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threadedComments/threadedComment2.xml" ContentType="application/vnd.ms-excel.threaded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drawings/drawing3.xml" ContentType="application/vnd.openxmlformats-officedocument.drawing+xml"/>
  <Override PartName="/xl/comments48.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11"/>
  <workbookPr codeName="ThisWorkbook"/>
  <mc:AlternateContent xmlns:mc="http://schemas.openxmlformats.org/markup-compatibility/2006">
    <mc:Choice Requires="x15">
      <x15ac:absPath xmlns:x15ac="http://schemas.microsoft.com/office/spreadsheetml/2010/11/ac" url="I:\CCS\US GHG Inventory\1990-2022\Spreadsheets\PR\"/>
    </mc:Choice>
  </mc:AlternateContent>
  <xr:revisionPtr revIDLastSave="1" documentId="13_ncr:1_{A03AA0B2-A950-42C2-9E4B-F88855B52396}" xr6:coauthVersionLast="47" xr6:coauthVersionMax="47" xr10:uidLastSave="{0F82BB1B-F303-42CC-817B-D0AFB0330751}"/>
  <bookViews>
    <workbookView xWindow="33840" yWindow="0" windowWidth="19200" windowHeight="21000" tabRatio="892" firstSheet="13" activeTab="3" xr2:uid="{12E0154A-8F49-4CF9-9991-205CE211AA91}"/>
  </bookViews>
  <sheets>
    <sheet name="Introduction" sheetId="91" r:id="rId1"/>
    <sheet name="TOC" sheetId="92" r:id="rId2"/>
    <sheet name="CRF Reporter Input" sheetId="97" r:id="rId3"/>
    <sheet name="InvDB" sheetId="103" r:id="rId4"/>
    <sheet name="InvDB-Old" sheetId="89" r:id="rId5"/>
    <sheet name="Summary Table" sheetId="10" r:id="rId6"/>
    <sheet name="Oct 2023 MER Comparison" sheetId="104" state="hidden" r:id="rId7"/>
    <sheet name="2022ER Comparison" sheetId="98" r:id="rId8"/>
    <sheet name="2021BY Comparison" sheetId="71" r:id="rId9"/>
    <sheet name="Diff" sheetId="59" r:id="rId10"/>
    <sheet name="Consumption (E)" sheetId="16" r:id="rId11"/>
    <sheet name="Yearly Change" sheetId="32" r:id="rId12"/>
    <sheet name="Consumption (E + non-E)" sheetId="37" r:id="rId13"/>
    <sheet name="Consumption Input" sheetId="2" r:id="rId14"/>
    <sheet name="Corrections" sheetId="17" r:id="rId15"/>
    <sheet name="1990" sheetId="41" r:id="rId16"/>
    <sheet name="1991" sheetId="45" r:id="rId17"/>
    <sheet name="1992" sheetId="54" r:id="rId18"/>
    <sheet name="1993" sheetId="53" r:id="rId19"/>
    <sheet name="1994" sheetId="52" r:id="rId20"/>
    <sheet name="1995" sheetId="51" r:id="rId21"/>
    <sheet name="1996" sheetId="50" r:id="rId22"/>
    <sheet name="1997" sheetId="49" r:id="rId23"/>
    <sheet name="1998" sheetId="48" r:id="rId24"/>
    <sheet name="1999" sheetId="47" r:id="rId25"/>
    <sheet name="2000" sheetId="46" r:id="rId26"/>
    <sheet name="2001" sheetId="55" r:id="rId27"/>
    <sheet name="2002" sheetId="56" r:id="rId28"/>
    <sheet name="2003" sheetId="58" r:id="rId29"/>
    <sheet name="2004" sheetId="64" r:id="rId30"/>
    <sheet name="2005" sheetId="69" r:id="rId31"/>
    <sheet name="2006" sheetId="72" r:id="rId32"/>
    <sheet name="2007" sheetId="73" r:id="rId33"/>
    <sheet name="2008" sheetId="77" r:id="rId34"/>
    <sheet name="2009" sheetId="79" r:id="rId35"/>
    <sheet name="2010" sheetId="81" r:id="rId36"/>
    <sheet name="2011" sheetId="82" r:id="rId37"/>
    <sheet name="2012" sheetId="83" r:id="rId38"/>
    <sheet name="2013" sheetId="84" r:id="rId39"/>
    <sheet name="2014" sheetId="85" r:id="rId40"/>
    <sheet name="2015" sheetId="87" r:id="rId41"/>
    <sheet name="2016" sheetId="88" r:id="rId42"/>
    <sheet name="2017" sheetId="90" r:id="rId43"/>
    <sheet name="2018" sheetId="95" r:id="rId44"/>
    <sheet name="2019" sheetId="96" r:id="rId45"/>
    <sheet name="2020" sheetId="99" r:id="rId46"/>
    <sheet name="2021" sheetId="100" r:id="rId47"/>
    <sheet name="2022" sheetId="101" r:id="rId48"/>
    <sheet name="US Territories" sheetId="20" r:id="rId49"/>
    <sheet name="International Bunker Fuels" sheetId="21" r:id="rId50"/>
    <sheet name="Factors" sheetId="5" r:id="rId51"/>
    <sheet name="Non-Energy Use" sheetId="44" r:id="rId52"/>
    <sheet name="Geothermal" sheetId="94" r:id="rId53"/>
    <sheet name="Inventory Table" sheetId="33" r:id="rId54"/>
    <sheet name="OUTPUT to INDCALC" sheetId="63" r:id="rId55"/>
    <sheet name="OUTPUT to MOBILE" sheetId="60" r:id="rId56"/>
    <sheet name="Consumption Input Diff." sheetId="70" r:id="rId57"/>
    <sheet name="Electricity Distributed" sheetId="13" r:id="rId58"/>
    <sheet name="Gas-Level Emissions" sheetId="75" r:id="rId59"/>
  </sheets>
  <externalReferences>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s>
  <definedNames>
    <definedName name="__123Graph_BGROWTHRATES" localSheetId="43" hidden="1">[1]Docctrl!#REF!</definedName>
    <definedName name="__123Graph_BGROWTHRATES" localSheetId="44" hidden="1">[1]Docctrl!#REF!</definedName>
    <definedName name="__123Graph_BGROWTHRATES" localSheetId="45" hidden="1">[1]Docctrl!#REF!</definedName>
    <definedName name="__123Graph_BGROWTHRATES" localSheetId="46" hidden="1">[1]Docctrl!#REF!</definedName>
    <definedName name="__123Graph_BGROWTHRATES" localSheetId="47" hidden="1">[1]Docctrl!#REF!</definedName>
    <definedName name="__123Graph_BGROWTHRATES" localSheetId="7" hidden="1">[1]Docctrl!#REF!</definedName>
    <definedName name="__123Graph_BGROWTHRATES" localSheetId="2" hidden="1">[1]Docctrl!#REF!</definedName>
    <definedName name="__123Graph_BGROWTHRATES" localSheetId="6" hidden="1">[1]Docctrl!#REF!</definedName>
    <definedName name="__123Graph_BGROWTHRATES" hidden="1">[1]Docctrl!#REF!</definedName>
    <definedName name="_2__123Graph_DPERCENT65_256" localSheetId="43" hidden="1">'[2]327034'!#REF!</definedName>
    <definedName name="_2__123Graph_DPERCENT65_256" localSheetId="44" hidden="1">'[2]327034'!#REF!</definedName>
    <definedName name="_2__123Graph_DPERCENT65_256" localSheetId="45" hidden="1">'[2]327034'!#REF!</definedName>
    <definedName name="_2__123Graph_DPERCENT65_256" localSheetId="46" hidden="1">'[2]327034'!#REF!</definedName>
    <definedName name="_2__123Graph_DPERCENT65_256" localSheetId="47" hidden="1">'[2]327034'!#REF!</definedName>
    <definedName name="_2__123Graph_DPERCENT65_256" localSheetId="2" hidden="1">'[2]327034'!#REF!</definedName>
    <definedName name="_2__123Graph_DPERCENT65_256" hidden="1">'[2]327034'!#REF!</definedName>
    <definedName name="_4__123Graph_FPERCENT65_256" localSheetId="43" hidden="1">'[2]327034'!#REF!</definedName>
    <definedName name="_4__123Graph_FPERCENT65_256" localSheetId="44" hidden="1">'[2]327034'!#REF!</definedName>
    <definedName name="_4__123Graph_FPERCENT65_256" localSheetId="45" hidden="1">'[2]327034'!#REF!</definedName>
    <definedName name="_4__123Graph_FPERCENT65_256" localSheetId="46" hidden="1">'[2]327034'!#REF!</definedName>
    <definedName name="_4__123Graph_FPERCENT65_256" localSheetId="47" hidden="1">'[2]327034'!#REF!</definedName>
    <definedName name="_4__123Graph_FPERCENT65_256" localSheetId="2" hidden="1">'[2]327034'!#REF!</definedName>
    <definedName name="_4__123Graph_FPERCENT65_256" hidden="1">'[2]327034'!#REF!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2" hidden="1">'CRF Reporter Input'!$A$14:$AN$932</definedName>
    <definedName name="_Key1" localSheetId="43" hidden="1">#REF!</definedName>
    <definedName name="_Key1" localSheetId="44" hidden="1">#REF!</definedName>
    <definedName name="_Key1" localSheetId="45" hidden="1">#REF!</definedName>
    <definedName name="_Key1" localSheetId="46" hidden="1">#REF!</definedName>
    <definedName name="_Key1" localSheetId="47" hidden="1">#REF!</definedName>
    <definedName name="_Key1" hidden="1">#REF!</definedName>
    <definedName name="_Key2" localSheetId="43" hidden="1">#REF!</definedName>
    <definedName name="_Key2" localSheetId="44" hidden="1">#REF!</definedName>
    <definedName name="_Key2" localSheetId="45" hidden="1">#REF!</definedName>
    <definedName name="_Key2" localSheetId="46" hidden="1">#REF!</definedName>
    <definedName name="_Key2" localSheetId="47" hidden="1">#REF!</definedName>
    <definedName name="_Key2" hidden="1">#REF!</definedName>
    <definedName name="_Order1" hidden="1">0</definedName>
    <definedName name="_Order2" hidden="1">0</definedName>
    <definedName name="_Ref225575190" localSheetId="53">'Inventory Table'!$K$112</definedName>
    <definedName name="_Regression_Out" localSheetId="43" hidden="1">'[3]327007'!#REF!</definedName>
    <definedName name="_Regression_Out" localSheetId="44" hidden="1">'[3]327007'!#REF!</definedName>
    <definedName name="_Regression_Out" localSheetId="45" hidden="1">'[3]327007'!#REF!</definedName>
    <definedName name="_Regression_Out" localSheetId="46" hidden="1">'[3]327007'!#REF!</definedName>
    <definedName name="_Regression_Out" localSheetId="47" hidden="1">'[3]327007'!#REF!</definedName>
    <definedName name="_Regression_Out" hidden="1">'[3]327007'!#REF!</definedName>
    <definedName name="_Regression_X" localSheetId="43" hidden="1">'[3]327007'!#REF!</definedName>
    <definedName name="_Regression_X" localSheetId="44" hidden="1">'[3]327007'!#REF!</definedName>
    <definedName name="_Regression_X" localSheetId="45" hidden="1">'[3]327007'!#REF!</definedName>
    <definedName name="_Regression_X" localSheetId="46" hidden="1">'[3]327007'!#REF!</definedName>
    <definedName name="_Regression_X" localSheetId="47" hidden="1">'[3]327007'!#REF!</definedName>
    <definedName name="_Regression_X" hidden="1">'[3]327007'!#REF!</definedName>
    <definedName name="_Regression_Y" localSheetId="43" hidden="1">'[3]327007'!#REF!</definedName>
    <definedName name="_Regression_Y" localSheetId="44" hidden="1">'[3]327007'!#REF!</definedName>
    <definedName name="_Regression_Y" localSheetId="45" hidden="1">'[3]327007'!#REF!</definedName>
    <definedName name="_Regression_Y" localSheetId="46" hidden="1">'[3]327007'!#REF!</definedName>
    <definedName name="_Regression_Y" localSheetId="47" hidden="1">'[3]327007'!#REF!</definedName>
    <definedName name="_Regression_Y" hidden="1">'[3]327007'!#REF!</definedName>
    <definedName name="_Sort" localSheetId="43" hidden="1">#REF!</definedName>
    <definedName name="_Sort" localSheetId="44" hidden="1">#REF!</definedName>
    <definedName name="_Sort" localSheetId="45" hidden="1">#REF!</definedName>
    <definedName name="_Sort" localSheetId="46" hidden="1">#REF!</definedName>
    <definedName name="_Sort" localSheetId="47" hidden="1">#REF!</definedName>
    <definedName name="_Sort" hidden="1">#REF!</definedName>
    <definedName name="_Toc1473195" localSheetId="53">'Inventory Table'!$K$100</definedName>
    <definedName name="Bar_Gal" localSheetId="2">[4]Corrections!$K$2</definedName>
    <definedName name="Bar_Gal">[4]Corrections!$K$2</definedName>
    <definedName name="BBtuToBtu" localSheetId="7">Factors!$J$49</definedName>
    <definedName name="BBtuToBtu" localSheetId="2">Factors!$J$49</definedName>
    <definedName name="BBtuToBtu" localSheetId="6">Factors!$J$49</definedName>
    <definedName name="BBtuToBtu">Factors!$J$49</definedName>
    <definedName name="BBtuToTBtu" localSheetId="2">[4]Consumption!$K$2</definedName>
    <definedName name="BBtuToTBtu">[4]Consumption!$K$2</definedName>
    <definedName name="CO2toC" localSheetId="7">Factors!$J$45</definedName>
    <definedName name="CO2toC" localSheetId="2">Factors!$J$45</definedName>
    <definedName name="CO2toC" localSheetId="6">Factors!$J$45</definedName>
    <definedName name="CO2toC">Factors!$J$45</definedName>
    <definedName name="CtoCO2" localSheetId="15">Factors!$J$44</definedName>
    <definedName name="CtoCO2" localSheetId="16">Factors!$J$44</definedName>
    <definedName name="CtoCO2" localSheetId="17">Factors!$J$44</definedName>
    <definedName name="CtoCO2" localSheetId="18">Factors!$J$44</definedName>
    <definedName name="CtoCO2" localSheetId="19">Factors!$J$44</definedName>
    <definedName name="CtoCO2" localSheetId="20">Factors!$J$44</definedName>
    <definedName name="CtoCO2" localSheetId="21">Factors!$J$44</definedName>
    <definedName name="CtoCO2" localSheetId="22">Factors!$J$44</definedName>
    <definedName name="CtoCO2" localSheetId="23">Factors!$J$44</definedName>
    <definedName name="CtoCO2" localSheetId="24">Factors!$J$44</definedName>
    <definedName name="CtoCO2" localSheetId="25">Factors!$J$44</definedName>
    <definedName name="CtoCO2" localSheetId="26">Factors!$J$44</definedName>
    <definedName name="CtoCO2" localSheetId="27">Factors!$J$44</definedName>
    <definedName name="CtoCO2" localSheetId="28">Factors!$J$44</definedName>
    <definedName name="CtoCO2" localSheetId="29">Factors!$J$44</definedName>
    <definedName name="CtoCO2" localSheetId="30">Factors!$J$44</definedName>
    <definedName name="CtoCO2" localSheetId="31">Factors!$J$44</definedName>
    <definedName name="CtoCO2" localSheetId="32">Factors!$J$44</definedName>
    <definedName name="CtoCO2" localSheetId="33">Factors!$J$44</definedName>
    <definedName name="CtoCO2" localSheetId="34">Factors!$J$44</definedName>
    <definedName name="CtoCO2" localSheetId="35">Factors!$J$44</definedName>
    <definedName name="CtoCO2" localSheetId="36">Factors!$J$44</definedName>
    <definedName name="CtoCO2" localSheetId="37">Factors!$J$44</definedName>
    <definedName name="CtoCO2" localSheetId="38">Factors!$J$44</definedName>
    <definedName name="CtoCO2" localSheetId="39">Factors!$J$44</definedName>
    <definedName name="CtoCO2" localSheetId="40">Factors!$J$44</definedName>
    <definedName name="CtoCO2" localSheetId="41">Factors!$J$44</definedName>
    <definedName name="CtoCO2" localSheetId="42">Factors!$J$44</definedName>
    <definedName name="CtoCO2" localSheetId="43">Factors!$J$44</definedName>
    <definedName name="CtoCO2" localSheetId="44">Factors!$J$44</definedName>
    <definedName name="CtoCO2" localSheetId="45">Factors!$J$44</definedName>
    <definedName name="CtoCO2" localSheetId="46">Factors!$J$44</definedName>
    <definedName name="CtoCO2" localSheetId="47">Factors!$J$44</definedName>
    <definedName name="CtoCO2" localSheetId="7">Factors!$J$44</definedName>
    <definedName name="CtoCO2" localSheetId="2">Factors!$J$44</definedName>
    <definedName name="CtoCO2" localSheetId="6">Factors!$J$44</definedName>
    <definedName name="CtoCO2">Factors!$J$44</definedName>
    <definedName name="DaysToYear">Factors!$J$51</definedName>
    <definedName name="gtokt" localSheetId="2">[4]Factors!$B$7</definedName>
    <definedName name="gtokt">[4]Factors!$B$7</definedName>
    <definedName name="GWPCH4" localSheetId="7">Factors!$J$46</definedName>
    <definedName name="GWPCH4" localSheetId="2">Factors!$J$46</definedName>
    <definedName name="GWPCH4" localSheetId="6">Factors!$J$46</definedName>
    <definedName name="GWPCH4">Factors!$J$46</definedName>
    <definedName name="GWPN2O" localSheetId="7">Factors!$J$50</definedName>
    <definedName name="GWPN2O" localSheetId="2">Factors!$J$50</definedName>
    <definedName name="GWPN2O" localSheetId="6">Factors!$J$50</definedName>
    <definedName name="GWPN2O">Factors!$J$50</definedName>
    <definedName name="HTML_CodePage" hidden="1">1252</definedName>
    <definedName name="HTML_Control" localSheetId="7" hidden="1">{"'327012'!$A$2:$L$63"}</definedName>
    <definedName name="HTML_Control" localSheetId="2" hidden="1">{"'327012'!$A$2:$L$63"}</definedName>
    <definedName name="HTML_Control" localSheetId="6" hidden="1">{"'327012'!$A$2:$L$63"}</definedName>
    <definedName name="HTML_Control" hidden="1">{"'327012'!$A$2:$L$63"}</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"N:\Webbank\W6_uploaded\Client_login\CMM_Member_Files\327013_www_01.htm"</definedName>
    <definedName name="HTML_Title" hidden="1">""</definedName>
    <definedName name="IBFConsumption">'International Bunker Fuels'!$D$7:$AL$10</definedName>
    <definedName name="MMBTUtoTBtu" localSheetId="0">[4]Corrections!$K$3</definedName>
    <definedName name="MMbtuToTBtu">Factors!$J$48</definedName>
    <definedName name="NEUConsumption" localSheetId="7">'Non-Energy Use'!$E$5:$AL$28</definedName>
    <definedName name="NEUConsumption" localSheetId="2">'Non-Energy Use'!$E$5:$AL$28</definedName>
    <definedName name="NEUConsumption" localSheetId="6">'Non-Energy Use'!$E$5:$AL$28</definedName>
    <definedName name="NEUConsumption">'Non-Energy Use'!$E$5:$AL$28</definedName>
    <definedName name="NEUEmissions">'Non-Energy Use'!$E80:$AL103</definedName>
    <definedName name="Pal_Workbook_GUID" hidden="1">"EZGXLTBDBFIUY5ZGPKFIMINK"</definedName>
    <definedName name="_xlnm.Print_Area" localSheetId="15">'1990'!$A$1:$AQ$43</definedName>
    <definedName name="_xlnm.Print_Area" localSheetId="16">'1991'!$A$1:$AQ$43</definedName>
    <definedName name="_xlnm.Print_Area" localSheetId="17">'1992'!$A$1:$AQ$43</definedName>
    <definedName name="_xlnm.Print_Area" localSheetId="18">'1993'!$A$1:$AQ$43</definedName>
    <definedName name="_xlnm.Print_Area" localSheetId="19">'1994'!$A$1:$AQ$43</definedName>
    <definedName name="_xlnm.Print_Area" localSheetId="20">'1995'!$A$1:$AQ$43</definedName>
    <definedName name="_xlnm.Print_Area" localSheetId="21">'1996'!$A$1:$AQ$43</definedName>
    <definedName name="_xlnm.Print_Area" localSheetId="22">'1997'!$A$1:$AQ$43</definedName>
    <definedName name="_xlnm.Print_Area" localSheetId="23">'1998'!$A$1:$AQ$43</definedName>
    <definedName name="_xlnm.Print_Area" localSheetId="24">'1999'!$A$1:$AQ$43</definedName>
    <definedName name="_xlnm.Print_Area" localSheetId="25">'2000'!$A$1:$AQ$43</definedName>
    <definedName name="_xlnm.Print_Area" localSheetId="26">'2001'!$A$1:$AQ$43</definedName>
    <definedName name="_xlnm.Print_Area" localSheetId="27">'2002'!$A$1:$AQ$43</definedName>
    <definedName name="_xlnm.Print_Area" localSheetId="28">'2003'!$A$1:$AQ$43</definedName>
    <definedName name="_xlnm.Print_Area" localSheetId="29">'2004'!$A$1:$AQ$43</definedName>
    <definedName name="_xlnm.Print_Area" localSheetId="30">'2005'!$A$1:$AQ$43</definedName>
    <definedName name="_xlnm.Print_Area" localSheetId="31">'2006'!$A$1:$AQ$43</definedName>
    <definedName name="_xlnm.Print_Area" localSheetId="32">'2007'!$A$1:$AQ$43</definedName>
    <definedName name="_xlnm.Print_Area" localSheetId="33">'2008'!$A$1:$AQ$43</definedName>
    <definedName name="_xlnm.Print_Area" localSheetId="34">'2009'!$A$1:$AQ$43</definedName>
    <definedName name="_xlnm.Print_Area" localSheetId="35">'2010'!$A$1:$AQ$43</definedName>
    <definedName name="_xlnm.Print_Area" localSheetId="36">'2011'!$A$1:$AQ$43</definedName>
    <definedName name="_xlnm.Print_Area" localSheetId="37">'2012'!$A$1:$AQ$43</definedName>
    <definedName name="_xlnm.Print_Area" localSheetId="38">'2013'!$A$1:$AQ$43</definedName>
    <definedName name="_xlnm.Print_Area" localSheetId="39">'2014'!$A$1:$AQ$43</definedName>
    <definedName name="_xlnm.Print_Area" localSheetId="40">'2015'!$A$1:$AQ$43</definedName>
    <definedName name="_xlnm.Print_Area" localSheetId="41">'2016'!$A$1:$AQ$43</definedName>
    <definedName name="_xlnm.Print_Area" localSheetId="42">'2017'!$A$1:$AQ$43</definedName>
    <definedName name="_xlnm.Print_Area" localSheetId="43">'2018'!$A$1:$AQ$43</definedName>
    <definedName name="_xlnm.Print_Area" localSheetId="44">'2019'!$A$1:$AQ$43</definedName>
    <definedName name="_xlnm.Print_Area" localSheetId="45">'2020'!$A$1:$AQ$43</definedName>
    <definedName name="_xlnm.Print_Area" localSheetId="46">'2021'!$A$1:$AQ$43</definedName>
    <definedName name="_xlnm.Print_Area" localSheetId="8">'2021BY Comparison'!$A$1:$M$27</definedName>
    <definedName name="_xlnm.Print_Area" localSheetId="47">'2022'!$A$1:$AQ$43</definedName>
    <definedName name="_xlnm.Print_Area" localSheetId="7">'2022ER Comparison'!$A$1:$M$27</definedName>
    <definedName name="_xlnm.Print_Area" localSheetId="12">'Consumption (E + non-E)'!$A$1:$AV$36</definedName>
    <definedName name="_xlnm.Print_Area" localSheetId="10">'Consumption (E)'!$A$1:$AV$36</definedName>
    <definedName name="_xlnm.Print_Area" localSheetId="13">'Consumption Input'!$B$1:$O$87</definedName>
    <definedName name="_xlnm.Print_Area" localSheetId="14">Corrections!$A$1:$M$21</definedName>
    <definedName name="_xlnm.Print_Area" localSheetId="9">Diff!$A$1:$M$27</definedName>
    <definedName name="_xlnm.Print_Area" localSheetId="57">'Electricity Distributed'!$B$1:$M$84</definedName>
    <definedName name="_xlnm.Print_Area" localSheetId="50">Factors!$A$1:$T$61</definedName>
    <definedName name="_xlnm.Print_Area" localSheetId="49">'International Bunker Fuels'!$A$1:$N$26</definedName>
    <definedName name="_xlnm.Print_Area" localSheetId="51">'Non-Energy Use'!$A$1:$T$123</definedName>
    <definedName name="_xlnm.Print_Area" localSheetId="6">'Oct 2023 MER Comparison'!$A$1:$M$27</definedName>
    <definedName name="_xlnm.Print_Area" localSheetId="5">'Summary Table'!$A$1:$M$168</definedName>
    <definedName name="_xlnm.Print_Area" localSheetId="48">'US Territories'!$A$1:$N$39</definedName>
    <definedName name="Print_Area_MI" localSheetId="13">'Consumption Input'!$C$3:$AM$46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localSheetId="0" hidden="1">5</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TbtuToQBtu" localSheetId="15">Factors!$J$47</definedName>
    <definedName name="TbtuToQBtu" localSheetId="16">Factors!$J$47</definedName>
    <definedName name="TbtuToQBtu" localSheetId="17">Factors!$J$47</definedName>
    <definedName name="TbtuToQBtu" localSheetId="18">Factors!$J$47</definedName>
    <definedName name="TbtuToQBtu" localSheetId="19">Factors!$J$47</definedName>
    <definedName name="TbtuToQBtu" localSheetId="20">Factors!$J$47</definedName>
    <definedName name="TbtuToQBtu" localSheetId="21">Factors!$J$47</definedName>
    <definedName name="TbtuToQBtu" localSheetId="22">Factors!$J$47</definedName>
    <definedName name="TbtuToQBtu" localSheetId="23">Factors!$J$47</definedName>
    <definedName name="TbtuToQBtu" localSheetId="24">Factors!$J$47</definedName>
    <definedName name="TbtuToQBtu" localSheetId="25">Factors!$J$47</definedName>
    <definedName name="TbtuToQBtu" localSheetId="26">Factors!$J$47</definedName>
    <definedName name="TbtuToQBtu" localSheetId="27">Factors!$J$47</definedName>
    <definedName name="TbtuToQBtu" localSheetId="28">Factors!$J$47</definedName>
    <definedName name="TbtuToQBtu" localSheetId="29">Factors!$J$47</definedName>
    <definedName name="TbtuToQBtu" localSheetId="30">Factors!$J$47</definedName>
    <definedName name="TbtuToQBtu" localSheetId="31">Factors!$J$47</definedName>
    <definedName name="TbtuToQBtu" localSheetId="32">Factors!$J$47</definedName>
    <definedName name="TbtuToQBtu" localSheetId="33">Factors!$J$47</definedName>
    <definedName name="TbtuToQBtu" localSheetId="34">Factors!$J$47</definedName>
    <definedName name="TbtuToQBtu" localSheetId="35">Factors!$J$47</definedName>
    <definedName name="TbtuToQBtu" localSheetId="36">Factors!$J$47</definedName>
    <definedName name="TbtuToQBtu" localSheetId="37">Factors!$J$47</definedName>
    <definedName name="TbtuToQBtu" localSheetId="38">Factors!$J$47</definedName>
    <definedName name="TbtuToQBtu" localSheetId="39">Factors!$J$47</definedName>
    <definedName name="TbtuToQBtu" localSheetId="40">Factors!$J$47</definedName>
    <definedName name="TbtuToQBtu" localSheetId="41">Factors!$J$47</definedName>
    <definedName name="TbtuToQBtu" localSheetId="42">Factors!$J$47</definedName>
    <definedName name="TbtuToQBtu" localSheetId="43">Factors!$J$47</definedName>
    <definedName name="TbtuToQBtu" localSheetId="44">Factors!$J$47</definedName>
    <definedName name="TbtuToQBtu" localSheetId="45">Factors!$J$47</definedName>
    <definedName name="TbtuToQBtu" localSheetId="46">Factors!$J$47</definedName>
    <definedName name="TbtuToQBtu" localSheetId="47">Factors!$J$47</definedName>
    <definedName name="TbtuToQBtu" localSheetId="7">Factors!$J$47</definedName>
    <definedName name="TbtuToQBtu" localSheetId="2">Factors!$J$47</definedName>
    <definedName name="TbtuToQBtu" localSheetId="6">Factors!$J$47</definedName>
    <definedName name="TbtuToQBtu">Factors!$J$47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22" i="2" l="1"/>
  <c r="AJ122" i="2"/>
  <c r="AI122" i="2"/>
  <c r="AH122" i="2"/>
  <c r="AG122" i="2"/>
  <c r="AF122" i="2"/>
  <c r="AE122" i="2"/>
  <c r="AD122" i="2"/>
  <c r="AC122" i="2"/>
  <c r="AB122" i="2"/>
  <c r="AA122" i="2"/>
  <c r="Z122" i="2"/>
  <c r="Y122" i="2"/>
  <c r="X122" i="2"/>
  <c r="W122" i="2"/>
  <c r="V122" i="2"/>
  <c r="U122" i="2"/>
  <c r="T122" i="2"/>
  <c r="S122" i="2"/>
  <c r="R122" i="2"/>
  <c r="Q122" i="2"/>
  <c r="P122" i="2"/>
  <c r="O122" i="2"/>
  <c r="N122" i="2"/>
  <c r="M122" i="2"/>
  <c r="L122" i="2"/>
  <c r="K122" i="2"/>
  <c r="J122" i="2"/>
  <c r="I122" i="2"/>
  <c r="H122" i="2"/>
  <c r="G122" i="2"/>
  <c r="F122" i="2"/>
  <c r="E122"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AK15" i="2"/>
  <c r="AJ15"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F15" i="2"/>
  <c r="E15" i="2"/>
  <c r="AK9" i="2"/>
  <c r="AJ9" i="2"/>
  <c r="AI9" i="2"/>
  <c r="AH9" i="2"/>
  <c r="AG9" i="2"/>
  <c r="AF9" i="2"/>
  <c r="AE9" i="2"/>
  <c r="AD9" i="2"/>
  <c r="AC9" i="2"/>
  <c r="AB9" i="2"/>
  <c r="AA9" i="2"/>
  <c r="Z9" i="2"/>
  <c r="Y9" i="2"/>
  <c r="X9" i="2"/>
  <c r="W9" i="2"/>
  <c r="V9" i="2"/>
  <c r="U9" i="2"/>
  <c r="T9" i="2"/>
  <c r="S9" i="2"/>
  <c r="R9" i="2"/>
  <c r="Q9" i="2"/>
  <c r="P9" i="2"/>
  <c r="O9" i="2"/>
  <c r="N9" i="2"/>
  <c r="M9" i="2"/>
  <c r="L9" i="2"/>
  <c r="K9" i="2"/>
  <c r="J9" i="2"/>
  <c r="I9" i="2"/>
  <c r="H9" i="2"/>
  <c r="G9" i="2"/>
  <c r="F9" i="2"/>
  <c r="E9" i="2"/>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AP20" i="5"/>
  <c r="AO20" i="5"/>
  <c r="AN20" i="5"/>
  <c r="AM20" i="5"/>
  <c r="AL20" i="5"/>
  <c r="AK20" i="5"/>
  <c r="AJ20" i="5"/>
  <c r="AI20" i="5"/>
  <c r="AH20" i="5"/>
  <c r="AG20" i="5"/>
  <c r="AF20" i="5"/>
  <c r="AE20" i="5"/>
  <c r="AD20" i="5"/>
  <c r="AC20" i="5"/>
  <c r="AB20" i="5"/>
  <c r="AA20" i="5"/>
  <c r="Z20" i="5"/>
  <c r="Y20" i="5"/>
  <c r="X20" i="5"/>
  <c r="W20" i="5"/>
  <c r="V20" i="5"/>
  <c r="U20" i="5"/>
  <c r="T20" i="5"/>
  <c r="S20" i="5"/>
  <c r="R20" i="5"/>
  <c r="Q20" i="5"/>
  <c r="P20" i="5"/>
  <c r="O20" i="5"/>
  <c r="N20" i="5"/>
  <c r="M20" i="5"/>
  <c r="L20" i="5"/>
  <c r="K20" i="5"/>
  <c r="J20" i="5"/>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AH59" i="17"/>
  <c r="AG59" i="17"/>
  <c r="AF59" i="17"/>
  <c r="AE59" i="17"/>
  <c r="AD59" i="17"/>
  <c r="AC59" i="17"/>
  <c r="AB59" i="17"/>
  <c r="AA59" i="17"/>
  <c r="Z59" i="17"/>
  <c r="Y59" i="17"/>
  <c r="X59" i="17"/>
  <c r="W59" i="17"/>
  <c r="V59" i="17"/>
  <c r="U59" i="17"/>
  <c r="T59" i="17"/>
  <c r="S59" i="17"/>
  <c r="R59" i="17"/>
  <c r="Q59" i="17"/>
  <c r="P59" i="17"/>
  <c r="O59" i="17"/>
  <c r="N59" i="17"/>
  <c r="M59" i="17"/>
  <c r="L59" i="17"/>
  <c r="K59" i="17"/>
  <c r="J59" i="17"/>
  <c r="I59" i="17"/>
  <c r="H59" i="17"/>
  <c r="G59" i="17"/>
  <c r="F59" i="17"/>
  <c r="E59" i="17"/>
  <c r="D59" i="17"/>
  <c r="C59" i="17"/>
  <c r="AH58" i="17"/>
  <c r="AG58" i="17"/>
  <c r="AF58" i="17"/>
  <c r="AE58" i="17"/>
  <c r="AD58" i="17"/>
  <c r="AC58" i="17"/>
  <c r="AB58" i="17"/>
  <c r="AA58" i="17"/>
  <c r="Z58" i="17"/>
  <c r="Y58" i="17"/>
  <c r="X58" i="17"/>
  <c r="W58" i="17"/>
  <c r="V58" i="17"/>
  <c r="U58" i="17"/>
  <c r="T58" i="17"/>
  <c r="S58" i="17"/>
  <c r="R58" i="17"/>
  <c r="Q58" i="17"/>
  <c r="P58" i="17"/>
  <c r="O58" i="17"/>
  <c r="N58" i="17"/>
  <c r="M58" i="17"/>
  <c r="L58" i="17"/>
  <c r="K58" i="17"/>
  <c r="J58" i="17"/>
  <c r="I58" i="17"/>
  <c r="H58" i="17"/>
  <c r="G58" i="17"/>
  <c r="F58" i="17"/>
  <c r="E58" i="17"/>
  <c r="D58" i="17"/>
  <c r="C58" i="17"/>
  <c r="AH44" i="17"/>
  <c r="AG44" i="17"/>
  <c r="AF44" i="17"/>
  <c r="AE44" i="17"/>
  <c r="AD44" i="17"/>
  <c r="AC44" i="17"/>
  <c r="AB44" i="17"/>
  <c r="AA44" i="17"/>
  <c r="Z44" i="17"/>
  <c r="Y44" i="17"/>
  <c r="X44" i="17"/>
  <c r="W44" i="17"/>
  <c r="V44" i="17"/>
  <c r="U44" i="17"/>
  <c r="T44" i="17"/>
  <c r="S44" i="17"/>
  <c r="R44" i="17"/>
  <c r="Q44" i="17"/>
  <c r="P44" i="17"/>
  <c r="O44" i="17"/>
  <c r="N44" i="17"/>
  <c r="M44" i="17"/>
  <c r="L44" i="17"/>
  <c r="K44" i="17"/>
  <c r="J44" i="17"/>
  <c r="I44" i="17"/>
  <c r="H44" i="17"/>
  <c r="G44" i="17"/>
  <c r="F44" i="17"/>
  <c r="E44" i="17"/>
  <c r="D44" i="17"/>
  <c r="C44" i="17"/>
  <c r="AH38" i="17"/>
  <c r="AG38" i="17"/>
  <c r="AF38" i="17"/>
  <c r="AE38" i="17"/>
  <c r="AD38" i="17"/>
  <c r="AC38" i="17"/>
  <c r="AB38" i="17"/>
  <c r="AA38" i="17"/>
  <c r="Z38" i="17"/>
  <c r="Y38" i="17"/>
  <c r="X38" i="17"/>
  <c r="W38" i="17"/>
  <c r="V38" i="17"/>
  <c r="U38" i="17"/>
  <c r="T38" i="17"/>
  <c r="S38" i="17"/>
  <c r="R38" i="17"/>
  <c r="Q38" i="17"/>
  <c r="P38" i="17"/>
  <c r="O38" i="17"/>
  <c r="N38" i="17"/>
  <c r="M38" i="17"/>
  <c r="L38" i="17"/>
  <c r="K38" i="17"/>
  <c r="J38" i="17"/>
  <c r="I38" i="17"/>
  <c r="H38" i="17"/>
  <c r="G38" i="17"/>
  <c r="F38" i="17"/>
  <c r="E38" i="17"/>
  <c r="D38" i="17"/>
  <c r="C38" i="17"/>
  <c r="AH37" i="17"/>
  <c r="AG37" i="17"/>
  <c r="AF37" i="17"/>
  <c r="AE37" i="17"/>
  <c r="AD37" i="17"/>
  <c r="AC37" i="17"/>
  <c r="AB37" i="17"/>
  <c r="AA37" i="17"/>
  <c r="Z37" i="17"/>
  <c r="Y37" i="17"/>
  <c r="X37" i="17"/>
  <c r="W37" i="17"/>
  <c r="V37" i="17"/>
  <c r="U37" i="17"/>
  <c r="T37" i="17"/>
  <c r="S37" i="17"/>
  <c r="R37" i="17"/>
  <c r="Q37" i="17"/>
  <c r="P37" i="17"/>
  <c r="O37" i="17"/>
  <c r="N37" i="17"/>
  <c r="M37" i="17"/>
  <c r="L37" i="17"/>
  <c r="K37" i="17"/>
  <c r="J37" i="17"/>
  <c r="I37" i="17"/>
  <c r="H37" i="17"/>
  <c r="G37" i="17"/>
  <c r="F37" i="17"/>
  <c r="E37" i="17"/>
  <c r="D37" i="17"/>
  <c r="C37" i="17"/>
  <c r="AI104" i="75"/>
  <c r="AH104" i="75"/>
  <c r="AG104" i="75"/>
  <c r="AF104" i="75"/>
  <c r="AE104" i="75"/>
  <c r="AD104" i="75"/>
  <c r="AC104" i="75"/>
  <c r="AB104" i="75"/>
  <c r="AA104" i="75"/>
  <c r="Z104" i="75"/>
  <c r="Y104" i="75"/>
  <c r="X104" i="75"/>
  <c r="W104" i="75"/>
  <c r="V104" i="75"/>
  <c r="U104" i="75"/>
  <c r="T104" i="75"/>
  <c r="S104" i="75"/>
  <c r="R104" i="75"/>
  <c r="Q104" i="75"/>
  <c r="P104" i="75"/>
  <c r="O104" i="75"/>
  <c r="N104" i="75"/>
  <c r="M104" i="75"/>
  <c r="L104" i="75"/>
  <c r="K104" i="75"/>
  <c r="J104" i="75"/>
  <c r="I104" i="75"/>
  <c r="H104" i="75"/>
  <c r="G104" i="75"/>
  <c r="F104" i="75"/>
  <c r="E104" i="75"/>
  <c r="D104" i="75"/>
  <c r="C104" i="75"/>
  <c r="AI101" i="75"/>
  <c r="AH101" i="75"/>
  <c r="AG101" i="75"/>
  <c r="AF101" i="75"/>
  <c r="AE101" i="75"/>
  <c r="AD101" i="75"/>
  <c r="AC101" i="75"/>
  <c r="AB101" i="75"/>
  <c r="AA101" i="75"/>
  <c r="Z101" i="75"/>
  <c r="Y101" i="75"/>
  <c r="X101" i="75"/>
  <c r="W101" i="75"/>
  <c r="V101" i="75"/>
  <c r="U101" i="75"/>
  <c r="T101" i="75"/>
  <c r="S101" i="75"/>
  <c r="R101" i="75"/>
  <c r="Q101" i="75"/>
  <c r="P101" i="75"/>
  <c r="O101" i="75"/>
  <c r="N101" i="75"/>
  <c r="M101" i="75"/>
  <c r="L101" i="75"/>
  <c r="K101" i="75"/>
  <c r="J101" i="75"/>
  <c r="I101" i="75"/>
  <c r="H101" i="75"/>
  <c r="G101" i="75"/>
  <c r="F101" i="75"/>
  <c r="E101" i="75"/>
  <c r="D101" i="75"/>
  <c r="C101" i="75"/>
  <c r="AI25" i="75"/>
  <c r="AI50" i="75" s="1"/>
  <c r="AH25" i="75"/>
  <c r="AH50" i="75" s="1"/>
  <c r="AG25" i="75"/>
  <c r="AG50" i="75" s="1"/>
  <c r="AF25" i="75"/>
  <c r="AF50" i="75" s="1"/>
  <c r="AE25" i="75"/>
  <c r="AE50" i="75" s="1"/>
  <c r="AD25" i="75"/>
  <c r="AD50" i="75" s="1"/>
  <c r="AC25" i="75"/>
  <c r="AC50" i="75" s="1"/>
  <c r="AB25" i="75"/>
  <c r="AB50" i="75" s="1"/>
  <c r="AA25" i="75"/>
  <c r="AA50" i="75" s="1"/>
  <c r="Z25" i="75"/>
  <c r="Z50" i="75" s="1"/>
  <c r="Y25" i="75"/>
  <c r="Y50" i="75" s="1"/>
  <c r="X25" i="75"/>
  <c r="X50" i="75" s="1"/>
  <c r="W25" i="75"/>
  <c r="W50" i="75" s="1"/>
  <c r="V25" i="75"/>
  <c r="V50" i="75" s="1"/>
  <c r="U25" i="75"/>
  <c r="U50" i="75" s="1"/>
  <c r="T25" i="75"/>
  <c r="T50" i="75" s="1"/>
  <c r="S25" i="75"/>
  <c r="S50" i="75" s="1"/>
  <c r="R25" i="75"/>
  <c r="R50" i="75" s="1"/>
  <c r="Q25" i="75"/>
  <c r="Q50" i="75" s="1"/>
  <c r="P25" i="75"/>
  <c r="P50" i="75" s="1"/>
  <c r="O25" i="75"/>
  <c r="O50" i="75" s="1"/>
  <c r="N25" i="75"/>
  <c r="N50" i="75" s="1"/>
  <c r="M25" i="75"/>
  <c r="M50" i="75" s="1"/>
  <c r="L25" i="75"/>
  <c r="L50" i="75" s="1"/>
  <c r="K25" i="75"/>
  <c r="K50" i="75" s="1"/>
  <c r="J25" i="75"/>
  <c r="J50" i="75" s="1"/>
  <c r="I25" i="75"/>
  <c r="I50" i="75" s="1"/>
  <c r="H25" i="75"/>
  <c r="H50" i="75" s="1"/>
  <c r="G25" i="75"/>
  <c r="G50" i="75" s="1"/>
  <c r="F25" i="75"/>
  <c r="F50" i="75" s="1"/>
  <c r="E25" i="75"/>
  <c r="E50" i="75" s="1"/>
  <c r="D25" i="75"/>
  <c r="D50" i="75" s="1"/>
  <c r="C25" i="75"/>
  <c r="C50" i="75" s="1"/>
  <c r="AI24" i="75"/>
  <c r="AI49" i="75" s="1"/>
  <c r="AH24" i="75"/>
  <c r="AH49" i="75" s="1"/>
  <c r="AG24" i="75"/>
  <c r="AG49" i="75" s="1"/>
  <c r="AF24" i="75"/>
  <c r="AF49" i="75" s="1"/>
  <c r="AE24" i="75"/>
  <c r="AE49" i="75" s="1"/>
  <c r="AD24" i="75"/>
  <c r="AD49" i="75" s="1"/>
  <c r="AC24" i="75"/>
  <c r="AC49" i="75" s="1"/>
  <c r="AB24" i="75"/>
  <c r="AB49" i="75" s="1"/>
  <c r="AA24" i="75"/>
  <c r="AA49" i="75" s="1"/>
  <c r="Z24" i="75"/>
  <c r="Z49" i="75" s="1"/>
  <c r="Y24" i="75"/>
  <c r="Y49" i="75" s="1"/>
  <c r="X24" i="75"/>
  <c r="X49" i="75" s="1"/>
  <c r="W24" i="75"/>
  <c r="W49" i="75" s="1"/>
  <c r="V24" i="75"/>
  <c r="V49" i="75" s="1"/>
  <c r="U24" i="75"/>
  <c r="U49" i="75" s="1"/>
  <c r="T24" i="75"/>
  <c r="T49" i="75" s="1"/>
  <c r="S24" i="75"/>
  <c r="S49" i="75" s="1"/>
  <c r="R24" i="75"/>
  <c r="R49" i="75" s="1"/>
  <c r="Q24" i="75"/>
  <c r="Q49" i="75" s="1"/>
  <c r="P24" i="75"/>
  <c r="P49" i="75" s="1"/>
  <c r="O24" i="75"/>
  <c r="O49" i="75" s="1"/>
  <c r="N24" i="75"/>
  <c r="N49" i="75" s="1"/>
  <c r="M24" i="75"/>
  <c r="M49" i="75" s="1"/>
  <c r="L24" i="75"/>
  <c r="L49" i="75" s="1"/>
  <c r="K24" i="75"/>
  <c r="K49" i="75" s="1"/>
  <c r="J24" i="75"/>
  <c r="J49" i="75" s="1"/>
  <c r="I24" i="75"/>
  <c r="I49" i="75" s="1"/>
  <c r="H24" i="75"/>
  <c r="H49" i="75" s="1"/>
  <c r="G24" i="75"/>
  <c r="G49" i="75" s="1"/>
  <c r="F24" i="75"/>
  <c r="F49" i="75" s="1"/>
  <c r="E24" i="75"/>
  <c r="E49" i="75" s="1"/>
  <c r="D24" i="75"/>
  <c r="D49" i="75" s="1"/>
  <c r="C24" i="75"/>
  <c r="C49" i="75" s="1"/>
  <c r="AI21" i="75"/>
  <c r="AI46" i="75" s="1"/>
  <c r="AH21" i="75"/>
  <c r="AH46" i="75" s="1"/>
  <c r="AG21" i="75"/>
  <c r="AG46" i="75" s="1"/>
  <c r="AF21" i="75"/>
  <c r="AF46" i="75" s="1"/>
  <c r="AE21" i="75"/>
  <c r="AE46" i="75" s="1"/>
  <c r="AD21" i="75"/>
  <c r="AD46" i="75" s="1"/>
  <c r="AC21" i="75"/>
  <c r="AC46" i="75" s="1"/>
  <c r="AB21" i="75"/>
  <c r="AB46" i="75" s="1"/>
  <c r="AA21" i="75"/>
  <c r="AA46" i="75" s="1"/>
  <c r="Z21" i="75"/>
  <c r="Z46" i="75" s="1"/>
  <c r="Y21" i="75"/>
  <c r="Y46" i="75" s="1"/>
  <c r="X21" i="75"/>
  <c r="X46" i="75" s="1"/>
  <c r="W21" i="75"/>
  <c r="W46" i="75" s="1"/>
  <c r="V21" i="75"/>
  <c r="V46" i="75" s="1"/>
  <c r="U21" i="75"/>
  <c r="U46" i="75" s="1"/>
  <c r="T21" i="75"/>
  <c r="T46" i="75" s="1"/>
  <c r="S21" i="75"/>
  <c r="S46" i="75" s="1"/>
  <c r="R21" i="75"/>
  <c r="R46" i="75" s="1"/>
  <c r="Q21" i="75"/>
  <c r="Q46" i="75" s="1"/>
  <c r="P21" i="75"/>
  <c r="P46" i="75" s="1"/>
  <c r="O21" i="75"/>
  <c r="O46" i="75" s="1"/>
  <c r="N21" i="75"/>
  <c r="N46" i="75" s="1"/>
  <c r="M21" i="75"/>
  <c r="M46" i="75" s="1"/>
  <c r="L21" i="75"/>
  <c r="L46" i="75" s="1"/>
  <c r="K21" i="75"/>
  <c r="K46" i="75" s="1"/>
  <c r="J21" i="75"/>
  <c r="J46" i="75" s="1"/>
  <c r="I21" i="75"/>
  <c r="I46" i="75" s="1"/>
  <c r="H21" i="75"/>
  <c r="H46" i="75" s="1"/>
  <c r="G21" i="75"/>
  <c r="G46" i="75" s="1"/>
  <c r="F21" i="75"/>
  <c r="F46" i="75" s="1"/>
  <c r="E21" i="75"/>
  <c r="E46" i="75" s="1"/>
  <c r="D21" i="75"/>
  <c r="D46" i="75" s="1"/>
  <c r="C21" i="75"/>
  <c r="C46" i="75" s="1"/>
  <c r="AI20" i="75"/>
  <c r="AI45" i="75" s="1"/>
  <c r="AH20" i="75"/>
  <c r="AH45" i="75" s="1"/>
  <c r="AG20" i="75"/>
  <c r="AG45" i="75" s="1"/>
  <c r="AF20" i="75"/>
  <c r="AF45" i="75" s="1"/>
  <c r="AE20" i="75"/>
  <c r="AE45" i="75" s="1"/>
  <c r="AD20" i="75"/>
  <c r="AD45" i="75" s="1"/>
  <c r="AC20" i="75"/>
  <c r="AC45" i="75" s="1"/>
  <c r="AB20" i="75"/>
  <c r="AB45" i="75" s="1"/>
  <c r="AA20" i="75"/>
  <c r="AA45" i="75" s="1"/>
  <c r="Z20" i="75"/>
  <c r="Z45" i="75" s="1"/>
  <c r="Y20" i="75"/>
  <c r="Y45" i="75" s="1"/>
  <c r="X20" i="75"/>
  <c r="X45" i="75" s="1"/>
  <c r="W20" i="75"/>
  <c r="W45" i="75" s="1"/>
  <c r="V20" i="75"/>
  <c r="V45" i="75" s="1"/>
  <c r="U20" i="75"/>
  <c r="U45" i="75" s="1"/>
  <c r="T20" i="75"/>
  <c r="T45" i="75" s="1"/>
  <c r="S20" i="75"/>
  <c r="S45" i="75" s="1"/>
  <c r="R20" i="75"/>
  <c r="R45" i="75" s="1"/>
  <c r="Q20" i="75"/>
  <c r="Q45" i="75" s="1"/>
  <c r="P20" i="75"/>
  <c r="P45" i="75" s="1"/>
  <c r="O20" i="75"/>
  <c r="O45" i="75" s="1"/>
  <c r="N20" i="75"/>
  <c r="N45" i="75" s="1"/>
  <c r="M20" i="75"/>
  <c r="M45" i="75" s="1"/>
  <c r="L20" i="75"/>
  <c r="L45" i="75" s="1"/>
  <c r="K20" i="75"/>
  <c r="K45" i="75" s="1"/>
  <c r="J20" i="75"/>
  <c r="J45" i="75" s="1"/>
  <c r="I20" i="75"/>
  <c r="I45" i="75" s="1"/>
  <c r="H20" i="75"/>
  <c r="H45" i="75" s="1"/>
  <c r="G20" i="75"/>
  <c r="G45" i="75" s="1"/>
  <c r="F20" i="75"/>
  <c r="F45" i="75" s="1"/>
  <c r="E20" i="75"/>
  <c r="E45" i="75" s="1"/>
  <c r="D20" i="75"/>
  <c r="D45" i="75" s="1"/>
  <c r="C20" i="75"/>
  <c r="C45" i="75" s="1"/>
  <c r="AI17" i="75"/>
  <c r="AI42" i="75" s="1"/>
  <c r="AH17" i="75"/>
  <c r="AH42" i="75" s="1"/>
  <c r="AG17" i="75"/>
  <c r="AG42" i="75" s="1"/>
  <c r="AF17" i="75"/>
  <c r="AF42" i="75" s="1"/>
  <c r="AE17" i="75"/>
  <c r="AE42" i="75" s="1"/>
  <c r="AD17" i="75"/>
  <c r="AD42" i="75" s="1"/>
  <c r="AC17" i="75"/>
  <c r="AC42" i="75" s="1"/>
  <c r="AB17" i="75"/>
  <c r="AB42" i="75" s="1"/>
  <c r="AA17" i="75"/>
  <c r="AA42" i="75" s="1"/>
  <c r="Z17" i="75"/>
  <c r="Z42" i="75" s="1"/>
  <c r="Y17" i="75"/>
  <c r="Y42" i="75" s="1"/>
  <c r="X17" i="75"/>
  <c r="X42" i="75" s="1"/>
  <c r="W17" i="75"/>
  <c r="W42" i="75" s="1"/>
  <c r="V17" i="75"/>
  <c r="V42" i="75" s="1"/>
  <c r="U17" i="75"/>
  <c r="U42" i="75" s="1"/>
  <c r="T17" i="75"/>
  <c r="T42" i="75" s="1"/>
  <c r="S17" i="75"/>
  <c r="S42" i="75" s="1"/>
  <c r="R17" i="75"/>
  <c r="R42" i="75" s="1"/>
  <c r="Q17" i="75"/>
  <c r="Q42" i="75" s="1"/>
  <c r="P17" i="75"/>
  <c r="P42" i="75" s="1"/>
  <c r="O17" i="75"/>
  <c r="O42" i="75" s="1"/>
  <c r="N17" i="75"/>
  <c r="N42" i="75" s="1"/>
  <c r="M17" i="75"/>
  <c r="M42" i="75" s="1"/>
  <c r="L17" i="75"/>
  <c r="L42" i="75" s="1"/>
  <c r="K17" i="75"/>
  <c r="K42" i="75" s="1"/>
  <c r="J17" i="75"/>
  <c r="J42" i="75" s="1"/>
  <c r="I17" i="75"/>
  <c r="I42" i="75" s="1"/>
  <c r="H17" i="75"/>
  <c r="H42" i="75" s="1"/>
  <c r="G17" i="75"/>
  <c r="G42" i="75" s="1"/>
  <c r="F17" i="75"/>
  <c r="F42" i="75" s="1"/>
  <c r="E17" i="75"/>
  <c r="E42" i="75" s="1"/>
  <c r="D17" i="75"/>
  <c r="D42" i="75" s="1"/>
  <c r="C17" i="75"/>
  <c r="C42" i="75" s="1"/>
  <c r="AI16" i="75"/>
  <c r="AI41" i="75" s="1"/>
  <c r="AH16" i="75"/>
  <c r="AH41" i="75" s="1"/>
  <c r="AG16" i="75"/>
  <c r="AG41" i="75" s="1"/>
  <c r="AF16" i="75"/>
  <c r="AF41" i="75" s="1"/>
  <c r="AE16" i="75"/>
  <c r="AE41" i="75" s="1"/>
  <c r="AD16" i="75"/>
  <c r="AD41" i="75" s="1"/>
  <c r="AC16" i="75"/>
  <c r="AC41" i="75" s="1"/>
  <c r="AB16" i="75"/>
  <c r="AB41" i="75" s="1"/>
  <c r="AA16" i="75"/>
  <c r="AA41" i="75" s="1"/>
  <c r="Z16" i="75"/>
  <c r="Z41" i="75" s="1"/>
  <c r="Y16" i="75"/>
  <c r="Y41" i="75" s="1"/>
  <c r="X16" i="75"/>
  <c r="X41" i="75" s="1"/>
  <c r="W16" i="75"/>
  <c r="W41" i="75" s="1"/>
  <c r="V16" i="75"/>
  <c r="V41" i="75" s="1"/>
  <c r="U16" i="75"/>
  <c r="U41" i="75" s="1"/>
  <c r="T16" i="75"/>
  <c r="T41" i="75" s="1"/>
  <c r="S16" i="75"/>
  <c r="S41" i="75" s="1"/>
  <c r="R16" i="75"/>
  <c r="R41" i="75" s="1"/>
  <c r="Q16" i="75"/>
  <c r="Q41" i="75" s="1"/>
  <c r="P16" i="75"/>
  <c r="P41" i="75" s="1"/>
  <c r="O16" i="75"/>
  <c r="O41" i="75" s="1"/>
  <c r="N16" i="75"/>
  <c r="N41" i="75" s="1"/>
  <c r="M16" i="75"/>
  <c r="M41" i="75" s="1"/>
  <c r="L16" i="75"/>
  <c r="L41" i="75" s="1"/>
  <c r="K16" i="75"/>
  <c r="K41" i="75" s="1"/>
  <c r="J16" i="75"/>
  <c r="J41" i="75" s="1"/>
  <c r="I16" i="75"/>
  <c r="I41" i="75" s="1"/>
  <c r="H16" i="75"/>
  <c r="H41" i="75" s="1"/>
  <c r="G16" i="75"/>
  <c r="G41" i="75" s="1"/>
  <c r="F16" i="75"/>
  <c r="F41" i="75" s="1"/>
  <c r="E16" i="75"/>
  <c r="E41" i="75" s="1"/>
  <c r="D16" i="75"/>
  <c r="D41" i="75" s="1"/>
  <c r="C16" i="75"/>
  <c r="C41" i="75" s="1"/>
  <c r="AI9" i="75"/>
  <c r="AH9" i="75"/>
  <c r="AG9" i="75"/>
  <c r="AF9" i="75"/>
  <c r="AE9" i="75"/>
  <c r="AD9" i="75"/>
  <c r="AC9" i="75"/>
  <c r="AB9" i="75"/>
  <c r="AA9" i="75"/>
  <c r="Z9" i="75"/>
  <c r="Y9" i="75"/>
  <c r="X9" i="75"/>
  <c r="W9" i="75"/>
  <c r="V9" i="75"/>
  <c r="U9" i="75"/>
  <c r="T9" i="75"/>
  <c r="S9" i="75"/>
  <c r="R9" i="75"/>
  <c r="Q9" i="75"/>
  <c r="P9" i="75"/>
  <c r="O9" i="75"/>
  <c r="N9" i="75"/>
  <c r="M9" i="75"/>
  <c r="L9" i="75"/>
  <c r="K9" i="75"/>
  <c r="J9" i="75"/>
  <c r="I9" i="75"/>
  <c r="H9" i="75"/>
  <c r="G9" i="75"/>
  <c r="F9" i="75"/>
  <c r="E9" i="75"/>
  <c r="D9" i="75"/>
  <c r="C9" i="75"/>
  <c r="AI8" i="75"/>
  <c r="AH8" i="75"/>
  <c r="AG8" i="75"/>
  <c r="AF8" i="75"/>
  <c r="AE8" i="75"/>
  <c r="AD8" i="75"/>
  <c r="AC8" i="75"/>
  <c r="AB8" i="75"/>
  <c r="AA8" i="75"/>
  <c r="Z8" i="75"/>
  <c r="Y8" i="75"/>
  <c r="X8" i="75"/>
  <c r="W8" i="75"/>
  <c r="V8" i="75"/>
  <c r="U8" i="75"/>
  <c r="T8" i="75"/>
  <c r="S8" i="75"/>
  <c r="R8" i="75"/>
  <c r="Q8" i="75"/>
  <c r="P8" i="75"/>
  <c r="O8" i="75"/>
  <c r="N8" i="75"/>
  <c r="M8" i="75"/>
  <c r="L8" i="75"/>
  <c r="K8" i="75"/>
  <c r="J8" i="75"/>
  <c r="I8" i="75"/>
  <c r="H8" i="75"/>
  <c r="G8" i="75"/>
  <c r="F8" i="75"/>
  <c r="E8" i="75"/>
  <c r="D8" i="75"/>
  <c r="C8" i="75"/>
  <c r="AH52" i="17"/>
  <c r="AG52" i="17"/>
  <c r="AF52" i="17"/>
  <c r="AE52" i="17"/>
  <c r="AD52" i="17"/>
  <c r="AC52" i="17"/>
  <c r="AB52" i="17"/>
  <c r="AA52" i="17"/>
  <c r="Z52" i="17"/>
  <c r="Y52" i="17"/>
  <c r="X52" i="17"/>
  <c r="W52" i="17"/>
  <c r="V52" i="17"/>
  <c r="U52" i="17"/>
  <c r="T52" i="17"/>
  <c r="S52" i="17"/>
  <c r="R52" i="17"/>
  <c r="Q52" i="17"/>
  <c r="P52" i="17"/>
  <c r="O52" i="17"/>
  <c r="N52" i="17"/>
  <c r="M52" i="17"/>
  <c r="L52" i="17"/>
  <c r="K52" i="17"/>
  <c r="J52" i="17"/>
  <c r="I52" i="17"/>
  <c r="H52" i="17"/>
  <c r="G52" i="17"/>
  <c r="F52" i="17"/>
  <c r="E52" i="17"/>
  <c r="D52" i="17"/>
  <c r="C52" i="17"/>
  <c r="AH47" i="17"/>
  <c r="AG47" i="17"/>
  <c r="AF47" i="17"/>
  <c r="AE47" i="17"/>
  <c r="AD47" i="17"/>
  <c r="AC47" i="17"/>
  <c r="AB47" i="17"/>
  <c r="AA47" i="17"/>
  <c r="Z47" i="17"/>
  <c r="Y47" i="17"/>
  <c r="X47" i="17"/>
  <c r="W47" i="17"/>
  <c r="V47" i="17"/>
  <c r="U47" i="17"/>
  <c r="T47" i="17"/>
  <c r="S47" i="17"/>
  <c r="R47" i="17"/>
  <c r="Q47" i="17"/>
  <c r="P47" i="17"/>
  <c r="O47" i="17"/>
  <c r="N47" i="17"/>
  <c r="M47" i="17"/>
  <c r="L47" i="17"/>
  <c r="K47" i="17"/>
  <c r="J47" i="17"/>
  <c r="I47" i="17"/>
  <c r="H47" i="17"/>
  <c r="G47" i="17"/>
  <c r="F47" i="17"/>
  <c r="E47" i="17"/>
  <c r="D47" i="17"/>
  <c r="C47" i="17"/>
  <c r="AH46" i="17"/>
  <c r="AG46" i="17"/>
  <c r="AF46" i="17"/>
  <c r="AE46" i="17"/>
  <c r="AD46" i="17"/>
  <c r="AC46" i="17"/>
  <c r="AB46" i="17"/>
  <c r="AA46" i="17"/>
  <c r="Z46" i="17"/>
  <c r="Y46" i="17"/>
  <c r="X46" i="17"/>
  <c r="W46" i="17"/>
  <c r="V46" i="17"/>
  <c r="U46" i="17"/>
  <c r="T46" i="17"/>
  <c r="S46" i="17"/>
  <c r="R46" i="17"/>
  <c r="Q46" i="17"/>
  <c r="P46" i="17"/>
  <c r="O46" i="17"/>
  <c r="N46" i="17"/>
  <c r="M46" i="17"/>
  <c r="L46" i="17"/>
  <c r="K46" i="17"/>
  <c r="J46" i="17"/>
  <c r="I46" i="17"/>
  <c r="H46" i="17"/>
  <c r="G46" i="17"/>
  <c r="F46" i="17"/>
  <c r="E46" i="17"/>
  <c r="D46" i="17"/>
  <c r="C46" i="17"/>
  <c r="AH45" i="17"/>
  <c r="AG45" i="17"/>
  <c r="AF45" i="17"/>
  <c r="AE45" i="17"/>
  <c r="AD45" i="17"/>
  <c r="AC45" i="17"/>
  <c r="AB45" i="17"/>
  <c r="AA45" i="17"/>
  <c r="Z45" i="17"/>
  <c r="Y45" i="17"/>
  <c r="X45" i="17"/>
  <c r="W45" i="17"/>
  <c r="V45" i="17"/>
  <c r="U45" i="17"/>
  <c r="T45" i="17"/>
  <c r="S45" i="17"/>
  <c r="R45" i="17"/>
  <c r="Q45" i="17"/>
  <c r="P45" i="17"/>
  <c r="O45" i="17"/>
  <c r="N45" i="17"/>
  <c r="M45" i="17"/>
  <c r="L45" i="17"/>
  <c r="K45" i="17"/>
  <c r="J45" i="17"/>
  <c r="I45" i="17"/>
  <c r="H45" i="17"/>
  <c r="G45" i="17"/>
  <c r="F45" i="17"/>
  <c r="E45" i="17"/>
  <c r="D45" i="17"/>
  <c r="C45" i="17"/>
  <c r="AH26" i="17"/>
  <c r="AG26" i="17"/>
  <c r="AF26" i="17"/>
  <c r="AE26" i="17"/>
  <c r="AD26" i="17"/>
  <c r="AC26" i="17"/>
  <c r="AB26" i="17"/>
  <c r="AA26" i="17"/>
  <c r="Z26" i="17"/>
  <c r="Y26" i="17"/>
  <c r="X26" i="17"/>
  <c r="W26" i="17"/>
  <c r="V26" i="17"/>
  <c r="U26" i="17"/>
  <c r="T26" i="17"/>
  <c r="S26" i="17"/>
  <c r="R26" i="17"/>
  <c r="Q26" i="17"/>
  <c r="P26" i="17"/>
  <c r="O26" i="17"/>
  <c r="N26" i="17"/>
  <c r="M26" i="17"/>
  <c r="L26" i="17"/>
  <c r="K26" i="17"/>
  <c r="J26" i="17"/>
  <c r="I26" i="17"/>
  <c r="H26" i="17"/>
  <c r="G26" i="17"/>
  <c r="F26" i="17"/>
  <c r="E26" i="17"/>
  <c r="D26" i="17"/>
  <c r="C26" i="17"/>
  <c r="AH16" i="17"/>
  <c r="AG16" i="17"/>
  <c r="AF16" i="17"/>
  <c r="AE16" i="17"/>
  <c r="AD16" i="17"/>
  <c r="AC16" i="17"/>
  <c r="AB16" i="17"/>
  <c r="AA16" i="17"/>
  <c r="Z16" i="17"/>
  <c r="Y16" i="17"/>
  <c r="X16" i="17"/>
  <c r="W16" i="17"/>
  <c r="V16" i="17"/>
  <c r="U16" i="17"/>
  <c r="T16" i="17"/>
  <c r="S16" i="17"/>
  <c r="R16" i="17"/>
  <c r="Q16" i="17"/>
  <c r="P16" i="17"/>
  <c r="O16" i="17"/>
  <c r="N16" i="17"/>
  <c r="M16" i="17"/>
  <c r="L16" i="17"/>
  <c r="K16" i="17"/>
  <c r="J16" i="17"/>
  <c r="I16" i="17"/>
  <c r="H16" i="17"/>
  <c r="G16" i="17"/>
  <c r="F16" i="17"/>
  <c r="E16" i="17"/>
  <c r="D16" i="17"/>
  <c r="C16" i="17"/>
  <c r="AJ24" i="20" l="1"/>
  <c r="AI24" i="20"/>
  <c r="AH24" i="20"/>
  <c r="AG24" i="20"/>
  <c r="AF24" i="20"/>
  <c r="AE24" i="20"/>
  <c r="AD24" i="20"/>
  <c r="AC24" i="20"/>
  <c r="AB24" i="20"/>
  <c r="AA24" i="20"/>
  <c r="Z24" i="20"/>
  <c r="Y24" i="20"/>
  <c r="X24" i="20"/>
  <c r="W24" i="20"/>
  <c r="V24" i="20"/>
  <c r="U24" i="20"/>
  <c r="T24" i="20"/>
  <c r="S24" i="20"/>
  <c r="R24" i="20"/>
  <c r="Q24" i="20"/>
  <c r="P24" i="20"/>
  <c r="O24" i="20"/>
  <c r="N24" i="20"/>
  <c r="M24" i="20"/>
  <c r="L24" i="20"/>
  <c r="K24" i="20"/>
  <c r="J24" i="20"/>
  <c r="I24" i="20"/>
  <c r="H24" i="20"/>
  <c r="G24" i="20"/>
  <c r="F24" i="20"/>
  <c r="E24" i="20"/>
  <c r="D24" i="20"/>
  <c r="AJ23" i="20"/>
  <c r="AI23" i="20"/>
  <c r="AH23" i="20"/>
  <c r="AG23" i="20"/>
  <c r="AF23" i="20"/>
  <c r="AE23" i="20"/>
  <c r="AD23" i="20"/>
  <c r="AC23" i="20"/>
  <c r="AB23" i="20"/>
  <c r="AA23" i="20"/>
  <c r="Z23" i="20"/>
  <c r="Y23" i="20"/>
  <c r="X23" i="20"/>
  <c r="W23" i="20"/>
  <c r="V23" i="20"/>
  <c r="U23" i="20"/>
  <c r="T23" i="20"/>
  <c r="S23" i="20"/>
  <c r="R23" i="20"/>
  <c r="Q23" i="20"/>
  <c r="P23" i="20"/>
  <c r="O23" i="20"/>
  <c r="N23" i="20"/>
  <c r="M23" i="20"/>
  <c r="L23" i="20"/>
  <c r="K23" i="20"/>
  <c r="J23" i="20"/>
  <c r="I23" i="20"/>
  <c r="H23" i="20"/>
  <c r="G23" i="20"/>
  <c r="F23" i="20"/>
  <c r="E23" i="20"/>
  <c r="D23" i="20"/>
  <c r="AJ22" i="20"/>
  <c r="AI22" i="20"/>
  <c r="AH22" i="20"/>
  <c r="AG22" i="20"/>
  <c r="AF22" i="20"/>
  <c r="AE22" i="20"/>
  <c r="AD22" i="20"/>
  <c r="AC22" i="20"/>
  <c r="AB22" i="20"/>
  <c r="AA22" i="20"/>
  <c r="Z22" i="20"/>
  <c r="Y22" i="20"/>
  <c r="X22" i="20"/>
  <c r="W22" i="20"/>
  <c r="V22" i="20"/>
  <c r="U22" i="20"/>
  <c r="T22" i="20"/>
  <c r="S22" i="20"/>
  <c r="R22" i="20"/>
  <c r="Q22" i="20"/>
  <c r="P22" i="20"/>
  <c r="O22" i="20"/>
  <c r="N22" i="20"/>
  <c r="M22" i="20"/>
  <c r="L22" i="20"/>
  <c r="K22" i="20"/>
  <c r="J22" i="20"/>
  <c r="I22" i="20"/>
  <c r="H22" i="20"/>
  <c r="G22" i="20"/>
  <c r="F22" i="20"/>
  <c r="E22" i="20"/>
  <c r="D22" i="20"/>
  <c r="AJ21" i="20"/>
  <c r="AI21" i="20"/>
  <c r="AH21" i="20"/>
  <c r="AG21" i="20"/>
  <c r="AF21" i="20"/>
  <c r="AE21" i="20"/>
  <c r="AD21" i="20"/>
  <c r="AC21" i="20"/>
  <c r="AB21" i="20"/>
  <c r="AA21" i="20"/>
  <c r="Z21" i="20"/>
  <c r="Y21" i="20"/>
  <c r="X21" i="20"/>
  <c r="W21" i="20"/>
  <c r="V21" i="20"/>
  <c r="U21" i="20"/>
  <c r="T21" i="20"/>
  <c r="S21" i="20"/>
  <c r="R21" i="20"/>
  <c r="Q21" i="20"/>
  <c r="P21" i="20"/>
  <c r="O21" i="20"/>
  <c r="N21" i="20"/>
  <c r="M21" i="20"/>
  <c r="L21" i="20"/>
  <c r="K21" i="20"/>
  <c r="J21" i="20"/>
  <c r="I21" i="20"/>
  <c r="H21" i="20"/>
  <c r="G21" i="20"/>
  <c r="F21" i="20"/>
  <c r="E21" i="20"/>
  <c r="D21" i="20"/>
  <c r="AJ20" i="20"/>
  <c r="AI20" i="20"/>
  <c r="AH20" i="20"/>
  <c r="AG20" i="20"/>
  <c r="AF20" i="20"/>
  <c r="AE20" i="20"/>
  <c r="AD20" i="20"/>
  <c r="AC20" i="20"/>
  <c r="AB20" i="20"/>
  <c r="AA20" i="20"/>
  <c r="Z20" i="20"/>
  <c r="Y20" i="20"/>
  <c r="X20" i="20"/>
  <c r="W20" i="20"/>
  <c r="V20" i="20"/>
  <c r="U20" i="20"/>
  <c r="T20" i="20"/>
  <c r="S20" i="20"/>
  <c r="R20" i="20"/>
  <c r="Q20" i="20"/>
  <c r="P20" i="20"/>
  <c r="O20" i="20"/>
  <c r="N20" i="20"/>
  <c r="M20" i="20"/>
  <c r="L20" i="20"/>
  <c r="K20" i="20"/>
  <c r="J20" i="20"/>
  <c r="I20" i="20"/>
  <c r="H20" i="20"/>
  <c r="G20" i="20"/>
  <c r="F20" i="20"/>
  <c r="E20" i="20"/>
  <c r="D20" i="20"/>
  <c r="AJ19" i="20"/>
  <c r="AI19" i="20"/>
  <c r="AH19" i="20"/>
  <c r="AG19" i="20"/>
  <c r="AF19" i="20"/>
  <c r="AE19" i="20"/>
  <c r="AD19" i="20"/>
  <c r="AC19" i="20"/>
  <c r="AB19" i="20"/>
  <c r="AA19" i="20"/>
  <c r="Z19" i="20"/>
  <c r="Y19" i="20"/>
  <c r="X19" i="20"/>
  <c r="W19" i="20"/>
  <c r="V19" i="20"/>
  <c r="U19" i="20"/>
  <c r="T19" i="20"/>
  <c r="S19" i="20"/>
  <c r="R19" i="20"/>
  <c r="Q19" i="20"/>
  <c r="P19" i="20"/>
  <c r="O19" i="20"/>
  <c r="N19" i="20"/>
  <c r="M19" i="20"/>
  <c r="L19" i="20"/>
  <c r="K19" i="20"/>
  <c r="J19" i="20"/>
  <c r="I19" i="20"/>
  <c r="H19" i="20"/>
  <c r="G19" i="20"/>
  <c r="F19" i="20"/>
  <c r="E19" i="20"/>
  <c r="D19" i="20"/>
  <c r="AJ17" i="20"/>
  <c r="AI17" i="20"/>
  <c r="AH17" i="20"/>
  <c r="AG17" i="20"/>
  <c r="AF17" i="20"/>
  <c r="AE17" i="20"/>
  <c r="AD17" i="20"/>
  <c r="AC17" i="20"/>
  <c r="AB17" i="20"/>
  <c r="AA17" i="20"/>
  <c r="Z17" i="20"/>
  <c r="Y17" i="20"/>
  <c r="X17" i="20"/>
  <c r="W17" i="20"/>
  <c r="V17" i="20"/>
  <c r="U17" i="20"/>
  <c r="T17" i="20"/>
  <c r="S17" i="20"/>
  <c r="R17" i="20"/>
  <c r="Q17" i="20"/>
  <c r="P17" i="20"/>
  <c r="O17" i="20"/>
  <c r="N17" i="20"/>
  <c r="M17" i="20"/>
  <c r="L17" i="20"/>
  <c r="K17" i="20"/>
  <c r="J17" i="20"/>
  <c r="I17" i="20"/>
  <c r="H17" i="20"/>
  <c r="G17" i="20"/>
  <c r="F17" i="20"/>
  <c r="E17" i="20"/>
  <c r="D17" i="20"/>
  <c r="AJ16" i="20"/>
  <c r="AI16" i="20"/>
  <c r="AH16" i="20"/>
  <c r="AG16" i="20"/>
  <c r="AF16" i="20"/>
  <c r="AE16" i="20"/>
  <c r="AD16" i="20"/>
  <c r="AC16" i="20"/>
  <c r="AB16" i="20"/>
  <c r="AA16" i="20"/>
  <c r="Z16" i="20"/>
  <c r="Y16" i="20"/>
  <c r="X16" i="20"/>
  <c r="W16" i="20"/>
  <c r="V16" i="20"/>
  <c r="U16" i="20"/>
  <c r="T16" i="20"/>
  <c r="S16" i="20"/>
  <c r="R16" i="20"/>
  <c r="Q16" i="20"/>
  <c r="P16" i="20"/>
  <c r="O16" i="20"/>
  <c r="N16" i="20"/>
  <c r="M16" i="20"/>
  <c r="L16" i="20"/>
  <c r="K16" i="20"/>
  <c r="J16" i="20"/>
  <c r="I16" i="20"/>
  <c r="H16" i="20"/>
  <c r="G16" i="20"/>
  <c r="F16" i="20"/>
  <c r="E16" i="20"/>
  <c r="D16" i="20"/>
  <c r="AJ15" i="20"/>
  <c r="AI15" i="20"/>
  <c r="AH15" i="20"/>
  <c r="AG15" i="20"/>
  <c r="AF15" i="20"/>
  <c r="AE15" i="20"/>
  <c r="AD15" i="20"/>
  <c r="AC15" i="20"/>
  <c r="AB15" i="20"/>
  <c r="AA15" i="20"/>
  <c r="Z15" i="20"/>
  <c r="Y15" i="20"/>
  <c r="X15" i="20"/>
  <c r="W15" i="20"/>
  <c r="V15" i="20"/>
  <c r="U15" i="20"/>
  <c r="T15" i="20"/>
  <c r="S15" i="20"/>
  <c r="R15" i="20"/>
  <c r="Q15" i="20"/>
  <c r="P15" i="20"/>
  <c r="O15" i="20"/>
  <c r="N15" i="20"/>
  <c r="M15" i="20"/>
  <c r="L15" i="20"/>
  <c r="K15" i="20"/>
  <c r="J15" i="20"/>
  <c r="I15" i="20"/>
  <c r="H15" i="20"/>
  <c r="G15" i="20"/>
  <c r="F15" i="20"/>
  <c r="E15" i="20"/>
  <c r="D15" i="20"/>
  <c r="AJ14" i="20"/>
  <c r="AI14" i="20"/>
  <c r="AH14" i="20"/>
  <c r="AG14" i="20"/>
  <c r="AF14" i="20"/>
  <c r="AE14" i="20"/>
  <c r="AD14" i="20"/>
  <c r="AC14" i="20"/>
  <c r="AB14" i="20"/>
  <c r="AA14" i="20"/>
  <c r="Z14" i="20"/>
  <c r="Y14" i="20"/>
  <c r="X14" i="20"/>
  <c r="W14" i="20"/>
  <c r="V14" i="20"/>
  <c r="U14" i="20"/>
  <c r="T14" i="20"/>
  <c r="S14" i="20"/>
  <c r="R14" i="20"/>
  <c r="Q14" i="20"/>
  <c r="P14" i="20"/>
  <c r="O14" i="20"/>
  <c r="N14" i="20"/>
  <c r="M14" i="20"/>
  <c r="L14" i="20"/>
  <c r="K14" i="20"/>
  <c r="J14" i="20"/>
  <c r="I14" i="20"/>
  <c r="H14" i="20"/>
  <c r="G14" i="20"/>
  <c r="F14" i="20"/>
  <c r="E14" i="20"/>
  <c r="D14" i="20"/>
  <c r="AJ13" i="20"/>
  <c r="AI13" i="20"/>
  <c r="AH13" i="20"/>
  <c r="AG13" i="20"/>
  <c r="AF13" i="20"/>
  <c r="AE13" i="20"/>
  <c r="AD13" i="20"/>
  <c r="AC13" i="20"/>
  <c r="AB13" i="20"/>
  <c r="AA13" i="20"/>
  <c r="Z13" i="20"/>
  <c r="Y13" i="20"/>
  <c r="X13" i="20"/>
  <c r="W13" i="20"/>
  <c r="V13" i="20"/>
  <c r="U13" i="20"/>
  <c r="T13" i="20"/>
  <c r="S13" i="20"/>
  <c r="R13" i="20"/>
  <c r="Q13" i="20"/>
  <c r="P13" i="20"/>
  <c r="O13" i="20"/>
  <c r="N13" i="20"/>
  <c r="M13" i="20"/>
  <c r="L13" i="20"/>
  <c r="K13" i="20"/>
  <c r="J13" i="20"/>
  <c r="I13" i="20"/>
  <c r="H13" i="20"/>
  <c r="G13" i="20"/>
  <c r="F13" i="20"/>
  <c r="E13" i="20"/>
  <c r="D13" i="20"/>
  <c r="AJ12" i="20"/>
  <c r="AI12" i="20"/>
  <c r="AH12" i="20"/>
  <c r="AG12" i="20"/>
  <c r="AF12" i="20"/>
  <c r="AE12" i="20"/>
  <c r="AD12" i="20"/>
  <c r="AC12" i="20"/>
  <c r="AB12" i="20"/>
  <c r="AA12" i="20"/>
  <c r="Z12" i="20"/>
  <c r="Y12" i="20"/>
  <c r="X12" i="20"/>
  <c r="W12" i="20"/>
  <c r="V12" i="20"/>
  <c r="U12" i="20"/>
  <c r="T12" i="20"/>
  <c r="S12" i="20"/>
  <c r="R12" i="20"/>
  <c r="Q12" i="20"/>
  <c r="P12" i="20"/>
  <c r="O12" i="20"/>
  <c r="N12" i="20"/>
  <c r="M12" i="20"/>
  <c r="L12" i="20"/>
  <c r="K12" i="20"/>
  <c r="J12" i="20"/>
  <c r="I12" i="20"/>
  <c r="H12" i="20"/>
  <c r="G12" i="20"/>
  <c r="F12" i="20"/>
  <c r="E12" i="20"/>
  <c r="D12" i="20"/>
  <c r="AJ11" i="20"/>
  <c r="AI11" i="20"/>
  <c r="AH11" i="20"/>
  <c r="AG11" i="20"/>
  <c r="AF11" i="20"/>
  <c r="AE11" i="20"/>
  <c r="AD11" i="20"/>
  <c r="AC11" i="20"/>
  <c r="AB11" i="20"/>
  <c r="AA11" i="20"/>
  <c r="Z11" i="20"/>
  <c r="Y11" i="20"/>
  <c r="X11" i="20"/>
  <c r="W11" i="20"/>
  <c r="V11" i="20"/>
  <c r="U11" i="20"/>
  <c r="T11" i="20"/>
  <c r="S11" i="20"/>
  <c r="R11" i="20"/>
  <c r="Q11" i="20"/>
  <c r="P11" i="20"/>
  <c r="O11" i="20"/>
  <c r="N11" i="20"/>
  <c r="M11" i="20"/>
  <c r="L11" i="20"/>
  <c r="K11" i="20"/>
  <c r="J11" i="20"/>
  <c r="I11" i="20"/>
  <c r="H11" i="20"/>
  <c r="G11" i="20"/>
  <c r="F11" i="20"/>
  <c r="E11" i="20"/>
  <c r="D11" i="20"/>
  <c r="AJ10" i="20"/>
  <c r="AI10" i="20"/>
  <c r="AH10" i="20"/>
  <c r="AG10" i="20"/>
  <c r="AF10" i="20"/>
  <c r="AE10" i="20"/>
  <c r="AD10" i="20"/>
  <c r="AC10" i="20"/>
  <c r="AB10" i="20"/>
  <c r="AA10" i="20"/>
  <c r="Z10" i="20"/>
  <c r="Y10" i="20"/>
  <c r="X10" i="20"/>
  <c r="W10" i="20"/>
  <c r="V10" i="20"/>
  <c r="U10" i="20"/>
  <c r="T10" i="20"/>
  <c r="S10" i="20"/>
  <c r="R10" i="20"/>
  <c r="Q10" i="20"/>
  <c r="P10" i="20"/>
  <c r="O10" i="20"/>
  <c r="N10" i="20"/>
  <c r="M10" i="20"/>
  <c r="L10" i="20"/>
  <c r="K10" i="20"/>
  <c r="J10" i="20"/>
  <c r="I10" i="20"/>
  <c r="H10" i="20"/>
  <c r="G10" i="20"/>
  <c r="F10" i="20"/>
  <c r="E10" i="20"/>
  <c r="D10" i="20"/>
  <c r="AJ9" i="20"/>
  <c r="AI9" i="20"/>
  <c r="AH9" i="20"/>
  <c r="AG9" i="20"/>
  <c r="AF9" i="20"/>
  <c r="AE9" i="20"/>
  <c r="AD9" i="20"/>
  <c r="AC9" i="20"/>
  <c r="AB9" i="20"/>
  <c r="AA9" i="20"/>
  <c r="Z9" i="20"/>
  <c r="Y9" i="20"/>
  <c r="X9" i="20"/>
  <c r="W9" i="20"/>
  <c r="V9" i="20"/>
  <c r="U9" i="20"/>
  <c r="T9" i="20"/>
  <c r="S9" i="20"/>
  <c r="R9" i="20"/>
  <c r="Q9" i="20"/>
  <c r="P9" i="20"/>
  <c r="O9" i="20"/>
  <c r="N9" i="20"/>
  <c r="M9" i="20"/>
  <c r="L9" i="20"/>
  <c r="K9" i="20"/>
  <c r="J9" i="20"/>
  <c r="I9" i="20"/>
  <c r="H9" i="20"/>
  <c r="G9" i="20"/>
  <c r="F9" i="20"/>
  <c r="E9" i="20"/>
  <c r="D9" i="20"/>
  <c r="AI32" i="17" l="1"/>
  <c r="AH32" i="17"/>
  <c r="AG32" i="17"/>
  <c r="AF32" i="17"/>
  <c r="AE32" i="17"/>
  <c r="AD32" i="17"/>
  <c r="AC32" i="17"/>
  <c r="AB32" i="17"/>
  <c r="AA32" i="17"/>
  <c r="Z32" i="17"/>
  <c r="Y32" i="17"/>
  <c r="X32" i="17"/>
  <c r="W32" i="17"/>
  <c r="V32" i="17"/>
  <c r="U32" i="17"/>
  <c r="T32" i="17"/>
  <c r="S32" i="17"/>
  <c r="R32" i="17"/>
  <c r="Q32" i="17"/>
  <c r="P32" i="17"/>
  <c r="O32" i="17"/>
  <c r="N32" i="17"/>
  <c r="M32" i="17"/>
  <c r="L32" i="17"/>
  <c r="K32" i="17"/>
  <c r="J32" i="17"/>
  <c r="I32" i="17"/>
  <c r="H32" i="17"/>
  <c r="G32" i="17"/>
  <c r="F32" i="17"/>
  <c r="E32" i="17"/>
  <c r="D32" i="17"/>
  <c r="C32" i="17"/>
  <c r="AI31" i="17"/>
  <c r="AH31" i="17"/>
  <c r="AG31" i="17"/>
  <c r="AF31" i="17"/>
  <c r="AE31" i="17"/>
  <c r="AD31" i="17"/>
  <c r="AC31" i="17"/>
  <c r="AB31" i="17"/>
  <c r="AA31" i="17"/>
  <c r="Z31" i="17"/>
  <c r="Y31" i="17"/>
  <c r="X31" i="17"/>
  <c r="W31" i="17"/>
  <c r="V31" i="17"/>
  <c r="U31" i="17"/>
  <c r="T31" i="17"/>
  <c r="S31" i="17"/>
  <c r="R31" i="17"/>
  <c r="Q31" i="17"/>
  <c r="P31" i="17"/>
  <c r="O31" i="17"/>
  <c r="N31" i="17"/>
  <c r="M31" i="17"/>
  <c r="L31" i="17"/>
  <c r="K31" i="17"/>
  <c r="J31" i="17"/>
  <c r="I31" i="17"/>
  <c r="H31" i="17"/>
  <c r="G31" i="17"/>
  <c r="F31" i="17"/>
  <c r="E31" i="17"/>
  <c r="D31" i="17"/>
  <c r="C31" i="17"/>
  <c r="AI15" i="17"/>
  <c r="AH15" i="17"/>
  <c r="AG15" i="17"/>
  <c r="AF15" i="17"/>
  <c r="AE15" i="17"/>
  <c r="AD15" i="17"/>
  <c r="AC15" i="17"/>
  <c r="AB15" i="17"/>
  <c r="AA15" i="17"/>
  <c r="Z15" i="17"/>
  <c r="Y15" i="17"/>
  <c r="X15" i="17"/>
  <c r="W15" i="17"/>
  <c r="V15" i="17"/>
  <c r="U15" i="17"/>
  <c r="T15" i="17"/>
  <c r="S15" i="17"/>
  <c r="R15" i="17"/>
  <c r="Q15" i="17"/>
  <c r="P15" i="17"/>
  <c r="O15" i="17"/>
  <c r="N15" i="17"/>
  <c r="M15" i="17"/>
  <c r="L15" i="17"/>
  <c r="K15" i="17"/>
  <c r="J15" i="17"/>
  <c r="I15" i="17"/>
  <c r="H15" i="17"/>
  <c r="G15" i="17"/>
  <c r="F15" i="17"/>
  <c r="E15" i="17"/>
  <c r="D15" i="17"/>
  <c r="C15" i="17"/>
  <c r="AJ9" i="94"/>
  <c r="AI9" i="94"/>
  <c r="AH9" i="94"/>
  <c r="AG9" i="94"/>
  <c r="AF9" i="94"/>
  <c r="AE9" i="94"/>
  <c r="AD9" i="94"/>
  <c r="AC9" i="94"/>
  <c r="AB9" i="94"/>
  <c r="AA9" i="94"/>
  <c r="Z9" i="94"/>
  <c r="Y9" i="94"/>
  <c r="X9" i="94"/>
  <c r="W9" i="94"/>
  <c r="V9" i="94"/>
  <c r="U9" i="94"/>
  <c r="T9" i="94"/>
  <c r="S9" i="94"/>
  <c r="R9" i="94"/>
  <c r="Q9" i="94"/>
  <c r="P9" i="94"/>
  <c r="O9" i="94"/>
  <c r="N9" i="94"/>
  <c r="M9" i="94"/>
  <c r="L9" i="94"/>
  <c r="K9" i="94"/>
  <c r="J9" i="94"/>
  <c r="I9" i="94"/>
  <c r="H9" i="94"/>
  <c r="G9" i="94"/>
  <c r="F9" i="94"/>
  <c r="E9" i="94"/>
  <c r="D9" i="94"/>
  <c r="AJ8" i="94"/>
  <c r="AI8" i="94"/>
  <c r="AH8" i="94"/>
  <c r="AG8" i="94"/>
  <c r="AF8" i="94"/>
  <c r="AE8" i="94"/>
  <c r="AD8" i="94"/>
  <c r="AC8" i="94"/>
  <c r="AB8" i="94"/>
  <c r="AA8" i="94"/>
  <c r="Z8" i="94"/>
  <c r="Y8" i="94"/>
  <c r="X8" i="94"/>
  <c r="W8" i="94"/>
  <c r="V8" i="94"/>
  <c r="U8" i="94"/>
  <c r="T8" i="94"/>
  <c r="S8" i="94"/>
  <c r="R8" i="94"/>
  <c r="Q8" i="94"/>
  <c r="P8" i="94"/>
  <c r="O8" i="94"/>
  <c r="N8" i="94"/>
  <c r="M8" i="94"/>
  <c r="L8" i="94"/>
  <c r="K8" i="94"/>
  <c r="J8" i="94"/>
  <c r="I8" i="94"/>
  <c r="H8" i="94"/>
  <c r="G8" i="94"/>
  <c r="F8" i="94"/>
  <c r="E8" i="94"/>
  <c r="D8" i="94"/>
  <c r="AJ7" i="94"/>
  <c r="AI7" i="94"/>
  <c r="AH7" i="94"/>
  <c r="AG7" i="94"/>
  <c r="AF7" i="94"/>
  <c r="AE7" i="94"/>
  <c r="AD7" i="94"/>
  <c r="AC7" i="94"/>
  <c r="AB7" i="94"/>
  <c r="AA7" i="94"/>
  <c r="Z7" i="94"/>
  <c r="Y7" i="94"/>
  <c r="X7" i="94"/>
  <c r="W7" i="94"/>
  <c r="V7" i="94"/>
  <c r="U7" i="94"/>
  <c r="T7" i="94"/>
  <c r="S7" i="94"/>
  <c r="R7" i="94"/>
  <c r="Q7" i="94"/>
  <c r="P7" i="94"/>
  <c r="O7" i="94"/>
  <c r="N7" i="94"/>
  <c r="M7" i="94"/>
  <c r="L7" i="94"/>
  <c r="K7" i="94"/>
  <c r="J7" i="94"/>
  <c r="I7" i="94"/>
  <c r="H7" i="94"/>
  <c r="G7" i="94"/>
  <c r="F7" i="94"/>
  <c r="E7" i="94"/>
  <c r="D7" i="94"/>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AK71" i="2"/>
  <c r="AJ71" i="2"/>
  <c r="AI71" i="2"/>
  <c r="AH71" i="2"/>
  <c r="AG71" i="2"/>
  <c r="AF71" i="2"/>
  <c r="AE71" i="2"/>
  <c r="AD71" i="2"/>
  <c r="AC71" i="2"/>
  <c r="AB71" i="2"/>
  <c r="AA71" i="2"/>
  <c r="Z71" i="2"/>
  <c r="Y71" i="2"/>
  <c r="X71" i="2"/>
  <c r="W71" i="2"/>
  <c r="V71" i="2"/>
  <c r="U71" i="2"/>
  <c r="T71" i="2"/>
  <c r="S71" i="2"/>
  <c r="R71" i="2"/>
  <c r="Q71" i="2"/>
  <c r="P71" i="2"/>
  <c r="O71" i="2"/>
  <c r="N71" i="2"/>
  <c r="M71" i="2"/>
  <c r="L71" i="2"/>
  <c r="K71" i="2"/>
  <c r="J71" i="2"/>
  <c r="I71" i="2"/>
  <c r="H71" i="2"/>
  <c r="G71" i="2"/>
  <c r="F71" i="2"/>
  <c r="E71" i="2"/>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AK70" i="2"/>
  <c r="AJ70" i="2"/>
  <c r="AI70" i="2"/>
  <c r="AH70" i="2"/>
  <c r="AG70" i="2"/>
  <c r="AF70" i="2"/>
  <c r="AE70" i="2"/>
  <c r="AD70" i="2"/>
  <c r="AC70" i="2"/>
  <c r="AB70" i="2"/>
  <c r="AA70" i="2"/>
  <c r="Z70" i="2"/>
  <c r="Y70" i="2"/>
  <c r="X70" i="2"/>
  <c r="W70" i="2"/>
  <c r="V70" i="2"/>
  <c r="U70" i="2"/>
  <c r="T70" i="2"/>
  <c r="S70" i="2"/>
  <c r="R70" i="2"/>
  <c r="Q70" i="2"/>
  <c r="P70" i="2"/>
  <c r="O70" i="2"/>
  <c r="N70" i="2"/>
  <c r="M70" i="2"/>
  <c r="L70" i="2"/>
  <c r="K70" i="2"/>
  <c r="J70" i="2"/>
  <c r="I70" i="2"/>
  <c r="H70" i="2"/>
  <c r="G70" i="2"/>
  <c r="F70" i="2"/>
  <c r="E70" i="2"/>
  <c r="AK69" i="2"/>
  <c r="AJ69" i="2"/>
  <c r="AI69" i="2"/>
  <c r="AH69" i="2"/>
  <c r="AG69" i="2"/>
  <c r="AF69" i="2"/>
  <c r="AE69" i="2"/>
  <c r="AD69" i="2"/>
  <c r="AC69" i="2"/>
  <c r="AB69" i="2"/>
  <c r="AA69" i="2"/>
  <c r="Z69" i="2"/>
  <c r="Y69" i="2"/>
  <c r="X69" i="2"/>
  <c r="W69" i="2"/>
  <c r="V69" i="2"/>
  <c r="U69" i="2"/>
  <c r="T69" i="2"/>
  <c r="S69" i="2"/>
  <c r="R69" i="2"/>
  <c r="Q69" i="2"/>
  <c r="P69" i="2"/>
  <c r="O69" i="2"/>
  <c r="N69" i="2"/>
  <c r="M69" i="2"/>
  <c r="L69" i="2"/>
  <c r="K69" i="2"/>
  <c r="J69" i="2"/>
  <c r="I69" i="2"/>
  <c r="H69" i="2"/>
  <c r="G69" i="2"/>
  <c r="F69" i="2"/>
  <c r="E69" i="2"/>
  <c r="AP19" i="5" l="1"/>
  <c r="AO19" i="5"/>
  <c r="AN19" i="5"/>
  <c r="AM19" i="5"/>
  <c r="AL19" i="5"/>
  <c r="AK19" i="5"/>
  <c r="AJ19" i="5"/>
  <c r="AI19" i="5"/>
  <c r="AH19" i="5"/>
  <c r="AG19" i="5"/>
  <c r="AF19" i="5"/>
  <c r="AE19" i="5"/>
  <c r="AD19" i="5"/>
  <c r="AC19" i="5"/>
  <c r="AB19" i="5"/>
  <c r="AA19" i="5"/>
  <c r="Z19" i="5"/>
  <c r="Y19" i="5"/>
  <c r="X19" i="5"/>
  <c r="W19" i="5"/>
  <c r="V19" i="5"/>
  <c r="U19" i="5"/>
  <c r="T19" i="5"/>
  <c r="S19" i="5"/>
  <c r="R19" i="5"/>
  <c r="Q19" i="5"/>
  <c r="P19" i="5"/>
  <c r="O19" i="5"/>
  <c r="N19" i="5"/>
  <c r="M19" i="5"/>
  <c r="L19" i="5"/>
  <c r="K19" i="5"/>
  <c r="J19" i="5"/>
  <c r="AP18" i="5"/>
  <c r="AO18" i="5"/>
  <c r="AN18"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AP17" i="5"/>
  <c r="AO17" i="5"/>
  <c r="AN17" i="5"/>
  <c r="AM17" i="5"/>
  <c r="AL17" i="5"/>
  <c r="AK17" i="5"/>
  <c r="AJ17" i="5"/>
  <c r="AI17" i="5"/>
  <c r="AH17" i="5"/>
  <c r="AG17" i="5"/>
  <c r="AF17" i="5"/>
  <c r="AE17" i="5"/>
  <c r="AD17" i="5"/>
  <c r="AC17" i="5"/>
  <c r="AB17" i="5"/>
  <c r="AA17" i="5"/>
  <c r="Z17" i="5"/>
  <c r="Y17" i="5"/>
  <c r="X17" i="5"/>
  <c r="W17" i="5"/>
  <c r="V17" i="5"/>
  <c r="U17" i="5"/>
  <c r="T17" i="5"/>
  <c r="S17" i="5"/>
  <c r="R17" i="5"/>
  <c r="Q17" i="5"/>
  <c r="P17" i="5"/>
  <c r="O17" i="5"/>
  <c r="N17" i="5"/>
  <c r="M17" i="5"/>
  <c r="L17" i="5"/>
  <c r="K17" i="5"/>
  <c r="J17" i="5"/>
  <c r="AP28" i="5"/>
  <c r="AO28" i="5"/>
  <c r="AN28" i="5"/>
  <c r="AM28" i="5"/>
  <c r="AL28" i="5"/>
  <c r="AK28" i="5"/>
  <c r="AJ28" i="5"/>
  <c r="AI28" i="5"/>
  <c r="AH28" i="5"/>
  <c r="AG28" i="5"/>
  <c r="AF28" i="5"/>
  <c r="AE28" i="5"/>
  <c r="AD28" i="5"/>
  <c r="AC28" i="5"/>
  <c r="AB28" i="5"/>
  <c r="AA28" i="5"/>
  <c r="Z28" i="5"/>
  <c r="Y28" i="5"/>
  <c r="X28" i="5"/>
  <c r="W28" i="5"/>
  <c r="V28" i="5"/>
  <c r="U28" i="5"/>
  <c r="T28" i="5"/>
  <c r="S28" i="5"/>
  <c r="R28" i="5"/>
  <c r="Q28" i="5"/>
  <c r="P28" i="5"/>
  <c r="O28" i="5"/>
  <c r="N28" i="5"/>
  <c r="M28" i="5"/>
  <c r="L28" i="5"/>
  <c r="K28" i="5"/>
  <c r="J28" i="5"/>
  <c r="AP16" i="5"/>
  <c r="AO16" i="5"/>
  <c r="AN1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AP15" i="5"/>
  <c r="AO15" i="5"/>
  <c r="AN15" i="5"/>
  <c r="AM15"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AP14" i="5"/>
  <c r="AO14" i="5"/>
  <c r="AN14" i="5"/>
  <c r="AM14" i="5"/>
  <c r="AL14" i="5"/>
  <c r="AK14" i="5"/>
  <c r="AJ14" i="5"/>
  <c r="AI14" i="5"/>
  <c r="AH14" i="5"/>
  <c r="AG14" i="5"/>
  <c r="AF14" i="5"/>
  <c r="AE14" i="5"/>
  <c r="AD14" i="5"/>
  <c r="AC14" i="5"/>
  <c r="AB14" i="5"/>
  <c r="AA14" i="5"/>
  <c r="Z14" i="5"/>
  <c r="Y14" i="5"/>
  <c r="X14" i="5"/>
  <c r="W14" i="5"/>
  <c r="V14" i="5"/>
  <c r="U14" i="5"/>
  <c r="T14" i="5"/>
  <c r="S14" i="5"/>
  <c r="R14" i="5"/>
  <c r="Q14" i="5"/>
  <c r="P14" i="5"/>
  <c r="O14" i="5"/>
  <c r="N14" i="5"/>
  <c r="M14" i="5"/>
  <c r="L14" i="5"/>
  <c r="K14" i="5"/>
  <c r="J14" i="5"/>
  <c r="AP13" i="5"/>
  <c r="AO13" i="5"/>
  <c r="AN13" i="5"/>
  <c r="AM13" i="5"/>
  <c r="AL13" i="5"/>
  <c r="AK13" i="5"/>
  <c r="AJ13" i="5"/>
  <c r="AI13" i="5"/>
  <c r="AH13" i="5"/>
  <c r="AG13" i="5"/>
  <c r="AF13" i="5"/>
  <c r="AE13" i="5"/>
  <c r="AD13" i="5"/>
  <c r="AC13" i="5"/>
  <c r="AB13" i="5"/>
  <c r="AA13" i="5"/>
  <c r="Z13" i="5"/>
  <c r="Y13" i="5"/>
  <c r="X13" i="5"/>
  <c r="W13" i="5"/>
  <c r="V13" i="5"/>
  <c r="U13" i="5"/>
  <c r="T13" i="5"/>
  <c r="S13" i="5"/>
  <c r="R13" i="5"/>
  <c r="Q13" i="5"/>
  <c r="P13" i="5"/>
  <c r="O13" i="5"/>
  <c r="N13" i="5"/>
  <c r="M13" i="5"/>
  <c r="L13" i="5"/>
  <c r="K13" i="5"/>
  <c r="J13" i="5"/>
  <c r="V18" i="21" l="1"/>
  <c r="I18" i="21"/>
  <c r="J18" i="21"/>
  <c r="AH18" i="21"/>
  <c r="H18" i="21"/>
  <c r="AF18" i="21"/>
  <c r="S18" i="21"/>
  <c r="AA18" i="21"/>
  <c r="AI18" i="21"/>
  <c r="L18" i="21"/>
  <c r="AB18" i="21"/>
  <c r="M18" i="21"/>
  <c r="Q18" i="21"/>
  <c r="F18" i="21"/>
  <c r="AD18" i="21"/>
  <c r="G18" i="21"/>
  <c r="W18" i="21"/>
  <c r="P18" i="21"/>
  <c r="AG18" i="21"/>
  <c r="R18" i="21"/>
  <c r="K18" i="21"/>
  <c r="T18" i="21"/>
  <c r="AJ18" i="21"/>
  <c r="X18" i="21" l="1"/>
  <c r="Z18" i="21"/>
  <c r="U18" i="21"/>
  <c r="D18" i="21"/>
  <c r="N18" i="21" l="1"/>
  <c r="E18" i="21"/>
  <c r="O18" i="21"/>
  <c r="Y18" i="21"/>
  <c r="AC18" i="21"/>
  <c r="AE18" i="21"/>
  <c r="AK131" i="2" l="1"/>
  <c r="AJ131" i="2"/>
  <c r="AI131" i="2"/>
  <c r="AH131" i="2"/>
  <c r="AG131" i="2"/>
  <c r="AF131" i="2"/>
  <c r="AE131" i="2"/>
  <c r="AD131" i="2"/>
  <c r="AC131" i="2"/>
  <c r="AB131" i="2"/>
  <c r="AA131" i="2"/>
  <c r="Z131" i="2"/>
  <c r="Y131" i="2"/>
  <c r="AK128" i="2"/>
  <c r="AJ128" i="2"/>
  <c r="AI128" i="2"/>
  <c r="AH128" i="2"/>
  <c r="AG128" i="2"/>
  <c r="AF128" i="2"/>
  <c r="AE128" i="2"/>
  <c r="AD128" i="2"/>
  <c r="AC128" i="2"/>
  <c r="AB128" i="2"/>
  <c r="AA128" i="2"/>
  <c r="Z128" i="2"/>
  <c r="Y128" i="2"/>
  <c r="AL691" i="97" l="1"/>
  <c r="AK691" i="97"/>
  <c r="AJ691" i="97"/>
  <c r="AI691" i="97"/>
  <c r="AH691" i="97"/>
  <c r="AG691" i="97"/>
  <c r="AF691" i="97"/>
  <c r="AE691" i="97"/>
  <c r="AD691" i="97"/>
  <c r="AC691" i="97"/>
  <c r="AB691" i="97"/>
  <c r="AA691" i="97"/>
  <c r="Z691" i="97"/>
  <c r="Y691" i="97"/>
  <c r="X691" i="97"/>
  <c r="W691" i="97"/>
  <c r="V691" i="97"/>
  <c r="U691" i="97"/>
  <c r="T691" i="97"/>
  <c r="S691" i="97"/>
  <c r="R691" i="97"/>
  <c r="Q691" i="97"/>
  <c r="P691" i="97"/>
  <c r="O691" i="97"/>
  <c r="N691" i="97"/>
  <c r="M691" i="97"/>
  <c r="L691" i="97"/>
  <c r="K691" i="97"/>
  <c r="J691" i="97"/>
  <c r="I691" i="97"/>
  <c r="H691" i="97"/>
  <c r="G691" i="97"/>
  <c r="F691" i="97"/>
  <c r="AL689" i="97"/>
  <c r="AK689" i="97"/>
  <c r="AJ689" i="97"/>
  <c r="AI689" i="97"/>
  <c r="AH689" i="97"/>
  <c r="AG689" i="97"/>
  <c r="AF689" i="97"/>
  <c r="AE689" i="97"/>
  <c r="AD689" i="97"/>
  <c r="AC689" i="97"/>
  <c r="AB689" i="97"/>
  <c r="AA689" i="97"/>
  <c r="Z689" i="97"/>
  <c r="Y689" i="97"/>
  <c r="X689" i="97"/>
  <c r="W689" i="97"/>
  <c r="V689" i="97"/>
  <c r="U689" i="97"/>
  <c r="T689" i="97"/>
  <c r="S689" i="97"/>
  <c r="R689" i="97"/>
  <c r="Q689" i="97"/>
  <c r="P689" i="97"/>
  <c r="O689" i="97"/>
  <c r="N689" i="97"/>
  <c r="M689" i="97"/>
  <c r="L689" i="97"/>
  <c r="K689" i="97"/>
  <c r="J689" i="97"/>
  <c r="I689" i="97"/>
  <c r="H689" i="97"/>
  <c r="G689" i="97"/>
  <c r="F689" i="97"/>
  <c r="F55" i="5"/>
  <c r="F33" i="5"/>
  <c r="F24" i="5"/>
  <c r="D57" i="5" l="1"/>
  <c r="D54" i="5"/>
  <c r="D50" i="5"/>
  <c r="D49" i="5"/>
  <c r="D47" i="5"/>
  <c r="AK9" i="44" l="1"/>
  <c r="AJ9" i="44"/>
  <c r="AI9" i="44"/>
  <c r="AH9" i="44"/>
  <c r="AG9" i="44"/>
  <c r="AF9" i="44"/>
  <c r="AE9" i="44"/>
  <c r="AD9" i="44"/>
  <c r="AC9" i="44"/>
  <c r="AB9" i="44"/>
  <c r="AA9" i="44"/>
  <c r="Z9" i="44"/>
  <c r="Y9" i="44"/>
  <c r="X9" i="44"/>
  <c r="W9" i="44"/>
  <c r="V9" i="44"/>
  <c r="U9" i="44"/>
  <c r="T9" i="44"/>
  <c r="S9" i="44"/>
  <c r="R9" i="44"/>
  <c r="Q9" i="44"/>
  <c r="P9" i="44"/>
  <c r="O9" i="44"/>
  <c r="N9" i="44"/>
  <c r="M9" i="44"/>
  <c r="L9" i="44"/>
  <c r="K9" i="44"/>
  <c r="J9" i="44"/>
  <c r="I9" i="44"/>
  <c r="H9" i="44"/>
  <c r="G9" i="44"/>
  <c r="F9" i="44"/>
  <c r="E9" i="44"/>
  <c r="AK7" i="2"/>
  <c r="AJ7" i="2"/>
  <c r="AI7" i="2"/>
  <c r="AH7" i="2"/>
  <c r="AG7" i="2"/>
  <c r="AF7" i="2"/>
  <c r="AE7" i="2"/>
  <c r="AD7" i="2"/>
  <c r="AC7" i="2"/>
  <c r="AB7" i="2"/>
  <c r="AA7" i="2"/>
  <c r="Z7" i="2"/>
  <c r="Y7" i="2"/>
  <c r="X7" i="2"/>
  <c r="W7" i="2"/>
  <c r="AL7" i="2" l="1"/>
  <c r="AK35" i="2"/>
  <c r="AK36" i="2"/>
  <c r="AK37" i="2"/>
  <c r="AK38" i="2"/>
  <c r="AK39" i="2"/>
  <c r="AK40" i="2"/>
  <c r="AK41" i="2"/>
  <c r="AK43" i="2"/>
  <c r="AK44" i="2"/>
  <c r="AK45" i="2"/>
  <c r="AK46" i="2"/>
  <c r="AJ36" i="2" l="1"/>
  <c r="AJ37" i="2"/>
  <c r="AJ38" i="2"/>
  <c r="AJ39" i="2"/>
  <c r="AJ40" i="2"/>
  <c r="AJ41" i="2"/>
  <c r="AJ43" i="2"/>
  <c r="AJ44" i="2"/>
  <c r="AJ45" i="2"/>
  <c r="AJ46" i="2"/>
  <c r="AF46" i="2" l="1"/>
  <c r="E46" i="2"/>
  <c r="O46" i="2"/>
  <c r="AD45" i="2"/>
  <c r="N45" i="2"/>
  <c r="U44" i="2"/>
  <c r="M44" i="2"/>
  <c r="T43" i="2"/>
  <c r="E39" i="2"/>
  <c r="Z46" i="2"/>
  <c r="J46" i="2"/>
  <c r="Y45" i="2"/>
  <c r="I45" i="2"/>
  <c r="X44" i="2"/>
  <c r="AE43" i="2"/>
  <c r="T41" i="2"/>
  <c r="AI40" i="2"/>
  <c r="S40" i="2"/>
  <c r="AH39" i="2"/>
  <c r="R39" i="2"/>
  <c r="AG38" i="2"/>
  <c r="Q38" i="2"/>
  <c r="I38" i="2"/>
  <c r="X37" i="2"/>
  <c r="H37" i="2"/>
  <c r="W36" i="2"/>
  <c r="G36" i="2"/>
  <c r="AD35" i="2"/>
  <c r="V35" i="2"/>
  <c r="N35" i="2"/>
  <c r="X46" i="2"/>
  <c r="AE45" i="2"/>
  <c r="O45" i="2"/>
  <c r="G45" i="2"/>
  <c r="V44" i="2"/>
  <c r="N44" i="2"/>
  <c r="F44" i="2"/>
  <c r="M43" i="2"/>
  <c r="R41" i="2"/>
  <c r="AE46" i="2"/>
  <c r="F45" i="2"/>
  <c r="AH46" i="2"/>
  <c r="R46" i="2"/>
  <c r="AG45" i="2"/>
  <c r="Q45" i="2"/>
  <c r="AF44" i="2"/>
  <c r="P44" i="2"/>
  <c r="H44" i="2"/>
  <c r="W43" i="2"/>
  <c r="O43" i="2"/>
  <c r="G43" i="2"/>
  <c r="AB41" i="2"/>
  <c r="L41" i="2"/>
  <c r="AA40" i="2"/>
  <c r="K40" i="2"/>
  <c r="Z39" i="2"/>
  <c r="J39" i="2"/>
  <c r="Y38" i="2"/>
  <c r="AF37" i="2"/>
  <c r="P37" i="2"/>
  <c r="AE36" i="2"/>
  <c r="O36" i="2"/>
  <c r="F35" i="2"/>
  <c r="E40" i="2"/>
  <c r="AG46" i="2"/>
  <c r="Y46" i="2"/>
  <c r="Q46" i="2"/>
  <c r="I46" i="2"/>
  <c r="AF45" i="2"/>
  <c r="X45" i="2"/>
  <c r="P45" i="2"/>
  <c r="H45" i="2"/>
  <c r="AE44" i="2"/>
  <c r="W44" i="2"/>
  <c r="O44" i="2"/>
  <c r="G44" i="2"/>
  <c r="AD43" i="2"/>
  <c r="V43" i="2"/>
  <c r="N43" i="2"/>
  <c r="F43" i="2"/>
  <c r="AI41" i="2"/>
  <c r="AA41" i="2"/>
  <c r="S41" i="2"/>
  <c r="K41" i="2"/>
  <c r="AH40" i="2"/>
  <c r="Z40" i="2"/>
  <c r="R40" i="2"/>
  <c r="J40" i="2"/>
  <c r="AG39" i="2"/>
  <c r="Y39" i="2"/>
  <c r="Q39" i="2"/>
  <c r="I39" i="2"/>
  <c r="AF38" i="2"/>
  <c r="X38" i="2"/>
  <c r="P38" i="2"/>
  <c r="H38" i="2"/>
  <c r="AE37" i="2"/>
  <c r="W37" i="2"/>
  <c r="O37" i="2"/>
  <c r="G37" i="2"/>
  <c r="AD36" i="2"/>
  <c r="V36" i="2"/>
  <c r="N36" i="2"/>
  <c r="F36" i="2"/>
  <c r="AC35" i="2"/>
  <c r="U35" i="2"/>
  <c r="M35" i="2"/>
  <c r="AH41" i="2"/>
  <c r="J41" i="2"/>
  <c r="Y40" i="2"/>
  <c r="AF39" i="2"/>
  <c r="H39" i="2"/>
  <c r="W38" i="2"/>
  <c r="G38" i="2"/>
  <c r="V37" i="2"/>
  <c r="F37" i="2"/>
  <c r="U36" i="2"/>
  <c r="AJ35" i="2"/>
  <c r="T35" i="2"/>
  <c r="E43" i="2"/>
  <c r="G46" i="2"/>
  <c r="V45" i="2"/>
  <c r="AC44" i="2"/>
  <c r="L43" i="2"/>
  <c r="Y41" i="2"/>
  <c r="I41" i="2"/>
  <c r="AF40" i="2"/>
  <c r="X40" i="2"/>
  <c r="H40" i="2"/>
  <c r="AE39" i="2"/>
  <c r="W39" i="2"/>
  <c r="O39" i="2"/>
  <c r="G39" i="2"/>
  <c r="AD38" i="2"/>
  <c r="V38" i="2"/>
  <c r="N38" i="2"/>
  <c r="F38" i="2"/>
  <c r="AC37" i="2"/>
  <c r="U37" i="2"/>
  <c r="M37" i="2"/>
  <c r="AB36" i="2"/>
  <c r="T36" i="2"/>
  <c r="L36" i="2"/>
  <c r="AI35" i="2"/>
  <c r="AA35" i="2"/>
  <c r="S35" i="2"/>
  <c r="K35" i="2"/>
  <c r="E35" i="2"/>
  <c r="E44" i="2"/>
  <c r="AD46" i="2"/>
  <c r="V46" i="2"/>
  <c r="N46" i="2"/>
  <c r="F46" i="2"/>
  <c r="AC45" i="2"/>
  <c r="U45" i="2"/>
  <c r="M45" i="2"/>
  <c r="AB44" i="2"/>
  <c r="T44" i="2"/>
  <c r="L44" i="2"/>
  <c r="AI43" i="2"/>
  <c r="AA43" i="2"/>
  <c r="S43" i="2"/>
  <c r="K43" i="2"/>
  <c r="AF41" i="2"/>
  <c r="X41" i="2"/>
  <c r="P41" i="2"/>
  <c r="H41" i="2"/>
  <c r="AE40" i="2"/>
  <c r="W40" i="2"/>
  <c r="O40" i="2"/>
  <c r="G40" i="2"/>
  <c r="AD39" i="2"/>
  <c r="V39" i="2"/>
  <c r="N39" i="2"/>
  <c r="F39" i="2"/>
  <c r="AC38" i="2"/>
  <c r="U38" i="2"/>
  <c r="M38" i="2"/>
  <c r="AB37" i="2"/>
  <c r="T37" i="2"/>
  <c r="L37" i="2"/>
  <c r="AI36" i="2"/>
  <c r="AA36" i="2"/>
  <c r="S36" i="2"/>
  <c r="K36" i="2"/>
  <c r="AH35" i="2"/>
  <c r="Z35" i="2"/>
  <c r="R35" i="2"/>
  <c r="J35" i="2"/>
  <c r="K37" i="2"/>
  <c r="AH36" i="2"/>
  <c r="Z36" i="2"/>
  <c r="R36" i="2"/>
  <c r="J36" i="2"/>
  <c r="AG35" i="2"/>
  <c r="Y35" i="2"/>
  <c r="Q35" i="2"/>
  <c r="I35" i="2"/>
  <c r="H46" i="2"/>
  <c r="AC43" i="2"/>
  <c r="I40" i="2"/>
  <c r="AB35" i="2"/>
  <c r="Q41" i="2"/>
  <c r="E36" i="2"/>
  <c r="AB45" i="2"/>
  <c r="L45" i="2"/>
  <c r="AI44" i="2"/>
  <c r="AA44" i="2"/>
  <c r="S44" i="2"/>
  <c r="K44" i="2"/>
  <c r="AH43" i="2"/>
  <c r="Z43" i="2"/>
  <c r="J43" i="2"/>
  <c r="W41" i="2"/>
  <c r="G41" i="2"/>
  <c r="AD40" i="2"/>
  <c r="V40" i="2"/>
  <c r="F40" i="2"/>
  <c r="AC39" i="2"/>
  <c r="U39" i="2"/>
  <c r="M39" i="2"/>
  <c r="AB38" i="2"/>
  <c r="AA37" i="2"/>
  <c r="AB46" i="2"/>
  <c r="T46" i="2"/>
  <c r="L46" i="2"/>
  <c r="AI45" i="2"/>
  <c r="AA45" i="2"/>
  <c r="S45" i="2"/>
  <c r="K45" i="2"/>
  <c r="AH44" i="2"/>
  <c r="Z44" i="2"/>
  <c r="R44" i="2"/>
  <c r="J44" i="2"/>
  <c r="AG43" i="2"/>
  <c r="Y43" i="2"/>
  <c r="Q43" i="2"/>
  <c r="I43" i="2"/>
  <c r="AD41" i="2"/>
  <c r="V41" i="2"/>
  <c r="N41" i="2"/>
  <c r="F41" i="2"/>
  <c r="AC40" i="2"/>
  <c r="U40" i="2"/>
  <c r="M40" i="2"/>
  <c r="AB39" i="2"/>
  <c r="T39" i="2"/>
  <c r="L39" i="2"/>
  <c r="AI38" i="2"/>
  <c r="AA38" i="2"/>
  <c r="S38" i="2"/>
  <c r="K38" i="2"/>
  <c r="AH37" i="2"/>
  <c r="Z37" i="2"/>
  <c r="R37" i="2"/>
  <c r="J37" i="2"/>
  <c r="AG36" i="2"/>
  <c r="Y36" i="2"/>
  <c r="Q36" i="2"/>
  <c r="I36" i="2"/>
  <c r="AF35" i="2"/>
  <c r="X35" i="2"/>
  <c r="P35" i="2"/>
  <c r="H35" i="2"/>
  <c r="E41" i="2"/>
  <c r="P46" i="2"/>
  <c r="W45" i="2"/>
  <c r="AD44" i="2"/>
  <c r="U43" i="2"/>
  <c r="Z41" i="2"/>
  <c r="AG40" i="2"/>
  <c r="Q40" i="2"/>
  <c r="X39" i="2"/>
  <c r="P39" i="2"/>
  <c r="AE38" i="2"/>
  <c r="O38" i="2"/>
  <c r="AD37" i="2"/>
  <c r="N37" i="2"/>
  <c r="AC36" i="2"/>
  <c r="M36" i="2"/>
  <c r="L35" i="2"/>
  <c r="W46" i="2"/>
  <c r="AB43" i="2"/>
  <c r="AG41" i="2"/>
  <c r="P40" i="2"/>
  <c r="E45" i="2"/>
  <c r="AC46" i="2"/>
  <c r="U46" i="2"/>
  <c r="M46" i="2"/>
  <c r="T45" i="2"/>
  <c r="R43" i="2"/>
  <c r="AE41" i="2"/>
  <c r="O41" i="2"/>
  <c r="N40" i="2"/>
  <c r="T38" i="2"/>
  <c r="L38" i="2"/>
  <c r="AI37" i="2"/>
  <c r="S37" i="2"/>
  <c r="E37" i="2"/>
  <c r="E38" i="2"/>
  <c r="AI46" i="2"/>
  <c r="AA46" i="2"/>
  <c r="S46" i="2"/>
  <c r="K46" i="2"/>
  <c r="AH45" i="2"/>
  <c r="Z45" i="2"/>
  <c r="R45" i="2"/>
  <c r="J45" i="2"/>
  <c r="AG44" i="2"/>
  <c r="Y44" i="2"/>
  <c r="Q44" i="2"/>
  <c r="I44" i="2"/>
  <c r="AF43" i="2"/>
  <c r="X43" i="2"/>
  <c r="P43" i="2"/>
  <c r="H43" i="2"/>
  <c r="AC41" i="2"/>
  <c r="U41" i="2"/>
  <c r="M41" i="2"/>
  <c r="AB40" i="2"/>
  <c r="T40" i="2"/>
  <c r="L40" i="2"/>
  <c r="AI39" i="2"/>
  <c r="AA39" i="2"/>
  <c r="S39" i="2"/>
  <c r="K39" i="2"/>
  <c r="AH38" i="2"/>
  <c r="Z38" i="2"/>
  <c r="R38" i="2"/>
  <c r="J38" i="2"/>
  <c r="AG37" i="2"/>
  <c r="Y37" i="2"/>
  <c r="Q37" i="2"/>
  <c r="I37" i="2"/>
  <c r="AF36" i="2"/>
  <c r="X36" i="2"/>
  <c r="P36" i="2"/>
  <c r="H36" i="2"/>
  <c r="AE35" i="2"/>
  <c r="W35" i="2"/>
  <c r="O35" i="2"/>
  <c r="G35" i="2"/>
  <c r="J60" i="5" l="1"/>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AP31" i="5"/>
  <c r="AO31" i="5"/>
  <c r="AN31"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AH36" i="60"/>
  <c r="AG36" i="60"/>
  <c r="AF36" i="60"/>
  <c r="AE36" i="60"/>
  <c r="AD36" i="60"/>
  <c r="AC36" i="60"/>
  <c r="AB36" i="60"/>
  <c r="AA36" i="60"/>
  <c r="Z36" i="60"/>
  <c r="Y36" i="60"/>
  <c r="X36" i="60"/>
  <c r="W36" i="60"/>
  <c r="V36" i="60"/>
  <c r="U36" i="60"/>
  <c r="T36" i="60"/>
  <c r="S36" i="60"/>
  <c r="R36" i="60"/>
  <c r="Q36" i="60"/>
  <c r="P36" i="60"/>
  <c r="O36" i="60"/>
  <c r="N36" i="60"/>
  <c r="M36" i="60"/>
  <c r="L36" i="60"/>
  <c r="K36" i="60"/>
  <c r="J36" i="60"/>
  <c r="I36" i="60"/>
  <c r="H36" i="60"/>
  <c r="G36" i="60"/>
  <c r="F36" i="60"/>
  <c r="E36" i="60"/>
  <c r="D36" i="60"/>
  <c r="C36" i="60"/>
  <c r="B36" i="60"/>
  <c r="AK130" i="2"/>
  <c r="AJ130" i="2"/>
  <c r="AI130" i="2"/>
  <c r="AH130" i="2"/>
  <c r="AG130" i="2"/>
  <c r="AF130" i="2"/>
  <c r="AE130" i="2"/>
  <c r="AD130" i="2"/>
  <c r="AC130" i="2"/>
  <c r="AB130" i="2"/>
  <c r="AA130" i="2"/>
  <c r="Z130" i="2"/>
  <c r="Y130" i="2"/>
  <c r="X130" i="2"/>
  <c r="W130" i="2"/>
  <c r="V130" i="2"/>
  <c r="U130" i="2"/>
  <c r="T130" i="2"/>
  <c r="S130" i="2"/>
  <c r="R130" i="2"/>
  <c r="Q130" i="2"/>
  <c r="P130" i="2"/>
  <c r="O130" i="2"/>
  <c r="N130" i="2"/>
  <c r="M130" i="2"/>
  <c r="L130" i="2"/>
  <c r="K130" i="2"/>
  <c r="J130" i="2"/>
  <c r="I130" i="2"/>
  <c r="H130" i="2"/>
  <c r="G130" i="2"/>
  <c r="F130" i="2"/>
  <c r="E130" i="2"/>
  <c r="AK127" i="2"/>
  <c r="AJ127" i="2"/>
  <c r="AI127" i="2"/>
  <c r="AH127" i="2"/>
  <c r="AG127" i="2"/>
  <c r="AF127" i="2"/>
  <c r="AE127" i="2"/>
  <c r="AD127" i="2"/>
  <c r="AC127" i="2"/>
  <c r="AB127" i="2"/>
  <c r="AA127" i="2"/>
  <c r="Z127" i="2"/>
  <c r="Y127" i="2"/>
  <c r="X127" i="2"/>
  <c r="W127" i="2"/>
  <c r="V127" i="2"/>
  <c r="U127" i="2"/>
  <c r="T127" i="2"/>
  <c r="S127" i="2"/>
  <c r="R127" i="2"/>
  <c r="Q127" i="2"/>
  <c r="P127" i="2"/>
  <c r="O127" i="2"/>
  <c r="N127" i="2"/>
  <c r="M127" i="2"/>
  <c r="L127" i="2"/>
  <c r="K127" i="2"/>
  <c r="J127" i="2"/>
  <c r="I127" i="2"/>
  <c r="H127" i="2"/>
  <c r="G127" i="2"/>
  <c r="F127" i="2"/>
  <c r="E127"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AD63" i="104" l="1"/>
  <c r="AW17" i="104"/>
  <c r="AV17" i="104"/>
  <c r="K72" i="104" s="1"/>
  <c r="AU17" i="104"/>
  <c r="J72" i="104" s="1"/>
  <c r="AT17" i="104"/>
  <c r="I72" i="104" s="1"/>
  <c r="AS17" i="104"/>
  <c r="H72" i="104" s="1"/>
  <c r="AR17" i="104"/>
  <c r="G72" i="104" s="1"/>
  <c r="AQ17" i="104"/>
  <c r="F72" i="104" s="1"/>
  <c r="AP17" i="104"/>
  <c r="E72" i="104" s="1"/>
  <c r="AO17" i="104"/>
  <c r="D72" i="104" s="1"/>
  <c r="AN17" i="104"/>
  <c r="C72" i="104" s="1"/>
  <c r="I17" i="104"/>
  <c r="H17" i="104"/>
  <c r="G17" i="104"/>
  <c r="F17" i="104"/>
  <c r="E17" i="104"/>
  <c r="C17" i="104"/>
  <c r="BT8" i="104"/>
  <c r="BS8" i="104"/>
  <c r="AH63" i="104" s="1"/>
  <c r="BR8" i="104"/>
  <c r="AG63" i="104" s="1"/>
  <c r="BQ8" i="104"/>
  <c r="AF63" i="104" s="1"/>
  <c r="BP8" i="104"/>
  <c r="AE63" i="104" s="1"/>
  <c r="BO8" i="104"/>
  <c r="BN8" i="104"/>
  <c r="AC63" i="104" s="1"/>
  <c r="BM8" i="104"/>
  <c r="AB63" i="104" s="1"/>
  <c r="BL8" i="104"/>
  <c r="BK8" i="104"/>
  <c r="Z63" i="104" s="1"/>
  <c r="BJ8" i="104"/>
  <c r="Y63" i="104" s="1"/>
  <c r="BI8" i="104"/>
  <c r="X63" i="104" s="1"/>
  <c r="BH8" i="104"/>
  <c r="W63" i="104" s="1"/>
  <c r="BG8" i="104"/>
  <c r="V63" i="104" s="1"/>
  <c r="BF8" i="104"/>
  <c r="U63" i="104" s="1"/>
  <c r="BE8" i="104"/>
  <c r="BD8" i="104"/>
  <c r="BC8" i="104"/>
  <c r="R63" i="104" s="1"/>
  <c r="BB8" i="104"/>
  <c r="Q63" i="104" s="1"/>
  <c r="BA8" i="104"/>
  <c r="P63" i="104" s="1"/>
  <c r="AZ8" i="104"/>
  <c r="O63" i="104" s="1"/>
  <c r="AY8" i="104"/>
  <c r="N63" i="104" s="1"/>
  <c r="AX8" i="104"/>
  <c r="M63" i="104" s="1"/>
  <c r="AW8" i="104"/>
  <c r="AV8" i="104"/>
  <c r="AU8" i="104"/>
  <c r="J63" i="104" s="1"/>
  <c r="AT8" i="104"/>
  <c r="I63" i="104" s="1"/>
  <c r="AS8" i="104"/>
  <c r="H63" i="104" s="1"/>
  <c r="AR8" i="104"/>
  <c r="G63" i="104" s="1"/>
  <c r="AQ8" i="104"/>
  <c r="F63" i="104" s="1"/>
  <c r="AP8" i="104"/>
  <c r="E63" i="104" s="1"/>
  <c r="AO8" i="104"/>
  <c r="AN8" i="104"/>
  <c r="AH8" i="104"/>
  <c r="AG8" i="104"/>
  <c r="AF8" i="104"/>
  <c r="AE8" i="104"/>
  <c r="AD8" i="104"/>
  <c r="Z8" i="104"/>
  <c r="Y8" i="104"/>
  <c r="W8" i="104"/>
  <c r="R8" i="104"/>
  <c r="Q8" i="104"/>
  <c r="P8" i="104"/>
  <c r="J8" i="104"/>
  <c r="I8" i="104"/>
  <c r="H8" i="104"/>
  <c r="C63" i="104" l="1"/>
  <c r="C8" i="104"/>
  <c r="S63" i="104"/>
  <c r="S8" i="104"/>
  <c r="AA63" i="104"/>
  <c r="AA8" i="104"/>
  <c r="D63" i="104"/>
  <c r="D8" i="104"/>
  <c r="L63" i="104"/>
  <c r="L8" i="104"/>
  <c r="T63" i="104"/>
  <c r="T8" i="104"/>
  <c r="K63" i="104"/>
  <c r="K8" i="104"/>
  <c r="AI63" i="104"/>
  <c r="AI8" i="104"/>
  <c r="AB8" i="104"/>
  <c r="L72" i="104"/>
  <c r="L17" i="104"/>
  <c r="U8" i="104"/>
  <c r="D17" i="104"/>
  <c r="E8" i="104"/>
  <c r="M8" i="104"/>
  <c r="V8" i="104"/>
  <c r="F8" i="104"/>
  <c r="N8" i="104"/>
  <c r="AC8" i="104"/>
  <c r="G8" i="104"/>
  <c r="O8" i="104"/>
  <c r="X8" i="104"/>
  <c r="K17" i="104"/>
  <c r="J17" i="104"/>
  <c r="AI63" i="98" l="1"/>
  <c r="AI8" i="98"/>
  <c r="BT8" i="98"/>
  <c r="AI43" i="17" l="1"/>
  <c r="AH43" i="17"/>
  <c r="AG43" i="17"/>
  <c r="AF43" i="17"/>
  <c r="AE43" i="17"/>
  <c r="AD43" i="17"/>
  <c r="AC43" i="17"/>
  <c r="AB43" i="17"/>
  <c r="AA43" i="17"/>
  <c r="Z43" i="17"/>
  <c r="Y43" i="17"/>
  <c r="X43" i="17"/>
  <c r="W43" i="17"/>
  <c r="V43" i="17"/>
  <c r="U43" i="17"/>
  <c r="T43" i="17"/>
  <c r="S43" i="17"/>
  <c r="R43" i="17"/>
  <c r="Q43" i="17"/>
  <c r="P43" i="17"/>
  <c r="O43" i="17"/>
  <c r="N43" i="17"/>
  <c r="M43" i="17"/>
  <c r="L43" i="17"/>
  <c r="K43" i="17"/>
  <c r="J43" i="17"/>
  <c r="I43" i="17"/>
  <c r="H43" i="17"/>
  <c r="G43" i="17"/>
  <c r="F43" i="17"/>
  <c r="E43" i="17"/>
  <c r="D43" i="17"/>
  <c r="C43" i="17"/>
  <c r="V26" i="103" l="1"/>
  <c r="W26" i="103"/>
  <c r="X26" i="103"/>
  <c r="Y26" i="103"/>
  <c r="Z26" i="103"/>
  <c r="AA26" i="103"/>
  <c r="AB26" i="103"/>
  <c r="AC26" i="103"/>
  <c r="AD26" i="103"/>
  <c r="AE26" i="103"/>
  <c r="AF26" i="103"/>
  <c r="AG26" i="103"/>
  <c r="AH26" i="103"/>
  <c r="AI26" i="103"/>
  <c r="AJ26" i="103"/>
  <c r="AK26" i="103"/>
  <c r="AL26" i="103"/>
  <c r="AM26" i="103"/>
  <c r="AN26" i="103"/>
  <c r="AO26" i="103"/>
  <c r="AP26" i="103"/>
  <c r="AQ26" i="103"/>
  <c r="AR26" i="103"/>
  <c r="AS26" i="103"/>
  <c r="AT26" i="103"/>
  <c r="AU26" i="103"/>
  <c r="AV26" i="103"/>
  <c r="AW26" i="103"/>
  <c r="AX26" i="103"/>
  <c r="AY26" i="103"/>
  <c r="AZ26" i="103"/>
  <c r="BA26" i="103"/>
  <c r="V34" i="103"/>
  <c r="W34" i="103"/>
  <c r="X34" i="103"/>
  <c r="Y34" i="103"/>
  <c r="Z34" i="103"/>
  <c r="AA34" i="103"/>
  <c r="AB34" i="103"/>
  <c r="AC34" i="103"/>
  <c r="AD34" i="103"/>
  <c r="U34" i="103"/>
  <c r="U26" i="103"/>
  <c r="AJ51" i="44" l="1"/>
  <c r="AI51" i="44"/>
  <c r="AH51" i="44"/>
  <c r="AG51" i="44"/>
  <c r="AF51" i="44"/>
  <c r="AE51" i="44"/>
  <c r="AD51" i="44"/>
  <c r="AC51" i="44"/>
  <c r="AB51" i="44"/>
  <c r="AA51" i="44"/>
  <c r="Z51" i="44"/>
  <c r="Y51" i="44"/>
  <c r="X51" i="44"/>
  <c r="W51" i="44"/>
  <c r="V51" i="44"/>
  <c r="U51" i="44"/>
  <c r="T51" i="44"/>
  <c r="S51" i="44"/>
  <c r="R51" i="44"/>
  <c r="Q51" i="44"/>
  <c r="P51" i="44"/>
  <c r="O51" i="44"/>
  <c r="N51" i="44"/>
  <c r="M51" i="44"/>
  <c r="L51" i="44"/>
  <c r="K51" i="44"/>
  <c r="J51" i="44"/>
  <c r="I51" i="44"/>
  <c r="H51" i="44"/>
  <c r="G51" i="44"/>
  <c r="F51" i="44"/>
  <c r="E51" i="44"/>
  <c r="AY110" i="70" l="1"/>
  <c r="AY24" i="70"/>
  <c r="CG19" i="70"/>
  <c r="C17" i="33" l="1"/>
  <c r="AR84" i="33"/>
  <c r="AJ10" i="94"/>
  <c r="AJ24" i="94" s="1"/>
  <c r="AJ16" i="94"/>
  <c r="AJ17" i="94"/>
  <c r="AK170" i="44"/>
  <c r="AK143" i="44"/>
  <c r="AK112" i="44"/>
  <c r="E17" i="33" s="1"/>
  <c r="AK66" i="44"/>
  <c r="AK141" i="44" l="1"/>
  <c r="AK168" i="44"/>
  <c r="AJ21" i="94"/>
  <c r="AJ23" i="94"/>
  <c r="AJ22" i="94"/>
  <c r="AJ15" i="94"/>
  <c r="AJ18" i="94" s="1"/>
  <c r="I17" i="33" l="1"/>
  <c r="H17" i="33"/>
  <c r="AK195" i="44"/>
  <c r="G17" i="33"/>
  <c r="AP21" i="5"/>
  <c r="AP22" i="5"/>
  <c r="AP24" i="5"/>
  <c r="AP25" i="5"/>
  <c r="AJ32" i="20"/>
  <c r="AJ33" i="20"/>
  <c r="AJ34" i="20"/>
  <c r="AJ37" i="20"/>
  <c r="AJ38" i="20"/>
  <c r="AK27" i="44" s="1"/>
  <c r="Z1" i="101"/>
  <c r="AJ18" i="20" l="1"/>
  <c r="AI108" i="13"/>
  <c r="AK95" i="44"/>
  <c r="AJ31" i="20"/>
  <c r="AJ29" i="20"/>
  <c r="AI26" i="37" s="1"/>
  <c r="AI26" i="16" s="1"/>
  <c r="AP26" i="5"/>
  <c r="AJ36" i="20"/>
  <c r="AJ30" i="20"/>
  <c r="AI27" i="37" s="1"/>
  <c r="AI27" i="16" s="1"/>
  <c r="D7" i="33"/>
  <c r="AI38" i="17"/>
  <c r="AK82" i="2"/>
  <c r="C11" i="32"/>
  <c r="BH100" i="32"/>
  <c r="AL37" i="32"/>
  <c r="AI18" i="16"/>
  <c r="AJ18" i="16" s="1"/>
  <c r="AI109" i="13" l="1"/>
  <c r="AJ35" i="20"/>
  <c r="AI110" i="13"/>
  <c r="AI113" i="13" s="1"/>
  <c r="AI37" i="17"/>
  <c r="AI26" i="17"/>
  <c r="AI16" i="17"/>
  <c r="AK122" i="44"/>
  <c r="C26" i="33"/>
  <c r="AI151" i="10"/>
  <c r="AK116" i="10"/>
  <c r="AJ116" i="10"/>
  <c r="AI116" i="10"/>
  <c r="AJ62" i="10"/>
  <c r="AI62" i="10"/>
  <c r="AL11" i="10"/>
  <c r="AK11" i="10"/>
  <c r="AJ11" i="10"/>
  <c r="AP26" i="89"/>
  <c r="AL874" i="97"/>
  <c r="AL844" i="97"/>
  <c r="AL843" i="97"/>
  <c r="M33" i="101"/>
  <c r="G42" i="101"/>
  <c r="Z42" i="101"/>
  <c r="BR8" i="71"/>
  <c r="AH63" i="71" s="1"/>
  <c r="AI112" i="13" l="1"/>
  <c r="AI114" i="13" s="1"/>
  <c r="AH8" i="71"/>
  <c r="AK26" i="44"/>
  <c r="AI28" i="37"/>
  <c r="AI25" i="37" s="1"/>
  <c r="AK8" i="44"/>
  <c r="AK76" i="44" s="1"/>
  <c r="E26" i="33"/>
  <c r="AK151" i="44"/>
  <c r="AL100" i="2"/>
  <c r="AL99" i="2"/>
  <c r="AL64" i="2"/>
  <c r="AL48" i="2"/>
  <c r="AL25" i="2"/>
  <c r="AI6" i="37"/>
  <c r="AK22" i="44"/>
  <c r="AK90" i="44" s="1"/>
  <c r="AK14" i="44"/>
  <c r="AK15" i="44"/>
  <c r="AK18" i="44"/>
  <c r="AK21" i="44"/>
  <c r="AK89" i="44" s="1"/>
  <c r="AI10" i="13"/>
  <c r="AK91" i="2"/>
  <c r="AK101" i="2"/>
  <c r="AK102" i="2"/>
  <c r="AK129" i="2"/>
  <c r="AK77" i="2" s="1"/>
  <c r="AI9" i="13" s="1"/>
  <c r="AY81" i="70"/>
  <c r="CG9" i="70"/>
  <c r="AY45" i="70"/>
  <c r="AY44" i="70"/>
  <c r="AY43" i="70"/>
  <c r="AY42" i="70"/>
  <c r="AY40" i="70"/>
  <c r="AY39" i="70"/>
  <c r="AY38" i="70"/>
  <c r="AY37" i="70"/>
  <c r="AY36" i="70"/>
  <c r="AY35" i="70"/>
  <c r="AY34" i="70"/>
  <c r="AY6" i="70"/>
  <c r="AV6" i="70"/>
  <c r="AK527" i="97"/>
  <c r="AL527" i="97" s="1"/>
  <c r="AJ527" i="97"/>
  <c r="AI527" i="97"/>
  <c r="AH527" i="97"/>
  <c r="AG527" i="97"/>
  <c r="AF527" i="97"/>
  <c r="AE527" i="97"/>
  <c r="AD527" i="97"/>
  <c r="AC527" i="97"/>
  <c r="AB527" i="97"/>
  <c r="AA527" i="97"/>
  <c r="Z527" i="97"/>
  <c r="Y527" i="97"/>
  <c r="X527" i="97"/>
  <c r="W527" i="97"/>
  <c r="V527" i="97"/>
  <c r="U527" i="97"/>
  <c r="T527" i="97"/>
  <c r="S527" i="97"/>
  <c r="R527" i="97"/>
  <c r="Q527" i="97"/>
  <c r="P527" i="97"/>
  <c r="O527" i="97"/>
  <c r="N527" i="97"/>
  <c r="M527" i="97"/>
  <c r="L527" i="97"/>
  <c r="K527" i="97"/>
  <c r="J527" i="97"/>
  <c r="I527" i="97"/>
  <c r="H527" i="97"/>
  <c r="G527" i="97"/>
  <c r="F527" i="97"/>
  <c r="AK521" i="97"/>
  <c r="AL521" i="97" s="1"/>
  <c r="AJ521" i="97"/>
  <c r="AI521" i="97"/>
  <c r="AH521" i="97"/>
  <c r="AG521" i="97"/>
  <c r="AF521" i="97"/>
  <c r="AE521" i="97"/>
  <c r="AD521" i="97"/>
  <c r="AC521" i="97"/>
  <c r="AB521" i="97"/>
  <c r="AA521" i="97"/>
  <c r="Z521" i="97"/>
  <c r="Y521" i="97"/>
  <c r="X521" i="97"/>
  <c r="W521" i="97"/>
  <c r="V521" i="97"/>
  <c r="U521" i="97"/>
  <c r="T521" i="97"/>
  <c r="S521" i="97"/>
  <c r="R521" i="97"/>
  <c r="Q521" i="97"/>
  <c r="P521" i="97"/>
  <c r="O521" i="97"/>
  <c r="N521" i="97"/>
  <c r="M521" i="97"/>
  <c r="L521" i="97"/>
  <c r="K521" i="97"/>
  <c r="J521" i="97"/>
  <c r="I521" i="97"/>
  <c r="H521" i="97"/>
  <c r="G521" i="97"/>
  <c r="F521" i="97"/>
  <c r="AK515" i="97"/>
  <c r="AL515" i="97" s="1"/>
  <c r="AJ515" i="97"/>
  <c r="AI515" i="97"/>
  <c r="AH515" i="97"/>
  <c r="AG515" i="97"/>
  <c r="AF515" i="97"/>
  <c r="AE515" i="97"/>
  <c r="AD515" i="97"/>
  <c r="AC515" i="97"/>
  <c r="AB515" i="97"/>
  <c r="AA515" i="97"/>
  <c r="Z515" i="97"/>
  <c r="Y515" i="97"/>
  <c r="X515" i="97"/>
  <c r="W515" i="97"/>
  <c r="V515" i="97"/>
  <c r="U515" i="97"/>
  <c r="T515" i="97"/>
  <c r="S515" i="97"/>
  <c r="R515" i="97"/>
  <c r="Q515" i="97"/>
  <c r="P515" i="97"/>
  <c r="O515" i="97"/>
  <c r="N515" i="97"/>
  <c r="M515" i="97"/>
  <c r="L515" i="97"/>
  <c r="K515" i="97"/>
  <c r="J515" i="97"/>
  <c r="I515" i="97"/>
  <c r="H515" i="97"/>
  <c r="G515" i="97"/>
  <c r="F515" i="97"/>
  <c r="AI402" i="89"/>
  <c r="AH402" i="89"/>
  <c r="AG402" i="89"/>
  <c r="AF402" i="89"/>
  <c r="AE402" i="89"/>
  <c r="AD402" i="89"/>
  <c r="AC402" i="89"/>
  <c r="AB402" i="89"/>
  <c r="AA402" i="89"/>
  <c r="Z402" i="89"/>
  <c r="Y402" i="89"/>
  <c r="X402" i="89"/>
  <c r="W402" i="89"/>
  <c r="V402" i="89"/>
  <c r="U402" i="89"/>
  <c r="T402" i="89"/>
  <c r="S402" i="89"/>
  <c r="R402" i="89"/>
  <c r="Q402" i="89"/>
  <c r="P402" i="89"/>
  <c r="O402" i="89"/>
  <c r="N402" i="89"/>
  <c r="M402" i="89"/>
  <c r="L402" i="89"/>
  <c r="K402" i="89"/>
  <c r="J402" i="89"/>
  <c r="I402" i="89"/>
  <c r="H402" i="89"/>
  <c r="G402" i="89"/>
  <c r="F402" i="89"/>
  <c r="AI396" i="89"/>
  <c r="AH396" i="89"/>
  <c r="AG396" i="89"/>
  <c r="AF396" i="89"/>
  <c r="AE396" i="89"/>
  <c r="AD396" i="89"/>
  <c r="AC396" i="89"/>
  <c r="AB396" i="89"/>
  <c r="AA396" i="89"/>
  <c r="Z396" i="89"/>
  <c r="Y396" i="89"/>
  <c r="X396" i="89"/>
  <c r="W396" i="89"/>
  <c r="V396" i="89"/>
  <c r="U396" i="89"/>
  <c r="T396" i="89"/>
  <c r="S396" i="89"/>
  <c r="R396" i="89"/>
  <c r="Q396" i="89"/>
  <c r="P396" i="89"/>
  <c r="O396" i="89"/>
  <c r="N396" i="89"/>
  <c r="M396" i="89"/>
  <c r="L396" i="89"/>
  <c r="K396" i="89"/>
  <c r="J396" i="89"/>
  <c r="I396" i="89"/>
  <c r="H396" i="89"/>
  <c r="G396" i="89"/>
  <c r="F396" i="89"/>
  <c r="AI390" i="89"/>
  <c r="AH390" i="89"/>
  <c r="AG390" i="89"/>
  <c r="AF390" i="89"/>
  <c r="AE390" i="89"/>
  <c r="AD390" i="89"/>
  <c r="AC390" i="89"/>
  <c r="AB390" i="89"/>
  <c r="AA390" i="89"/>
  <c r="Z390" i="89"/>
  <c r="Y390" i="89"/>
  <c r="X390" i="89"/>
  <c r="W390" i="89"/>
  <c r="V390" i="89"/>
  <c r="U390" i="89"/>
  <c r="T390" i="89"/>
  <c r="S390" i="89"/>
  <c r="R390" i="89"/>
  <c r="Q390" i="89"/>
  <c r="P390" i="89"/>
  <c r="O390" i="89"/>
  <c r="N390" i="89"/>
  <c r="M390" i="89"/>
  <c r="L390" i="89"/>
  <c r="K390" i="89"/>
  <c r="J390" i="89"/>
  <c r="I390" i="89"/>
  <c r="H390" i="89"/>
  <c r="G390" i="89"/>
  <c r="F390" i="89"/>
  <c r="AK402" i="97"/>
  <c r="AL402" i="97" s="1"/>
  <c r="AJ402" i="97"/>
  <c r="AI402" i="97"/>
  <c r="AH402" i="97"/>
  <c r="AG402" i="97"/>
  <c r="AF402" i="97"/>
  <c r="AE402" i="97"/>
  <c r="AD402" i="97"/>
  <c r="AC402" i="97"/>
  <c r="AB402" i="97"/>
  <c r="AA402" i="97"/>
  <c r="Z402" i="97"/>
  <c r="Y402" i="97"/>
  <c r="X402" i="97"/>
  <c r="W402" i="97"/>
  <c r="V402" i="97"/>
  <c r="U402" i="97"/>
  <c r="T402" i="97"/>
  <c r="S402" i="97"/>
  <c r="R402" i="97"/>
  <c r="Q402" i="97"/>
  <c r="P402" i="97"/>
  <c r="O402" i="97"/>
  <c r="N402" i="97"/>
  <c r="M402" i="97"/>
  <c r="L402" i="97"/>
  <c r="K402" i="97"/>
  <c r="J402" i="97"/>
  <c r="I402" i="97"/>
  <c r="H402" i="97"/>
  <c r="G402" i="97"/>
  <c r="F402" i="97"/>
  <c r="AK396" i="97"/>
  <c r="AL396" i="97" s="1"/>
  <c r="AJ396" i="97"/>
  <c r="AI396" i="97"/>
  <c r="AH396" i="97"/>
  <c r="AG396" i="97"/>
  <c r="AF396" i="97"/>
  <c r="AE396" i="97"/>
  <c r="AD396" i="97"/>
  <c r="AC396" i="97"/>
  <c r="AB396" i="97"/>
  <c r="AA396" i="97"/>
  <c r="Z396" i="97"/>
  <c r="Y396" i="97"/>
  <c r="X396" i="97"/>
  <c r="W396" i="97"/>
  <c r="V396" i="97"/>
  <c r="U396" i="97"/>
  <c r="T396" i="97"/>
  <c r="S396" i="97"/>
  <c r="R396" i="97"/>
  <c r="Q396" i="97"/>
  <c r="P396" i="97"/>
  <c r="O396" i="97"/>
  <c r="N396" i="97"/>
  <c r="M396" i="97"/>
  <c r="L396" i="97"/>
  <c r="K396" i="97"/>
  <c r="J396" i="97"/>
  <c r="I396" i="97"/>
  <c r="H396" i="97"/>
  <c r="G396" i="97"/>
  <c r="F396" i="97"/>
  <c r="AK390" i="97"/>
  <c r="AL390" i="97" s="1"/>
  <c r="AJ390" i="97"/>
  <c r="AI390" i="97"/>
  <c r="AH390" i="97"/>
  <c r="AG390" i="97"/>
  <c r="AF390" i="97"/>
  <c r="AE390" i="97"/>
  <c r="AD390" i="97"/>
  <c r="AC390" i="97"/>
  <c r="AB390" i="97"/>
  <c r="AA390" i="97"/>
  <c r="Z390" i="97"/>
  <c r="Y390" i="97"/>
  <c r="X390" i="97"/>
  <c r="W390" i="97"/>
  <c r="V390" i="97"/>
  <c r="U390" i="97"/>
  <c r="T390" i="97"/>
  <c r="S390" i="97"/>
  <c r="R390" i="97"/>
  <c r="Q390" i="97"/>
  <c r="P390" i="97"/>
  <c r="O390" i="97"/>
  <c r="N390" i="97"/>
  <c r="M390" i="97"/>
  <c r="L390" i="97"/>
  <c r="K390" i="97"/>
  <c r="J390" i="97"/>
  <c r="I390" i="97"/>
  <c r="H390" i="97"/>
  <c r="G390" i="97"/>
  <c r="F390" i="97"/>
  <c r="AI371" i="89"/>
  <c r="AH371" i="89"/>
  <c r="AG371" i="89"/>
  <c r="AF371" i="89"/>
  <c r="AE371" i="89"/>
  <c r="AD371" i="89"/>
  <c r="AC371" i="89"/>
  <c r="AB371" i="89"/>
  <c r="AA371" i="89"/>
  <c r="Z371" i="89"/>
  <c r="Y371" i="89"/>
  <c r="X371" i="89"/>
  <c r="W371" i="89"/>
  <c r="V371" i="89"/>
  <c r="U371" i="89"/>
  <c r="T371" i="89"/>
  <c r="S371" i="89"/>
  <c r="R371" i="89"/>
  <c r="Q371" i="89"/>
  <c r="P371" i="89"/>
  <c r="O371" i="89"/>
  <c r="N371" i="89"/>
  <c r="M371" i="89"/>
  <c r="L371" i="89"/>
  <c r="K371" i="89"/>
  <c r="J371" i="89"/>
  <c r="I371" i="89"/>
  <c r="H371" i="89"/>
  <c r="G371" i="89"/>
  <c r="F371" i="89"/>
  <c r="AI365" i="89"/>
  <c r="AH365" i="89"/>
  <c r="AG365" i="89"/>
  <c r="AF365" i="89"/>
  <c r="AE365" i="89"/>
  <c r="AD365" i="89"/>
  <c r="AC365" i="89"/>
  <c r="AB365" i="89"/>
  <c r="AA365" i="89"/>
  <c r="Z365" i="89"/>
  <c r="Y365" i="89"/>
  <c r="X365" i="89"/>
  <c r="W365" i="89"/>
  <c r="V365" i="89"/>
  <c r="U365" i="89"/>
  <c r="T365" i="89"/>
  <c r="S365" i="89"/>
  <c r="R365" i="89"/>
  <c r="Q365" i="89"/>
  <c r="P365" i="89"/>
  <c r="O365" i="89"/>
  <c r="N365" i="89"/>
  <c r="M365" i="89"/>
  <c r="L365" i="89"/>
  <c r="K365" i="89"/>
  <c r="J365" i="89"/>
  <c r="I365" i="89"/>
  <c r="H365" i="89"/>
  <c r="G365" i="89"/>
  <c r="F365" i="89"/>
  <c r="AI359" i="89"/>
  <c r="AH359" i="89"/>
  <c r="AG359" i="89"/>
  <c r="AF359" i="89"/>
  <c r="AE359" i="89"/>
  <c r="AD359" i="89"/>
  <c r="AC359" i="89"/>
  <c r="AB359" i="89"/>
  <c r="AA359" i="89"/>
  <c r="Z359" i="89"/>
  <c r="Y359" i="89"/>
  <c r="X359" i="89"/>
  <c r="W359" i="89"/>
  <c r="V359" i="89"/>
  <c r="U359" i="89"/>
  <c r="T359" i="89"/>
  <c r="S359" i="89"/>
  <c r="R359" i="89"/>
  <c r="Q359" i="89"/>
  <c r="P359" i="89"/>
  <c r="O359" i="89"/>
  <c r="N359" i="89"/>
  <c r="M359" i="89"/>
  <c r="L359" i="89"/>
  <c r="K359" i="89"/>
  <c r="J359" i="89"/>
  <c r="I359" i="89"/>
  <c r="H359" i="89"/>
  <c r="G359" i="89"/>
  <c r="F359" i="89"/>
  <c r="AK371" i="97"/>
  <c r="AL371" i="97" s="1"/>
  <c r="AJ371" i="97"/>
  <c r="AI371" i="97"/>
  <c r="AH371" i="97"/>
  <c r="AG371" i="97"/>
  <c r="AF371" i="97"/>
  <c r="AE371" i="97"/>
  <c r="AD371" i="97"/>
  <c r="AC371" i="97"/>
  <c r="AB371" i="97"/>
  <c r="AA371" i="97"/>
  <c r="Z371" i="97"/>
  <c r="Y371" i="97"/>
  <c r="X371" i="97"/>
  <c r="W371" i="97"/>
  <c r="V371" i="97"/>
  <c r="U371" i="97"/>
  <c r="T371" i="97"/>
  <c r="S371" i="97"/>
  <c r="R371" i="97"/>
  <c r="Q371" i="97"/>
  <c r="P371" i="97"/>
  <c r="O371" i="97"/>
  <c r="N371" i="97"/>
  <c r="M371" i="97"/>
  <c r="L371" i="97"/>
  <c r="K371" i="97"/>
  <c r="J371" i="97"/>
  <c r="I371" i="97"/>
  <c r="H371" i="97"/>
  <c r="G371" i="97"/>
  <c r="F371" i="97"/>
  <c r="AK365" i="97"/>
  <c r="AL365" i="97" s="1"/>
  <c r="AJ365" i="97"/>
  <c r="AI365" i="97"/>
  <c r="AH365" i="97"/>
  <c r="AG365" i="97"/>
  <c r="AF365" i="97"/>
  <c r="AE365" i="97"/>
  <c r="AD365" i="97"/>
  <c r="AC365" i="97"/>
  <c r="AB365" i="97"/>
  <c r="AA365" i="97"/>
  <c r="Z365" i="97"/>
  <c r="Y365" i="97"/>
  <c r="X365" i="97"/>
  <c r="W365" i="97"/>
  <c r="V365" i="97"/>
  <c r="U365" i="97"/>
  <c r="T365" i="97"/>
  <c r="S365" i="97"/>
  <c r="R365" i="97"/>
  <c r="Q365" i="97"/>
  <c r="P365" i="97"/>
  <c r="O365" i="97"/>
  <c r="N365" i="97"/>
  <c r="M365" i="97"/>
  <c r="L365" i="97"/>
  <c r="K365" i="97"/>
  <c r="J365" i="97"/>
  <c r="I365" i="97"/>
  <c r="H365" i="97"/>
  <c r="G365" i="97"/>
  <c r="F365" i="97"/>
  <c r="AK359" i="97"/>
  <c r="AL359" i="97" s="1"/>
  <c r="AJ359" i="97"/>
  <c r="AI359" i="97"/>
  <c r="AH359" i="97"/>
  <c r="AG359" i="97"/>
  <c r="AF359" i="97"/>
  <c r="AE359" i="97"/>
  <c r="AD359" i="97"/>
  <c r="AC359" i="97"/>
  <c r="AB359" i="97"/>
  <c r="AA359" i="97"/>
  <c r="Z359" i="97"/>
  <c r="Y359" i="97"/>
  <c r="X359" i="97"/>
  <c r="W359" i="97"/>
  <c r="V359" i="97"/>
  <c r="U359" i="97"/>
  <c r="T359" i="97"/>
  <c r="S359" i="97"/>
  <c r="R359" i="97"/>
  <c r="Q359" i="97"/>
  <c r="P359" i="97"/>
  <c r="O359" i="97"/>
  <c r="N359" i="97"/>
  <c r="M359" i="97"/>
  <c r="L359" i="97"/>
  <c r="K359" i="97"/>
  <c r="J359" i="97"/>
  <c r="I359" i="97"/>
  <c r="H359" i="97"/>
  <c r="G359" i="97"/>
  <c r="F359" i="97"/>
  <c r="AI340" i="89"/>
  <c r="AH340" i="89"/>
  <c r="AG340" i="89"/>
  <c r="AF340" i="89"/>
  <c r="AE340" i="89"/>
  <c r="AD340" i="89"/>
  <c r="AC340" i="89"/>
  <c r="AB340" i="89"/>
  <c r="AA340" i="89"/>
  <c r="Z340" i="89"/>
  <c r="Y340" i="89"/>
  <c r="X340" i="89"/>
  <c r="W340" i="89"/>
  <c r="V340" i="89"/>
  <c r="U340" i="89"/>
  <c r="T340" i="89"/>
  <c r="S340" i="89"/>
  <c r="R340" i="89"/>
  <c r="Q340" i="89"/>
  <c r="P340" i="89"/>
  <c r="O340" i="89"/>
  <c r="N340" i="89"/>
  <c r="M340" i="89"/>
  <c r="L340" i="89"/>
  <c r="K340" i="89"/>
  <c r="J340" i="89"/>
  <c r="I340" i="89"/>
  <c r="H340" i="89"/>
  <c r="G340" i="89"/>
  <c r="F340" i="89"/>
  <c r="AI334" i="89"/>
  <c r="AH334" i="89"/>
  <c r="AG334" i="89"/>
  <c r="AF334" i="89"/>
  <c r="AE334" i="89"/>
  <c r="AD334" i="89"/>
  <c r="AC334" i="89"/>
  <c r="AB334" i="89"/>
  <c r="AA334" i="89"/>
  <c r="Z334" i="89"/>
  <c r="Y334" i="89"/>
  <c r="X334" i="89"/>
  <c r="W334" i="89"/>
  <c r="V334" i="89"/>
  <c r="U334" i="89"/>
  <c r="T334" i="89"/>
  <c r="S334" i="89"/>
  <c r="R334" i="89"/>
  <c r="Q334" i="89"/>
  <c r="P334" i="89"/>
  <c r="O334" i="89"/>
  <c r="N334" i="89"/>
  <c r="M334" i="89"/>
  <c r="L334" i="89"/>
  <c r="K334" i="89"/>
  <c r="J334" i="89"/>
  <c r="I334" i="89"/>
  <c r="H334" i="89"/>
  <c r="G334" i="89"/>
  <c r="F334" i="89"/>
  <c r="AI328" i="89"/>
  <c r="AH328" i="89"/>
  <c r="AG328" i="89"/>
  <c r="AF328" i="89"/>
  <c r="AE328" i="89"/>
  <c r="AD328" i="89"/>
  <c r="AC328" i="89"/>
  <c r="AB328" i="89"/>
  <c r="AA328" i="89"/>
  <c r="Z328" i="89"/>
  <c r="Y328" i="89"/>
  <c r="X328" i="89"/>
  <c r="W328" i="89"/>
  <c r="V328" i="89"/>
  <c r="U328" i="89"/>
  <c r="T328" i="89"/>
  <c r="S328" i="89"/>
  <c r="R328" i="89"/>
  <c r="Q328" i="89"/>
  <c r="P328" i="89"/>
  <c r="O328" i="89"/>
  <c r="N328" i="89"/>
  <c r="M328" i="89"/>
  <c r="L328" i="89"/>
  <c r="K328" i="89"/>
  <c r="J328" i="89"/>
  <c r="I328" i="89"/>
  <c r="H328" i="89"/>
  <c r="G328" i="89"/>
  <c r="F328" i="89"/>
  <c r="AK340" i="97"/>
  <c r="AL340" i="97" s="1"/>
  <c r="AJ340" i="97"/>
  <c r="AI340" i="97"/>
  <c r="AH340" i="97"/>
  <c r="AG340" i="97"/>
  <c r="AF340" i="97"/>
  <c r="AE340" i="97"/>
  <c r="AD340" i="97"/>
  <c r="AC340" i="97"/>
  <c r="AB340" i="97"/>
  <c r="AA340" i="97"/>
  <c r="Z340" i="97"/>
  <c r="Y340" i="97"/>
  <c r="X340" i="97"/>
  <c r="W340" i="97"/>
  <c r="V340" i="97"/>
  <c r="U340" i="97"/>
  <c r="T340" i="97"/>
  <c r="S340" i="97"/>
  <c r="R340" i="97"/>
  <c r="Q340" i="97"/>
  <c r="P340" i="97"/>
  <c r="O340" i="97"/>
  <c r="N340" i="97"/>
  <c r="M340" i="97"/>
  <c r="L340" i="97"/>
  <c r="K340" i="97"/>
  <c r="J340" i="97"/>
  <c r="I340" i="97"/>
  <c r="H340" i="97"/>
  <c r="G340" i="97"/>
  <c r="F340" i="97"/>
  <c r="AK334" i="97"/>
  <c r="AL334" i="97" s="1"/>
  <c r="AJ334" i="97"/>
  <c r="AI334" i="97"/>
  <c r="AH334" i="97"/>
  <c r="AG334" i="97"/>
  <c r="AF334" i="97"/>
  <c r="AE334" i="97"/>
  <c r="AD334" i="97"/>
  <c r="AC334" i="97"/>
  <c r="AB334" i="97"/>
  <c r="AA334" i="97"/>
  <c r="Z334" i="97"/>
  <c r="Y334" i="97"/>
  <c r="X334" i="97"/>
  <c r="W334" i="97"/>
  <c r="V334" i="97"/>
  <c r="U334" i="97"/>
  <c r="T334" i="97"/>
  <c r="S334" i="97"/>
  <c r="R334" i="97"/>
  <c r="Q334" i="97"/>
  <c r="P334" i="97"/>
  <c r="O334" i="97"/>
  <c r="N334" i="97"/>
  <c r="M334" i="97"/>
  <c r="L334" i="97"/>
  <c r="K334" i="97"/>
  <c r="J334" i="97"/>
  <c r="I334" i="97"/>
  <c r="H334" i="97"/>
  <c r="G334" i="97"/>
  <c r="F334" i="97"/>
  <c r="AK328" i="97"/>
  <c r="AL328" i="97" s="1"/>
  <c r="AJ328" i="97"/>
  <c r="AI328" i="97"/>
  <c r="AH328" i="97"/>
  <c r="AG328" i="97"/>
  <c r="AF328" i="97"/>
  <c r="AE328" i="97"/>
  <c r="AD328" i="97"/>
  <c r="AC328" i="97"/>
  <c r="AB328" i="97"/>
  <c r="AA328" i="97"/>
  <c r="Z328" i="97"/>
  <c r="Y328" i="97"/>
  <c r="X328" i="97"/>
  <c r="W328" i="97"/>
  <c r="V328" i="97"/>
  <c r="U328" i="97"/>
  <c r="T328" i="97"/>
  <c r="S328" i="97"/>
  <c r="R328" i="97"/>
  <c r="Q328" i="97"/>
  <c r="P328" i="97"/>
  <c r="O328" i="97"/>
  <c r="N328" i="97"/>
  <c r="M328" i="97"/>
  <c r="L328" i="97"/>
  <c r="K328" i="97"/>
  <c r="J328" i="97"/>
  <c r="I328" i="97"/>
  <c r="H328" i="97"/>
  <c r="G328" i="97"/>
  <c r="F328" i="97"/>
  <c r="AI309" i="89"/>
  <c r="AH309" i="89"/>
  <c r="AG309" i="89"/>
  <c r="AF309" i="89"/>
  <c r="AE309" i="89"/>
  <c r="AD309" i="89"/>
  <c r="AC309" i="89"/>
  <c r="AB309" i="89"/>
  <c r="AA309" i="89"/>
  <c r="Z309" i="89"/>
  <c r="Y309" i="89"/>
  <c r="X309" i="89"/>
  <c r="W309" i="89"/>
  <c r="V309" i="89"/>
  <c r="U309" i="89"/>
  <c r="T309" i="89"/>
  <c r="S309" i="89"/>
  <c r="R309" i="89"/>
  <c r="Q309" i="89"/>
  <c r="P309" i="89"/>
  <c r="O309" i="89"/>
  <c r="N309" i="89"/>
  <c r="M309" i="89"/>
  <c r="L309" i="89"/>
  <c r="K309" i="89"/>
  <c r="J309" i="89"/>
  <c r="I309" i="89"/>
  <c r="H309" i="89"/>
  <c r="G309" i="89"/>
  <c r="F309" i="89"/>
  <c r="AI303" i="89"/>
  <c r="AH303" i="89"/>
  <c r="AG303" i="89"/>
  <c r="AF303" i="89"/>
  <c r="AE303" i="89"/>
  <c r="AD303" i="89"/>
  <c r="AC303" i="89"/>
  <c r="AB303" i="89"/>
  <c r="AA303" i="89"/>
  <c r="Z303" i="89"/>
  <c r="Y303" i="89"/>
  <c r="X303" i="89"/>
  <c r="W303" i="89"/>
  <c r="V303" i="89"/>
  <c r="U303" i="89"/>
  <c r="T303" i="89"/>
  <c r="S303" i="89"/>
  <c r="R303" i="89"/>
  <c r="Q303" i="89"/>
  <c r="P303" i="89"/>
  <c r="O303" i="89"/>
  <c r="N303" i="89"/>
  <c r="M303" i="89"/>
  <c r="L303" i="89"/>
  <c r="K303" i="89"/>
  <c r="J303" i="89"/>
  <c r="I303" i="89"/>
  <c r="H303" i="89"/>
  <c r="G303" i="89"/>
  <c r="F303" i="89"/>
  <c r="AI297" i="89"/>
  <c r="AH297" i="89"/>
  <c r="AG297" i="89"/>
  <c r="AF297" i="89"/>
  <c r="AE297" i="89"/>
  <c r="AD297" i="89"/>
  <c r="AC297" i="89"/>
  <c r="AB297" i="89"/>
  <c r="AA297" i="89"/>
  <c r="Z297" i="89"/>
  <c r="Y297" i="89"/>
  <c r="X297" i="89"/>
  <c r="W297" i="89"/>
  <c r="V297" i="89"/>
  <c r="U297" i="89"/>
  <c r="T297" i="89"/>
  <c r="S297" i="89"/>
  <c r="R297" i="89"/>
  <c r="Q297" i="89"/>
  <c r="P297" i="89"/>
  <c r="O297" i="89"/>
  <c r="N297" i="89"/>
  <c r="M297" i="89"/>
  <c r="L297" i="89"/>
  <c r="K297" i="89"/>
  <c r="J297" i="89"/>
  <c r="I297" i="89"/>
  <c r="H297" i="89"/>
  <c r="G297" i="89"/>
  <c r="F297" i="89"/>
  <c r="AK309" i="97"/>
  <c r="AL309" i="97" s="1"/>
  <c r="AJ309" i="97"/>
  <c r="AI309" i="97"/>
  <c r="AH309" i="97"/>
  <c r="AG309" i="97"/>
  <c r="AF309" i="97"/>
  <c r="AE309" i="97"/>
  <c r="AD309" i="97"/>
  <c r="AC309" i="97"/>
  <c r="AB309" i="97"/>
  <c r="AA309" i="97"/>
  <c r="Z309" i="97"/>
  <c r="Y309" i="97"/>
  <c r="X309" i="97"/>
  <c r="W309" i="97"/>
  <c r="V309" i="97"/>
  <c r="U309" i="97"/>
  <c r="T309" i="97"/>
  <c r="S309" i="97"/>
  <c r="R309" i="97"/>
  <c r="Q309" i="97"/>
  <c r="P309" i="97"/>
  <c r="O309" i="97"/>
  <c r="N309" i="97"/>
  <c r="M309" i="97"/>
  <c r="L309" i="97"/>
  <c r="K309" i="97"/>
  <c r="J309" i="97"/>
  <c r="I309" i="97"/>
  <c r="H309" i="97"/>
  <c r="G309" i="97"/>
  <c r="F309" i="97"/>
  <c r="AK303" i="97"/>
  <c r="AL303" i="97" s="1"/>
  <c r="AJ303" i="97"/>
  <c r="AI303" i="97"/>
  <c r="AH303" i="97"/>
  <c r="AG303" i="97"/>
  <c r="AF303" i="97"/>
  <c r="AE303" i="97"/>
  <c r="AD303" i="97"/>
  <c r="AC303" i="97"/>
  <c r="AB303" i="97"/>
  <c r="AA303" i="97"/>
  <c r="Z303" i="97"/>
  <c r="Y303" i="97"/>
  <c r="X303" i="97"/>
  <c r="W303" i="97"/>
  <c r="V303" i="97"/>
  <c r="U303" i="97"/>
  <c r="T303" i="97"/>
  <c r="S303" i="97"/>
  <c r="R303" i="97"/>
  <c r="Q303" i="97"/>
  <c r="P303" i="97"/>
  <c r="O303" i="97"/>
  <c r="N303" i="97"/>
  <c r="M303" i="97"/>
  <c r="L303" i="97"/>
  <c r="K303" i="97"/>
  <c r="J303" i="97"/>
  <c r="I303" i="97"/>
  <c r="H303" i="97"/>
  <c r="G303" i="97"/>
  <c r="F303" i="97"/>
  <c r="AK297" i="97"/>
  <c r="AL297" i="97" s="1"/>
  <c r="AJ297" i="97"/>
  <c r="AI297" i="97"/>
  <c r="AH297" i="97"/>
  <c r="AG297" i="97"/>
  <c r="AF297" i="97"/>
  <c r="AE297" i="97"/>
  <c r="AD297" i="97"/>
  <c r="AC297" i="97"/>
  <c r="AB297" i="97"/>
  <c r="AA297" i="97"/>
  <c r="Z297" i="97"/>
  <c r="Y297" i="97"/>
  <c r="X297" i="97"/>
  <c r="W297" i="97"/>
  <c r="V297" i="97"/>
  <c r="U297" i="97"/>
  <c r="T297" i="97"/>
  <c r="S297" i="97"/>
  <c r="R297" i="97"/>
  <c r="Q297" i="97"/>
  <c r="P297" i="97"/>
  <c r="O297" i="97"/>
  <c r="N297" i="97"/>
  <c r="M297" i="97"/>
  <c r="L297" i="97"/>
  <c r="K297" i="97"/>
  <c r="J297" i="97"/>
  <c r="I297" i="97"/>
  <c r="H297" i="97"/>
  <c r="G297" i="97"/>
  <c r="F297" i="97"/>
  <c r="AI278" i="89"/>
  <c r="AH278" i="89"/>
  <c r="AG278" i="89"/>
  <c r="AF278" i="89"/>
  <c r="AE278" i="89"/>
  <c r="AD278" i="89"/>
  <c r="AC278" i="89"/>
  <c r="AB278" i="89"/>
  <c r="AA278" i="89"/>
  <c r="Z278" i="89"/>
  <c r="Y278" i="89"/>
  <c r="X278" i="89"/>
  <c r="W278" i="89"/>
  <c r="V278" i="89"/>
  <c r="U278" i="89"/>
  <c r="T278" i="89"/>
  <c r="S278" i="89"/>
  <c r="R278" i="89"/>
  <c r="Q278" i="89"/>
  <c r="P278" i="89"/>
  <c r="O278" i="89"/>
  <c r="N278" i="89"/>
  <c r="M278" i="89"/>
  <c r="L278" i="89"/>
  <c r="K278" i="89"/>
  <c r="J278" i="89"/>
  <c r="I278" i="89"/>
  <c r="H278" i="89"/>
  <c r="G278" i="89"/>
  <c r="F278" i="89"/>
  <c r="AI272" i="89"/>
  <c r="AH272" i="89"/>
  <c r="AG272" i="89"/>
  <c r="AF272" i="89"/>
  <c r="AE272" i="89"/>
  <c r="AD272" i="89"/>
  <c r="AC272" i="89"/>
  <c r="AB272" i="89"/>
  <c r="AA272" i="89"/>
  <c r="Z272" i="89"/>
  <c r="Y272" i="89"/>
  <c r="X272" i="89"/>
  <c r="W272" i="89"/>
  <c r="V272" i="89"/>
  <c r="U272" i="89"/>
  <c r="T272" i="89"/>
  <c r="S272" i="89"/>
  <c r="R272" i="89"/>
  <c r="Q272" i="89"/>
  <c r="P272" i="89"/>
  <c r="O272" i="89"/>
  <c r="N272" i="89"/>
  <c r="M272" i="89"/>
  <c r="L272" i="89"/>
  <c r="K272" i="89"/>
  <c r="J272" i="89"/>
  <c r="I272" i="89"/>
  <c r="H272" i="89"/>
  <c r="G272" i="89"/>
  <c r="F272" i="89"/>
  <c r="AI266" i="89"/>
  <c r="AH266" i="89"/>
  <c r="AG266" i="89"/>
  <c r="AF266" i="89"/>
  <c r="AE266" i="89"/>
  <c r="AD266" i="89"/>
  <c r="AC266" i="89"/>
  <c r="AB266" i="89"/>
  <c r="AA266" i="89"/>
  <c r="Z266" i="89"/>
  <c r="Y266" i="89"/>
  <c r="X266" i="89"/>
  <c r="W266" i="89"/>
  <c r="V266" i="89"/>
  <c r="U266" i="89"/>
  <c r="T266" i="89"/>
  <c r="S266" i="89"/>
  <c r="R266" i="89"/>
  <c r="Q266" i="89"/>
  <c r="P266" i="89"/>
  <c r="O266" i="89"/>
  <c r="N266" i="89"/>
  <c r="M266" i="89"/>
  <c r="L266" i="89"/>
  <c r="K266" i="89"/>
  <c r="J266" i="89"/>
  <c r="I266" i="89"/>
  <c r="H266" i="89"/>
  <c r="G266" i="89"/>
  <c r="F266" i="89"/>
  <c r="AK278" i="97"/>
  <c r="AL278" i="97" s="1"/>
  <c r="AJ278" i="97"/>
  <c r="AI278" i="97"/>
  <c r="AH278" i="97"/>
  <c r="AG278" i="97"/>
  <c r="AF278" i="97"/>
  <c r="AE278" i="97"/>
  <c r="AD278" i="97"/>
  <c r="AC278" i="97"/>
  <c r="AB278" i="97"/>
  <c r="AA278" i="97"/>
  <c r="Z278" i="97"/>
  <c r="Y278" i="97"/>
  <c r="X278" i="97"/>
  <c r="W278" i="97"/>
  <c r="V278" i="97"/>
  <c r="U278" i="97"/>
  <c r="T278" i="97"/>
  <c r="S278" i="97"/>
  <c r="R278" i="97"/>
  <c r="Q278" i="97"/>
  <c r="P278" i="97"/>
  <c r="O278" i="97"/>
  <c r="N278" i="97"/>
  <c r="M278" i="97"/>
  <c r="L278" i="97"/>
  <c r="K278" i="97"/>
  <c r="J278" i="97"/>
  <c r="I278" i="97"/>
  <c r="H278" i="97"/>
  <c r="G278" i="97"/>
  <c r="F278" i="97"/>
  <c r="AK272" i="97"/>
  <c r="AL272" i="97" s="1"/>
  <c r="AJ272" i="97"/>
  <c r="AI272" i="97"/>
  <c r="AH272" i="97"/>
  <c r="AG272" i="97"/>
  <c r="AF272" i="97"/>
  <c r="AE272" i="97"/>
  <c r="AD272" i="97"/>
  <c r="AC272" i="97"/>
  <c r="AB272" i="97"/>
  <c r="AA272" i="97"/>
  <c r="Z272" i="97"/>
  <c r="Y272" i="97"/>
  <c r="X272" i="97"/>
  <c r="W272" i="97"/>
  <c r="V272" i="97"/>
  <c r="U272" i="97"/>
  <c r="T272" i="97"/>
  <c r="S272" i="97"/>
  <c r="R272" i="97"/>
  <c r="Q272" i="97"/>
  <c r="P272" i="97"/>
  <c r="O272" i="97"/>
  <c r="N272" i="97"/>
  <c r="M272" i="97"/>
  <c r="L272" i="97"/>
  <c r="K272" i="97"/>
  <c r="J272" i="97"/>
  <c r="I272" i="97"/>
  <c r="H272" i="97"/>
  <c r="G272" i="97"/>
  <c r="F272" i="97"/>
  <c r="AK266" i="97"/>
  <c r="AL266" i="97" s="1"/>
  <c r="AJ266" i="97"/>
  <c r="AI266" i="97"/>
  <c r="AH266" i="97"/>
  <c r="AG266" i="97"/>
  <c r="AF266" i="97"/>
  <c r="AE266" i="97"/>
  <c r="AD266" i="97"/>
  <c r="AC266" i="97"/>
  <c r="AB266" i="97"/>
  <c r="AA266" i="97"/>
  <c r="Z266" i="97"/>
  <c r="Y266" i="97"/>
  <c r="X266" i="97"/>
  <c r="W266" i="97"/>
  <c r="V266" i="97"/>
  <c r="U266" i="97"/>
  <c r="T266" i="97"/>
  <c r="S266" i="97"/>
  <c r="R266" i="97"/>
  <c r="Q266" i="97"/>
  <c r="P266" i="97"/>
  <c r="O266" i="97"/>
  <c r="N266" i="97"/>
  <c r="M266" i="97"/>
  <c r="L266" i="97"/>
  <c r="K266" i="97"/>
  <c r="J266" i="97"/>
  <c r="I266" i="97"/>
  <c r="H266" i="97"/>
  <c r="G266" i="97"/>
  <c r="F266" i="97"/>
  <c r="AK247" i="97"/>
  <c r="AL247" i="97" s="1"/>
  <c r="AJ247" i="97"/>
  <c r="AI247" i="97"/>
  <c r="AH247" i="97"/>
  <c r="AG247" i="97"/>
  <c r="AF247" i="97"/>
  <c r="AE247" i="97"/>
  <c r="AD247" i="97"/>
  <c r="AC247" i="97"/>
  <c r="AB247" i="97"/>
  <c r="AA247" i="97"/>
  <c r="Z247" i="97"/>
  <c r="Y247" i="97"/>
  <c r="X247" i="97"/>
  <c r="W247" i="97"/>
  <c r="V247" i="97"/>
  <c r="U247" i="97"/>
  <c r="T247" i="97"/>
  <c r="S247" i="97"/>
  <c r="R247" i="97"/>
  <c r="Q247" i="97"/>
  <c r="P247" i="97"/>
  <c r="O247" i="97"/>
  <c r="N247" i="97"/>
  <c r="M247" i="97"/>
  <c r="L247" i="97"/>
  <c r="K247" i="97"/>
  <c r="J247" i="97"/>
  <c r="I247" i="97"/>
  <c r="H247" i="97"/>
  <c r="G247" i="97"/>
  <c r="F247" i="97"/>
  <c r="AK241" i="97"/>
  <c r="AL241" i="97" s="1"/>
  <c r="AJ241" i="97"/>
  <c r="AI241" i="97"/>
  <c r="AH241" i="97"/>
  <c r="AG241" i="97"/>
  <c r="AF241" i="97"/>
  <c r="AE241" i="97"/>
  <c r="AD241" i="97"/>
  <c r="AC241" i="97"/>
  <c r="AB241" i="97"/>
  <c r="AA241" i="97"/>
  <c r="Z241" i="97"/>
  <c r="Y241" i="97"/>
  <c r="X241" i="97"/>
  <c r="W241" i="97"/>
  <c r="V241" i="97"/>
  <c r="U241" i="97"/>
  <c r="T241" i="97"/>
  <c r="S241" i="97"/>
  <c r="R241" i="97"/>
  <c r="Q241" i="97"/>
  <c r="P241" i="97"/>
  <c r="O241" i="97"/>
  <c r="N241" i="97"/>
  <c r="M241" i="97"/>
  <c r="L241" i="97"/>
  <c r="K241" i="97"/>
  <c r="J241" i="97"/>
  <c r="I241" i="97"/>
  <c r="H241" i="97"/>
  <c r="G241" i="97"/>
  <c r="F241" i="97"/>
  <c r="AK235" i="97"/>
  <c r="AL235" i="97" s="1"/>
  <c r="AJ235" i="97"/>
  <c r="AI235" i="97"/>
  <c r="AH235" i="97"/>
  <c r="AG235" i="97"/>
  <c r="AF235" i="97"/>
  <c r="AE235" i="97"/>
  <c r="AD235" i="97"/>
  <c r="AC235" i="97"/>
  <c r="AB235" i="97"/>
  <c r="AA235" i="97"/>
  <c r="Z235" i="97"/>
  <c r="Y235" i="97"/>
  <c r="X235" i="97"/>
  <c r="W235" i="97"/>
  <c r="V235" i="97"/>
  <c r="U235" i="97"/>
  <c r="T235" i="97"/>
  <c r="S235" i="97"/>
  <c r="R235" i="97"/>
  <c r="Q235" i="97"/>
  <c r="P235" i="97"/>
  <c r="O235" i="97"/>
  <c r="N235" i="97"/>
  <c r="M235" i="97"/>
  <c r="L235" i="97"/>
  <c r="K235" i="97"/>
  <c r="J235" i="97"/>
  <c r="I235" i="97"/>
  <c r="H235" i="97"/>
  <c r="G235" i="97"/>
  <c r="F235" i="97"/>
  <c r="AK154" i="97"/>
  <c r="AL154" i="97" s="1"/>
  <c r="AJ154" i="97"/>
  <c r="AI154" i="97"/>
  <c r="AH154" i="97"/>
  <c r="AG154" i="97"/>
  <c r="AF154" i="97"/>
  <c r="AE154" i="97"/>
  <c r="AD154" i="97"/>
  <c r="AC154" i="97"/>
  <c r="AB154" i="97"/>
  <c r="AA154" i="97"/>
  <c r="Z154" i="97"/>
  <c r="Y154" i="97"/>
  <c r="X154" i="97"/>
  <c r="W154" i="97"/>
  <c r="V154" i="97"/>
  <c r="U154" i="97"/>
  <c r="T154" i="97"/>
  <c r="S154" i="97"/>
  <c r="R154" i="97"/>
  <c r="Q154" i="97"/>
  <c r="P154" i="97"/>
  <c r="O154" i="97"/>
  <c r="N154" i="97"/>
  <c r="M154" i="97"/>
  <c r="L154" i="97"/>
  <c r="K154" i="97"/>
  <c r="J154" i="97"/>
  <c r="I154" i="97"/>
  <c r="H154" i="97"/>
  <c r="G154" i="97"/>
  <c r="F154" i="97"/>
  <c r="AK148" i="97"/>
  <c r="AL148" i="97" s="1"/>
  <c r="AJ148" i="97"/>
  <c r="AI148" i="97"/>
  <c r="AH148" i="97"/>
  <c r="AG148" i="97"/>
  <c r="AF148" i="97"/>
  <c r="AE148" i="97"/>
  <c r="AD148" i="97"/>
  <c r="AC148" i="97"/>
  <c r="AB148" i="97"/>
  <c r="AA148" i="97"/>
  <c r="Z148" i="97"/>
  <c r="Y148" i="97"/>
  <c r="X148" i="97"/>
  <c r="W148" i="97"/>
  <c r="V148" i="97"/>
  <c r="U148" i="97"/>
  <c r="T148" i="97"/>
  <c r="S148" i="97"/>
  <c r="R148" i="97"/>
  <c r="Q148" i="97"/>
  <c r="P148" i="97"/>
  <c r="O148" i="97"/>
  <c r="N148" i="97"/>
  <c r="M148" i="97"/>
  <c r="L148" i="97"/>
  <c r="K148" i="97"/>
  <c r="J148" i="97"/>
  <c r="I148" i="97"/>
  <c r="H148" i="97"/>
  <c r="G148" i="97"/>
  <c r="F148" i="97"/>
  <c r="AK142" i="97"/>
  <c r="AL142" i="97" s="1"/>
  <c r="AJ142" i="97"/>
  <c r="AI142" i="97"/>
  <c r="AH142" i="97"/>
  <c r="AG142" i="97"/>
  <c r="AF142" i="97"/>
  <c r="AE142" i="97"/>
  <c r="AD142" i="97"/>
  <c r="AC142" i="97"/>
  <c r="AB142" i="97"/>
  <c r="AA142" i="97"/>
  <c r="Z142" i="97"/>
  <c r="Y142" i="97"/>
  <c r="X142" i="97"/>
  <c r="W142" i="97"/>
  <c r="V142" i="97"/>
  <c r="U142" i="97"/>
  <c r="T142" i="97"/>
  <c r="S142" i="97"/>
  <c r="R142" i="97"/>
  <c r="Q142" i="97"/>
  <c r="P142" i="97"/>
  <c r="O142" i="97"/>
  <c r="N142" i="97"/>
  <c r="M142" i="97"/>
  <c r="L142" i="97"/>
  <c r="K142" i="97"/>
  <c r="J142" i="97"/>
  <c r="I142" i="97"/>
  <c r="H142" i="97"/>
  <c r="G142" i="97"/>
  <c r="F142" i="97"/>
  <c r="AK122" i="97"/>
  <c r="AL122" i="97" s="1"/>
  <c r="AJ122" i="97"/>
  <c r="AI122" i="97"/>
  <c r="AH122" i="97"/>
  <c r="AG122" i="97"/>
  <c r="AF122" i="97"/>
  <c r="AE122" i="97"/>
  <c r="AD122" i="97"/>
  <c r="AC122" i="97"/>
  <c r="AB122" i="97"/>
  <c r="AA122" i="97"/>
  <c r="Z122" i="97"/>
  <c r="Y122" i="97"/>
  <c r="X122" i="97"/>
  <c r="W122" i="97"/>
  <c r="V122" i="97"/>
  <c r="U122" i="97"/>
  <c r="T122" i="97"/>
  <c r="S122" i="97"/>
  <c r="R122" i="97"/>
  <c r="Q122" i="97"/>
  <c r="P122" i="97"/>
  <c r="O122" i="97"/>
  <c r="N122" i="97"/>
  <c r="M122" i="97"/>
  <c r="L122" i="97"/>
  <c r="K122" i="97"/>
  <c r="J122" i="97"/>
  <c r="I122" i="97"/>
  <c r="H122" i="97"/>
  <c r="G122" i="97"/>
  <c r="F122" i="97"/>
  <c r="AK116" i="97"/>
  <c r="AL116" i="97" s="1"/>
  <c r="AJ116" i="97"/>
  <c r="AI116" i="97"/>
  <c r="AH116" i="97"/>
  <c r="AG116" i="97"/>
  <c r="AF116" i="97"/>
  <c r="AE116" i="97"/>
  <c r="AD116" i="97"/>
  <c r="AC116" i="97"/>
  <c r="AB116" i="97"/>
  <c r="AA116" i="97"/>
  <c r="Z116" i="97"/>
  <c r="Y116" i="97"/>
  <c r="X116" i="97"/>
  <c r="W116" i="97"/>
  <c r="V116" i="97"/>
  <c r="U116" i="97"/>
  <c r="T116" i="97"/>
  <c r="S116" i="97"/>
  <c r="R116" i="97"/>
  <c r="Q116" i="97"/>
  <c r="P116" i="97"/>
  <c r="O116" i="97"/>
  <c r="N116" i="97"/>
  <c r="M116" i="97"/>
  <c r="L116" i="97"/>
  <c r="K116" i="97"/>
  <c r="J116" i="97"/>
  <c r="I116" i="97"/>
  <c r="H116" i="97"/>
  <c r="G116" i="97"/>
  <c r="F116" i="97"/>
  <c r="AK110" i="97"/>
  <c r="AL110" i="97" s="1"/>
  <c r="AJ110" i="97"/>
  <c r="AI110" i="97"/>
  <c r="AH110" i="97"/>
  <c r="AG110" i="97"/>
  <c r="AF110" i="97"/>
  <c r="AE110" i="97"/>
  <c r="AD110" i="97"/>
  <c r="AC110" i="97"/>
  <c r="AB110" i="97"/>
  <c r="AA110" i="97"/>
  <c r="Z110" i="97"/>
  <c r="Y110" i="97"/>
  <c r="X110" i="97"/>
  <c r="W110" i="97"/>
  <c r="V110" i="97"/>
  <c r="U110" i="97"/>
  <c r="T110" i="97"/>
  <c r="S110" i="97"/>
  <c r="R110" i="97"/>
  <c r="Q110" i="97"/>
  <c r="P110" i="97"/>
  <c r="O110" i="97"/>
  <c r="N110" i="97"/>
  <c r="M110" i="97"/>
  <c r="L110" i="97"/>
  <c r="K110" i="97"/>
  <c r="J110" i="97"/>
  <c r="I110" i="97"/>
  <c r="H110" i="97"/>
  <c r="G110" i="97"/>
  <c r="F110" i="97"/>
  <c r="AK94" i="44" l="1"/>
  <c r="AK25" i="44"/>
  <c r="AI28" i="16" s="1"/>
  <c r="AL131" i="2"/>
  <c r="AL43" i="2"/>
  <c r="AL35" i="2"/>
  <c r="AK103" i="44"/>
  <c r="C8" i="33"/>
  <c r="AK205" i="44"/>
  <c r="G26" i="33"/>
  <c r="AL873" i="97"/>
  <c r="AK178" i="44"/>
  <c r="AL128" i="2"/>
  <c r="AK126" i="2"/>
  <c r="AK76" i="2" s="1"/>
  <c r="AI8" i="13" s="1"/>
  <c r="AI95" i="13" s="1"/>
  <c r="AL45" i="2"/>
  <c r="AL37" i="2"/>
  <c r="AL36" i="2"/>
  <c r="AL41" i="2"/>
  <c r="AK116" i="44"/>
  <c r="C20" i="33"/>
  <c r="AL886" i="97"/>
  <c r="AL44" i="2"/>
  <c r="AI6" i="16"/>
  <c r="AK117" i="44"/>
  <c r="C21" i="33"/>
  <c r="AL868" i="97"/>
  <c r="AL40" i="2"/>
  <c r="AL39" i="2"/>
  <c r="AL46" i="2"/>
  <c r="AL38" i="2"/>
  <c r="AH6" i="63"/>
  <c r="AI96" i="13"/>
  <c r="AI97" i="13"/>
  <c r="AL127" i="2"/>
  <c r="AL78" i="2"/>
  <c r="AL130" i="2"/>
  <c r="AI523" i="97"/>
  <c r="AI25" i="16" l="1"/>
  <c r="C25" i="33"/>
  <c r="AK93" i="44"/>
  <c r="AK121" i="44"/>
  <c r="E8" i="33"/>
  <c r="AI98" i="13"/>
  <c r="AI101" i="13" s="1"/>
  <c r="I26" i="33"/>
  <c r="H26" i="33"/>
  <c r="AK146" i="44"/>
  <c r="E21" i="33"/>
  <c r="E20" i="33"/>
  <c r="AR105" i="44"/>
  <c r="AI150" i="97"/>
  <c r="AI118" i="97"/>
  <c r="AI243" i="97"/>
  <c r="AK120" i="44" l="1"/>
  <c r="E25" i="33"/>
  <c r="C24" i="33"/>
  <c r="AI102" i="13"/>
  <c r="AI103" i="13"/>
  <c r="G21" i="33"/>
  <c r="AK200" i="44"/>
  <c r="AL867" i="97"/>
  <c r="AK173" i="44"/>
  <c r="AI336" i="89"/>
  <c r="AI336" i="97"/>
  <c r="AI367" i="89"/>
  <c r="AI367" i="97"/>
  <c r="AI305" i="97"/>
  <c r="AI305" i="89"/>
  <c r="AI274" i="97"/>
  <c r="AI274" i="89"/>
  <c r="AI398" i="97"/>
  <c r="AI398" i="89"/>
  <c r="AI104" i="13" l="1"/>
  <c r="E24" i="33"/>
  <c r="I21" i="33"/>
  <c r="H21" i="33"/>
  <c r="S523" i="97"/>
  <c r="M523" i="97" l="1"/>
  <c r="I523" i="97"/>
  <c r="G523" i="97"/>
  <c r="K523" i="97"/>
  <c r="Q523" i="97"/>
  <c r="L523" i="97"/>
  <c r="S243" i="97"/>
  <c r="S150" i="97"/>
  <c r="S118" i="97"/>
  <c r="X523" i="97"/>
  <c r="T523" i="97"/>
  <c r="O523" i="97"/>
  <c r="V523" i="97"/>
  <c r="AC523" i="97"/>
  <c r="H523" i="97"/>
  <c r="J523" i="97"/>
  <c r="U523" i="97"/>
  <c r="P523" i="97"/>
  <c r="Y523" i="97"/>
  <c r="AB523" i="97"/>
  <c r="AA523" i="97"/>
  <c r="W523" i="97"/>
  <c r="N523" i="97"/>
  <c r="R523" i="97"/>
  <c r="Z523" i="97"/>
  <c r="S274" i="97" l="1"/>
  <c r="S274" i="89"/>
  <c r="S305" i="97"/>
  <c r="S305" i="89"/>
  <c r="S336" i="89"/>
  <c r="S336" i="97"/>
  <c r="S367" i="89"/>
  <c r="S367" i="97"/>
  <c r="S398" i="97"/>
  <c r="S398" i="89"/>
  <c r="AE523" i="97"/>
  <c r="U243" i="97"/>
  <c r="U150" i="97"/>
  <c r="U118" i="97"/>
  <c r="Q150" i="97"/>
  <c r="Q118" i="97"/>
  <c r="Q243" i="97"/>
  <c r="N150" i="97"/>
  <c r="N118" i="97"/>
  <c r="N243" i="97"/>
  <c r="AA243" i="97"/>
  <c r="AA118" i="97"/>
  <c r="AA150" i="97"/>
  <c r="I150" i="97"/>
  <c r="I118" i="97"/>
  <c r="I243" i="97"/>
  <c r="R118" i="97"/>
  <c r="R150" i="97"/>
  <c r="R243" i="97"/>
  <c r="AC118" i="97"/>
  <c r="AC243" i="97"/>
  <c r="AC150" i="97"/>
  <c r="AK523" i="97"/>
  <c r="AL523" i="97" s="1"/>
  <c r="AB243" i="97"/>
  <c r="AB150" i="97"/>
  <c r="AB118" i="97"/>
  <c r="G118" i="97"/>
  <c r="G243" i="97"/>
  <c r="G150" i="97"/>
  <c r="AD523" i="97"/>
  <c r="K243" i="97"/>
  <c r="K150" i="97"/>
  <c r="K118" i="97"/>
  <c r="W243" i="97"/>
  <c r="W118" i="97"/>
  <c r="W150" i="97"/>
  <c r="Y150" i="97"/>
  <c r="Y118" i="97"/>
  <c r="Y243" i="97"/>
  <c r="J118" i="97"/>
  <c r="J243" i="97"/>
  <c r="J150" i="97"/>
  <c r="V150" i="97"/>
  <c r="V243" i="97"/>
  <c r="V118" i="97"/>
  <c r="H243" i="97"/>
  <c r="H150" i="97"/>
  <c r="H118" i="97"/>
  <c r="X118" i="97"/>
  <c r="X243" i="97"/>
  <c r="X150" i="97"/>
  <c r="AF523" i="97"/>
  <c r="T150" i="97"/>
  <c r="T243" i="97"/>
  <c r="T118" i="97"/>
  <c r="M150" i="97"/>
  <c r="M243" i="97"/>
  <c r="M118" i="97"/>
  <c r="Z118" i="97"/>
  <c r="Z150" i="97"/>
  <c r="Z243" i="97"/>
  <c r="P243" i="97"/>
  <c r="P150" i="97"/>
  <c r="P118" i="97"/>
  <c r="O150" i="97"/>
  <c r="O118" i="97"/>
  <c r="O243" i="97"/>
  <c r="L243" i="97"/>
  <c r="L118" i="97"/>
  <c r="L150" i="97"/>
  <c r="L398" i="97" l="1"/>
  <c r="L398" i="89"/>
  <c r="P367" i="97"/>
  <c r="P367" i="89"/>
  <c r="M274" i="97"/>
  <c r="M274" i="89"/>
  <c r="T367" i="97"/>
  <c r="T367" i="89"/>
  <c r="X367" i="97"/>
  <c r="X367" i="89"/>
  <c r="V305" i="89"/>
  <c r="V305" i="97"/>
  <c r="W367" i="97"/>
  <c r="W367" i="89"/>
  <c r="K305" i="97"/>
  <c r="K305" i="89"/>
  <c r="AB367" i="97"/>
  <c r="AB367" i="89"/>
  <c r="AC398" i="97"/>
  <c r="AC398" i="89"/>
  <c r="R336" i="89"/>
  <c r="R336" i="97"/>
  <c r="I336" i="97"/>
  <c r="I336" i="89"/>
  <c r="N336" i="97"/>
  <c r="N336" i="89"/>
  <c r="Q336" i="97"/>
  <c r="Q336" i="89"/>
  <c r="U336" i="97"/>
  <c r="U336" i="89"/>
  <c r="AC305" i="89"/>
  <c r="AC305" i="97"/>
  <c r="Q274" i="97"/>
  <c r="Q274" i="89"/>
  <c r="Z367" i="89"/>
  <c r="Z367" i="97"/>
  <c r="M367" i="97"/>
  <c r="M367" i="89"/>
  <c r="X274" i="89"/>
  <c r="X274" i="97"/>
  <c r="Y336" i="97"/>
  <c r="Y336" i="89"/>
  <c r="W398" i="89"/>
  <c r="W398" i="97"/>
  <c r="K336" i="89"/>
  <c r="K336" i="97"/>
  <c r="G367" i="97"/>
  <c r="G367" i="89"/>
  <c r="R367" i="89"/>
  <c r="R367" i="97"/>
  <c r="AA274" i="97"/>
  <c r="AA274" i="89"/>
  <c r="N305" i="89"/>
  <c r="N305" i="97"/>
  <c r="Q367" i="89"/>
  <c r="Q367" i="97"/>
  <c r="U305" i="89"/>
  <c r="U305" i="97"/>
  <c r="O398" i="89"/>
  <c r="O398" i="97"/>
  <c r="Z305" i="97"/>
  <c r="Z305" i="89"/>
  <c r="T336" i="89"/>
  <c r="T336" i="97"/>
  <c r="H274" i="89"/>
  <c r="H274" i="97"/>
  <c r="V367" i="97"/>
  <c r="V367" i="89"/>
  <c r="J274" i="97"/>
  <c r="J274" i="89"/>
  <c r="Y274" i="97"/>
  <c r="Y274" i="89"/>
  <c r="AB274" i="97"/>
  <c r="AB274" i="89"/>
  <c r="AC274" i="97"/>
  <c r="AC274" i="89"/>
  <c r="R305" i="97"/>
  <c r="R305" i="89"/>
  <c r="I274" i="97"/>
  <c r="I274" i="89"/>
  <c r="AA305" i="97"/>
  <c r="AA305" i="89"/>
  <c r="Q398" i="89"/>
  <c r="Q398" i="97"/>
  <c r="H398" i="89"/>
  <c r="H398" i="97"/>
  <c r="I398" i="89"/>
  <c r="I398" i="97"/>
  <c r="P274" i="89"/>
  <c r="P274" i="97"/>
  <c r="O336" i="97"/>
  <c r="O336" i="89"/>
  <c r="Z274" i="97"/>
  <c r="Z274" i="89"/>
  <c r="X336" i="97"/>
  <c r="X336" i="89"/>
  <c r="H367" i="97"/>
  <c r="H367" i="89"/>
  <c r="V274" i="89"/>
  <c r="V274" i="97"/>
  <c r="Y305" i="97"/>
  <c r="Y305" i="89"/>
  <c r="W274" i="89"/>
  <c r="W274" i="97"/>
  <c r="G336" i="97"/>
  <c r="G336" i="89"/>
  <c r="AB398" i="97"/>
  <c r="AB398" i="89"/>
  <c r="AC336" i="97"/>
  <c r="AC336" i="89"/>
  <c r="N367" i="97"/>
  <c r="N367" i="89"/>
  <c r="V336" i="97"/>
  <c r="V336" i="89"/>
  <c r="AA398" i="97"/>
  <c r="AA398" i="89"/>
  <c r="L274" i="97"/>
  <c r="L274" i="89"/>
  <c r="L305" i="89"/>
  <c r="L305" i="97"/>
  <c r="L336" i="89"/>
  <c r="L336" i="97"/>
  <c r="M336" i="97"/>
  <c r="M336" i="89"/>
  <c r="T398" i="97"/>
  <c r="T398" i="89"/>
  <c r="X398" i="89"/>
  <c r="X398" i="97"/>
  <c r="J305" i="97"/>
  <c r="J305" i="89"/>
  <c r="W336" i="97"/>
  <c r="W336" i="89"/>
  <c r="K398" i="97"/>
  <c r="K398" i="89"/>
  <c r="G305" i="97"/>
  <c r="G305" i="89"/>
  <c r="N398" i="97"/>
  <c r="N398" i="89"/>
  <c r="U367" i="97"/>
  <c r="U367" i="89"/>
  <c r="P336" i="97"/>
  <c r="P336" i="89"/>
  <c r="L367" i="89"/>
  <c r="L367" i="97"/>
  <c r="P305" i="97"/>
  <c r="P305" i="89"/>
  <c r="P398" i="89"/>
  <c r="P398" i="97"/>
  <c r="M305" i="89"/>
  <c r="M305" i="97"/>
  <c r="T274" i="97"/>
  <c r="T274" i="89"/>
  <c r="H305" i="97"/>
  <c r="H305" i="89"/>
  <c r="V398" i="97"/>
  <c r="V398" i="89"/>
  <c r="J336" i="89"/>
  <c r="J336" i="97"/>
  <c r="Y398" i="89"/>
  <c r="Y398" i="97"/>
  <c r="K367" i="89"/>
  <c r="K367" i="97"/>
  <c r="G398" i="89"/>
  <c r="G398" i="97"/>
  <c r="AB336" i="89"/>
  <c r="AB336" i="97"/>
  <c r="AC367" i="97"/>
  <c r="AC367" i="89"/>
  <c r="R274" i="97"/>
  <c r="R274" i="89"/>
  <c r="I305" i="97"/>
  <c r="I305" i="89"/>
  <c r="AA336" i="89"/>
  <c r="AA336" i="97"/>
  <c r="U398" i="97"/>
  <c r="U398" i="89"/>
  <c r="M398" i="97"/>
  <c r="M398" i="89"/>
  <c r="J398" i="97"/>
  <c r="J398" i="89"/>
  <c r="N274" i="89"/>
  <c r="N274" i="97"/>
  <c r="O274" i="89"/>
  <c r="O274" i="97"/>
  <c r="O367" i="97"/>
  <c r="O367" i="89"/>
  <c r="Z398" i="97"/>
  <c r="Z398" i="89"/>
  <c r="O305" i="97"/>
  <c r="O305" i="89"/>
  <c r="Z336" i="89"/>
  <c r="Z336" i="97"/>
  <c r="T305" i="89"/>
  <c r="T305" i="97"/>
  <c r="X305" i="97"/>
  <c r="X305" i="89"/>
  <c r="H336" i="97"/>
  <c r="H336" i="89"/>
  <c r="J367" i="89"/>
  <c r="J367" i="97"/>
  <c r="Y367" i="89"/>
  <c r="Y367" i="97"/>
  <c r="W305" i="97"/>
  <c r="W305" i="89"/>
  <c r="K274" i="97"/>
  <c r="K274" i="89"/>
  <c r="G274" i="89"/>
  <c r="G274" i="97"/>
  <c r="AB305" i="89"/>
  <c r="AB305" i="97"/>
  <c r="R398" i="97"/>
  <c r="R398" i="89"/>
  <c r="I367" i="89"/>
  <c r="I367" i="97"/>
  <c r="AA367" i="89"/>
  <c r="AA367" i="97"/>
  <c r="Q305" i="97"/>
  <c r="Q305" i="89"/>
  <c r="U274" i="97"/>
  <c r="U274" i="89"/>
  <c r="F523" i="97"/>
  <c r="AK336" i="97"/>
  <c r="AL336" i="97" s="1"/>
  <c r="AK367" i="97"/>
  <c r="AL367" i="97" s="1"/>
  <c r="AK150" i="97"/>
  <c r="AL150" i="97" s="1"/>
  <c r="AK243" i="97"/>
  <c r="AL243" i="97" s="1"/>
  <c r="AK118" i="97"/>
  <c r="AL118" i="97" s="1"/>
  <c r="AK398" i="97"/>
  <c r="AL398" i="97" s="1"/>
  <c r="AK305" i="97"/>
  <c r="AL305" i="97" s="1"/>
  <c r="AK274" i="97"/>
  <c r="AL274" i="97" s="1"/>
  <c r="AH523" i="97"/>
  <c r="AF150" i="97"/>
  <c r="AF118" i="97"/>
  <c r="AF243" i="97"/>
  <c r="AD243" i="97"/>
  <c r="AD150" i="97"/>
  <c r="AD118" i="97"/>
  <c r="AJ523" i="97"/>
  <c r="AE243" i="97"/>
  <c r="AE150" i="97"/>
  <c r="AE118" i="97"/>
  <c r="AF305" i="97" l="1"/>
  <c r="AF305" i="89"/>
  <c r="AE274" i="89"/>
  <c r="AE274" i="97"/>
  <c r="AF367" i="97"/>
  <c r="AF367" i="89"/>
  <c r="AD367" i="97"/>
  <c r="AD367" i="89"/>
  <c r="AF336" i="97"/>
  <c r="AF336" i="89"/>
  <c r="AF398" i="89"/>
  <c r="AF398" i="97"/>
  <c r="AE398" i="89"/>
  <c r="AE398" i="97"/>
  <c r="AD274" i="89"/>
  <c r="AD274" i="97"/>
  <c r="AF274" i="89"/>
  <c r="AF274" i="97"/>
  <c r="AD336" i="97"/>
  <c r="AD336" i="89"/>
  <c r="AE367" i="97"/>
  <c r="AE367" i="89"/>
  <c r="AE305" i="97"/>
  <c r="AE305" i="89"/>
  <c r="AE336" i="97"/>
  <c r="AE336" i="89"/>
  <c r="AD305" i="89"/>
  <c r="AD305" i="97"/>
  <c r="AD398" i="97"/>
  <c r="AD398" i="89"/>
  <c r="AJ398" i="97"/>
  <c r="AJ336" i="97"/>
  <c r="AJ150" i="97"/>
  <c r="AJ243" i="97"/>
  <c r="AJ274" i="97"/>
  <c r="AJ305" i="97"/>
  <c r="AJ118" i="97"/>
  <c r="AJ367" i="97"/>
  <c r="F150" i="97"/>
  <c r="F243" i="97"/>
  <c r="F118" i="97"/>
  <c r="AH150" i="97"/>
  <c r="AH118" i="97"/>
  <c r="AH243" i="97"/>
  <c r="AG523" i="97"/>
  <c r="F274" i="89" l="1"/>
  <c r="F274" i="97"/>
  <c r="AH398" i="97"/>
  <c r="AH398" i="89"/>
  <c r="AH274" i="97"/>
  <c r="AH274" i="89"/>
  <c r="AH336" i="89"/>
  <c r="AH336" i="97"/>
  <c r="AH367" i="89"/>
  <c r="AH367" i="97"/>
  <c r="F367" i="97"/>
  <c r="F367" i="89"/>
  <c r="F398" i="97"/>
  <c r="F398" i="89"/>
  <c r="F305" i="89"/>
  <c r="F305" i="97"/>
  <c r="AH305" i="97"/>
  <c r="AH305" i="89"/>
  <c r="F336" i="97"/>
  <c r="F336" i="89"/>
  <c r="AG243" i="97"/>
  <c r="AG150" i="97"/>
  <c r="AG118" i="97"/>
  <c r="AG274" i="97" l="1"/>
  <c r="AG274" i="89"/>
  <c r="AG398" i="89"/>
  <c r="AG398" i="97"/>
  <c r="AG336" i="97"/>
  <c r="AG336" i="89"/>
  <c r="AG305" i="97"/>
  <c r="AG305" i="89"/>
  <c r="AG367" i="89"/>
  <c r="AG367" i="97"/>
  <c r="AJ433" i="97" l="1"/>
  <c r="AB433" i="97"/>
  <c r="U433" i="97"/>
  <c r="T433" i="97" l="1"/>
  <c r="AE433" i="97"/>
  <c r="Z433" i="97"/>
  <c r="J433" i="97"/>
  <c r="AC433" i="97"/>
  <c r="Y433" i="97"/>
  <c r="W433" i="97"/>
  <c r="K433" i="97"/>
  <c r="O433" i="97"/>
  <c r="N433" i="97"/>
  <c r="L433" i="97"/>
  <c r="AH433" i="97"/>
  <c r="M433" i="97"/>
  <c r="AB529" i="97" l="1"/>
  <c r="AJ249" i="97"/>
  <c r="AJ156" i="97"/>
  <c r="AJ280" i="97"/>
  <c r="AJ124" i="97"/>
  <c r="AJ311" i="97"/>
  <c r="AJ342" i="97"/>
  <c r="AJ404" i="97"/>
  <c r="AJ373" i="97"/>
  <c r="U529" i="97"/>
  <c r="AB156" i="97"/>
  <c r="AB249" i="97"/>
  <c r="AB124" i="97"/>
  <c r="U124" i="97"/>
  <c r="U156" i="97"/>
  <c r="U249" i="97"/>
  <c r="AJ529" i="97"/>
  <c r="AD433" i="97"/>
  <c r="P433" i="97"/>
  <c r="H433" i="97"/>
  <c r="AA433" i="97"/>
  <c r="G433" i="97"/>
  <c r="AG433" i="97"/>
  <c r="V433" i="97"/>
  <c r="I433" i="97"/>
  <c r="X433" i="97"/>
  <c r="S433" i="97"/>
  <c r="F433" i="97"/>
  <c r="AF433" i="97"/>
  <c r="AI433" i="97"/>
  <c r="R433" i="97"/>
  <c r="AK433" i="97"/>
  <c r="AL433" i="97" s="1"/>
  <c r="Q433" i="97"/>
  <c r="U404" i="89" l="1"/>
  <c r="U404" i="97"/>
  <c r="U373" i="97"/>
  <c r="U373" i="89"/>
  <c r="AB404" i="97"/>
  <c r="AB404" i="89"/>
  <c r="U280" i="97"/>
  <c r="U435" i="97" s="1"/>
  <c r="U280" i="89"/>
  <c r="AB342" i="97"/>
  <c r="AB342" i="89"/>
  <c r="U342" i="97"/>
  <c r="U342" i="89"/>
  <c r="AB373" i="97"/>
  <c r="AB373" i="89"/>
  <c r="AJ435" i="97"/>
  <c r="U311" i="97"/>
  <c r="U311" i="89"/>
  <c r="AB311" i="97"/>
  <c r="AB311" i="89"/>
  <c r="AB280" i="89"/>
  <c r="AB280" i="97"/>
  <c r="Z124" i="97"/>
  <c r="Z156" i="97"/>
  <c r="Z249" i="97"/>
  <c r="T249" i="97"/>
  <c r="T124" i="97"/>
  <c r="T156" i="97"/>
  <c r="K529" i="97"/>
  <c r="L529" i="97"/>
  <c r="W156" i="97"/>
  <c r="W124" i="97"/>
  <c r="W249" i="97"/>
  <c r="AE124" i="97"/>
  <c r="AE249" i="97"/>
  <c r="AE156" i="97"/>
  <c r="AC249" i="97"/>
  <c r="AC156" i="97"/>
  <c r="AC124" i="97"/>
  <c r="O124" i="97"/>
  <c r="O249" i="97"/>
  <c r="O156" i="97"/>
  <c r="Z529" i="97"/>
  <c r="T529" i="97"/>
  <c r="AC529" i="97"/>
  <c r="O529" i="97"/>
  <c r="M249" i="97"/>
  <c r="M124" i="97"/>
  <c r="M156" i="97"/>
  <c r="W529" i="97"/>
  <c r="J156" i="97"/>
  <c r="J124" i="97"/>
  <c r="J249" i="97"/>
  <c r="AE529" i="97"/>
  <c r="AH249" i="97"/>
  <c r="AH156" i="97"/>
  <c r="AH124" i="97"/>
  <c r="N124" i="97"/>
  <c r="N249" i="97"/>
  <c r="N156" i="97"/>
  <c r="Y156" i="97"/>
  <c r="Y124" i="97"/>
  <c r="Y249" i="97"/>
  <c r="M529" i="97"/>
  <c r="N529" i="97"/>
  <c r="K249" i="97"/>
  <c r="K156" i="97"/>
  <c r="K124" i="97"/>
  <c r="Y529" i="97"/>
  <c r="J529" i="97"/>
  <c r="L124" i="97"/>
  <c r="L156" i="97"/>
  <c r="L249" i="97"/>
  <c r="AH529" i="97"/>
  <c r="AB435" i="97" l="1"/>
  <c r="L311" i="97"/>
  <c r="L311" i="89"/>
  <c r="K404" i="97"/>
  <c r="K404" i="89"/>
  <c r="N404" i="97"/>
  <c r="N404" i="89"/>
  <c r="J342" i="97"/>
  <c r="J342" i="89"/>
  <c r="AE342" i="97"/>
  <c r="AE342" i="89"/>
  <c r="T280" i="89"/>
  <c r="T280" i="97"/>
  <c r="Z311" i="89"/>
  <c r="Z311" i="97"/>
  <c r="L373" i="97"/>
  <c r="L373" i="89"/>
  <c r="K373" i="97"/>
  <c r="K373" i="89"/>
  <c r="Y311" i="97"/>
  <c r="Y311" i="89"/>
  <c r="N342" i="97"/>
  <c r="N342" i="89"/>
  <c r="AH311" i="89"/>
  <c r="AH311" i="97"/>
  <c r="J311" i="89"/>
  <c r="J311" i="97"/>
  <c r="M404" i="89"/>
  <c r="M404" i="97"/>
  <c r="AC280" i="97"/>
  <c r="AC280" i="89"/>
  <c r="AE373" i="89"/>
  <c r="AE373" i="97"/>
  <c r="W311" i="97"/>
  <c r="W311" i="89"/>
  <c r="T311" i="97"/>
  <c r="T311" i="89"/>
  <c r="AH404" i="97"/>
  <c r="AH404" i="89"/>
  <c r="J404" i="97"/>
  <c r="J404" i="89"/>
  <c r="M280" i="97"/>
  <c r="M280" i="89"/>
  <c r="O373" i="89"/>
  <c r="O373" i="97"/>
  <c r="AE280" i="97"/>
  <c r="AE280" i="89"/>
  <c r="W342" i="97"/>
  <c r="W342" i="89"/>
  <c r="T342" i="97"/>
  <c r="T342" i="89"/>
  <c r="K311" i="97"/>
  <c r="K311" i="89"/>
  <c r="N280" i="97"/>
  <c r="N280" i="89"/>
  <c r="AH342" i="97"/>
  <c r="AH342" i="89"/>
  <c r="J280" i="97"/>
  <c r="J280" i="89"/>
  <c r="M311" i="97"/>
  <c r="M311" i="89"/>
  <c r="O280" i="97"/>
  <c r="O280" i="89"/>
  <c r="AC342" i="97"/>
  <c r="AC342" i="89"/>
  <c r="Z280" i="97"/>
  <c r="Z280" i="89"/>
  <c r="L404" i="97"/>
  <c r="L404" i="89"/>
  <c r="K280" i="97"/>
  <c r="K280" i="89"/>
  <c r="Y342" i="97"/>
  <c r="Y342" i="89"/>
  <c r="AH280" i="97"/>
  <c r="AH280" i="89"/>
  <c r="AC311" i="97"/>
  <c r="AC311" i="89"/>
  <c r="AE404" i="97"/>
  <c r="AE404" i="89"/>
  <c r="W373" i="89"/>
  <c r="W373" i="97"/>
  <c r="T404" i="97"/>
  <c r="T404" i="89"/>
  <c r="Z404" i="97"/>
  <c r="Z404" i="89"/>
  <c r="Y280" i="97"/>
  <c r="Y280" i="89"/>
  <c r="M373" i="97"/>
  <c r="M373" i="89"/>
  <c r="O342" i="97"/>
  <c r="O342" i="89"/>
  <c r="W280" i="97"/>
  <c r="W280" i="89"/>
  <c r="Z373" i="97"/>
  <c r="Z373" i="89"/>
  <c r="L280" i="89"/>
  <c r="L280" i="97"/>
  <c r="Y404" i="97"/>
  <c r="Y404" i="89"/>
  <c r="N373" i="97"/>
  <c r="N373" i="89"/>
  <c r="M342" i="97"/>
  <c r="M342" i="89"/>
  <c r="O404" i="97"/>
  <c r="O404" i="89"/>
  <c r="AC373" i="97"/>
  <c r="AC373" i="89"/>
  <c r="AE311" i="97"/>
  <c r="AE311" i="89"/>
  <c r="W404" i="97"/>
  <c r="W404" i="89"/>
  <c r="Z342" i="97"/>
  <c r="Z342" i="89"/>
  <c r="L342" i="97"/>
  <c r="L342" i="89"/>
  <c r="K342" i="97"/>
  <c r="K435" i="97" s="1"/>
  <c r="K342" i="89"/>
  <c r="Y373" i="97"/>
  <c r="Y373" i="89"/>
  <c r="N311" i="97"/>
  <c r="N311" i="89"/>
  <c r="AH373" i="97"/>
  <c r="AH373" i="89"/>
  <c r="J373" i="97"/>
  <c r="J373" i="89"/>
  <c r="O311" i="97"/>
  <c r="O311" i="89"/>
  <c r="AC404" i="89"/>
  <c r="AC404" i="97"/>
  <c r="T373" i="97"/>
  <c r="T373" i="89"/>
  <c r="H156" i="97"/>
  <c r="H124" i="97"/>
  <c r="H249" i="97"/>
  <c r="X124" i="97"/>
  <c r="X156" i="97"/>
  <c r="X249" i="97"/>
  <c r="R156" i="97"/>
  <c r="R124" i="97"/>
  <c r="R249" i="97"/>
  <c r="G249" i="97"/>
  <c r="G156" i="97"/>
  <c r="G124" i="97"/>
  <c r="AF156" i="97"/>
  <c r="AF249" i="97"/>
  <c r="AF124" i="97"/>
  <c r="Q156" i="97"/>
  <c r="Q249" i="97"/>
  <c r="Q124" i="97"/>
  <c r="AK529" i="97"/>
  <c r="AL529" i="97" s="1"/>
  <c r="V156" i="97"/>
  <c r="V124" i="97"/>
  <c r="V249" i="97"/>
  <c r="F249" i="97"/>
  <c r="F156" i="97"/>
  <c r="F124" i="97"/>
  <c r="X529" i="97"/>
  <c r="R529" i="97"/>
  <c r="G529" i="97"/>
  <c r="Q529" i="97"/>
  <c r="AI249" i="97"/>
  <c r="AI156" i="97"/>
  <c r="AI124" i="97"/>
  <c r="V529" i="97"/>
  <c r="H529" i="97"/>
  <c r="AF529" i="97"/>
  <c r="AD529" i="97"/>
  <c r="I529" i="97"/>
  <c r="S124" i="97"/>
  <c r="S156" i="97"/>
  <c r="S249" i="97"/>
  <c r="AA249" i="97"/>
  <c r="AA124" i="97"/>
  <c r="AA156" i="97"/>
  <c r="I124" i="97"/>
  <c r="I156" i="97"/>
  <c r="I249" i="97"/>
  <c r="AG124" i="97"/>
  <c r="AG156" i="97"/>
  <c r="AG249" i="97"/>
  <c r="AI529" i="97"/>
  <c r="F529" i="97"/>
  <c r="P124" i="97"/>
  <c r="P249" i="97"/>
  <c r="P156" i="97"/>
  <c r="AA529" i="97"/>
  <c r="AG529" i="97"/>
  <c r="S529" i="97"/>
  <c r="AK311" i="97"/>
  <c r="AL311" i="97" s="1"/>
  <c r="AK280" i="97"/>
  <c r="AL280" i="97" s="1"/>
  <c r="AK124" i="97"/>
  <c r="AL124" i="97" s="1"/>
  <c r="AK342" i="97"/>
  <c r="AL342" i="97" s="1"/>
  <c r="AK404" i="97"/>
  <c r="AL404" i="97" s="1"/>
  <c r="AK373" i="97"/>
  <c r="AL373" i="97" s="1"/>
  <c r="AK249" i="97"/>
  <c r="AL249" i="97" s="1"/>
  <c r="AK156" i="97"/>
  <c r="AL156" i="97" s="1"/>
  <c r="AD249" i="97"/>
  <c r="AD124" i="97"/>
  <c r="AD156" i="97"/>
  <c r="P529" i="97"/>
  <c r="Y435" i="97" l="1"/>
  <c r="M435" i="97"/>
  <c r="J435" i="97"/>
  <c r="T435" i="97"/>
  <c r="AH435" i="97"/>
  <c r="L435" i="97"/>
  <c r="Z435" i="97"/>
  <c r="AC435" i="97"/>
  <c r="V373" i="97"/>
  <c r="V373" i="89"/>
  <c r="AD311" i="97"/>
  <c r="AD311" i="89"/>
  <c r="I280" i="97"/>
  <c r="I280" i="89"/>
  <c r="AA373" i="97"/>
  <c r="AA373" i="89"/>
  <c r="AI373" i="97"/>
  <c r="AI373" i="89"/>
  <c r="F342" i="97"/>
  <c r="F342" i="89"/>
  <c r="V311" i="97"/>
  <c r="V311" i="89"/>
  <c r="AF404" i="97"/>
  <c r="AF404" i="89"/>
  <c r="G342" i="97"/>
  <c r="G342" i="89"/>
  <c r="R404" i="97"/>
  <c r="R404" i="89"/>
  <c r="X404" i="97"/>
  <c r="X404" i="89"/>
  <c r="H373" i="97"/>
  <c r="H373" i="89"/>
  <c r="AE435" i="97"/>
  <c r="AD404" i="97"/>
  <c r="AD404" i="89"/>
  <c r="Q342" i="97"/>
  <c r="Q342" i="89"/>
  <c r="AA311" i="97"/>
  <c r="AA311" i="89"/>
  <c r="S280" i="97"/>
  <c r="S280" i="89"/>
  <c r="AI342" i="97"/>
  <c r="AI342" i="89"/>
  <c r="F404" i="97"/>
  <c r="F404" i="89"/>
  <c r="V280" i="97"/>
  <c r="V280" i="89"/>
  <c r="G280" i="97"/>
  <c r="G280" i="89"/>
  <c r="X280" i="97"/>
  <c r="X280" i="89"/>
  <c r="H311" i="97"/>
  <c r="H311" i="89"/>
  <c r="AD280" i="97"/>
  <c r="AD280" i="89"/>
  <c r="P311" i="97"/>
  <c r="P311" i="89"/>
  <c r="AG342" i="97"/>
  <c r="AG342" i="89"/>
  <c r="S373" i="97"/>
  <c r="S373" i="89"/>
  <c r="AI311" i="97"/>
  <c r="AI311" i="89"/>
  <c r="F280" i="97"/>
  <c r="F280" i="89"/>
  <c r="Q311" i="97"/>
  <c r="Q311" i="89"/>
  <c r="R373" i="97"/>
  <c r="R373" i="89"/>
  <c r="P280" i="97"/>
  <c r="P280" i="89"/>
  <c r="AA280" i="97"/>
  <c r="AA280" i="89"/>
  <c r="AI280" i="97"/>
  <c r="AI280" i="89"/>
  <c r="R311" i="89"/>
  <c r="R311" i="97"/>
  <c r="AD342" i="97"/>
  <c r="AD342" i="89"/>
  <c r="AK435" i="97"/>
  <c r="AL435" i="97" s="1"/>
  <c r="P342" i="89"/>
  <c r="P342" i="97"/>
  <c r="AG280" i="97"/>
  <c r="AG280" i="89"/>
  <c r="I404" i="97"/>
  <c r="I404" i="89"/>
  <c r="AA342" i="97"/>
  <c r="AA342" i="89"/>
  <c r="S311" i="97"/>
  <c r="S311" i="89"/>
  <c r="Q404" i="97"/>
  <c r="Q404" i="89"/>
  <c r="AF311" i="97"/>
  <c r="AF311" i="89"/>
  <c r="G311" i="97"/>
  <c r="G311" i="89"/>
  <c r="H342" i="89"/>
  <c r="H342" i="97"/>
  <c r="F373" i="97"/>
  <c r="F373" i="89"/>
  <c r="P404" i="97"/>
  <c r="P404" i="89"/>
  <c r="AG404" i="97"/>
  <c r="AG404" i="89"/>
  <c r="I373" i="97"/>
  <c r="I373" i="89"/>
  <c r="AA404" i="97"/>
  <c r="AA404" i="89"/>
  <c r="S342" i="97"/>
  <c r="S342" i="89"/>
  <c r="Q373" i="97"/>
  <c r="Q373" i="89"/>
  <c r="AF373" i="97"/>
  <c r="AF373" i="89"/>
  <c r="R342" i="97"/>
  <c r="R342" i="89"/>
  <c r="X373" i="97"/>
  <c r="X373" i="89"/>
  <c r="G373" i="89"/>
  <c r="G373" i="97"/>
  <c r="AD373" i="97"/>
  <c r="AD373" i="89"/>
  <c r="AG311" i="97"/>
  <c r="AG311" i="89"/>
  <c r="I342" i="97"/>
  <c r="I342" i="89"/>
  <c r="AI404" i="97"/>
  <c r="AI435" i="97" s="1"/>
  <c r="AI404" i="89"/>
  <c r="F311" i="97"/>
  <c r="F311" i="89"/>
  <c r="V342" i="97"/>
  <c r="V342" i="89"/>
  <c r="R280" i="97"/>
  <c r="R280" i="89"/>
  <c r="X311" i="97"/>
  <c r="X311" i="89"/>
  <c r="H280" i="97"/>
  <c r="H280" i="89"/>
  <c r="W435" i="97"/>
  <c r="AG373" i="97"/>
  <c r="AG373" i="89"/>
  <c r="AF280" i="97"/>
  <c r="AF280" i="89"/>
  <c r="P373" i="97"/>
  <c r="P435" i="97" s="1"/>
  <c r="P373" i="89"/>
  <c r="I311" i="97"/>
  <c r="I311" i="89"/>
  <c r="S404" i="97"/>
  <c r="S404" i="89"/>
  <c r="V404" i="97"/>
  <c r="V404" i="89"/>
  <c r="Q280" i="97"/>
  <c r="Q280" i="89"/>
  <c r="AF342" i="89"/>
  <c r="AF342" i="97"/>
  <c r="G404" i="97"/>
  <c r="G404" i="89"/>
  <c r="X342" i="89"/>
  <c r="X342" i="97"/>
  <c r="X435" i="97" s="1"/>
  <c r="H404" i="97"/>
  <c r="H404" i="89"/>
  <c r="O435" i="97"/>
  <c r="N435" i="97"/>
  <c r="AA435" i="97" l="1"/>
  <c r="Q435" i="97"/>
  <c r="S435" i="97"/>
  <c r="R435" i="97"/>
  <c r="I435" i="97"/>
  <c r="H435" i="97"/>
  <c r="AF435" i="97"/>
  <c r="AG435" i="97"/>
  <c r="V435" i="97"/>
  <c r="F435" i="97"/>
  <c r="AD435" i="97"/>
  <c r="G435" i="97"/>
  <c r="N421" i="97" l="1"/>
  <c r="I421" i="97" l="1"/>
  <c r="L421" i="97"/>
  <c r="R421" i="97"/>
  <c r="P421" i="97"/>
  <c r="G421" i="97"/>
  <c r="Y421" i="97"/>
  <c r="X421" i="97"/>
  <c r="N144" i="97" l="1"/>
  <c r="N112" i="97"/>
  <c r="N237" i="97"/>
  <c r="N517" i="97"/>
  <c r="S421" i="97"/>
  <c r="AA421" i="97"/>
  <c r="F421" i="97"/>
  <c r="U421" i="97"/>
  <c r="AH421" i="97"/>
  <c r="AD421" i="97"/>
  <c r="V421" i="97"/>
  <c r="AJ421" i="97"/>
  <c r="H421" i="97"/>
  <c r="Z421" i="97"/>
  <c r="AE421" i="97"/>
  <c r="AC421" i="97"/>
  <c r="W421" i="97"/>
  <c r="AG421" i="97"/>
  <c r="N392" i="97" l="1"/>
  <c r="N392" i="89"/>
  <c r="N268" i="97"/>
  <c r="N268" i="89"/>
  <c r="N299" i="89"/>
  <c r="N299" i="97"/>
  <c r="N330" i="89"/>
  <c r="N330" i="97"/>
  <c r="N361" i="89"/>
  <c r="N361" i="97"/>
  <c r="L144" i="97"/>
  <c r="L237" i="97"/>
  <c r="L112" i="97"/>
  <c r="G517" i="97"/>
  <c r="G144" i="97"/>
  <c r="G237" i="97"/>
  <c r="G112" i="97"/>
  <c r="P517" i="97"/>
  <c r="X144" i="97"/>
  <c r="X237" i="97"/>
  <c r="X112" i="97"/>
  <c r="Y237" i="97"/>
  <c r="Y112" i="97"/>
  <c r="Y144" i="97"/>
  <c r="I112" i="97"/>
  <c r="I144" i="97"/>
  <c r="I237" i="97"/>
  <c r="R237" i="97"/>
  <c r="R144" i="97"/>
  <c r="R112" i="97"/>
  <c r="L517" i="97"/>
  <c r="X517" i="97"/>
  <c r="Y517" i="97"/>
  <c r="R517" i="97"/>
  <c r="P112" i="97"/>
  <c r="P144" i="97"/>
  <c r="P237" i="97"/>
  <c r="I517" i="97"/>
  <c r="O421" i="97"/>
  <c r="T421" i="97"/>
  <c r="J421" i="97"/>
  <c r="K421" i="97"/>
  <c r="M421" i="97"/>
  <c r="AI421" i="97"/>
  <c r="Q421" i="97"/>
  <c r="AB421" i="97"/>
  <c r="AF421" i="97"/>
  <c r="N423" i="97" l="1"/>
  <c r="P268" i="89"/>
  <c r="P268" i="97"/>
  <c r="R268" i="89"/>
  <c r="R268" i="97"/>
  <c r="Y268" i="89"/>
  <c r="Y268" i="97"/>
  <c r="X361" i="89"/>
  <c r="X361" i="97"/>
  <c r="G268" i="97"/>
  <c r="G268" i="89"/>
  <c r="L330" i="89"/>
  <c r="L330" i="97"/>
  <c r="P299" i="89"/>
  <c r="P299" i="97"/>
  <c r="R361" i="89"/>
  <c r="R361" i="97"/>
  <c r="I299" i="89"/>
  <c r="I299" i="97"/>
  <c r="X299" i="89"/>
  <c r="X299" i="97"/>
  <c r="P392" i="97"/>
  <c r="P392" i="89"/>
  <c r="I361" i="89"/>
  <c r="I361" i="97"/>
  <c r="G299" i="89"/>
  <c r="G299" i="97"/>
  <c r="L392" i="89"/>
  <c r="L392" i="97"/>
  <c r="R392" i="89"/>
  <c r="R392" i="97"/>
  <c r="I268" i="89"/>
  <c r="I268" i="97"/>
  <c r="X268" i="89"/>
  <c r="X268" i="97"/>
  <c r="G392" i="97"/>
  <c r="G392" i="89"/>
  <c r="L299" i="97"/>
  <c r="L299" i="89"/>
  <c r="P330" i="89"/>
  <c r="P330" i="97"/>
  <c r="Y330" i="97"/>
  <c r="Y330" i="89"/>
  <c r="X330" i="89"/>
  <c r="X330" i="97"/>
  <c r="G361" i="89"/>
  <c r="G361" i="97"/>
  <c r="R299" i="89"/>
  <c r="R299" i="97"/>
  <c r="I330" i="97"/>
  <c r="I330" i="89"/>
  <c r="Y299" i="89"/>
  <c r="Y299" i="97"/>
  <c r="X392" i="97"/>
  <c r="X392" i="89"/>
  <c r="L361" i="89"/>
  <c r="L361" i="97"/>
  <c r="P361" i="89"/>
  <c r="P361" i="97"/>
  <c r="I392" i="89"/>
  <c r="I392" i="97"/>
  <c r="Y392" i="89"/>
  <c r="Y392" i="97"/>
  <c r="R330" i="97"/>
  <c r="R330" i="89"/>
  <c r="Y361" i="89"/>
  <c r="Y361" i="97"/>
  <c r="G330" i="89"/>
  <c r="G330" i="97"/>
  <c r="L268" i="89"/>
  <c r="L268" i="97"/>
  <c r="AC112" i="97"/>
  <c r="AC237" i="97"/>
  <c r="AC144" i="97"/>
  <c r="H112" i="97"/>
  <c r="H237" i="97"/>
  <c r="H144" i="97"/>
  <c r="AD237" i="97"/>
  <c r="AD144" i="97"/>
  <c r="AD112" i="97"/>
  <c r="S517" i="97"/>
  <c r="AA237" i="97"/>
  <c r="AA112" i="97"/>
  <c r="AA144" i="97"/>
  <c r="S144" i="97"/>
  <c r="S237" i="97"/>
  <c r="S112" i="97"/>
  <c r="AH517" i="97"/>
  <c r="AC517" i="97"/>
  <c r="U144" i="97"/>
  <c r="U112" i="97"/>
  <c r="U237" i="97"/>
  <c r="Z112" i="97"/>
  <c r="Z237" i="97"/>
  <c r="Z144" i="97"/>
  <c r="AD517" i="97"/>
  <c r="F517" i="97"/>
  <c r="W112" i="97"/>
  <c r="W237" i="97"/>
  <c r="W144" i="97"/>
  <c r="AG144" i="97"/>
  <c r="AG112" i="97"/>
  <c r="AG237" i="97"/>
  <c r="AE144" i="97"/>
  <c r="AE112" i="97"/>
  <c r="AE237" i="97"/>
  <c r="AJ517" i="97"/>
  <c r="AH112" i="97"/>
  <c r="AH144" i="97"/>
  <c r="AH237" i="97"/>
  <c r="AJ361" i="97"/>
  <c r="AJ268" i="97"/>
  <c r="AJ330" i="97"/>
  <c r="AJ299" i="97"/>
  <c r="AJ112" i="97"/>
  <c r="AJ392" i="97"/>
  <c r="AJ237" i="97"/>
  <c r="AJ144" i="97"/>
  <c r="H517" i="97"/>
  <c r="W517" i="97"/>
  <c r="AE517" i="97"/>
  <c r="AA517" i="97"/>
  <c r="U517" i="97"/>
  <c r="V237" i="97"/>
  <c r="V144" i="97"/>
  <c r="V112" i="97"/>
  <c r="F237" i="97"/>
  <c r="F144" i="97"/>
  <c r="F112" i="97"/>
  <c r="Z517" i="97"/>
  <c r="V517" i="97"/>
  <c r="AG517" i="97"/>
  <c r="AK421" i="97"/>
  <c r="AL421" i="97" s="1"/>
  <c r="R423" i="97" l="1"/>
  <c r="G423" i="97"/>
  <c r="AJ423" i="97"/>
  <c r="L423" i="97"/>
  <c r="V330" i="89"/>
  <c r="V330" i="97"/>
  <c r="AE299" i="89"/>
  <c r="AE299" i="97"/>
  <c r="S299" i="97"/>
  <c r="S299" i="89"/>
  <c r="AA299" i="97"/>
  <c r="AA299" i="89"/>
  <c r="AD330" i="89"/>
  <c r="AD330" i="97"/>
  <c r="AC268" i="97"/>
  <c r="AC268" i="89"/>
  <c r="F268" i="97"/>
  <c r="F268" i="89"/>
  <c r="V299" i="89"/>
  <c r="V299" i="97"/>
  <c r="AE268" i="97"/>
  <c r="AE268" i="89"/>
  <c r="AG361" i="89"/>
  <c r="AG361" i="97"/>
  <c r="W299" i="89"/>
  <c r="W299" i="97"/>
  <c r="Z392" i="89"/>
  <c r="Z392" i="97"/>
  <c r="U299" i="97"/>
  <c r="U299" i="89"/>
  <c r="S392" i="89"/>
  <c r="S392" i="97"/>
  <c r="AA392" i="89"/>
  <c r="AA392" i="97"/>
  <c r="AH361" i="89"/>
  <c r="AH361" i="97"/>
  <c r="AE361" i="89"/>
  <c r="AE361" i="97"/>
  <c r="W268" i="97"/>
  <c r="W268" i="89"/>
  <c r="Z268" i="89"/>
  <c r="Z268" i="97"/>
  <c r="H299" i="89"/>
  <c r="H299" i="97"/>
  <c r="AC361" i="89"/>
  <c r="AC361" i="97"/>
  <c r="P423" i="97"/>
  <c r="F299" i="89"/>
  <c r="F299" i="97"/>
  <c r="V361" i="89"/>
  <c r="V361" i="97"/>
  <c r="AH268" i="89"/>
  <c r="AH268" i="97"/>
  <c r="AE330" i="89"/>
  <c r="AE330" i="97"/>
  <c r="AG268" i="89"/>
  <c r="AG268" i="97"/>
  <c r="W361" i="89"/>
  <c r="W361" i="97"/>
  <c r="Z330" i="97"/>
  <c r="Z330" i="89"/>
  <c r="U361" i="89"/>
  <c r="U361" i="97"/>
  <c r="AA330" i="97"/>
  <c r="AA330" i="89"/>
  <c r="AD299" i="89"/>
  <c r="AD299" i="97"/>
  <c r="H268" i="89"/>
  <c r="H268" i="97"/>
  <c r="Y423" i="97"/>
  <c r="AH330" i="97"/>
  <c r="AH330" i="89"/>
  <c r="AG392" i="89"/>
  <c r="AG392" i="97"/>
  <c r="W392" i="97"/>
  <c r="W392" i="89"/>
  <c r="U392" i="89"/>
  <c r="U392" i="97"/>
  <c r="S268" i="89"/>
  <c r="S268" i="97"/>
  <c r="AD361" i="89"/>
  <c r="AD361" i="97"/>
  <c r="AC330" i="89"/>
  <c r="AC330" i="97"/>
  <c r="X423" i="97"/>
  <c r="F361" i="89"/>
  <c r="F361" i="97"/>
  <c r="V392" i="97"/>
  <c r="V392" i="89"/>
  <c r="AH299" i="89"/>
  <c r="AH299" i="97"/>
  <c r="AG330" i="97"/>
  <c r="AG330" i="89"/>
  <c r="Z361" i="89"/>
  <c r="Z361" i="97"/>
  <c r="U330" i="89"/>
  <c r="U330" i="97"/>
  <c r="S330" i="97"/>
  <c r="S330" i="89"/>
  <c r="AD392" i="97"/>
  <c r="AD392" i="89"/>
  <c r="H361" i="89"/>
  <c r="H361" i="97"/>
  <c r="AC392" i="89"/>
  <c r="AC392" i="97"/>
  <c r="F330" i="89"/>
  <c r="F330" i="97"/>
  <c r="AH392" i="89"/>
  <c r="AH392" i="97"/>
  <c r="U268" i="97"/>
  <c r="U268" i="89"/>
  <c r="S361" i="89"/>
  <c r="S361" i="97"/>
  <c r="AA268" i="89"/>
  <c r="AA268" i="97"/>
  <c r="AD268" i="97"/>
  <c r="AD268" i="89"/>
  <c r="H392" i="97"/>
  <c r="H392" i="89"/>
  <c r="AC299" i="97"/>
  <c r="AC299" i="89"/>
  <c r="I423" i="97"/>
  <c r="F392" i="97"/>
  <c r="F392" i="89"/>
  <c r="V268" i="97"/>
  <c r="V268" i="89"/>
  <c r="AE392" i="97"/>
  <c r="AE392" i="89"/>
  <c r="AG299" i="89"/>
  <c r="AG299" i="97"/>
  <c r="W330" i="89"/>
  <c r="W330" i="97"/>
  <c r="Z299" i="89"/>
  <c r="Z299" i="97"/>
  <c r="AA361" i="89"/>
  <c r="AA361" i="97"/>
  <c r="H330" i="89"/>
  <c r="H330" i="97"/>
  <c r="T144" i="97"/>
  <c r="T112" i="97"/>
  <c r="T237" i="97"/>
  <c r="M517" i="97"/>
  <c r="K112" i="97"/>
  <c r="K237" i="97"/>
  <c r="K144" i="97"/>
  <c r="AF517" i="97"/>
  <c r="AB144" i="97"/>
  <c r="AB112" i="97"/>
  <c r="AB237" i="97"/>
  <c r="K517" i="97"/>
  <c r="AI517" i="97"/>
  <c r="T517" i="97"/>
  <c r="J112" i="97"/>
  <c r="J237" i="97"/>
  <c r="J144" i="97"/>
  <c r="AB517" i="97"/>
  <c r="Q144" i="97"/>
  <c r="Q237" i="97"/>
  <c r="Q112" i="97"/>
  <c r="O517" i="97"/>
  <c r="AI144" i="97"/>
  <c r="AI237" i="97"/>
  <c r="AI112" i="97"/>
  <c r="J517" i="97"/>
  <c r="M112" i="97"/>
  <c r="M144" i="97"/>
  <c r="M237" i="97"/>
  <c r="Q517" i="97"/>
  <c r="O112" i="97"/>
  <c r="O144" i="97"/>
  <c r="O237" i="97"/>
  <c r="AF112" i="97"/>
  <c r="AF144" i="97"/>
  <c r="AF237" i="97"/>
  <c r="Z423" i="97" l="1"/>
  <c r="AE423" i="97"/>
  <c r="V423" i="97"/>
  <c r="W423" i="97"/>
  <c r="AC423" i="97"/>
  <c r="AD423" i="97"/>
  <c r="AA423" i="97"/>
  <c r="F423" i="97"/>
  <c r="U423" i="97"/>
  <c r="AH423" i="97"/>
  <c r="S423" i="97"/>
  <c r="AF361" i="89"/>
  <c r="AF361" i="97"/>
  <c r="M299" i="97"/>
  <c r="M299" i="89"/>
  <c r="J299" i="89"/>
  <c r="J299" i="97"/>
  <c r="K361" i="89"/>
  <c r="K361" i="97"/>
  <c r="T392" i="89"/>
  <c r="T392" i="97"/>
  <c r="O268" i="97"/>
  <c r="O268" i="89"/>
  <c r="M330" i="89"/>
  <c r="M330" i="97"/>
  <c r="AI268" i="89"/>
  <c r="AI268" i="97"/>
  <c r="Q299" i="89"/>
  <c r="Q299" i="97"/>
  <c r="J268" i="89"/>
  <c r="J268" i="97"/>
  <c r="K299" i="97"/>
  <c r="K299" i="89"/>
  <c r="T299" i="97"/>
  <c r="T299" i="89"/>
  <c r="AG423" i="97"/>
  <c r="AF268" i="89"/>
  <c r="AF268" i="97"/>
  <c r="AI330" i="97"/>
  <c r="AI330" i="89"/>
  <c r="Q268" i="89"/>
  <c r="Q268" i="97"/>
  <c r="AB361" i="89"/>
  <c r="AB361" i="97"/>
  <c r="K268" i="89"/>
  <c r="K268" i="97"/>
  <c r="T268" i="89"/>
  <c r="T268" i="97"/>
  <c r="AF299" i="89"/>
  <c r="AF299" i="97"/>
  <c r="AI392" i="89"/>
  <c r="AI392" i="97"/>
  <c r="Q392" i="89"/>
  <c r="Q392" i="97"/>
  <c r="J361" i="89"/>
  <c r="J361" i="97"/>
  <c r="AB330" i="89"/>
  <c r="AB330" i="97"/>
  <c r="O392" i="97"/>
  <c r="O392" i="89"/>
  <c r="AF392" i="97"/>
  <c r="AF392" i="89"/>
  <c r="O330" i="89"/>
  <c r="O330" i="97"/>
  <c r="M392" i="89"/>
  <c r="M392" i="97"/>
  <c r="AI299" i="97"/>
  <c r="AI299" i="89"/>
  <c r="Q361" i="89"/>
  <c r="Q361" i="97"/>
  <c r="AB392" i="89"/>
  <c r="AB392" i="97"/>
  <c r="K330" i="97"/>
  <c r="K330" i="89"/>
  <c r="M268" i="97"/>
  <c r="M268" i="89"/>
  <c r="AI361" i="89"/>
  <c r="AI361" i="97"/>
  <c r="Q330" i="97"/>
  <c r="Q330" i="89"/>
  <c r="K392" i="89"/>
  <c r="K392" i="97"/>
  <c r="T361" i="89"/>
  <c r="T361" i="97"/>
  <c r="H423" i="97"/>
  <c r="O299" i="89"/>
  <c r="O299" i="97"/>
  <c r="J392" i="89"/>
  <c r="J392" i="97"/>
  <c r="AB299" i="97"/>
  <c r="AB299" i="89"/>
  <c r="AF330" i="89"/>
  <c r="AF330" i="97"/>
  <c r="O361" i="89"/>
  <c r="O361" i="97"/>
  <c r="M361" i="89"/>
  <c r="M361" i="97"/>
  <c r="J330" i="97"/>
  <c r="J330" i="89"/>
  <c r="AB268" i="89"/>
  <c r="AB268" i="97"/>
  <c r="T330" i="89"/>
  <c r="T330" i="97"/>
  <c r="AK517" i="97"/>
  <c r="AL517" i="97" s="1"/>
  <c r="AK144" i="97"/>
  <c r="AL144" i="97" s="1"/>
  <c r="AK237" i="97"/>
  <c r="AL237" i="97" s="1"/>
  <c r="AK361" i="97"/>
  <c r="AL361" i="97" s="1"/>
  <c r="AK112" i="97"/>
  <c r="AL112" i="97" s="1"/>
  <c r="AK299" i="97"/>
  <c r="AL299" i="97" s="1"/>
  <c r="AK392" i="97"/>
  <c r="AL392" i="97" s="1"/>
  <c r="AK330" i="97"/>
  <c r="AL330" i="97" s="1"/>
  <c r="AK268" i="97"/>
  <c r="AL268" i="97" s="1"/>
  <c r="O423" i="97" l="1"/>
  <c r="AI423" i="97"/>
  <c r="M423" i="97"/>
  <c r="J423" i="97"/>
  <c r="T423" i="97"/>
  <c r="AB423" i="97"/>
  <c r="AF423" i="97"/>
  <c r="K423" i="97"/>
  <c r="AK423" i="97"/>
  <c r="AL423" i="97" s="1"/>
  <c r="Q423" i="97"/>
  <c r="AY82" i="70" l="1"/>
  <c r="AL79" i="2" l="1"/>
  <c r="AI11" i="13"/>
  <c r="AI13" i="13" l="1"/>
  <c r="AI24" i="13" l="1"/>
  <c r="AI25" i="13"/>
  <c r="AI26" i="13"/>
  <c r="AI27" i="13"/>
  <c r="AI29" i="13" l="1"/>
  <c r="AJ6" i="70" l="1"/>
  <c r="AJ19" i="70"/>
  <c r="AJ24" i="70"/>
  <c r="AJ33" i="70"/>
  <c r="AJ34" i="70"/>
  <c r="AJ35" i="70"/>
  <c r="AJ36" i="70"/>
  <c r="AJ37" i="70"/>
  <c r="AJ38" i="70"/>
  <c r="AJ39" i="70"/>
  <c r="AJ40" i="70"/>
  <c r="AJ42" i="70"/>
  <c r="AJ43" i="70"/>
  <c r="AJ44" i="70"/>
  <c r="AJ45" i="70"/>
  <c r="AJ110" i="70"/>
  <c r="AK94" i="2"/>
  <c r="AC44" i="101"/>
  <c r="AI42" i="101"/>
  <c r="AP42" i="101" s="1"/>
  <c r="AE42" i="101"/>
  <c r="AL42" i="101" s="1"/>
  <c r="AC42" i="101"/>
  <c r="AG42" i="101" s="1"/>
  <c r="AN42" i="101" s="1"/>
  <c r="S42" i="101"/>
  <c r="Q42" i="101"/>
  <c r="P42" i="101"/>
  <c r="O42" i="101"/>
  <c r="N42" i="101"/>
  <c r="AC41" i="101"/>
  <c r="W41" i="101"/>
  <c r="AE41" i="101" s="1"/>
  <c r="AL41" i="101" s="1"/>
  <c r="U41" i="101"/>
  <c r="S41" i="101"/>
  <c r="AA41" i="101" s="1"/>
  <c r="AI41" i="101" s="1"/>
  <c r="AP41" i="101" s="1"/>
  <c r="R41" i="101"/>
  <c r="Z41" i="101" s="1"/>
  <c r="AH41" i="101" s="1"/>
  <c r="AO41" i="101" s="1"/>
  <c r="Q41" i="101"/>
  <c r="Y41" i="101" s="1"/>
  <c r="AG41" i="101" s="1"/>
  <c r="AN41" i="101" s="1"/>
  <c r="O41" i="101"/>
  <c r="N41" i="101"/>
  <c r="V41" i="101" s="1"/>
  <c r="AC40" i="101"/>
  <c r="U40" i="101"/>
  <c r="S40" i="101"/>
  <c r="R40" i="101"/>
  <c r="Q40" i="101"/>
  <c r="O40" i="101"/>
  <c r="N40" i="101"/>
  <c r="AC39" i="101"/>
  <c r="U39" i="101"/>
  <c r="S39" i="101"/>
  <c r="AA39" i="101" s="1"/>
  <c r="AI39" i="101" s="1"/>
  <c r="AP39" i="101" s="1"/>
  <c r="R39" i="101"/>
  <c r="Z39" i="101" s="1"/>
  <c r="AH39" i="101" s="1"/>
  <c r="AO39" i="101" s="1"/>
  <c r="Q39" i="101"/>
  <c r="Y39" i="101" s="1"/>
  <c r="AG39" i="101" s="1"/>
  <c r="AN39" i="101" s="1"/>
  <c r="O39" i="101"/>
  <c r="W39" i="101" s="1"/>
  <c r="AE39" i="101" s="1"/>
  <c r="AL39" i="101" s="1"/>
  <c r="N39" i="101"/>
  <c r="V39" i="101" s="1"/>
  <c r="AC38" i="101"/>
  <c r="Y38" i="101"/>
  <c r="AG38" i="101" s="1"/>
  <c r="AN38" i="101" s="1"/>
  <c r="U38" i="101"/>
  <c r="S38" i="101"/>
  <c r="AA38" i="101" s="1"/>
  <c r="AI38" i="101" s="1"/>
  <c r="AP38" i="101" s="1"/>
  <c r="R38" i="101"/>
  <c r="Z38" i="101" s="1"/>
  <c r="AH38" i="101" s="1"/>
  <c r="AO38" i="101" s="1"/>
  <c r="Q38" i="101"/>
  <c r="O38" i="101"/>
  <c r="W38" i="101" s="1"/>
  <c r="AE38" i="101" s="1"/>
  <c r="AL38" i="101" s="1"/>
  <c r="N38" i="101"/>
  <c r="V38" i="101" s="1"/>
  <c r="AC37" i="101"/>
  <c r="U37" i="101"/>
  <c r="S37" i="101"/>
  <c r="AA37" i="101" s="1"/>
  <c r="AI37" i="101" s="1"/>
  <c r="AP37" i="101" s="1"/>
  <c r="Q37" i="101"/>
  <c r="Y37" i="101" s="1"/>
  <c r="AG37" i="101" s="1"/>
  <c r="AN37" i="101" s="1"/>
  <c r="N37" i="101"/>
  <c r="V37" i="101" s="1"/>
  <c r="AC36" i="101"/>
  <c r="U36" i="101"/>
  <c r="S36" i="101"/>
  <c r="R36" i="101"/>
  <c r="Q36" i="101"/>
  <c r="Y36" i="101" s="1"/>
  <c r="AG36" i="101" s="1"/>
  <c r="AN36" i="101" s="1"/>
  <c r="O36" i="101"/>
  <c r="W36" i="101" s="1"/>
  <c r="AE36" i="101" s="1"/>
  <c r="AL36" i="101" s="1"/>
  <c r="N36" i="101"/>
  <c r="V36" i="101" s="1"/>
  <c r="AC35" i="101"/>
  <c r="U35" i="101"/>
  <c r="S35" i="101"/>
  <c r="AA35" i="101" s="1"/>
  <c r="AI35" i="101" s="1"/>
  <c r="AP35" i="101" s="1"/>
  <c r="R35" i="101"/>
  <c r="Z35" i="101" s="1"/>
  <c r="AH35" i="101" s="1"/>
  <c r="AO35" i="101" s="1"/>
  <c r="Q35" i="101"/>
  <c r="Y35" i="101" s="1"/>
  <c r="AG35" i="101" s="1"/>
  <c r="AN35" i="101" s="1"/>
  <c r="O35" i="101"/>
  <c r="W35" i="101" s="1"/>
  <c r="AE35" i="101" s="1"/>
  <c r="AL35" i="101" s="1"/>
  <c r="N35" i="101"/>
  <c r="V35" i="101" s="1"/>
  <c r="AC34" i="101"/>
  <c r="W34" i="101"/>
  <c r="AE34" i="101" s="1"/>
  <c r="AL34" i="101" s="1"/>
  <c r="U34" i="101"/>
  <c r="S34" i="101"/>
  <c r="AA34" i="101" s="1"/>
  <c r="AI34" i="101" s="1"/>
  <c r="AP34" i="101" s="1"/>
  <c r="R34" i="101"/>
  <c r="Z34" i="101" s="1"/>
  <c r="AH34" i="101" s="1"/>
  <c r="AO34" i="101" s="1"/>
  <c r="Q34" i="101"/>
  <c r="Y34" i="101" s="1"/>
  <c r="AG34" i="101" s="1"/>
  <c r="AN34" i="101" s="1"/>
  <c r="O34" i="101"/>
  <c r="N34" i="101"/>
  <c r="V34" i="101" s="1"/>
  <c r="AC33" i="101"/>
  <c r="U33" i="101"/>
  <c r="R33" i="101"/>
  <c r="Q33" i="101"/>
  <c r="O33" i="101"/>
  <c r="N33" i="101"/>
  <c r="AC32" i="101"/>
  <c r="U32" i="101"/>
  <c r="S32" i="101"/>
  <c r="R32" i="101"/>
  <c r="Q32" i="101"/>
  <c r="O32" i="101"/>
  <c r="N32" i="101"/>
  <c r="AC31" i="101"/>
  <c r="U31" i="101"/>
  <c r="AA31" i="101" s="1"/>
  <c r="AI31" i="101" s="1"/>
  <c r="AP31" i="101" s="1"/>
  <c r="S31" i="101"/>
  <c r="R31" i="101"/>
  <c r="Q31" i="101"/>
  <c r="O31" i="101"/>
  <c r="N31" i="101"/>
  <c r="AC30" i="101"/>
  <c r="AA30" i="101"/>
  <c r="AI30" i="101" s="1"/>
  <c r="AP30" i="101" s="1"/>
  <c r="U30" i="101"/>
  <c r="S30" i="101"/>
  <c r="R30" i="101"/>
  <c r="Z30" i="101" s="1"/>
  <c r="AH30" i="101" s="1"/>
  <c r="AO30" i="101" s="1"/>
  <c r="Q30" i="101"/>
  <c r="Y30" i="101" s="1"/>
  <c r="AG30" i="101" s="1"/>
  <c r="AN30" i="101" s="1"/>
  <c r="O30" i="101"/>
  <c r="W30" i="101" s="1"/>
  <c r="AE30" i="101" s="1"/>
  <c r="AL30" i="101" s="1"/>
  <c r="N30" i="101"/>
  <c r="V30" i="101" s="1"/>
  <c r="AI29" i="101"/>
  <c r="AP29" i="101" s="1"/>
  <c r="Z29" i="101"/>
  <c r="AH29" i="101" s="1"/>
  <c r="AO29" i="101" s="1"/>
  <c r="W29" i="101"/>
  <c r="AE29" i="101" s="1"/>
  <c r="AL29" i="101" s="1"/>
  <c r="S29" i="101"/>
  <c r="AA29" i="101" s="1"/>
  <c r="R29" i="101"/>
  <c r="Q29" i="101"/>
  <c r="Y29" i="101" s="1"/>
  <c r="AG29" i="101" s="1"/>
  <c r="AN29" i="101" s="1"/>
  <c r="P29" i="101"/>
  <c r="X29" i="101" s="1"/>
  <c r="AF29" i="101" s="1"/>
  <c r="AM29" i="101" s="1"/>
  <c r="O29" i="101"/>
  <c r="N29" i="101"/>
  <c r="V29" i="101" s="1"/>
  <c r="AC28" i="101"/>
  <c r="U28" i="101"/>
  <c r="N28" i="101"/>
  <c r="V28" i="101" s="1"/>
  <c r="AC27" i="101"/>
  <c r="R27" i="101"/>
  <c r="N27" i="101"/>
  <c r="AC26" i="101"/>
  <c r="U26" i="101"/>
  <c r="R26" i="101"/>
  <c r="Z26" i="101" s="1"/>
  <c r="AH26" i="101" s="1"/>
  <c r="AO26" i="101" s="1"/>
  <c r="O26" i="101"/>
  <c r="N26" i="101"/>
  <c r="V26" i="101" s="1"/>
  <c r="AC25" i="101"/>
  <c r="U25" i="101"/>
  <c r="AC24" i="101"/>
  <c r="U24" i="101"/>
  <c r="Z24" i="101" s="1"/>
  <c r="AH24" i="101" s="1"/>
  <c r="AO24" i="101" s="1"/>
  <c r="R24" i="101"/>
  <c r="AC23" i="101"/>
  <c r="U23" i="101"/>
  <c r="R23" i="101"/>
  <c r="Q23" i="101"/>
  <c r="AC22" i="101"/>
  <c r="U22" i="101"/>
  <c r="X22" i="101" s="1"/>
  <c r="AF22" i="101" s="1"/>
  <c r="AM22" i="101" s="1"/>
  <c r="R22" i="101"/>
  <c r="P22" i="101"/>
  <c r="O22" i="101"/>
  <c r="N22" i="101"/>
  <c r="AC21" i="101"/>
  <c r="AI20" i="101"/>
  <c r="AP20" i="101" s="1"/>
  <c r="AC20" i="101"/>
  <c r="Z20" i="101"/>
  <c r="AH20" i="101" s="1"/>
  <c r="AO20" i="101" s="1"/>
  <c r="U20" i="101"/>
  <c r="S20" i="101"/>
  <c r="AA20" i="101" s="1"/>
  <c r="R20" i="101"/>
  <c r="P20" i="101"/>
  <c r="X20" i="101" s="1"/>
  <c r="AF20" i="101" s="1"/>
  <c r="AM20" i="101" s="1"/>
  <c r="O20" i="101"/>
  <c r="W20" i="101" s="1"/>
  <c r="N20" i="101"/>
  <c r="V20" i="101" s="1"/>
  <c r="AC19" i="101"/>
  <c r="U19" i="101"/>
  <c r="Z19" i="101" s="1"/>
  <c r="S19" i="101"/>
  <c r="R19" i="101"/>
  <c r="Q19" i="101"/>
  <c r="O19" i="101"/>
  <c r="N19" i="101"/>
  <c r="AC17" i="101"/>
  <c r="K17" i="101"/>
  <c r="AC16" i="101"/>
  <c r="U16" i="101"/>
  <c r="R16" i="101"/>
  <c r="Z16" i="101" s="1"/>
  <c r="AH16" i="101" s="1"/>
  <c r="AO16" i="101" s="1"/>
  <c r="Q16" i="101"/>
  <c r="Y16" i="101" s="1"/>
  <c r="AG16" i="101" s="1"/>
  <c r="AN16" i="101" s="1"/>
  <c r="P16" i="101"/>
  <c r="X16" i="101" s="1"/>
  <c r="AF16" i="101" s="1"/>
  <c r="AM16" i="101" s="1"/>
  <c r="O16" i="101"/>
  <c r="W16" i="101" s="1"/>
  <c r="AE16" i="101" s="1"/>
  <c r="AL16" i="101" s="1"/>
  <c r="N16" i="101"/>
  <c r="V16" i="101" s="1"/>
  <c r="AC15" i="101"/>
  <c r="U15" i="101"/>
  <c r="S15" i="101"/>
  <c r="Q15" i="101"/>
  <c r="P15" i="101"/>
  <c r="O15" i="101"/>
  <c r="N15" i="101"/>
  <c r="AC14" i="101"/>
  <c r="Z14" i="101"/>
  <c r="AH14" i="101" s="1"/>
  <c r="AO14" i="101" s="1"/>
  <c r="U14" i="101"/>
  <c r="S14" i="101"/>
  <c r="AA14" i="101" s="1"/>
  <c r="AI14" i="101" s="1"/>
  <c r="AP14" i="101" s="1"/>
  <c r="R14" i="101"/>
  <c r="P14" i="101"/>
  <c r="X14" i="101" s="1"/>
  <c r="AF14" i="101" s="1"/>
  <c r="AM14" i="101" s="1"/>
  <c r="O14" i="101"/>
  <c r="W14" i="101" s="1"/>
  <c r="AE14" i="101" s="1"/>
  <c r="AL14" i="101" s="1"/>
  <c r="N14" i="101"/>
  <c r="V14" i="101" s="1"/>
  <c r="AH13" i="101"/>
  <c r="AO13" i="101" s="1"/>
  <c r="AC13" i="101"/>
  <c r="Z13" i="101"/>
  <c r="U13" i="101"/>
  <c r="S13" i="101"/>
  <c r="AA13" i="101" s="1"/>
  <c r="AI13" i="101" s="1"/>
  <c r="AP13" i="101" s="1"/>
  <c r="R13" i="101"/>
  <c r="Q13" i="101"/>
  <c r="Y13" i="101" s="1"/>
  <c r="AG13" i="101" s="1"/>
  <c r="AN13" i="101" s="1"/>
  <c r="O13" i="101"/>
  <c r="W13" i="101" s="1"/>
  <c r="AE13" i="101" s="1"/>
  <c r="AL13" i="101" s="1"/>
  <c r="N13" i="101"/>
  <c r="V13" i="101" s="1"/>
  <c r="AC12" i="101"/>
  <c r="U12" i="101"/>
  <c r="Z12" i="101" s="1"/>
  <c r="AH12" i="101" s="1"/>
  <c r="AO12" i="101" s="1"/>
  <c r="S12" i="101"/>
  <c r="R12" i="101"/>
  <c r="Q12" i="101"/>
  <c r="O12" i="101"/>
  <c r="N12" i="101"/>
  <c r="AC11" i="101"/>
  <c r="U11" i="101"/>
  <c r="AA11" i="101" s="1"/>
  <c r="AI11" i="101" s="1"/>
  <c r="AP11" i="101" s="1"/>
  <c r="S11" i="101"/>
  <c r="R11" i="101"/>
  <c r="Q11" i="101"/>
  <c r="O11" i="101"/>
  <c r="N11" i="101"/>
  <c r="AC10" i="101"/>
  <c r="U10" i="101"/>
  <c r="S10" i="101"/>
  <c r="R10" i="101"/>
  <c r="Q10" i="101"/>
  <c r="P10" i="101"/>
  <c r="N10" i="101"/>
  <c r="AC9" i="101"/>
  <c r="U9" i="101"/>
  <c r="S9" i="101"/>
  <c r="R9" i="101"/>
  <c r="Q9" i="101"/>
  <c r="P9" i="101"/>
  <c r="O9" i="101"/>
  <c r="L8" i="101"/>
  <c r="I4" i="101"/>
  <c r="J4" i="101" s="1"/>
  <c r="K4" i="101" s="1"/>
  <c r="L4" i="101" s="1"/>
  <c r="M4" i="101" s="1"/>
  <c r="N4" i="101" s="1"/>
  <c r="O4" i="101" s="1"/>
  <c r="P4" i="101" s="1"/>
  <c r="Q4" i="101" s="1"/>
  <c r="R4" i="101" s="1"/>
  <c r="S4" i="101" s="1"/>
  <c r="T4" i="101" s="1"/>
  <c r="U4" i="101" s="1"/>
  <c r="V4" i="101" s="1"/>
  <c r="W4" i="101" s="1"/>
  <c r="X4" i="101" s="1"/>
  <c r="Y4" i="101" s="1"/>
  <c r="Z4" i="101" s="1"/>
  <c r="AA4" i="101" s="1"/>
  <c r="AB4" i="101" s="1"/>
  <c r="AC4" i="101" s="1"/>
  <c r="AD4" i="101" s="1"/>
  <c r="AE4" i="101" s="1"/>
  <c r="AF4" i="101" s="1"/>
  <c r="AG4" i="101" s="1"/>
  <c r="AH4" i="101" s="1"/>
  <c r="AI4" i="101" s="1"/>
  <c r="AJ4" i="101" s="1"/>
  <c r="AK4" i="101" s="1"/>
  <c r="AL4" i="101" s="1"/>
  <c r="AM4" i="101" s="1"/>
  <c r="AN4" i="101" s="1"/>
  <c r="AO4" i="101" s="1"/>
  <c r="AP4" i="101" s="1"/>
  <c r="AQ4" i="101" s="1"/>
  <c r="H4" i="101"/>
  <c r="C4" i="101"/>
  <c r="D4" i="101" s="1"/>
  <c r="E4" i="101" s="1"/>
  <c r="F4" i="101" s="1"/>
  <c r="G4" i="101" s="1"/>
  <c r="AI47" i="17"/>
  <c r="AK70" i="44" s="1"/>
  <c r="AI46" i="17"/>
  <c r="AK69" i="44" s="1"/>
  <c r="AI44" i="17" l="1"/>
  <c r="AI58" i="17"/>
  <c r="AI59" i="17"/>
  <c r="AI60" i="17"/>
  <c r="AI45" i="17"/>
  <c r="AI52" i="17"/>
  <c r="W12" i="101"/>
  <c r="AE12" i="101" s="1"/>
  <c r="AL12" i="101" s="1"/>
  <c r="V22" i="101"/>
  <c r="AD22" i="101" s="1"/>
  <c r="AA10" i="101"/>
  <c r="AI10" i="101" s="1"/>
  <c r="AP10" i="101" s="1"/>
  <c r="W9" i="101"/>
  <c r="AE9" i="101" s="1"/>
  <c r="V15" i="101"/>
  <c r="AD15" i="101" s="1"/>
  <c r="Z22" i="101"/>
  <c r="AH22" i="101" s="1"/>
  <c r="AO22" i="101" s="1"/>
  <c r="X9" i="101"/>
  <c r="AF9" i="101" s="1"/>
  <c r="Z9" i="101"/>
  <c r="AH9" i="101" s="1"/>
  <c r="AO9" i="101" s="1"/>
  <c r="AA15" i="101"/>
  <c r="AI15" i="101" s="1"/>
  <c r="AP15" i="101" s="1"/>
  <c r="Y10" i="101"/>
  <c r="AG10" i="101" s="1"/>
  <c r="AN10" i="101" s="1"/>
  <c r="Y9" i="101"/>
  <c r="AG9" i="101" s="1"/>
  <c r="AN9" i="101" s="1"/>
  <c r="Z32" i="101"/>
  <c r="AH32" i="101" s="1"/>
  <c r="AO32" i="101" s="1"/>
  <c r="Y33" i="101"/>
  <c r="AG33" i="101" s="1"/>
  <c r="AN33" i="101" s="1"/>
  <c r="W11" i="101"/>
  <c r="AE11" i="101" s="1"/>
  <c r="AL11" i="101" s="1"/>
  <c r="Z31" i="101"/>
  <c r="AH31" i="101" s="1"/>
  <c r="AO31" i="101" s="1"/>
  <c r="V31" i="101"/>
  <c r="AD31" i="101" s="1"/>
  <c r="V32" i="101"/>
  <c r="AD32" i="101" s="1"/>
  <c r="Y40" i="101"/>
  <c r="AG40" i="101" s="1"/>
  <c r="AN40" i="101" s="1"/>
  <c r="Y11" i="101"/>
  <c r="AG11" i="101" s="1"/>
  <c r="AN11" i="101" s="1"/>
  <c r="Y12" i="101"/>
  <c r="AG12" i="101" s="1"/>
  <c r="AN12" i="101" s="1"/>
  <c r="W31" i="101"/>
  <c r="AE31" i="101" s="1"/>
  <c r="AL31" i="101" s="1"/>
  <c r="W32" i="101"/>
  <c r="AE32" i="101" s="1"/>
  <c r="AL32" i="101" s="1"/>
  <c r="V33" i="101"/>
  <c r="AD33" i="101" s="1"/>
  <c r="Z40" i="101"/>
  <c r="AH40" i="101" s="1"/>
  <c r="AO40" i="101" s="1"/>
  <c r="Z11" i="101"/>
  <c r="AH11" i="101" s="1"/>
  <c r="AO11" i="101" s="1"/>
  <c r="W22" i="101"/>
  <c r="AE22" i="101" s="1"/>
  <c r="AL22" i="101" s="1"/>
  <c r="Y31" i="101"/>
  <c r="AG31" i="101" s="1"/>
  <c r="AN31" i="101" s="1"/>
  <c r="Y32" i="101"/>
  <c r="AG32" i="101" s="1"/>
  <c r="AN32" i="101" s="1"/>
  <c r="W33" i="101"/>
  <c r="AE33" i="101" s="1"/>
  <c r="AL33" i="101" s="1"/>
  <c r="AA40" i="101"/>
  <c r="AI40" i="101" s="1"/>
  <c r="AP40" i="101" s="1"/>
  <c r="AA12" i="101"/>
  <c r="AI12" i="101" s="1"/>
  <c r="AP12" i="101" s="1"/>
  <c r="AA32" i="101"/>
  <c r="AI32" i="101" s="1"/>
  <c r="AP32" i="101" s="1"/>
  <c r="Z33" i="101"/>
  <c r="AH33" i="101" s="1"/>
  <c r="AO33" i="101" s="1"/>
  <c r="W15" i="101"/>
  <c r="AE15" i="101" s="1"/>
  <c r="AL15" i="101" s="1"/>
  <c r="X15" i="101"/>
  <c r="AF15" i="101" s="1"/>
  <c r="AM15" i="101" s="1"/>
  <c r="V40" i="101"/>
  <c r="AD40" i="101" s="1"/>
  <c r="V11" i="101"/>
  <c r="AD11" i="101" s="1"/>
  <c r="AK11" i="101" s="1"/>
  <c r="V12" i="101"/>
  <c r="AD12" i="101" s="1"/>
  <c r="Y15" i="101"/>
  <c r="AG15" i="101" s="1"/>
  <c r="AN15" i="101" s="1"/>
  <c r="W40" i="101"/>
  <c r="AE40" i="101" s="1"/>
  <c r="AL40" i="101" s="1"/>
  <c r="AD30" i="101"/>
  <c r="AA9" i="101"/>
  <c r="Y19" i="101"/>
  <c r="AD26" i="101"/>
  <c r="AD35" i="101"/>
  <c r="AD37" i="101"/>
  <c r="V10" i="101"/>
  <c r="AD16" i="101"/>
  <c r="W26" i="101"/>
  <c r="AE26" i="101" s="1"/>
  <c r="AL26" i="101" s="1"/>
  <c r="X10" i="101"/>
  <c r="AF10" i="101" s="1"/>
  <c r="AM10" i="101" s="1"/>
  <c r="AA19" i="101"/>
  <c r="AD20" i="101"/>
  <c r="AH19" i="101"/>
  <c r="Z10" i="101"/>
  <c r="AD13" i="101"/>
  <c r="AD14" i="101"/>
  <c r="V19" i="101"/>
  <c r="W19" i="101"/>
  <c r="AD34" i="101"/>
  <c r="Z36" i="101"/>
  <c r="AH36" i="101" s="1"/>
  <c r="AO36" i="101" s="1"/>
  <c r="AA36" i="101"/>
  <c r="AI36" i="101" s="1"/>
  <c r="AP36" i="101" s="1"/>
  <c r="AD38" i="101"/>
  <c r="AD41" i="101"/>
  <c r="Y23" i="101"/>
  <c r="AG23" i="101" s="1"/>
  <c r="AN23" i="101" s="1"/>
  <c r="Z23" i="101"/>
  <c r="AH23" i="101" s="1"/>
  <c r="AO23" i="101" s="1"/>
  <c r="AD39" i="101"/>
  <c r="AD29" i="101"/>
  <c r="AB29" i="101"/>
  <c r="AE20" i="101"/>
  <c r="AL20" i="101" s="1"/>
  <c r="AD28" i="101"/>
  <c r="AD36" i="101"/>
  <c r="AD42" i="101"/>
  <c r="T29" i="101"/>
  <c r="AF42" i="101"/>
  <c r="AM42" i="101" s="1"/>
  <c r="AK51" i="44"/>
  <c r="AK96" i="2" l="1"/>
  <c r="AK123" i="2"/>
  <c r="AK67" i="44"/>
  <c r="AK103" i="2"/>
  <c r="AK68" i="44"/>
  <c r="AK65" i="44"/>
  <c r="U21" i="101"/>
  <c r="U27" i="101"/>
  <c r="AE19" i="101"/>
  <c r="AK15" i="101"/>
  <c r="AK16" i="101"/>
  <c r="AK30" i="101"/>
  <c r="AK31" i="101"/>
  <c r="AK40" i="101"/>
  <c r="AK14" i="101"/>
  <c r="AK33" i="101"/>
  <c r="AK12" i="101"/>
  <c r="AL9" i="101"/>
  <c r="AK37" i="101"/>
  <c r="AI19" i="101"/>
  <c r="AK42" i="101"/>
  <c r="AK41" i="101"/>
  <c r="AO19" i="101"/>
  <c r="AD10" i="101"/>
  <c r="AM9" i="101"/>
  <c r="AK20" i="101"/>
  <c r="AK22" i="101"/>
  <c r="AK13" i="101"/>
  <c r="AK26" i="101"/>
  <c r="AK32" i="101"/>
  <c r="AI9" i="101"/>
  <c r="AK39" i="101"/>
  <c r="AK35" i="101"/>
  <c r="AK28" i="101"/>
  <c r="AD19" i="101"/>
  <c r="AK36" i="101"/>
  <c r="AK29" i="101"/>
  <c r="AQ29" i="101" s="1"/>
  <c r="AJ29" i="101"/>
  <c r="AK38" i="101"/>
  <c r="AK34" i="101"/>
  <c r="AH10" i="101"/>
  <c r="AG19" i="101"/>
  <c r="Z27" i="101" l="1"/>
  <c r="AH27" i="101" s="1"/>
  <c r="AO27" i="101" s="1"/>
  <c r="V27" i="101"/>
  <c r="AD27" i="101" s="1"/>
  <c r="AK27" i="101" s="1"/>
  <c r="AN19" i="101"/>
  <c r="AO10" i="101"/>
  <c r="AK19" i="101"/>
  <c r="AP9" i="101"/>
  <c r="AP19" i="101"/>
  <c r="AK10" i="101"/>
  <c r="AL19" i="101"/>
  <c r="AJ82" i="70" l="1"/>
  <c r="E103" i="2"/>
  <c r="D26" i="33" l="1"/>
  <c r="D25" i="33"/>
  <c r="D23" i="33"/>
  <c r="D21" i="33"/>
  <c r="D20" i="33"/>
  <c r="D18" i="33"/>
  <c r="D17" i="33"/>
  <c r="D16" i="33"/>
  <c r="D15" i="33"/>
  <c r="D14" i="33"/>
  <c r="D13" i="33"/>
  <c r="D12" i="33"/>
  <c r="D10" i="33"/>
  <c r="D9" i="33"/>
  <c r="D8" i="33" l="1"/>
  <c r="D11" i="33"/>
  <c r="D19" i="33" l="1"/>
  <c r="CF19" i="70" l="1"/>
  <c r="AX24" i="70" l="1"/>
  <c r="AX110" i="70"/>
  <c r="AH62" i="10" l="1"/>
  <c r="BQ8" i="71" l="1"/>
  <c r="AG63" i="71" s="1"/>
  <c r="BS8" i="98"/>
  <c r="AH63" i="98" s="1"/>
  <c r="AK844" i="97"/>
  <c r="AO26" i="89"/>
  <c r="AH116" i="10"/>
  <c r="AH151" i="10"/>
  <c r="AK37" i="32"/>
  <c r="AH18" i="16"/>
  <c r="AI32" i="20"/>
  <c r="AO26" i="5"/>
  <c r="AI16" i="94"/>
  <c r="AI17" i="94"/>
  <c r="AQ84" i="33" l="1"/>
  <c r="H22" i="101"/>
  <c r="S22" i="101" s="1"/>
  <c r="AA22" i="101" s="1"/>
  <c r="AI22" i="101" s="1"/>
  <c r="AP22" i="101" s="1"/>
  <c r="U17" i="101"/>
  <c r="AG8" i="71"/>
  <c r="AH8" i="98"/>
  <c r="AI36" i="20"/>
  <c r="AI34" i="20"/>
  <c r="AI33" i="20"/>
  <c r="AI31" i="20"/>
  <c r="AI38" i="20"/>
  <c r="AI29" i="20"/>
  <c r="H16" i="101" s="1"/>
  <c r="AI37" i="20"/>
  <c r="AI18" i="20"/>
  <c r="AI30" i="20"/>
  <c r="H17" i="101" s="1"/>
  <c r="AI10" i="94"/>
  <c r="AJ82" i="2" s="1"/>
  <c r="AY85" i="70" s="1"/>
  <c r="AI23" i="94"/>
  <c r="AI22" i="94"/>
  <c r="AI21" i="94"/>
  <c r="AI15" i="94"/>
  <c r="H28" i="101" l="1"/>
  <c r="S28" i="101" s="1"/>
  <c r="AA28" i="101" s="1"/>
  <c r="AI28" i="101" s="1"/>
  <c r="AP28" i="101" s="1"/>
  <c r="H8" i="101"/>
  <c r="I16" i="101"/>
  <c r="S16" i="101"/>
  <c r="H25" i="101"/>
  <c r="S25" i="101" s="1"/>
  <c r="AA25" i="101" s="1"/>
  <c r="AI25" i="101" s="1"/>
  <c r="AP25" i="101" s="1"/>
  <c r="H33" i="101"/>
  <c r="H21" i="101"/>
  <c r="S21" i="101" s="1"/>
  <c r="AA21" i="101" s="1"/>
  <c r="AI21" i="101" s="1"/>
  <c r="AP21" i="101" s="1"/>
  <c r="H23" i="101"/>
  <c r="S23" i="101" s="1"/>
  <c r="AA23" i="101" s="1"/>
  <c r="AI23" i="101" s="1"/>
  <c r="AP23" i="101" s="1"/>
  <c r="I42" i="101"/>
  <c r="AI18" i="94"/>
  <c r="S17" i="101"/>
  <c r="H27" i="101"/>
  <c r="AH27" i="37"/>
  <c r="AH26" i="37"/>
  <c r="AI35" i="20"/>
  <c r="H26" i="101" s="1"/>
  <c r="AI24" i="94"/>
  <c r="AA17" i="101" l="1"/>
  <c r="AI17" i="101" s="1"/>
  <c r="AI71" i="10" s="1"/>
  <c r="AL621" i="97"/>
  <c r="AH26" i="16"/>
  <c r="AA16" i="101"/>
  <c r="T16" i="101"/>
  <c r="S8" i="101"/>
  <c r="AL615" i="97" s="1"/>
  <c r="R42" i="101"/>
  <c r="S27" i="101"/>
  <c r="H18" i="101"/>
  <c r="H43" i="101" s="1"/>
  <c r="AH27" i="16"/>
  <c r="AH28" i="37"/>
  <c r="AI110" i="70"/>
  <c r="AI24" i="70"/>
  <c r="AI33" i="70"/>
  <c r="AI19" i="70"/>
  <c r="AH108" i="13"/>
  <c r="AH109" i="13"/>
  <c r="AJ65" i="44"/>
  <c r="AJ66" i="44"/>
  <c r="AJ67" i="44"/>
  <c r="AJ68" i="44"/>
  <c r="AJ69" i="44"/>
  <c r="AJ70" i="44"/>
  <c r="AJ143" i="44"/>
  <c r="AJ8" i="44"/>
  <c r="CG8" i="70" s="1"/>
  <c r="AJ26" i="44"/>
  <c r="CG26" i="70" s="1"/>
  <c r="AJ27" i="44"/>
  <c r="CG27" i="70" s="1"/>
  <c r="AJ91" i="2"/>
  <c r="AL91" i="2" s="1"/>
  <c r="AJ94" i="2"/>
  <c r="AL94" i="2" s="1"/>
  <c r="AJ96" i="2"/>
  <c r="AL96" i="2" s="1"/>
  <c r="AJ101" i="2"/>
  <c r="AL101" i="2" s="1"/>
  <c r="AJ102" i="2"/>
  <c r="AL102" i="2" s="1"/>
  <c r="AJ103" i="2"/>
  <c r="AJ123" i="2"/>
  <c r="AL123" i="2" s="1"/>
  <c r="AY106" i="70" l="1"/>
  <c r="AJ106" i="70"/>
  <c r="AL103" i="2"/>
  <c r="AP17" i="101"/>
  <c r="AJ26" i="16"/>
  <c r="AJ27" i="16"/>
  <c r="AI161" i="10"/>
  <c r="AR94" i="33" s="1"/>
  <c r="T42" i="101"/>
  <c r="AL35" i="97"/>
  <c r="AJ95" i="44"/>
  <c r="S33" i="101"/>
  <c r="AA33" i="101" s="1"/>
  <c r="AI33" i="101" s="1"/>
  <c r="AP33" i="101" s="1"/>
  <c r="AI16" i="101"/>
  <c r="AB16" i="101"/>
  <c r="AA8" i="101"/>
  <c r="M26" i="101"/>
  <c r="AH42" i="101"/>
  <c r="AB42" i="101"/>
  <c r="AH25" i="37"/>
  <c r="AA27" i="101"/>
  <c r="K12" i="101"/>
  <c r="AH110" i="13"/>
  <c r="AJ25" i="44"/>
  <c r="CG25" i="70" s="1"/>
  <c r="AJ76" i="44"/>
  <c r="AJ94" i="44"/>
  <c r="AK874" i="97" l="1"/>
  <c r="AL759" i="97"/>
  <c r="AH28" i="16"/>
  <c r="AP16" i="101"/>
  <c r="AJ16" i="101"/>
  <c r="AI8" i="101"/>
  <c r="AI64" i="10" s="1"/>
  <c r="AH112" i="13"/>
  <c r="M18" i="101"/>
  <c r="M43" i="101" s="1"/>
  <c r="S26" i="101"/>
  <c r="AO42" i="101"/>
  <c r="AQ42" i="101" s="1"/>
  <c r="AJ42" i="101"/>
  <c r="AI79" i="10" s="1"/>
  <c r="AI27" i="101"/>
  <c r="AH113" i="13"/>
  <c r="AK759" i="97"/>
  <c r="AJ93" i="44"/>
  <c r="AC44" i="100"/>
  <c r="AC42" i="100"/>
  <c r="AI42" i="100" s="1"/>
  <c r="S42" i="100"/>
  <c r="Q42" i="100"/>
  <c r="P42" i="100"/>
  <c r="O42" i="100"/>
  <c r="N42" i="100"/>
  <c r="AC41" i="100"/>
  <c r="U41" i="100"/>
  <c r="S41" i="100"/>
  <c r="R41" i="100"/>
  <c r="Q41" i="100"/>
  <c r="O41" i="100"/>
  <c r="N41" i="100"/>
  <c r="AC40" i="100"/>
  <c r="S40" i="100"/>
  <c r="R40" i="100"/>
  <c r="Q40" i="100"/>
  <c r="O40" i="100"/>
  <c r="N40" i="100"/>
  <c r="AC39" i="100"/>
  <c r="U39" i="100"/>
  <c r="S39" i="100"/>
  <c r="R39" i="100"/>
  <c r="Q39" i="100"/>
  <c r="O39" i="100"/>
  <c r="N39" i="100"/>
  <c r="AC38" i="100"/>
  <c r="U38" i="100"/>
  <c r="S38" i="100"/>
  <c r="R38" i="100"/>
  <c r="Q38" i="100"/>
  <c r="O38" i="100"/>
  <c r="N38" i="100"/>
  <c r="AC37" i="100"/>
  <c r="U37" i="100"/>
  <c r="S37" i="100"/>
  <c r="Q37" i="100"/>
  <c r="N37" i="100"/>
  <c r="AC36" i="100"/>
  <c r="U36" i="100"/>
  <c r="S36" i="100"/>
  <c r="R36" i="100"/>
  <c r="Q36" i="100"/>
  <c r="O36" i="100"/>
  <c r="N36" i="100"/>
  <c r="AC35" i="100"/>
  <c r="U35" i="100"/>
  <c r="S35" i="100"/>
  <c r="R35" i="100"/>
  <c r="Q35" i="100"/>
  <c r="O35" i="100"/>
  <c r="N35" i="100"/>
  <c r="AC34" i="100"/>
  <c r="U34" i="100"/>
  <c r="S34" i="100"/>
  <c r="R34" i="100"/>
  <c r="Q34" i="100"/>
  <c r="O34" i="100"/>
  <c r="N34" i="100"/>
  <c r="AC33" i="100"/>
  <c r="R33" i="100"/>
  <c r="Q33" i="100"/>
  <c r="O33" i="100"/>
  <c r="N33" i="100"/>
  <c r="M33" i="100"/>
  <c r="AC32" i="100"/>
  <c r="S32" i="100"/>
  <c r="R32" i="100"/>
  <c r="Q32" i="100"/>
  <c r="O32" i="100"/>
  <c r="N32" i="100"/>
  <c r="AC31" i="100"/>
  <c r="S31" i="100"/>
  <c r="R31" i="100"/>
  <c r="Q31" i="100"/>
  <c r="O31" i="100"/>
  <c r="N31" i="100"/>
  <c r="AC30" i="100"/>
  <c r="U30" i="100"/>
  <c r="S30" i="100"/>
  <c r="R30" i="100"/>
  <c r="Q30" i="100"/>
  <c r="O30" i="100"/>
  <c r="N30" i="100"/>
  <c r="S29" i="100"/>
  <c r="R29" i="100"/>
  <c r="Q29" i="100"/>
  <c r="P29" i="100"/>
  <c r="O29" i="100"/>
  <c r="N29" i="100"/>
  <c r="AC28" i="100"/>
  <c r="U28" i="100"/>
  <c r="N28" i="100"/>
  <c r="AC27" i="100"/>
  <c r="R27" i="100"/>
  <c r="N27" i="100"/>
  <c r="AC26" i="100"/>
  <c r="U26" i="100"/>
  <c r="R26" i="100"/>
  <c r="O26" i="100"/>
  <c r="N26" i="100"/>
  <c r="M26" i="100"/>
  <c r="AC25" i="100"/>
  <c r="AC24" i="100"/>
  <c r="R24" i="100"/>
  <c r="AC23" i="100"/>
  <c r="U23" i="100"/>
  <c r="R23" i="100"/>
  <c r="Q23" i="100"/>
  <c r="AC22" i="100"/>
  <c r="R22" i="100"/>
  <c r="P22" i="100"/>
  <c r="O22" i="100"/>
  <c r="N22" i="100"/>
  <c r="AC21" i="100"/>
  <c r="AC20" i="100"/>
  <c r="U20" i="100"/>
  <c r="S20" i="100"/>
  <c r="R20" i="100"/>
  <c r="P20" i="100"/>
  <c r="O20" i="100"/>
  <c r="N20" i="100"/>
  <c r="AC19" i="100"/>
  <c r="U19" i="100"/>
  <c r="S19" i="100"/>
  <c r="R19" i="100"/>
  <c r="Q19" i="100"/>
  <c r="O19" i="100"/>
  <c r="N19" i="100"/>
  <c r="AC17" i="100"/>
  <c r="K17" i="100"/>
  <c r="AC16" i="100"/>
  <c r="U16" i="100"/>
  <c r="R16" i="100"/>
  <c r="Q16" i="100"/>
  <c r="P16" i="100"/>
  <c r="O16" i="100"/>
  <c r="N16" i="100"/>
  <c r="AC15" i="100"/>
  <c r="S15" i="100"/>
  <c r="Q15" i="100"/>
  <c r="P15" i="100"/>
  <c r="O15" i="100"/>
  <c r="N15" i="100"/>
  <c r="AC14" i="100"/>
  <c r="U14" i="100"/>
  <c r="S14" i="100"/>
  <c r="R14" i="100"/>
  <c r="P14" i="100"/>
  <c r="O14" i="100"/>
  <c r="N14" i="100"/>
  <c r="AC13" i="100"/>
  <c r="U13" i="100"/>
  <c r="S13" i="100"/>
  <c r="R13" i="100"/>
  <c r="Q13" i="100"/>
  <c r="O13" i="100"/>
  <c r="N13" i="100"/>
  <c r="AC12" i="100"/>
  <c r="S12" i="100"/>
  <c r="R12" i="100"/>
  <c r="Q12" i="100"/>
  <c r="O12" i="100"/>
  <c r="N12" i="100"/>
  <c r="K12" i="100"/>
  <c r="AC11" i="100"/>
  <c r="S11" i="100"/>
  <c r="R11" i="100"/>
  <c r="Q11" i="100"/>
  <c r="O11" i="100"/>
  <c r="N11" i="100"/>
  <c r="AC10" i="100"/>
  <c r="S10" i="100"/>
  <c r="R10" i="100"/>
  <c r="Q10" i="100"/>
  <c r="P10" i="100"/>
  <c r="N10" i="100"/>
  <c r="AC9" i="100"/>
  <c r="S9" i="100"/>
  <c r="R9" i="100"/>
  <c r="Q9" i="100"/>
  <c r="P9" i="100"/>
  <c r="O9" i="100"/>
  <c r="L8" i="100"/>
  <c r="C4" i="100"/>
  <c r="D4" i="100" s="1"/>
  <c r="E4" i="100" s="1"/>
  <c r="F4" i="100" s="1"/>
  <c r="G4" i="100" s="1"/>
  <c r="H4" i="100" s="1"/>
  <c r="I4" i="100" s="1"/>
  <c r="J4" i="100" s="1"/>
  <c r="K4" i="100" s="1"/>
  <c r="L4" i="100" s="1"/>
  <c r="M4" i="100" s="1"/>
  <c r="N4" i="100" s="1"/>
  <c r="O4" i="100" s="1"/>
  <c r="P4" i="100" s="1"/>
  <c r="Q4" i="100" s="1"/>
  <c r="R4" i="100" s="1"/>
  <c r="S4" i="100" s="1"/>
  <c r="T4" i="100" s="1"/>
  <c r="U4" i="100" s="1"/>
  <c r="V4" i="100" s="1"/>
  <c r="W4" i="100" s="1"/>
  <c r="X4" i="100" s="1"/>
  <c r="Y4" i="100" s="1"/>
  <c r="Z4" i="100" s="1"/>
  <c r="AA4" i="100" s="1"/>
  <c r="AB4" i="100" s="1"/>
  <c r="AC4" i="100" s="1"/>
  <c r="AD4" i="100" s="1"/>
  <c r="AE4" i="100" s="1"/>
  <c r="AF4" i="100" s="1"/>
  <c r="AG4" i="100" s="1"/>
  <c r="AH4" i="100" s="1"/>
  <c r="AI4" i="100" s="1"/>
  <c r="AJ4" i="100" s="1"/>
  <c r="AK4" i="100" s="1"/>
  <c r="AL4" i="100" s="1"/>
  <c r="AM4" i="100" s="1"/>
  <c r="AN4" i="100" s="1"/>
  <c r="AO4" i="100" s="1"/>
  <c r="AP4" i="100" s="1"/>
  <c r="AQ4" i="100" s="1"/>
  <c r="Z1" i="100"/>
  <c r="CF9" i="70"/>
  <c r="AH25" i="16" l="1"/>
  <c r="AJ25" i="16" s="1"/>
  <c r="AJ28" i="16"/>
  <c r="AI158" i="10"/>
  <c r="AI160" i="10"/>
  <c r="AH114" i="13"/>
  <c r="AQ16" i="101"/>
  <c r="AP8" i="101"/>
  <c r="AA26" i="101"/>
  <c r="S18" i="101"/>
  <c r="AP27" i="101"/>
  <c r="M18" i="100"/>
  <c r="M43" i="100" s="1"/>
  <c r="T29" i="100"/>
  <c r="AD42" i="100"/>
  <c r="AE42" i="100"/>
  <c r="AF42" i="100"/>
  <c r="AG42" i="100"/>
  <c r="S43" i="101" l="1"/>
  <c r="AL609" i="97"/>
  <c r="AI26" i="101"/>
  <c r="AA18" i="101"/>
  <c r="AA43" i="101" s="1"/>
  <c r="R38" i="41"/>
  <c r="R20" i="41"/>
  <c r="AP26" i="101" l="1"/>
  <c r="AI18" i="101"/>
  <c r="AI78" i="10" s="1"/>
  <c r="AI162" i="10" l="1"/>
  <c r="AI159" i="10" s="1"/>
  <c r="AP18" i="101"/>
  <c r="AP43" i="101" s="1"/>
  <c r="AI43" i="101"/>
  <c r="AN26" i="5"/>
  <c r="AW24" i="70" l="1"/>
  <c r="AW110" i="70"/>
  <c r="AH19" i="70"/>
  <c r="AH24" i="70"/>
  <c r="AH33" i="70"/>
  <c r="AH110" i="70"/>
  <c r="B4" i="33"/>
  <c r="AJ844" i="97" l="1"/>
  <c r="BR8" i="98" l="1"/>
  <c r="AG63" i="98" s="1"/>
  <c r="BP8" i="71"/>
  <c r="AF63" i="71" s="1"/>
  <c r="CE19" i="70"/>
  <c r="AG18" i="16"/>
  <c r="AN26" i="89"/>
  <c r="AJ37" i="32"/>
  <c r="AG62" i="10"/>
  <c r="AG116" i="10"/>
  <c r="BF100" i="32" s="1"/>
  <c r="AG151" i="10" l="1"/>
  <c r="AP84" i="33" s="1"/>
  <c r="AF8" i="71"/>
  <c r="AG8" i="98"/>
  <c r="AH31" i="20"/>
  <c r="AH32" i="20"/>
  <c r="AH33" i="20"/>
  <c r="AH34" i="20"/>
  <c r="AH37" i="20"/>
  <c r="AH38" i="20"/>
  <c r="AC44" i="99"/>
  <c r="AC42" i="99"/>
  <c r="S42" i="99"/>
  <c r="Q42" i="99"/>
  <c r="P42" i="99"/>
  <c r="O42" i="99"/>
  <c r="N42" i="99"/>
  <c r="AC41" i="99"/>
  <c r="U41" i="99"/>
  <c r="S41" i="99"/>
  <c r="R41" i="99"/>
  <c r="Q41" i="99"/>
  <c r="O41" i="99"/>
  <c r="N41" i="99"/>
  <c r="AC40" i="99"/>
  <c r="S40" i="99"/>
  <c r="R40" i="99"/>
  <c r="Q40" i="99"/>
  <c r="O40" i="99"/>
  <c r="N40" i="99"/>
  <c r="AC39" i="99"/>
  <c r="U39" i="99"/>
  <c r="S39" i="99"/>
  <c r="R39" i="99"/>
  <c r="Q39" i="99"/>
  <c r="O39" i="99"/>
  <c r="N39" i="99"/>
  <c r="AC38" i="99"/>
  <c r="U38" i="99"/>
  <c r="S38" i="99"/>
  <c r="R38" i="99"/>
  <c r="Q38" i="99"/>
  <c r="O38" i="99"/>
  <c r="N38" i="99"/>
  <c r="AC37" i="99"/>
  <c r="U37" i="99"/>
  <c r="S37" i="99"/>
  <c r="Q37" i="99"/>
  <c r="N37" i="99"/>
  <c r="AC36" i="99"/>
  <c r="U36" i="99"/>
  <c r="S36" i="99"/>
  <c r="R36" i="99"/>
  <c r="Q36" i="99"/>
  <c r="O36" i="99"/>
  <c r="N36" i="99"/>
  <c r="AC35" i="99"/>
  <c r="U35" i="99"/>
  <c r="S35" i="99"/>
  <c r="R35" i="99"/>
  <c r="Q35" i="99"/>
  <c r="O35" i="99"/>
  <c r="N35" i="99"/>
  <c r="AC34" i="99"/>
  <c r="U34" i="99"/>
  <c r="S34" i="99"/>
  <c r="R34" i="99"/>
  <c r="Q34" i="99"/>
  <c r="O34" i="99"/>
  <c r="N34" i="99"/>
  <c r="AC33" i="99"/>
  <c r="R33" i="99"/>
  <c r="Q33" i="99"/>
  <c r="O33" i="99"/>
  <c r="N33" i="99"/>
  <c r="AC32" i="99"/>
  <c r="S32" i="99"/>
  <c r="R32" i="99"/>
  <c r="Q32" i="99"/>
  <c r="O32" i="99"/>
  <c r="N32" i="99"/>
  <c r="AC31" i="99"/>
  <c r="S31" i="99"/>
  <c r="R31" i="99"/>
  <c r="Q31" i="99"/>
  <c r="O31" i="99"/>
  <c r="N31" i="99"/>
  <c r="AC30" i="99"/>
  <c r="U30" i="99"/>
  <c r="S30" i="99"/>
  <c r="R30" i="99"/>
  <c r="Q30" i="99"/>
  <c r="O30" i="99"/>
  <c r="N30" i="99"/>
  <c r="S29" i="99"/>
  <c r="R29" i="99"/>
  <c r="Q29" i="99"/>
  <c r="P29" i="99"/>
  <c r="O29" i="99"/>
  <c r="N29" i="99"/>
  <c r="AC28" i="99"/>
  <c r="U28" i="99"/>
  <c r="N28" i="99"/>
  <c r="AC27" i="99"/>
  <c r="R27" i="99"/>
  <c r="N27" i="99"/>
  <c r="AC26" i="99"/>
  <c r="U26" i="99"/>
  <c r="R26" i="99"/>
  <c r="O26" i="99"/>
  <c r="N26" i="99"/>
  <c r="AC25" i="99"/>
  <c r="AC24" i="99"/>
  <c r="R24" i="99"/>
  <c r="AC23" i="99"/>
  <c r="U23" i="99"/>
  <c r="R23" i="99"/>
  <c r="Q23" i="99"/>
  <c r="AC22" i="99"/>
  <c r="R22" i="99"/>
  <c r="P22" i="99"/>
  <c r="O22" i="99"/>
  <c r="N22" i="99"/>
  <c r="AC21" i="99"/>
  <c r="AC20" i="99"/>
  <c r="U20" i="99"/>
  <c r="S20" i="99"/>
  <c r="R20" i="99"/>
  <c r="P20" i="99"/>
  <c r="O20" i="99"/>
  <c r="N20" i="99"/>
  <c r="AC19" i="99"/>
  <c r="U19" i="99"/>
  <c r="S19" i="99"/>
  <c r="R19" i="99"/>
  <c r="Q19" i="99"/>
  <c r="O19" i="99"/>
  <c r="N19" i="99"/>
  <c r="AC17" i="99"/>
  <c r="AC16" i="99"/>
  <c r="U16" i="99"/>
  <c r="R16" i="99"/>
  <c r="Q16" i="99"/>
  <c r="P16" i="99"/>
  <c r="O16" i="99"/>
  <c r="N16" i="99"/>
  <c r="AC15" i="99"/>
  <c r="S15" i="99"/>
  <c r="Q15" i="99"/>
  <c r="P15" i="99"/>
  <c r="O15" i="99"/>
  <c r="N15" i="99"/>
  <c r="AC14" i="99"/>
  <c r="U14" i="99"/>
  <c r="S14" i="99"/>
  <c r="R14" i="99"/>
  <c r="P14" i="99"/>
  <c r="O14" i="99"/>
  <c r="N14" i="99"/>
  <c r="AC13" i="99"/>
  <c r="U13" i="99"/>
  <c r="S13" i="99"/>
  <c r="R13" i="99"/>
  <c r="Q13" i="99"/>
  <c r="O13" i="99"/>
  <c r="N13" i="99"/>
  <c r="AC12" i="99"/>
  <c r="S12" i="99"/>
  <c r="R12" i="99"/>
  <c r="Q12" i="99"/>
  <c r="O12" i="99"/>
  <c r="N12" i="99"/>
  <c r="AC11" i="99"/>
  <c r="S11" i="99"/>
  <c r="R11" i="99"/>
  <c r="Q11" i="99"/>
  <c r="O11" i="99"/>
  <c r="N11" i="99"/>
  <c r="AC10" i="99"/>
  <c r="S10" i="99"/>
  <c r="R10" i="99"/>
  <c r="Q10" i="99"/>
  <c r="P10" i="99"/>
  <c r="N10" i="99"/>
  <c r="AC9" i="99"/>
  <c r="S9" i="99"/>
  <c r="R9" i="99"/>
  <c r="Q9" i="99"/>
  <c r="P9" i="99"/>
  <c r="O9" i="99"/>
  <c r="L8" i="99"/>
  <c r="G4" i="99"/>
  <c r="H4" i="99" s="1"/>
  <c r="I4" i="99" s="1"/>
  <c r="J4" i="99" s="1"/>
  <c r="K4" i="99" s="1"/>
  <c r="L4" i="99" s="1"/>
  <c r="M4" i="99" s="1"/>
  <c r="N4" i="99" s="1"/>
  <c r="O4" i="99" s="1"/>
  <c r="P4" i="99" s="1"/>
  <c r="Q4" i="99" s="1"/>
  <c r="R4" i="99" s="1"/>
  <c r="S4" i="99" s="1"/>
  <c r="T4" i="99" s="1"/>
  <c r="U4" i="99" s="1"/>
  <c r="V4" i="99" s="1"/>
  <c r="W4" i="99" s="1"/>
  <c r="X4" i="99" s="1"/>
  <c r="Y4" i="99" s="1"/>
  <c r="Z4" i="99" s="1"/>
  <c r="AA4" i="99" s="1"/>
  <c r="AB4" i="99" s="1"/>
  <c r="AC4" i="99" s="1"/>
  <c r="AD4" i="99" s="1"/>
  <c r="AE4" i="99" s="1"/>
  <c r="AF4" i="99" s="1"/>
  <c r="AG4" i="99" s="1"/>
  <c r="AH4" i="99" s="1"/>
  <c r="AI4" i="99" s="1"/>
  <c r="AJ4" i="99" s="1"/>
  <c r="AK4" i="99" s="1"/>
  <c r="AL4" i="99" s="1"/>
  <c r="AM4" i="99" s="1"/>
  <c r="AN4" i="99" s="1"/>
  <c r="AO4" i="99" s="1"/>
  <c r="AP4" i="99" s="1"/>
  <c r="AQ4" i="99" s="1"/>
  <c r="C4" i="99"/>
  <c r="D4" i="99" s="1"/>
  <c r="E4" i="99" s="1"/>
  <c r="F4" i="99" s="1"/>
  <c r="Z1" i="99"/>
  <c r="AH18" i="20" l="1"/>
  <c r="AG108" i="13"/>
  <c r="AH29" i="20"/>
  <c r="AH36" i="20"/>
  <c r="AH30" i="20"/>
  <c r="AI42" i="99"/>
  <c r="AG42" i="99"/>
  <c r="AF42" i="99"/>
  <c r="AE42" i="99"/>
  <c r="AD42" i="99"/>
  <c r="T29" i="99"/>
  <c r="AI94" i="2"/>
  <c r="AH15" i="94"/>
  <c r="AH16" i="94"/>
  <c r="AH23" i="94"/>
  <c r="AH21" i="94"/>
  <c r="AI101" i="2"/>
  <c r="K17" i="99"/>
  <c r="CE9" i="70"/>
  <c r="AM26" i="5"/>
  <c r="AI65" i="44"/>
  <c r="AI66" i="44"/>
  <c r="AI67" i="44"/>
  <c r="AI68" i="44"/>
  <c r="AI69" i="44"/>
  <c r="AI70" i="44"/>
  <c r="AI143" i="44"/>
  <c r="AI27" i="44"/>
  <c r="AH35" i="20" l="1"/>
  <c r="AG28" i="37" s="1"/>
  <c r="M33" i="99"/>
  <c r="CF27" i="70"/>
  <c r="AG109" i="13"/>
  <c r="AG110" i="13" s="1"/>
  <c r="AG112" i="13" s="1"/>
  <c r="AH17" i="94"/>
  <c r="AH18" i="94" s="1"/>
  <c r="AH10" i="94"/>
  <c r="AI82" i="2" s="1"/>
  <c r="AH22" i="94"/>
  <c r="AG26" i="37"/>
  <c r="AG26" i="16" s="1"/>
  <c r="AG27" i="37"/>
  <c r="AI95" i="44"/>
  <c r="AI26" i="44" l="1"/>
  <c r="M26" i="99" s="1"/>
  <c r="M18" i="99" s="1"/>
  <c r="M43" i="99" s="1"/>
  <c r="AG113" i="13"/>
  <c r="AG114" i="13" s="1"/>
  <c r="AH24" i="94"/>
  <c r="AJ874" i="97"/>
  <c r="AG25" i="37"/>
  <c r="AG27" i="16"/>
  <c r="AI94" i="44" l="1"/>
  <c r="CF26" i="70"/>
  <c r="AI25" i="44"/>
  <c r="AG28" i="16" s="1"/>
  <c r="AI93" i="44" l="1"/>
  <c r="CF25" i="70"/>
  <c r="AG25" i="16"/>
  <c r="AW17" i="98"/>
  <c r="AV17" i="98"/>
  <c r="AU17" i="98"/>
  <c r="AT17" i="98"/>
  <c r="AS17" i="98"/>
  <c r="AR17" i="98"/>
  <c r="AQ17" i="98"/>
  <c r="AP17" i="98"/>
  <c r="AO17" i="98"/>
  <c r="AN17" i="98"/>
  <c r="BQ8" i="98"/>
  <c r="BP8" i="98"/>
  <c r="BO8" i="98"/>
  <c r="BN8" i="98"/>
  <c r="BM8" i="98"/>
  <c r="BL8" i="98"/>
  <c r="BK8" i="98"/>
  <c r="BJ8" i="98"/>
  <c r="BI8" i="98"/>
  <c r="BH8" i="98"/>
  <c r="BG8" i="98"/>
  <c r="BF8" i="98"/>
  <c r="BE8" i="98"/>
  <c r="BD8" i="98"/>
  <c r="BC8" i="98"/>
  <c r="BB8" i="98"/>
  <c r="BA8" i="98"/>
  <c r="AZ8" i="98"/>
  <c r="AY8" i="98"/>
  <c r="AX8" i="98"/>
  <c r="AW8" i="98"/>
  <c r="AV8" i="98"/>
  <c r="AU8" i="98"/>
  <c r="AT8" i="98"/>
  <c r="AS8" i="98"/>
  <c r="AR8" i="98"/>
  <c r="AQ8" i="98"/>
  <c r="AP8" i="98"/>
  <c r="AO8" i="98"/>
  <c r="AN8" i="98"/>
  <c r="D8" i="98" l="1"/>
  <c r="E8" i="98"/>
  <c r="H8" i="98"/>
  <c r="I8" i="98"/>
  <c r="L8" i="98"/>
  <c r="M8" i="98"/>
  <c r="P8" i="98"/>
  <c r="Q8" i="98"/>
  <c r="T8" i="98"/>
  <c r="U8" i="98"/>
  <c r="X8" i="98"/>
  <c r="Y8" i="98"/>
  <c r="AB8" i="98"/>
  <c r="AC8" i="98"/>
  <c r="AF8" i="98"/>
  <c r="C8" i="98"/>
  <c r="F8" i="98"/>
  <c r="G8" i="98"/>
  <c r="J8" i="98"/>
  <c r="K8" i="98"/>
  <c r="N8" i="98"/>
  <c r="O8" i="98"/>
  <c r="R8" i="98"/>
  <c r="S8" i="98"/>
  <c r="V8" i="98"/>
  <c r="W8" i="98"/>
  <c r="Z8" i="98"/>
  <c r="AA8" i="98"/>
  <c r="AD8" i="98"/>
  <c r="AE8" i="98"/>
  <c r="D17" i="98"/>
  <c r="E17" i="98"/>
  <c r="H17" i="98"/>
  <c r="K17" i="98"/>
  <c r="L17" i="98"/>
  <c r="C17" i="98"/>
  <c r="F17" i="98"/>
  <c r="G17" i="98"/>
  <c r="I17" i="98"/>
  <c r="J17" i="98"/>
  <c r="C63" i="98"/>
  <c r="D63" i="98"/>
  <c r="E63" i="98"/>
  <c r="F63" i="98"/>
  <c r="G63" i="98"/>
  <c r="H63" i="98"/>
  <c r="I63" i="98"/>
  <c r="J63" i="98"/>
  <c r="K63" i="98"/>
  <c r="L63" i="98"/>
  <c r="M63" i="98"/>
  <c r="N63" i="98"/>
  <c r="O63" i="98"/>
  <c r="P63" i="98"/>
  <c r="Q63" i="98"/>
  <c r="R63" i="98"/>
  <c r="S63" i="98"/>
  <c r="T63" i="98"/>
  <c r="U63" i="98"/>
  <c r="V63" i="98"/>
  <c r="W63" i="98"/>
  <c r="X63" i="98"/>
  <c r="Y63" i="98"/>
  <c r="Z63" i="98"/>
  <c r="AA63" i="98"/>
  <c r="AB63" i="98"/>
  <c r="AC63" i="98"/>
  <c r="AD63" i="98"/>
  <c r="AE63" i="98"/>
  <c r="AF63" i="98"/>
  <c r="C72" i="98"/>
  <c r="D72" i="98"/>
  <c r="E72" i="98"/>
  <c r="F72" i="98"/>
  <c r="G72" i="98"/>
  <c r="H72" i="98"/>
  <c r="I72" i="98"/>
  <c r="J72" i="98"/>
  <c r="K72" i="98"/>
  <c r="L72" i="98"/>
  <c r="S24" i="54" l="1"/>
  <c r="S24" i="58"/>
  <c r="S24" i="85"/>
  <c r="S24" i="87"/>
  <c r="J26" i="5" l="1"/>
  <c r="AC25" i="95"/>
  <c r="AC24" i="95"/>
  <c r="R24" i="95"/>
  <c r="AC25" i="90"/>
  <c r="AC24" i="90"/>
  <c r="R24" i="90"/>
  <c r="AC25" i="88"/>
  <c r="AC24" i="88"/>
  <c r="R24" i="88"/>
  <c r="AC25" i="87"/>
  <c r="AC24" i="87"/>
  <c r="R24" i="87"/>
  <c r="AC25" i="85"/>
  <c r="AC24" i="85"/>
  <c r="R24" i="85"/>
  <c r="AC25" i="84"/>
  <c r="AC24" i="84"/>
  <c r="R24" i="84"/>
  <c r="AC25" i="83"/>
  <c r="AC24" i="83"/>
  <c r="R24" i="83"/>
  <c r="AC25" i="82"/>
  <c r="AC24" i="82"/>
  <c r="R24" i="82"/>
  <c r="AC25" i="81"/>
  <c r="AC24" i="81"/>
  <c r="R24" i="81"/>
  <c r="AC25" i="79"/>
  <c r="AC24" i="79"/>
  <c r="R24" i="79"/>
  <c r="AC25" i="77"/>
  <c r="AC24" i="77"/>
  <c r="R24" i="77"/>
  <c r="AC25" i="73"/>
  <c r="AC24" i="73"/>
  <c r="R24" i="73"/>
  <c r="AC25" i="72"/>
  <c r="AC24" i="72"/>
  <c r="R24" i="72"/>
  <c r="AC25" i="69"/>
  <c r="AC24" i="69"/>
  <c r="R24" i="69"/>
  <c r="AC25" i="64"/>
  <c r="AC24" i="64"/>
  <c r="R24" i="64"/>
  <c r="AC25" i="58"/>
  <c r="AC24" i="58"/>
  <c r="R24" i="58"/>
  <c r="AC25" i="56"/>
  <c r="AC24" i="56"/>
  <c r="R24" i="56"/>
  <c r="AC25" i="55"/>
  <c r="AC24" i="55"/>
  <c r="R24" i="55"/>
  <c r="AC25" i="46"/>
  <c r="AC24" i="46"/>
  <c r="R24" i="46"/>
  <c r="AC25" i="47"/>
  <c r="AC24" i="47"/>
  <c r="R24" i="47"/>
  <c r="AC25" i="48"/>
  <c r="AC24" i="48"/>
  <c r="R24" i="48"/>
  <c r="AC25" i="49"/>
  <c r="AC24" i="49"/>
  <c r="R24" i="49"/>
  <c r="AC25" i="50"/>
  <c r="AC24" i="50"/>
  <c r="R24" i="50"/>
  <c r="AC25" i="51"/>
  <c r="AC24" i="51"/>
  <c r="R24" i="51"/>
  <c r="AC25" i="41"/>
  <c r="AC24" i="41"/>
  <c r="R24" i="41"/>
  <c r="AC25" i="45"/>
  <c r="AC24" i="45"/>
  <c r="R24" i="45"/>
  <c r="AC25" i="54"/>
  <c r="AC24" i="54"/>
  <c r="R24" i="54"/>
  <c r="AC25" i="53"/>
  <c r="AC24" i="53"/>
  <c r="R24" i="53"/>
  <c r="AC25" i="52"/>
  <c r="AC24" i="52"/>
  <c r="R24" i="52"/>
  <c r="AC25" i="96" l="1"/>
  <c r="AC24" i="96"/>
  <c r="O623" i="97" l="1"/>
  <c r="N623" i="97"/>
  <c r="M623" i="97"/>
  <c r="L623" i="97"/>
  <c r="K623" i="97"/>
  <c r="J623" i="97"/>
  <c r="I623" i="97"/>
  <c r="H623" i="97"/>
  <c r="G623" i="97"/>
  <c r="F623" i="97"/>
  <c r="AI844" i="97"/>
  <c r="AH844" i="97"/>
  <c r="AG844" i="97"/>
  <c r="AF844" i="97"/>
  <c r="AE844" i="97"/>
  <c r="AD844" i="97"/>
  <c r="AC844" i="97"/>
  <c r="AB844" i="97"/>
  <c r="AA844" i="97"/>
  <c r="Z844" i="97"/>
  <c r="M844" i="97"/>
  <c r="AL26" i="89" l="1"/>
  <c r="AM26" i="89"/>
  <c r="AF10" i="94"/>
  <c r="AG82" i="2" s="1"/>
  <c r="AG10" i="94"/>
  <c r="AH82" i="2" s="1"/>
  <c r="B131" i="44"/>
  <c r="AI26" i="5"/>
  <c r="AC26" i="5"/>
  <c r="AG26" i="5"/>
  <c r="AE18" i="16"/>
  <c r="AF18" i="16"/>
  <c r="K29" i="20"/>
  <c r="J26" i="37" s="1"/>
  <c r="J26" i="16" s="1"/>
  <c r="S29" i="20"/>
  <c r="R26" i="37" s="1"/>
  <c r="R26" i="16" s="1"/>
  <c r="AA29" i="20"/>
  <c r="E108" i="13"/>
  <c r="M108" i="13"/>
  <c r="U108" i="13"/>
  <c r="AC108" i="13"/>
  <c r="L32" i="20"/>
  <c r="T32" i="20"/>
  <c r="AB32" i="20"/>
  <c r="G33" i="20"/>
  <c r="O33" i="20"/>
  <c r="W33" i="20"/>
  <c r="AE33" i="20"/>
  <c r="J34" i="20"/>
  <c r="R34" i="20"/>
  <c r="Z34" i="20"/>
  <c r="AG34" i="20"/>
  <c r="M36" i="20"/>
  <c r="AC36" i="20"/>
  <c r="H37" i="20"/>
  <c r="P37" i="20"/>
  <c r="X37" i="20"/>
  <c r="AF37" i="20"/>
  <c r="K38" i="20"/>
  <c r="S38" i="20"/>
  <c r="T27" i="44" s="1"/>
  <c r="Y38" i="20"/>
  <c r="AA38" i="20"/>
  <c r="AB27" i="44" s="1"/>
  <c r="AB95" i="44" s="1"/>
  <c r="D37" i="20"/>
  <c r="AE62" i="10"/>
  <c r="AE151" i="10" s="1"/>
  <c r="AN84" i="33" s="1"/>
  <c r="AF62" i="10"/>
  <c r="AF108" i="13"/>
  <c r="CC19" i="70"/>
  <c r="CD19" i="70"/>
  <c r="AU24" i="70"/>
  <c r="AV24" i="70"/>
  <c r="AU110" i="70"/>
  <c r="AV110" i="70"/>
  <c r="AF19" i="70"/>
  <c r="AG19" i="70"/>
  <c r="AF24" i="70"/>
  <c r="AG24" i="70"/>
  <c r="AF33" i="70"/>
  <c r="AG33" i="70"/>
  <c r="AF110" i="70"/>
  <c r="AG110" i="70"/>
  <c r="AF21" i="94"/>
  <c r="AG21" i="94"/>
  <c r="AG17" i="94"/>
  <c r="AF15" i="94"/>
  <c r="AF16" i="94"/>
  <c r="AF17" i="94"/>
  <c r="AF22" i="94"/>
  <c r="AF23" i="94"/>
  <c r="AF143" i="44"/>
  <c r="AG143" i="44"/>
  <c r="AH143" i="44"/>
  <c r="AG101" i="2"/>
  <c r="AH101" i="2"/>
  <c r="AG30" i="20"/>
  <c r="AF27" i="37" s="1"/>
  <c r="AF27" i="16" s="1"/>
  <c r="AG36" i="20"/>
  <c r="AB21" i="94"/>
  <c r="AA15" i="94"/>
  <c r="X21" i="94"/>
  <c r="T21" i="94"/>
  <c r="L21" i="94"/>
  <c r="K15" i="94"/>
  <c r="H21" i="94"/>
  <c r="AH67" i="44"/>
  <c r="AG69" i="44"/>
  <c r="AH37" i="32"/>
  <c r="AI37" i="32"/>
  <c r="AG67" i="44"/>
  <c r="AG65" i="44"/>
  <c r="AH65" i="44"/>
  <c r="AG23" i="94"/>
  <c r="AG15" i="94"/>
  <c r="AG70" i="44"/>
  <c r="AH70" i="44"/>
  <c r="AH69" i="44"/>
  <c r="AG68" i="44"/>
  <c r="AH68" i="44"/>
  <c r="AG16" i="94"/>
  <c r="AG22" i="94"/>
  <c r="BN8" i="71"/>
  <c r="AD63" i="71" s="1"/>
  <c r="BO8" i="71"/>
  <c r="AE63" i="71" s="1"/>
  <c r="AE116" i="10"/>
  <c r="BB100" i="32" s="1"/>
  <c r="AF116" i="10"/>
  <c r="AC44" i="96"/>
  <c r="AC42" i="96"/>
  <c r="AF42" i="96" s="1"/>
  <c r="S42" i="96"/>
  <c r="Q42" i="96"/>
  <c r="P42" i="96"/>
  <c r="O42" i="96"/>
  <c r="N42" i="96"/>
  <c r="AC41" i="96"/>
  <c r="U41" i="96"/>
  <c r="S41" i="96"/>
  <c r="R41" i="96"/>
  <c r="Q41" i="96"/>
  <c r="O41" i="96"/>
  <c r="N41" i="96"/>
  <c r="AC40" i="96"/>
  <c r="S40" i="96"/>
  <c r="R40" i="96"/>
  <c r="Q40" i="96"/>
  <c r="O40" i="96"/>
  <c r="N40" i="96"/>
  <c r="AC39" i="96"/>
  <c r="U39" i="96"/>
  <c r="S39" i="96"/>
  <c r="R39" i="96"/>
  <c r="Q39" i="96"/>
  <c r="O39" i="96"/>
  <c r="N39" i="96"/>
  <c r="AC38" i="96"/>
  <c r="U38" i="96"/>
  <c r="S38" i="96"/>
  <c r="R38" i="96"/>
  <c r="Q38" i="96"/>
  <c r="O38" i="96"/>
  <c r="N38" i="96"/>
  <c r="AC37" i="96"/>
  <c r="U37" i="96"/>
  <c r="S37" i="96"/>
  <c r="Q37" i="96"/>
  <c r="N37" i="96"/>
  <c r="AC36" i="96"/>
  <c r="U36" i="96"/>
  <c r="S36" i="96"/>
  <c r="R36" i="96"/>
  <c r="Q36" i="96"/>
  <c r="O36" i="96"/>
  <c r="N36" i="96"/>
  <c r="AC35" i="96"/>
  <c r="U35" i="96"/>
  <c r="S35" i="96"/>
  <c r="R35" i="96"/>
  <c r="Q35" i="96"/>
  <c r="O35" i="96"/>
  <c r="N35" i="96"/>
  <c r="AC34" i="96"/>
  <c r="U34" i="96"/>
  <c r="S34" i="96"/>
  <c r="R34" i="96"/>
  <c r="Q34" i="96"/>
  <c r="O34" i="96"/>
  <c r="N34" i="96"/>
  <c r="AC33" i="96"/>
  <c r="R33" i="96"/>
  <c r="Q33" i="96"/>
  <c r="O33" i="96"/>
  <c r="N33" i="96"/>
  <c r="AC32" i="96"/>
  <c r="S32" i="96"/>
  <c r="R32" i="96"/>
  <c r="Q32" i="96"/>
  <c r="O32" i="96"/>
  <c r="N32" i="96"/>
  <c r="AC31" i="96"/>
  <c r="S31" i="96"/>
  <c r="R31" i="96"/>
  <c r="Q31" i="96"/>
  <c r="O31" i="96"/>
  <c r="N31" i="96"/>
  <c r="AC30" i="96"/>
  <c r="U30" i="96"/>
  <c r="S30" i="96"/>
  <c r="R30" i="96"/>
  <c r="Q30" i="96"/>
  <c r="O30" i="96"/>
  <c r="N30" i="96"/>
  <c r="S29" i="96"/>
  <c r="R29" i="96"/>
  <c r="Q29" i="96"/>
  <c r="P29" i="96"/>
  <c r="O29" i="96"/>
  <c r="N29" i="96"/>
  <c r="AC28" i="96"/>
  <c r="U28" i="96"/>
  <c r="N28" i="96"/>
  <c r="AC27" i="96"/>
  <c r="R27" i="96"/>
  <c r="N27" i="96"/>
  <c r="AC26" i="96"/>
  <c r="U26" i="96"/>
  <c r="R26" i="96"/>
  <c r="O26" i="96"/>
  <c r="N26" i="96"/>
  <c r="R24" i="96"/>
  <c r="AC23" i="96"/>
  <c r="U23" i="96"/>
  <c r="R23" i="96"/>
  <c r="Q23" i="96"/>
  <c r="AC22" i="96"/>
  <c r="R22" i="96"/>
  <c r="P22" i="96"/>
  <c r="O22" i="96"/>
  <c r="N22" i="96"/>
  <c r="AC21" i="96"/>
  <c r="AC20" i="96"/>
  <c r="U20" i="96"/>
  <c r="S20" i="96"/>
  <c r="R20" i="96"/>
  <c r="P20" i="96"/>
  <c r="O20" i="96"/>
  <c r="N20" i="96"/>
  <c r="AC19" i="96"/>
  <c r="U19" i="96"/>
  <c r="S19" i="96"/>
  <c r="R19" i="96"/>
  <c r="Q19" i="96"/>
  <c r="O19" i="96"/>
  <c r="N19" i="96"/>
  <c r="AC17" i="96"/>
  <c r="AC16" i="96"/>
  <c r="U16" i="96"/>
  <c r="R16" i="96"/>
  <c r="Q16" i="96"/>
  <c r="P16" i="96"/>
  <c r="O16" i="96"/>
  <c r="N16" i="96"/>
  <c r="AC15" i="96"/>
  <c r="S15" i="96"/>
  <c r="Q15" i="96"/>
  <c r="P15" i="96"/>
  <c r="O15" i="96"/>
  <c r="N15" i="96"/>
  <c r="AC14" i="96"/>
  <c r="U14" i="96"/>
  <c r="S14" i="96"/>
  <c r="R14" i="96"/>
  <c r="P14" i="96"/>
  <c r="O14" i="96"/>
  <c r="N14" i="96"/>
  <c r="AC13" i="96"/>
  <c r="U13" i="96"/>
  <c r="S13" i="96"/>
  <c r="R13" i="96"/>
  <c r="Q13" i="96"/>
  <c r="O13" i="96"/>
  <c r="N13" i="96"/>
  <c r="AC12" i="96"/>
  <c r="S12" i="96"/>
  <c r="R12" i="96"/>
  <c r="Q12" i="96"/>
  <c r="O12" i="96"/>
  <c r="N12" i="96"/>
  <c r="AC11" i="96"/>
  <c r="S11" i="96"/>
  <c r="R11" i="96"/>
  <c r="Q11" i="96"/>
  <c r="O11" i="96"/>
  <c r="N11" i="96"/>
  <c r="AC10" i="96"/>
  <c r="S10" i="96"/>
  <c r="R10" i="96"/>
  <c r="Q10" i="96"/>
  <c r="P10" i="96"/>
  <c r="N10" i="96"/>
  <c r="AC9" i="96"/>
  <c r="S9" i="96"/>
  <c r="R9" i="96"/>
  <c r="Q9" i="96"/>
  <c r="P9" i="96"/>
  <c r="O9" i="96"/>
  <c r="L8" i="96"/>
  <c r="C4" i="96"/>
  <c r="D4" i="96" s="1"/>
  <c r="E4" i="96" s="1"/>
  <c r="F4" i="96" s="1"/>
  <c r="G4" i="96" s="1"/>
  <c r="H4" i="96" s="1"/>
  <c r="I4" i="96" s="1"/>
  <c r="J4" i="96" s="1"/>
  <c r="K4" i="96" s="1"/>
  <c r="L4" i="96" s="1"/>
  <c r="M4" i="96" s="1"/>
  <c r="N4" i="96" s="1"/>
  <c r="O4" i="96" s="1"/>
  <c r="P4" i="96" s="1"/>
  <c r="Q4" i="96" s="1"/>
  <c r="R4" i="96" s="1"/>
  <c r="S4" i="96" s="1"/>
  <c r="T4" i="96" s="1"/>
  <c r="U4" i="96" s="1"/>
  <c r="V4" i="96" s="1"/>
  <c r="W4" i="96" s="1"/>
  <c r="X4" i="96" s="1"/>
  <c r="Y4" i="96" s="1"/>
  <c r="Z4" i="96" s="1"/>
  <c r="AA4" i="96" s="1"/>
  <c r="AB4" i="96" s="1"/>
  <c r="AC4" i="96" s="1"/>
  <c r="AD4" i="96" s="1"/>
  <c r="AE4" i="96" s="1"/>
  <c r="AF4" i="96" s="1"/>
  <c r="AG4" i="96" s="1"/>
  <c r="AH4" i="96" s="1"/>
  <c r="AI4" i="96" s="1"/>
  <c r="AJ4" i="96" s="1"/>
  <c r="AK4" i="96" s="1"/>
  <c r="AL4" i="96" s="1"/>
  <c r="AM4" i="96" s="1"/>
  <c r="AN4" i="96" s="1"/>
  <c r="AO4" i="96" s="1"/>
  <c r="AP4" i="96" s="1"/>
  <c r="AQ4" i="96" s="1"/>
  <c r="Z1" i="96"/>
  <c r="AE23" i="94"/>
  <c r="AD23" i="94"/>
  <c r="AC23" i="94"/>
  <c r="AA23" i="94"/>
  <c r="Z23" i="94"/>
  <c r="Y23" i="94"/>
  <c r="W23" i="94"/>
  <c r="V23" i="94"/>
  <c r="U23" i="94"/>
  <c r="S23" i="94"/>
  <c r="R23" i="94"/>
  <c r="Q23" i="94"/>
  <c r="O23" i="94"/>
  <c r="N23" i="94"/>
  <c r="M23" i="94"/>
  <c r="K23" i="94"/>
  <c r="J23" i="94"/>
  <c r="I23" i="94"/>
  <c r="G23" i="94"/>
  <c r="F23" i="94"/>
  <c r="E23" i="94"/>
  <c r="AE22" i="94"/>
  <c r="AD22" i="94"/>
  <c r="AC22" i="94"/>
  <c r="AA22" i="94"/>
  <c r="Z22" i="94"/>
  <c r="Y22" i="94"/>
  <c r="W22" i="94"/>
  <c r="V22" i="94"/>
  <c r="U22" i="94"/>
  <c r="S22" i="94"/>
  <c r="R22" i="94"/>
  <c r="Q22" i="94"/>
  <c r="O22" i="94"/>
  <c r="N22" i="94"/>
  <c r="M22" i="94"/>
  <c r="K22" i="94"/>
  <c r="J22" i="94"/>
  <c r="I22" i="94"/>
  <c r="G22" i="94"/>
  <c r="F22" i="94"/>
  <c r="E22" i="94"/>
  <c r="AE21" i="94"/>
  <c r="AD21" i="94"/>
  <c r="AC21" i="94"/>
  <c r="AA21" i="94"/>
  <c r="Z21" i="94"/>
  <c r="Y21" i="94"/>
  <c r="W21" i="94"/>
  <c r="V21" i="94"/>
  <c r="U21" i="94"/>
  <c r="S21" i="94"/>
  <c r="R21" i="94"/>
  <c r="Q21" i="94"/>
  <c r="O21" i="94"/>
  <c r="N21" i="94"/>
  <c r="M21" i="94"/>
  <c r="K21" i="94"/>
  <c r="J21" i="94"/>
  <c r="I21" i="94"/>
  <c r="G21" i="94"/>
  <c r="F21" i="94"/>
  <c r="E21" i="94"/>
  <c r="AF66" i="44"/>
  <c r="AD66" i="44"/>
  <c r="Z66" i="44"/>
  <c r="V66" i="44"/>
  <c r="R66" i="44"/>
  <c r="J66" i="44"/>
  <c r="AF67" i="44"/>
  <c r="AE67" i="44"/>
  <c r="AB67" i="44"/>
  <c r="AA67" i="44"/>
  <c r="X67" i="44"/>
  <c r="P67" i="44"/>
  <c r="L67" i="44"/>
  <c r="H67" i="44"/>
  <c r="AF65" i="44"/>
  <c r="AF70" i="44"/>
  <c r="AF69" i="44"/>
  <c r="AF68" i="44"/>
  <c r="AD62" i="10"/>
  <c r="AC44" i="95"/>
  <c r="AC42" i="95"/>
  <c r="AF42" i="95" s="1"/>
  <c r="S42" i="95"/>
  <c r="Q42" i="95"/>
  <c r="P42" i="95"/>
  <c r="O42" i="95"/>
  <c r="N42" i="95"/>
  <c r="AC41" i="95"/>
  <c r="U41" i="95"/>
  <c r="S41" i="95"/>
  <c r="R41" i="95"/>
  <c r="Q41" i="95"/>
  <c r="O41" i="95"/>
  <c r="N41" i="95"/>
  <c r="AC40" i="95"/>
  <c r="S40" i="95"/>
  <c r="R40" i="95"/>
  <c r="Q40" i="95"/>
  <c r="O40" i="95"/>
  <c r="N40" i="95"/>
  <c r="AC39" i="95"/>
  <c r="U39" i="95"/>
  <c r="S39" i="95"/>
  <c r="R39" i="95"/>
  <c r="Q39" i="95"/>
  <c r="O39" i="95"/>
  <c r="N39" i="95"/>
  <c r="AC38" i="95"/>
  <c r="U38" i="95"/>
  <c r="S38" i="95"/>
  <c r="R38" i="95"/>
  <c r="Q38" i="95"/>
  <c r="O38" i="95"/>
  <c r="N38" i="95"/>
  <c r="AC37" i="95"/>
  <c r="U37" i="95"/>
  <c r="S37" i="95"/>
  <c r="Q37" i="95"/>
  <c r="N37" i="95"/>
  <c r="AC36" i="95"/>
  <c r="U36" i="95"/>
  <c r="S36" i="95"/>
  <c r="R36" i="95"/>
  <c r="Q36" i="95"/>
  <c r="O36" i="95"/>
  <c r="N36" i="95"/>
  <c r="AC35" i="95"/>
  <c r="U35" i="95"/>
  <c r="S35" i="95"/>
  <c r="R35" i="95"/>
  <c r="Q35" i="95"/>
  <c r="O35" i="95"/>
  <c r="N35" i="95"/>
  <c r="AC34" i="95"/>
  <c r="U34" i="95"/>
  <c r="S34" i="95"/>
  <c r="R34" i="95"/>
  <c r="Q34" i="95"/>
  <c r="O34" i="95"/>
  <c r="N34" i="95"/>
  <c r="AC33" i="95"/>
  <c r="R33" i="95"/>
  <c r="Q33" i="95"/>
  <c r="O33" i="95"/>
  <c r="N33" i="95"/>
  <c r="AC32" i="95"/>
  <c r="S32" i="95"/>
  <c r="R32" i="95"/>
  <c r="Q32" i="95"/>
  <c r="O32" i="95"/>
  <c r="N32" i="95"/>
  <c r="AC31" i="95"/>
  <c r="S31" i="95"/>
  <c r="R31" i="95"/>
  <c r="Q31" i="95"/>
  <c r="O31" i="95"/>
  <c r="N31" i="95"/>
  <c r="AC30" i="95"/>
  <c r="U30" i="95"/>
  <c r="S30" i="95"/>
  <c r="R30" i="95"/>
  <c r="Q30" i="95"/>
  <c r="O30" i="95"/>
  <c r="N30" i="95"/>
  <c r="S29" i="95"/>
  <c r="R29" i="95"/>
  <c r="Q29" i="95"/>
  <c r="P29" i="95"/>
  <c r="O29" i="95"/>
  <c r="N29" i="95"/>
  <c r="T29" i="95" s="1"/>
  <c r="AC28" i="95"/>
  <c r="U28" i="95"/>
  <c r="N28" i="95"/>
  <c r="AC27" i="95"/>
  <c r="R27" i="95"/>
  <c r="N27" i="95"/>
  <c r="AC26" i="95"/>
  <c r="U26" i="95"/>
  <c r="R26" i="95"/>
  <c r="O26" i="95"/>
  <c r="N26" i="95"/>
  <c r="AC23" i="95"/>
  <c r="U23" i="95"/>
  <c r="R23" i="95"/>
  <c r="Q23" i="95"/>
  <c r="AC22" i="95"/>
  <c r="R22" i="95"/>
  <c r="P22" i="95"/>
  <c r="O22" i="95"/>
  <c r="N22" i="95"/>
  <c r="AC21" i="95"/>
  <c r="AC20" i="95"/>
  <c r="U20" i="95"/>
  <c r="S20" i="95"/>
  <c r="R20" i="95"/>
  <c r="P20" i="95"/>
  <c r="O20" i="95"/>
  <c r="N20" i="95"/>
  <c r="AC19" i="95"/>
  <c r="U19" i="95"/>
  <c r="S19" i="95"/>
  <c r="R19" i="95"/>
  <c r="Q19" i="95"/>
  <c r="O19" i="95"/>
  <c r="N19" i="95"/>
  <c r="AC17" i="95"/>
  <c r="AC16" i="95"/>
  <c r="U16" i="95"/>
  <c r="R16" i="95"/>
  <c r="Q16" i="95"/>
  <c r="P16" i="95"/>
  <c r="O16" i="95"/>
  <c r="N16" i="95"/>
  <c r="AC15" i="95"/>
  <c r="S15" i="95"/>
  <c r="Q15" i="95"/>
  <c r="P15" i="95"/>
  <c r="O15" i="95"/>
  <c r="N15" i="95"/>
  <c r="AC14" i="95"/>
  <c r="U14" i="95"/>
  <c r="S14" i="95"/>
  <c r="R14" i="95"/>
  <c r="P14" i="95"/>
  <c r="O14" i="95"/>
  <c r="N14" i="95"/>
  <c r="AC13" i="95"/>
  <c r="U13" i="95"/>
  <c r="S13" i="95"/>
  <c r="R13" i="95"/>
  <c r="Q13" i="95"/>
  <c r="O13" i="95"/>
  <c r="N13" i="95"/>
  <c r="AC12" i="95"/>
  <c r="S12" i="95"/>
  <c r="R12" i="95"/>
  <c r="Q12" i="95"/>
  <c r="O12" i="95"/>
  <c r="N12" i="95"/>
  <c r="AC11" i="95"/>
  <c r="S11" i="95"/>
  <c r="R11" i="95"/>
  <c r="Q11" i="95"/>
  <c r="O11" i="95"/>
  <c r="N11" i="95"/>
  <c r="AC10" i="95"/>
  <c r="S10" i="95"/>
  <c r="R10" i="95"/>
  <c r="Q10" i="95"/>
  <c r="P10" i="95"/>
  <c r="N10" i="95"/>
  <c r="AC9" i="95"/>
  <c r="S9" i="95"/>
  <c r="R9" i="95"/>
  <c r="Q9" i="95"/>
  <c r="P9" i="95"/>
  <c r="O9" i="95"/>
  <c r="L8" i="95"/>
  <c r="C4" i="95"/>
  <c r="D4" i="95"/>
  <c r="E4" i="95" s="1"/>
  <c r="F4" i="95" s="1"/>
  <c r="G4" i="95" s="1"/>
  <c r="H4" i="95" s="1"/>
  <c r="I4" i="95" s="1"/>
  <c r="J4" i="95" s="1"/>
  <c r="K4" i="95" s="1"/>
  <c r="L4" i="95" s="1"/>
  <c r="M4" i="95" s="1"/>
  <c r="N4" i="95" s="1"/>
  <c r="O4" i="95" s="1"/>
  <c r="P4" i="95" s="1"/>
  <c r="Q4" i="95" s="1"/>
  <c r="R4" i="95" s="1"/>
  <c r="S4" i="95" s="1"/>
  <c r="T4" i="95" s="1"/>
  <c r="U4" i="95" s="1"/>
  <c r="V4" i="95" s="1"/>
  <c r="W4" i="95" s="1"/>
  <c r="X4" i="95" s="1"/>
  <c r="Y4" i="95" s="1"/>
  <c r="Z4" i="95" s="1"/>
  <c r="AA4" i="95" s="1"/>
  <c r="AB4" i="95" s="1"/>
  <c r="AC4" i="95" s="1"/>
  <c r="AD4" i="95" s="1"/>
  <c r="AE4" i="95" s="1"/>
  <c r="AF4" i="95" s="1"/>
  <c r="AG4" i="95" s="1"/>
  <c r="AH4" i="95" s="1"/>
  <c r="AI4" i="95" s="1"/>
  <c r="AJ4" i="95" s="1"/>
  <c r="AK4" i="95" s="1"/>
  <c r="AL4" i="95" s="1"/>
  <c r="AM4" i="95" s="1"/>
  <c r="AN4" i="95" s="1"/>
  <c r="AO4" i="95" s="1"/>
  <c r="AP4" i="95" s="1"/>
  <c r="AQ4" i="95" s="1"/>
  <c r="Z1" i="95"/>
  <c r="AG42" i="95"/>
  <c r="AD42" i="95"/>
  <c r="AC42" i="41"/>
  <c r="E16" i="94"/>
  <c r="F16" i="94"/>
  <c r="G16" i="94"/>
  <c r="I16" i="94"/>
  <c r="J16" i="94"/>
  <c r="K16" i="94"/>
  <c r="M16" i="94"/>
  <c r="N16" i="94"/>
  <c r="O16" i="94"/>
  <c r="Q16" i="94"/>
  <c r="R16" i="94"/>
  <c r="S16" i="94"/>
  <c r="U16" i="94"/>
  <c r="V16" i="94"/>
  <c r="W16" i="94"/>
  <c r="Y16" i="94"/>
  <c r="Z16" i="94"/>
  <c r="AA16" i="94"/>
  <c r="AC16" i="94"/>
  <c r="AD16" i="94"/>
  <c r="AE16" i="94"/>
  <c r="E17" i="94"/>
  <c r="F17" i="94"/>
  <c r="G17" i="94"/>
  <c r="I17" i="94"/>
  <c r="J17" i="94"/>
  <c r="K17" i="94"/>
  <c r="M17" i="94"/>
  <c r="N17" i="94"/>
  <c r="O17" i="94"/>
  <c r="Q17" i="94"/>
  <c r="R17" i="94"/>
  <c r="S17" i="94"/>
  <c r="U17" i="94"/>
  <c r="V17" i="94"/>
  <c r="W17" i="94"/>
  <c r="Y17" i="94"/>
  <c r="Z17" i="94"/>
  <c r="AA17" i="94"/>
  <c r="AC17" i="94"/>
  <c r="AD17" i="94"/>
  <c r="AE17" i="94"/>
  <c r="F15" i="94"/>
  <c r="G15" i="94"/>
  <c r="H15" i="94"/>
  <c r="J15" i="94"/>
  <c r="L15" i="94"/>
  <c r="N15" i="94"/>
  <c r="O15" i="94"/>
  <c r="R15" i="94"/>
  <c r="S15" i="94"/>
  <c r="T15" i="94"/>
  <c r="V15" i="94"/>
  <c r="W15" i="94"/>
  <c r="X15" i="94"/>
  <c r="Z15" i="94"/>
  <c r="AB15" i="94"/>
  <c r="AD15" i="94"/>
  <c r="AE15" i="94"/>
  <c r="AC10" i="94"/>
  <c r="Y10" i="94"/>
  <c r="Z82" i="2" s="1"/>
  <c r="U10" i="94"/>
  <c r="V82" i="2" s="1"/>
  <c r="Q10" i="94"/>
  <c r="R82" i="2" s="1"/>
  <c r="M10" i="94"/>
  <c r="N82" i="2" s="1"/>
  <c r="I10" i="94"/>
  <c r="J82" i="2" s="1"/>
  <c r="E10" i="94"/>
  <c r="F82" i="2" s="1"/>
  <c r="AC15" i="94"/>
  <c r="Y15" i="94"/>
  <c r="U15" i="94"/>
  <c r="Q15" i="94"/>
  <c r="M15" i="94"/>
  <c r="I15" i="94"/>
  <c r="E15" i="94"/>
  <c r="AD10" i="94"/>
  <c r="AE82" i="2" s="1"/>
  <c r="Z10" i="94"/>
  <c r="AA82" i="2" s="1"/>
  <c r="V10" i="94"/>
  <c r="W82" i="2" s="1"/>
  <c r="R10" i="94"/>
  <c r="S82" i="2" s="1"/>
  <c r="N10" i="94"/>
  <c r="O82" i="2" s="1"/>
  <c r="J10" i="94"/>
  <c r="K82" i="2" s="1"/>
  <c r="F10" i="94"/>
  <c r="G82" i="2" s="1"/>
  <c r="AE10" i="94"/>
  <c r="AF82" i="2" s="1"/>
  <c r="AA10" i="94"/>
  <c r="AB82" i="2" s="1"/>
  <c r="W10" i="94"/>
  <c r="X82" i="2" s="1"/>
  <c r="S10" i="94"/>
  <c r="T82" i="2" s="1"/>
  <c r="O10" i="94"/>
  <c r="P82" i="2" s="1"/>
  <c r="K10" i="94"/>
  <c r="L82" i="2" s="1"/>
  <c r="G10" i="94"/>
  <c r="H82" i="2" s="1"/>
  <c r="D10" i="94"/>
  <c r="E82" i="2" s="1"/>
  <c r="T10" i="94"/>
  <c r="U82" i="2" s="1"/>
  <c r="H10" i="94"/>
  <c r="I82" i="2" s="1"/>
  <c r="AB10" i="94"/>
  <c r="AC82" i="2" s="1"/>
  <c r="X10" i="94"/>
  <c r="Y82" i="2" s="1"/>
  <c r="L10" i="94"/>
  <c r="M82" i="2" s="1"/>
  <c r="P10" i="94"/>
  <c r="Q82" i="2" s="1"/>
  <c r="AG37" i="32"/>
  <c r="AF37" i="32"/>
  <c r="AE37" i="32"/>
  <c r="AD37" i="32"/>
  <c r="AC37" i="32"/>
  <c r="AB37" i="32"/>
  <c r="AA37" i="32"/>
  <c r="Z37" i="32"/>
  <c r="Y37" i="32"/>
  <c r="X37" i="32"/>
  <c r="W37" i="32"/>
  <c r="CB19" i="70"/>
  <c r="CA19" i="70"/>
  <c r="BZ19" i="70"/>
  <c r="BY19" i="70"/>
  <c r="BX19" i="70"/>
  <c r="BW19" i="70"/>
  <c r="BV19" i="70"/>
  <c r="BU19" i="70"/>
  <c r="BT19" i="70"/>
  <c r="BS19" i="70"/>
  <c r="BR19" i="70"/>
  <c r="BQ19" i="70"/>
  <c r="BP19" i="70"/>
  <c r="BO19" i="70"/>
  <c r="BN19" i="70"/>
  <c r="BM19" i="70"/>
  <c r="BL19" i="70"/>
  <c r="BK19" i="70"/>
  <c r="BJ19" i="70"/>
  <c r="BI19" i="70"/>
  <c r="BH19" i="70"/>
  <c r="BG19" i="70"/>
  <c r="BF19" i="70"/>
  <c r="BE19" i="70"/>
  <c r="BD19" i="70"/>
  <c r="BC19" i="70"/>
  <c r="BB19" i="70"/>
  <c r="AE110" i="70"/>
  <c r="AD110" i="70"/>
  <c r="AC110" i="70"/>
  <c r="AB110" i="70"/>
  <c r="AA110" i="70"/>
  <c r="Z110" i="70"/>
  <c r="Y110" i="70"/>
  <c r="X110" i="70"/>
  <c r="W110" i="70"/>
  <c r="V110" i="70"/>
  <c r="U110" i="70"/>
  <c r="T110" i="70"/>
  <c r="S110" i="70"/>
  <c r="R110" i="70"/>
  <c r="Q110" i="70"/>
  <c r="P110" i="70"/>
  <c r="O110" i="70"/>
  <c r="N110" i="70"/>
  <c r="M110" i="70"/>
  <c r="L110" i="70"/>
  <c r="K110" i="70"/>
  <c r="J110" i="70"/>
  <c r="I110" i="70"/>
  <c r="H110" i="70"/>
  <c r="G110" i="70"/>
  <c r="F110" i="70"/>
  <c r="E110" i="70"/>
  <c r="AE33" i="70"/>
  <c r="AD33" i="70"/>
  <c r="AC33" i="70"/>
  <c r="AB33" i="70"/>
  <c r="AA33" i="70"/>
  <c r="Z33" i="70"/>
  <c r="Y33" i="70"/>
  <c r="X33" i="70"/>
  <c r="W33" i="70"/>
  <c r="V33" i="70"/>
  <c r="U33" i="70"/>
  <c r="T33" i="70"/>
  <c r="S33" i="70"/>
  <c r="R33" i="70"/>
  <c r="Q33" i="70"/>
  <c r="P33" i="70"/>
  <c r="O33" i="70"/>
  <c r="N33" i="70"/>
  <c r="M33" i="70"/>
  <c r="L33" i="70"/>
  <c r="K33" i="70"/>
  <c r="J33" i="70"/>
  <c r="I33" i="70"/>
  <c r="H33" i="70"/>
  <c r="G33" i="70"/>
  <c r="F33" i="70"/>
  <c r="E33" i="70"/>
  <c r="AE24" i="70"/>
  <c r="AD24" i="70"/>
  <c r="AC24" i="70"/>
  <c r="AB24" i="70"/>
  <c r="AA24" i="70"/>
  <c r="Z24" i="70"/>
  <c r="Y24" i="70"/>
  <c r="X24" i="70"/>
  <c r="W24" i="70"/>
  <c r="V24" i="70"/>
  <c r="U24" i="70"/>
  <c r="T24" i="70"/>
  <c r="S24" i="70"/>
  <c r="R24" i="70"/>
  <c r="Q24" i="70"/>
  <c r="P24" i="70"/>
  <c r="O24" i="70"/>
  <c r="N24" i="70"/>
  <c r="M24" i="70"/>
  <c r="L24" i="70"/>
  <c r="K24" i="70"/>
  <c r="J24" i="70"/>
  <c r="I24" i="70"/>
  <c r="H24" i="70"/>
  <c r="G24" i="70"/>
  <c r="F24" i="70"/>
  <c r="E24" i="70"/>
  <c r="AE19" i="70"/>
  <c r="AD19" i="70"/>
  <c r="AC19" i="70"/>
  <c r="AB19" i="70"/>
  <c r="AA19" i="70"/>
  <c r="Z19" i="70"/>
  <c r="Y19" i="70"/>
  <c r="X19" i="70"/>
  <c r="W19" i="70"/>
  <c r="V19" i="70"/>
  <c r="U19" i="70"/>
  <c r="T19" i="70"/>
  <c r="S19" i="70"/>
  <c r="R19" i="70"/>
  <c r="Q19" i="70"/>
  <c r="P19" i="70"/>
  <c r="O19" i="70"/>
  <c r="N19" i="70"/>
  <c r="M19" i="70"/>
  <c r="L19" i="70"/>
  <c r="K19" i="70"/>
  <c r="J19" i="70"/>
  <c r="I19" i="70"/>
  <c r="H19" i="70"/>
  <c r="G19" i="70"/>
  <c r="F19" i="70"/>
  <c r="E19" i="70"/>
  <c r="AE66" i="44"/>
  <c r="AC66" i="44"/>
  <c r="AB66" i="44"/>
  <c r="Y66" i="44"/>
  <c r="U66" i="44"/>
  <c r="Q66" i="44"/>
  <c r="N66" i="44"/>
  <c r="M66" i="44"/>
  <c r="I66" i="44"/>
  <c r="H66" i="44"/>
  <c r="G66" i="44"/>
  <c r="E66" i="44"/>
  <c r="AD67" i="44"/>
  <c r="AC67" i="44"/>
  <c r="T67" i="44"/>
  <c r="R67" i="44"/>
  <c r="J67" i="44"/>
  <c r="F67" i="44"/>
  <c r="AD65" i="44"/>
  <c r="AB65" i="44"/>
  <c r="Z65" i="44"/>
  <c r="X65" i="44"/>
  <c r="V65" i="44"/>
  <c r="T65" i="44"/>
  <c r="R65" i="44"/>
  <c r="P65" i="44"/>
  <c r="M65" i="44"/>
  <c r="J65" i="44"/>
  <c r="H65" i="44"/>
  <c r="F65" i="44"/>
  <c r="AE70" i="44"/>
  <c r="AD70" i="44"/>
  <c r="AC70" i="44"/>
  <c r="AB70" i="44"/>
  <c r="AA70" i="44"/>
  <c r="Z70" i="44"/>
  <c r="Y70" i="44"/>
  <c r="X70" i="44"/>
  <c r="W70" i="44"/>
  <c r="V70" i="44"/>
  <c r="U70" i="44"/>
  <c r="T70" i="44"/>
  <c r="S70" i="44"/>
  <c r="R70" i="44"/>
  <c r="Q70" i="44"/>
  <c r="P70" i="44"/>
  <c r="O70" i="44"/>
  <c r="N70" i="44"/>
  <c r="M70" i="44"/>
  <c r="L70" i="44"/>
  <c r="K70" i="44"/>
  <c r="J70" i="44"/>
  <c r="I70" i="44"/>
  <c r="H70" i="44"/>
  <c r="G70" i="44"/>
  <c r="F70" i="44"/>
  <c r="E70" i="44"/>
  <c r="AE69" i="44"/>
  <c r="AD69" i="44"/>
  <c r="AC69" i="44"/>
  <c r="AB69" i="44"/>
  <c r="AA69" i="44"/>
  <c r="Z69" i="44"/>
  <c r="Y69" i="44"/>
  <c r="X69" i="44"/>
  <c r="W69" i="44"/>
  <c r="V69" i="44"/>
  <c r="U69" i="44"/>
  <c r="T69" i="44"/>
  <c r="S69" i="44"/>
  <c r="R69" i="44"/>
  <c r="Q69" i="44"/>
  <c r="P69" i="44"/>
  <c r="O69" i="44"/>
  <c r="N69" i="44"/>
  <c r="M69" i="44"/>
  <c r="L69" i="44"/>
  <c r="K69" i="44"/>
  <c r="J69" i="44"/>
  <c r="I69" i="44"/>
  <c r="H69" i="44"/>
  <c r="G69" i="44"/>
  <c r="F69" i="44"/>
  <c r="E69" i="44"/>
  <c r="AE68" i="44"/>
  <c r="AD68" i="44"/>
  <c r="AC68" i="44"/>
  <c r="AB68" i="44"/>
  <c r="AA68" i="44"/>
  <c r="Z68" i="44"/>
  <c r="Y68" i="44"/>
  <c r="X68" i="44"/>
  <c r="W68" i="44"/>
  <c r="V68" i="44"/>
  <c r="U68" i="44"/>
  <c r="T68" i="44"/>
  <c r="S68" i="44"/>
  <c r="R68" i="44"/>
  <c r="Q68" i="44"/>
  <c r="P68" i="44"/>
  <c r="O68" i="44"/>
  <c r="N68" i="44"/>
  <c r="M68" i="44"/>
  <c r="L68" i="44"/>
  <c r="K68" i="44"/>
  <c r="J68" i="44"/>
  <c r="I68" i="44"/>
  <c r="H68" i="44"/>
  <c r="G68" i="44"/>
  <c r="F68" i="44"/>
  <c r="E68" i="44"/>
  <c r="K91" i="33"/>
  <c r="AA66" i="44"/>
  <c r="X66" i="44"/>
  <c r="W66" i="44"/>
  <c r="T66" i="44"/>
  <c r="S66" i="44"/>
  <c r="P66" i="44"/>
  <c r="O66" i="44"/>
  <c r="L66" i="44"/>
  <c r="K66" i="44"/>
  <c r="F66" i="44"/>
  <c r="AK26" i="89"/>
  <c r="AD116" i="10"/>
  <c r="AZ100" i="32" s="1"/>
  <c r="BM8" i="71"/>
  <c r="AC63" i="71" s="1"/>
  <c r="AD18" i="16"/>
  <c r="AC44" i="90"/>
  <c r="AC42" i="90"/>
  <c r="AI42" i="90" s="1"/>
  <c r="S42" i="90"/>
  <c r="Q42" i="90"/>
  <c r="P42" i="90"/>
  <c r="O42" i="90"/>
  <c r="N42" i="90"/>
  <c r="AC41" i="90"/>
  <c r="S41" i="90"/>
  <c r="R41" i="90"/>
  <c r="Q41" i="90"/>
  <c r="O41" i="90"/>
  <c r="N41" i="90"/>
  <c r="AC40" i="90"/>
  <c r="S40" i="90"/>
  <c r="R40" i="90"/>
  <c r="Q40" i="90"/>
  <c r="O40" i="90"/>
  <c r="N40" i="90"/>
  <c r="AC39" i="90"/>
  <c r="S39" i="90"/>
  <c r="R39" i="90"/>
  <c r="Q39" i="90"/>
  <c r="O39" i="90"/>
  <c r="N39" i="90"/>
  <c r="AC38" i="90"/>
  <c r="S38" i="90"/>
  <c r="R38" i="90"/>
  <c r="Q38" i="90"/>
  <c r="O38" i="90"/>
  <c r="N38" i="90"/>
  <c r="AC37" i="90"/>
  <c r="S37" i="90"/>
  <c r="Q37" i="90"/>
  <c r="N37" i="90"/>
  <c r="AC36" i="90"/>
  <c r="S36" i="90"/>
  <c r="R36" i="90"/>
  <c r="Q36" i="90"/>
  <c r="O36" i="90"/>
  <c r="N36" i="90"/>
  <c r="AC35" i="90"/>
  <c r="S35" i="90"/>
  <c r="R35" i="90"/>
  <c r="Q35" i="90"/>
  <c r="O35" i="90"/>
  <c r="N35" i="90"/>
  <c r="AC34" i="90"/>
  <c r="S34" i="90"/>
  <c r="R34" i="90"/>
  <c r="Q34" i="90"/>
  <c r="O34" i="90"/>
  <c r="N34" i="90"/>
  <c r="AC33" i="90"/>
  <c r="R33" i="90"/>
  <c r="Q33" i="90"/>
  <c r="O33" i="90"/>
  <c r="N33" i="90"/>
  <c r="AC32" i="90"/>
  <c r="S32" i="90"/>
  <c r="R32" i="90"/>
  <c r="Q32" i="90"/>
  <c r="O32" i="90"/>
  <c r="N32" i="90"/>
  <c r="AC31" i="90"/>
  <c r="S31" i="90"/>
  <c r="R31" i="90"/>
  <c r="Q31" i="90"/>
  <c r="O31" i="90"/>
  <c r="N31" i="90"/>
  <c r="AC30" i="90"/>
  <c r="S30" i="90"/>
  <c r="R30" i="90"/>
  <c r="Q30" i="90"/>
  <c r="O30" i="90"/>
  <c r="N30" i="90"/>
  <c r="S29" i="90"/>
  <c r="R29" i="90"/>
  <c r="Q29" i="90"/>
  <c r="P29" i="90"/>
  <c r="O29" i="90"/>
  <c r="N29" i="90"/>
  <c r="AC28" i="90"/>
  <c r="N28" i="90"/>
  <c r="AC27" i="90"/>
  <c r="R27" i="90"/>
  <c r="N27" i="90"/>
  <c r="AC26" i="90"/>
  <c r="R26" i="90"/>
  <c r="O26" i="90"/>
  <c r="N26" i="90"/>
  <c r="AC23" i="90"/>
  <c r="R23" i="90"/>
  <c r="Q23" i="90"/>
  <c r="AC22" i="90"/>
  <c r="P22" i="90"/>
  <c r="O22" i="90"/>
  <c r="N22" i="90"/>
  <c r="AC21" i="90"/>
  <c r="AC20" i="90"/>
  <c r="S20" i="90"/>
  <c r="R20" i="90"/>
  <c r="P20" i="90"/>
  <c r="O20" i="90"/>
  <c r="N20" i="90"/>
  <c r="AC19" i="90"/>
  <c r="S19" i="90"/>
  <c r="R19" i="90"/>
  <c r="Q19" i="90"/>
  <c r="O19" i="90"/>
  <c r="N19" i="90"/>
  <c r="AC17" i="90"/>
  <c r="AC16" i="90"/>
  <c r="U16" i="90"/>
  <c r="R16" i="90"/>
  <c r="Q16" i="90"/>
  <c r="P16" i="90"/>
  <c r="O16" i="90"/>
  <c r="N16" i="90"/>
  <c r="AC15" i="90"/>
  <c r="S15" i="90"/>
  <c r="Q15" i="90"/>
  <c r="P15" i="90"/>
  <c r="O15" i="90"/>
  <c r="N15" i="90"/>
  <c r="AC14" i="90"/>
  <c r="U14" i="90"/>
  <c r="S14" i="90"/>
  <c r="R14" i="90"/>
  <c r="P14" i="90"/>
  <c r="O14" i="90"/>
  <c r="N14" i="90"/>
  <c r="AC13" i="90"/>
  <c r="U13" i="90"/>
  <c r="S13" i="90"/>
  <c r="R13" i="90"/>
  <c r="Q13" i="90"/>
  <c r="O13" i="90"/>
  <c r="N13" i="90"/>
  <c r="AC12" i="90"/>
  <c r="S12" i="90"/>
  <c r="R12" i="90"/>
  <c r="Q12" i="90"/>
  <c r="O12" i="90"/>
  <c r="N12" i="90"/>
  <c r="AC11" i="90"/>
  <c r="S11" i="90"/>
  <c r="R11" i="90"/>
  <c r="Q11" i="90"/>
  <c r="O11" i="90"/>
  <c r="N11" i="90"/>
  <c r="AC10" i="90"/>
  <c r="S10" i="90"/>
  <c r="R10" i="90"/>
  <c r="Q10" i="90"/>
  <c r="P10" i="90"/>
  <c r="N10" i="90"/>
  <c r="AC9" i="90"/>
  <c r="S9" i="90"/>
  <c r="R9" i="90"/>
  <c r="Q9" i="90"/>
  <c r="P9" i="90"/>
  <c r="O9" i="90"/>
  <c r="L8" i="90"/>
  <c r="C4" i="90"/>
  <c r="D4" i="90"/>
  <c r="E4" i="90" s="1"/>
  <c r="F4" i="90" s="1"/>
  <c r="G4" i="90" s="1"/>
  <c r="H4" i="90" s="1"/>
  <c r="I4" i="90" s="1"/>
  <c r="J4" i="90" s="1"/>
  <c r="K4" i="90" s="1"/>
  <c r="L4" i="90" s="1"/>
  <c r="M4" i="90" s="1"/>
  <c r="N4" i="90" s="1"/>
  <c r="O4" i="90" s="1"/>
  <c r="P4" i="90" s="1"/>
  <c r="Q4" i="90" s="1"/>
  <c r="R4" i="90" s="1"/>
  <c r="S4" i="90" s="1"/>
  <c r="T4" i="90" s="1"/>
  <c r="U4" i="90" s="1"/>
  <c r="V4" i="90" s="1"/>
  <c r="W4" i="90" s="1"/>
  <c r="X4" i="90" s="1"/>
  <c r="Y4" i="90" s="1"/>
  <c r="Z4" i="90" s="1"/>
  <c r="AA4" i="90" s="1"/>
  <c r="AB4" i="90" s="1"/>
  <c r="AC4" i="90" s="1"/>
  <c r="AD4" i="90" s="1"/>
  <c r="AE4" i="90" s="1"/>
  <c r="AF4" i="90" s="1"/>
  <c r="AG4" i="90" s="1"/>
  <c r="AH4" i="90" s="1"/>
  <c r="AI4" i="90" s="1"/>
  <c r="AJ4" i="90" s="1"/>
  <c r="AK4" i="90" s="1"/>
  <c r="AL4" i="90" s="1"/>
  <c r="AM4" i="90" s="1"/>
  <c r="AN4" i="90" s="1"/>
  <c r="AO4" i="90" s="1"/>
  <c r="AP4" i="90" s="1"/>
  <c r="AQ4" i="90" s="1"/>
  <c r="Z1" i="90"/>
  <c r="AT24" i="70"/>
  <c r="AT110" i="70"/>
  <c r="AF101" i="2"/>
  <c r="S34" i="89"/>
  <c r="R34" i="89"/>
  <c r="Q34" i="89"/>
  <c r="P34" i="89"/>
  <c r="O34" i="89"/>
  <c r="N34" i="89"/>
  <c r="M34" i="89"/>
  <c r="L34" i="89"/>
  <c r="K34" i="89"/>
  <c r="J34" i="89"/>
  <c r="AJ26" i="89"/>
  <c r="AI26" i="89"/>
  <c r="AH26" i="89"/>
  <c r="AG26" i="89"/>
  <c r="AF26" i="89"/>
  <c r="AE26" i="89"/>
  <c r="AD26" i="89"/>
  <c r="AC26" i="89"/>
  <c r="AB26" i="89"/>
  <c r="AA26" i="89"/>
  <c r="Z26" i="89"/>
  <c r="Y26" i="89"/>
  <c r="X26" i="89"/>
  <c r="W26" i="89"/>
  <c r="V26" i="89"/>
  <c r="U26" i="89"/>
  <c r="T26" i="89"/>
  <c r="S26" i="89"/>
  <c r="R26" i="89"/>
  <c r="Q26" i="89"/>
  <c r="P26" i="89"/>
  <c r="O26" i="89"/>
  <c r="N26" i="89"/>
  <c r="M26" i="89"/>
  <c r="L26" i="89"/>
  <c r="K26" i="89"/>
  <c r="J26" i="89"/>
  <c r="AS110" i="70"/>
  <c r="AS24" i="70"/>
  <c r="BL8" i="71"/>
  <c r="AC62" i="10"/>
  <c r="AC151" i="10" s="1"/>
  <c r="AL84" i="33" s="1"/>
  <c r="AC116" i="10"/>
  <c r="AX100" i="32" s="1"/>
  <c r="AC18" i="16"/>
  <c r="AE143" i="44"/>
  <c r="AC44" i="88"/>
  <c r="AC42" i="88"/>
  <c r="AE42" i="88" s="1"/>
  <c r="S42" i="88"/>
  <c r="Q42" i="88"/>
  <c r="P42" i="88"/>
  <c r="O42" i="88"/>
  <c r="N42" i="88"/>
  <c r="AC41" i="88"/>
  <c r="S41" i="88"/>
  <c r="R41" i="88"/>
  <c r="Q41" i="88"/>
  <c r="O41" i="88"/>
  <c r="N41" i="88"/>
  <c r="AC40" i="88"/>
  <c r="S40" i="88"/>
  <c r="R40" i="88"/>
  <c r="Q40" i="88"/>
  <c r="O40" i="88"/>
  <c r="N40" i="88"/>
  <c r="AC39" i="88"/>
  <c r="S39" i="88"/>
  <c r="R39" i="88"/>
  <c r="Q39" i="88"/>
  <c r="O39" i="88"/>
  <c r="N39" i="88"/>
  <c r="AC38" i="88"/>
  <c r="S38" i="88"/>
  <c r="R38" i="88"/>
  <c r="Q38" i="88"/>
  <c r="O38" i="88"/>
  <c r="N38" i="88"/>
  <c r="AC37" i="88"/>
  <c r="S37" i="88"/>
  <c r="Q37" i="88"/>
  <c r="N37" i="88"/>
  <c r="AC36" i="88"/>
  <c r="S36" i="88"/>
  <c r="R36" i="88"/>
  <c r="Q36" i="88"/>
  <c r="O36" i="88"/>
  <c r="N36" i="88"/>
  <c r="AC35" i="88"/>
  <c r="S35" i="88"/>
  <c r="R35" i="88"/>
  <c r="Q35" i="88"/>
  <c r="O35" i="88"/>
  <c r="N35" i="88"/>
  <c r="AC34" i="88"/>
  <c r="S34" i="88"/>
  <c r="R34" i="88"/>
  <c r="Q34" i="88"/>
  <c r="O34" i="88"/>
  <c r="N34" i="88"/>
  <c r="AC33" i="88"/>
  <c r="R33" i="88"/>
  <c r="Q33" i="88"/>
  <c r="O33" i="88"/>
  <c r="N33" i="88"/>
  <c r="AC32" i="88"/>
  <c r="S32" i="88"/>
  <c r="R32" i="88"/>
  <c r="Q32" i="88"/>
  <c r="O32" i="88"/>
  <c r="N32" i="88"/>
  <c r="AC31" i="88"/>
  <c r="S31" i="88"/>
  <c r="R31" i="88"/>
  <c r="Q31" i="88"/>
  <c r="O31" i="88"/>
  <c r="N31" i="88"/>
  <c r="AC30" i="88"/>
  <c r="S30" i="88"/>
  <c r="R30" i="88"/>
  <c r="Q30" i="88"/>
  <c r="O30" i="88"/>
  <c r="N30" i="88"/>
  <c r="S29" i="88"/>
  <c r="R29" i="88"/>
  <c r="Q29" i="88"/>
  <c r="T29" i="88" s="1"/>
  <c r="P29" i="88"/>
  <c r="O29" i="88"/>
  <c r="N29" i="88"/>
  <c r="AC28" i="88"/>
  <c r="N28" i="88"/>
  <c r="AC27" i="88"/>
  <c r="R27" i="88"/>
  <c r="N27" i="88"/>
  <c r="AC26" i="88"/>
  <c r="R26" i="88"/>
  <c r="O26" i="88"/>
  <c r="N26" i="88"/>
  <c r="AC23" i="88"/>
  <c r="R23" i="88"/>
  <c r="Q23" i="88"/>
  <c r="AC22" i="88"/>
  <c r="P22" i="88"/>
  <c r="O22" i="88"/>
  <c r="N22" i="88"/>
  <c r="AC21" i="88"/>
  <c r="AC20" i="88"/>
  <c r="S20" i="88"/>
  <c r="R20" i="88"/>
  <c r="P20" i="88"/>
  <c r="O20" i="88"/>
  <c r="N20" i="88"/>
  <c r="AC19" i="88"/>
  <c r="S19" i="88"/>
  <c r="R19" i="88"/>
  <c r="Q19" i="88"/>
  <c r="O19" i="88"/>
  <c r="N19" i="88"/>
  <c r="AC17" i="88"/>
  <c r="AC16" i="88"/>
  <c r="U16" i="88"/>
  <c r="R16" i="88"/>
  <c r="Q16" i="88"/>
  <c r="P16" i="88"/>
  <c r="O16" i="88"/>
  <c r="N16" i="88"/>
  <c r="AC15" i="88"/>
  <c r="S15" i="88"/>
  <c r="Q15" i="88"/>
  <c r="P15" i="88"/>
  <c r="O15" i="88"/>
  <c r="N15" i="88"/>
  <c r="AC14" i="88"/>
  <c r="U14" i="88"/>
  <c r="S14" i="88"/>
  <c r="R14" i="88"/>
  <c r="P14" i="88"/>
  <c r="O14" i="88"/>
  <c r="N14" i="88"/>
  <c r="AC13" i="88"/>
  <c r="U13" i="88"/>
  <c r="S13" i="88"/>
  <c r="R13" i="88"/>
  <c r="Q13" i="88"/>
  <c r="O13" i="88"/>
  <c r="N13" i="88"/>
  <c r="AC12" i="88"/>
  <c r="S12" i="88"/>
  <c r="R12" i="88"/>
  <c r="Q12" i="88"/>
  <c r="O12" i="88"/>
  <c r="N12" i="88"/>
  <c r="AC11" i="88"/>
  <c r="S11" i="88"/>
  <c r="R11" i="88"/>
  <c r="Q11" i="88"/>
  <c r="O11" i="88"/>
  <c r="N11" i="88"/>
  <c r="AC10" i="88"/>
  <c r="S10" i="88"/>
  <c r="R10" i="88"/>
  <c r="Q10" i="88"/>
  <c r="P10" i="88"/>
  <c r="N10" i="88"/>
  <c r="AC9" i="88"/>
  <c r="S9" i="88"/>
  <c r="R9" i="88"/>
  <c r="Q9" i="88"/>
  <c r="P9" i="88"/>
  <c r="O9" i="88"/>
  <c r="L8" i="88"/>
  <c r="C4" i="88"/>
  <c r="D4" i="88" s="1"/>
  <c r="E4" i="88" s="1"/>
  <c r="F4" i="88" s="1"/>
  <c r="G4" i="88" s="1"/>
  <c r="H4" i="88" s="1"/>
  <c r="I4" i="88" s="1"/>
  <c r="J4" i="88" s="1"/>
  <c r="K4" i="88" s="1"/>
  <c r="L4" i="88" s="1"/>
  <c r="M4" i="88" s="1"/>
  <c r="N4" i="88" s="1"/>
  <c r="O4" i="88" s="1"/>
  <c r="P4" i="88" s="1"/>
  <c r="Q4" i="88" s="1"/>
  <c r="R4" i="88" s="1"/>
  <c r="S4" i="88" s="1"/>
  <c r="T4" i="88" s="1"/>
  <c r="U4" i="88" s="1"/>
  <c r="V4" i="88" s="1"/>
  <c r="W4" i="88" s="1"/>
  <c r="X4" i="88" s="1"/>
  <c r="Y4" i="88" s="1"/>
  <c r="Z4" i="88" s="1"/>
  <c r="AA4" i="88" s="1"/>
  <c r="AB4" i="88" s="1"/>
  <c r="AC4" i="88" s="1"/>
  <c r="AD4" i="88" s="1"/>
  <c r="AE4" i="88" s="1"/>
  <c r="AF4" i="88" s="1"/>
  <c r="AG4" i="88" s="1"/>
  <c r="AH4" i="88" s="1"/>
  <c r="AI4" i="88" s="1"/>
  <c r="AJ4" i="88" s="1"/>
  <c r="AK4" i="88" s="1"/>
  <c r="AL4" i="88" s="1"/>
  <c r="AM4" i="88" s="1"/>
  <c r="AN4" i="88" s="1"/>
  <c r="AO4" i="88" s="1"/>
  <c r="AP4" i="88" s="1"/>
  <c r="AQ4" i="88" s="1"/>
  <c r="Z1" i="88"/>
  <c r="AE101" i="2"/>
  <c r="AR110" i="70"/>
  <c r="AQ110" i="70"/>
  <c r="AP110" i="70"/>
  <c r="AO110" i="70"/>
  <c r="AN110" i="70"/>
  <c r="AM110" i="70"/>
  <c r="AL110" i="70"/>
  <c r="AK110" i="70"/>
  <c r="AK70" i="33"/>
  <c r="AD101" i="2"/>
  <c r="AD143" i="44"/>
  <c r="AD170" i="44" s="1"/>
  <c r="AB18" i="16"/>
  <c r="AB116" i="10"/>
  <c r="AV100" i="32" s="1"/>
  <c r="AA18" i="16"/>
  <c r="AA116" i="10"/>
  <c r="AT100" i="32" s="1"/>
  <c r="BK8" i="71"/>
  <c r="AA8" i="71" s="1"/>
  <c r="AR24" i="70"/>
  <c r="AC44" i="87"/>
  <c r="AC42" i="87"/>
  <c r="S42" i="87"/>
  <c r="Q42" i="87"/>
  <c r="P42" i="87"/>
  <c r="O42" i="87"/>
  <c r="N42" i="87"/>
  <c r="AC41" i="87"/>
  <c r="S41" i="87"/>
  <c r="R41" i="87"/>
  <c r="Q41" i="87"/>
  <c r="O41" i="87"/>
  <c r="N41" i="87"/>
  <c r="AC40" i="87"/>
  <c r="S40" i="87"/>
  <c r="R40" i="87"/>
  <c r="Q40" i="87"/>
  <c r="O40" i="87"/>
  <c r="N40" i="87"/>
  <c r="AC39" i="87"/>
  <c r="S39" i="87"/>
  <c r="R39" i="87"/>
  <c r="Q39" i="87"/>
  <c r="O39" i="87"/>
  <c r="N39" i="87"/>
  <c r="AC38" i="87"/>
  <c r="S38" i="87"/>
  <c r="R38" i="87"/>
  <c r="Q38" i="87"/>
  <c r="O38" i="87"/>
  <c r="N38" i="87"/>
  <c r="AC37" i="87"/>
  <c r="S37" i="87"/>
  <c r="Q37" i="87"/>
  <c r="N37" i="87"/>
  <c r="AC36" i="87"/>
  <c r="S36" i="87"/>
  <c r="R36" i="87"/>
  <c r="Q36" i="87"/>
  <c r="O36" i="87"/>
  <c r="N36" i="87"/>
  <c r="AC35" i="87"/>
  <c r="S35" i="87"/>
  <c r="R35" i="87"/>
  <c r="Q35" i="87"/>
  <c r="O35" i="87"/>
  <c r="N35" i="87"/>
  <c r="AC34" i="87"/>
  <c r="S34" i="87"/>
  <c r="R34" i="87"/>
  <c r="Q34" i="87"/>
  <c r="O34" i="87"/>
  <c r="N34" i="87"/>
  <c r="AC33" i="87"/>
  <c r="R33" i="87"/>
  <c r="Q33" i="87"/>
  <c r="O33" i="87"/>
  <c r="N33" i="87"/>
  <c r="AC32" i="87"/>
  <c r="S32" i="87"/>
  <c r="R32" i="87"/>
  <c r="Q32" i="87"/>
  <c r="O32" i="87"/>
  <c r="N32" i="87"/>
  <c r="AC31" i="87"/>
  <c r="S31" i="87"/>
  <c r="R31" i="87"/>
  <c r="Q31" i="87"/>
  <c r="O31" i="87"/>
  <c r="N31" i="87"/>
  <c r="AC30" i="87"/>
  <c r="S30" i="87"/>
  <c r="R30" i="87"/>
  <c r="Q30" i="87"/>
  <c r="O30" i="87"/>
  <c r="N30" i="87"/>
  <c r="S29" i="87"/>
  <c r="R29" i="87"/>
  <c r="Q29" i="87"/>
  <c r="P29" i="87"/>
  <c r="O29" i="87"/>
  <c r="N29" i="87"/>
  <c r="AC28" i="87"/>
  <c r="N28" i="87"/>
  <c r="AC27" i="87"/>
  <c r="R27" i="87"/>
  <c r="N27" i="87"/>
  <c r="AC26" i="87"/>
  <c r="R26" i="87"/>
  <c r="O26" i="87"/>
  <c r="N26" i="87"/>
  <c r="AC23" i="87"/>
  <c r="R23" i="87"/>
  <c r="Q23" i="87"/>
  <c r="AC22" i="87"/>
  <c r="P22" i="87"/>
  <c r="O22" i="87"/>
  <c r="N22" i="87"/>
  <c r="AC21" i="87"/>
  <c r="AC20" i="87"/>
  <c r="S20" i="87"/>
  <c r="R20" i="87"/>
  <c r="P20" i="87"/>
  <c r="O20" i="87"/>
  <c r="N20" i="87"/>
  <c r="AC19" i="87"/>
  <c r="S19" i="87"/>
  <c r="R19" i="87"/>
  <c r="Q19" i="87"/>
  <c r="O19" i="87"/>
  <c r="N19" i="87"/>
  <c r="AC17" i="87"/>
  <c r="AC16" i="87"/>
  <c r="U16" i="87"/>
  <c r="R16" i="87"/>
  <c r="Q16" i="87"/>
  <c r="P16" i="87"/>
  <c r="O16" i="87"/>
  <c r="N16" i="87"/>
  <c r="AC15" i="87"/>
  <c r="S15" i="87"/>
  <c r="Q15" i="87"/>
  <c r="P15" i="87"/>
  <c r="O15" i="87"/>
  <c r="N15" i="87"/>
  <c r="AC14" i="87"/>
  <c r="U14" i="87"/>
  <c r="S14" i="87"/>
  <c r="R14" i="87"/>
  <c r="P14" i="87"/>
  <c r="O14" i="87"/>
  <c r="N14" i="87"/>
  <c r="AC13" i="87"/>
  <c r="U13" i="87"/>
  <c r="S13" i="87"/>
  <c r="R13" i="87"/>
  <c r="Q13" i="87"/>
  <c r="O13" i="87"/>
  <c r="N13" i="87"/>
  <c r="AC12" i="87"/>
  <c r="S12" i="87"/>
  <c r="R12" i="87"/>
  <c r="Q12" i="87"/>
  <c r="O12" i="87"/>
  <c r="N12" i="87"/>
  <c r="AC11" i="87"/>
  <c r="S11" i="87"/>
  <c r="R11" i="87"/>
  <c r="Q11" i="87"/>
  <c r="O11" i="87"/>
  <c r="N11" i="87"/>
  <c r="AC10" i="87"/>
  <c r="S10" i="87"/>
  <c r="R10" i="87"/>
  <c r="Q10" i="87"/>
  <c r="P10" i="87"/>
  <c r="N10" i="87"/>
  <c r="AC9" i="87"/>
  <c r="S9" i="87"/>
  <c r="R9" i="87"/>
  <c r="Q9" i="87"/>
  <c r="P9" i="87"/>
  <c r="O9" i="87"/>
  <c r="L8" i="87"/>
  <c r="C4" i="87"/>
  <c r="D4" i="87" s="1"/>
  <c r="E4" i="87" s="1"/>
  <c r="F4" i="87" s="1"/>
  <c r="G4" i="87" s="1"/>
  <c r="H4" i="87" s="1"/>
  <c r="I4" i="87" s="1"/>
  <c r="J4" i="87" s="1"/>
  <c r="K4" i="87" s="1"/>
  <c r="L4" i="87" s="1"/>
  <c r="M4" i="87" s="1"/>
  <c r="N4" i="87" s="1"/>
  <c r="O4" i="87" s="1"/>
  <c r="P4" i="87" s="1"/>
  <c r="Q4" i="87" s="1"/>
  <c r="R4" i="87" s="1"/>
  <c r="S4" i="87" s="1"/>
  <c r="T4" i="87" s="1"/>
  <c r="U4" i="87" s="1"/>
  <c r="V4" i="87" s="1"/>
  <c r="W4" i="87" s="1"/>
  <c r="X4" i="87" s="1"/>
  <c r="Y4" i="87" s="1"/>
  <c r="Z4" i="87" s="1"/>
  <c r="AA4" i="87" s="1"/>
  <c r="AB4" i="87" s="1"/>
  <c r="AC4" i="87" s="1"/>
  <c r="AD4" i="87" s="1"/>
  <c r="AE4" i="87" s="1"/>
  <c r="AF4" i="87" s="1"/>
  <c r="AG4" i="87" s="1"/>
  <c r="AH4" i="87" s="1"/>
  <c r="AI4" i="87" s="1"/>
  <c r="AJ4" i="87" s="1"/>
  <c r="AK4" i="87" s="1"/>
  <c r="AL4" i="87" s="1"/>
  <c r="AM4" i="87" s="1"/>
  <c r="AN4" i="87" s="1"/>
  <c r="AO4" i="87" s="1"/>
  <c r="AP4" i="87" s="1"/>
  <c r="AQ4" i="87" s="1"/>
  <c r="Z1" i="87"/>
  <c r="U13" i="85"/>
  <c r="U14" i="85"/>
  <c r="U16" i="85"/>
  <c r="AA62" i="10"/>
  <c r="AA151" i="10" s="1"/>
  <c r="AJ84" i="33" s="1"/>
  <c r="AJ70" i="33"/>
  <c r="AC143" i="44"/>
  <c r="AC44" i="85"/>
  <c r="AC42" i="85"/>
  <c r="AG42" i="85" s="1"/>
  <c r="S42" i="85"/>
  <c r="Q42" i="85"/>
  <c r="P42" i="85"/>
  <c r="O42" i="85"/>
  <c r="N42" i="85"/>
  <c r="AC41" i="85"/>
  <c r="S41" i="85"/>
  <c r="R41" i="85"/>
  <c r="Q41" i="85"/>
  <c r="O41" i="85"/>
  <c r="N41" i="85"/>
  <c r="AC40" i="85"/>
  <c r="S40" i="85"/>
  <c r="R40" i="85"/>
  <c r="Q40" i="85"/>
  <c r="O40" i="85"/>
  <c r="N40" i="85"/>
  <c r="AC39" i="85"/>
  <c r="S39" i="85"/>
  <c r="R39" i="85"/>
  <c r="Q39" i="85"/>
  <c r="O39" i="85"/>
  <c r="N39" i="85"/>
  <c r="AC38" i="85"/>
  <c r="S38" i="85"/>
  <c r="R38" i="85"/>
  <c r="Q38" i="85"/>
  <c r="O38" i="85"/>
  <c r="N38" i="85"/>
  <c r="AC37" i="85"/>
  <c r="S37" i="85"/>
  <c r="Q37" i="85"/>
  <c r="N37" i="85"/>
  <c r="AC36" i="85"/>
  <c r="S36" i="85"/>
  <c r="R36" i="85"/>
  <c r="Q36" i="85"/>
  <c r="O36" i="85"/>
  <c r="N36" i="85"/>
  <c r="AC35" i="85"/>
  <c r="S35" i="85"/>
  <c r="R35" i="85"/>
  <c r="Q35" i="85"/>
  <c r="O35" i="85"/>
  <c r="N35" i="85"/>
  <c r="AC34" i="85"/>
  <c r="S34" i="85"/>
  <c r="R34" i="85"/>
  <c r="Q34" i="85"/>
  <c r="O34" i="85"/>
  <c r="N34" i="85"/>
  <c r="AC33" i="85"/>
  <c r="R33" i="85"/>
  <c r="Q33" i="85"/>
  <c r="O33" i="85"/>
  <c r="N33" i="85"/>
  <c r="AC32" i="85"/>
  <c r="S32" i="85"/>
  <c r="R32" i="85"/>
  <c r="Q32" i="85"/>
  <c r="O32" i="85"/>
  <c r="N32" i="85"/>
  <c r="AC31" i="85"/>
  <c r="S31" i="85"/>
  <c r="R31" i="85"/>
  <c r="Q31" i="85"/>
  <c r="O31" i="85"/>
  <c r="N31" i="85"/>
  <c r="AC30" i="85"/>
  <c r="S30" i="85"/>
  <c r="R30" i="85"/>
  <c r="Q30" i="85"/>
  <c r="O30" i="85"/>
  <c r="N30" i="85"/>
  <c r="S29" i="85"/>
  <c r="R29" i="85"/>
  <c r="Q29" i="85"/>
  <c r="P29" i="85"/>
  <c r="O29" i="85"/>
  <c r="N29" i="85"/>
  <c r="AC28" i="85"/>
  <c r="N28" i="85"/>
  <c r="AC27" i="85"/>
  <c r="R27" i="85"/>
  <c r="N27" i="85"/>
  <c r="AC26" i="85"/>
  <c r="R26" i="85"/>
  <c r="O26" i="85"/>
  <c r="N26" i="85"/>
  <c r="AC23" i="85"/>
  <c r="R23" i="85"/>
  <c r="Q23" i="85"/>
  <c r="AC22" i="85"/>
  <c r="P22" i="85"/>
  <c r="O22" i="85"/>
  <c r="N22" i="85"/>
  <c r="AC21" i="85"/>
  <c r="AC20" i="85"/>
  <c r="S20" i="85"/>
  <c r="R20" i="85"/>
  <c r="P20" i="85"/>
  <c r="O20" i="85"/>
  <c r="N20" i="85"/>
  <c r="AC19" i="85"/>
  <c r="S19" i="85"/>
  <c r="R19" i="85"/>
  <c r="Q19" i="85"/>
  <c r="O19" i="85"/>
  <c r="N19" i="85"/>
  <c r="AC17" i="85"/>
  <c r="AC16" i="85"/>
  <c r="R16" i="85"/>
  <c r="Q16" i="85"/>
  <c r="P16" i="85"/>
  <c r="O16" i="85"/>
  <c r="N16" i="85"/>
  <c r="AC15" i="85"/>
  <c r="S15" i="85"/>
  <c r="Q15" i="85"/>
  <c r="P15" i="85"/>
  <c r="O15" i="85"/>
  <c r="N15" i="85"/>
  <c r="AC14" i="85"/>
  <c r="S14" i="85"/>
  <c r="R14" i="85"/>
  <c r="P14" i="85"/>
  <c r="O14" i="85"/>
  <c r="N14" i="85"/>
  <c r="AC13" i="85"/>
  <c r="S13" i="85"/>
  <c r="R13" i="85"/>
  <c r="Q13" i="85"/>
  <c r="O13" i="85"/>
  <c r="N13" i="85"/>
  <c r="AC12" i="85"/>
  <c r="S12" i="85"/>
  <c r="R12" i="85"/>
  <c r="Q12" i="85"/>
  <c r="O12" i="85"/>
  <c r="N12" i="85"/>
  <c r="AC11" i="85"/>
  <c r="S11" i="85"/>
  <c r="R11" i="85"/>
  <c r="Q11" i="85"/>
  <c r="O11" i="85"/>
  <c r="N11" i="85"/>
  <c r="AC10" i="85"/>
  <c r="S10" i="85"/>
  <c r="R10" i="85"/>
  <c r="Q10" i="85"/>
  <c r="P10" i="85"/>
  <c r="N10" i="85"/>
  <c r="AC9" i="85"/>
  <c r="S9" i="85"/>
  <c r="R9" i="85"/>
  <c r="Q9" i="85"/>
  <c r="P9" i="85"/>
  <c r="O9" i="85"/>
  <c r="L8" i="85"/>
  <c r="C4" i="85"/>
  <c r="D4" i="85" s="1"/>
  <c r="E4" i="85" s="1"/>
  <c r="F4" i="85" s="1"/>
  <c r="G4" i="85" s="1"/>
  <c r="H4" i="85" s="1"/>
  <c r="I4" i="85" s="1"/>
  <c r="J4" i="85" s="1"/>
  <c r="K4" i="85" s="1"/>
  <c r="L4" i="85" s="1"/>
  <c r="M4" i="85" s="1"/>
  <c r="N4" i="85" s="1"/>
  <c r="O4" i="85" s="1"/>
  <c r="P4" i="85" s="1"/>
  <c r="Q4" i="85" s="1"/>
  <c r="R4" i="85" s="1"/>
  <c r="S4" i="85" s="1"/>
  <c r="T4" i="85" s="1"/>
  <c r="U4" i="85" s="1"/>
  <c r="V4" i="85" s="1"/>
  <c r="W4" i="85" s="1"/>
  <c r="X4" i="85" s="1"/>
  <c r="Y4" i="85" s="1"/>
  <c r="Z4" i="85" s="1"/>
  <c r="AA4" i="85" s="1"/>
  <c r="AB4" i="85" s="1"/>
  <c r="AC4" i="85" s="1"/>
  <c r="AD4" i="85" s="1"/>
  <c r="AE4" i="85" s="1"/>
  <c r="AF4" i="85" s="1"/>
  <c r="AG4" i="85" s="1"/>
  <c r="AH4" i="85" s="1"/>
  <c r="AI4" i="85" s="1"/>
  <c r="AJ4" i="85" s="1"/>
  <c r="AK4" i="85" s="1"/>
  <c r="AL4" i="85" s="1"/>
  <c r="AM4" i="85" s="1"/>
  <c r="AN4" i="85" s="1"/>
  <c r="AO4" i="85" s="1"/>
  <c r="AP4" i="85" s="1"/>
  <c r="AQ4" i="85" s="1"/>
  <c r="Z1" i="85"/>
  <c r="AC101" i="2"/>
  <c r="Z18" i="16"/>
  <c r="J58" i="5"/>
  <c r="J59" i="5"/>
  <c r="BJ8" i="71"/>
  <c r="Z8" i="71" s="1"/>
  <c r="Z62" i="10"/>
  <c r="Z151" i="10" s="1"/>
  <c r="AI84" i="33" s="1"/>
  <c r="AO24" i="70"/>
  <c r="AP24" i="70"/>
  <c r="AQ24" i="70"/>
  <c r="AI70" i="33"/>
  <c r="AB143" i="44"/>
  <c r="AC44" i="84"/>
  <c r="AC42" i="84"/>
  <c r="AD42" i="84" s="1"/>
  <c r="S42" i="84"/>
  <c r="Q42" i="84"/>
  <c r="P42" i="84"/>
  <c r="O42" i="84"/>
  <c r="N42" i="84"/>
  <c r="AC41" i="84"/>
  <c r="S41" i="84"/>
  <c r="R41" i="84"/>
  <c r="Q41" i="84"/>
  <c r="O41" i="84"/>
  <c r="N41" i="84"/>
  <c r="AC40" i="84"/>
  <c r="S40" i="84"/>
  <c r="R40" i="84"/>
  <c r="Q40" i="84"/>
  <c r="O40" i="84"/>
  <c r="N40" i="84"/>
  <c r="AC39" i="84"/>
  <c r="S39" i="84"/>
  <c r="R39" i="84"/>
  <c r="Q39" i="84"/>
  <c r="O39" i="84"/>
  <c r="N39" i="84"/>
  <c r="AC38" i="84"/>
  <c r="S38" i="84"/>
  <c r="R38" i="84"/>
  <c r="Q38" i="84"/>
  <c r="O38" i="84"/>
  <c r="N38" i="84"/>
  <c r="AC37" i="84"/>
  <c r="S37" i="84"/>
  <c r="Q37" i="84"/>
  <c r="N37" i="84"/>
  <c r="AC36" i="84"/>
  <c r="S36" i="84"/>
  <c r="R36" i="84"/>
  <c r="Q36" i="84"/>
  <c r="O36" i="84"/>
  <c r="N36" i="84"/>
  <c r="AC35" i="84"/>
  <c r="S35" i="84"/>
  <c r="R35" i="84"/>
  <c r="Q35" i="84"/>
  <c r="O35" i="84"/>
  <c r="N35" i="84"/>
  <c r="AC34" i="84"/>
  <c r="S34" i="84"/>
  <c r="R34" i="84"/>
  <c r="Q34" i="84"/>
  <c r="O34" i="84"/>
  <c r="N34" i="84"/>
  <c r="AC33" i="84"/>
  <c r="R33" i="84"/>
  <c r="Q33" i="84"/>
  <c r="O33" i="84"/>
  <c r="N33" i="84"/>
  <c r="AC32" i="84"/>
  <c r="S32" i="84"/>
  <c r="R32" i="84"/>
  <c r="Q32" i="84"/>
  <c r="O32" i="84"/>
  <c r="N32" i="84"/>
  <c r="AC31" i="84"/>
  <c r="S31" i="84"/>
  <c r="R31" i="84"/>
  <c r="Q31" i="84"/>
  <c r="O31" i="84"/>
  <c r="N31" i="84"/>
  <c r="AC30" i="84"/>
  <c r="S30" i="84"/>
  <c r="R30" i="84"/>
  <c r="Q30" i="84"/>
  <c r="O30" i="84"/>
  <c r="N30" i="84"/>
  <c r="S29" i="84"/>
  <c r="R29" i="84"/>
  <c r="Q29" i="84"/>
  <c r="P29" i="84"/>
  <c r="O29" i="84"/>
  <c r="N29" i="84"/>
  <c r="AC28" i="84"/>
  <c r="N28" i="84"/>
  <c r="AC27" i="84"/>
  <c r="R27" i="84"/>
  <c r="N27" i="84"/>
  <c r="AC26" i="84"/>
  <c r="R26" i="84"/>
  <c r="O26" i="84"/>
  <c r="N26" i="84"/>
  <c r="AC23" i="84"/>
  <c r="R23" i="84"/>
  <c r="Q23" i="84"/>
  <c r="AC22" i="84"/>
  <c r="P22" i="84"/>
  <c r="O22" i="84"/>
  <c r="N22" i="84"/>
  <c r="AC21" i="84"/>
  <c r="AC20" i="84"/>
  <c r="S20" i="84"/>
  <c r="R20" i="84"/>
  <c r="P20" i="84"/>
  <c r="O20" i="84"/>
  <c r="N20" i="84"/>
  <c r="AC19" i="84"/>
  <c r="S19" i="84"/>
  <c r="R19" i="84"/>
  <c r="Q19" i="84"/>
  <c r="O19" i="84"/>
  <c r="N19" i="84"/>
  <c r="AC17" i="84"/>
  <c r="AC16" i="84"/>
  <c r="U16" i="84"/>
  <c r="R16" i="84"/>
  <c r="Q16" i="84"/>
  <c r="P16" i="84"/>
  <c r="O16" i="84"/>
  <c r="N16" i="84"/>
  <c r="AC15" i="84"/>
  <c r="S15" i="84"/>
  <c r="Q15" i="84"/>
  <c r="P15" i="84"/>
  <c r="O15" i="84"/>
  <c r="N15" i="84"/>
  <c r="AC14" i="84"/>
  <c r="U14" i="84"/>
  <c r="S14" i="84"/>
  <c r="R14" i="84"/>
  <c r="P14" i="84"/>
  <c r="O14" i="84"/>
  <c r="N14" i="84"/>
  <c r="AC13" i="84"/>
  <c r="U13" i="84"/>
  <c r="S13" i="84"/>
  <c r="R13" i="84"/>
  <c r="Q13" i="84"/>
  <c r="O13" i="84"/>
  <c r="N13" i="84"/>
  <c r="AC12" i="84"/>
  <c r="S12" i="84"/>
  <c r="R12" i="84"/>
  <c r="Q12" i="84"/>
  <c r="O12" i="84"/>
  <c r="N12" i="84"/>
  <c r="AC11" i="84"/>
  <c r="S11" i="84"/>
  <c r="R11" i="84"/>
  <c r="Q11" i="84"/>
  <c r="O11" i="84"/>
  <c r="N11" i="84"/>
  <c r="AC10" i="84"/>
  <c r="S10" i="84"/>
  <c r="R10" i="84"/>
  <c r="Q10" i="84"/>
  <c r="P10" i="84"/>
  <c r="N10" i="84"/>
  <c r="AC9" i="84"/>
  <c r="S9" i="84"/>
  <c r="R9" i="84"/>
  <c r="Q9" i="84"/>
  <c r="P9" i="84"/>
  <c r="O9" i="84"/>
  <c r="L8" i="84"/>
  <c r="C4" i="84"/>
  <c r="D4" i="84"/>
  <c r="E4" i="84" s="1"/>
  <c r="F4" i="84" s="1"/>
  <c r="G4" i="84" s="1"/>
  <c r="H4" i="84" s="1"/>
  <c r="I4" i="84" s="1"/>
  <c r="J4" i="84" s="1"/>
  <c r="K4" i="84" s="1"/>
  <c r="L4" i="84" s="1"/>
  <c r="M4" i="84" s="1"/>
  <c r="N4" i="84" s="1"/>
  <c r="O4" i="84" s="1"/>
  <c r="P4" i="84" s="1"/>
  <c r="Q4" i="84" s="1"/>
  <c r="R4" i="84" s="1"/>
  <c r="S4" i="84" s="1"/>
  <c r="T4" i="84" s="1"/>
  <c r="U4" i="84" s="1"/>
  <c r="V4" i="84" s="1"/>
  <c r="W4" i="84" s="1"/>
  <c r="X4" i="84" s="1"/>
  <c r="Y4" i="84" s="1"/>
  <c r="Z4" i="84" s="1"/>
  <c r="AA4" i="84" s="1"/>
  <c r="AB4" i="84" s="1"/>
  <c r="AC4" i="84" s="1"/>
  <c r="AD4" i="84" s="1"/>
  <c r="AE4" i="84" s="1"/>
  <c r="AF4" i="84" s="1"/>
  <c r="AG4" i="84" s="1"/>
  <c r="AH4" i="84" s="1"/>
  <c r="AI4" i="84" s="1"/>
  <c r="AJ4" i="84" s="1"/>
  <c r="AK4" i="84" s="1"/>
  <c r="AL4" i="84" s="1"/>
  <c r="AM4" i="84" s="1"/>
  <c r="AN4" i="84" s="1"/>
  <c r="AO4" i="84" s="1"/>
  <c r="AP4" i="84" s="1"/>
  <c r="AQ4" i="84" s="1"/>
  <c r="Z1" i="84"/>
  <c r="AB101" i="2"/>
  <c r="Z116" i="10"/>
  <c r="AR100" i="32" s="1"/>
  <c r="BI8" i="71"/>
  <c r="Y8" i="71" s="1"/>
  <c r="J45" i="5"/>
  <c r="U41" i="90"/>
  <c r="J61" i="5"/>
  <c r="Y18" i="16"/>
  <c r="Y62" i="10"/>
  <c r="Y151" i="10" s="1"/>
  <c r="AH84" i="33" s="1"/>
  <c r="AC44" i="83"/>
  <c r="AC42" i="83"/>
  <c r="S42" i="83"/>
  <c r="Q42" i="83"/>
  <c r="P42" i="83"/>
  <c r="O42" i="83"/>
  <c r="N42" i="83"/>
  <c r="AC41" i="83"/>
  <c r="S41" i="83"/>
  <c r="R41" i="83"/>
  <c r="Q41" i="83"/>
  <c r="O41" i="83"/>
  <c r="N41" i="83"/>
  <c r="AC40" i="83"/>
  <c r="S40" i="83"/>
  <c r="R40" i="83"/>
  <c r="Q40" i="83"/>
  <c r="O40" i="83"/>
  <c r="N40" i="83"/>
  <c r="AC39" i="83"/>
  <c r="S39" i="83"/>
  <c r="R39" i="83"/>
  <c r="Q39" i="83"/>
  <c r="O39" i="83"/>
  <c r="N39" i="83"/>
  <c r="AC38" i="83"/>
  <c r="S38" i="83"/>
  <c r="R38" i="83"/>
  <c r="Q38" i="83"/>
  <c r="O38" i="83"/>
  <c r="N38" i="83"/>
  <c r="AC37" i="83"/>
  <c r="S37" i="83"/>
  <c r="Q37" i="83"/>
  <c r="N37" i="83"/>
  <c r="AC36" i="83"/>
  <c r="S36" i="83"/>
  <c r="R36" i="83"/>
  <c r="Q36" i="83"/>
  <c r="O36" i="83"/>
  <c r="N36" i="83"/>
  <c r="AC35" i="83"/>
  <c r="S35" i="83"/>
  <c r="R35" i="83"/>
  <c r="Q35" i="83"/>
  <c r="O35" i="83"/>
  <c r="N35" i="83"/>
  <c r="AC34" i="83"/>
  <c r="S34" i="83"/>
  <c r="R34" i="83"/>
  <c r="Q34" i="83"/>
  <c r="O34" i="83"/>
  <c r="N34" i="83"/>
  <c r="AC33" i="83"/>
  <c r="R33" i="83"/>
  <c r="Q33" i="83"/>
  <c r="O33" i="83"/>
  <c r="N33" i="83"/>
  <c r="AC32" i="83"/>
  <c r="S32" i="83"/>
  <c r="R32" i="83"/>
  <c r="Q32" i="83"/>
  <c r="O32" i="83"/>
  <c r="N32" i="83"/>
  <c r="AC31" i="83"/>
  <c r="S31" i="83"/>
  <c r="R31" i="83"/>
  <c r="Q31" i="83"/>
  <c r="O31" i="83"/>
  <c r="N31" i="83"/>
  <c r="AC30" i="83"/>
  <c r="S30" i="83"/>
  <c r="R30" i="83"/>
  <c r="Q30" i="83"/>
  <c r="O30" i="83"/>
  <c r="N30" i="83"/>
  <c r="S29" i="83"/>
  <c r="R29" i="83"/>
  <c r="Q29" i="83"/>
  <c r="P29" i="83"/>
  <c r="O29" i="83"/>
  <c r="N29" i="83"/>
  <c r="AC28" i="83"/>
  <c r="N28" i="83"/>
  <c r="AC27" i="83"/>
  <c r="R27" i="83"/>
  <c r="N27" i="83"/>
  <c r="AC26" i="83"/>
  <c r="R26" i="83"/>
  <c r="O26" i="83"/>
  <c r="N26" i="83"/>
  <c r="AC23" i="83"/>
  <c r="R23" i="83"/>
  <c r="Q23" i="83"/>
  <c r="AC22" i="83"/>
  <c r="P22" i="83"/>
  <c r="O22" i="83"/>
  <c r="N22" i="83"/>
  <c r="AC21" i="83"/>
  <c r="AC20" i="83"/>
  <c r="S20" i="83"/>
  <c r="R20" i="83"/>
  <c r="P20" i="83"/>
  <c r="O20" i="83"/>
  <c r="N20" i="83"/>
  <c r="AC19" i="83"/>
  <c r="S19" i="83"/>
  <c r="R19" i="83"/>
  <c r="Q19" i="83"/>
  <c r="O19" i="83"/>
  <c r="N19" i="83"/>
  <c r="AC17" i="83"/>
  <c r="AC16" i="83"/>
  <c r="U16" i="83"/>
  <c r="R16" i="83"/>
  <c r="Q16" i="83"/>
  <c r="P16" i="83"/>
  <c r="O16" i="83"/>
  <c r="N16" i="83"/>
  <c r="AC15" i="83"/>
  <c r="S15" i="83"/>
  <c r="Q15" i="83"/>
  <c r="P15" i="83"/>
  <c r="O15" i="83"/>
  <c r="N15" i="83"/>
  <c r="AC14" i="83"/>
  <c r="U14" i="83"/>
  <c r="S14" i="83"/>
  <c r="R14" i="83"/>
  <c r="P14" i="83"/>
  <c r="O14" i="83"/>
  <c r="N14" i="83"/>
  <c r="AC13" i="83"/>
  <c r="U13" i="83"/>
  <c r="S13" i="83"/>
  <c r="R13" i="83"/>
  <c r="Q13" i="83"/>
  <c r="O13" i="83"/>
  <c r="N13" i="83"/>
  <c r="AC12" i="83"/>
  <c r="S12" i="83"/>
  <c r="R12" i="83"/>
  <c r="Q12" i="83"/>
  <c r="O12" i="83"/>
  <c r="N12" i="83"/>
  <c r="AC11" i="83"/>
  <c r="S11" i="83"/>
  <c r="R11" i="83"/>
  <c r="Q11" i="83"/>
  <c r="O11" i="83"/>
  <c r="N11" i="83"/>
  <c r="AC10" i="83"/>
  <c r="S10" i="83"/>
  <c r="R10" i="83"/>
  <c r="Q10" i="83"/>
  <c r="P10" i="83"/>
  <c r="N10" i="83"/>
  <c r="AC9" i="83"/>
  <c r="S9" i="83"/>
  <c r="R9" i="83"/>
  <c r="Q9" i="83"/>
  <c r="P9" i="83"/>
  <c r="O9" i="83"/>
  <c r="L8" i="83"/>
  <c r="C4" i="83"/>
  <c r="D4" i="83" s="1"/>
  <c r="E4" i="83" s="1"/>
  <c r="F4" i="83" s="1"/>
  <c r="G4" i="83" s="1"/>
  <c r="H4" i="83" s="1"/>
  <c r="I4" i="83" s="1"/>
  <c r="J4" i="83" s="1"/>
  <c r="K4" i="83" s="1"/>
  <c r="L4" i="83" s="1"/>
  <c r="M4" i="83" s="1"/>
  <c r="N4" i="83" s="1"/>
  <c r="O4" i="83" s="1"/>
  <c r="P4" i="83" s="1"/>
  <c r="Q4" i="83" s="1"/>
  <c r="R4" i="83" s="1"/>
  <c r="S4" i="83" s="1"/>
  <c r="T4" i="83" s="1"/>
  <c r="U4" i="83" s="1"/>
  <c r="V4" i="83" s="1"/>
  <c r="W4" i="83" s="1"/>
  <c r="X4" i="83" s="1"/>
  <c r="Y4" i="83" s="1"/>
  <c r="Z4" i="83" s="1"/>
  <c r="AA4" i="83" s="1"/>
  <c r="AB4" i="83" s="1"/>
  <c r="AC4" i="83" s="1"/>
  <c r="AD4" i="83" s="1"/>
  <c r="AE4" i="83" s="1"/>
  <c r="AF4" i="83" s="1"/>
  <c r="AG4" i="83" s="1"/>
  <c r="AH4" i="83" s="1"/>
  <c r="AI4" i="83" s="1"/>
  <c r="AJ4" i="83" s="1"/>
  <c r="AK4" i="83" s="1"/>
  <c r="AL4" i="83" s="1"/>
  <c r="AM4" i="83" s="1"/>
  <c r="AN4" i="83" s="1"/>
  <c r="AO4" i="83" s="1"/>
  <c r="AP4" i="83" s="1"/>
  <c r="AQ4" i="83" s="1"/>
  <c r="Z1" i="83"/>
  <c r="AH70" i="33"/>
  <c r="AA143" i="44"/>
  <c r="AA101" i="2"/>
  <c r="Y116" i="10"/>
  <c r="AP100" i="32" s="1"/>
  <c r="BH8" i="71"/>
  <c r="X8" i="71" s="1"/>
  <c r="U19" i="90"/>
  <c r="U20" i="90"/>
  <c r="U20" i="48"/>
  <c r="U28" i="90"/>
  <c r="U28" i="88"/>
  <c r="U35" i="90"/>
  <c r="U36" i="90"/>
  <c r="U38" i="90"/>
  <c r="U39" i="90"/>
  <c r="AK24" i="70"/>
  <c r="AL24" i="70"/>
  <c r="AM24" i="70"/>
  <c r="AN24" i="70"/>
  <c r="A7" i="63"/>
  <c r="K70" i="33"/>
  <c r="L70" i="33"/>
  <c r="M70" i="33"/>
  <c r="N70" i="33"/>
  <c r="O70" i="33"/>
  <c r="P70" i="33"/>
  <c r="Q70" i="33"/>
  <c r="R70" i="33"/>
  <c r="S70" i="33"/>
  <c r="T70" i="33"/>
  <c r="U70" i="33"/>
  <c r="V70" i="33"/>
  <c r="W70" i="33"/>
  <c r="X70" i="33"/>
  <c r="Y70" i="33"/>
  <c r="Z70" i="33"/>
  <c r="AA70" i="33"/>
  <c r="AB70" i="33"/>
  <c r="AC70" i="33"/>
  <c r="AD70" i="33"/>
  <c r="AE70" i="33"/>
  <c r="AF70" i="33"/>
  <c r="AG70" i="33"/>
  <c r="K71" i="33"/>
  <c r="K72" i="33"/>
  <c r="K73" i="33"/>
  <c r="K74" i="33"/>
  <c r="K75" i="33"/>
  <c r="K76" i="33"/>
  <c r="K77" i="33"/>
  <c r="K78" i="33"/>
  <c r="K79" i="33"/>
  <c r="K80" i="33"/>
  <c r="K81" i="33"/>
  <c r="K82" i="33"/>
  <c r="K83" i="33"/>
  <c r="K84" i="33"/>
  <c r="K85" i="33"/>
  <c r="K86" i="33"/>
  <c r="K87" i="33"/>
  <c r="K88" i="33"/>
  <c r="K89" i="33"/>
  <c r="K90" i="33"/>
  <c r="K92" i="33"/>
  <c r="K93" i="33"/>
  <c r="K94" i="33"/>
  <c r="K95" i="33"/>
  <c r="K96" i="33"/>
  <c r="B140" i="44"/>
  <c r="B141" i="44"/>
  <c r="B142" i="44"/>
  <c r="E143" i="44"/>
  <c r="F143" i="44"/>
  <c r="G143" i="44"/>
  <c r="H143" i="44"/>
  <c r="I143" i="44"/>
  <c r="I170" i="44" s="1"/>
  <c r="J143" i="44"/>
  <c r="J170" i="44" s="1"/>
  <c r="K143" i="44"/>
  <c r="L143" i="44"/>
  <c r="L170" i="44" s="1"/>
  <c r="M143" i="44"/>
  <c r="N143" i="44"/>
  <c r="O143" i="44"/>
  <c r="P143" i="44"/>
  <c r="Q143" i="44"/>
  <c r="Q170" i="44" s="1"/>
  <c r="R143" i="44"/>
  <c r="R170" i="44" s="1"/>
  <c r="S143" i="44"/>
  <c r="S170" i="44" s="1"/>
  <c r="T143" i="44"/>
  <c r="T170" i="44" s="1"/>
  <c r="U143" i="44"/>
  <c r="U170" i="44" s="1"/>
  <c r="V143" i="44"/>
  <c r="W143" i="44"/>
  <c r="W170" i="44" s="1"/>
  <c r="X143" i="44"/>
  <c r="Y143" i="44"/>
  <c r="Y170" i="44" s="1"/>
  <c r="Z143" i="44"/>
  <c r="Z170" i="44" s="1"/>
  <c r="B144" i="44"/>
  <c r="B146" i="44"/>
  <c r="B151" i="44"/>
  <c r="C157" i="44"/>
  <c r="C158" i="44" s="1"/>
  <c r="C159" i="44" s="1"/>
  <c r="C160" i="44" s="1"/>
  <c r="C161" i="44" s="1"/>
  <c r="C162" i="44" s="1"/>
  <c r="C163" i="44" s="1"/>
  <c r="C164" i="44" s="1"/>
  <c r="C165" i="44" s="1"/>
  <c r="C166" i="44" s="1"/>
  <c r="C167" i="44" s="1"/>
  <c r="C168" i="44" s="1"/>
  <c r="C169" i="44" s="1"/>
  <c r="C170" i="44" s="1"/>
  <c r="C171" i="44" s="1"/>
  <c r="C172" i="44" s="1"/>
  <c r="C173" i="44" s="1"/>
  <c r="C174" i="44" s="1"/>
  <c r="C175" i="44" s="1"/>
  <c r="C176" i="44" s="1"/>
  <c r="C177" i="44" s="1"/>
  <c r="C178" i="44" s="1"/>
  <c r="C179" i="44" s="1"/>
  <c r="H13" i="5"/>
  <c r="U9" i="100" s="1"/>
  <c r="J44" i="5"/>
  <c r="C42" i="5"/>
  <c r="J47" i="5"/>
  <c r="J48" i="5"/>
  <c r="J49" i="5"/>
  <c r="B8" i="21"/>
  <c r="B23" i="21"/>
  <c r="B24" i="21" s="1"/>
  <c r="B25" i="21" s="1"/>
  <c r="B26" i="21" s="1"/>
  <c r="B29" i="20"/>
  <c r="B30" i="20" s="1"/>
  <c r="Z1" i="82"/>
  <c r="C4" i="82"/>
  <c r="D4" i="82" s="1"/>
  <c r="E4" i="82" s="1"/>
  <c r="F4" i="82" s="1"/>
  <c r="G4" i="82" s="1"/>
  <c r="H4" i="82" s="1"/>
  <c r="I4" i="82" s="1"/>
  <c r="J4" i="82" s="1"/>
  <c r="K4" i="82" s="1"/>
  <c r="L4" i="82" s="1"/>
  <c r="M4" i="82" s="1"/>
  <c r="N4" i="82" s="1"/>
  <c r="O4" i="82" s="1"/>
  <c r="P4" i="82" s="1"/>
  <c r="Q4" i="82" s="1"/>
  <c r="R4" i="82" s="1"/>
  <c r="S4" i="82" s="1"/>
  <c r="T4" i="82" s="1"/>
  <c r="U4" i="82" s="1"/>
  <c r="V4" i="82" s="1"/>
  <c r="W4" i="82" s="1"/>
  <c r="X4" i="82" s="1"/>
  <c r="Y4" i="82" s="1"/>
  <c r="Z4" i="82" s="1"/>
  <c r="AA4" i="82" s="1"/>
  <c r="AB4" i="82" s="1"/>
  <c r="AC4" i="82" s="1"/>
  <c r="AD4" i="82" s="1"/>
  <c r="AE4" i="82" s="1"/>
  <c r="AF4" i="82" s="1"/>
  <c r="AG4" i="82" s="1"/>
  <c r="AH4" i="82" s="1"/>
  <c r="AI4" i="82" s="1"/>
  <c r="AJ4" i="82" s="1"/>
  <c r="AK4" i="82" s="1"/>
  <c r="AL4" i="82" s="1"/>
  <c r="AM4" i="82" s="1"/>
  <c r="AN4" i="82" s="1"/>
  <c r="AO4" i="82" s="1"/>
  <c r="AP4" i="82" s="1"/>
  <c r="AQ4" i="82" s="1"/>
  <c r="L8" i="82"/>
  <c r="O9" i="82"/>
  <c r="P9" i="82"/>
  <c r="Q9" i="82"/>
  <c r="R9" i="82"/>
  <c r="S9" i="82"/>
  <c r="AC9" i="82"/>
  <c r="N10" i="82"/>
  <c r="P10" i="82"/>
  <c r="Q10" i="82"/>
  <c r="R10" i="82"/>
  <c r="S10" i="82"/>
  <c r="AC10" i="82"/>
  <c r="N11" i="82"/>
  <c r="O11" i="82"/>
  <c r="Q11" i="82"/>
  <c r="R11" i="82"/>
  <c r="S11" i="82"/>
  <c r="AC11" i="82"/>
  <c r="N12" i="82"/>
  <c r="O12" i="82"/>
  <c r="Q12" i="82"/>
  <c r="R12" i="82"/>
  <c r="S12" i="82"/>
  <c r="AC12" i="82"/>
  <c r="N13" i="82"/>
  <c r="O13" i="82"/>
  <c r="Q13" i="82"/>
  <c r="R13" i="82"/>
  <c r="S13" i="82"/>
  <c r="U13" i="82"/>
  <c r="AC13" i="82"/>
  <c r="N14" i="82"/>
  <c r="O14" i="82"/>
  <c r="P14" i="82"/>
  <c r="R14" i="82"/>
  <c r="S14" i="82"/>
  <c r="U14" i="82"/>
  <c r="AC14" i="82"/>
  <c r="N15" i="82"/>
  <c r="O15" i="82"/>
  <c r="P15" i="82"/>
  <c r="Q15" i="82"/>
  <c r="S15" i="82"/>
  <c r="AC15" i="82"/>
  <c r="N16" i="82"/>
  <c r="O16" i="82"/>
  <c r="P16" i="82"/>
  <c r="Q16" i="82"/>
  <c r="R16" i="82"/>
  <c r="U16" i="82"/>
  <c r="AC16" i="82"/>
  <c r="AC17" i="82"/>
  <c r="N19" i="82"/>
  <c r="O19" i="82"/>
  <c r="Q19" i="82"/>
  <c r="R19" i="82"/>
  <c r="S19" i="82"/>
  <c r="AC19" i="82"/>
  <c r="N20" i="82"/>
  <c r="O20" i="82"/>
  <c r="P20" i="82"/>
  <c r="R20" i="82"/>
  <c r="S20" i="82"/>
  <c r="AC20" i="82"/>
  <c r="AC21" i="82"/>
  <c r="N22" i="82"/>
  <c r="O22" i="82"/>
  <c r="P22" i="82"/>
  <c r="AC22" i="82"/>
  <c r="Q23" i="82"/>
  <c r="R23" i="82"/>
  <c r="AC23" i="82"/>
  <c r="N26" i="82"/>
  <c r="O26" i="82"/>
  <c r="R26" i="82"/>
  <c r="AC26" i="82"/>
  <c r="N27" i="82"/>
  <c r="R27" i="82"/>
  <c r="AC27" i="82"/>
  <c r="N28" i="82"/>
  <c r="AC28" i="82"/>
  <c r="N29" i="82"/>
  <c r="O29" i="82"/>
  <c r="P29" i="82"/>
  <c r="Q29" i="82"/>
  <c r="R29" i="82"/>
  <c r="S29" i="82"/>
  <c r="N30" i="82"/>
  <c r="O30" i="82"/>
  <c r="Q30" i="82"/>
  <c r="R30" i="82"/>
  <c r="S30" i="82"/>
  <c r="AC30" i="82"/>
  <c r="N31" i="82"/>
  <c r="O31" i="82"/>
  <c r="Q31" i="82"/>
  <c r="R31" i="82"/>
  <c r="S31" i="82"/>
  <c r="AC31" i="82"/>
  <c r="N32" i="82"/>
  <c r="O32" i="82"/>
  <c r="Q32" i="82"/>
  <c r="R32" i="82"/>
  <c r="S32" i="82"/>
  <c r="AC32" i="82"/>
  <c r="N33" i="82"/>
  <c r="O33" i="82"/>
  <c r="Q33" i="82"/>
  <c r="R33" i="82"/>
  <c r="AC33" i="82"/>
  <c r="N34" i="82"/>
  <c r="O34" i="82"/>
  <c r="Q34" i="82"/>
  <c r="R34" i="82"/>
  <c r="S34" i="82"/>
  <c r="AC34" i="82"/>
  <c r="N35" i="82"/>
  <c r="O35" i="82"/>
  <c r="Q35" i="82"/>
  <c r="R35" i="82"/>
  <c r="S35" i="82"/>
  <c r="AC35" i="82"/>
  <c r="N36" i="82"/>
  <c r="O36" i="82"/>
  <c r="Q36" i="82"/>
  <c r="R36" i="82"/>
  <c r="S36" i="82"/>
  <c r="AC36" i="82"/>
  <c r="N37" i="82"/>
  <c r="Q37" i="82"/>
  <c r="S37" i="82"/>
  <c r="AC37" i="82"/>
  <c r="N38" i="82"/>
  <c r="O38" i="82"/>
  <c r="Q38" i="82"/>
  <c r="R38" i="82"/>
  <c r="S38" i="82"/>
  <c r="AC38" i="82"/>
  <c r="N39" i="82"/>
  <c r="O39" i="82"/>
  <c r="Q39" i="82"/>
  <c r="R39" i="82"/>
  <c r="S39" i="82"/>
  <c r="AC39" i="82"/>
  <c r="N40" i="82"/>
  <c r="O40" i="82"/>
  <c r="Q40" i="82"/>
  <c r="R40" i="82"/>
  <c r="S40" i="82"/>
  <c r="AC40" i="82"/>
  <c r="N41" i="82"/>
  <c r="O41" i="82"/>
  <c r="Q41" i="82"/>
  <c r="R41" i="82"/>
  <c r="S41" i="82"/>
  <c r="AC41" i="82"/>
  <c r="N42" i="82"/>
  <c r="O42" i="82"/>
  <c r="P42" i="82"/>
  <c r="Q42" i="82"/>
  <c r="S42" i="82"/>
  <c r="AC42" i="82"/>
  <c r="AF42" i="82" s="1"/>
  <c r="AM42" i="82" s="1"/>
  <c r="AC44" i="82"/>
  <c r="Z1" i="81"/>
  <c r="C4" i="81"/>
  <c r="D4" i="81" s="1"/>
  <c r="E4" i="81" s="1"/>
  <c r="F4" i="81" s="1"/>
  <c r="G4" i="81" s="1"/>
  <c r="H4" i="81" s="1"/>
  <c r="I4" i="81" s="1"/>
  <c r="J4" i="81" s="1"/>
  <c r="K4" i="81" s="1"/>
  <c r="L4" i="81" s="1"/>
  <c r="M4" i="81" s="1"/>
  <c r="N4" i="81" s="1"/>
  <c r="O4" i="81" s="1"/>
  <c r="P4" i="81" s="1"/>
  <c r="Q4" i="81" s="1"/>
  <c r="R4" i="81" s="1"/>
  <c r="S4" i="81" s="1"/>
  <c r="T4" i="81" s="1"/>
  <c r="U4" i="81" s="1"/>
  <c r="V4" i="81" s="1"/>
  <c r="W4" i="81" s="1"/>
  <c r="X4" i="81" s="1"/>
  <c r="Y4" i="81" s="1"/>
  <c r="Z4" i="81" s="1"/>
  <c r="AA4" i="81" s="1"/>
  <c r="AB4" i="81" s="1"/>
  <c r="AC4" i="81" s="1"/>
  <c r="AD4" i="81" s="1"/>
  <c r="AE4" i="81" s="1"/>
  <c r="AF4" i="81" s="1"/>
  <c r="AG4" i="81" s="1"/>
  <c r="AH4" i="81" s="1"/>
  <c r="AI4" i="81" s="1"/>
  <c r="AJ4" i="81" s="1"/>
  <c r="AK4" i="81" s="1"/>
  <c r="AL4" i="81" s="1"/>
  <c r="AM4" i="81" s="1"/>
  <c r="AN4" i="81" s="1"/>
  <c r="AO4" i="81" s="1"/>
  <c r="AP4" i="81" s="1"/>
  <c r="AQ4" i="81" s="1"/>
  <c r="L8" i="81"/>
  <c r="O9" i="81"/>
  <c r="Q9" i="81"/>
  <c r="R9" i="81"/>
  <c r="S9" i="81"/>
  <c r="AC9" i="81"/>
  <c r="N10" i="81"/>
  <c r="P10" i="81"/>
  <c r="Q10" i="81"/>
  <c r="R10" i="81"/>
  <c r="S10" i="81"/>
  <c r="AC10" i="81"/>
  <c r="N11" i="81"/>
  <c r="O11" i="81"/>
  <c r="Q11" i="81"/>
  <c r="R11" i="81"/>
  <c r="S11" i="81"/>
  <c r="AC11" i="81"/>
  <c r="N12" i="81"/>
  <c r="O12" i="81"/>
  <c r="Q12" i="81"/>
  <c r="R12" i="81"/>
  <c r="S12" i="81"/>
  <c r="AC12" i="81"/>
  <c r="N13" i="81"/>
  <c r="O13" i="81"/>
  <c r="Q13" i="81"/>
  <c r="R13" i="81"/>
  <c r="S13" i="81"/>
  <c r="U13" i="81"/>
  <c r="AC13" i="81"/>
  <c r="N14" i="81"/>
  <c r="O14" i="81"/>
  <c r="P14" i="81"/>
  <c r="R14" i="81"/>
  <c r="S14" i="81"/>
  <c r="U14" i="81"/>
  <c r="AC14" i="81"/>
  <c r="N15" i="81"/>
  <c r="O15" i="81"/>
  <c r="P15" i="81"/>
  <c r="Q15" i="81"/>
  <c r="S15" i="81"/>
  <c r="AC15" i="81"/>
  <c r="N16" i="81"/>
  <c r="O16" i="81"/>
  <c r="P16" i="81"/>
  <c r="Q16" i="81"/>
  <c r="R16" i="81"/>
  <c r="U16" i="81"/>
  <c r="AC16" i="81"/>
  <c r="AC17" i="81"/>
  <c r="N19" i="81"/>
  <c r="O19" i="81"/>
  <c r="Q19" i="81"/>
  <c r="R19" i="81"/>
  <c r="S19" i="81"/>
  <c r="AC19" i="81"/>
  <c r="N20" i="81"/>
  <c r="O20" i="81"/>
  <c r="P20" i="81"/>
  <c r="R20" i="81"/>
  <c r="S20" i="81"/>
  <c r="AC20" i="81"/>
  <c r="AC21" i="81"/>
  <c r="N22" i="81"/>
  <c r="O22" i="81"/>
  <c r="P22" i="81"/>
  <c r="AC22" i="81"/>
  <c r="Q23" i="81"/>
  <c r="R23" i="81"/>
  <c r="AC23" i="81"/>
  <c r="N26" i="81"/>
  <c r="O26" i="81"/>
  <c r="R26" i="81"/>
  <c r="AC26" i="81"/>
  <c r="N27" i="81"/>
  <c r="R27" i="81"/>
  <c r="AC27" i="81"/>
  <c r="N28" i="81"/>
  <c r="AC28" i="81"/>
  <c r="N29" i="81"/>
  <c r="O29" i="81"/>
  <c r="P29" i="81"/>
  <c r="Q29" i="81"/>
  <c r="R29" i="81"/>
  <c r="S29" i="81"/>
  <c r="N30" i="81"/>
  <c r="O30" i="81"/>
  <c r="Q30" i="81"/>
  <c r="R30" i="81"/>
  <c r="S30" i="81"/>
  <c r="AC30" i="81"/>
  <c r="N31" i="81"/>
  <c r="O31" i="81"/>
  <c r="Q31" i="81"/>
  <c r="R31" i="81"/>
  <c r="S31" i="81"/>
  <c r="AC31" i="81"/>
  <c r="N32" i="81"/>
  <c r="O32" i="81"/>
  <c r="Q32" i="81"/>
  <c r="R32" i="81"/>
  <c r="S32" i="81"/>
  <c r="AC32" i="81"/>
  <c r="N33" i="81"/>
  <c r="O33" i="81"/>
  <c r="Q33" i="81"/>
  <c r="R33" i="81"/>
  <c r="AC33" i="81"/>
  <c r="N34" i="81"/>
  <c r="O34" i="81"/>
  <c r="Q34" i="81"/>
  <c r="R34" i="81"/>
  <c r="S34" i="81"/>
  <c r="AC34" i="81"/>
  <c r="N35" i="81"/>
  <c r="O35" i="81"/>
  <c r="Q35" i="81"/>
  <c r="R35" i="81"/>
  <c r="S35" i="81"/>
  <c r="AC35" i="81"/>
  <c r="N36" i="81"/>
  <c r="O36" i="81"/>
  <c r="Q36" i="81"/>
  <c r="R36" i="81"/>
  <c r="S36" i="81"/>
  <c r="AC36" i="81"/>
  <c r="N37" i="81"/>
  <c r="Q37" i="81"/>
  <c r="S37" i="81"/>
  <c r="AC37" i="81"/>
  <c r="N38" i="81"/>
  <c r="O38" i="81"/>
  <c r="Q38" i="81"/>
  <c r="R38" i="81"/>
  <c r="S38" i="81"/>
  <c r="AC38" i="81"/>
  <c r="N39" i="81"/>
  <c r="O39" i="81"/>
  <c r="Q39" i="81"/>
  <c r="R39" i="81"/>
  <c r="S39" i="81"/>
  <c r="AC39" i="81"/>
  <c r="N40" i="81"/>
  <c r="O40" i="81"/>
  <c r="Q40" i="81"/>
  <c r="R40" i="81"/>
  <c r="S40" i="81"/>
  <c r="AC40" i="81"/>
  <c r="N41" i="81"/>
  <c r="O41" i="81"/>
  <c r="Q41" i="81"/>
  <c r="R41" i="81"/>
  <c r="S41" i="81"/>
  <c r="AC41" i="81"/>
  <c r="N42" i="81"/>
  <c r="O42" i="81"/>
  <c r="P42" i="81"/>
  <c r="Q42" i="81"/>
  <c r="S42" i="81"/>
  <c r="AC42" i="81"/>
  <c r="AE42" i="81" s="1"/>
  <c r="AL42" i="81" s="1"/>
  <c r="AC44" i="81"/>
  <c r="Z1" i="79"/>
  <c r="C4" i="79"/>
  <c r="D4" i="79" s="1"/>
  <c r="E4" i="79" s="1"/>
  <c r="F4" i="79" s="1"/>
  <c r="G4" i="79" s="1"/>
  <c r="H4" i="79" s="1"/>
  <c r="I4" i="79" s="1"/>
  <c r="J4" i="79" s="1"/>
  <c r="K4" i="79" s="1"/>
  <c r="L4" i="79" s="1"/>
  <c r="M4" i="79" s="1"/>
  <c r="N4" i="79" s="1"/>
  <c r="O4" i="79" s="1"/>
  <c r="P4" i="79" s="1"/>
  <c r="Q4" i="79" s="1"/>
  <c r="R4" i="79" s="1"/>
  <c r="S4" i="79" s="1"/>
  <c r="T4" i="79" s="1"/>
  <c r="U4" i="79" s="1"/>
  <c r="V4" i="79" s="1"/>
  <c r="W4" i="79" s="1"/>
  <c r="X4" i="79" s="1"/>
  <c r="Y4" i="79" s="1"/>
  <c r="Z4" i="79" s="1"/>
  <c r="AA4" i="79" s="1"/>
  <c r="AB4" i="79" s="1"/>
  <c r="AC4" i="79" s="1"/>
  <c r="AD4" i="79" s="1"/>
  <c r="AE4" i="79" s="1"/>
  <c r="AF4" i="79" s="1"/>
  <c r="AG4" i="79" s="1"/>
  <c r="AH4" i="79" s="1"/>
  <c r="AI4" i="79" s="1"/>
  <c r="AJ4" i="79" s="1"/>
  <c r="AK4" i="79" s="1"/>
  <c r="AL4" i="79" s="1"/>
  <c r="AM4" i="79" s="1"/>
  <c r="AN4" i="79" s="1"/>
  <c r="AO4" i="79" s="1"/>
  <c r="AP4" i="79" s="1"/>
  <c r="AQ4" i="79" s="1"/>
  <c r="L8" i="79"/>
  <c r="O9" i="79"/>
  <c r="P9" i="79"/>
  <c r="Q9" i="79"/>
  <c r="R9" i="79"/>
  <c r="S9" i="79"/>
  <c r="AC9" i="79"/>
  <c r="N10" i="79"/>
  <c r="P10" i="79"/>
  <c r="Q10" i="79"/>
  <c r="R10" i="79"/>
  <c r="S10" i="79"/>
  <c r="AC10" i="79"/>
  <c r="N11" i="79"/>
  <c r="O11" i="79"/>
  <c r="Q11" i="79"/>
  <c r="R11" i="79"/>
  <c r="S11" i="79"/>
  <c r="AC11" i="79"/>
  <c r="N12" i="79"/>
  <c r="O12" i="79"/>
  <c r="Q12" i="79"/>
  <c r="R12" i="79"/>
  <c r="S12" i="79"/>
  <c r="AC12" i="79"/>
  <c r="N13" i="79"/>
  <c r="O13" i="79"/>
  <c r="Q13" i="79"/>
  <c r="R13" i="79"/>
  <c r="S13" i="79"/>
  <c r="U13" i="79"/>
  <c r="AC13" i="79"/>
  <c r="N14" i="79"/>
  <c r="O14" i="79"/>
  <c r="P14" i="79"/>
  <c r="R14" i="79"/>
  <c r="S14" i="79"/>
  <c r="U14" i="79"/>
  <c r="AC14" i="79"/>
  <c r="N15" i="79"/>
  <c r="O15" i="79"/>
  <c r="P15" i="79"/>
  <c r="Q15" i="79"/>
  <c r="S15" i="79"/>
  <c r="AC15" i="79"/>
  <c r="N16" i="79"/>
  <c r="O16" i="79"/>
  <c r="P16" i="79"/>
  <c r="Q16" i="79"/>
  <c r="R16" i="79"/>
  <c r="U16" i="79"/>
  <c r="AC16" i="79"/>
  <c r="AC17" i="79"/>
  <c r="N19" i="79"/>
  <c r="O19" i="79"/>
  <c r="Q19" i="79"/>
  <c r="R19" i="79"/>
  <c r="S19" i="79"/>
  <c r="AC19" i="79"/>
  <c r="N20" i="79"/>
  <c r="O20" i="79"/>
  <c r="P20" i="79"/>
  <c r="R20" i="79"/>
  <c r="S20" i="79"/>
  <c r="AC20" i="79"/>
  <c r="AC21" i="79"/>
  <c r="N22" i="79"/>
  <c r="O22" i="79"/>
  <c r="P22" i="79"/>
  <c r="AC22" i="79"/>
  <c r="Q23" i="79"/>
  <c r="R23" i="79"/>
  <c r="AC23" i="79"/>
  <c r="N26" i="79"/>
  <c r="O26" i="79"/>
  <c r="R26" i="79"/>
  <c r="AC26" i="79"/>
  <c r="N27" i="79"/>
  <c r="R27" i="79"/>
  <c r="AC27" i="79"/>
  <c r="N28" i="79"/>
  <c r="AC28" i="79"/>
  <c r="N29" i="79"/>
  <c r="O29" i="79"/>
  <c r="P29" i="79"/>
  <c r="Q29" i="79"/>
  <c r="R29" i="79"/>
  <c r="S29" i="79"/>
  <c r="N30" i="79"/>
  <c r="O30" i="79"/>
  <c r="Q30" i="79"/>
  <c r="R30" i="79"/>
  <c r="S30" i="79"/>
  <c r="AC30" i="79"/>
  <c r="N31" i="79"/>
  <c r="O31" i="79"/>
  <c r="Q31" i="79"/>
  <c r="R31" i="79"/>
  <c r="S31" i="79"/>
  <c r="AC31" i="79"/>
  <c r="N32" i="79"/>
  <c r="O32" i="79"/>
  <c r="Q32" i="79"/>
  <c r="R32" i="79"/>
  <c r="S32" i="79"/>
  <c r="AC32" i="79"/>
  <c r="N33" i="79"/>
  <c r="O33" i="79"/>
  <c r="Q33" i="79"/>
  <c r="R33" i="79"/>
  <c r="AC33" i="79"/>
  <c r="N34" i="79"/>
  <c r="O34" i="79"/>
  <c r="Q34" i="79"/>
  <c r="R34" i="79"/>
  <c r="S34" i="79"/>
  <c r="AC34" i="79"/>
  <c r="N35" i="79"/>
  <c r="O35" i="79"/>
  <c r="Q35" i="79"/>
  <c r="R35" i="79"/>
  <c r="S35" i="79"/>
  <c r="AC35" i="79"/>
  <c r="N36" i="79"/>
  <c r="O36" i="79"/>
  <c r="Q36" i="79"/>
  <c r="R36" i="79"/>
  <c r="S36" i="79"/>
  <c r="AC36" i="79"/>
  <c r="N37" i="79"/>
  <c r="Q37" i="79"/>
  <c r="S37" i="79"/>
  <c r="AC37" i="79"/>
  <c r="N38" i="79"/>
  <c r="O38" i="79"/>
  <c r="Q38" i="79"/>
  <c r="R38" i="79"/>
  <c r="S38" i="79"/>
  <c r="AC38" i="79"/>
  <c r="N39" i="79"/>
  <c r="O39" i="79"/>
  <c r="Q39" i="79"/>
  <c r="R39" i="79"/>
  <c r="S39" i="79"/>
  <c r="AC39" i="79"/>
  <c r="N40" i="79"/>
  <c r="O40" i="79"/>
  <c r="Q40" i="79"/>
  <c r="R40" i="79"/>
  <c r="S40" i="79"/>
  <c r="AC40" i="79"/>
  <c r="N41" i="79"/>
  <c r="O41" i="79"/>
  <c r="Q41" i="79"/>
  <c r="R41" i="79"/>
  <c r="S41" i="79"/>
  <c r="AC41" i="79"/>
  <c r="N42" i="79"/>
  <c r="O42" i="79"/>
  <c r="P42" i="79"/>
  <c r="Q42" i="79"/>
  <c r="S42" i="79"/>
  <c r="AC42" i="79"/>
  <c r="AC44" i="79"/>
  <c r="Z1" i="77"/>
  <c r="C4" i="77"/>
  <c r="D4" i="77"/>
  <c r="E4" i="77" s="1"/>
  <c r="F4" i="77" s="1"/>
  <c r="G4" i="77" s="1"/>
  <c r="H4" i="77" s="1"/>
  <c r="I4" i="77" s="1"/>
  <c r="J4" i="77" s="1"/>
  <c r="K4" i="77" s="1"/>
  <c r="L4" i="77" s="1"/>
  <c r="M4" i="77" s="1"/>
  <c r="N4" i="77" s="1"/>
  <c r="O4" i="77" s="1"/>
  <c r="P4" i="77" s="1"/>
  <c r="Q4" i="77" s="1"/>
  <c r="R4" i="77" s="1"/>
  <c r="S4" i="77" s="1"/>
  <c r="T4" i="77" s="1"/>
  <c r="U4" i="77" s="1"/>
  <c r="V4" i="77" s="1"/>
  <c r="W4" i="77" s="1"/>
  <c r="X4" i="77" s="1"/>
  <c r="Y4" i="77" s="1"/>
  <c r="Z4" i="77" s="1"/>
  <c r="AA4" i="77" s="1"/>
  <c r="AB4" i="77" s="1"/>
  <c r="AC4" i="77" s="1"/>
  <c r="AD4" i="77" s="1"/>
  <c r="AE4" i="77" s="1"/>
  <c r="AF4" i="77" s="1"/>
  <c r="AG4" i="77" s="1"/>
  <c r="AH4" i="77" s="1"/>
  <c r="AI4" i="77" s="1"/>
  <c r="AJ4" i="77" s="1"/>
  <c r="AK4" i="77" s="1"/>
  <c r="AL4" i="77" s="1"/>
  <c r="AM4" i="77" s="1"/>
  <c r="AN4" i="77" s="1"/>
  <c r="AO4" i="77" s="1"/>
  <c r="AP4" i="77" s="1"/>
  <c r="AQ4" i="77" s="1"/>
  <c r="L8" i="77"/>
  <c r="O9" i="77"/>
  <c r="P9" i="77"/>
  <c r="Q9" i="77"/>
  <c r="R9" i="77"/>
  <c r="S9" i="77"/>
  <c r="AC9" i="77"/>
  <c r="N10" i="77"/>
  <c r="P10" i="77"/>
  <c r="Q10" i="77"/>
  <c r="R10" i="77"/>
  <c r="S10" i="77"/>
  <c r="AC10" i="77"/>
  <c r="N11" i="77"/>
  <c r="O11" i="77"/>
  <c r="Q11" i="77"/>
  <c r="R11" i="77"/>
  <c r="S11" i="77"/>
  <c r="AC11" i="77"/>
  <c r="N12" i="77"/>
  <c r="O12" i="77"/>
  <c r="Q12" i="77"/>
  <c r="R12" i="77"/>
  <c r="S12" i="77"/>
  <c r="AC12" i="77"/>
  <c r="N13" i="77"/>
  <c r="O13" i="77"/>
  <c r="Q13" i="77"/>
  <c r="R13" i="77"/>
  <c r="S13" i="77"/>
  <c r="U13" i="77"/>
  <c r="AC13" i="77"/>
  <c r="N14" i="77"/>
  <c r="O14" i="77"/>
  <c r="P14" i="77"/>
  <c r="R14" i="77"/>
  <c r="S14" i="77"/>
  <c r="U14" i="77"/>
  <c r="AC14" i="77"/>
  <c r="N15" i="77"/>
  <c r="O15" i="77"/>
  <c r="P15" i="77"/>
  <c r="Q15" i="77"/>
  <c r="S15" i="77"/>
  <c r="AC15" i="77"/>
  <c r="N16" i="77"/>
  <c r="O16" i="77"/>
  <c r="P16" i="77"/>
  <c r="Q16" i="77"/>
  <c r="R16" i="77"/>
  <c r="U16" i="77"/>
  <c r="AC16" i="77"/>
  <c r="AC17" i="77"/>
  <c r="N19" i="77"/>
  <c r="O19" i="77"/>
  <c r="Q19" i="77"/>
  <c r="R19" i="77"/>
  <c r="S19" i="77"/>
  <c r="AC19" i="77"/>
  <c r="N20" i="77"/>
  <c r="O20" i="77"/>
  <c r="P20" i="77"/>
  <c r="R20" i="77"/>
  <c r="S20" i="77"/>
  <c r="AC20" i="77"/>
  <c r="AC21" i="77"/>
  <c r="N22" i="77"/>
  <c r="O22" i="77"/>
  <c r="P22" i="77"/>
  <c r="AC22" i="77"/>
  <c r="Q23" i="77"/>
  <c r="R23" i="77"/>
  <c r="AC23" i="77"/>
  <c r="N26" i="77"/>
  <c r="O26" i="77"/>
  <c r="R26" i="77"/>
  <c r="AC26" i="77"/>
  <c r="N27" i="77"/>
  <c r="R27" i="77"/>
  <c r="AC27" i="77"/>
  <c r="N28" i="77"/>
  <c r="AC28" i="77"/>
  <c r="N29" i="77"/>
  <c r="O29" i="77"/>
  <c r="P29" i="77"/>
  <c r="Q29" i="77"/>
  <c r="R29" i="77"/>
  <c r="S29" i="77"/>
  <c r="N30" i="77"/>
  <c r="O30" i="77"/>
  <c r="Q30" i="77"/>
  <c r="R30" i="77"/>
  <c r="S30" i="77"/>
  <c r="AC30" i="77"/>
  <c r="N31" i="77"/>
  <c r="O31" i="77"/>
  <c r="Q31" i="77"/>
  <c r="R31" i="77"/>
  <c r="S31" i="77"/>
  <c r="AC31" i="77"/>
  <c r="N32" i="77"/>
  <c r="O32" i="77"/>
  <c r="Q32" i="77"/>
  <c r="R32" i="77"/>
  <c r="S32" i="77"/>
  <c r="AC32" i="77"/>
  <c r="N33" i="77"/>
  <c r="O33" i="77"/>
  <c r="Q33" i="77"/>
  <c r="R33" i="77"/>
  <c r="AC33" i="77"/>
  <c r="N34" i="77"/>
  <c r="O34" i="77"/>
  <c r="Q34" i="77"/>
  <c r="R34" i="77"/>
  <c r="S34" i="77"/>
  <c r="AC34" i="77"/>
  <c r="N35" i="77"/>
  <c r="O35" i="77"/>
  <c r="Q35" i="77"/>
  <c r="R35" i="77"/>
  <c r="S35" i="77"/>
  <c r="AC35" i="77"/>
  <c r="N36" i="77"/>
  <c r="O36" i="77"/>
  <c r="Q36" i="77"/>
  <c r="R36" i="77"/>
  <c r="S36" i="77"/>
  <c r="AC36" i="77"/>
  <c r="N37" i="77"/>
  <c r="Q37" i="77"/>
  <c r="S37" i="77"/>
  <c r="AC37" i="77"/>
  <c r="N38" i="77"/>
  <c r="O38" i="77"/>
  <c r="Q38" i="77"/>
  <c r="R38" i="77"/>
  <c r="S38" i="77"/>
  <c r="AC38" i="77"/>
  <c r="N39" i="77"/>
  <c r="O39" i="77"/>
  <c r="Q39" i="77"/>
  <c r="R39" i="77"/>
  <c r="S39" i="77"/>
  <c r="AC39" i="77"/>
  <c r="N40" i="77"/>
  <c r="O40" i="77"/>
  <c r="Q40" i="77"/>
  <c r="R40" i="77"/>
  <c r="S40" i="77"/>
  <c r="AC40" i="77"/>
  <c r="N41" i="77"/>
  <c r="O41" i="77"/>
  <c r="Q41" i="77"/>
  <c r="R41" i="77"/>
  <c r="S41" i="77"/>
  <c r="AC41" i="77"/>
  <c r="N42" i="77"/>
  <c r="O42" i="77"/>
  <c r="P42" i="77"/>
  <c r="Q42" i="77"/>
  <c r="S42" i="77"/>
  <c r="AC42" i="77"/>
  <c r="AC44" i="77"/>
  <c r="Z1" i="73"/>
  <c r="C4" i="73"/>
  <c r="D4" i="73" s="1"/>
  <c r="E4" i="73" s="1"/>
  <c r="F4" i="73" s="1"/>
  <c r="G4" i="73" s="1"/>
  <c r="H4" i="73" s="1"/>
  <c r="I4" i="73" s="1"/>
  <c r="J4" i="73" s="1"/>
  <c r="K4" i="73" s="1"/>
  <c r="L4" i="73" s="1"/>
  <c r="M4" i="73" s="1"/>
  <c r="N4" i="73" s="1"/>
  <c r="O4" i="73" s="1"/>
  <c r="P4" i="73" s="1"/>
  <c r="Q4" i="73" s="1"/>
  <c r="R4" i="73" s="1"/>
  <c r="S4" i="73" s="1"/>
  <c r="T4" i="73" s="1"/>
  <c r="U4" i="73" s="1"/>
  <c r="V4" i="73" s="1"/>
  <c r="W4" i="73" s="1"/>
  <c r="X4" i="73" s="1"/>
  <c r="Y4" i="73" s="1"/>
  <c r="Z4" i="73" s="1"/>
  <c r="AA4" i="73" s="1"/>
  <c r="AB4" i="73" s="1"/>
  <c r="AC4" i="73" s="1"/>
  <c r="AD4" i="73" s="1"/>
  <c r="AE4" i="73" s="1"/>
  <c r="AF4" i="73" s="1"/>
  <c r="AG4" i="73" s="1"/>
  <c r="AH4" i="73" s="1"/>
  <c r="AI4" i="73" s="1"/>
  <c r="AJ4" i="73" s="1"/>
  <c r="AK4" i="73" s="1"/>
  <c r="AL4" i="73" s="1"/>
  <c r="AM4" i="73" s="1"/>
  <c r="AN4" i="73" s="1"/>
  <c r="AO4" i="73" s="1"/>
  <c r="AP4" i="73" s="1"/>
  <c r="AQ4" i="73" s="1"/>
  <c r="L8" i="73"/>
  <c r="O9" i="73"/>
  <c r="P9" i="73"/>
  <c r="Q9" i="73"/>
  <c r="R9" i="73"/>
  <c r="S9" i="73"/>
  <c r="AC9" i="73"/>
  <c r="N10" i="73"/>
  <c r="P10" i="73"/>
  <c r="Q10" i="73"/>
  <c r="R10" i="73"/>
  <c r="S10" i="73"/>
  <c r="AC10" i="73"/>
  <c r="N11" i="73"/>
  <c r="O11" i="73"/>
  <c r="Q11" i="73"/>
  <c r="R11" i="73"/>
  <c r="S11" i="73"/>
  <c r="AC11" i="73"/>
  <c r="N12" i="73"/>
  <c r="O12" i="73"/>
  <c r="Q12" i="73"/>
  <c r="R12" i="73"/>
  <c r="S12" i="73"/>
  <c r="AC12" i="73"/>
  <c r="N13" i="73"/>
  <c r="O13" i="73"/>
  <c r="Q13" i="73"/>
  <c r="R13" i="73"/>
  <c r="S13" i="73"/>
  <c r="U13" i="73"/>
  <c r="AC13" i="73"/>
  <c r="N14" i="73"/>
  <c r="O14" i="73"/>
  <c r="P14" i="73"/>
  <c r="R14" i="73"/>
  <c r="S14" i="73"/>
  <c r="U14" i="73"/>
  <c r="AC14" i="73"/>
  <c r="N15" i="73"/>
  <c r="O15" i="73"/>
  <c r="P15" i="73"/>
  <c r="Q15" i="73"/>
  <c r="S15" i="73"/>
  <c r="AC15" i="73"/>
  <c r="N16" i="73"/>
  <c r="O16" i="73"/>
  <c r="P16" i="73"/>
  <c r="Q16" i="73"/>
  <c r="R16" i="73"/>
  <c r="U16" i="73"/>
  <c r="AC16" i="73"/>
  <c r="AC17" i="73"/>
  <c r="N19" i="73"/>
  <c r="O19" i="73"/>
  <c r="Q19" i="73"/>
  <c r="R19" i="73"/>
  <c r="S19" i="73"/>
  <c r="AC19" i="73"/>
  <c r="N20" i="73"/>
  <c r="O20" i="73"/>
  <c r="P20" i="73"/>
  <c r="R20" i="73"/>
  <c r="S20" i="73"/>
  <c r="AC20" i="73"/>
  <c r="AC21" i="73"/>
  <c r="N22" i="73"/>
  <c r="O22" i="73"/>
  <c r="P22" i="73"/>
  <c r="AC22" i="73"/>
  <c r="Q23" i="73"/>
  <c r="R23" i="73"/>
  <c r="AC23" i="73"/>
  <c r="N26" i="73"/>
  <c r="O26" i="73"/>
  <c r="R26" i="73"/>
  <c r="AC26" i="73"/>
  <c r="N27" i="73"/>
  <c r="R27" i="73"/>
  <c r="AC27" i="73"/>
  <c r="N28" i="73"/>
  <c r="AC28" i="73"/>
  <c r="N29" i="73"/>
  <c r="O29" i="73"/>
  <c r="P29" i="73"/>
  <c r="Q29" i="73"/>
  <c r="R29" i="73"/>
  <c r="S29" i="73"/>
  <c r="N30" i="73"/>
  <c r="O30" i="73"/>
  <c r="Q30" i="73"/>
  <c r="R30" i="73"/>
  <c r="S30" i="73"/>
  <c r="AC30" i="73"/>
  <c r="N31" i="73"/>
  <c r="O31" i="73"/>
  <c r="Q31" i="73"/>
  <c r="R31" i="73"/>
  <c r="S31" i="73"/>
  <c r="AC31" i="73"/>
  <c r="N32" i="73"/>
  <c r="O32" i="73"/>
  <c r="Q32" i="73"/>
  <c r="R32" i="73"/>
  <c r="S32" i="73"/>
  <c r="AC32" i="73"/>
  <c r="N33" i="73"/>
  <c r="O33" i="73"/>
  <c r="Q33" i="73"/>
  <c r="R33" i="73"/>
  <c r="AC33" i="73"/>
  <c r="N34" i="73"/>
  <c r="O34" i="73"/>
  <c r="Q34" i="73"/>
  <c r="R34" i="73"/>
  <c r="S34" i="73"/>
  <c r="AC34" i="73"/>
  <c r="N35" i="73"/>
  <c r="O35" i="73"/>
  <c r="Q35" i="73"/>
  <c r="R35" i="73"/>
  <c r="S35" i="73"/>
  <c r="AC35" i="73"/>
  <c r="N36" i="73"/>
  <c r="O36" i="73"/>
  <c r="Q36" i="73"/>
  <c r="R36" i="73"/>
  <c r="S36" i="73"/>
  <c r="AC36" i="73"/>
  <c r="N37" i="73"/>
  <c r="Q37" i="73"/>
  <c r="S37" i="73"/>
  <c r="AC37" i="73"/>
  <c r="N38" i="73"/>
  <c r="O38" i="73"/>
  <c r="Q38" i="73"/>
  <c r="R38" i="73"/>
  <c r="S38" i="73"/>
  <c r="AC38" i="73"/>
  <c r="N39" i="73"/>
  <c r="O39" i="73"/>
  <c r="Q39" i="73"/>
  <c r="R39" i="73"/>
  <c r="S39" i="73"/>
  <c r="AC39" i="73"/>
  <c r="N40" i="73"/>
  <c r="O40" i="73"/>
  <c r="Q40" i="73"/>
  <c r="R40" i="73"/>
  <c r="S40" i="73"/>
  <c r="AC40" i="73"/>
  <c r="N41" i="73"/>
  <c r="O41" i="73"/>
  <c r="Q41" i="73"/>
  <c r="R41" i="73"/>
  <c r="S41" i="73"/>
  <c r="AC41" i="73"/>
  <c r="N42" i="73"/>
  <c r="O42" i="73"/>
  <c r="P42" i="73"/>
  <c r="Q42" i="73"/>
  <c r="S42" i="73"/>
  <c r="AC42" i="73"/>
  <c r="AD42" i="73" s="1"/>
  <c r="AK42" i="73" s="1"/>
  <c r="AC44" i="73"/>
  <c r="Z1" i="72"/>
  <c r="C4" i="72"/>
  <c r="D4" i="72" s="1"/>
  <c r="E4" i="72" s="1"/>
  <c r="F4" i="72" s="1"/>
  <c r="G4" i="72" s="1"/>
  <c r="H4" i="72" s="1"/>
  <c r="I4" i="72" s="1"/>
  <c r="J4" i="72" s="1"/>
  <c r="K4" i="72" s="1"/>
  <c r="L4" i="72" s="1"/>
  <c r="M4" i="72" s="1"/>
  <c r="N4" i="72" s="1"/>
  <c r="O4" i="72" s="1"/>
  <c r="P4" i="72" s="1"/>
  <c r="Q4" i="72" s="1"/>
  <c r="R4" i="72" s="1"/>
  <c r="S4" i="72" s="1"/>
  <c r="T4" i="72" s="1"/>
  <c r="U4" i="72" s="1"/>
  <c r="V4" i="72" s="1"/>
  <c r="W4" i="72" s="1"/>
  <c r="X4" i="72" s="1"/>
  <c r="Y4" i="72" s="1"/>
  <c r="Z4" i="72" s="1"/>
  <c r="AA4" i="72" s="1"/>
  <c r="AB4" i="72" s="1"/>
  <c r="AC4" i="72" s="1"/>
  <c r="AD4" i="72" s="1"/>
  <c r="AE4" i="72" s="1"/>
  <c r="AF4" i="72" s="1"/>
  <c r="AG4" i="72" s="1"/>
  <c r="AH4" i="72" s="1"/>
  <c r="AI4" i="72" s="1"/>
  <c r="AJ4" i="72" s="1"/>
  <c r="AK4" i="72" s="1"/>
  <c r="AL4" i="72" s="1"/>
  <c r="AM4" i="72" s="1"/>
  <c r="AN4" i="72" s="1"/>
  <c r="AO4" i="72" s="1"/>
  <c r="AP4" i="72" s="1"/>
  <c r="AQ4" i="72" s="1"/>
  <c r="L8" i="72"/>
  <c r="O9" i="72"/>
  <c r="P9" i="72"/>
  <c r="Q9" i="72"/>
  <c r="R9" i="72"/>
  <c r="S9" i="72"/>
  <c r="AC9" i="72"/>
  <c r="N10" i="72"/>
  <c r="P10" i="72"/>
  <c r="Q10" i="72"/>
  <c r="R10" i="72"/>
  <c r="S10" i="72"/>
  <c r="AC10" i="72"/>
  <c r="N11" i="72"/>
  <c r="O11" i="72"/>
  <c r="Q11" i="72"/>
  <c r="R11" i="72"/>
  <c r="S11" i="72"/>
  <c r="AC11" i="72"/>
  <c r="N12" i="72"/>
  <c r="O12" i="72"/>
  <c r="Q12" i="72"/>
  <c r="R12" i="72"/>
  <c r="S12" i="72"/>
  <c r="AC12" i="72"/>
  <c r="N13" i="72"/>
  <c r="O13" i="72"/>
  <c r="Q13" i="72"/>
  <c r="R13" i="72"/>
  <c r="S13" i="72"/>
  <c r="U13" i="72"/>
  <c r="AC13" i="72"/>
  <c r="N14" i="72"/>
  <c r="O14" i="72"/>
  <c r="P14" i="72"/>
  <c r="R14" i="72"/>
  <c r="S14" i="72"/>
  <c r="U14" i="72"/>
  <c r="AC14" i="72"/>
  <c r="N15" i="72"/>
  <c r="O15" i="72"/>
  <c r="P15" i="72"/>
  <c r="Q15" i="72"/>
  <c r="S15" i="72"/>
  <c r="AC15" i="72"/>
  <c r="N16" i="72"/>
  <c r="O16" i="72"/>
  <c r="P16" i="72"/>
  <c r="Q16" i="72"/>
  <c r="R16" i="72"/>
  <c r="U16" i="72"/>
  <c r="AC16" i="72"/>
  <c r="AC17" i="72"/>
  <c r="N19" i="72"/>
  <c r="O19" i="72"/>
  <c r="Q19" i="72"/>
  <c r="R19" i="72"/>
  <c r="S19" i="72"/>
  <c r="AC19" i="72"/>
  <c r="N20" i="72"/>
  <c r="O20" i="72"/>
  <c r="P20" i="72"/>
  <c r="R20" i="72"/>
  <c r="S20" i="72"/>
  <c r="AC20" i="72"/>
  <c r="AC21" i="72"/>
  <c r="N22" i="72"/>
  <c r="O22" i="72"/>
  <c r="P22" i="72"/>
  <c r="AC22" i="72"/>
  <c r="Q23" i="72"/>
  <c r="R23" i="72"/>
  <c r="AC23" i="72"/>
  <c r="N26" i="72"/>
  <c r="O26" i="72"/>
  <c r="R26" i="72"/>
  <c r="AC26" i="72"/>
  <c r="N27" i="72"/>
  <c r="R27" i="72"/>
  <c r="AC27" i="72"/>
  <c r="N28" i="72"/>
  <c r="AC28" i="72"/>
  <c r="N29" i="72"/>
  <c r="O29" i="72"/>
  <c r="P29" i="72"/>
  <c r="Q29" i="72"/>
  <c r="R29" i="72"/>
  <c r="S29" i="72"/>
  <c r="N30" i="72"/>
  <c r="O30" i="72"/>
  <c r="Q30" i="72"/>
  <c r="R30" i="72"/>
  <c r="S30" i="72"/>
  <c r="AC30" i="72"/>
  <c r="N31" i="72"/>
  <c r="O31" i="72"/>
  <c r="Q31" i="72"/>
  <c r="R31" i="72"/>
  <c r="S31" i="72"/>
  <c r="AC31" i="72"/>
  <c r="N32" i="72"/>
  <c r="O32" i="72"/>
  <c r="Q32" i="72"/>
  <c r="R32" i="72"/>
  <c r="S32" i="72"/>
  <c r="AC32" i="72"/>
  <c r="N33" i="72"/>
  <c r="O33" i="72"/>
  <c r="Q33" i="72"/>
  <c r="R33" i="72"/>
  <c r="AC33" i="72"/>
  <c r="N34" i="72"/>
  <c r="O34" i="72"/>
  <c r="Q34" i="72"/>
  <c r="R34" i="72"/>
  <c r="S34" i="72"/>
  <c r="AC34" i="72"/>
  <c r="N35" i="72"/>
  <c r="O35" i="72"/>
  <c r="Q35" i="72"/>
  <c r="R35" i="72"/>
  <c r="S35" i="72"/>
  <c r="AC35" i="72"/>
  <c r="N36" i="72"/>
  <c r="O36" i="72"/>
  <c r="Q36" i="72"/>
  <c r="R36" i="72"/>
  <c r="S36" i="72"/>
  <c r="AC36" i="72"/>
  <c r="N37" i="72"/>
  <c r="Q37" i="72"/>
  <c r="S37" i="72"/>
  <c r="AC37" i="72"/>
  <c r="N38" i="72"/>
  <c r="O38" i="72"/>
  <c r="Q38" i="72"/>
  <c r="R38" i="72"/>
  <c r="S38" i="72"/>
  <c r="AC38" i="72"/>
  <c r="N39" i="72"/>
  <c r="O39" i="72"/>
  <c r="Q39" i="72"/>
  <c r="R39" i="72"/>
  <c r="S39" i="72"/>
  <c r="AC39" i="72"/>
  <c r="N40" i="72"/>
  <c r="O40" i="72"/>
  <c r="Q40" i="72"/>
  <c r="R40" i="72"/>
  <c r="S40" i="72"/>
  <c r="AC40" i="72"/>
  <c r="N41" i="72"/>
  <c r="O41" i="72"/>
  <c r="Q41" i="72"/>
  <c r="R41" i="72"/>
  <c r="S41" i="72"/>
  <c r="AC41" i="72"/>
  <c r="N42" i="72"/>
  <c r="O42" i="72"/>
  <c r="P42" i="72"/>
  <c r="Q42" i="72"/>
  <c r="S42" i="72"/>
  <c r="AC42" i="72"/>
  <c r="AI42" i="72" s="1"/>
  <c r="AP42" i="72" s="1"/>
  <c r="AC44" i="72"/>
  <c r="Z1" i="69"/>
  <c r="C4" i="69"/>
  <c r="D4" i="69" s="1"/>
  <c r="E4" i="69" s="1"/>
  <c r="F4" i="69" s="1"/>
  <c r="G4" i="69" s="1"/>
  <c r="H4" i="69" s="1"/>
  <c r="I4" i="69" s="1"/>
  <c r="J4" i="69" s="1"/>
  <c r="K4" i="69" s="1"/>
  <c r="L4" i="69" s="1"/>
  <c r="M4" i="69" s="1"/>
  <c r="N4" i="69" s="1"/>
  <c r="O4" i="69" s="1"/>
  <c r="P4" i="69" s="1"/>
  <c r="Q4" i="69" s="1"/>
  <c r="R4" i="69" s="1"/>
  <c r="S4" i="69" s="1"/>
  <c r="T4" i="69" s="1"/>
  <c r="U4" i="69" s="1"/>
  <c r="V4" i="69" s="1"/>
  <c r="W4" i="69" s="1"/>
  <c r="X4" i="69" s="1"/>
  <c r="Y4" i="69" s="1"/>
  <c r="Z4" i="69" s="1"/>
  <c r="AA4" i="69" s="1"/>
  <c r="AB4" i="69" s="1"/>
  <c r="AC4" i="69" s="1"/>
  <c r="AD4" i="69" s="1"/>
  <c r="AE4" i="69" s="1"/>
  <c r="AF4" i="69" s="1"/>
  <c r="AG4" i="69" s="1"/>
  <c r="AH4" i="69" s="1"/>
  <c r="AI4" i="69" s="1"/>
  <c r="AJ4" i="69" s="1"/>
  <c r="AK4" i="69" s="1"/>
  <c r="AL4" i="69" s="1"/>
  <c r="AM4" i="69" s="1"/>
  <c r="AN4" i="69" s="1"/>
  <c r="AO4" i="69" s="1"/>
  <c r="AP4" i="69" s="1"/>
  <c r="AQ4" i="69" s="1"/>
  <c r="L8" i="69"/>
  <c r="O9" i="69"/>
  <c r="P9" i="69"/>
  <c r="Q9" i="69"/>
  <c r="R9" i="69"/>
  <c r="S9" i="69"/>
  <c r="AC9" i="69"/>
  <c r="N10" i="69"/>
  <c r="P10" i="69"/>
  <c r="Q10" i="69"/>
  <c r="R10" i="69"/>
  <c r="S10" i="69"/>
  <c r="AC10" i="69"/>
  <c r="N11" i="69"/>
  <c r="O11" i="69"/>
  <c r="Q11" i="69"/>
  <c r="R11" i="69"/>
  <c r="S11" i="69"/>
  <c r="AC11" i="69"/>
  <c r="N12" i="69"/>
  <c r="O12" i="69"/>
  <c r="Q12" i="69"/>
  <c r="R12" i="69"/>
  <c r="S12" i="69"/>
  <c r="AC12" i="69"/>
  <c r="N13" i="69"/>
  <c r="O13" i="69"/>
  <c r="Q13" i="69"/>
  <c r="R13" i="69"/>
  <c r="S13" i="69"/>
  <c r="U13" i="69"/>
  <c r="AC13" i="69"/>
  <c r="N14" i="69"/>
  <c r="O14" i="69"/>
  <c r="P14" i="69"/>
  <c r="R14" i="69"/>
  <c r="S14" i="69"/>
  <c r="U14" i="69"/>
  <c r="Z14" i="69" s="1"/>
  <c r="AC14" i="69"/>
  <c r="N15" i="69"/>
  <c r="O15" i="69"/>
  <c r="P15" i="69"/>
  <c r="Q15" i="69"/>
  <c r="S15" i="69"/>
  <c r="AC15" i="69"/>
  <c r="N16" i="69"/>
  <c r="O16" i="69"/>
  <c r="P16" i="69"/>
  <c r="Q16" i="69"/>
  <c r="R16" i="69"/>
  <c r="U16" i="69"/>
  <c r="AC16" i="69"/>
  <c r="AC17" i="69"/>
  <c r="N19" i="69"/>
  <c r="O19" i="69"/>
  <c r="Q19" i="69"/>
  <c r="R19" i="69"/>
  <c r="S19" i="69"/>
  <c r="AC19" i="69"/>
  <c r="N20" i="69"/>
  <c r="O20" i="69"/>
  <c r="P20" i="69"/>
  <c r="R20" i="69"/>
  <c r="S20" i="69"/>
  <c r="AC20" i="69"/>
  <c r="AC21" i="69"/>
  <c r="N22" i="69"/>
  <c r="O22" i="69"/>
  <c r="P22" i="69"/>
  <c r="AC22" i="69"/>
  <c r="Q23" i="69"/>
  <c r="R23" i="69"/>
  <c r="AC23" i="69"/>
  <c r="N26" i="69"/>
  <c r="O26" i="69"/>
  <c r="R26" i="69"/>
  <c r="AC26" i="69"/>
  <c r="N27" i="69"/>
  <c r="R27" i="69"/>
  <c r="AC27" i="69"/>
  <c r="N28" i="69"/>
  <c r="AC28" i="69"/>
  <c r="N29" i="69"/>
  <c r="O29" i="69"/>
  <c r="P29" i="69"/>
  <c r="Q29" i="69"/>
  <c r="R29" i="69"/>
  <c r="S29" i="69"/>
  <c r="N30" i="69"/>
  <c r="O30" i="69"/>
  <c r="Q30" i="69"/>
  <c r="R30" i="69"/>
  <c r="S30" i="69"/>
  <c r="AC30" i="69"/>
  <c r="N31" i="69"/>
  <c r="O31" i="69"/>
  <c r="Q31" i="69"/>
  <c r="R31" i="69"/>
  <c r="S31" i="69"/>
  <c r="AC31" i="69"/>
  <c r="N32" i="69"/>
  <c r="O32" i="69"/>
  <c r="Q32" i="69"/>
  <c r="R32" i="69"/>
  <c r="S32" i="69"/>
  <c r="AC32" i="69"/>
  <c r="N33" i="69"/>
  <c r="O33" i="69"/>
  <c r="Q33" i="69"/>
  <c r="R33" i="69"/>
  <c r="AC33" i="69"/>
  <c r="N34" i="69"/>
  <c r="O34" i="69"/>
  <c r="Q34" i="69"/>
  <c r="R34" i="69"/>
  <c r="S34" i="69"/>
  <c r="AC34" i="69"/>
  <c r="N35" i="69"/>
  <c r="O35" i="69"/>
  <c r="Q35" i="69"/>
  <c r="R35" i="69"/>
  <c r="S35" i="69"/>
  <c r="AC35" i="69"/>
  <c r="N36" i="69"/>
  <c r="O36" i="69"/>
  <c r="Q36" i="69"/>
  <c r="R36" i="69"/>
  <c r="S36" i="69"/>
  <c r="AC36" i="69"/>
  <c r="N37" i="69"/>
  <c r="Q37" i="69"/>
  <c r="S37" i="69"/>
  <c r="AC37" i="69"/>
  <c r="N38" i="69"/>
  <c r="O38" i="69"/>
  <c r="Q38" i="69"/>
  <c r="R38" i="69"/>
  <c r="S38" i="69"/>
  <c r="AC38" i="69"/>
  <c r="N39" i="69"/>
  <c r="O39" i="69"/>
  <c r="Q39" i="69"/>
  <c r="R39" i="69"/>
  <c r="S39" i="69"/>
  <c r="AC39" i="69"/>
  <c r="N40" i="69"/>
  <c r="O40" i="69"/>
  <c r="Q40" i="69"/>
  <c r="R40" i="69"/>
  <c r="S40" i="69"/>
  <c r="AC40" i="69"/>
  <c r="N41" i="69"/>
  <c r="O41" i="69"/>
  <c r="Q41" i="69"/>
  <c r="R41" i="69"/>
  <c r="S41" i="69"/>
  <c r="AC41" i="69"/>
  <c r="N42" i="69"/>
  <c r="O42" i="69"/>
  <c r="P42" i="69"/>
  <c r="Q42" i="69"/>
  <c r="S42" i="69"/>
  <c r="AC42" i="69"/>
  <c r="AC44" i="69"/>
  <c r="Z1" i="64"/>
  <c r="C4" i="64"/>
  <c r="D4" i="64" s="1"/>
  <c r="E4" i="64" s="1"/>
  <c r="F4" i="64" s="1"/>
  <c r="G4" i="64" s="1"/>
  <c r="H4" i="64" s="1"/>
  <c r="I4" i="64" s="1"/>
  <c r="J4" i="64" s="1"/>
  <c r="K4" i="64" s="1"/>
  <c r="L4" i="64" s="1"/>
  <c r="M4" i="64" s="1"/>
  <c r="N4" i="64" s="1"/>
  <c r="O4" i="64" s="1"/>
  <c r="P4" i="64" s="1"/>
  <c r="Q4" i="64" s="1"/>
  <c r="R4" i="64" s="1"/>
  <c r="S4" i="64" s="1"/>
  <c r="T4" i="64" s="1"/>
  <c r="U4" i="64" s="1"/>
  <c r="V4" i="64" s="1"/>
  <c r="W4" i="64" s="1"/>
  <c r="X4" i="64" s="1"/>
  <c r="Y4" i="64" s="1"/>
  <c r="Z4" i="64" s="1"/>
  <c r="AA4" i="64" s="1"/>
  <c r="AB4" i="64" s="1"/>
  <c r="AC4" i="64" s="1"/>
  <c r="AD4" i="64" s="1"/>
  <c r="AE4" i="64" s="1"/>
  <c r="AF4" i="64" s="1"/>
  <c r="AG4" i="64" s="1"/>
  <c r="AH4" i="64" s="1"/>
  <c r="AI4" i="64" s="1"/>
  <c r="AJ4" i="64" s="1"/>
  <c r="AK4" i="64" s="1"/>
  <c r="AL4" i="64" s="1"/>
  <c r="AM4" i="64" s="1"/>
  <c r="AN4" i="64" s="1"/>
  <c r="AO4" i="64" s="1"/>
  <c r="AP4" i="64" s="1"/>
  <c r="AQ4" i="64" s="1"/>
  <c r="L8" i="64"/>
  <c r="O9" i="64"/>
  <c r="P9" i="64"/>
  <c r="Q9" i="64"/>
  <c r="R9" i="64"/>
  <c r="S9" i="64"/>
  <c r="AC9" i="64"/>
  <c r="N10" i="64"/>
  <c r="P10" i="64"/>
  <c r="Q10" i="64"/>
  <c r="R10" i="64"/>
  <c r="S10" i="64"/>
  <c r="AC10" i="64"/>
  <c r="N11" i="64"/>
  <c r="O11" i="64"/>
  <c r="Q11" i="64"/>
  <c r="R11" i="64"/>
  <c r="S11" i="64"/>
  <c r="AC11" i="64"/>
  <c r="N12" i="64"/>
  <c r="O12" i="64"/>
  <c r="Q12" i="64"/>
  <c r="R12" i="64"/>
  <c r="S12" i="64"/>
  <c r="AC12" i="64"/>
  <c r="N13" i="64"/>
  <c r="O13" i="64"/>
  <c r="Q13" i="64"/>
  <c r="R13" i="64"/>
  <c r="S13" i="64"/>
  <c r="U13" i="64"/>
  <c r="AC13" i="64"/>
  <c r="N14" i="64"/>
  <c r="O14" i="64"/>
  <c r="P14" i="64"/>
  <c r="R14" i="64"/>
  <c r="S14" i="64"/>
  <c r="U14" i="64"/>
  <c r="W14" i="64" s="1"/>
  <c r="AC14" i="64"/>
  <c r="N15" i="64"/>
  <c r="O15" i="64"/>
  <c r="P15" i="64"/>
  <c r="Q15" i="64"/>
  <c r="S15" i="64"/>
  <c r="AC15" i="64"/>
  <c r="N16" i="64"/>
  <c r="O16" i="64"/>
  <c r="P16" i="64"/>
  <c r="Q16" i="64"/>
  <c r="R16" i="64"/>
  <c r="U16" i="64"/>
  <c r="AC16" i="64"/>
  <c r="AC17" i="64"/>
  <c r="N19" i="64"/>
  <c r="O19" i="64"/>
  <c r="Q19" i="64"/>
  <c r="R19" i="64"/>
  <c r="S19" i="64"/>
  <c r="AC19" i="64"/>
  <c r="N20" i="64"/>
  <c r="O20" i="64"/>
  <c r="P20" i="64"/>
  <c r="R20" i="64"/>
  <c r="S20" i="64"/>
  <c r="AC20" i="64"/>
  <c r="AC21" i="64"/>
  <c r="N22" i="64"/>
  <c r="O22" i="64"/>
  <c r="P22" i="64"/>
  <c r="AC22" i="64"/>
  <c r="Q23" i="64"/>
  <c r="R23" i="64"/>
  <c r="AC23" i="64"/>
  <c r="N26" i="64"/>
  <c r="O26" i="64"/>
  <c r="R26" i="64"/>
  <c r="AC26" i="64"/>
  <c r="N27" i="64"/>
  <c r="R27" i="64"/>
  <c r="AC27" i="64"/>
  <c r="N28" i="64"/>
  <c r="AC28" i="64"/>
  <c r="N29" i="64"/>
  <c r="O29" i="64"/>
  <c r="P29" i="64"/>
  <c r="Q29" i="64"/>
  <c r="R29" i="64"/>
  <c r="S29" i="64"/>
  <c r="N30" i="64"/>
  <c r="O30" i="64"/>
  <c r="Q30" i="64"/>
  <c r="R30" i="64"/>
  <c r="S30" i="64"/>
  <c r="AC30" i="64"/>
  <c r="N31" i="64"/>
  <c r="O31" i="64"/>
  <c r="Q31" i="64"/>
  <c r="R31" i="64"/>
  <c r="S31" i="64"/>
  <c r="AC31" i="64"/>
  <c r="N32" i="64"/>
  <c r="O32" i="64"/>
  <c r="Q32" i="64"/>
  <c r="R32" i="64"/>
  <c r="S32" i="64"/>
  <c r="AC32" i="64"/>
  <c r="N33" i="64"/>
  <c r="O33" i="64"/>
  <c r="Q33" i="64"/>
  <c r="R33" i="64"/>
  <c r="AC33" i="64"/>
  <c r="N34" i="64"/>
  <c r="O34" i="64"/>
  <c r="Q34" i="64"/>
  <c r="R34" i="64"/>
  <c r="S34" i="64"/>
  <c r="AC34" i="64"/>
  <c r="N35" i="64"/>
  <c r="O35" i="64"/>
  <c r="Q35" i="64"/>
  <c r="R35" i="64"/>
  <c r="S35" i="64"/>
  <c r="AC35" i="64"/>
  <c r="N36" i="64"/>
  <c r="O36" i="64"/>
  <c r="Q36" i="64"/>
  <c r="R36" i="64"/>
  <c r="S36" i="64"/>
  <c r="AC36" i="64"/>
  <c r="N37" i="64"/>
  <c r="Q37" i="64"/>
  <c r="S37" i="64"/>
  <c r="AC37" i="64"/>
  <c r="N38" i="64"/>
  <c r="O38" i="64"/>
  <c r="Q38" i="64"/>
  <c r="R38" i="64"/>
  <c r="S38" i="64"/>
  <c r="AC38" i="64"/>
  <c r="N39" i="64"/>
  <c r="O39" i="64"/>
  <c r="Q39" i="64"/>
  <c r="R39" i="64"/>
  <c r="S39" i="64"/>
  <c r="AC39" i="64"/>
  <c r="N40" i="64"/>
  <c r="O40" i="64"/>
  <c r="Q40" i="64"/>
  <c r="R40" i="64"/>
  <c r="S40" i="64"/>
  <c r="AC40" i="64"/>
  <c r="N41" i="64"/>
  <c r="O41" i="64"/>
  <c r="Q41" i="64"/>
  <c r="R41" i="64"/>
  <c r="S41" i="64"/>
  <c r="AC41" i="64"/>
  <c r="N42" i="64"/>
  <c r="O42" i="64"/>
  <c r="P42" i="64"/>
  <c r="Q42" i="64"/>
  <c r="S42" i="64"/>
  <c r="AC42" i="64"/>
  <c r="AC44" i="64"/>
  <c r="Z1" i="58"/>
  <c r="C4" i="58"/>
  <c r="D4" i="58" s="1"/>
  <c r="E4" i="58" s="1"/>
  <c r="F4" i="58" s="1"/>
  <c r="G4" i="58" s="1"/>
  <c r="H4" i="58" s="1"/>
  <c r="I4" i="58" s="1"/>
  <c r="J4" i="58" s="1"/>
  <c r="K4" i="58" s="1"/>
  <c r="L4" i="58" s="1"/>
  <c r="M4" i="58" s="1"/>
  <c r="N4" i="58" s="1"/>
  <c r="O4" i="58" s="1"/>
  <c r="P4" i="58" s="1"/>
  <c r="Q4" i="58" s="1"/>
  <c r="R4" i="58" s="1"/>
  <c r="S4" i="58" s="1"/>
  <c r="T4" i="58" s="1"/>
  <c r="U4" i="58" s="1"/>
  <c r="V4" i="58" s="1"/>
  <c r="W4" i="58" s="1"/>
  <c r="X4" i="58" s="1"/>
  <c r="Y4" i="58" s="1"/>
  <c r="Z4" i="58" s="1"/>
  <c r="AA4" i="58" s="1"/>
  <c r="AB4" i="58" s="1"/>
  <c r="AC4" i="58" s="1"/>
  <c r="AD4" i="58" s="1"/>
  <c r="AE4" i="58" s="1"/>
  <c r="AF4" i="58" s="1"/>
  <c r="AG4" i="58" s="1"/>
  <c r="AH4" i="58" s="1"/>
  <c r="AI4" i="58" s="1"/>
  <c r="AJ4" i="58" s="1"/>
  <c r="AK4" i="58" s="1"/>
  <c r="AL4" i="58" s="1"/>
  <c r="AM4" i="58" s="1"/>
  <c r="AN4" i="58" s="1"/>
  <c r="AO4" i="58" s="1"/>
  <c r="AP4" i="58" s="1"/>
  <c r="AQ4" i="58" s="1"/>
  <c r="L8" i="58"/>
  <c r="O9" i="58"/>
  <c r="P9" i="58"/>
  <c r="Q9" i="58"/>
  <c r="R9" i="58"/>
  <c r="S9" i="58"/>
  <c r="AC9" i="58"/>
  <c r="N10" i="58"/>
  <c r="P10" i="58"/>
  <c r="Q10" i="58"/>
  <c r="R10" i="58"/>
  <c r="S10" i="58"/>
  <c r="AC10" i="58"/>
  <c r="N11" i="58"/>
  <c r="O11" i="58"/>
  <c r="Q11" i="58"/>
  <c r="R11" i="58"/>
  <c r="S11" i="58"/>
  <c r="AC11" i="58"/>
  <c r="N12" i="58"/>
  <c r="O12" i="58"/>
  <c r="Q12" i="58"/>
  <c r="R12" i="58"/>
  <c r="S12" i="58"/>
  <c r="AC12" i="58"/>
  <c r="N13" i="58"/>
  <c r="O13" i="58"/>
  <c r="Q13" i="58"/>
  <c r="R13" i="58"/>
  <c r="S13" i="58"/>
  <c r="U13" i="58"/>
  <c r="AC13" i="58"/>
  <c r="N14" i="58"/>
  <c r="O14" i="58"/>
  <c r="P14" i="58"/>
  <c r="R14" i="58"/>
  <c r="S14" i="58"/>
  <c r="U14" i="58"/>
  <c r="AC14" i="58"/>
  <c r="N15" i="58"/>
  <c r="O15" i="58"/>
  <c r="P15" i="58"/>
  <c r="Q15" i="58"/>
  <c r="S15" i="58"/>
  <c r="AC15" i="58"/>
  <c r="N16" i="58"/>
  <c r="O16" i="58"/>
  <c r="P16" i="58"/>
  <c r="Q16" i="58"/>
  <c r="R16" i="58"/>
  <c r="U16" i="58"/>
  <c r="AC16" i="58"/>
  <c r="AC17" i="58"/>
  <c r="N19" i="58"/>
  <c r="O19" i="58"/>
  <c r="Q19" i="58"/>
  <c r="R19" i="58"/>
  <c r="S19" i="58"/>
  <c r="AC19" i="58"/>
  <c r="N20" i="58"/>
  <c r="O20" i="58"/>
  <c r="P20" i="58"/>
  <c r="R20" i="58"/>
  <c r="S20" i="58"/>
  <c r="AC20" i="58"/>
  <c r="AC21" i="58"/>
  <c r="N22" i="58"/>
  <c r="O22" i="58"/>
  <c r="P22" i="58"/>
  <c r="AC22" i="58"/>
  <c r="Q23" i="58"/>
  <c r="R23" i="58"/>
  <c r="AC23" i="58"/>
  <c r="N26" i="58"/>
  <c r="O26" i="58"/>
  <c r="R26" i="58"/>
  <c r="AC26" i="58"/>
  <c r="N27" i="58"/>
  <c r="R27" i="58"/>
  <c r="AC27" i="58"/>
  <c r="N28" i="58"/>
  <c r="AC28" i="58"/>
  <c r="N29" i="58"/>
  <c r="T29" i="58" s="1"/>
  <c r="O29" i="58"/>
  <c r="P29" i="58"/>
  <c r="Q29" i="58"/>
  <c r="R29" i="58"/>
  <c r="S29" i="58"/>
  <c r="N30" i="58"/>
  <c r="O30" i="58"/>
  <c r="Q30" i="58"/>
  <c r="R30" i="58"/>
  <c r="S30" i="58"/>
  <c r="AC30" i="58"/>
  <c r="N31" i="58"/>
  <c r="O31" i="58"/>
  <c r="Q31" i="58"/>
  <c r="R31" i="58"/>
  <c r="S31" i="58"/>
  <c r="AC31" i="58"/>
  <c r="N32" i="58"/>
  <c r="O32" i="58"/>
  <c r="Q32" i="58"/>
  <c r="R32" i="58"/>
  <c r="S32" i="58"/>
  <c r="AC32" i="58"/>
  <c r="N33" i="58"/>
  <c r="O33" i="58"/>
  <c r="Q33" i="58"/>
  <c r="R33" i="58"/>
  <c r="AC33" i="58"/>
  <c r="N34" i="58"/>
  <c r="O34" i="58"/>
  <c r="Q34" i="58"/>
  <c r="R34" i="58"/>
  <c r="S34" i="58"/>
  <c r="AC34" i="58"/>
  <c r="N35" i="58"/>
  <c r="O35" i="58"/>
  <c r="Q35" i="58"/>
  <c r="R35" i="58"/>
  <c r="S35" i="58"/>
  <c r="AC35" i="58"/>
  <c r="N36" i="58"/>
  <c r="O36" i="58"/>
  <c r="Q36" i="58"/>
  <c r="R36" i="58"/>
  <c r="S36" i="58"/>
  <c r="AC36" i="58"/>
  <c r="N37" i="58"/>
  <c r="Q37" i="58"/>
  <c r="S37" i="58"/>
  <c r="AC37" i="58"/>
  <c r="N38" i="58"/>
  <c r="O38" i="58"/>
  <c r="Q38" i="58"/>
  <c r="R38" i="58"/>
  <c r="S38" i="58"/>
  <c r="AC38" i="58"/>
  <c r="N39" i="58"/>
  <c r="O39" i="58"/>
  <c r="Q39" i="58"/>
  <c r="R39" i="58"/>
  <c r="S39" i="58"/>
  <c r="AC39" i="58"/>
  <c r="N40" i="58"/>
  <c r="O40" i="58"/>
  <c r="Q40" i="58"/>
  <c r="R40" i="58"/>
  <c r="S40" i="58"/>
  <c r="AC40" i="58"/>
  <c r="N41" i="58"/>
  <c r="O41" i="58"/>
  <c r="Q41" i="58"/>
  <c r="R41" i="58"/>
  <c r="S41" i="58"/>
  <c r="AC41" i="58"/>
  <c r="N42" i="58"/>
  <c r="O42" i="58"/>
  <c r="P42" i="58"/>
  <c r="Q42" i="58"/>
  <c r="S42" i="58"/>
  <c r="AC42" i="58"/>
  <c r="AC44" i="58"/>
  <c r="Z1" i="56"/>
  <c r="C4" i="56"/>
  <c r="D4" i="56"/>
  <c r="E4" i="56" s="1"/>
  <c r="F4" i="56" s="1"/>
  <c r="G4" i="56" s="1"/>
  <c r="H4" i="56" s="1"/>
  <c r="I4" i="56" s="1"/>
  <c r="J4" i="56" s="1"/>
  <c r="K4" i="56" s="1"/>
  <c r="L4" i="56" s="1"/>
  <c r="M4" i="56" s="1"/>
  <c r="N4" i="56" s="1"/>
  <c r="O4" i="56" s="1"/>
  <c r="P4" i="56" s="1"/>
  <c r="Q4" i="56" s="1"/>
  <c r="R4" i="56" s="1"/>
  <c r="S4" i="56" s="1"/>
  <c r="T4" i="56" s="1"/>
  <c r="U4" i="56" s="1"/>
  <c r="V4" i="56" s="1"/>
  <c r="W4" i="56" s="1"/>
  <c r="X4" i="56" s="1"/>
  <c r="Y4" i="56" s="1"/>
  <c r="Z4" i="56" s="1"/>
  <c r="AA4" i="56" s="1"/>
  <c r="AB4" i="56" s="1"/>
  <c r="AC4" i="56" s="1"/>
  <c r="AD4" i="56" s="1"/>
  <c r="AE4" i="56" s="1"/>
  <c r="AF4" i="56" s="1"/>
  <c r="AG4" i="56" s="1"/>
  <c r="AH4" i="56" s="1"/>
  <c r="AI4" i="56" s="1"/>
  <c r="AJ4" i="56" s="1"/>
  <c r="AK4" i="56" s="1"/>
  <c r="AL4" i="56" s="1"/>
  <c r="AM4" i="56" s="1"/>
  <c r="AN4" i="56" s="1"/>
  <c r="AO4" i="56" s="1"/>
  <c r="AP4" i="56" s="1"/>
  <c r="AQ4" i="56" s="1"/>
  <c r="L8" i="56"/>
  <c r="O9" i="56"/>
  <c r="P9" i="56"/>
  <c r="Q9" i="56"/>
  <c r="R9" i="56"/>
  <c r="S9" i="56"/>
  <c r="AC9" i="56"/>
  <c r="N10" i="56"/>
  <c r="P10" i="56"/>
  <c r="Q10" i="56"/>
  <c r="R10" i="56"/>
  <c r="S10" i="56"/>
  <c r="AC10" i="56"/>
  <c r="N11" i="56"/>
  <c r="O11" i="56"/>
  <c r="Q11" i="56"/>
  <c r="R11" i="56"/>
  <c r="S11" i="56"/>
  <c r="AC11" i="56"/>
  <c r="N12" i="56"/>
  <c r="O12" i="56"/>
  <c r="Q12" i="56"/>
  <c r="R12" i="56"/>
  <c r="S12" i="56"/>
  <c r="AC12" i="56"/>
  <c r="N13" i="56"/>
  <c r="O13" i="56"/>
  <c r="Q13" i="56"/>
  <c r="R13" i="56"/>
  <c r="S13" i="56"/>
  <c r="U13" i="56"/>
  <c r="AC13" i="56"/>
  <c r="N14" i="56"/>
  <c r="O14" i="56"/>
  <c r="P14" i="56"/>
  <c r="R14" i="56"/>
  <c r="S14" i="56"/>
  <c r="U14" i="56"/>
  <c r="AC14" i="56"/>
  <c r="N15" i="56"/>
  <c r="O15" i="56"/>
  <c r="P15" i="56"/>
  <c r="Q15" i="56"/>
  <c r="S15" i="56"/>
  <c r="AC15" i="56"/>
  <c r="N16" i="56"/>
  <c r="O16" i="56"/>
  <c r="P16" i="56"/>
  <c r="Q16" i="56"/>
  <c r="R16" i="56"/>
  <c r="U16" i="56"/>
  <c r="X16" i="56" s="1"/>
  <c r="AC16" i="56"/>
  <c r="AC17" i="56"/>
  <c r="N19" i="56"/>
  <c r="O19" i="56"/>
  <c r="Q19" i="56"/>
  <c r="R19" i="56"/>
  <c r="S19" i="56"/>
  <c r="AC19" i="56"/>
  <c r="N20" i="56"/>
  <c r="O20" i="56"/>
  <c r="P20" i="56"/>
  <c r="R20" i="56"/>
  <c r="S20" i="56"/>
  <c r="AC20" i="56"/>
  <c r="AC21" i="56"/>
  <c r="N22" i="56"/>
  <c r="O22" i="56"/>
  <c r="P22" i="56"/>
  <c r="AC22" i="56"/>
  <c r="Q23" i="56"/>
  <c r="R23" i="56"/>
  <c r="AC23" i="56"/>
  <c r="N26" i="56"/>
  <c r="O26" i="56"/>
  <c r="R26" i="56"/>
  <c r="AC26" i="56"/>
  <c r="N27" i="56"/>
  <c r="R27" i="56"/>
  <c r="AC27" i="56"/>
  <c r="N28" i="56"/>
  <c r="AC28" i="56"/>
  <c r="N29" i="56"/>
  <c r="O29" i="56"/>
  <c r="P29" i="56"/>
  <c r="Q29" i="56"/>
  <c r="R29" i="56"/>
  <c r="S29" i="56"/>
  <c r="N30" i="56"/>
  <c r="O30" i="56"/>
  <c r="Q30" i="56"/>
  <c r="R30" i="56"/>
  <c r="S30" i="56"/>
  <c r="AC30" i="56"/>
  <c r="N31" i="56"/>
  <c r="O31" i="56"/>
  <c r="Q31" i="56"/>
  <c r="R31" i="56"/>
  <c r="S31" i="56"/>
  <c r="AC31" i="56"/>
  <c r="N32" i="56"/>
  <c r="O32" i="56"/>
  <c r="Q32" i="56"/>
  <c r="R32" i="56"/>
  <c r="S32" i="56"/>
  <c r="AC32" i="56"/>
  <c r="N33" i="56"/>
  <c r="O33" i="56"/>
  <c r="Q33" i="56"/>
  <c r="R33" i="56"/>
  <c r="AC33" i="56"/>
  <c r="N34" i="56"/>
  <c r="O34" i="56"/>
  <c r="Q34" i="56"/>
  <c r="R34" i="56"/>
  <c r="S34" i="56"/>
  <c r="AC34" i="56"/>
  <c r="N35" i="56"/>
  <c r="O35" i="56"/>
  <c r="Q35" i="56"/>
  <c r="R35" i="56"/>
  <c r="S35" i="56"/>
  <c r="AC35" i="56"/>
  <c r="N36" i="56"/>
  <c r="O36" i="56"/>
  <c r="Q36" i="56"/>
  <c r="R36" i="56"/>
  <c r="S36" i="56"/>
  <c r="AC36" i="56"/>
  <c r="N37" i="56"/>
  <c r="Q37" i="56"/>
  <c r="S37" i="56"/>
  <c r="AC37" i="56"/>
  <c r="N38" i="56"/>
  <c r="O38" i="56"/>
  <c r="Q38" i="56"/>
  <c r="R38" i="56"/>
  <c r="S38" i="56"/>
  <c r="AC38" i="56"/>
  <c r="N39" i="56"/>
  <c r="O39" i="56"/>
  <c r="Q39" i="56"/>
  <c r="R39" i="56"/>
  <c r="S39" i="56"/>
  <c r="AC39" i="56"/>
  <c r="N40" i="56"/>
  <c r="O40" i="56"/>
  <c r="Q40" i="56"/>
  <c r="R40" i="56"/>
  <c r="S40" i="56"/>
  <c r="AC40" i="56"/>
  <c r="N41" i="56"/>
  <c r="O41" i="56"/>
  <c r="Q41" i="56"/>
  <c r="R41" i="56"/>
  <c r="S41" i="56"/>
  <c r="AC41" i="56"/>
  <c r="N42" i="56"/>
  <c r="O42" i="56"/>
  <c r="P42" i="56"/>
  <c r="Q42" i="56"/>
  <c r="S42" i="56"/>
  <c r="AC42" i="56"/>
  <c r="AC44" i="56"/>
  <c r="Z1" i="55"/>
  <c r="C4" i="55"/>
  <c r="D4" i="55" s="1"/>
  <c r="E4" i="55" s="1"/>
  <c r="F4" i="55" s="1"/>
  <c r="G4" i="55" s="1"/>
  <c r="H4" i="55" s="1"/>
  <c r="I4" i="55" s="1"/>
  <c r="J4" i="55" s="1"/>
  <c r="K4" i="55" s="1"/>
  <c r="L4" i="55" s="1"/>
  <c r="M4" i="55" s="1"/>
  <c r="N4" i="55" s="1"/>
  <c r="O4" i="55" s="1"/>
  <c r="P4" i="55" s="1"/>
  <c r="Q4" i="55" s="1"/>
  <c r="R4" i="55" s="1"/>
  <c r="S4" i="55" s="1"/>
  <c r="T4" i="55" s="1"/>
  <c r="U4" i="55" s="1"/>
  <c r="V4" i="55" s="1"/>
  <c r="W4" i="55" s="1"/>
  <c r="X4" i="55" s="1"/>
  <c r="Y4" i="55" s="1"/>
  <c r="Z4" i="55" s="1"/>
  <c r="AA4" i="55" s="1"/>
  <c r="AB4" i="55" s="1"/>
  <c r="AC4" i="55" s="1"/>
  <c r="AD4" i="55" s="1"/>
  <c r="AE4" i="55" s="1"/>
  <c r="AF4" i="55" s="1"/>
  <c r="AG4" i="55" s="1"/>
  <c r="AH4" i="55" s="1"/>
  <c r="AI4" i="55" s="1"/>
  <c r="AJ4" i="55" s="1"/>
  <c r="AK4" i="55" s="1"/>
  <c r="AL4" i="55" s="1"/>
  <c r="AM4" i="55" s="1"/>
  <c r="AN4" i="55" s="1"/>
  <c r="AO4" i="55" s="1"/>
  <c r="AP4" i="55" s="1"/>
  <c r="AQ4" i="55" s="1"/>
  <c r="L8" i="55"/>
  <c r="O9" i="55"/>
  <c r="P9" i="55"/>
  <c r="Q9" i="55"/>
  <c r="R9" i="55"/>
  <c r="S9" i="55"/>
  <c r="AC9" i="55"/>
  <c r="N10" i="55"/>
  <c r="P10" i="55"/>
  <c r="Q10" i="55"/>
  <c r="R10" i="55"/>
  <c r="S10" i="55"/>
  <c r="AC10" i="55"/>
  <c r="N11" i="55"/>
  <c r="O11" i="55"/>
  <c r="Q11" i="55"/>
  <c r="R11" i="55"/>
  <c r="S11" i="55"/>
  <c r="AC11" i="55"/>
  <c r="N12" i="55"/>
  <c r="O12" i="55"/>
  <c r="Q12" i="55"/>
  <c r="R12" i="55"/>
  <c r="S12" i="55"/>
  <c r="AC12" i="55"/>
  <c r="N13" i="55"/>
  <c r="O13" i="55"/>
  <c r="Q13" i="55"/>
  <c r="R13" i="55"/>
  <c r="S13" i="55"/>
  <c r="U13" i="55"/>
  <c r="AC13" i="55"/>
  <c r="N14" i="55"/>
  <c r="O14" i="55"/>
  <c r="P14" i="55"/>
  <c r="R14" i="55"/>
  <c r="S14" i="55"/>
  <c r="U14" i="55"/>
  <c r="AC14" i="55"/>
  <c r="N15" i="55"/>
  <c r="O15" i="55"/>
  <c r="P15" i="55"/>
  <c r="Q15" i="55"/>
  <c r="S15" i="55"/>
  <c r="AC15" i="55"/>
  <c r="N16" i="55"/>
  <c r="O16" i="55"/>
  <c r="P16" i="55"/>
  <c r="Q16" i="55"/>
  <c r="R16" i="55"/>
  <c r="U16" i="55"/>
  <c r="AC16" i="55"/>
  <c r="AC17" i="55"/>
  <c r="N19" i="55"/>
  <c r="O19" i="55"/>
  <c r="Q19" i="55"/>
  <c r="R19" i="55"/>
  <c r="S19" i="55"/>
  <c r="AC19" i="55"/>
  <c r="N20" i="55"/>
  <c r="O20" i="55"/>
  <c r="P20" i="55"/>
  <c r="R20" i="55"/>
  <c r="S20" i="55"/>
  <c r="AC20" i="55"/>
  <c r="AC21" i="55"/>
  <c r="N22" i="55"/>
  <c r="O22" i="55"/>
  <c r="P22" i="55"/>
  <c r="AC22" i="55"/>
  <c r="Q23" i="55"/>
  <c r="R23" i="55"/>
  <c r="AC23" i="55"/>
  <c r="N26" i="55"/>
  <c r="O26" i="55"/>
  <c r="R26" i="55"/>
  <c r="AC26" i="55"/>
  <c r="N27" i="55"/>
  <c r="R27" i="55"/>
  <c r="AC27" i="55"/>
  <c r="N28" i="55"/>
  <c r="AC28" i="55"/>
  <c r="N29" i="55"/>
  <c r="O29" i="55"/>
  <c r="P29" i="55"/>
  <c r="Q29" i="55"/>
  <c r="R29" i="55"/>
  <c r="S29" i="55"/>
  <c r="N30" i="55"/>
  <c r="O30" i="55"/>
  <c r="Q30" i="55"/>
  <c r="R30" i="55"/>
  <c r="S30" i="55"/>
  <c r="AC30" i="55"/>
  <c r="N31" i="55"/>
  <c r="O31" i="55"/>
  <c r="Q31" i="55"/>
  <c r="R31" i="55"/>
  <c r="S31" i="55"/>
  <c r="AC31" i="55"/>
  <c r="N32" i="55"/>
  <c r="O32" i="55"/>
  <c r="Q32" i="55"/>
  <c r="R32" i="55"/>
  <c r="S32" i="55"/>
  <c r="AC32" i="55"/>
  <c r="N33" i="55"/>
  <c r="O33" i="55"/>
  <c r="Q33" i="55"/>
  <c r="R33" i="55"/>
  <c r="AC33" i="55"/>
  <c r="N34" i="55"/>
  <c r="O34" i="55"/>
  <c r="Q34" i="55"/>
  <c r="R34" i="55"/>
  <c r="S34" i="55"/>
  <c r="AC34" i="55"/>
  <c r="N35" i="55"/>
  <c r="O35" i="55"/>
  <c r="Q35" i="55"/>
  <c r="R35" i="55"/>
  <c r="S35" i="55"/>
  <c r="AC35" i="55"/>
  <c r="N36" i="55"/>
  <c r="O36" i="55"/>
  <c r="Q36" i="55"/>
  <c r="R36" i="55"/>
  <c r="S36" i="55"/>
  <c r="AC36" i="55"/>
  <c r="N37" i="55"/>
  <c r="Q37" i="55"/>
  <c r="S37" i="55"/>
  <c r="AC37" i="55"/>
  <c r="N38" i="55"/>
  <c r="O38" i="55"/>
  <c r="Q38" i="55"/>
  <c r="R38" i="55"/>
  <c r="S38" i="55"/>
  <c r="AC38" i="55"/>
  <c r="N39" i="55"/>
  <c r="O39" i="55"/>
  <c r="Q39" i="55"/>
  <c r="R39" i="55"/>
  <c r="S39" i="55"/>
  <c r="AC39" i="55"/>
  <c r="N40" i="55"/>
  <c r="O40" i="55"/>
  <c r="Q40" i="55"/>
  <c r="R40" i="55"/>
  <c r="S40" i="55"/>
  <c r="AC40" i="55"/>
  <c r="N41" i="55"/>
  <c r="O41" i="55"/>
  <c r="Q41" i="55"/>
  <c r="R41" i="55"/>
  <c r="S41" i="55"/>
  <c r="AC41" i="55"/>
  <c r="N42" i="55"/>
  <c r="O42" i="55"/>
  <c r="P42" i="55"/>
  <c r="Q42" i="55"/>
  <c r="S42" i="55"/>
  <c r="AC42" i="55"/>
  <c r="AD42" i="55" s="1"/>
  <c r="AK42" i="55" s="1"/>
  <c r="AC44" i="55"/>
  <c r="Z1" i="46"/>
  <c r="C4" i="46"/>
  <c r="D4" i="46" s="1"/>
  <c r="E4" i="46" s="1"/>
  <c r="F4" i="46" s="1"/>
  <c r="G4" i="46" s="1"/>
  <c r="H4" i="46" s="1"/>
  <c r="I4" i="46" s="1"/>
  <c r="J4" i="46" s="1"/>
  <c r="K4" i="46" s="1"/>
  <c r="L4" i="46" s="1"/>
  <c r="M4" i="46" s="1"/>
  <c r="N4" i="46" s="1"/>
  <c r="O4" i="46" s="1"/>
  <c r="P4" i="46" s="1"/>
  <c r="Q4" i="46" s="1"/>
  <c r="R4" i="46" s="1"/>
  <c r="S4" i="46" s="1"/>
  <c r="T4" i="46" s="1"/>
  <c r="U4" i="46" s="1"/>
  <c r="V4" i="46" s="1"/>
  <c r="W4" i="46" s="1"/>
  <c r="X4" i="46" s="1"/>
  <c r="Y4" i="46" s="1"/>
  <c r="Z4" i="46" s="1"/>
  <c r="AA4" i="46" s="1"/>
  <c r="AB4" i="46" s="1"/>
  <c r="AC4" i="46" s="1"/>
  <c r="AD4" i="46" s="1"/>
  <c r="AE4" i="46" s="1"/>
  <c r="AF4" i="46" s="1"/>
  <c r="AG4" i="46" s="1"/>
  <c r="AH4" i="46" s="1"/>
  <c r="AI4" i="46" s="1"/>
  <c r="AJ4" i="46" s="1"/>
  <c r="AK4" i="46" s="1"/>
  <c r="AL4" i="46" s="1"/>
  <c r="AM4" i="46" s="1"/>
  <c r="AN4" i="46" s="1"/>
  <c r="AO4" i="46" s="1"/>
  <c r="AP4" i="46" s="1"/>
  <c r="AQ4" i="46" s="1"/>
  <c r="L8" i="46"/>
  <c r="O9" i="46"/>
  <c r="P9" i="46"/>
  <c r="Q9" i="46"/>
  <c r="R9" i="46"/>
  <c r="S9" i="46"/>
  <c r="AC9" i="46"/>
  <c r="N10" i="46"/>
  <c r="P10" i="46"/>
  <c r="Q10" i="46"/>
  <c r="R10" i="46"/>
  <c r="S10" i="46"/>
  <c r="AC10" i="46"/>
  <c r="N11" i="46"/>
  <c r="O11" i="46"/>
  <c r="Q11" i="46"/>
  <c r="R11" i="46"/>
  <c r="S11" i="46"/>
  <c r="AC11" i="46"/>
  <c r="N12" i="46"/>
  <c r="O12" i="46"/>
  <c r="Q12" i="46"/>
  <c r="R12" i="46"/>
  <c r="S12" i="46"/>
  <c r="AC12" i="46"/>
  <c r="N13" i="46"/>
  <c r="O13" i="46"/>
  <c r="Q13" i="46"/>
  <c r="R13" i="46"/>
  <c r="S13" i="46"/>
  <c r="U13" i="46"/>
  <c r="AC13" i="46"/>
  <c r="N14" i="46"/>
  <c r="O14" i="46"/>
  <c r="P14" i="46"/>
  <c r="R14" i="46"/>
  <c r="S14" i="46"/>
  <c r="U14" i="46"/>
  <c r="AC14" i="46"/>
  <c r="N15" i="46"/>
  <c r="O15" i="46"/>
  <c r="P15" i="46"/>
  <c r="Q15" i="46"/>
  <c r="S15" i="46"/>
  <c r="AC15" i="46"/>
  <c r="N16" i="46"/>
  <c r="O16" i="46"/>
  <c r="P16" i="46"/>
  <c r="Q16" i="46"/>
  <c r="R16" i="46"/>
  <c r="U16" i="46"/>
  <c r="AC16" i="46"/>
  <c r="AC17" i="46"/>
  <c r="N19" i="46"/>
  <c r="O19" i="46"/>
  <c r="Q19" i="46"/>
  <c r="R19" i="46"/>
  <c r="S19" i="46"/>
  <c r="AC19" i="46"/>
  <c r="N20" i="46"/>
  <c r="O20" i="46"/>
  <c r="P20" i="46"/>
  <c r="R20" i="46"/>
  <c r="S20" i="46"/>
  <c r="AC20" i="46"/>
  <c r="AC21" i="46"/>
  <c r="N22" i="46"/>
  <c r="O22" i="46"/>
  <c r="P22" i="46"/>
  <c r="AC22" i="46"/>
  <c r="Q23" i="46"/>
  <c r="R23" i="46"/>
  <c r="AC23" i="46"/>
  <c r="N26" i="46"/>
  <c r="O26" i="46"/>
  <c r="R26" i="46"/>
  <c r="AC26" i="46"/>
  <c r="N27" i="46"/>
  <c r="R27" i="46"/>
  <c r="AC27" i="46"/>
  <c r="N28" i="46"/>
  <c r="AC28" i="46"/>
  <c r="N29" i="46"/>
  <c r="O29" i="46"/>
  <c r="P29" i="46"/>
  <c r="Q29" i="46"/>
  <c r="R29" i="46"/>
  <c r="S29" i="46"/>
  <c r="N30" i="46"/>
  <c r="O30" i="46"/>
  <c r="Q30" i="46"/>
  <c r="R30" i="46"/>
  <c r="S30" i="46"/>
  <c r="AC30" i="46"/>
  <c r="N31" i="46"/>
  <c r="O31" i="46"/>
  <c r="Q31" i="46"/>
  <c r="R31" i="46"/>
  <c r="S31" i="46"/>
  <c r="AC31" i="46"/>
  <c r="N32" i="46"/>
  <c r="O32" i="46"/>
  <c r="Q32" i="46"/>
  <c r="R32" i="46"/>
  <c r="S32" i="46"/>
  <c r="AC32" i="46"/>
  <c r="N33" i="46"/>
  <c r="O33" i="46"/>
  <c r="Q33" i="46"/>
  <c r="R33" i="46"/>
  <c r="AC33" i="46"/>
  <c r="N34" i="46"/>
  <c r="O34" i="46"/>
  <c r="Q34" i="46"/>
  <c r="R34" i="46"/>
  <c r="S34" i="46"/>
  <c r="AC34" i="46"/>
  <c r="N35" i="46"/>
  <c r="O35" i="46"/>
  <c r="Q35" i="46"/>
  <c r="R35" i="46"/>
  <c r="S35" i="46"/>
  <c r="AC35" i="46"/>
  <c r="N36" i="46"/>
  <c r="O36" i="46"/>
  <c r="Q36" i="46"/>
  <c r="R36" i="46"/>
  <c r="S36" i="46"/>
  <c r="AC36" i="46"/>
  <c r="N37" i="46"/>
  <c r="Q37" i="46"/>
  <c r="S37" i="46"/>
  <c r="AC37" i="46"/>
  <c r="N38" i="46"/>
  <c r="O38" i="46"/>
  <c r="Q38" i="46"/>
  <c r="R38" i="46"/>
  <c r="S38" i="46"/>
  <c r="AC38" i="46"/>
  <c r="N39" i="46"/>
  <c r="O39" i="46"/>
  <c r="Q39" i="46"/>
  <c r="R39" i="46"/>
  <c r="S39" i="46"/>
  <c r="AC39" i="46"/>
  <c r="N40" i="46"/>
  <c r="O40" i="46"/>
  <c r="Q40" i="46"/>
  <c r="R40" i="46"/>
  <c r="S40" i="46"/>
  <c r="AC40" i="46"/>
  <c r="N41" i="46"/>
  <c r="O41" i="46"/>
  <c r="Q41" i="46"/>
  <c r="R41" i="46"/>
  <c r="S41" i="46"/>
  <c r="AC41" i="46"/>
  <c r="N42" i="46"/>
  <c r="O42" i="46"/>
  <c r="P42" i="46"/>
  <c r="Q42" i="46"/>
  <c r="S42" i="46"/>
  <c r="AC42" i="46"/>
  <c r="AC44" i="46"/>
  <c r="Z1" i="47"/>
  <c r="C4" i="47"/>
  <c r="D4" i="47" s="1"/>
  <c r="E4" i="47" s="1"/>
  <c r="F4" i="47" s="1"/>
  <c r="G4" i="47" s="1"/>
  <c r="H4" i="47" s="1"/>
  <c r="I4" i="47" s="1"/>
  <c r="J4" i="47" s="1"/>
  <c r="K4" i="47" s="1"/>
  <c r="L4" i="47" s="1"/>
  <c r="M4" i="47" s="1"/>
  <c r="N4" i="47" s="1"/>
  <c r="O4" i="47" s="1"/>
  <c r="P4" i="47" s="1"/>
  <c r="Q4" i="47" s="1"/>
  <c r="R4" i="47" s="1"/>
  <c r="S4" i="47" s="1"/>
  <c r="T4" i="47" s="1"/>
  <c r="U4" i="47" s="1"/>
  <c r="V4" i="47" s="1"/>
  <c r="W4" i="47" s="1"/>
  <c r="X4" i="47" s="1"/>
  <c r="Y4" i="47" s="1"/>
  <c r="Z4" i="47" s="1"/>
  <c r="AA4" i="47" s="1"/>
  <c r="AB4" i="47" s="1"/>
  <c r="AC4" i="47" s="1"/>
  <c r="AD4" i="47" s="1"/>
  <c r="AE4" i="47" s="1"/>
  <c r="AF4" i="47" s="1"/>
  <c r="AG4" i="47" s="1"/>
  <c r="AH4" i="47" s="1"/>
  <c r="AI4" i="47" s="1"/>
  <c r="AJ4" i="47" s="1"/>
  <c r="AK4" i="47" s="1"/>
  <c r="AL4" i="47" s="1"/>
  <c r="AM4" i="47" s="1"/>
  <c r="AN4" i="47" s="1"/>
  <c r="AO4" i="47" s="1"/>
  <c r="AP4" i="47" s="1"/>
  <c r="AQ4" i="47" s="1"/>
  <c r="L8" i="47"/>
  <c r="O9" i="47"/>
  <c r="P9" i="47"/>
  <c r="Q9" i="47"/>
  <c r="R9" i="47"/>
  <c r="S9" i="47"/>
  <c r="AC9" i="47"/>
  <c r="N10" i="47"/>
  <c r="P10" i="47"/>
  <c r="Q10" i="47"/>
  <c r="R10" i="47"/>
  <c r="S10" i="47"/>
  <c r="AC10" i="47"/>
  <c r="N11" i="47"/>
  <c r="O11" i="47"/>
  <c r="Q11" i="47"/>
  <c r="R11" i="47"/>
  <c r="S11" i="47"/>
  <c r="AC11" i="47"/>
  <c r="N12" i="47"/>
  <c r="O12" i="47"/>
  <c r="Q12" i="47"/>
  <c r="R12" i="47"/>
  <c r="S12" i="47"/>
  <c r="AC12" i="47"/>
  <c r="N13" i="47"/>
  <c r="O13" i="47"/>
  <c r="Q13" i="47"/>
  <c r="R13" i="47"/>
  <c r="S13" i="47"/>
  <c r="U13" i="47"/>
  <c r="AC13" i="47"/>
  <c r="N14" i="47"/>
  <c r="O14" i="47"/>
  <c r="P14" i="47"/>
  <c r="R14" i="47"/>
  <c r="S14" i="47"/>
  <c r="U14" i="47"/>
  <c r="AC14" i="47"/>
  <c r="N15" i="47"/>
  <c r="O15" i="47"/>
  <c r="P15" i="47"/>
  <c r="Q15" i="47"/>
  <c r="S15" i="47"/>
  <c r="AC15" i="47"/>
  <c r="N16" i="47"/>
  <c r="O16" i="47"/>
  <c r="P16" i="47"/>
  <c r="Q16" i="47"/>
  <c r="R16" i="47"/>
  <c r="U16" i="47"/>
  <c r="AC16" i="47"/>
  <c r="AC17" i="47"/>
  <c r="N19" i="47"/>
  <c r="O19" i="47"/>
  <c r="Q19" i="47"/>
  <c r="R19" i="47"/>
  <c r="S19" i="47"/>
  <c r="AC19" i="47"/>
  <c r="N20" i="47"/>
  <c r="O20" i="47"/>
  <c r="P20" i="47"/>
  <c r="R20" i="47"/>
  <c r="S20" i="47"/>
  <c r="AC20" i="47"/>
  <c r="AC21" i="47"/>
  <c r="N22" i="47"/>
  <c r="O22" i="47"/>
  <c r="P22" i="47"/>
  <c r="AC22" i="47"/>
  <c r="Q23" i="47"/>
  <c r="R23" i="47"/>
  <c r="AC23" i="47"/>
  <c r="N26" i="47"/>
  <c r="O26" i="47"/>
  <c r="R26" i="47"/>
  <c r="AC26" i="47"/>
  <c r="N27" i="47"/>
  <c r="R27" i="47"/>
  <c r="AC27" i="47"/>
  <c r="N28" i="47"/>
  <c r="AC28" i="47"/>
  <c r="N29" i="47"/>
  <c r="O29" i="47"/>
  <c r="P29" i="47"/>
  <c r="Q29" i="47"/>
  <c r="R29" i="47"/>
  <c r="S29" i="47"/>
  <c r="N30" i="47"/>
  <c r="O30" i="47"/>
  <c r="Q30" i="47"/>
  <c r="R30" i="47"/>
  <c r="S30" i="47"/>
  <c r="AC30" i="47"/>
  <c r="N31" i="47"/>
  <c r="O31" i="47"/>
  <c r="Q31" i="47"/>
  <c r="R31" i="47"/>
  <c r="S31" i="47"/>
  <c r="AC31" i="47"/>
  <c r="N32" i="47"/>
  <c r="O32" i="47"/>
  <c r="Q32" i="47"/>
  <c r="R32" i="47"/>
  <c r="S32" i="47"/>
  <c r="AC32" i="47"/>
  <c r="N33" i="47"/>
  <c r="O33" i="47"/>
  <c r="Q33" i="47"/>
  <c r="R33" i="47"/>
  <c r="AC33" i="47"/>
  <c r="N34" i="47"/>
  <c r="O34" i="47"/>
  <c r="Q34" i="47"/>
  <c r="R34" i="47"/>
  <c r="S34" i="47"/>
  <c r="AC34" i="47"/>
  <c r="N35" i="47"/>
  <c r="O35" i="47"/>
  <c r="Q35" i="47"/>
  <c r="R35" i="47"/>
  <c r="S35" i="47"/>
  <c r="AC35" i="47"/>
  <c r="N36" i="47"/>
  <c r="O36" i="47"/>
  <c r="Q36" i="47"/>
  <c r="R36" i="47"/>
  <c r="S36" i="47"/>
  <c r="AC36" i="47"/>
  <c r="N37" i="47"/>
  <c r="Q37" i="47"/>
  <c r="S37" i="47"/>
  <c r="AC37" i="47"/>
  <c r="N38" i="47"/>
  <c r="O38" i="47"/>
  <c r="Q38" i="47"/>
  <c r="R38" i="47"/>
  <c r="S38" i="47"/>
  <c r="AC38" i="47"/>
  <c r="N39" i="47"/>
  <c r="O39" i="47"/>
  <c r="Q39" i="47"/>
  <c r="R39" i="47"/>
  <c r="S39" i="47"/>
  <c r="AC39" i="47"/>
  <c r="N40" i="47"/>
  <c r="O40" i="47"/>
  <c r="Q40" i="47"/>
  <c r="R40" i="47"/>
  <c r="S40" i="47"/>
  <c r="AC40" i="47"/>
  <c r="N41" i="47"/>
  <c r="O41" i="47"/>
  <c r="Q41" i="47"/>
  <c r="R41" i="47"/>
  <c r="S41" i="47"/>
  <c r="AC41" i="47"/>
  <c r="N42" i="47"/>
  <c r="O42" i="47"/>
  <c r="P42" i="47"/>
  <c r="Q42" i="47"/>
  <c r="S42" i="47"/>
  <c r="AC42" i="47"/>
  <c r="AC44" i="47"/>
  <c r="Z1" i="48"/>
  <c r="C4" i="48"/>
  <c r="D4" i="48" s="1"/>
  <c r="E4" i="48" s="1"/>
  <c r="F4" i="48" s="1"/>
  <c r="G4" i="48" s="1"/>
  <c r="H4" i="48" s="1"/>
  <c r="I4" i="48" s="1"/>
  <c r="J4" i="48" s="1"/>
  <c r="K4" i="48" s="1"/>
  <c r="L4" i="48" s="1"/>
  <c r="M4" i="48" s="1"/>
  <c r="N4" i="48" s="1"/>
  <c r="O4" i="48" s="1"/>
  <c r="P4" i="48" s="1"/>
  <c r="Q4" i="48" s="1"/>
  <c r="R4" i="48" s="1"/>
  <c r="S4" i="48" s="1"/>
  <c r="T4" i="48" s="1"/>
  <c r="U4" i="48" s="1"/>
  <c r="V4" i="48" s="1"/>
  <c r="W4" i="48" s="1"/>
  <c r="X4" i="48" s="1"/>
  <c r="Y4" i="48" s="1"/>
  <c r="Z4" i="48" s="1"/>
  <c r="AA4" i="48" s="1"/>
  <c r="AB4" i="48" s="1"/>
  <c r="AC4" i="48" s="1"/>
  <c r="AD4" i="48" s="1"/>
  <c r="AE4" i="48" s="1"/>
  <c r="AF4" i="48" s="1"/>
  <c r="AG4" i="48" s="1"/>
  <c r="AH4" i="48" s="1"/>
  <c r="AI4" i="48" s="1"/>
  <c r="AJ4" i="48" s="1"/>
  <c r="AK4" i="48" s="1"/>
  <c r="AL4" i="48" s="1"/>
  <c r="AM4" i="48" s="1"/>
  <c r="AN4" i="48" s="1"/>
  <c r="AO4" i="48" s="1"/>
  <c r="AP4" i="48" s="1"/>
  <c r="AQ4" i="48" s="1"/>
  <c r="L8" i="48"/>
  <c r="O9" i="48"/>
  <c r="P9" i="48"/>
  <c r="Q9" i="48"/>
  <c r="R9" i="48"/>
  <c r="S9" i="48"/>
  <c r="AC9" i="48"/>
  <c r="N10" i="48"/>
  <c r="P10" i="48"/>
  <c r="Q10" i="48"/>
  <c r="R10" i="48"/>
  <c r="S10" i="48"/>
  <c r="AC10" i="48"/>
  <c r="N11" i="48"/>
  <c r="O11" i="48"/>
  <c r="Q11" i="48"/>
  <c r="R11" i="48"/>
  <c r="S11" i="48"/>
  <c r="AC11" i="48"/>
  <c r="N12" i="48"/>
  <c r="O12" i="48"/>
  <c r="Q12" i="48"/>
  <c r="R12" i="48"/>
  <c r="S12" i="48"/>
  <c r="AC12" i="48"/>
  <c r="N13" i="48"/>
  <c r="O13" i="48"/>
  <c r="Q13" i="48"/>
  <c r="R13" i="48"/>
  <c r="S13" i="48"/>
  <c r="U13" i="48"/>
  <c r="AC13" i="48"/>
  <c r="N14" i="48"/>
  <c r="O14" i="48"/>
  <c r="P14" i="48"/>
  <c r="R14" i="48"/>
  <c r="S14" i="48"/>
  <c r="U14" i="48"/>
  <c r="AC14" i="48"/>
  <c r="N15" i="48"/>
  <c r="O15" i="48"/>
  <c r="P15" i="48"/>
  <c r="Q15" i="48"/>
  <c r="S15" i="48"/>
  <c r="AC15" i="48"/>
  <c r="N16" i="48"/>
  <c r="O16" i="48"/>
  <c r="P16" i="48"/>
  <c r="Q16" i="48"/>
  <c r="R16" i="48"/>
  <c r="U16" i="48"/>
  <c r="AC16" i="48"/>
  <c r="AC17" i="48"/>
  <c r="N19" i="48"/>
  <c r="O19" i="48"/>
  <c r="Q19" i="48"/>
  <c r="R19" i="48"/>
  <c r="S19" i="48"/>
  <c r="AC19" i="48"/>
  <c r="N20" i="48"/>
  <c r="O20" i="48"/>
  <c r="P20" i="48"/>
  <c r="R20" i="48"/>
  <c r="S20" i="48"/>
  <c r="AC20" i="48"/>
  <c r="AC21" i="48"/>
  <c r="N22" i="48"/>
  <c r="O22" i="48"/>
  <c r="P22" i="48"/>
  <c r="AC22" i="48"/>
  <c r="Q23" i="48"/>
  <c r="R23" i="48"/>
  <c r="AC23" i="48"/>
  <c r="N26" i="48"/>
  <c r="O26" i="48"/>
  <c r="R26" i="48"/>
  <c r="AC26" i="48"/>
  <c r="N27" i="48"/>
  <c r="R27" i="48"/>
  <c r="AC27" i="48"/>
  <c r="N28" i="48"/>
  <c r="AC28" i="48"/>
  <c r="N29" i="48"/>
  <c r="O29" i="48"/>
  <c r="P29" i="48"/>
  <c r="Q29" i="48"/>
  <c r="R29" i="48"/>
  <c r="S29" i="48"/>
  <c r="N30" i="48"/>
  <c r="O30" i="48"/>
  <c r="Q30" i="48"/>
  <c r="R30" i="48"/>
  <c r="S30" i="48"/>
  <c r="AC30" i="48"/>
  <c r="N31" i="48"/>
  <c r="O31" i="48"/>
  <c r="Q31" i="48"/>
  <c r="R31" i="48"/>
  <c r="S31" i="48"/>
  <c r="AC31" i="48"/>
  <c r="N32" i="48"/>
  <c r="O32" i="48"/>
  <c r="Q32" i="48"/>
  <c r="R32" i="48"/>
  <c r="S32" i="48"/>
  <c r="AC32" i="48"/>
  <c r="N33" i="48"/>
  <c r="O33" i="48"/>
  <c r="Q33" i="48"/>
  <c r="R33" i="48"/>
  <c r="AC33" i="48"/>
  <c r="N34" i="48"/>
  <c r="O34" i="48"/>
  <c r="Q34" i="48"/>
  <c r="R34" i="48"/>
  <c r="S34" i="48"/>
  <c r="AC34" i="48"/>
  <c r="N35" i="48"/>
  <c r="O35" i="48"/>
  <c r="Q35" i="48"/>
  <c r="R35" i="48"/>
  <c r="S35" i="48"/>
  <c r="AC35" i="48"/>
  <c r="N36" i="48"/>
  <c r="O36" i="48"/>
  <c r="Q36" i="48"/>
  <c r="R36" i="48"/>
  <c r="S36" i="48"/>
  <c r="AC36" i="48"/>
  <c r="N37" i="48"/>
  <c r="Q37" i="48"/>
  <c r="S37" i="48"/>
  <c r="AC37" i="48"/>
  <c r="N38" i="48"/>
  <c r="O38" i="48"/>
  <c r="Q38" i="48"/>
  <c r="R38" i="48"/>
  <c r="S38" i="48"/>
  <c r="AC38" i="48"/>
  <c r="N39" i="48"/>
  <c r="O39" i="48"/>
  <c r="Q39" i="48"/>
  <c r="R39" i="48"/>
  <c r="S39" i="48"/>
  <c r="AC39" i="48"/>
  <c r="N40" i="48"/>
  <c r="O40" i="48"/>
  <c r="Q40" i="48"/>
  <c r="R40" i="48"/>
  <c r="S40" i="48"/>
  <c r="AC40" i="48"/>
  <c r="N41" i="48"/>
  <c r="O41" i="48"/>
  <c r="Q41" i="48"/>
  <c r="R41" i="48"/>
  <c r="S41" i="48"/>
  <c r="AC41" i="48"/>
  <c r="N42" i="48"/>
  <c r="O42" i="48"/>
  <c r="P42" i="48"/>
  <c r="Q42" i="48"/>
  <c r="S42" i="48"/>
  <c r="AC42" i="48"/>
  <c r="AC44" i="48"/>
  <c r="Z1" i="49"/>
  <c r="C4" i="49"/>
  <c r="D4" i="49" s="1"/>
  <c r="E4" i="49" s="1"/>
  <c r="F4" i="49" s="1"/>
  <c r="G4" i="49" s="1"/>
  <c r="H4" i="49" s="1"/>
  <c r="I4" i="49" s="1"/>
  <c r="J4" i="49" s="1"/>
  <c r="K4" i="49" s="1"/>
  <c r="L4" i="49" s="1"/>
  <c r="M4" i="49" s="1"/>
  <c r="N4" i="49" s="1"/>
  <c r="O4" i="49" s="1"/>
  <c r="P4" i="49" s="1"/>
  <c r="Q4" i="49" s="1"/>
  <c r="R4" i="49" s="1"/>
  <c r="S4" i="49" s="1"/>
  <c r="T4" i="49" s="1"/>
  <c r="U4" i="49" s="1"/>
  <c r="V4" i="49" s="1"/>
  <c r="W4" i="49" s="1"/>
  <c r="X4" i="49" s="1"/>
  <c r="Y4" i="49" s="1"/>
  <c r="Z4" i="49" s="1"/>
  <c r="AA4" i="49" s="1"/>
  <c r="AB4" i="49" s="1"/>
  <c r="AC4" i="49" s="1"/>
  <c r="AD4" i="49" s="1"/>
  <c r="AE4" i="49" s="1"/>
  <c r="AF4" i="49" s="1"/>
  <c r="AG4" i="49" s="1"/>
  <c r="AH4" i="49" s="1"/>
  <c r="AI4" i="49" s="1"/>
  <c r="AJ4" i="49" s="1"/>
  <c r="AK4" i="49" s="1"/>
  <c r="AL4" i="49" s="1"/>
  <c r="AM4" i="49" s="1"/>
  <c r="AN4" i="49" s="1"/>
  <c r="AO4" i="49" s="1"/>
  <c r="AP4" i="49" s="1"/>
  <c r="AQ4" i="49" s="1"/>
  <c r="L8" i="49"/>
  <c r="O9" i="49"/>
  <c r="P9" i="49"/>
  <c r="Q9" i="49"/>
  <c r="R9" i="49"/>
  <c r="S9" i="49"/>
  <c r="AC9" i="49"/>
  <c r="N10" i="49"/>
  <c r="P10" i="49"/>
  <c r="Q10" i="49"/>
  <c r="R10" i="49"/>
  <c r="S10" i="49"/>
  <c r="AC10" i="49"/>
  <c r="N11" i="49"/>
  <c r="O11" i="49"/>
  <c r="Q11" i="49"/>
  <c r="R11" i="49"/>
  <c r="S11" i="49"/>
  <c r="AC11" i="49"/>
  <c r="N12" i="49"/>
  <c r="O12" i="49"/>
  <c r="Q12" i="49"/>
  <c r="R12" i="49"/>
  <c r="S12" i="49"/>
  <c r="AC12" i="49"/>
  <c r="N13" i="49"/>
  <c r="O13" i="49"/>
  <c r="Q13" i="49"/>
  <c r="R13" i="49"/>
  <c r="S13" i="49"/>
  <c r="U13" i="49"/>
  <c r="AC13" i="49"/>
  <c r="N14" i="49"/>
  <c r="O14" i="49"/>
  <c r="P14" i="49"/>
  <c r="R14" i="49"/>
  <c r="S14" i="49"/>
  <c r="U14" i="49"/>
  <c r="AC14" i="49"/>
  <c r="N15" i="49"/>
  <c r="O15" i="49"/>
  <c r="P15" i="49"/>
  <c r="Q15" i="49"/>
  <c r="S15" i="49"/>
  <c r="AC15" i="49"/>
  <c r="N16" i="49"/>
  <c r="O16" i="49"/>
  <c r="P16" i="49"/>
  <c r="Q16" i="49"/>
  <c r="R16" i="49"/>
  <c r="U16" i="49"/>
  <c r="AC16" i="49"/>
  <c r="AC17" i="49"/>
  <c r="N19" i="49"/>
  <c r="O19" i="49"/>
  <c r="Q19" i="49"/>
  <c r="R19" i="49"/>
  <c r="S19" i="49"/>
  <c r="AC19" i="49"/>
  <c r="N20" i="49"/>
  <c r="O20" i="49"/>
  <c r="P20" i="49"/>
  <c r="R20" i="49"/>
  <c r="S20" i="49"/>
  <c r="AC20" i="49"/>
  <c r="AC21" i="49"/>
  <c r="N22" i="49"/>
  <c r="O22" i="49"/>
  <c r="P22" i="49"/>
  <c r="AC22" i="49"/>
  <c r="Q23" i="49"/>
  <c r="R23" i="49"/>
  <c r="AC23" i="49"/>
  <c r="N26" i="49"/>
  <c r="O26" i="49"/>
  <c r="R26" i="49"/>
  <c r="AC26" i="49"/>
  <c r="N27" i="49"/>
  <c r="R27" i="49"/>
  <c r="AC27" i="49"/>
  <c r="N28" i="49"/>
  <c r="AC28" i="49"/>
  <c r="N29" i="49"/>
  <c r="O29" i="49"/>
  <c r="P29" i="49"/>
  <c r="Q29" i="49"/>
  <c r="R29" i="49"/>
  <c r="S29" i="49"/>
  <c r="N30" i="49"/>
  <c r="O30" i="49"/>
  <c r="Q30" i="49"/>
  <c r="R30" i="49"/>
  <c r="S30" i="49"/>
  <c r="AC30" i="49"/>
  <c r="N31" i="49"/>
  <c r="O31" i="49"/>
  <c r="Q31" i="49"/>
  <c r="R31" i="49"/>
  <c r="S31" i="49"/>
  <c r="AC31" i="49"/>
  <c r="N32" i="49"/>
  <c r="O32" i="49"/>
  <c r="Q32" i="49"/>
  <c r="R32" i="49"/>
  <c r="S32" i="49"/>
  <c r="AC32" i="49"/>
  <c r="N33" i="49"/>
  <c r="O33" i="49"/>
  <c r="Q33" i="49"/>
  <c r="R33" i="49"/>
  <c r="AC33" i="49"/>
  <c r="N34" i="49"/>
  <c r="O34" i="49"/>
  <c r="Q34" i="49"/>
  <c r="R34" i="49"/>
  <c r="S34" i="49"/>
  <c r="AC34" i="49"/>
  <c r="N35" i="49"/>
  <c r="O35" i="49"/>
  <c r="Q35" i="49"/>
  <c r="R35" i="49"/>
  <c r="S35" i="49"/>
  <c r="AC35" i="49"/>
  <c r="N36" i="49"/>
  <c r="O36" i="49"/>
  <c r="Q36" i="49"/>
  <c r="R36" i="49"/>
  <c r="S36" i="49"/>
  <c r="AC36" i="49"/>
  <c r="N37" i="49"/>
  <c r="Q37" i="49"/>
  <c r="S37" i="49"/>
  <c r="AC37" i="49"/>
  <c r="N38" i="49"/>
  <c r="O38" i="49"/>
  <c r="Q38" i="49"/>
  <c r="R38" i="49"/>
  <c r="S38" i="49"/>
  <c r="AC38" i="49"/>
  <c r="N39" i="49"/>
  <c r="O39" i="49"/>
  <c r="Q39" i="49"/>
  <c r="R39" i="49"/>
  <c r="S39" i="49"/>
  <c r="AC39" i="49"/>
  <c r="N40" i="49"/>
  <c r="O40" i="49"/>
  <c r="Q40" i="49"/>
  <c r="R40" i="49"/>
  <c r="S40" i="49"/>
  <c r="AC40" i="49"/>
  <c r="N41" i="49"/>
  <c r="O41" i="49"/>
  <c r="Q41" i="49"/>
  <c r="R41" i="49"/>
  <c r="S41" i="49"/>
  <c r="AC41" i="49"/>
  <c r="N42" i="49"/>
  <c r="O42" i="49"/>
  <c r="P42" i="49"/>
  <c r="Q42" i="49"/>
  <c r="S42" i="49"/>
  <c r="AC42" i="49"/>
  <c r="AG42" i="49" s="1"/>
  <c r="AN42" i="49" s="1"/>
  <c r="AC44" i="49"/>
  <c r="Z1" i="50"/>
  <c r="C4" i="50"/>
  <c r="D4" i="50" s="1"/>
  <c r="E4" i="50" s="1"/>
  <c r="F4" i="50" s="1"/>
  <c r="G4" i="50" s="1"/>
  <c r="H4" i="50" s="1"/>
  <c r="I4" i="50" s="1"/>
  <c r="J4" i="50" s="1"/>
  <c r="K4" i="50" s="1"/>
  <c r="L4" i="50" s="1"/>
  <c r="M4" i="50" s="1"/>
  <c r="N4" i="50" s="1"/>
  <c r="O4" i="50" s="1"/>
  <c r="P4" i="50" s="1"/>
  <c r="Q4" i="50" s="1"/>
  <c r="R4" i="50" s="1"/>
  <c r="S4" i="50" s="1"/>
  <c r="T4" i="50" s="1"/>
  <c r="U4" i="50" s="1"/>
  <c r="V4" i="50" s="1"/>
  <c r="W4" i="50" s="1"/>
  <c r="X4" i="50" s="1"/>
  <c r="Y4" i="50" s="1"/>
  <c r="Z4" i="50" s="1"/>
  <c r="AA4" i="50" s="1"/>
  <c r="AB4" i="50" s="1"/>
  <c r="AC4" i="50" s="1"/>
  <c r="AD4" i="50" s="1"/>
  <c r="AE4" i="50" s="1"/>
  <c r="AF4" i="50" s="1"/>
  <c r="AG4" i="50" s="1"/>
  <c r="AH4" i="50" s="1"/>
  <c r="AI4" i="50" s="1"/>
  <c r="AJ4" i="50" s="1"/>
  <c r="AK4" i="50" s="1"/>
  <c r="AL4" i="50" s="1"/>
  <c r="AM4" i="50" s="1"/>
  <c r="AN4" i="50" s="1"/>
  <c r="AO4" i="50" s="1"/>
  <c r="AP4" i="50" s="1"/>
  <c r="AQ4" i="50" s="1"/>
  <c r="L8" i="50"/>
  <c r="O9" i="50"/>
  <c r="P9" i="50"/>
  <c r="Q9" i="50"/>
  <c r="R9" i="50"/>
  <c r="S9" i="50"/>
  <c r="AC9" i="50"/>
  <c r="N10" i="50"/>
  <c r="P10" i="50"/>
  <c r="Q10" i="50"/>
  <c r="R10" i="50"/>
  <c r="S10" i="50"/>
  <c r="AC10" i="50"/>
  <c r="N11" i="50"/>
  <c r="O11" i="50"/>
  <c r="Q11" i="50"/>
  <c r="R11" i="50"/>
  <c r="S11" i="50"/>
  <c r="AC11" i="50"/>
  <c r="N12" i="50"/>
  <c r="O12" i="50"/>
  <c r="Q12" i="50"/>
  <c r="R12" i="50"/>
  <c r="S12" i="50"/>
  <c r="AC12" i="50"/>
  <c r="N13" i="50"/>
  <c r="O13" i="50"/>
  <c r="Q13" i="50"/>
  <c r="R13" i="50"/>
  <c r="S13" i="50"/>
  <c r="U13" i="50"/>
  <c r="AC13" i="50"/>
  <c r="N14" i="50"/>
  <c r="O14" i="50"/>
  <c r="P14" i="50"/>
  <c r="R14" i="50"/>
  <c r="S14" i="50"/>
  <c r="U14" i="50"/>
  <c r="AC14" i="50"/>
  <c r="N15" i="50"/>
  <c r="O15" i="50"/>
  <c r="P15" i="50"/>
  <c r="Q15" i="50"/>
  <c r="S15" i="50"/>
  <c r="AC15" i="50"/>
  <c r="N16" i="50"/>
  <c r="O16" i="50"/>
  <c r="P16" i="50"/>
  <c r="Q16" i="50"/>
  <c r="R16" i="50"/>
  <c r="U16" i="50"/>
  <c r="AC16" i="50"/>
  <c r="AC17" i="50"/>
  <c r="N19" i="50"/>
  <c r="O19" i="50"/>
  <c r="Q19" i="50"/>
  <c r="R19" i="50"/>
  <c r="S19" i="50"/>
  <c r="AC19" i="50"/>
  <c r="N20" i="50"/>
  <c r="O20" i="50"/>
  <c r="P20" i="50"/>
  <c r="R20" i="50"/>
  <c r="S20" i="50"/>
  <c r="AC20" i="50"/>
  <c r="AC21" i="50"/>
  <c r="N22" i="50"/>
  <c r="O22" i="50"/>
  <c r="P22" i="50"/>
  <c r="AC22" i="50"/>
  <c r="Q23" i="50"/>
  <c r="R23" i="50"/>
  <c r="AC23" i="50"/>
  <c r="N26" i="50"/>
  <c r="O26" i="50"/>
  <c r="R26" i="50"/>
  <c r="AC26" i="50"/>
  <c r="N27" i="50"/>
  <c r="R27" i="50"/>
  <c r="AC27" i="50"/>
  <c r="N28" i="50"/>
  <c r="AC28" i="50"/>
  <c r="N29" i="50"/>
  <c r="O29" i="50"/>
  <c r="P29" i="50"/>
  <c r="Q29" i="50"/>
  <c r="R29" i="50"/>
  <c r="S29" i="50"/>
  <c r="N30" i="50"/>
  <c r="O30" i="50"/>
  <c r="Q30" i="50"/>
  <c r="R30" i="50"/>
  <c r="S30" i="50"/>
  <c r="AC30" i="50"/>
  <c r="N31" i="50"/>
  <c r="O31" i="50"/>
  <c r="Q31" i="50"/>
  <c r="R31" i="50"/>
  <c r="S31" i="50"/>
  <c r="AC31" i="50"/>
  <c r="N32" i="50"/>
  <c r="O32" i="50"/>
  <c r="Q32" i="50"/>
  <c r="R32" i="50"/>
  <c r="S32" i="50"/>
  <c r="AC32" i="50"/>
  <c r="N33" i="50"/>
  <c r="O33" i="50"/>
  <c r="Q33" i="50"/>
  <c r="R33" i="50"/>
  <c r="AC33" i="50"/>
  <c r="N34" i="50"/>
  <c r="O34" i="50"/>
  <c r="Q34" i="50"/>
  <c r="R34" i="50"/>
  <c r="S34" i="50"/>
  <c r="AC34" i="50"/>
  <c r="N35" i="50"/>
  <c r="O35" i="50"/>
  <c r="Q35" i="50"/>
  <c r="R35" i="50"/>
  <c r="S35" i="50"/>
  <c r="AC35" i="50"/>
  <c r="N36" i="50"/>
  <c r="O36" i="50"/>
  <c r="Q36" i="50"/>
  <c r="R36" i="50"/>
  <c r="S36" i="50"/>
  <c r="AC36" i="50"/>
  <c r="N37" i="50"/>
  <c r="Q37" i="50"/>
  <c r="S37" i="50"/>
  <c r="AC37" i="50"/>
  <c r="N38" i="50"/>
  <c r="O38" i="50"/>
  <c r="Q38" i="50"/>
  <c r="R38" i="50"/>
  <c r="S38" i="50"/>
  <c r="AC38" i="50"/>
  <c r="N39" i="50"/>
  <c r="O39" i="50"/>
  <c r="Q39" i="50"/>
  <c r="R39" i="50"/>
  <c r="S39" i="50"/>
  <c r="AC39" i="50"/>
  <c r="N40" i="50"/>
  <c r="O40" i="50"/>
  <c r="Q40" i="50"/>
  <c r="R40" i="50"/>
  <c r="S40" i="50"/>
  <c r="AC40" i="50"/>
  <c r="N41" i="50"/>
  <c r="O41" i="50"/>
  <c r="Q41" i="50"/>
  <c r="R41" i="50"/>
  <c r="S41" i="50"/>
  <c r="AC41" i="50"/>
  <c r="N42" i="50"/>
  <c r="O42" i="50"/>
  <c r="P42" i="50"/>
  <c r="Q42" i="50"/>
  <c r="S42" i="50"/>
  <c r="AC42" i="50"/>
  <c r="AC44" i="50"/>
  <c r="Z1" i="51"/>
  <c r="C4" i="51"/>
  <c r="D4" i="51" s="1"/>
  <c r="E4" i="51" s="1"/>
  <c r="F4" i="51" s="1"/>
  <c r="G4" i="51" s="1"/>
  <c r="H4" i="51" s="1"/>
  <c r="I4" i="51" s="1"/>
  <c r="J4" i="51" s="1"/>
  <c r="K4" i="51" s="1"/>
  <c r="L4" i="51" s="1"/>
  <c r="M4" i="51" s="1"/>
  <c r="N4" i="51" s="1"/>
  <c r="O4" i="51" s="1"/>
  <c r="P4" i="51" s="1"/>
  <c r="Q4" i="51" s="1"/>
  <c r="R4" i="51" s="1"/>
  <c r="S4" i="51" s="1"/>
  <c r="T4" i="51" s="1"/>
  <c r="U4" i="51" s="1"/>
  <c r="V4" i="51" s="1"/>
  <c r="W4" i="51" s="1"/>
  <c r="X4" i="51" s="1"/>
  <c r="Y4" i="51" s="1"/>
  <c r="Z4" i="51" s="1"/>
  <c r="AA4" i="51" s="1"/>
  <c r="AB4" i="51" s="1"/>
  <c r="AC4" i="51" s="1"/>
  <c r="AD4" i="51" s="1"/>
  <c r="AE4" i="51" s="1"/>
  <c r="AF4" i="51" s="1"/>
  <c r="AG4" i="51" s="1"/>
  <c r="AH4" i="51" s="1"/>
  <c r="AI4" i="51" s="1"/>
  <c r="AJ4" i="51" s="1"/>
  <c r="AK4" i="51" s="1"/>
  <c r="AL4" i="51" s="1"/>
  <c r="AM4" i="51" s="1"/>
  <c r="AN4" i="51" s="1"/>
  <c r="AO4" i="51" s="1"/>
  <c r="AP4" i="51" s="1"/>
  <c r="AQ4" i="51" s="1"/>
  <c r="L8" i="51"/>
  <c r="O9" i="51"/>
  <c r="P9" i="51"/>
  <c r="Q9" i="51"/>
  <c r="R9" i="51"/>
  <c r="S9" i="51"/>
  <c r="AC9" i="51"/>
  <c r="N10" i="51"/>
  <c r="P10" i="51"/>
  <c r="Q10" i="51"/>
  <c r="R10" i="51"/>
  <c r="S10" i="51"/>
  <c r="AC10" i="51"/>
  <c r="N11" i="51"/>
  <c r="O11" i="51"/>
  <c r="Q11" i="51"/>
  <c r="R11" i="51"/>
  <c r="S11" i="51"/>
  <c r="AC11" i="51"/>
  <c r="N12" i="51"/>
  <c r="O12" i="51"/>
  <c r="Q12" i="51"/>
  <c r="R12" i="51"/>
  <c r="S12" i="51"/>
  <c r="AC12" i="51"/>
  <c r="N13" i="51"/>
  <c r="O13" i="51"/>
  <c r="Q13" i="51"/>
  <c r="R13" i="51"/>
  <c r="S13" i="51"/>
  <c r="U13" i="51"/>
  <c r="AC13" i="51"/>
  <c r="N14" i="51"/>
  <c r="O14" i="51"/>
  <c r="P14" i="51"/>
  <c r="R14" i="51"/>
  <c r="S14" i="51"/>
  <c r="U14" i="51"/>
  <c r="AC14" i="51"/>
  <c r="N15" i="51"/>
  <c r="O15" i="51"/>
  <c r="P15" i="51"/>
  <c r="Q15" i="51"/>
  <c r="S15" i="51"/>
  <c r="AC15" i="51"/>
  <c r="N16" i="51"/>
  <c r="O16" i="51"/>
  <c r="P16" i="51"/>
  <c r="Q16" i="51"/>
  <c r="R16" i="51"/>
  <c r="U16" i="51"/>
  <c r="AC16" i="51"/>
  <c r="AC17" i="51"/>
  <c r="N19" i="51"/>
  <c r="O19" i="51"/>
  <c r="Q19" i="51"/>
  <c r="R19" i="51"/>
  <c r="S19" i="51"/>
  <c r="AC19" i="51"/>
  <c r="N20" i="51"/>
  <c r="O20" i="51"/>
  <c r="P20" i="51"/>
  <c r="R20" i="51"/>
  <c r="S20" i="51"/>
  <c r="AC20" i="51"/>
  <c r="AC21" i="51"/>
  <c r="N22" i="51"/>
  <c r="O22" i="51"/>
  <c r="P22" i="51"/>
  <c r="AC22" i="51"/>
  <c r="Q23" i="51"/>
  <c r="R23" i="51"/>
  <c r="AC23" i="51"/>
  <c r="N26" i="51"/>
  <c r="O26" i="51"/>
  <c r="R26" i="51"/>
  <c r="AC26" i="51"/>
  <c r="N27" i="51"/>
  <c r="R27" i="51"/>
  <c r="AC27" i="51"/>
  <c r="N28" i="51"/>
  <c r="AC28" i="51"/>
  <c r="N29" i="51"/>
  <c r="O29" i="51"/>
  <c r="P29" i="51"/>
  <c r="Q29" i="51"/>
  <c r="R29" i="51"/>
  <c r="S29" i="51"/>
  <c r="N30" i="51"/>
  <c r="O30" i="51"/>
  <c r="Q30" i="51"/>
  <c r="R30" i="51"/>
  <c r="S30" i="51"/>
  <c r="AC30" i="51"/>
  <c r="N31" i="51"/>
  <c r="O31" i="51"/>
  <c r="Q31" i="51"/>
  <c r="R31" i="51"/>
  <c r="S31" i="51"/>
  <c r="AC31" i="51"/>
  <c r="N32" i="51"/>
  <c r="O32" i="51"/>
  <c r="Q32" i="51"/>
  <c r="R32" i="51"/>
  <c r="S32" i="51"/>
  <c r="AC32" i="51"/>
  <c r="N33" i="51"/>
  <c r="O33" i="51"/>
  <c r="Q33" i="51"/>
  <c r="R33" i="51"/>
  <c r="AC33" i="51"/>
  <c r="N34" i="51"/>
  <c r="O34" i="51"/>
  <c r="Q34" i="51"/>
  <c r="R34" i="51"/>
  <c r="S34" i="51"/>
  <c r="AC34" i="51"/>
  <c r="N35" i="51"/>
  <c r="O35" i="51"/>
  <c r="Q35" i="51"/>
  <c r="R35" i="51"/>
  <c r="S35" i="51"/>
  <c r="AC35" i="51"/>
  <c r="N36" i="51"/>
  <c r="O36" i="51"/>
  <c r="Q36" i="51"/>
  <c r="R36" i="51"/>
  <c r="S36" i="51"/>
  <c r="AC36" i="51"/>
  <c r="N37" i="51"/>
  <c r="Q37" i="51"/>
  <c r="S37" i="51"/>
  <c r="AC37" i="51"/>
  <c r="N38" i="51"/>
  <c r="O38" i="51"/>
  <c r="Q38" i="51"/>
  <c r="R38" i="51"/>
  <c r="S38" i="51"/>
  <c r="AC38" i="51"/>
  <c r="N39" i="51"/>
  <c r="O39" i="51"/>
  <c r="Q39" i="51"/>
  <c r="R39" i="51"/>
  <c r="S39" i="51"/>
  <c r="AC39" i="51"/>
  <c r="N40" i="51"/>
  <c r="O40" i="51"/>
  <c r="Q40" i="51"/>
  <c r="R40" i="51"/>
  <c r="S40" i="51"/>
  <c r="AC40" i="51"/>
  <c r="N41" i="51"/>
  <c r="O41" i="51"/>
  <c r="Q41" i="51"/>
  <c r="R41" i="51"/>
  <c r="S41" i="51"/>
  <c r="AC41" i="51"/>
  <c r="N42" i="51"/>
  <c r="O42" i="51"/>
  <c r="P42" i="51"/>
  <c r="Q42" i="51"/>
  <c r="S42" i="51"/>
  <c r="AC42" i="51"/>
  <c r="AI42" i="51" s="1"/>
  <c r="AP42" i="51" s="1"/>
  <c r="AC44" i="51"/>
  <c r="Z1" i="52"/>
  <c r="C4" i="52"/>
  <c r="D4" i="52" s="1"/>
  <c r="E4" i="52" s="1"/>
  <c r="F4" i="52" s="1"/>
  <c r="G4" i="52" s="1"/>
  <c r="H4" i="52" s="1"/>
  <c r="I4" i="52" s="1"/>
  <c r="J4" i="52" s="1"/>
  <c r="K4" i="52" s="1"/>
  <c r="L4" i="52" s="1"/>
  <c r="M4" i="52" s="1"/>
  <c r="N4" i="52" s="1"/>
  <c r="O4" i="52" s="1"/>
  <c r="P4" i="52" s="1"/>
  <c r="Q4" i="52" s="1"/>
  <c r="R4" i="52" s="1"/>
  <c r="S4" i="52" s="1"/>
  <c r="T4" i="52" s="1"/>
  <c r="U4" i="52" s="1"/>
  <c r="V4" i="52" s="1"/>
  <c r="W4" i="52" s="1"/>
  <c r="X4" i="52" s="1"/>
  <c r="Y4" i="52" s="1"/>
  <c r="Z4" i="52" s="1"/>
  <c r="AA4" i="52" s="1"/>
  <c r="AB4" i="52" s="1"/>
  <c r="AC4" i="52" s="1"/>
  <c r="AD4" i="52" s="1"/>
  <c r="AE4" i="52" s="1"/>
  <c r="AF4" i="52" s="1"/>
  <c r="AG4" i="52" s="1"/>
  <c r="AH4" i="52" s="1"/>
  <c r="AI4" i="52" s="1"/>
  <c r="AJ4" i="52" s="1"/>
  <c r="AK4" i="52" s="1"/>
  <c r="AL4" i="52" s="1"/>
  <c r="AM4" i="52" s="1"/>
  <c r="AN4" i="52" s="1"/>
  <c r="AO4" i="52" s="1"/>
  <c r="AP4" i="52" s="1"/>
  <c r="AQ4" i="52" s="1"/>
  <c r="L8" i="52"/>
  <c r="O9" i="52"/>
  <c r="P9" i="52"/>
  <c r="Q9" i="52"/>
  <c r="R9" i="52"/>
  <c r="S9" i="52"/>
  <c r="AC9" i="52"/>
  <c r="N10" i="52"/>
  <c r="P10" i="52"/>
  <c r="Q10" i="52"/>
  <c r="R10" i="52"/>
  <c r="S10" i="52"/>
  <c r="AC10" i="52"/>
  <c r="N11" i="52"/>
  <c r="O11" i="52"/>
  <c r="Q11" i="52"/>
  <c r="R11" i="52"/>
  <c r="S11" i="52"/>
  <c r="AC11" i="52"/>
  <c r="N12" i="52"/>
  <c r="O12" i="52"/>
  <c r="Q12" i="52"/>
  <c r="R12" i="52"/>
  <c r="S12" i="52"/>
  <c r="AC12" i="52"/>
  <c r="N13" i="52"/>
  <c r="O13" i="52"/>
  <c r="Q13" i="52"/>
  <c r="R13" i="52"/>
  <c r="S13" i="52"/>
  <c r="U13" i="52"/>
  <c r="AC13" i="52"/>
  <c r="N14" i="52"/>
  <c r="O14" i="52"/>
  <c r="P14" i="52"/>
  <c r="R14" i="52"/>
  <c r="S14" i="52"/>
  <c r="U14" i="52"/>
  <c r="AC14" i="52"/>
  <c r="N15" i="52"/>
  <c r="O15" i="52"/>
  <c r="P15" i="52"/>
  <c r="Q15" i="52"/>
  <c r="S15" i="52"/>
  <c r="AC15" i="52"/>
  <c r="N16" i="52"/>
  <c r="O16" i="52"/>
  <c r="P16" i="52"/>
  <c r="Q16" i="52"/>
  <c r="R16" i="52"/>
  <c r="U16" i="52"/>
  <c r="AC16" i="52"/>
  <c r="AC17" i="52"/>
  <c r="N19" i="52"/>
  <c r="O19" i="52"/>
  <c r="Q19" i="52"/>
  <c r="R19" i="52"/>
  <c r="S19" i="52"/>
  <c r="AC19" i="52"/>
  <c r="N20" i="52"/>
  <c r="O20" i="52"/>
  <c r="P20" i="52"/>
  <c r="R20" i="52"/>
  <c r="S20" i="52"/>
  <c r="AC20" i="52"/>
  <c r="AC21" i="52"/>
  <c r="N22" i="52"/>
  <c r="O22" i="52"/>
  <c r="P22" i="52"/>
  <c r="AC22" i="52"/>
  <c r="Q23" i="52"/>
  <c r="R23" i="52"/>
  <c r="AC23" i="52"/>
  <c r="N26" i="52"/>
  <c r="O26" i="52"/>
  <c r="R26" i="52"/>
  <c r="AC26" i="52"/>
  <c r="N27" i="52"/>
  <c r="R27" i="52"/>
  <c r="AC27" i="52"/>
  <c r="N28" i="52"/>
  <c r="AC28" i="52"/>
  <c r="N29" i="52"/>
  <c r="O29" i="52"/>
  <c r="P29" i="52"/>
  <c r="Q29" i="52"/>
  <c r="R29" i="52"/>
  <c r="S29" i="52"/>
  <c r="N30" i="52"/>
  <c r="O30" i="52"/>
  <c r="Q30" i="52"/>
  <c r="R30" i="52"/>
  <c r="S30" i="52"/>
  <c r="AC30" i="52"/>
  <c r="N31" i="52"/>
  <c r="O31" i="52"/>
  <c r="Q31" i="52"/>
  <c r="R31" i="52"/>
  <c r="S31" i="52"/>
  <c r="AC31" i="52"/>
  <c r="N32" i="52"/>
  <c r="O32" i="52"/>
  <c r="Q32" i="52"/>
  <c r="R32" i="52"/>
  <c r="S32" i="52"/>
  <c r="AC32" i="52"/>
  <c r="N33" i="52"/>
  <c r="O33" i="52"/>
  <c r="Q33" i="52"/>
  <c r="R33" i="52"/>
  <c r="AC33" i="52"/>
  <c r="N34" i="52"/>
  <c r="O34" i="52"/>
  <c r="Q34" i="52"/>
  <c r="R34" i="52"/>
  <c r="S34" i="52"/>
  <c r="AC34" i="52"/>
  <c r="N35" i="52"/>
  <c r="O35" i="52"/>
  <c r="Q35" i="52"/>
  <c r="R35" i="52"/>
  <c r="S35" i="52"/>
  <c r="AC35" i="52"/>
  <c r="N36" i="52"/>
  <c r="O36" i="52"/>
  <c r="Q36" i="52"/>
  <c r="R36" i="52"/>
  <c r="S36" i="52"/>
  <c r="AC36" i="52"/>
  <c r="N37" i="52"/>
  <c r="Q37" i="52"/>
  <c r="S37" i="52"/>
  <c r="AC37" i="52"/>
  <c r="N38" i="52"/>
  <c r="O38" i="52"/>
  <c r="Q38" i="52"/>
  <c r="R38" i="52"/>
  <c r="S38" i="52"/>
  <c r="AC38" i="52"/>
  <c r="N39" i="52"/>
  <c r="O39" i="52"/>
  <c r="Q39" i="52"/>
  <c r="R39" i="52"/>
  <c r="S39" i="52"/>
  <c r="AC39" i="52"/>
  <c r="N40" i="52"/>
  <c r="O40" i="52"/>
  <c r="Q40" i="52"/>
  <c r="R40" i="52"/>
  <c r="S40" i="52"/>
  <c r="AC40" i="52"/>
  <c r="N41" i="52"/>
  <c r="O41" i="52"/>
  <c r="Q41" i="52"/>
  <c r="R41" i="52"/>
  <c r="S41" i="52"/>
  <c r="AC41" i="52"/>
  <c r="N42" i="52"/>
  <c r="O42" i="52"/>
  <c r="P42" i="52"/>
  <c r="Q42" i="52"/>
  <c r="S42" i="52"/>
  <c r="AC42" i="52"/>
  <c r="AC44" i="52"/>
  <c r="Z1" i="53"/>
  <c r="C4" i="53"/>
  <c r="D4" i="53" s="1"/>
  <c r="E4" i="53" s="1"/>
  <c r="F4" i="53" s="1"/>
  <c r="G4" i="53" s="1"/>
  <c r="H4" i="53" s="1"/>
  <c r="I4" i="53" s="1"/>
  <c r="J4" i="53" s="1"/>
  <c r="K4" i="53" s="1"/>
  <c r="L4" i="53" s="1"/>
  <c r="M4" i="53" s="1"/>
  <c r="N4" i="53" s="1"/>
  <c r="O4" i="53" s="1"/>
  <c r="P4" i="53" s="1"/>
  <c r="Q4" i="53" s="1"/>
  <c r="R4" i="53" s="1"/>
  <c r="S4" i="53" s="1"/>
  <c r="T4" i="53" s="1"/>
  <c r="U4" i="53" s="1"/>
  <c r="V4" i="53" s="1"/>
  <c r="W4" i="53" s="1"/>
  <c r="X4" i="53" s="1"/>
  <c r="Y4" i="53" s="1"/>
  <c r="Z4" i="53" s="1"/>
  <c r="AA4" i="53" s="1"/>
  <c r="AB4" i="53" s="1"/>
  <c r="AC4" i="53" s="1"/>
  <c r="AD4" i="53" s="1"/>
  <c r="AE4" i="53" s="1"/>
  <c r="AF4" i="53" s="1"/>
  <c r="AG4" i="53" s="1"/>
  <c r="AH4" i="53" s="1"/>
  <c r="AI4" i="53" s="1"/>
  <c r="AJ4" i="53" s="1"/>
  <c r="AK4" i="53" s="1"/>
  <c r="AL4" i="53" s="1"/>
  <c r="AM4" i="53" s="1"/>
  <c r="AN4" i="53" s="1"/>
  <c r="AO4" i="53" s="1"/>
  <c r="AP4" i="53" s="1"/>
  <c r="AQ4" i="53" s="1"/>
  <c r="L8" i="53"/>
  <c r="O9" i="53"/>
  <c r="P9" i="53"/>
  <c r="Q9" i="53"/>
  <c r="R9" i="53"/>
  <c r="S9" i="53"/>
  <c r="AC9" i="53"/>
  <c r="N10" i="53"/>
  <c r="P10" i="53"/>
  <c r="Q10" i="53"/>
  <c r="R10" i="53"/>
  <c r="S10" i="53"/>
  <c r="AC10" i="53"/>
  <c r="N11" i="53"/>
  <c r="O11" i="53"/>
  <c r="Q11" i="53"/>
  <c r="R11" i="53"/>
  <c r="S11" i="53"/>
  <c r="AC11" i="53"/>
  <c r="N12" i="53"/>
  <c r="O12" i="53"/>
  <c r="Q12" i="53"/>
  <c r="R12" i="53"/>
  <c r="S12" i="53"/>
  <c r="AC12" i="53"/>
  <c r="N13" i="53"/>
  <c r="O13" i="53"/>
  <c r="Q13" i="53"/>
  <c r="R13" i="53"/>
  <c r="S13" i="53"/>
  <c r="U13" i="53"/>
  <c r="AC13" i="53"/>
  <c r="N14" i="53"/>
  <c r="O14" i="53"/>
  <c r="P14" i="53"/>
  <c r="R14" i="53"/>
  <c r="S14" i="53"/>
  <c r="U14" i="53"/>
  <c r="AC14" i="53"/>
  <c r="N15" i="53"/>
  <c r="O15" i="53"/>
  <c r="P15" i="53"/>
  <c r="Q15" i="53"/>
  <c r="S15" i="53"/>
  <c r="AC15" i="53"/>
  <c r="N16" i="53"/>
  <c r="O16" i="53"/>
  <c r="P16" i="53"/>
  <c r="Q16" i="53"/>
  <c r="R16" i="53"/>
  <c r="U16" i="53"/>
  <c r="V16" i="53" s="1"/>
  <c r="AC16" i="53"/>
  <c r="AC17" i="53"/>
  <c r="N19" i="53"/>
  <c r="O19" i="53"/>
  <c r="Q19" i="53"/>
  <c r="R19" i="53"/>
  <c r="S19" i="53"/>
  <c r="AC19" i="53"/>
  <c r="N20" i="53"/>
  <c r="O20" i="53"/>
  <c r="P20" i="53"/>
  <c r="R20" i="53"/>
  <c r="S20" i="53"/>
  <c r="AC20" i="53"/>
  <c r="AC21" i="53"/>
  <c r="N22" i="53"/>
  <c r="O22" i="53"/>
  <c r="P22" i="53"/>
  <c r="AC22" i="53"/>
  <c r="Q23" i="53"/>
  <c r="R23" i="53"/>
  <c r="AC23" i="53"/>
  <c r="N26" i="53"/>
  <c r="O26" i="53"/>
  <c r="R26" i="53"/>
  <c r="AC26" i="53"/>
  <c r="N27" i="53"/>
  <c r="R27" i="53"/>
  <c r="AC27" i="53"/>
  <c r="N28" i="53"/>
  <c r="AC28" i="53"/>
  <c r="N29" i="53"/>
  <c r="O29" i="53"/>
  <c r="P29" i="53"/>
  <c r="Q29" i="53"/>
  <c r="R29" i="53"/>
  <c r="S29" i="53"/>
  <c r="N30" i="53"/>
  <c r="O30" i="53"/>
  <c r="Q30" i="53"/>
  <c r="R30" i="53"/>
  <c r="S30" i="53"/>
  <c r="AC30" i="53"/>
  <c r="N31" i="53"/>
  <c r="O31" i="53"/>
  <c r="Q31" i="53"/>
  <c r="R31" i="53"/>
  <c r="S31" i="53"/>
  <c r="AC31" i="53"/>
  <c r="N32" i="53"/>
  <c r="O32" i="53"/>
  <c r="Q32" i="53"/>
  <c r="R32" i="53"/>
  <c r="S32" i="53"/>
  <c r="AC32" i="53"/>
  <c r="N33" i="53"/>
  <c r="O33" i="53"/>
  <c r="Q33" i="53"/>
  <c r="R33" i="53"/>
  <c r="AC33" i="53"/>
  <c r="N34" i="53"/>
  <c r="O34" i="53"/>
  <c r="Q34" i="53"/>
  <c r="R34" i="53"/>
  <c r="S34" i="53"/>
  <c r="AC34" i="53"/>
  <c r="N35" i="53"/>
  <c r="O35" i="53"/>
  <c r="Q35" i="53"/>
  <c r="R35" i="53"/>
  <c r="S35" i="53"/>
  <c r="AC35" i="53"/>
  <c r="N36" i="53"/>
  <c r="O36" i="53"/>
  <c r="Q36" i="53"/>
  <c r="R36" i="53"/>
  <c r="S36" i="53"/>
  <c r="AC36" i="53"/>
  <c r="N37" i="53"/>
  <c r="Q37" i="53"/>
  <c r="S37" i="53"/>
  <c r="AC37" i="53"/>
  <c r="N38" i="53"/>
  <c r="O38" i="53"/>
  <c r="Q38" i="53"/>
  <c r="R38" i="53"/>
  <c r="S38" i="53"/>
  <c r="AC38" i="53"/>
  <c r="N39" i="53"/>
  <c r="O39" i="53"/>
  <c r="Q39" i="53"/>
  <c r="R39" i="53"/>
  <c r="S39" i="53"/>
  <c r="AC39" i="53"/>
  <c r="N40" i="53"/>
  <c r="O40" i="53"/>
  <c r="Q40" i="53"/>
  <c r="R40" i="53"/>
  <c r="S40" i="53"/>
  <c r="AC40" i="53"/>
  <c r="N41" i="53"/>
  <c r="O41" i="53"/>
  <c r="Q41" i="53"/>
  <c r="R41" i="53"/>
  <c r="S41" i="53"/>
  <c r="AC41" i="53"/>
  <c r="N42" i="53"/>
  <c r="O42" i="53"/>
  <c r="P42" i="53"/>
  <c r="Q42" i="53"/>
  <c r="S42" i="53"/>
  <c r="AC42" i="53"/>
  <c r="AG42" i="53" s="1"/>
  <c r="AN42" i="53" s="1"/>
  <c r="AC44" i="53"/>
  <c r="Z1" i="54"/>
  <c r="C4" i="54"/>
  <c r="D4" i="54" s="1"/>
  <c r="E4" i="54" s="1"/>
  <c r="F4" i="54" s="1"/>
  <c r="G4" i="54" s="1"/>
  <c r="H4" i="54" s="1"/>
  <c r="I4" i="54" s="1"/>
  <c r="J4" i="54" s="1"/>
  <c r="K4" i="54" s="1"/>
  <c r="L4" i="54" s="1"/>
  <c r="M4" i="54" s="1"/>
  <c r="N4" i="54" s="1"/>
  <c r="O4" i="54" s="1"/>
  <c r="P4" i="54" s="1"/>
  <c r="Q4" i="54" s="1"/>
  <c r="R4" i="54" s="1"/>
  <c r="S4" i="54" s="1"/>
  <c r="T4" i="54" s="1"/>
  <c r="U4" i="54" s="1"/>
  <c r="V4" i="54" s="1"/>
  <c r="W4" i="54" s="1"/>
  <c r="X4" i="54" s="1"/>
  <c r="Y4" i="54" s="1"/>
  <c r="Z4" i="54" s="1"/>
  <c r="AA4" i="54" s="1"/>
  <c r="AB4" i="54" s="1"/>
  <c r="AC4" i="54" s="1"/>
  <c r="AD4" i="54" s="1"/>
  <c r="AE4" i="54" s="1"/>
  <c r="AF4" i="54" s="1"/>
  <c r="AG4" i="54" s="1"/>
  <c r="AH4" i="54" s="1"/>
  <c r="AI4" i="54" s="1"/>
  <c r="AJ4" i="54" s="1"/>
  <c r="AK4" i="54" s="1"/>
  <c r="AL4" i="54" s="1"/>
  <c r="AM4" i="54" s="1"/>
  <c r="AN4" i="54" s="1"/>
  <c r="AO4" i="54" s="1"/>
  <c r="AP4" i="54" s="1"/>
  <c r="AQ4" i="54" s="1"/>
  <c r="L8" i="54"/>
  <c r="O9" i="54"/>
  <c r="P9" i="54"/>
  <c r="Q9" i="54"/>
  <c r="R9" i="54"/>
  <c r="S9" i="54"/>
  <c r="AC9" i="54"/>
  <c r="N10" i="54"/>
  <c r="P10" i="54"/>
  <c r="Q10" i="54"/>
  <c r="R10" i="54"/>
  <c r="S10" i="54"/>
  <c r="AC10" i="54"/>
  <c r="N11" i="54"/>
  <c r="O11" i="54"/>
  <c r="Q11" i="54"/>
  <c r="R11" i="54"/>
  <c r="S11" i="54"/>
  <c r="AC11" i="54"/>
  <c r="N12" i="54"/>
  <c r="O12" i="54"/>
  <c r="Q12" i="54"/>
  <c r="R12" i="54"/>
  <c r="S12" i="54"/>
  <c r="AC12" i="54"/>
  <c r="N13" i="54"/>
  <c r="O13" i="54"/>
  <c r="Q13" i="54"/>
  <c r="R13" i="54"/>
  <c r="S13" i="54"/>
  <c r="U13" i="54"/>
  <c r="AC13" i="54"/>
  <c r="N14" i="54"/>
  <c r="O14" i="54"/>
  <c r="P14" i="54"/>
  <c r="R14" i="54"/>
  <c r="S14" i="54"/>
  <c r="U14" i="54"/>
  <c r="AC14" i="54"/>
  <c r="N15" i="54"/>
  <c r="O15" i="54"/>
  <c r="P15" i="54"/>
  <c r="Q15" i="54"/>
  <c r="S15" i="54"/>
  <c r="AC15" i="54"/>
  <c r="N16" i="54"/>
  <c r="O16" i="54"/>
  <c r="P16" i="54"/>
  <c r="Q16" i="54"/>
  <c r="R16" i="54"/>
  <c r="U16" i="54"/>
  <c r="AC16" i="54"/>
  <c r="AC17" i="54"/>
  <c r="N19" i="54"/>
  <c r="O19" i="54"/>
  <c r="Q19" i="54"/>
  <c r="R19" i="54"/>
  <c r="S19" i="54"/>
  <c r="AC19" i="54"/>
  <c r="N20" i="54"/>
  <c r="O20" i="54"/>
  <c r="P20" i="54"/>
  <c r="R20" i="54"/>
  <c r="S20" i="54"/>
  <c r="AC20" i="54"/>
  <c r="AC21" i="54"/>
  <c r="N22" i="54"/>
  <c r="O22" i="54"/>
  <c r="P22" i="54"/>
  <c r="AC22" i="54"/>
  <c r="Q23" i="54"/>
  <c r="R23" i="54"/>
  <c r="AC23" i="54"/>
  <c r="N26" i="54"/>
  <c r="O26" i="54"/>
  <c r="R26" i="54"/>
  <c r="AC26" i="54"/>
  <c r="N27" i="54"/>
  <c r="R27" i="54"/>
  <c r="AC27" i="54"/>
  <c r="N28" i="54"/>
  <c r="AC28" i="54"/>
  <c r="N29" i="54"/>
  <c r="O29" i="54"/>
  <c r="P29" i="54"/>
  <c r="Q29" i="54"/>
  <c r="R29" i="54"/>
  <c r="S29" i="54"/>
  <c r="N30" i="54"/>
  <c r="O30" i="54"/>
  <c r="Q30" i="54"/>
  <c r="R30" i="54"/>
  <c r="S30" i="54"/>
  <c r="AC30" i="54"/>
  <c r="N31" i="54"/>
  <c r="O31" i="54"/>
  <c r="Q31" i="54"/>
  <c r="R31" i="54"/>
  <c r="S31" i="54"/>
  <c r="AC31" i="54"/>
  <c r="N32" i="54"/>
  <c r="O32" i="54"/>
  <c r="Q32" i="54"/>
  <c r="R32" i="54"/>
  <c r="S32" i="54"/>
  <c r="AC32" i="54"/>
  <c r="N33" i="54"/>
  <c r="O33" i="54"/>
  <c r="Q33" i="54"/>
  <c r="R33" i="54"/>
  <c r="AC33" i="54"/>
  <c r="N34" i="54"/>
  <c r="O34" i="54"/>
  <c r="Q34" i="54"/>
  <c r="R34" i="54"/>
  <c r="S34" i="54"/>
  <c r="AC34" i="54"/>
  <c r="N35" i="54"/>
  <c r="O35" i="54"/>
  <c r="Q35" i="54"/>
  <c r="R35" i="54"/>
  <c r="S35" i="54"/>
  <c r="AC35" i="54"/>
  <c r="N36" i="54"/>
  <c r="O36" i="54"/>
  <c r="Q36" i="54"/>
  <c r="R36" i="54"/>
  <c r="S36" i="54"/>
  <c r="AC36" i="54"/>
  <c r="N37" i="54"/>
  <c r="Q37" i="54"/>
  <c r="S37" i="54"/>
  <c r="AC37" i="54"/>
  <c r="N38" i="54"/>
  <c r="O38" i="54"/>
  <c r="Q38" i="54"/>
  <c r="R38" i="54"/>
  <c r="S38" i="54"/>
  <c r="AC38" i="54"/>
  <c r="N39" i="54"/>
  <c r="O39" i="54"/>
  <c r="Q39" i="54"/>
  <c r="R39" i="54"/>
  <c r="S39" i="54"/>
  <c r="AC39" i="54"/>
  <c r="N40" i="54"/>
  <c r="O40" i="54"/>
  <c r="Q40" i="54"/>
  <c r="R40" i="54"/>
  <c r="S40" i="54"/>
  <c r="AC40" i="54"/>
  <c r="N41" i="54"/>
  <c r="O41" i="54"/>
  <c r="Q41" i="54"/>
  <c r="R41" i="54"/>
  <c r="S41" i="54"/>
  <c r="AC41" i="54"/>
  <c r="N42" i="54"/>
  <c r="O42" i="54"/>
  <c r="P42" i="54"/>
  <c r="Q42" i="54"/>
  <c r="S42" i="54"/>
  <c r="AC42" i="54"/>
  <c r="AG42" i="54" s="1"/>
  <c r="AN42" i="54" s="1"/>
  <c r="AC44" i="54"/>
  <c r="Z1" i="45"/>
  <c r="C4" i="45"/>
  <c r="D4" i="45" s="1"/>
  <c r="E4" i="45" s="1"/>
  <c r="F4" i="45" s="1"/>
  <c r="G4" i="45" s="1"/>
  <c r="H4" i="45" s="1"/>
  <c r="I4" i="45" s="1"/>
  <c r="J4" i="45" s="1"/>
  <c r="K4" i="45" s="1"/>
  <c r="L4" i="45" s="1"/>
  <c r="M4" i="45" s="1"/>
  <c r="N4" i="45" s="1"/>
  <c r="O4" i="45" s="1"/>
  <c r="P4" i="45" s="1"/>
  <c r="Q4" i="45" s="1"/>
  <c r="R4" i="45" s="1"/>
  <c r="S4" i="45" s="1"/>
  <c r="T4" i="45" s="1"/>
  <c r="U4" i="45" s="1"/>
  <c r="V4" i="45" s="1"/>
  <c r="W4" i="45" s="1"/>
  <c r="X4" i="45" s="1"/>
  <c r="Y4" i="45" s="1"/>
  <c r="Z4" i="45" s="1"/>
  <c r="AA4" i="45" s="1"/>
  <c r="AB4" i="45" s="1"/>
  <c r="AC4" i="45" s="1"/>
  <c r="AD4" i="45" s="1"/>
  <c r="AE4" i="45" s="1"/>
  <c r="AF4" i="45" s="1"/>
  <c r="AG4" i="45" s="1"/>
  <c r="AH4" i="45" s="1"/>
  <c r="AI4" i="45" s="1"/>
  <c r="AJ4" i="45" s="1"/>
  <c r="AK4" i="45" s="1"/>
  <c r="AL4" i="45" s="1"/>
  <c r="AM4" i="45" s="1"/>
  <c r="AN4" i="45" s="1"/>
  <c r="AO4" i="45" s="1"/>
  <c r="AP4" i="45" s="1"/>
  <c r="AQ4" i="45" s="1"/>
  <c r="L8" i="45"/>
  <c r="O9" i="45"/>
  <c r="P9" i="45"/>
  <c r="Q9" i="45"/>
  <c r="R9" i="45"/>
  <c r="S9" i="45"/>
  <c r="AC9" i="45"/>
  <c r="N10" i="45"/>
  <c r="P10" i="45"/>
  <c r="Q10" i="45"/>
  <c r="R10" i="45"/>
  <c r="S10" i="45"/>
  <c r="AC10" i="45"/>
  <c r="N11" i="45"/>
  <c r="O11" i="45"/>
  <c r="Q11" i="45"/>
  <c r="R11" i="45"/>
  <c r="S11" i="45"/>
  <c r="AC11" i="45"/>
  <c r="N12" i="45"/>
  <c r="O12" i="45"/>
  <c r="Q12" i="45"/>
  <c r="R12" i="45"/>
  <c r="S12" i="45"/>
  <c r="AC12" i="45"/>
  <c r="N13" i="45"/>
  <c r="O13" i="45"/>
  <c r="Q13" i="45"/>
  <c r="R13" i="45"/>
  <c r="S13" i="45"/>
  <c r="U13" i="45"/>
  <c r="AC13" i="45"/>
  <c r="N14" i="45"/>
  <c r="O14" i="45"/>
  <c r="P14" i="45"/>
  <c r="R14" i="45"/>
  <c r="S14" i="45"/>
  <c r="U14" i="45"/>
  <c r="AC14" i="45"/>
  <c r="N15" i="45"/>
  <c r="O15" i="45"/>
  <c r="P15" i="45"/>
  <c r="Q15" i="45"/>
  <c r="S15" i="45"/>
  <c r="AC15" i="45"/>
  <c r="N16" i="45"/>
  <c r="O16" i="45"/>
  <c r="P16" i="45"/>
  <c r="Q16" i="45"/>
  <c r="R16" i="45"/>
  <c r="U16" i="45"/>
  <c r="AC16" i="45"/>
  <c r="AC17" i="45"/>
  <c r="N19" i="45"/>
  <c r="O19" i="45"/>
  <c r="Q19" i="45"/>
  <c r="R19" i="45"/>
  <c r="S19" i="45"/>
  <c r="AC19" i="45"/>
  <c r="N20" i="45"/>
  <c r="O20" i="45"/>
  <c r="P20" i="45"/>
  <c r="R20" i="45"/>
  <c r="S20" i="45"/>
  <c r="AC20" i="45"/>
  <c r="AC21" i="45"/>
  <c r="N22" i="45"/>
  <c r="O22" i="45"/>
  <c r="P22" i="45"/>
  <c r="AC22" i="45"/>
  <c r="Q23" i="45"/>
  <c r="R23" i="45"/>
  <c r="AC23" i="45"/>
  <c r="N26" i="45"/>
  <c r="O26" i="45"/>
  <c r="R26" i="45"/>
  <c r="AC26" i="45"/>
  <c r="N27" i="45"/>
  <c r="R27" i="45"/>
  <c r="AC27" i="45"/>
  <c r="N28" i="45"/>
  <c r="AC28" i="45"/>
  <c r="N29" i="45"/>
  <c r="O29" i="45"/>
  <c r="P29" i="45"/>
  <c r="Q29" i="45"/>
  <c r="R29" i="45"/>
  <c r="T29" i="45" s="1"/>
  <c r="S29" i="45"/>
  <c r="N30" i="45"/>
  <c r="O30" i="45"/>
  <c r="Q30" i="45"/>
  <c r="R30" i="45"/>
  <c r="S30" i="45"/>
  <c r="AC30" i="45"/>
  <c r="N31" i="45"/>
  <c r="O31" i="45"/>
  <c r="Q31" i="45"/>
  <c r="R31" i="45"/>
  <c r="S31" i="45"/>
  <c r="AC31" i="45"/>
  <c r="N32" i="45"/>
  <c r="O32" i="45"/>
  <c r="Q32" i="45"/>
  <c r="R32" i="45"/>
  <c r="S32" i="45"/>
  <c r="AC32" i="45"/>
  <c r="N33" i="45"/>
  <c r="O33" i="45"/>
  <c r="Q33" i="45"/>
  <c r="R33" i="45"/>
  <c r="AC33" i="45"/>
  <c r="N34" i="45"/>
  <c r="O34" i="45"/>
  <c r="Q34" i="45"/>
  <c r="R34" i="45"/>
  <c r="S34" i="45"/>
  <c r="AC34" i="45"/>
  <c r="N35" i="45"/>
  <c r="O35" i="45"/>
  <c r="Q35" i="45"/>
  <c r="R35" i="45"/>
  <c r="S35" i="45"/>
  <c r="AC35" i="45"/>
  <c r="N36" i="45"/>
  <c r="O36" i="45"/>
  <c r="Q36" i="45"/>
  <c r="R36" i="45"/>
  <c r="S36" i="45"/>
  <c r="AC36" i="45"/>
  <c r="N37" i="45"/>
  <c r="Q37" i="45"/>
  <c r="S37" i="45"/>
  <c r="AC37" i="45"/>
  <c r="N38" i="45"/>
  <c r="O38" i="45"/>
  <c r="Q38" i="45"/>
  <c r="R38" i="45"/>
  <c r="S38" i="45"/>
  <c r="AC38" i="45"/>
  <c r="N39" i="45"/>
  <c r="O39" i="45"/>
  <c r="Q39" i="45"/>
  <c r="R39" i="45"/>
  <c r="S39" i="45"/>
  <c r="AC39" i="45"/>
  <c r="N40" i="45"/>
  <c r="O40" i="45"/>
  <c r="Q40" i="45"/>
  <c r="R40" i="45"/>
  <c r="S40" i="45"/>
  <c r="AC40" i="45"/>
  <c r="N41" i="45"/>
  <c r="O41" i="45"/>
  <c r="Q41" i="45"/>
  <c r="R41" i="45"/>
  <c r="S41" i="45"/>
  <c r="AC41" i="45"/>
  <c r="N42" i="45"/>
  <c r="O42" i="45"/>
  <c r="P42" i="45"/>
  <c r="Q42" i="45"/>
  <c r="S42" i="45"/>
  <c r="AC42" i="45"/>
  <c r="AE42" i="45" s="1"/>
  <c r="AL42" i="45" s="1"/>
  <c r="AC44" i="45"/>
  <c r="Z1" i="41"/>
  <c r="C4" i="41"/>
  <c r="D4" i="41" s="1"/>
  <c r="E4" i="41" s="1"/>
  <c r="F4" i="41" s="1"/>
  <c r="G4" i="41" s="1"/>
  <c r="H4" i="41" s="1"/>
  <c r="I4" i="41" s="1"/>
  <c r="J4" i="41" s="1"/>
  <c r="K4" i="41" s="1"/>
  <c r="L4" i="41" s="1"/>
  <c r="M4" i="41" s="1"/>
  <c r="N4" i="41" s="1"/>
  <c r="O4" i="41" s="1"/>
  <c r="P4" i="41" s="1"/>
  <c r="Q4" i="41" s="1"/>
  <c r="R4" i="41" s="1"/>
  <c r="S4" i="41" s="1"/>
  <c r="T4" i="41" s="1"/>
  <c r="U4" i="41" s="1"/>
  <c r="V4" i="41" s="1"/>
  <c r="W4" i="41" s="1"/>
  <c r="X4" i="41" s="1"/>
  <c r="Y4" i="41" s="1"/>
  <c r="Z4" i="41" s="1"/>
  <c r="AA4" i="41" s="1"/>
  <c r="AB4" i="41" s="1"/>
  <c r="AC4" i="41" s="1"/>
  <c r="AD4" i="41" s="1"/>
  <c r="AE4" i="41" s="1"/>
  <c r="AF4" i="41" s="1"/>
  <c r="AG4" i="41" s="1"/>
  <c r="AH4" i="41" s="1"/>
  <c r="AI4" i="41" s="1"/>
  <c r="AJ4" i="41" s="1"/>
  <c r="AK4" i="41" s="1"/>
  <c r="AL4" i="41" s="1"/>
  <c r="AM4" i="41" s="1"/>
  <c r="AN4" i="41" s="1"/>
  <c r="AO4" i="41" s="1"/>
  <c r="AP4" i="41" s="1"/>
  <c r="AQ4" i="41" s="1"/>
  <c r="L8" i="41"/>
  <c r="O9" i="41"/>
  <c r="P9" i="41"/>
  <c r="Q9" i="41"/>
  <c r="R9" i="41"/>
  <c r="S9" i="41"/>
  <c r="AC9" i="41"/>
  <c r="N10" i="41"/>
  <c r="P10" i="41"/>
  <c r="Q10" i="41"/>
  <c r="R10" i="41"/>
  <c r="S10" i="41"/>
  <c r="AC10" i="41"/>
  <c r="N11" i="41"/>
  <c r="O11" i="41"/>
  <c r="Q11" i="41"/>
  <c r="R11" i="41"/>
  <c r="S11" i="41"/>
  <c r="AC11" i="41"/>
  <c r="N12" i="41"/>
  <c r="O12" i="41"/>
  <c r="Q12" i="41"/>
  <c r="R12" i="41"/>
  <c r="S12" i="41"/>
  <c r="AC12" i="41"/>
  <c r="N13" i="41"/>
  <c r="O13" i="41"/>
  <c r="Q13" i="41"/>
  <c r="R13" i="41"/>
  <c r="S13" i="41"/>
  <c r="U13" i="41"/>
  <c r="AC13" i="41"/>
  <c r="N14" i="41"/>
  <c r="O14" i="41"/>
  <c r="P14" i="41"/>
  <c r="R14" i="41"/>
  <c r="S14" i="41"/>
  <c r="U14" i="41"/>
  <c r="AC14" i="41"/>
  <c r="N15" i="41"/>
  <c r="O15" i="41"/>
  <c r="P15" i="41"/>
  <c r="Q15" i="41"/>
  <c r="S15" i="41"/>
  <c r="AC15" i="41"/>
  <c r="N16" i="41"/>
  <c r="O16" i="41"/>
  <c r="P16" i="41"/>
  <c r="Q16" i="41"/>
  <c r="R16" i="41"/>
  <c r="U16" i="41"/>
  <c r="AC16" i="41"/>
  <c r="AC17" i="41"/>
  <c r="N19" i="41"/>
  <c r="O19" i="41"/>
  <c r="Q19" i="41"/>
  <c r="R19" i="41"/>
  <c r="S19" i="41"/>
  <c r="AC19" i="41"/>
  <c r="N20" i="41"/>
  <c r="O20" i="41"/>
  <c r="P20" i="41"/>
  <c r="S20" i="41"/>
  <c r="AC20" i="41"/>
  <c r="AC21" i="41"/>
  <c r="N22" i="41"/>
  <c r="O22" i="41"/>
  <c r="P22" i="41"/>
  <c r="AC22" i="41"/>
  <c r="Q23" i="41"/>
  <c r="R23" i="41"/>
  <c r="AC23" i="41"/>
  <c r="N26" i="41"/>
  <c r="O26" i="41"/>
  <c r="R26" i="41"/>
  <c r="AC26" i="41"/>
  <c r="N27" i="41"/>
  <c r="R27" i="41"/>
  <c r="AC27" i="41"/>
  <c r="N28" i="41"/>
  <c r="AC28" i="41"/>
  <c r="N29" i="41"/>
  <c r="O29" i="41"/>
  <c r="P29" i="41"/>
  <c r="Q29" i="41"/>
  <c r="R29" i="41"/>
  <c r="S29" i="41"/>
  <c r="N30" i="41"/>
  <c r="O30" i="41"/>
  <c r="Q30" i="41"/>
  <c r="R30" i="41"/>
  <c r="S30" i="41"/>
  <c r="AC30" i="41"/>
  <c r="N31" i="41"/>
  <c r="O31" i="41"/>
  <c r="Q31" i="41"/>
  <c r="R31" i="41"/>
  <c r="S31" i="41"/>
  <c r="AC31" i="41"/>
  <c r="N32" i="41"/>
  <c r="O32" i="41"/>
  <c r="Q32" i="41"/>
  <c r="R32" i="41"/>
  <c r="S32" i="41"/>
  <c r="AC32" i="41"/>
  <c r="N33" i="41"/>
  <c r="O33" i="41"/>
  <c r="Q33" i="41"/>
  <c r="R33" i="41"/>
  <c r="AC33" i="41"/>
  <c r="N34" i="41"/>
  <c r="O34" i="41"/>
  <c r="Q34" i="41"/>
  <c r="R34" i="41"/>
  <c r="S34" i="41"/>
  <c r="AC34" i="41"/>
  <c r="N35" i="41"/>
  <c r="O35" i="41"/>
  <c r="Q35" i="41"/>
  <c r="R35" i="41"/>
  <c r="S35" i="41"/>
  <c r="AC35" i="41"/>
  <c r="N36" i="41"/>
  <c r="O36" i="41"/>
  <c r="Q36" i="41"/>
  <c r="R36" i="41"/>
  <c r="S36" i="41"/>
  <c r="AC36" i="41"/>
  <c r="N37" i="41"/>
  <c r="Q37" i="41"/>
  <c r="S37" i="41"/>
  <c r="AC37" i="41"/>
  <c r="N38" i="41"/>
  <c r="O38" i="41"/>
  <c r="Q38" i="41"/>
  <c r="S38" i="41"/>
  <c r="AC38" i="41"/>
  <c r="N39" i="41"/>
  <c r="O39" i="41"/>
  <c r="Q39" i="41"/>
  <c r="R39" i="41"/>
  <c r="S39" i="41"/>
  <c r="AC39" i="41"/>
  <c r="N40" i="41"/>
  <c r="O40" i="41"/>
  <c r="Q40" i="41"/>
  <c r="R40" i="41"/>
  <c r="S40" i="41"/>
  <c r="AC40" i="41"/>
  <c r="N41" i="41"/>
  <c r="O41" i="41"/>
  <c r="Q41" i="41"/>
  <c r="R41" i="41"/>
  <c r="S41" i="41"/>
  <c r="AC41" i="41"/>
  <c r="N42" i="41"/>
  <c r="O42" i="41"/>
  <c r="P42" i="41"/>
  <c r="Q42" i="41"/>
  <c r="S42" i="41"/>
  <c r="AC44" i="41"/>
  <c r="B6" i="2"/>
  <c r="B7" i="2" s="1"/>
  <c r="E101" i="2"/>
  <c r="F101" i="2"/>
  <c r="G101" i="2"/>
  <c r="H101" i="2"/>
  <c r="I101" i="2"/>
  <c r="J101" i="2"/>
  <c r="K101" i="2"/>
  <c r="L101" i="2"/>
  <c r="M101" i="2"/>
  <c r="N101" i="2"/>
  <c r="O101" i="2"/>
  <c r="P101" i="2"/>
  <c r="Q101" i="2"/>
  <c r="R101" i="2"/>
  <c r="S101" i="2"/>
  <c r="T101" i="2"/>
  <c r="U101" i="2"/>
  <c r="V101" i="2"/>
  <c r="W101" i="2"/>
  <c r="X101" i="2"/>
  <c r="Y101" i="2"/>
  <c r="Z101" i="2"/>
  <c r="C18" i="16"/>
  <c r="D18" i="16"/>
  <c r="E18" i="16"/>
  <c r="F18" i="16"/>
  <c r="G18" i="16"/>
  <c r="H18" i="16"/>
  <c r="I18" i="16"/>
  <c r="J18" i="16"/>
  <c r="K18" i="16"/>
  <c r="L18" i="16"/>
  <c r="M18" i="16"/>
  <c r="N18" i="16"/>
  <c r="O18" i="16"/>
  <c r="P18" i="16"/>
  <c r="Q18" i="16"/>
  <c r="R18" i="16"/>
  <c r="S18" i="16"/>
  <c r="T18" i="16"/>
  <c r="U18" i="16"/>
  <c r="V18" i="16"/>
  <c r="W18" i="16"/>
  <c r="X18" i="16"/>
  <c r="C62" i="10"/>
  <c r="C151" i="10" s="1"/>
  <c r="L84" i="33" s="1"/>
  <c r="D62" i="10"/>
  <c r="D151" i="10" s="1"/>
  <c r="M84" i="33" s="1"/>
  <c r="E62" i="10"/>
  <c r="E151" i="10" s="1"/>
  <c r="N84" i="33" s="1"/>
  <c r="F62" i="10"/>
  <c r="F151" i="10" s="1"/>
  <c r="O84" i="33" s="1"/>
  <c r="G62" i="10"/>
  <c r="G151" i="10" s="1"/>
  <c r="P84" i="33" s="1"/>
  <c r="H62" i="10"/>
  <c r="H151" i="10" s="1"/>
  <c r="Q84" i="33" s="1"/>
  <c r="I62" i="10"/>
  <c r="I151" i="10" s="1"/>
  <c r="R84" i="33" s="1"/>
  <c r="J62" i="10"/>
  <c r="J151" i="10" s="1"/>
  <c r="S84" i="33" s="1"/>
  <c r="K62" i="10"/>
  <c r="K151" i="10" s="1"/>
  <c r="T84" i="33" s="1"/>
  <c r="L62" i="10"/>
  <c r="L151" i="10" s="1"/>
  <c r="U84" i="33" s="1"/>
  <c r="M62" i="10"/>
  <c r="M151" i="10" s="1"/>
  <c r="V84" i="33" s="1"/>
  <c r="N62" i="10"/>
  <c r="N151" i="10" s="1"/>
  <c r="W84" i="33" s="1"/>
  <c r="O62" i="10"/>
  <c r="O151" i="10" s="1"/>
  <c r="X84" i="33" s="1"/>
  <c r="P62" i="10"/>
  <c r="P151" i="10" s="1"/>
  <c r="Y84" i="33" s="1"/>
  <c r="Q62" i="10"/>
  <c r="Q151" i="10" s="1"/>
  <c r="Z84" i="33" s="1"/>
  <c r="R62" i="10"/>
  <c r="R151" i="10" s="1"/>
  <c r="AA84" i="33" s="1"/>
  <c r="S62" i="10"/>
  <c r="S151" i="10" s="1"/>
  <c r="AB84" i="33" s="1"/>
  <c r="T62" i="10"/>
  <c r="T151" i="10" s="1"/>
  <c r="AC84" i="33" s="1"/>
  <c r="U62" i="10"/>
  <c r="U151" i="10" s="1"/>
  <c r="AD84" i="33" s="1"/>
  <c r="V62" i="10"/>
  <c r="V151" i="10" s="1"/>
  <c r="AE84" i="33" s="1"/>
  <c r="W62" i="10"/>
  <c r="W151" i="10" s="1"/>
  <c r="AF84" i="33" s="1"/>
  <c r="X62" i="10"/>
  <c r="X151" i="10" s="1"/>
  <c r="AG84" i="33" s="1"/>
  <c r="C116" i="10"/>
  <c r="D116" i="10"/>
  <c r="E116" i="10"/>
  <c r="F116" i="10"/>
  <c r="G116" i="10"/>
  <c r="H116" i="10"/>
  <c r="I116" i="10"/>
  <c r="J116" i="10"/>
  <c r="K116" i="10"/>
  <c r="L116" i="10"/>
  <c r="M116" i="10"/>
  <c r="N116" i="10"/>
  <c r="O116" i="10"/>
  <c r="P116" i="10"/>
  <c r="X100" i="32" s="1"/>
  <c r="Q116" i="10"/>
  <c r="Z100" i="32" s="1"/>
  <c r="R116" i="10"/>
  <c r="AB100" i="32" s="1"/>
  <c r="S116" i="10"/>
  <c r="AD100" i="32" s="1"/>
  <c r="T116" i="10"/>
  <c r="AF100" i="32" s="1"/>
  <c r="U116" i="10"/>
  <c r="AH100" i="32" s="1"/>
  <c r="V116" i="10"/>
  <c r="AJ100" i="32" s="1"/>
  <c r="W116" i="10"/>
  <c r="AL100" i="32" s="1"/>
  <c r="X116" i="10"/>
  <c r="AN100" i="32" s="1"/>
  <c r="C126" i="10"/>
  <c r="D126" i="10"/>
  <c r="M133" i="33" s="1"/>
  <c r="E126" i="10"/>
  <c r="N133" i="33" s="1"/>
  <c r="F126" i="10"/>
  <c r="O133" i="33" s="1"/>
  <c r="G126" i="10"/>
  <c r="P133" i="33" s="1"/>
  <c r="H126" i="10"/>
  <c r="Q133" i="33" s="1"/>
  <c r="I126" i="10"/>
  <c r="R133" i="33" s="1"/>
  <c r="J126" i="10"/>
  <c r="S133" i="33" s="1"/>
  <c r="K126" i="10"/>
  <c r="T133" i="33" s="1"/>
  <c r="L126" i="10"/>
  <c r="U133" i="33" s="1"/>
  <c r="C161" i="10"/>
  <c r="L94" i="33" s="1"/>
  <c r="D161" i="10"/>
  <c r="M94" i="33" s="1"/>
  <c r="E161" i="10"/>
  <c r="N94" i="33" s="1"/>
  <c r="F161" i="10"/>
  <c r="O94" i="33" s="1"/>
  <c r="G161" i="10"/>
  <c r="P94" i="33" s="1"/>
  <c r="H161" i="10"/>
  <c r="Q94" i="33" s="1"/>
  <c r="I161" i="10"/>
  <c r="R94" i="33" s="1"/>
  <c r="J161" i="10"/>
  <c r="S94" i="33" s="1"/>
  <c r="K161" i="10"/>
  <c r="T94" i="33" s="1"/>
  <c r="L161" i="10"/>
  <c r="U94" i="33" s="1"/>
  <c r="AM8" i="71"/>
  <c r="C8" i="71" s="1"/>
  <c r="AN8" i="71"/>
  <c r="D63" i="71" s="1"/>
  <c r="AO8" i="71"/>
  <c r="E63" i="71" s="1"/>
  <c r="AP8" i="71"/>
  <c r="F8" i="71" s="1"/>
  <c r="AQ8" i="71"/>
  <c r="G63" i="71" s="1"/>
  <c r="AR8" i="71"/>
  <c r="H8" i="71" s="1"/>
  <c r="AS8" i="71"/>
  <c r="I63" i="71" s="1"/>
  <c r="AT8" i="71"/>
  <c r="J63" i="71" s="1"/>
  <c r="AU8" i="71"/>
  <c r="K63" i="71" s="1"/>
  <c r="AV8" i="71"/>
  <c r="L8" i="71" s="1"/>
  <c r="AW8" i="71"/>
  <c r="M63" i="71" s="1"/>
  <c r="AX8" i="71"/>
  <c r="N8" i="71" s="1"/>
  <c r="AY8" i="71"/>
  <c r="O8" i="71" s="1"/>
  <c r="AZ8" i="71"/>
  <c r="P63" i="71" s="1"/>
  <c r="BA8" i="71"/>
  <c r="Q63" i="71" s="1"/>
  <c r="BB8" i="71"/>
  <c r="R63" i="71" s="1"/>
  <c r="BC8" i="71"/>
  <c r="S8" i="71" s="1"/>
  <c r="BD8" i="71"/>
  <c r="T63" i="71" s="1"/>
  <c r="BE8" i="71"/>
  <c r="U8" i="71" s="1"/>
  <c r="BF8" i="71"/>
  <c r="V8" i="71" s="1"/>
  <c r="BG8" i="71"/>
  <c r="W63" i="71" s="1"/>
  <c r="AM17" i="71"/>
  <c r="C72" i="71" s="1"/>
  <c r="AN17" i="71"/>
  <c r="D72" i="71" s="1"/>
  <c r="AO17" i="71"/>
  <c r="E17" i="71" s="1"/>
  <c r="AP17" i="71"/>
  <c r="F17" i="71" s="1"/>
  <c r="AQ17" i="71"/>
  <c r="G17" i="71" s="1"/>
  <c r="AR17" i="71"/>
  <c r="H17" i="71" s="1"/>
  <c r="AS17" i="71"/>
  <c r="I17" i="71" s="1"/>
  <c r="AT17" i="71"/>
  <c r="J17" i="71" s="1"/>
  <c r="AU17" i="71"/>
  <c r="K72" i="71" s="1"/>
  <c r="AV17" i="71"/>
  <c r="L72" i="71" s="1"/>
  <c r="U28" i="69"/>
  <c r="U28" i="55"/>
  <c r="U36" i="64"/>
  <c r="U36" i="81"/>
  <c r="W36" i="81" s="1"/>
  <c r="AE36" i="81" s="1"/>
  <c r="AL36" i="81" s="1"/>
  <c r="U36" i="85"/>
  <c r="U36" i="77"/>
  <c r="U36" i="49"/>
  <c r="U36" i="47"/>
  <c r="U36" i="87"/>
  <c r="U28" i="54"/>
  <c r="U28" i="56"/>
  <c r="U28" i="84"/>
  <c r="U36" i="79"/>
  <c r="U36" i="52"/>
  <c r="U36" i="82"/>
  <c r="U36" i="73"/>
  <c r="U28" i="83"/>
  <c r="U28" i="73"/>
  <c r="U28" i="81"/>
  <c r="U28" i="53"/>
  <c r="U19" i="84"/>
  <c r="U28" i="51"/>
  <c r="U26" i="73"/>
  <c r="U26" i="58"/>
  <c r="U26" i="83"/>
  <c r="U26" i="47"/>
  <c r="U26" i="51"/>
  <c r="U28" i="48"/>
  <c r="U28" i="58"/>
  <c r="U36" i="55"/>
  <c r="U36" i="58"/>
  <c r="U36" i="41"/>
  <c r="U38" i="56"/>
  <c r="U39" i="79"/>
  <c r="U39" i="53"/>
  <c r="U39" i="83"/>
  <c r="U39" i="64"/>
  <c r="U39" i="87"/>
  <c r="U39" i="58"/>
  <c r="U39" i="47"/>
  <c r="U34" i="41"/>
  <c r="U19" i="48"/>
  <c r="U19" i="79"/>
  <c r="U19" i="81"/>
  <c r="U19" i="73"/>
  <c r="U19" i="52"/>
  <c r="U19" i="64"/>
  <c r="U19" i="54"/>
  <c r="U35" i="73"/>
  <c r="U35" i="77"/>
  <c r="U35" i="49"/>
  <c r="U35" i="55"/>
  <c r="U30" i="54"/>
  <c r="U30" i="47"/>
  <c r="U30" i="69"/>
  <c r="U23" i="87"/>
  <c r="U23" i="54"/>
  <c r="U23" i="51"/>
  <c r="U30" i="56"/>
  <c r="U30" i="85"/>
  <c r="U30" i="45"/>
  <c r="U30" i="72"/>
  <c r="U30" i="55"/>
  <c r="U30" i="84"/>
  <c r="U30" i="53"/>
  <c r="U30" i="41"/>
  <c r="U23" i="53"/>
  <c r="U23" i="41"/>
  <c r="U23" i="45"/>
  <c r="U23" i="69"/>
  <c r="U23" i="83"/>
  <c r="U23" i="79"/>
  <c r="U23" i="81"/>
  <c r="U23" i="46"/>
  <c r="U23" i="73"/>
  <c r="U23" i="48"/>
  <c r="U23" i="85"/>
  <c r="U35" i="87"/>
  <c r="U35" i="52"/>
  <c r="U35" i="53"/>
  <c r="U35" i="58"/>
  <c r="U35" i="48"/>
  <c r="U35" i="46"/>
  <c r="U35" i="64"/>
  <c r="U35" i="47"/>
  <c r="U35" i="41"/>
  <c r="U39" i="73"/>
  <c r="U19" i="69"/>
  <c r="U34" i="87"/>
  <c r="U34" i="51"/>
  <c r="U39" i="49"/>
  <c r="U39" i="72"/>
  <c r="U34" i="81"/>
  <c r="U39" i="77"/>
  <c r="AC24" i="5"/>
  <c r="AD24" i="5"/>
  <c r="U38" i="83"/>
  <c r="U38" i="72"/>
  <c r="U38" i="41"/>
  <c r="U38" i="55"/>
  <c r="V38" i="55" s="1"/>
  <c r="AD38" i="55" s="1"/>
  <c r="AK38" i="55" s="1"/>
  <c r="U38" i="50"/>
  <c r="U38" i="48"/>
  <c r="U38" i="58"/>
  <c r="U35" i="81"/>
  <c r="U35" i="54"/>
  <c r="U35" i="82"/>
  <c r="U35" i="83"/>
  <c r="U35" i="45"/>
  <c r="U35" i="84"/>
  <c r="U35" i="72"/>
  <c r="U34" i="47"/>
  <c r="U34" i="52"/>
  <c r="U34" i="53"/>
  <c r="U34" i="50"/>
  <c r="U34" i="79"/>
  <c r="U34" i="49"/>
  <c r="V34" i="49" s="1"/>
  <c r="AD34" i="49" s="1"/>
  <c r="AK34" i="49" s="1"/>
  <c r="U30" i="49"/>
  <c r="U30" i="81"/>
  <c r="U30" i="51"/>
  <c r="U37" i="54"/>
  <c r="U37" i="46"/>
  <c r="U37" i="45"/>
  <c r="U39" i="48"/>
  <c r="U39" i="69"/>
  <c r="U39" i="41"/>
  <c r="U39" i="55"/>
  <c r="U39" i="54"/>
  <c r="U39" i="56"/>
  <c r="U39" i="50"/>
  <c r="U39" i="82"/>
  <c r="U39" i="46"/>
  <c r="U39" i="84"/>
  <c r="U39" i="45"/>
  <c r="U39" i="85"/>
  <c r="U34" i="77"/>
  <c r="U34" i="64"/>
  <c r="U34" i="58"/>
  <c r="U34" i="72"/>
  <c r="U34" i="85"/>
  <c r="U34" i="83"/>
  <c r="AA34" i="83" s="1"/>
  <c r="AI34" i="83" s="1"/>
  <c r="AP34" i="83" s="1"/>
  <c r="U23" i="52"/>
  <c r="U23" i="49"/>
  <c r="U23" i="55"/>
  <c r="U23" i="64"/>
  <c r="U23" i="72"/>
  <c r="U23" i="47"/>
  <c r="U23" i="50"/>
  <c r="U38" i="88"/>
  <c r="U38" i="54"/>
  <c r="U35" i="88"/>
  <c r="U35" i="50"/>
  <c r="U35" i="56"/>
  <c r="U35" i="79"/>
  <c r="U35" i="85"/>
  <c r="U35" i="69"/>
  <c r="U26" i="64"/>
  <c r="Z26" i="64" s="1"/>
  <c r="AH26" i="64" s="1"/>
  <c r="AO26" i="64" s="1"/>
  <c r="U19" i="88"/>
  <c r="U19" i="72"/>
  <c r="U19" i="51"/>
  <c r="U19" i="82"/>
  <c r="U19" i="53"/>
  <c r="U19" i="46"/>
  <c r="U19" i="56"/>
  <c r="U19" i="77"/>
  <c r="U19" i="87"/>
  <c r="U19" i="45"/>
  <c r="U41" i="73"/>
  <c r="U41" i="58"/>
  <c r="U30" i="88"/>
  <c r="U23" i="88"/>
  <c r="U23" i="77"/>
  <c r="U30" i="58"/>
  <c r="U30" i="87"/>
  <c r="U26" i="88"/>
  <c r="U37" i="88"/>
  <c r="U41" i="48"/>
  <c r="AD22" i="5"/>
  <c r="AE22" i="5" s="1"/>
  <c r="AF22" i="5" s="1"/>
  <c r="AG22" i="5" s="1"/>
  <c r="AH22" i="5" s="1"/>
  <c r="AI22" i="5" s="1"/>
  <c r="AJ22" i="5" s="1"/>
  <c r="AK22" i="5" s="1"/>
  <c r="AL22" i="5" s="1"/>
  <c r="AM22" i="5" s="1"/>
  <c r="AN22" i="5" s="1"/>
  <c r="AO22" i="5" s="1"/>
  <c r="AC22" i="5"/>
  <c r="U19" i="47"/>
  <c r="U19" i="50"/>
  <c r="Y19" i="50" s="1"/>
  <c r="AG19" i="50" s="1"/>
  <c r="AN19" i="50" s="1"/>
  <c r="U19" i="85"/>
  <c r="U19" i="41"/>
  <c r="U19" i="83"/>
  <c r="U19" i="58"/>
  <c r="U19" i="55"/>
  <c r="U19" i="49"/>
  <c r="U36" i="83"/>
  <c r="U36" i="48"/>
  <c r="W36" i="48" s="1"/>
  <c r="U36" i="51"/>
  <c r="U36" i="45"/>
  <c r="U36" i="46"/>
  <c r="U36" i="53"/>
  <c r="U36" i="50"/>
  <c r="U20" i="46"/>
  <c r="U28" i="47"/>
  <c r="U28" i="46"/>
  <c r="U28" i="87"/>
  <c r="U28" i="72"/>
  <c r="U28" i="50"/>
  <c r="U28" i="41"/>
  <c r="U28" i="45"/>
  <c r="U36" i="88"/>
  <c r="U41" i="49"/>
  <c r="U20" i="79"/>
  <c r="AC25" i="5"/>
  <c r="AD25" i="5"/>
  <c r="U20" i="53"/>
  <c r="U20" i="85"/>
  <c r="U20" i="82"/>
  <c r="U20" i="72"/>
  <c r="U20" i="83"/>
  <c r="U20" i="64"/>
  <c r="U20" i="52"/>
  <c r="U20" i="73"/>
  <c r="U20" i="49"/>
  <c r="U20" i="45"/>
  <c r="U20" i="88"/>
  <c r="U20" i="81"/>
  <c r="U20" i="41"/>
  <c r="U20" i="58"/>
  <c r="U20" i="69"/>
  <c r="U20" i="51"/>
  <c r="U20" i="56"/>
  <c r="U20" i="87"/>
  <c r="U20" i="77"/>
  <c r="U20" i="50"/>
  <c r="U20" i="84"/>
  <c r="U20" i="47"/>
  <c r="U20" i="55"/>
  <c r="U20" i="54"/>
  <c r="U36" i="54"/>
  <c r="U36" i="69"/>
  <c r="U36" i="72"/>
  <c r="U36" i="56"/>
  <c r="U36" i="84"/>
  <c r="U39" i="88"/>
  <c r="V39" i="88" s="1"/>
  <c r="AD39" i="88" s="1"/>
  <c r="AK39" i="88" s="1"/>
  <c r="U39" i="81"/>
  <c r="U39" i="51"/>
  <c r="U41" i="79"/>
  <c r="AC21" i="5"/>
  <c r="AD21" i="5"/>
  <c r="U38" i="87"/>
  <c r="U38" i="64"/>
  <c r="U38" i="84"/>
  <c r="U38" i="77"/>
  <c r="U38" i="51"/>
  <c r="U38" i="82"/>
  <c r="U38" i="52"/>
  <c r="U38" i="47"/>
  <c r="U38" i="46"/>
  <c r="U38" i="49"/>
  <c r="U38" i="53"/>
  <c r="U38" i="45"/>
  <c r="U38" i="73"/>
  <c r="U38" i="69"/>
  <c r="U38" i="81"/>
  <c r="U38" i="79"/>
  <c r="U38" i="85"/>
  <c r="U37" i="73"/>
  <c r="U37" i="72"/>
  <c r="U37" i="83"/>
  <c r="U37" i="52"/>
  <c r="U37" i="47"/>
  <c r="U37" i="81"/>
  <c r="U37" i="58"/>
  <c r="U37" i="69"/>
  <c r="U37" i="49"/>
  <c r="U37" i="56"/>
  <c r="U37" i="77"/>
  <c r="U37" i="55"/>
  <c r="U37" i="53"/>
  <c r="U34" i="73"/>
  <c r="U34" i="56"/>
  <c r="U34" i="88"/>
  <c r="U34" i="55"/>
  <c r="U28" i="52"/>
  <c r="U28" i="85"/>
  <c r="U28" i="79"/>
  <c r="U28" i="82"/>
  <c r="U28" i="77"/>
  <c r="U28" i="64"/>
  <c r="U28" i="49"/>
  <c r="U37" i="48"/>
  <c r="U37" i="64"/>
  <c r="U37" i="79"/>
  <c r="U37" i="85"/>
  <c r="U37" i="41"/>
  <c r="U37" i="84"/>
  <c r="U37" i="87"/>
  <c r="U37" i="50"/>
  <c r="U37" i="51"/>
  <c r="U37" i="82"/>
  <c r="U23" i="58"/>
  <c r="U23" i="56"/>
  <c r="U41" i="77"/>
  <c r="U41" i="88"/>
  <c r="U41" i="82"/>
  <c r="U41" i="51"/>
  <c r="U41" i="83"/>
  <c r="U41" i="50"/>
  <c r="W41" i="50" s="1"/>
  <c r="U41" i="81"/>
  <c r="U41" i="54"/>
  <c r="U41" i="47"/>
  <c r="U41" i="56"/>
  <c r="U41" i="45"/>
  <c r="U41" i="53"/>
  <c r="U41" i="55"/>
  <c r="U41" i="41"/>
  <c r="U41" i="85"/>
  <c r="U41" i="72"/>
  <c r="U41" i="69"/>
  <c r="U41" i="52"/>
  <c r="U41" i="46"/>
  <c r="U41" i="87"/>
  <c r="U41" i="64"/>
  <c r="U41" i="84"/>
  <c r="U34" i="90"/>
  <c r="U34" i="54"/>
  <c r="U30" i="90"/>
  <c r="U30" i="83"/>
  <c r="U30" i="79"/>
  <c r="U30" i="50"/>
  <c r="U30" i="46"/>
  <c r="U30" i="48"/>
  <c r="U26" i="90"/>
  <c r="U26" i="53"/>
  <c r="U26" i="79"/>
  <c r="U26" i="82"/>
  <c r="U26" i="81"/>
  <c r="U26" i="72"/>
  <c r="U26" i="69"/>
  <c r="U26" i="55"/>
  <c r="U26" i="46"/>
  <c r="U26" i="41"/>
  <c r="U26" i="77"/>
  <c r="U26" i="45"/>
  <c r="U26" i="48"/>
  <c r="U26" i="49"/>
  <c r="U30" i="52"/>
  <c r="U26" i="84"/>
  <c r="U26" i="87"/>
  <c r="U26" i="85"/>
  <c r="U30" i="73"/>
  <c r="U34" i="82"/>
  <c r="AA34" i="82" s="1"/>
  <c r="AI34" i="82" s="1"/>
  <c r="AP34" i="82" s="1"/>
  <c r="U34" i="84"/>
  <c r="U34" i="69"/>
  <c r="U34" i="48"/>
  <c r="U34" i="45"/>
  <c r="U30" i="82"/>
  <c r="U30" i="64"/>
  <c r="U30" i="77"/>
  <c r="U34" i="46"/>
  <c r="U26" i="50"/>
  <c r="U26" i="56"/>
  <c r="U26" i="54"/>
  <c r="U26" i="52"/>
  <c r="U23" i="90"/>
  <c r="U23" i="84"/>
  <c r="U23" i="82"/>
  <c r="U37" i="90"/>
  <c r="U39" i="52"/>
  <c r="U35" i="51"/>
  <c r="K65" i="44"/>
  <c r="K67" i="44"/>
  <c r="O65" i="44"/>
  <c r="Z67" i="44"/>
  <c r="I65" i="44"/>
  <c r="Q65" i="44"/>
  <c r="R22" i="77"/>
  <c r="R22" i="82"/>
  <c r="R22" i="83"/>
  <c r="R22" i="52"/>
  <c r="R22" i="48"/>
  <c r="R22" i="53"/>
  <c r="R22" i="41"/>
  <c r="R22" i="49"/>
  <c r="R22" i="69"/>
  <c r="R22" i="72"/>
  <c r="R22" i="64"/>
  <c r="R22" i="88"/>
  <c r="R22" i="81"/>
  <c r="R22" i="73"/>
  <c r="R22" i="54"/>
  <c r="R22" i="58"/>
  <c r="R22" i="46"/>
  <c r="R22" i="51"/>
  <c r="R22" i="79"/>
  <c r="R22" i="50"/>
  <c r="R22" i="84"/>
  <c r="R22" i="55"/>
  <c r="R22" i="90"/>
  <c r="R22" i="56"/>
  <c r="R22" i="85"/>
  <c r="R22" i="45"/>
  <c r="R22" i="47"/>
  <c r="P9" i="81"/>
  <c r="R22" i="87"/>
  <c r="AB62" i="10"/>
  <c r="AB151" i="10" s="1"/>
  <c r="AK84" i="33" s="1"/>
  <c r="E67" i="44"/>
  <c r="E65" i="44"/>
  <c r="L65" i="44"/>
  <c r="S65" i="44"/>
  <c r="W65" i="44"/>
  <c r="AA65" i="44"/>
  <c r="AE65" i="44"/>
  <c r="N67" i="44"/>
  <c r="Q67" i="44"/>
  <c r="I67" i="44"/>
  <c r="G65" i="44"/>
  <c r="N65" i="44"/>
  <c r="U65" i="44"/>
  <c r="Y65" i="44"/>
  <c r="AC65" i="44"/>
  <c r="G67" i="44"/>
  <c r="V67" i="44"/>
  <c r="Y67" i="44"/>
  <c r="O67" i="44"/>
  <c r="W67" i="44"/>
  <c r="M67" i="44"/>
  <c r="U67" i="44"/>
  <c r="S67" i="44"/>
  <c r="U30" i="20"/>
  <c r="H32" i="20"/>
  <c r="X29" i="84"/>
  <c r="AF29" i="84" s="1"/>
  <c r="AM29" i="84" s="1"/>
  <c r="AE112" i="44"/>
  <c r="V29" i="41"/>
  <c r="AD29" i="41" s="1"/>
  <c r="AK29" i="41" s="1"/>
  <c r="B9" i="21"/>
  <c r="W35" i="95"/>
  <c r="Y37" i="95"/>
  <c r="AC170" i="44"/>
  <c r="G32" i="20"/>
  <c r="O32" i="20"/>
  <c r="AA32" i="20"/>
  <c r="K33" i="20"/>
  <c r="K37" i="20"/>
  <c r="W37" i="20"/>
  <c r="G38" i="20"/>
  <c r="H27" i="44" s="1"/>
  <c r="O38" i="20"/>
  <c r="P27" i="44" s="1"/>
  <c r="D29" i="20"/>
  <c r="D32" i="20"/>
  <c r="P32" i="20"/>
  <c r="X32" i="20"/>
  <c r="D33" i="20"/>
  <c r="T34" i="20"/>
  <c r="L37" i="20"/>
  <c r="T37" i="20"/>
  <c r="AB37" i="20"/>
  <c r="D38" i="20"/>
  <c r="E27" i="44" s="1"/>
  <c r="S32" i="20"/>
  <c r="AE32" i="20"/>
  <c r="S33" i="20"/>
  <c r="O37" i="20"/>
  <c r="AE37" i="20"/>
  <c r="W38" i="20"/>
  <c r="X27" i="44" s="1"/>
  <c r="M33" i="79" s="1"/>
  <c r="H108" i="13"/>
  <c r="E30" i="20"/>
  <c r="D27" i="37" s="1"/>
  <c r="D27" i="16" s="1"/>
  <c r="I30" i="20"/>
  <c r="M30" i="20"/>
  <c r="Q30" i="20"/>
  <c r="Y30" i="20"/>
  <c r="X27" i="37" s="1"/>
  <c r="X27" i="16" s="1"/>
  <c r="AC30" i="20"/>
  <c r="I33" i="20"/>
  <c r="AC33" i="20"/>
  <c r="E34" i="20"/>
  <c r="I34" i="20"/>
  <c r="M34" i="20"/>
  <c r="Q34" i="20"/>
  <c r="U34" i="20"/>
  <c r="Y34" i="20"/>
  <c r="AC34" i="20"/>
  <c r="I36" i="20"/>
  <c r="I38" i="20"/>
  <c r="J27" i="44" s="1"/>
  <c r="G29" i="20"/>
  <c r="F26" i="37" s="1"/>
  <c r="F26" i="16" s="1"/>
  <c r="W29" i="20"/>
  <c r="K32" i="20"/>
  <c r="W32" i="20"/>
  <c r="AA33" i="20"/>
  <c r="S36" i="20"/>
  <c r="G37" i="20"/>
  <c r="S37" i="20"/>
  <c r="AA37" i="20"/>
  <c r="F29" i="20"/>
  <c r="J29" i="20"/>
  <c r="I26" i="37" s="1"/>
  <c r="I26" i="16" s="1"/>
  <c r="N29" i="20"/>
  <c r="H16" i="46" s="1"/>
  <c r="H8" i="46" s="1"/>
  <c r="R29" i="20"/>
  <c r="V29" i="20"/>
  <c r="U26" i="37" s="1"/>
  <c r="U26" i="16" s="1"/>
  <c r="Y108" i="13"/>
  <c r="R32" i="20"/>
  <c r="F33" i="20"/>
  <c r="J33" i="20"/>
  <c r="N33" i="20"/>
  <c r="R33" i="20"/>
  <c r="V33" i="20"/>
  <c r="Z33" i="20"/>
  <c r="AD33" i="20"/>
  <c r="F34" i="20"/>
  <c r="N34" i="20"/>
  <c r="V34" i="20"/>
  <c r="AD34" i="20"/>
  <c r="R37" i="20"/>
  <c r="F38" i="20"/>
  <c r="G27" i="44" s="1"/>
  <c r="J38" i="20"/>
  <c r="K27" i="44" s="1"/>
  <c r="N38" i="20"/>
  <c r="O27" i="44" s="1"/>
  <c r="R38" i="20"/>
  <c r="S27" i="44" s="1"/>
  <c r="BP27" i="70" s="1"/>
  <c r="V38" i="20"/>
  <c r="W27" i="44" s="1"/>
  <c r="Z38" i="20"/>
  <c r="AA27" i="44" s="1"/>
  <c r="AA95" i="44" s="1"/>
  <c r="AD38" i="20"/>
  <c r="AE27" i="44" s="1"/>
  <c r="P170" i="44"/>
  <c r="T29" i="64"/>
  <c r="AA34" i="51"/>
  <c r="H170" i="44"/>
  <c r="F170" i="44"/>
  <c r="V170" i="44"/>
  <c r="N170" i="44"/>
  <c r="X170" i="44"/>
  <c r="W14" i="55"/>
  <c r="V28" i="56"/>
  <c r="G42" i="51"/>
  <c r="R42" i="51" s="1"/>
  <c r="K35" i="97" s="1"/>
  <c r="Y30" i="50"/>
  <c r="AG30" i="50" s="1"/>
  <c r="AN30" i="50" s="1"/>
  <c r="Y38" i="51"/>
  <c r="AD42" i="46"/>
  <c r="AK42" i="46" s="1"/>
  <c r="W34" i="47"/>
  <c r="W26" i="49"/>
  <c r="AE26" i="49" s="1"/>
  <c r="AL26" i="49" s="1"/>
  <c r="AE42" i="69"/>
  <c r="AL42" i="69" s="1"/>
  <c r="AE29" i="20"/>
  <c r="AD26" i="37" s="1"/>
  <c r="AD26" i="16" s="1"/>
  <c r="AD151" i="10"/>
  <c r="AM84" i="33" s="1"/>
  <c r="V14" i="53"/>
  <c r="V41" i="55"/>
  <c r="AD41" i="55" s="1"/>
  <c r="AK41" i="55" s="1"/>
  <c r="Z34" i="47"/>
  <c r="AH34" i="47" s="1"/>
  <c r="AO34" i="47" s="1"/>
  <c r="V34" i="58"/>
  <c r="AD34" i="58" s="1"/>
  <c r="AK34" i="58" s="1"/>
  <c r="V29" i="90"/>
  <c r="AD29" i="90" s="1"/>
  <c r="AK29" i="90" s="1"/>
  <c r="V36" i="51"/>
  <c r="T29" i="56"/>
  <c r="T29" i="79"/>
  <c r="T29" i="81"/>
  <c r="H14" i="5"/>
  <c r="T29" i="83"/>
  <c r="T29" i="87"/>
  <c r="AB8" i="71"/>
  <c r="AB63" i="71"/>
  <c r="AF42" i="47"/>
  <c r="AM42" i="47" s="1"/>
  <c r="AG42" i="72"/>
  <c r="AN42" i="72" s="1"/>
  <c r="Z41" i="83"/>
  <c r="AH41" i="83" s="1"/>
  <c r="AO41" i="83" s="1"/>
  <c r="AF42" i="72"/>
  <c r="AM42" i="72" s="1"/>
  <c r="T29" i="48"/>
  <c r="AD42" i="47"/>
  <c r="AK42" i="47" s="1"/>
  <c r="AE42" i="47"/>
  <c r="AL42" i="47" s="1"/>
  <c r="T29" i="72"/>
  <c r="V41" i="77"/>
  <c r="AF42" i="83"/>
  <c r="AM42" i="83" s="1"/>
  <c r="AI42" i="69"/>
  <c r="AP42" i="69" s="1"/>
  <c r="AG42" i="69"/>
  <c r="AN42" i="69" s="1"/>
  <c r="AE42" i="83"/>
  <c r="AL42" i="83" s="1"/>
  <c r="AG42" i="50"/>
  <c r="AN42" i="50" s="1"/>
  <c r="Y29" i="79"/>
  <c r="AG29" i="79" s="1"/>
  <c r="AN29" i="79" s="1"/>
  <c r="AG42" i="83"/>
  <c r="AN42" i="83" s="1"/>
  <c r="Y34" i="77"/>
  <c r="AG34" i="77" s="1"/>
  <c r="AN34" i="77" s="1"/>
  <c r="AD42" i="83"/>
  <c r="AK42" i="83" s="1"/>
  <c r="AF42" i="69"/>
  <c r="AM42" i="69" s="1"/>
  <c r="AF42" i="54"/>
  <c r="AM42" i="54" s="1"/>
  <c r="AF42" i="46"/>
  <c r="AM42" i="46" s="1"/>
  <c r="AA38" i="79"/>
  <c r="W30" i="87"/>
  <c r="AE30" i="87" s="1"/>
  <c r="AL30" i="87" s="1"/>
  <c r="AF42" i="51"/>
  <c r="AM42" i="51" s="1"/>
  <c r="AD42" i="72"/>
  <c r="AK42" i="72" s="1"/>
  <c r="AI42" i="47"/>
  <c r="AP42" i="47" s="1"/>
  <c r="V30" i="64"/>
  <c r="AI42" i="54"/>
  <c r="AP42" i="54" s="1"/>
  <c r="AE42" i="72"/>
  <c r="AL42" i="72" s="1"/>
  <c r="AG42" i="47"/>
  <c r="AN42" i="47" s="1"/>
  <c r="Y35" i="46"/>
  <c r="AG35" i="46" s="1"/>
  <c r="AN35" i="46" s="1"/>
  <c r="AI42" i="46"/>
  <c r="AP42" i="46" s="1"/>
  <c r="AE42" i="54"/>
  <c r="AL42" i="54" s="1"/>
  <c r="AD42" i="69"/>
  <c r="AK42" i="69" s="1"/>
  <c r="AI42" i="50"/>
  <c r="AP42" i="50" s="1"/>
  <c r="T29" i="54"/>
  <c r="W14" i="50"/>
  <c r="AE14" i="50" s="1"/>
  <c r="AL14" i="50" s="1"/>
  <c r="W38" i="79"/>
  <c r="J72" i="71"/>
  <c r="O63" i="71"/>
  <c r="G8" i="71"/>
  <c r="AD42" i="50"/>
  <c r="AK42" i="50" s="1"/>
  <c r="X16" i="47"/>
  <c r="Z29" i="87"/>
  <c r="AH29" i="87" s="1"/>
  <c r="AO29" i="87" s="1"/>
  <c r="Y13" i="72"/>
  <c r="Z38" i="79"/>
  <c r="X16" i="85"/>
  <c r="AF16" i="85" s="1"/>
  <c r="AM16" i="85" s="1"/>
  <c r="T29" i="85"/>
  <c r="W38" i="85"/>
  <c r="AE38" i="85" s="1"/>
  <c r="AL38" i="85" s="1"/>
  <c r="I29" i="20"/>
  <c r="H26" i="37" s="1"/>
  <c r="H26" i="16" s="1"/>
  <c r="AA35" i="51"/>
  <c r="Y38" i="45"/>
  <c r="Y38" i="77"/>
  <c r="V34" i="85"/>
  <c r="V39" i="46"/>
  <c r="V34" i="52"/>
  <c r="Z26" i="72"/>
  <c r="AA37" i="81"/>
  <c r="AI37" i="81" s="1"/>
  <c r="AP37" i="81" s="1"/>
  <c r="Z38" i="56"/>
  <c r="T29" i="49"/>
  <c r="T29" i="69"/>
  <c r="AA37" i="73"/>
  <c r="AI37" i="73" s="1"/>
  <c r="AP37" i="73" s="1"/>
  <c r="W14" i="73"/>
  <c r="AE14" i="73" s="1"/>
  <c r="AL14" i="73" s="1"/>
  <c r="T29" i="82"/>
  <c r="W14" i="82"/>
  <c r="AA170" i="44"/>
  <c r="O170" i="44"/>
  <c r="AD42" i="85"/>
  <c r="AK42" i="85" s="1"/>
  <c r="AE42" i="85"/>
  <c r="AL42" i="85" s="1"/>
  <c r="AF42" i="85"/>
  <c r="AM42" i="85" s="1"/>
  <c r="AI42" i="85"/>
  <c r="AP42" i="85" s="1"/>
  <c r="W35" i="56"/>
  <c r="W19" i="56"/>
  <c r="V34" i="53"/>
  <c r="AD34" i="53" s="1"/>
  <c r="AK34" i="53" s="1"/>
  <c r="Z35" i="83"/>
  <c r="AH35" i="83" s="1"/>
  <c r="AO35" i="83" s="1"/>
  <c r="Z38" i="41"/>
  <c r="W39" i="54"/>
  <c r="T29" i="51"/>
  <c r="Z19" i="51"/>
  <c r="V34" i="54"/>
  <c r="AI42" i="73"/>
  <c r="AP42" i="73" s="1"/>
  <c r="AF42" i="73"/>
  <c r="AM42" i="73" s="1"/>
  <c r="AG42" i="73"/>
  <c r="AN42" i="73" s="1"/>
  <c r="T29" i="73"/>
  <c r="AA35" i="81"/>
  <c r="T29" i="90"/>
  <c r="W30" i="54"/>
  <c r="AE30" i="54" s="1"/>
  <c r="AL30" i="54" s="1"/>
  <c r="AE42" i="55"/>
  <c r="AL42" i="55" s="1"/>
  <c r="AA35" i="56"/>
  <c r="Z13" i="83"/>
  <c r="Z16" i="83"/>
  <c r="T29" i="84"/>
  <c r="W41" i="82"/>
  <c r="AE41" i="82" s="1"/>
  <c r="AL41" i="82" s="1"/>
  <c r="V34" i="55"/>
  <c r="AD34" i="55" s="1"/>
  <c r="AK34" i="55" s="1"/>
  <c r="Y35" i="45"/>
  <c r="T29" i="50"/>
  <c r="Y30" i="87"/>
  <c r="AG30" i="87" s="1"/>
  <c r="AN30" i="87" s="1"/>
  <c r="V26" i="51"/>
  <c r="AD26" i="51" s="1"/>
  <c r="AK26" i="51" s="1"/>
  <c r="V13" i="49"/>
  <c r="AG42" i="79"/>
  <c r="AN42" i="79" s="1"/>
  <c r="W38" i="73"/>
  <c r="AE38" i="73" s="1"/>
  <c r="AL38" i="73" s="1"/>
  <c r="Z41" i="73"/>
  <c r="AH41" i="73" s="1"/>
  <c r="AO41" i="73" s="1"/>
  <c r="AI42" i="83"/>
  <c r="AP42" i="83" s="1"/>
  <c r="Z29" i="20"/>
  <c r="O29" i="20"/>
  <c r="H16" i="55" s="1"/>
  <c r="Y36" i="20"/>
  <c r="Y39" i="52"/>
  <c r="W30" i="50"/>
  <c r="AE30" i="50" s="1"/>
  <c r="AL30" i="50" s="1"/>
  <c r="V30" i="50"/>
  <c r="AD30" i="50" s="1"/>
  <c r="AK30" i="50" s="1"/>
  <c r="V34" i="48"/>
  <c r="AD34" i="48" s="1"/>
  <c r="AK34" i="48" s="1"/>
  <c r="Y36" i="69"/>
  <c r="AG36" i="69" s="1"/>
  <c r="AN36" i="69" s="1"/>
  <c r="AA20" i="49"/>
  <c r="V37" i="46"/>
  <c r="V36" i="85"/>
  <c r="Y29" i="47"/>
  <c r="AG29" i="47" s="1"/>
  <c r="AN29" i="47" s="1"/>
  <c r="T29" i="47"/>
  <c r="X29" i="46"/>
  <c r="AF29" i="46" s="1"/>
  <c r="AM29" i="46" s="1"/>
  <c r="T29" i="46"/>
  <c r="W29" i="55"/>
  <c r="AE29" i="55" s="1"/>
  <c r="AL29" i="55" s="1"/>
  <c r="T29" i="55"/>
  <c r="V16" i="72"/>
  <c r="AD16" i="72" s="1"/>
  <c r="AK16" i="72" s="1"/>
  <c r="X29" i="77"/>
  <c r="AF29" i="77" s="1"/>
  <c r="AM29" i="77" s="1"/>
  <c r="AA35" i="73"/>
  <c r="AI35" i="73" s="1"/>
  <c r="AP35" i="73" s="1"/>
  <c r="AD42" i="54"/>
  <c r="AK42" i="54" s="1"/>
  <c r="T29" i="53"/>
  <c r="V38" i="73"/>
  <c r="AD38" i="73" s="1"/>
  <c r="AK38" i="73" s="1"/>
  <c r="Y35" i="69"/>
  <c r="AG35" i="69" s="1"/>
  <c r="AN35" i="69" s="1"/>
  <c r="AG42" i="81"/>
  <c r="AN42" i="81" s="1"/>
  <c r="V13" i="46"/>
  <c r="AD13" i="46" s="1"/>
  <c r="AK13" i="46" s="1"/>
  <c r="V29" i="85"/>
  <c r="AD29" i="85" s="1"/>
  <c r="AK29" i="85" s="1"/>
  <c r="V29" i="73"/>
  <c r="AD29" i="73" s="1"/>
  <c r="V29" i="50"/>
  <c r="V28" i="83"/>
  <c r="AE38" i="20"/>
  <c r="AF27" i="44" s="1"/>
  <c r="CC27" i="70" s="1"/>
  <c r="X29" i="49"/>
  <c r="AF29" i="49" s="1"/>
  <c r="AM29" i="49" s="1"/>
  <c r="W29" i="54"/>
  <c r="AE29" i="54" s="1"/>
  <c r="AL29" i="54" s="1"/>
  <c r="W14" i="53"/>
  <c r="I108" i="13"/>
  <c r="Z35" i="51"/>
  <c r="AA19" i="54"/>
  <c r="AI19" i="54" s="1"/>
  <c r="AP19" i="54" s="1"/>
  <c r="AD29" i="20"/>
  <c r="AC26" i="37" s="1"/>
  <c r="AC26" i="16" s="1"/>
  <c r="M33" i="20"/>
  <c r="U29" i="20"/>
  <c r="M29" i="20"/>
  <c r="Q108" i="13"/>
  <c r="U9" i="79"/>
  <c r="U9" i="46"/>
  <c r="U9" i="48"/>
  <c r="U9" i="51"/>
  <c r="AA9" i="51" s="1"/>
  <c r="U9" i="56"/>
  <c r="U9" i="83"/>
  <c r="U9" i="81"/>
  <c r="U9" i="54"/>
  <c r="U9" i="82"/>
  <c r="U9" i="72"/>
  <c r="U9" i="47"/>
  <c r="AA9" i="47" s="1"/>
  <c r="U9" i="69"/>
  <c r="U9" i="73"/>
  <c r="U9" i="85"/>
  <c r="U9" i="77"/>
  <c r="U9" i="41"/>
  <c r="U9" i="49"/>
  <c r="U9" i="45"/>
  <c r="U9" i="84"/>
  <c r="AA9" i="84" s="1"/>
  <c r="U9" i="53"/>
  <c r="U9" i="88"/>
  <c r="Y9" i="88" s="1"/>
  <c r="AG9" i="88" s="1"/>
  <c r="AN9" i="88" s="1"/>
  <c r="U9" i="64"/>
  <c r="U9" i="58"/>
  <c r="U9" i="90"/>
  <c r="U9" i="55"/>
  <c r="U9" i="87"/>
  <c r="U9" i="50"/>
  <c r="Z9" i="50" s="1"/>
  <c r="AH9" i="50" s="1"/>
  <c r="AO9" i="50" s="1"/>
  <c r="U9" i="52"/>
  <c r="AH94" i="2"/>
  <c r="U94" i="2"/>
  <c r="P94" i="2"/>
  <c r="I94" i="2"/>
  <c r="G94" i="2"/>
  <c r="M94" i="2"/>
  <c r="Q94" i="2"/>
  <c r="V94" i="2"/>
  <c r="E94" i="2"/>
  <c r="J94" i="2"/>
  <c r="N94" i="2"/>
  <c r="W94" i="2"/>
  <c r="K94" i="2"/>
  <c r="H94" i="2"/>
  <c r="O94" i="2"/>
  <c r="F94" i="2"/>
  <c r="L94" i="2"/>
  <c r="S94" i="2"/>
  <c r="R94" i="2"/>
  <c r="T94" i="2"/>
  <c r="X94" i="2"/>
  <c r="Y94" i="2"/>
  <c r="Z94" i="2"/>
  <c r="AA94" i="2"/>
  <c r="AB94" i="2"/>
  <c r="AC94" i="2"/>
  <c r="AD94" i="2"/>
  <c r="AE94" i="2"/>
  <c r="AF94" i="2"/>
  <c r="AG94" i="2"/>
  <c r="BD27" i="70" l="1"/>
  <c r="M33" i="51"/>
  <c r="E95" i="44"/>
  <c r="AC24" i="94"/>
  <c r="AD82" i="2"/>
  <c r="AD85" i="70" s="1"/>
  <c r="Z38" i="55"/>
  <c r="AH38" i="55" s="1"/>
  <c r="AO38" i="55" s="1"/>
  <c r="AF42" i="55"/>
  <c r="AM42" i="55" s="1"/>
  <c r="V29" i="82"/>
  <c r="AD29" i="82" s="1"/>
  <c r="N44" i="70"/>
  <c r="F44" i="70"/>
  <c r="N42" i="70"/>
  <c r="F42" i="70"/>
  <c r="N40" i="70"/>
  <c r="F40" i="70"/>
  <c r="F36" i="70"/>
  <c r="N34" i="70"/>
  <c r="U44" i="70"/>
  <c r="U42" i="70"/>
  <c r="U40" i="70"/>
  <c r="U36" i="70"/>
  <c r="U34" i="70"/>
  <c r="K35" i="70"/>
  <c r="Q35" i="70"/>
  <c r="G44" i="70"/>
  <c r="G40" i="70"/>
  <c r="G36" i="70"/>
  <c r="C9" i="96"/>
  <c r="I9" i="96" s="1"/>
  <c r="C9" i="101"/>
  <c r="AD6" i="37"/>
  <c r="R35" i="70"/>
  <c r="P44" i="70"/>
  <c r="P35" i="70"/>
  <c r="P34" i="70"/>
  <c r="C9" i="79"/>
  <c r="I9" i="79" s="1"/>
  <c r="P36" i="70"/>
  <c r="H36" i="70"/>
  <c r="C9" i="88"/>
  <c r="C8" i="88" s="1"/>
  <c r="AJ112" i="44"/>
  <c r="AJ122" i="44"/>
  <c r="AJ121" i="44"/>
  <c r="AJ103" i="44"/>
  <c r="AK42" i="95"/>
  <c r="Z42" i="100"/>
  <c r="AJ170" i="44"/>
  <c r="AG39" i="52"/>
  <c r="AN39" i="52" s="1"/>
  <c r="G170" i="44"/>
  <c r="U10" i="99"/>
  <c r="AA10" i="99" s="1"/>
  <c r="AI10" i="99" s="1"/>
  <c r="AP10" i="99" s="1"/>
  <c r="U10" i="100"/>
  <c r="V10" i="100" s="1"/>
  <c r="AH126" i="2"/>
  <c r="AO81" i="70"/>
  <c r="Y129" i="2"/>
  <c r="Y77" i="2" s="1"/>
  <c r="W9" i="13" s="1"/>
  <c r="AG126" i="2"/>
  <c r="AG76" i="2" s="1"/>
  <c r="AV79" i="70" s="1"/>
  <c r="Y81" i="70"/>
  <c r="X129" i="2"/>
  <c r="X77" i="2" s="1"/>
  <c r="AM80" i="70" s="1"/>
  <c r="AF126" i="2"/>
  <c r="AF76" i="2" s="1"/>
  <c r="AD8" i="13" s="1"/>
  <c r="AD95" i="13" s="1"/>
  <c r="AM81" i="70"/>
  <c r="W129" i="2"/>
  <c r="W77" i="2" s="1"/>
  <c r="U9" i="13" s="1"/>
  <c r="AE126" i="2"/>
  <c r="AE76" i="2" s="1"/>
  <c r="AE79" i="70" s="1"/>
  <c r="W81" i="70"/>
  <c r="AD126" i="2"/>
  <c r="AD76" i="2" s="1"/>
  <c r="AD79" i="70" s="1"/>
  <c r="T10" i="13"/>
  <c r="T97" i="13" s="1"/>
  <c r="AC126" i="2"/>
  <c r="AC76" i="2" s="1"/>
  <c r="AC79" i="70" s="1"/>
  <c r="U81" i="70"/>
  <c r="AA129" i="2"/>
  <c r="AA77" i="2" s="1"/>
  <c r="AP80" i="70" s="1"/>
  <c r="AP81" i="70"/>
  <c r="AJ81" i="70"/>
  <c r="T129" i="2"/>
  <c r="T77" i="2" s="1"/>
  <c r="R9" i="13" s="1"/>
  <c r="R96" i="13" s="1"/>
  <c r="G42" i="100"/>
  <c r="AL82" i="2"/>
  <c r="AI42" i="55"/>
  <c r="AP42" i="55" s="1"/>
  <c r="AH16" i="83"/>
  <c r="AO16" i="83" s="1"/>
  <c r="AI35" i="81"/>
  <c r="AP35" i="81" s="1"/>
  <c r="AD42" i="53"/>
  <c r="AK42" i="53" s="1"/>
  <c r="M170" i="44"/>
  <c r="Z41" i="90"/>
  <c r="AH41" i="90" s="1"/>
  <c r="AO41" i="90" s="1"/>
  <c r="AG42" i="55"/>
  <c r="AN42" i="55" s="1"/>
  <c r="K170" i="44"/>
  <c r="AK42" i="84"/>
  <c r="F26" i="33"/>
  <c r="F7" i="33"/>
  <c r="F21" i="33"/>
  <c r="F19" i="33"/>
  <c r="F17" i="33"/>
  <c r="AJ141" i="44"/>
  <c r="J100" i="32"/>
  <c r="K100" i="32" s="1"/>
  <c r="W8" i="71"/>
  <c r="H63" i="71"/>
  <c r="G100" i="32"/>
  <c r="F72" i="71"/>
  <c r="S63" i="71"/>
  <c r="G42" i="47"/>
  <c r="I42" i="47" s="1"/>
  <c r="G42" i="83"/>
  <c r="R42" i="83" s="1"/>
  <c r="AB35" i="97" s="1"/>
  <c r="G42" i="54"/>
  <c r="I42" i="54" s="1"/>
  <c r="G42" i="85"/>
  <c r="I42" i="85" s="1"/>
  <c r="G42" i="52"/>
  <c r="R42" i="52" s="1"/>
  <c r="J35" i="97" s="1"/>
  <c r="G42" i="72"/>
  <c r="R42" i="72" s="1"/>
  <c r="V35" i="97" s="1"/>
  <c r="G42" i="79"/>
  <c r="R42" i="79" s="1"/>
  <c r="T42" i="79" s="1"/>
  <c r="H85" i="70"/>
  <c r="Z30" i="95"/>
  <c r="AH30" i="95" s="1"/>
  <c r="AO30" i="95" s="1"/>
  <c r="W9" i="52"/>
  <c r="AE9" i="52" s="1"/>
  <c r="AL9" i="52" s="1"/>
  <c r="W9" i="53"/>
  <c r="AE9" i="53" s="1"/>
  <c r="AL9" i="53" s="1"/>
  <c r="W9" i="69"/>
  <c r="AE9" i="69" s="1"/>
  <c r="AL9" i="69" s="1"/>
  <c r="X9" i="56"/>
  <c r="AF9" i="56" s="1"/>
  <c r="AM9" i="56" s="1"/>
  <c r="AA39" i="52"/>
  <c r="AI39" i="52" s="1"/>
  <c r="AP39" i="52" s="1"/>
  <c r="W29" i="53"/>
  <c r="AE29" i="53" s="1"/>
  <c r="AL29" i="53" s="1"/>
  <c r="X29" i="52"/>
  <c r="AF29" i="52" s="1"/>
  <c r="AM29" i="52" s="1"/>
  <c r="Z38" i="45"/>
  <c r="X29" i="82"/>
  <c r="AF29" i="82" s="1"/>
  <c r="AM29" i="82" s="1"/>
  <c r="AA13" i="46"/>
  <c r="AI13" i="46" s="1"/>
  <c r="AP13" i="46" s="1"/>
  <c r="AA35" i="69"/>
  <c r="AI35" i="69" s="1"/>
  <c r="AP35" i="69" s="1"/>
  <c r="W38" i="82"/>
  <c r="AE38" i="82" s="1"/>
  <c r="AL38" i="82" s="1"/>
  <c r="W13" i="72"/>
  <c r="AE13" i="72" s="1"/>
  <c r="AL13" i="72" s="1"/>
  <c r="AA36" i="85"/>
  <c r="AI36" i="85" s="1"/>
  <c r="AP36" i="85" s="1"/>
  <c r="X20" i="49"/>
  <c r="AF20" i="49" s="1"/>
  <c r="AM20" i="49" s="1"/>
  <c r="Z39" i="52"/>
  <c r="AH39" i="52" s="1"/>
  <c r="AO39" i="52" s="1"/>
  <c r="V39" i="52"/>
  <c r="AD39" i="52" s="1"/>
  <c r="AK39" i="52" s="1"/>
  <c r="AA37" i="88"/>
  <c r="AI37" i="88" s="1"/>
  <c r="AP37" i="88" s="1"/>
  <c r="Y23" i="50"/>
  <c r="Y36" i="50"/>
  <c r="AA38" i="55"/>
  <c r="AI38" i="55" s="1"/>
  <c r="AP38" i="55" s="1"/>
  <c r="V28" i="52"/>
  <c r="AD28" i="52" s="1"/>
  <c r="AK28" i="52" s="1"/>
  <c r="Y13" i="83"/>
  <c r="AG13" i="83" s="1"/>
  <c r="AN13" i="83" s="1"/>
  <c r="Y37" i="69"/>
  <c r="AG37" i="69" s="1"/>
  <c r="AN37" i="69" s="1"/>
  <c r="Y35" i="79"/>
  <c r="Z16" i="54"/>
  <c r="AH16" i="54" s="1"/>
  <c r="AO16" i="54" s="1"/>
  <c r="W26" i="51"/>
  <c r="AE26" i="51" s="1"/>
  <c r="AL26" i="51" s="1"/>
  <c r="X29" i="41"/>
  <c r="AF29" i="41" s="1"/>
  <c r="AM29" i="41" s="1"/>
  <c r="AA35" i="83"/>
  <c r="AI35" i="83" s="1"/>
  <c r="AP35" i="83" s="1"/>
  <c r="V34" i="83"/>
  <c r="AD34" i="83" s="1"/>
  <c r="AK34" i="83" s="1"/>
  <c r="V36" i="73"/>
  <c r="AD36" i="73" s="1"/>
  <c r="AK36" i="73" s="1"/>
  <c r="W36" i="73"/>
  <c r="AE36" i="73" s="1"/>
  <c r="AL36" i="73" s="1"/>
  <c r="V37" i="55"/>
  <c r="AD37" i="55" s="1"/>
  <c r="AK37" i="55" s="1"/>
  <c r="Y34" i="52"/>
  <c r="AG34" i="52" s="1"/>
  <c r="AN34" i="52" s="1"/>
  <c r="AA39" i="46"/>
  <c r="V38" i="45"/>
  <c r="W35" i="51"/>
  <c r="AE35" i="51" s="1"/>
  <c r="AL35" i="51" s="1"/>
  <c r="AA39" i="73"/>
  <c r="AI39" i="73" s="1"/>
  <c r="AP39" i="73" s="1"/>
  <c r="AA13" i="81"/>
  <c r="AI13" i="81" s="1"/>
  <c r="AP13" i="81" s="1"/>
  <c r="AA29" i="48"/>
  <c r="AI29" i="48" s="1"/>
  <c r="AP29" i="48" s="1"/>
  <c r="V19" i="56"/>
  <c r="W39" i="47"/>
  <c r="V39" i="50"/>
  <c r="AF42" i="84"/>
  <c r="AM42" i="84" s="1"/>
  <c r="V36" i="50"/>
  <c r="AD36" i="50" s="1"/>
  <c r="AK36" i="50" s="1"/>
  <c r="V37" i="56"/>
  <c r="AD37" i="56" s="1"/>
  <c r="AK37" i="56" s="1"/>
  <c r="Y39" i="46"/>
  <c r="AG39" i="46" s="1"/>
  <c r="AN39" i="46" s="1"/>
  <c r="V38" i="83"/>
  <c r="AD38" i="83" s="1"/>
  <c r="AK38" i="83" s="1"/>
  <c r="V19" i="58"/>
  <c r="G42" i="88"/>
  <c r="R42" i="88" s="1"/>
  <c r="AF35" i="97" s="1"/>
  <c r="Y34" i="51"/>
  <c r="Y29" i="95"/>
  <c r="AG29" i="95" s="1"/>
  <c r="AN29" i="95" s="1"/>
  <c r="V29" i="49"/>
  <c r="AD29" i="49" s="1"/>
  <c r="AK29" i="49" s="1"/>
  <c r="Y23" i="82"/>
  <c r="AG23" i="82" s="1"/>
  <c r="AN23" i="82" s="1"/>
  <c r="W34" i="46"/>
  <c r="AE34" i="46" s="1"/>
  <c r="AL34" i="46" s="1"/>
  <c r="W30" i="83"/>
  <c r="AE30" i="83" s="1"/>
  <c r="AL30" i="83" s="1"/>
  <c r="Y30" i="83"/>
  <c r="W41" i="52"/>
  <c r="AE41" i="52" s="1"/>
  <c r="AL41" i="52" s="1"/>
  <c r="AA41" i="82"/>
  <c r="AI41" i="82" s="1"/>
  <c r="AP41" i="82" s="1"/>
  <c r="AA37" i="87"/>
  <c r="AI37" i="87" s="1"/>
  <c r="AP37" i="87" s="1"/>
  <c r="V28" i="64"/>
  <c r="AD28" i="64" s="1"/>
  <c r="AK28" i="64" s="1"/>
  <c r="AA37" i="69"/>
  <c r="AI37" i="69" s="1"/>
  <c r="AP37" i="69" s="1"/>
  <c r="V37" i="73"/>
  <c r="AD37" i="73" s="1"/>
  <c r="AK37" i="73" s="1"/>
  <c r="Y37" i="73"/>
  <c r="AG37" i="73" s="1"/>
  <c r="AN37" i="73" s="1"/>
  <c r="W38" i="64"/>
  <c r="Y36" i="84"/>
  <c r="AG36" i="84" s="1"/>
  <c r="AN36" i="84" s="1"/>
  <c r="X20" i="84"/>
  <c r="AF20" i="84" s="1"/>
  <c r="AM20" i="84" s="1"/>
  <c r="V28" i="47"/>
  <c r="AD28" i="47" s="1"/>
  <c r="AK28" i="47" s="1"/>
  <c r="Z30" i="58"/>
  <c r="AH30" i="58" s="1"/>
  <c r="AO30" i="58" s="1"/>
  <c r="V30" i="58"/>
  <c r="W30" i="58"/>
  <c r="Z39" i="55"/>
  <c r="AH39" i="55" s="1"/>
  <c r="AO39" i="55" s="1"/>
  <c r="Z39" i="73"/>
  <c r="AH39" i="73" s="1"/>
  <c r="AO39" i="73" s="1"/>
  <c r="V39" i="73"/>
  <c r="AD39" i="73" s="1"/>
  <c r="AK39" i="73" s="1"/>
  <c r="V35" i="53"/>
  <c r="Z23" i="79"/>
  <c r="AH23" i="79" s="1"/>
  <c r="AO23" i="79" s="1"/>
  <c r="Y30" i="84"/>
  <c r="AG30" i="84" s="1"/>
  <c r="AN30" i="84" s="1"/>
  <c r="W30" i="84"/>
  <c r="AE30" i="84" s="1"/>
  <c r="AL30" i="84" s="1"/>
  <c r="AA30" i="84"/>
  <c r="AI30" i="84" s="1"/>
  <c r="AP30" i="84" s="1"/>
  <c r="W19" i="54"/>
  <c r="AE19" i="54" s="1"/>
  <c r="AL19" i="54" s="1"/>
  <c r="Y39" i="47"/>
  <c r="AA39" i="47"/>
  <c r="Z39" i="47"/>
  <c r="AA36" i="41"/>
  <c r="AI36" i="41" s="1"/>
  <c r="AP36" i="41" s="1"/>
  <c r="Z26" i="58"/>
  <c r="AH26" i="58" s="1"/>
  <c r="AO26" i="58" s="1"/>
  <c r="Y36" i="73"/>
  <c r="AG36" i="73" s="1"/>
  <c r="AN36" i="73" s="1"/>
  <c r="W36" i="47"/>
  <c r="AE36" i="47" s="1"/>
  <c r="AL36" i="47" s="1"/>
  <c r="V28" i="69"/>
  <c r="V14" i="54"/>
  <c r="Z14" i="50"/>
  <c r="W14" i="46"/>
  <c r="V14" i="46"/>
  <c r="AD14" i="46" s="1"/>
  <c r="AK14" i="46" s="1"/>
  <c r="Z13" i="85"/>
  <c r="AH13" i="85" s="1"/>
  <c r="AO13" i="85" s="1"/>
  <c r="Y13" i="85"/>
  <c r="AG13" i="85" s="1"/>
  <c r="AN13" i="85" s="1"/>
  <c r="P85" i="70"/>
  <c r="W9" i="45"/>
  <c r="AE9" i="45" s="1"/>
  <c r="AL9" i="45" s="1"/>
  <c r="W14" i="72"/>
  <c r="AE14" i="72" s="1"/>
  <c r="AL14" i="72" s="1"/>
  <c r="V29" i="81"/>
  <c r="AD29" i="81" s="1"/>
  <c r="W29" i="51"/>
  <c r="AE29" i="51" s="1"/>
  <c r="AL29" i="51" s="1"/>
  <c r="AI42" i="81"/>
  <c r="AP42" i="81" s="1"/>
  <c r="V35" i="69"/>
  <c r="AD35" i="69" s="1"/>
  <c r="AK35" i="69" s="1"/>
  <c r="Z35" i="73"/>
  <c r="AH35" i="73" s="1"/>
  <c r="AO35" i="73" s="1"/>
  <c r="X16" i="72"/>
  <c r="AF16" i="72" s="1"/>
  <c r="AM16" i="72" s="1"/>
  <c r="X14" i="54"/>
  <c r="AF14" i="54" s="1"/>
  <c r="AM14" i="54" s="1"/>
  <c r="AA37" i="46"/>
  <c r="AI37" i="46" s="1"/>
  <c r="AP37" i="46" s="1"/>
  <c r="W36" i="69"/>
  <c r="AE36" i="69" s="1"/>
  <c r="AL36" i="69" s="1"/>
  <c r="Z34" i="48"/>
  <c r="AH34" i="48" s="1"/>
  <c r="AO34" i="48" s="1"/>
  <c r="Y37" i="51"/>
  <c r="AG37" i="51" s="1"/>
  <c r="AN37" i="51" s="1"/>
  <c r="X14" i="52"/>
  <c r="AF14" i="52" s="1"/>
  <c r="AM14" i="52" s="1"/>
  <c r="W16" i="82"/>
  <c r="AE16" i="82" s="1"/>
  <c r="AL16" i="82" s="1"/>
  <c r="Z35" i="45"/>
  <c r="AH35" i="45" s="1"/>
  <c r="AO35" i="45" s="1"/>
  <c r="Z41" i="82"/>
  <c r="AH41" i="82" s="1"/>
  <c r="AO41" i="82" s="1"/>
  <c r="Z36" i="47"/>
  <c r="AH36" i="47" s="1"/>
  <c r="AO36" i="47" s="1"/>
  <c r="W35" i="90"/>
  <c r="AA34" i="54"/>
  <c r="V29" i="51"/>
  <c r="AD29" i="51" s="1"/>
  <c r="AA39" i="83"/>
  <c r="AI39" i="83" s="1"/>
  <c r="AP39" i="83" s="1"/>
  <c r="AA34" i="53"/>
  <c r="AI34" i="53" s="1"/>
  <c r="AP34" i="53" s="1"/>
  <c r="Y19" i="51"/>
  <c r="AG19" i="51" s="1"/>
  <c r="AN19" i="51" s="1"/>
  <c r="Z35" i="72"/>
  <c r="AH35" i="72" s="1"/>
  <c r="AO35" i="72" s="1"/>
  <c r="Y38" i="56"/>
  <c r="AG38" i="56" s="1"/>
  <c r="AN38" i="56" s="1"/>
  <c r="V26" i="72"/>
  <c r="W34" i="49"/>
  <c r="AE34" i="49" s="1"/>
  <c r="AL34" i="49" s="1"/>
  <c r="W34" i="85"/>
  <c r="AA41" i="55"/>
  <c r="AI41" i="55" s="1"/>
  <c r="AP41" i="55" s="1"/>
  <c r="AA35" i="90"/>
  <c r="AI35" i="90" s="1"/>
  <c r="AP35" i="90" s="1"/>
  <c r="AA13" i="85"/>
  <c r="AI13" i="85" s="1"/>
  <c r="AP13" i="85" s="1"/>
  <c r="AA30" i="72"/>
  <c r="AI30" i="72" s="1"/>
  <c r="AP30" i="72" s="1"/>
  <c r="X14" i="49"/>
  <c r="AF14" i="49" s="1"/>
  <c r="AM14" i="49" s="1"/>
  <c r="AA29" i="52"/>
  <c r="AI29" i="52" s="1"/>
  <c r="AP29" i="52" s="1"/>
  <c r="V35" i="49"/>
  <c r="AA35" i="55"/>
  <c r="Y29" i="85"/>
  <c r="AG29" i="85" s="1"/>
  <c r="AN29" i="85" s="1"/>
  <c r="Y36" i="47"/>
  <c r="AG36" i="47" s="1"/>
  <c r="AN36" i="47" s="1"/>
  <c r="L112" i="44"/>
  <c r="L141" i="44" s="1"/>
  <c r="L195" i="44" s="1"/>
  <c r="AA37" i="77"/>
  <c r="AI37" i="77" s="1"/>
  <c r="AP37" i="77" s="1"/>
  <c r="V30" i="87"/>
  <c r="AD30" i="87" s="1"/>
  <c r="AK30" i="87" s="1"/>
  <c r="Z36" i="49"/>
  <c r="AH36" i="49" s="1"/>
  <c r="AO36" i="49" s="1"/>
  <c r="Z39" i="53"/>
  <c r="AH39" i="53" s="1"/>
  <c r="AO39" i="53" s="1"/>
  <c r="AA36" i="53"/>
  <c r="AI36" i="53" s="1"/>
  <c r="AP36" i="53" s="1"/>
  <c r="W38" i="47"/>
  <c r="AE38" i="47" s="1"/>
  <c r="AL38" i="47" s="1"/>
  <c r="G42" i="84"/>
  <c r="I42" i="84" s="1"/>
  <c r="AA38" i="45"/>
  <c r="AI38" i="45" s="1"/>
  <c r="AP38" i="45" s="1"/>
  <c r="V26" i="49"/>
  <c r="AD26" i="49" s="1"/>
  <c r="AK26" i="49" s="1"/>
  <c r="Y16" i="83"/>
  <c r="AG16" i="83" s="1"/>
  <c r="AN16" i="83" s="1"/>
  <c r="W29" i="69"/>
  <c r="AE29" i="69" s="1"/>
  <c r="Y23" i="90"/>
  <c r="AG23" i="90" s="1"/>
  <c r="AN23" i="90" s="1"/>
  <c r="Y30" i="64"/>
  <c r="AG30" i="64" s="1"/>
  <c r="AN30" i="64" s="1"/>
  <c r="W30" i="64"/>
  <c r="AE30" i="64" s="1"/>
  <c r="AL30" i="64" s="1"/>
  <c r="Z30" i="64"/>
  <c r="AH30" i="64" s="1"/>
  <c r="AO30" i="64" s="1"/>
  <c r="W26" i="85"/>
  <c r="AE26" i="85" s="1"/>
  <c r="AL26" i="85" s="1"/>
  <c r="V26" i="85"/>
  <c r="AD26" i="85" s="1"/>
  <c r="AK26" i="85" s="1"/>
  <c r="Z26" i="41"/>
  <c r="AH26" i="41" s="1"/>
  <c r="AO26" i="41" s="1"/>
  <c r="W26" i="53"/>
  <c r="AE26" i="53" s="1"/>
  <c r="AL26" i="53" s="1"/>
  <c r="Z26" i="53"/>
  <c r="AH26" i="53" s="1"/>
  <c r="AO26" i="53" s="1"/>
  <c r="V26" i="53"/>
  <c r="AD26" i="53" s="1"/>
  <c r="AK26" i="53" s="1"/>
  <c r="Z34" i="54"/>
  <c r="AH34" i="54" s="1"/>
  <c r="AO34" i="54" s="1"/>
  <c r="Y41" i="72"/>
  <c r="AG41" i="72" s="1"/>
  <c r="AN41" i="72" s="1"/>
  <c r="W41" i="72"/>
  <c r="AE41" i="72" s="1"/>
  <c r="AL41" i="72" s="1"/>
  <c r="V41" i="72"/>
  <c r="AD41" i="72" s="1"/>
  <c r="AK41" i="72" s="1"/>
  <c r="AA41" i="47"/>
  <c r="AI41" i="47" s="1"/>
  <c r="AP41" i="47" s="1"/>
  <c r="V41" i="47"/>
  <c r="Z41" i="47"/>
  <c r="W41" i="47"/>
  <c r="AE41" i="47" s="1"/>
  <c r="AL41" i="47" s="1"/>
  <c r="Y41" i="47"/>
  <c r="AG41" i="47" s="1"/>
  <c r="AN41" i="47" s="1"/>
  <c r="Z41" i="77"/>
  <c r="AA41" i="77"/>
  <c r="AI41" i="77" s="1"/>
  <c r="AP41" i="77" s="1"/>
  <c r="AA37" i="41"/>
  <c r="AI37" i="41" s="1"/>
  <c r="AP37" i="41" s="1"/>
  <c r="V28" i="82"/>
  <c r="AD28" i="82" s="1"/>
  <c r="AK28" i="82" s="1"/>
  <c r="AA34" i="73"/>
  <c r="AI34" i="73" s="1"/>
  <c r="AP34" i="73" s="1"/>
  <c r="V34" i="73"/>
  <c r="AD34" i="73" s="1"/>
  <c r="AK34" i="73" s="1"/>
  <c r="Y34" i="73"/>
  <c r="AG34" i="73" s="1"/>
  <c r="AN34" i="73" s="1"/>
  <c r="V38" i="79"/>
  <c r="AD38" i="79" s="1"/>
  <c r="AK38" i="79" s="1"/>
  <c r="Y38" i="79"/>
  <c r="AG38" i="79" s="1"/>
  <c r="AN38" i="79" s="1"/>
  <c r="V38" i="47"/>
  <c r="AD38" i="47" s="1"/>
  <c r="AK38" i="47" s="1"/>
  <c r="AA38" i="47"/>
  <c r="AI38" i="47" s="1"/>
  <c r="AP38" i="47" s="1"/>
  <c r="Y38" i="47"/>
  <c r="AG38" i="47" s="1"/>
  <c r="AN38" i="47" s="1"/>
  <c r="Z38" i="47"/>
  <c r="AH38" i="47" s="1"/>
  <c r="AO38" i="47" s="1"/>
  <c r="X20" i="77"/>
  <c r="Z20" i="82"/>
  <c r="AH20" i="82" s="1"/>
  <c r="AO20" i="82" s="1"/>
  <c r="AA36" i="50"/>
  <c r="AI36" i="50" s="1"/>
  <c r="AP36" i="50" s="1"/>
  <c r="W36" i="50"/>
  <c r="Z36" i="50"/>
  <c r="AH36" i="50" s="1"/>
  <c r="AO36" i="50" s="1"/>
  <c r="V19" i="55"/>
  <c r="AD19" i="55" s="1"/>
  <c r="AK19" i="55" s="1"/>
  <c r="W19" i="55"/>
  <c r="Y23" i="88"/>
  <c r="AG23" i="88" s="1"/>
  <c r="AN23" i="88" s="1"/>
  <c r="Z38" i="88"/>
  <c r="Y38" i="88"/>
  <c r="AG38" i="88" s="1"/>
  <c r="AN38" i="88" s="1"/>
  <c r="W38" i="88"/>
  <c r="AE38" i="88" s="1"/>
  <c r="AL38" i="88" s="1"/>
  <c r="Z34" i="83"/>
  <c r="AH34" i="83" s="1"/>
  <c r="AO34" i="83" s="1"/>
  <c r="Y39" i="84"/>
  <c r="AG39" i="84" s="1"/>
  <c r="AN39" i="84" s="1"/>
  <c r="Z39" i="84"/>
  <c r="AH39" i="84" s="1"/>
  <c r="AO39" i="84" s="1"/>
  <c r="V39" i="84"/>
  <c r="AD39" i="84" s="1"/>
  <c r="AK39" i="84" s="1"/>
  <c r="Z39" i="69"/>
  <c r="V35" i="45"/>
  <c r="Y34" i="81"/>
  <c r="AG34" i="81" s="1"/>
  <c r="AN34" i="81" s="1"/>
  <c r="AA19" i="52"/>
  <c r="AI19" i="52" s="1"/>
  <c r="AP19" i="52" s="1"/>
  <c r="W36" i="55"/>
  <c r="AE36" i="55" s="1"/>
  <c r="AL36" i="55" s="1"/>
  <c r="V28" i="51"/>
  <c r="AD28" i="51" s="1"/>
  <c r="AK28" i="51" s="1"/>
  <c r="W36" i="52"/>
  <c r="AE36" i="52" s="1"/>
  <c r="AL36" i="52" s="1"/>
  <c r="Z9" i="49"/>
  <c r="AH9" i="49" s="1"/>
  <c r="AO9" i="49" s="1"/>
  <c r="Z29" i="72"/>
  <c r="AH29" i="72" s="1"/>
  <c r="AO29" i="72" s="1"/>
  <c r="Y29" i="73"/>
  <c r="AG29" i="73" s="1"/>
  <c r="AN29" i="73" s="1"/>
  <c r="W29" i="48"/>
  <c r="AE29" i="48" s="1"/>
  <c r="AL29" i="48" s="1"/>
  <c r="Y41" i="48"/>
  <c r="AG41" i="48" s="1"/>
  <c r="AN41" i="48" s="1"/>
  <c r="Z34" i="82"/>
  <c r="AH34" i="82" s="1"/>
  <c r="AO34" i="82" s="1"/>
  <c r="Y23" i="73"/>
  <c r="AG23" i="73" s="1"/>
  <c r="AN23" i="73" s="1"/>
  <c r="Y16" i="72"/>
  <c r="AG16" i="72" s="1"/>
  <c r="AN16" i="72" s="1"/>
  <c r="W13" i="46"/>
  <c r="AE13" i="46" s="1"/>
  <c r="AL13" i="46" s="1"/>
  <c r="V26" i="45"/>
  <c r="AD26" i="45" s="1"/>
  <c r="AK26" i="45" s="1"/>
  <c r="Y37" i="46"/>
  <c r="Y41" i="79"/>
  <c r="AG41" i="79" s="1"/>
  <c r="AN41" i="79" s="1"/>
  <c r="Y37" i="87"/>
  <c r="AG37" i="87" s="1"/>
  <c r="AN37" i="87" s="1"/>
  <c r="Z19" i="54"/>
  <c r="AH19" i="54" s="1"/>
  <c r="AO19" i="54" s="1"/>
  <c r="X20" i="48"/>
  <c r="AF20" i="48" s="1"/>
  <c r="AM20" i="48" s="1"/>
  <c r="W34" i="73"/>
  <c r="AE34" i="73" s="1"/>
  <c r="AL34" i="73" s="1"/>
  <c r="Y34" i="64"/>
  <c r="AG34" i="64" s="1"/>
  <c r="AN34" i="64" s="1"/>
  <c r="V39" i="48"/>
  <c r="AD39" i="48" s="1"/>
  <c r="AK39" i="48" s="1"/>
  <c r="AA37" i="54"/>
  <c r="W39" i="83"/>
  <c r="AE39" i="83" s="1"/>
  <c r="AL39" i="83" s="1"/>
  <c r="AA39" i="69"/>
  <c r="AI39" i="69" s="1"/>
  <c r="AP39" i="69" s="1"/>
  <c r="AA41" i="52"/>
  <c r="AI41" i="52" s="1"/>
  <c r="AP41" i="52" s="1"/>
  <c r="W29" i="82"/>
  <c r="AE29" i="82" s="1"/>
  <c r="AL29" i="82" s="1"/>
  <c r="V39" i="64"/>
  <c r="AD39" i="64" s="1"/>
  <c r="AK39" i="64" s="1"/>
  <c r="Z26" i="84"/>
  <c r="AH26" i="84" s="1"/>
  <c r="AO26" i="84" s="1"/>
  <c r="Z34" i="49"/>
  <c r="AH34" i="49" s="1"/>
  <c r="AO34" i="49" s="1"/>
  <c r="Y30" i="88"/>
  <c r="AG30" i="88" s="1"/>
  <c r="AN30" i="88" s="1"/>
  <c r="Z41" i="55"/>
  <c r="AH41" i="55" s="1"/>
  <c r="AO41" i="55" s="1"/>
  <c r="Z14" i="90"/>
  <c r="AH14" i="90" s="1"/>
  <c r="AO14" i="90" s="1"/>
  <c r="AA14" i="82"/>
  <c r="AI14" i="82" s="1"/>
  <c r="AP14" i="82" s="1"/>
  <c r="AA39" i="49"/>
  <c r="AI39" i="49" s="1"/>
  <c r="AP39" i="49" s="1"/>
  <c r="Y29" i="53"/>
  <c r="AG29" i="53" s="1"/>
  <c r="AN29" i="53" s="1"/>
  <c r="Z23" i="41"/>
  <c r="AH23" i="41" s="1"/>
  <c r="AO23" i="41" s="1"/>
  <c r="W30" i="51"/>
  <c r="V29" i="77"/>
  <c r="AD29" i="77" s="1"/>
  <c r="W39" i="69"/>
  <c r="AE39" i="69" s="1"/>
  <c r="AL39" i="69" s="1"/>
  <c r="AA37" i="83"/>
  <c r="AI37" i="83" s="1"/>
  <c r="AP37" i="83" s="1"/>
  <c r="W41" i="77"/>
  <c r="AE41" i="77" s="1"/>
  <c r="AL41" i="77" s="1"/>
  <c r="Z39" i="88"/>
  <c r="AH39" i="88" s="1"/>
  <c r="AO39" i="88" s="1"/>
  <c r="Z23" i="90"/>
  <c r="W35" i="83"/>
  <c r="X29" i="48"/>
  <c r="AF29" i="48" s="1"/>
  <c r="AM29" i="48" s="1"/>
  <c r="AG42" i="84"/>
  <c r="AE42" i="84"/>
  <c r="AL42" i="84" s="1"/>
  <c r="S85" i="70"/>
  <c r="W9" i="72"/>
  <c r="AE9" i="72" s="1"/>
  <c r="AL9" i="72" s="1"/>
  <c r="Z9" i="55"/>
  <c r="AH9" i="55" s="1"/>
  <c r="AO9" i="55" s="1"/>
  <c r="AA9" i="90"/>
  <c r="AI9" i="90" s="1"/>
  <c r="AP9" i="90" s="1"/>
  <c r="AA9" i="41"/>
  <c r="AI9" i="41" s="1"/>
  <c r="AP9" i="41" s="1"/>
  <c r="Z9" i="54"/>
  <c r="AH9" i="54" s="1"/>
  <c r="AO9" i="54" s="1"/>
  <c r="Y9" i="79"/>
  <c r="AG9" i="79" s="1"/>
  <c r="V39" i="47"/>
  <c r="AD39" i="47" s="1"/>
  <c r="AK39" i="47" s="1"/>
  <c r="Y16" i="73"/>
  <c r="AG16" i="73" s="1"/>
  <c r="AN16" i="73" s="1"/>
  <c r="Y29" i="55"/>
  <c r="AG29" i="55" s="1"/>
  <c r="AN29" i="55" s="1"/>
  <c r="W13" i="54"/>
  <c r="AE13" i="54" s="1"/>
  <c r="AL13" i="54" s="1"/>
  <c r="AA29" i="51"/>
  <c r="AI29" i="51" s="1"/>
  <c r="AP29" i="51" s="1"/>
  <c r="Z29" i="64"/>
  <c r="AH29" i="64" s="1"/>
  <c r="AO29" i="64" s="1"/>
  <c r="Z35" i="46"/>
  <c r="AH35" i="46" s="1"/>
  <c r="AO35" i="46" s="1"/>
  <c r="V41" i="48"/>
  <c r="AD41" i="48" s="1"/>
  <c r="AK41" i="48" s="1"/>
  <c r="AA30" i="64"/>
  <c r="AI30" i="64" s="1"/>
  <c r="AP30" i="64" s="1"/>
  <c r="Z23" i="73"/>
  <c r="AH23" i="73" s="1"/>
  <c r="AO23" i="73" s="1"/>
  <c r="W16" i="72"/>
  <c r="AE16" i="72" s="1"/>
  <c r="AL16" i="72" s="1"/>
  <c r="Y13" i="46"/>
  <c r="AG13" i="46" s="1"/>
  <c r="AN13" i="46" s="1"/>
  <c r="W30" i="45"/>
  <c r="W39" i="50"/>
  <c r="AA41" i="79"/>
  <c r="AI41" i="79" s="1"/>
  <c r="AP41" i="79" s="1"/>
  <c r="V37" i="87"/>
  <c r="AD37" i="87" s="1"/>
  <c r="AK37" i="87" s="1"/>
  <c r="AA41" i="83"/>
  <c r="AI41" i="83" s="1"/>
  <c r="AP41" i="83" s="1"/>
  <c r="Z34" i="73"/>
  <c r="AH34" i="73" s="1"/>
  <c r="AO34" i="73" s="1"/>
  <c r="AI42" i="84"/>
  <c r="AP42" i="84" s="1"/>
  <c r="Y36" i="64"/>
  <c r="AG36" i="64" s="1"/>
  <c r="AN36" i="64" s="1"/>
  <c r="AA39" i="48"/>
  <c r="AI39" i="48" s="1"/>
  <c r="AP39" i="48" s="1"/>
  <c r="AA20" i="48"/>
  <c r="AI20" i="48" s="1"/>
  <c r="AP20" i="48" s="1"/>
  <c r="W14" i="41"/>
  <c r="V39" i="83"/>
  <c r="AD39" i="83" s="1"/>
  <c r="AK39" i="83" s="1"/>
  <c r="V39" i="69"/>
  <c r="AD39" i="69" s="1"/>
  <c r="AK39" i="69" s="1"/>
  <c r="Y41" i="52"/>
  <c r="AG41" i="52" s="1"/>
  <c r="AN41" i="52" s="1"/>
  <c r="Z34" i="85"/>
  <c r="AH34" i="85" s="1"/>
  <c r="AO34" i="85" s="1"/>
  <c r="Y29" i="69"/>
  <c r="AG29" i="69" s="1"/>
  <c r="AN29" i="69" s="1"/>
  <c r="Y37" i="82"/>
  <c r="AG37" i="82" s="1"/>
  <c r="AN37" i="82" s="1"/>
  <c r="V34" i="45"/>
  <c r="AD34" i="45" s="1"/>
  <c r="AK34" i="45" s="1"/>
  <c r="Y39" i="48"/>
  <c r="AG39" i="48" s="1"/>
  <c r="AN39" i="48" s="1"/>
  <c r="V36" i="45"/>
  <c r="AD36" i="45" s="1"/>
  <c r="AK36" i="45" s="1"/>
  <c r="W41" i="55"/>
  <c r="AE41" i="55" s="1"/>
  <c r="AL41" i="55" s="1"/>
  <c r="AA41" i="87"/>
  <c r="AI41" i="87" s="1"/>
  <c r="AP41" i="87" s="1"/>
  <c r="Z19" i="81"/>
  <c r="AH19" i="81" s="1"/>
  <c r="AO19" i="81" s="1"/>
  <c r="X16" i="50"/>
  <c r="AF16" i="50" s="1"/>
  <c r="AM16" i="50" s="1"/>
  <c r="Z29" i="52"/>
  <c r="AH29" i="52" s="1"/>
  <c r="AO29" i="52" s="1"/>
  <c r="Z14" i="49"/>
  <c r="AA13" i="50"/>
  <c r="AA13" i="83"/>
  <c r="AA41" i="72"/>
  <c r="AI41" i="72" s="1"/>
  <c r="AP41" i="72" s="1"/>
  <c r="W35" i="49"/>
  <c r="AE35" i="49" s="1"/>
  <c r="AL35" i="49" s="1"/>
  <c r="V37" i="83"/>
  <c r="AD37" i="83" s="1"/>
  <c r="AK37" i="83" s="1"/>
  <c r="AA13" i="72"/>
  <c r="AI13" i="72" s="1"/>
  <c r="AP13" i="72" s="1"/>
  <c r="V28" i="95"/>
  <c r="AD28" i="95" s="1"/>
  <c r="AK28" i="95" s="1"/>
  <c r="Y23" i="81"/>
  <c r="W29" i="64"/>
  <c r="AE29" i="64" s="1"/>
  <c r="AL29" i="64" s="1"/>
  <c r="W36" i="90"/>
  <c r="AE36" i="90" s="1"/>
  <c r="AL36" i="90" s="1"/>
  <c r="M85" i="70"/>
  <c r="Z9" i="87"/>
  <c r="AH9" i="87" s="1"/>
  <c r="AO9" i="87" s="1"/>
  <c r="Z9" i="58"/>
  <c r="AH9" i="58" s="1"/>
  <c r="AO9" i="58" s="1"/>
  <c r="U10" i="54"/>
  <c r="AA10" i="54" s="1"/>
  <c r="AI10" i="54" s="1"/>
  <c r="AP10" i="54" s="1"/>
  <c r="Y34" i="53"/>
  <c r="AG34" i="53" s="1"/>
  <c r="AN34" i="53" s="1"/>
  <c r="AA29" i="55"/>
  <c r="AI29" i="55" s="1"/>
  <c r="AP29" i="55" s="1"/>
  <c r="Z29" i="46"/>
  <c r="AH29" i="46" s="1"/>
  <c r="AO29" i="46" s="1"/>
  <c r="AA39" i="72"/>
  <c r="Z29" i="47"/>
  <c r="AH29" i="47" s="1"/>
  <c r="AO29" i="47" s="1"/>
  <c r="Y29" i="84"/>
  <c r="AG29" i="84" s="1"/>
  <c r="AN29" i="84" s="1"/>
  <c r="V16" i="83"/>
  <c r="AD16" i="83" s="1"/>
  <c r="AK16" i="83" s="1"/>
  <c r="AA19" i="50"/>
  <c r="AI19" i="50" s="1"/>
  <c r="AP19" i="50" s="1"/>
  <c r="V41" i="82"/>
  <c r="AD41" i="82" s="1"/>
  <c r="AK41" i="82" s="1"/>
  <c r="W26" i="88"/>
  <c r="AE26" i="88" s="1"/>
  <c r="AL26" i="88" s="1"/>
  <c r="Z13" i="69"/>
  <c r="AH13" i="69" s="1"/>
  <c r="AO13" i="69" s="1"/>
  <c r="Z13" i="46"/>
  <c r="AH13" i="46" s="1"/>
  <c r="AO13" i="46" s="1"/>
  <c r="Z30" i="45"/>
  <c r="Z39" i="50"/>
  <c r="AH39" i="50" s="1"/>
  <c r="AO39" i="50" s="1"/>
  <c r="V41" i="79"/>
  <c r="AD41" i="79" s="1"/>
  <c r="AK41" i="79" s="1"/>
  <c r="Z30" i="50"/>
  <c r="AH30" i="50" s="1"/>
  <c r="AO30" i="50" s="1"/>
  <c r="AA14" i="64"/>
  <c r="Z26" i="85"/>
  <c r="Z36" i="87"/>
  <c r="V19" i="51"/>
  <c r="AD19" i="51" s="1"/>
  <c r="AK19" i="51" s="1"/>
  <c r="Y34" i="55"/>
  <c r="AG34" i="55" s="1"/>
  <c r="AN34" i="55" s="1"/>
  <c r="AA39" i="58"/>
  <c r="AI39" i="58" s="1"/>
  <c r="AP39" i="58" s="1"/>
  <c r="V36" i="64"/>
  <c r="AD36" i="64" s="1"/>
  <c r="AK36" i="64" s="1"/>
  <c r="W20" i="48"/>
  <c r="AE20" i="48" s="1"/>
  <c r="AL20" i="48" s="1"/>
  <c r="AA13" i="69"/>
  <c r="AI13" i="69" s="1"/>
  <c r="AP13" i="69" s="1"/>
  <c r="AA36" i="47"/>
  <c r="AI36" i="47" s="1"/>
  <c r="AP36" i="47" s="1"/>
  <c r="W16" i="54"/>
  <c r="AE16" i="54" s="1"/>
  <c r="AL16" i="54" s="1"/>
  <c r="W38" i="58"/>
  <c r="AE38" i="58" s="1"/>
  <c r="AL38" i="58" s="1"/>
  <c r="Y39" i="69"/>
  <c r="AG39" i="69" s="1"/>
  <c r="AN39" i="69" s="1"/>
  <c r="AA41" i="84"/>
  <c r="AI41" i="84" s="1"/>
  <c r="AP41" i="84" s="1"/>
  <c r="Y37" i="81"/>
  <c r="AG37" i="81" s="1"/>
  <c r="AN37" i="81" s="1"/>
  <c r="W29" i="49"/>
  <c r="AE29" i="49" s="1"/>
  <c r="AL29" i="49" s="1"/>
  <c r="AA37" i="82"/>
  <c r="AI37" i="82" s="1"/>
  <c r="AP37" i="82" s="1"/>
  <c r="Y39" i="54"/>
  <c r="Z39" i="48"/>
  <c r="AH39" i="48" s="1"/>
  <c r="AO39" i="48" s="1"/>
  <c r="W36" i="45"/>
  <c r="AE36" i="45" s="1"/>
  <c r="AL36" i="45" s="1"/>
  <c r="Z41" i="72"/>
  <c r="AH41" i="72" s="1"/>
  <c r="AO41" i="72" s="1"/>
  <c r="Z30" i="87"/>
  <c r="AH30" i="87" s="1"/>
  <c r="AO30" i="87" s="1"/>
  <c r="Y23" i="79"/>
  <c r="AG23" i="79" s="1"/>
  <c r="AN23" i="79" s="1"/>
  <c r="Y23" i="55"/>
  <c r="AG23" i="55" s="1"/>
  <c r="AN23" i="55" s="1"/>
  <c r="Z29" i="54"/>
  <c r="AH29" i="54" s="1"/>
  <c r="AO29" i="54" s="1"/>
  <c r="AA35" i="45"/>
  <c r="Z30" i="51"/>
  <c r="W35" i="46"/>
  <c r="AE35" i="46" s="1"/>
  <c r="AL35" i="46" s="1"/>
  <c r="AA29" i="56"/>
  <c r="AI29" i="56" s="1"/>
  <c r="AP29" i="56" s="1"/>
  <c r="Y37" i="54"/>
  <c r="AG37" i="54" s="1"/>
  <c r="AN37" i="54" s="1"/>
  <c r="V34" i="79"/>
  <c r="AD34" i="79" s="1"/>
  <c r="AK34" i="79" s="1"/>
  <c r="W34" i="58"/>
  <c r="AE34" i="58" s="1"/>
  <c r="AL34" i="58" s="1"/>
  <c r="V14" i="82"/>
  <c r="AA34" i="85"/>
  <c r="V39" i="95"/>
  <c r="V35" i="50"/>
  <c r="AD42" i="81"/>
  <c r="AK42" i="81" s="1"/>
  <c r="AF42" i="81"/>
  <c r="AM42" i="81" s="1"/>
  <c r="Y41" i="100"/>
  <c r="AG41" i="100" s="1"/>
  <c r="AN41" i="100" s="1"/>
  <c r="Z34" i="100"/>
  <c r="AH34" i="100" s="1"/>
  <c r="AO34" i="100" s="1"/>
  <c r="X29" i="100"/>
  <c r="AF29" i="100" s="1"/>
  <c r="AM29" i="100" s="1"/>
  <c r="W29" i="100"/>
  <c r="AE29" i="100" s="1"/>
  <c r="AL29" i="100" s="1"/>
  <c r="AA39" i="100"/>
  <c r="AI39" i="100" s="1"/>
  <c r="AP39" i="100" s="1"/>
  <c r="AA38" i="100"/>
  <c r="AI38" i="100" s="1"/>
  <c r="AP38" i="100" s="1"/>
  <c r="S44" i="70"/>
  <c r="K44" i="70"/>
  <c r="Q42" i="70"/>
  <c r="Z41" i="100"/>
  <c r="AH41" i="100" s="1"/>
  <c r="AO41" i="100" s="1"/>
  <c r="AA29" i="100"/>
  <c r="AI29" i="100" s="1"/>
  <c r="AP29" i="100" s="1"/>
  <c r="I44" i="70"/>
  <c r="G42" i="70"/>
  <c r="H35" i="70"/>
  <c r="V30" i="100"/>
  <c r="O35" i="70"/>
  <c r="E44" i="70"/>
  <c r="AF21" i="44"/>
  <c r="AF89" i="44" s="1"/>
  <c r="T42" i="70"/>
  <c r="H42" i="70"/>
  <c r="AV35" i="70"/>
  <c r="I35" i="70"/>
  <c r="Q40" i="70"/>
  <c r="AF22" i="44"/>
  <c r="AF90" i="44" s="1"/>
  <c r="M34" i="70"/>
  <c r="E34" i="70"/>
  <c r="E35" i="70"/>
  <c r="Y35" i="100"/>
  <c r="AG35" i="100" s="1"/>
  <c r="AN35" i="100" s="1"/>
  <c r="K34" i="70"/>
  <c r="K42" i="70"/>
  <c r="T36" i="70"/>
  <c r="C9" i="77"/>
  <c r="I9" i="77" s="1"/>
  <c r="O36" i="70"/>
  <c r="AG18" i="44"/>
  <c r="Q34" i="70"/>
  <c r="I34" i="70"/>
  <c r="L42" i="70"/>
  <c r="G34" i="70"/>
  <c r="C9" i="84"/>
  <c r="I9" i="84" s="1"/>
  <c r="AG6" i="70"/>
  <c r="C9" i="81"/>
  <c r="K40" i="70"/>
  <c r="V13" i="100"/>
  <c r="V26" i="100"/>
  <c r="AD26" i="100" s="1"/>
  <c r="AK26" i="100" s="1"/>
  <c r="X14" i="100"/>
  <c r="AF14" i="100" s="1"/>
  <c r="AM14" i="100" s="1"/>
  <c r="W30" i="100"/>
  <c r="AE30" i="100" s="1"/>
  <c r="AL30" i="100" s="1"/>
  <c r="Z29" i="100"/>
  <c r="AH29" i="100" s="1"/>
  <c r="AO29" i="100" s="1"/>
  <c r="Z14" i="100"/>
  <c r="AH14" i="100" s="1"/>
  <c r="AO14" i="100" s="1"/>
  <c r="Y37" i="100"/>
  <c r="AG37" i="100" s="1"/>
  <c r="AN37" i="100" s="1"/>
  <c r="AA35" i="100"/>
  <c r="AI35" i="100" s="1"/>
  <c r="AP35" i="100" s="1"/>
  <c r="Y19" i="100"/>
  <c r="AG19" i="100" s="1"/>
  <c r="AN19" i="100" s="1"/>
  <c r="Z19" i="100"/>
  <c r="W9" i="100"/>
  <c r="Y34" i="100"/>
  <c r="AG34" i="100" s="1"/>
  <c r="AN34" i="100" s="1"/>
  <c r="V29" i="100"/>
  <c r="V41" i="100"/>
  <c r="V38" i="100"/>
  <c r="W35" i="100"/>
  <c r="AE35" i="100" s="1"/>
  <c r="AL35" i="100" s="1"/>
  <c r="AA34" i="100"/>
  <c r="AI34" i="100" s="1"/>
  <c r="AP34" i="100" s="1"/>
  <c r="Z38" i="100"/>
  <c r="AH38" i="100" s="1"/>
  <c r="AO38" i="100" s="1"/>
  <c r="Z36" i="100"/>
  <c r="AH36" i="100" s="1"/>
  <c r="AO36" i="100" s="1"/>
  <c r="Y9" i="100"/>
  <c r="V37" i="100"/>
  <c r="Y30" i="100"/>
  <c r="AG30" i="100" s="1"/>
  <c r="AN30" i="100" s="1"/>
  <c r="Z13" i="100"/>
  <c r="AH13" i="100" s="1"/>
  <c r="AO13" i="100" s="1"/>
  <c r="X20" i="100"/>
  <c r="AF20" i="100" s="1"/>
  <c r="AM20" i="100" s="1"/>
  <c r="Y23" i="100"/>
  <c r="AG23" i="100" s="1"/>
  <c r="AN23" i="100" s="1"/>
  <c r="V39" i="100"/>
  <c r="Y16" i="100"/>
  <c r="AG16" i="100" s="1"/>
  <c r="AN16" i="100" s="1"/>
  <c r="W38" i="100"/>
  <c r="AE38" i="100" s="1"/>
  <c r="AL38" i="100" s="1"/>
  <c r="W36" i="100"/>
  <c r="AE36" i="100" s="1"/>
  <c r="AL36" i="100" s="1"/>
  <c r="Z20" i="100"/>
  <c r="AH20" i="100" s="1"/>
  <c r="AO20" i="100" s="1"/>
  <c r="Z39" i="100"/>
  <c r="AH39" i="100" s="1"/>
  <c r="AO39" i="100" s="1"/>
  <c r="AA37" i="100"/>
  <c r="AI37" i="100" s="1"/>
  <c r="AP37" i="100" s="1"/>
  <c r="AA20" i="100"/>
  <c r="AI20" i="100" s="1"/>
  <c r="AP20" i="100" s="1"/>
  <c r="W34" i="100"/>
  <c r="AE34" i="100" s="1"/>
  <c r="AL34" i="100" s="1"/>
  <c r="Z9" i="100"/>
  <c r="V34" i="100"/>
  <c r="W13" i="100"/>
  <c r="AE13" i="100" s="1"/>
  <c r="AL13" i="100" s="1"/>
  <c r="Y13" i="100"/>
  <c r="AG13" i="100" s="1"/>
  <c r="AN13" i="100" s="1"/>
  <c r="X9" i="100"/>
  <c r="AF9" i="100" s="1"/>
  <c r="AM9" i="100" s="1"/>
  <c r="V19" i="100"/>
  <c r="W39" i="100"/>
  <c r="AE39" i="100" s="1"/>
  <c r="AL39" i="100" s="1"/>
  <c r="Y38" i="100"/>
  <c r="AG38" i="100" s="1"/>
  <c r="AN38" i="100" s="1"/>
  <c r="AA41" i="100"/>
  <c r="AI41" i="100" s="1"/>
  <c r="AP41" i="100" s="1"/>
  <c r="V35" i="100"/>
  <c r="V20" i="100"/>
  <c r="V14" i="100"/>
  <c r="W14" i="100"/>
  <c r="AE14" i="100" s="1"/>
  <c r="AL14" i="100" s="1"/>
  <c r="W20" i="100"/>
  <c r="AE20" i="100" s="1"/>
  <c r="AL20" i="100" s="1"/>
  <c r="AA13" i="100"/>
  <c r="AI13" i="100" s="1"/>
  <c r="AP13" i="100" s="1"/>
  <c r="Y39" i="100"/>
  <c r="AG39" i="100" s="1"/>
  <c r="AN39" i="100" s="1"/>
  <c r="V28" i="100"/>
  <c r="AD28" i="100" s="1"/>
  <c r="AK28" i="100" s="1"/>
  <c r="AA19" i="100"/>
  <c r="AI19" i="100" s="1"/>
  <c r="AP19" i="100" s="1"/>
  <c r="W41" i="100"/>
  <c r="AE41" i="100" s="1"/>
  <c r="AL41" i="100" s="1"/>
  <c r="V16" i="100"/>
  <c r="AD16" i="100" s="1"/>
  <c r="AK16" i="100" s="1"/>
  <c r="X16" i="100"/>
  <c r="AF16" i="100" s="1"/>
  <c r="AM16" i="100" s="1"/>
  <c r="Z26" i="100"/>
  <c r="AH26" i="100" s="1"/>
  <c r="AO26" i="100" s="1"/>
  <c r="W19" i="100"/>
  <c r="Z35" i="100"/>
  <c r="AH35" i="100" s="1"/>
  <c r="AO35" i="100" s="1"/>
  <c r="AA14" i="100"/>
  <c r="AI14" i="100" s="1"/>
  <c r="AP14" i="100" s="1"/>
  <c r="AA36" i="100"/>
  <c r="AI36" i="100" s="1"/>
  <c r="AP36" i="100" s="1"/>
  <c r="Y29" i="100"/>
  <c r="AG29" i="100" s="1"/>
  <c r="AN29" i="100" s="1"/>
  <c r="Z16" i="100"/>
  <c r="AH16" i="100" s="1"/>
  <c r="AO16" i="100" s="1"/>
  <c r="Z30" i="100"/>
  <c r="AH30" i="100" s="1"/>
  <c r="AO30" i="100" s="1"/>
  <c r="AA9" i="100"/>
  <c r="Z23" i="100"/>
  <c r="AH23" i="100" s="1"/>
  <c r="AO23" i="100" s="1"/>
  <c r="AA30" i="100"/>
  <c r="AI30" i="100" s="1"/>
  <c r="AP30" i="100" s="1"/>
  <c r="V36" i="100"/>
  <c r="W16" i="100"/>
  <c r="AE16" i="100" s="1"/>
  <c r="AL16" i="100" s="1"/>
  <c r="W26" i="100"/>
  <c r="AE26" i="100" s="1"/>
  <c r="AL26" i="100" s="1"/>
  <c r="Y36" i="100"/>
  <c r="AG36" i="100" s="1"/>
  <c r="AN36" i="100" s="1"/>
  <c r="V19" i="99"/>
  <c r="AD19" i="99" s="1"/>
  <c r="AK19" i="99" s="1"/>
  <c r="AA29" i="99"/>
  <c r="AI29" i="99" s="1"/>
  <c r="AP29" i="99" s="1"/>
  <c r="W29" i="99"/>
  <c r="AE29" i="99" s="1"/>
  <c r="AL29" i="99" s="1"/>
  <c r="Z19" i="99"/>
  <c r="AH19" i="99" s="1"/>
  <c r="AO19" i="99" s="1"/>
  <c r="AA34" i="99"/>
  <c r="AI34" i="99" s="1"/>
  <c r="AP34" i="99" s="1"/>
  <c r="V38" i="99"/>
  <c r="AD38" i="99" s="1"/>
  <c r="AK38" i="99" s="1"/>
  <c r="W30" i="99"/>
  <c r="AE30" i="99" s="1"/>
  <c r="AL30" i="99" s="1"/>
  <c r="Y29" i="99"/>
  <c r="AG29" i="99" s="1"/>
  <c r="AN29" i="99" s="1"/>
  <c r="W26" i="99"/>
  <c r="AE26" i="99" s="1"/>
  <c r="AL26" i="99" s="1"/>
  <c r="Y13" i="99"/>
  <c r="AG13" i="99" s="1"/>
  <c r="AN13" i="99" s="1"/>
  <c r="AA14" i="99"/>
  <c r="AI14" i="99" s="1"/>
  <c r="AP14" i="99" s="1"/>
  <c r="X16" i="99"/>
  <c r="AF16" i="99" s="1"/>
  <c r="AM16" i="99" s="1"/>
  <c r="V30" i="99"/>
  <c r="AD30" i="99" s="1"/>
  <c r="AK30" i="99" s="1"/>
  <c r="Y23" i="99"/>
  <c r="AG23" i="99" s="1"/>
  <c r="AN23" i="99" s="1"/>
  <c r="V20" i="99"/>
  <c r="AD20" i="99" s="1"/>
  <c r="AK20" i="99" s="1"/>
  <c r="V29" i="99"/>
  <c r="V39" i="99"/>
  <c r="AD39" i="99" s="1"/>
  <c r="AK39" i="99" s="1"/>
  <c r="V13" i="99"/>
  <c r="AD13" i="99" s="1"/>
  <c r="AK13" i="99" s="1"/>
  <c r="AA20" i="99"/>
  <c r="AI20" i="99" s="1"/>
  <c r="AP20" i="99" s="1"/>
  <c r="W20" i="99"/>
  <c r="AE20" i="99" s="1"/>
  <c r="AL20" i="99" s="1"/>
  <c r="Z34" i="99"/>
  <c r="AH34" i="99" s="1"/>
  <c r="AO34" i="99" s="1"/>
  <c r="V37" i="99"/>
  <c r="AD37" i="99" s="1"/>
  <c r="AK37" i="99" s="1"/>
  <c r="Y30" i="99"/>
  <c r="AG30" i="99" s="1"/>
  <c r="AN30" i="99" s="1"/>
  <c r="Z29" i="99"/>
  <c r="AH29" i="99" s="1"/>
  <c r="AO29" i="99" s="1"/>
  <c r="Z26" i="99"/>
  <c r="AH26" i="99" s="1"/>
  <c r="AO26" i="99" s="1"/>
  <c r="W34" i="99"/>
  <c r="AE34" i="99" s="1"/>
  <c r="AL34" i="99" s="1"/>
  <c r="Z23" i="99"/>
  <c r="AH23" i="99" s="1"/>
  <c r="AO23" i="99" s="1"/>
  <c r="Z16" i="99"/>
  <c r="AH16" i="99" s="1"/>
  <c r="AO16" i="99" s="1"/>
  <c r="Y38" i="99"/>
  <c r="AG38" i="99" s="1"/>
  <c r="AN38" i="99" s="1"/>
  <c r="AA37" i="99"/>
  <c r="AI37" i="99" s="1"/>
  <c r="AP37" i="99" s="1"/>
  <c r="W38" i="99"/>
  <c r="AE38" i="99" s="1"/>
  <c r="AL38" i="99" s="1"/>
  <c r="AA35" i="99"/>
  <c r="AI35" i="99" s="1"/>
  <c r="AP35" i="99" s="1"/>
  <c r="W39" i="99"/>
  <c r="AE39" i="99" s="1"/>
  <c r="AL39" i="99" s="1"/>
  <c r="V36" i="99"/>
  <c r="AD36" i="99" s="1"/>
  <c r="AK36" i="99" s="1"/>
  <c r="Z30" i="99"/>
  <c r="AH30" i="99" s="1"/>
  <c r="AO30" i="99" s="1"/>
  <c r="V28" i="99"/>
  <c r="AD28" i="99" s="1"/>
  <c r="AK28" i="99" s="1"/>
  <c r="Z14" i="99"/>
  <c r="AH14" i="99" s="1"/>
  <c r="AO14" i="99" s="1"/>
  <c r="W13" i="99"/>
  <c r="AE13" i="99" s="1"/>
  <c r="AL13" i="99" s="1"/>
  <c r="AA13" i="99"/>
  <c r="AI13" i="99" s="1"/>
  <c r="AP13" i="99" s="1"/>
  <c r="V35" i="99"/>
  <c r="AD35" i="99" s="1"/>
  <c r="AK35" i="99" s="1"/>
  <c r="AA30" i="99"/>
  <c r="AI30" i="99" s="1"/>
  <c r="AP30" i="99" s="1"/>
  <c r="AA38" i="99"/>
  <c r="AI38" i="99" s="1"/>
  <c r="AP38" i="99" s="1"/>
  <c r="AA19" i="99"/>
  <c r="AI19" i="99" s="1"/>
  <c r="AP19" i="99" s="1"/>
  <c r="X29" i="99"/>
  <c r="AF29" i="99" s="1"/>
  <c r="AM29" i="99" s="1"/>
  <c r="Y41" i="99"/>
  <c r="AG41" i="99" s="1"/>
  <c r="AN41" i="99" s="1"/>
  <c r="W35" i="99"/>
  <c r="AE35" i="99" s="1"/>
  <c r="AL35" i="99" s="1"/>
  <c r="X20" i="99"/>
  <c r="AF20" i="99" s="1"/>
  <c r="AM20" i="99" s="1"/>
  <c r="AA36" i="99"/>
  <c r="AI36" i="99" s="1"/>
  <c r="AP36" i="99" s="1"/>
  <c r="Z41" i="99"/>
  <c r="AH41" i="99" s="1"/>
  <c r="AO41" i="99" s="1"/>
  <c r="Y37" i="99"/>
  <c r="AG37" i="99" s="1"/>
  <c r="AN37" i="99" s="1"/>
  <c r="V34" i="99"/>
  <c r="AD34" i="99" s="1"/>
  <c r="AK34" i="99" s="1"/>
  <c r="Y35" i="99"/>
  <c r="AG35" i="99" s="1"/>
  <c r="AN35" i="99" s="1"/>
  <c r="W14" i="99"/>
  <c r="AE14" i="99" s="1"/>
  <c r="AL14" i="99" s="1"/>
  <c r="Y19" i="99"/>
  <c r="AG19" i="99" s="1"/>
  <c r="AN19" i="99" s="1"/>
  <c r="AI112" i="44"/>
  <c r="Y16" i="99"/>
  <c r="AG16" i="99" s="1"/>
  <c r="AN16" i="99" s="1"/>
  <c r="Z39" i="99"/>
  <c r="AH39" i="99" s="1"/>
  <c r="AO39" i="99" s="1"/>
  <c r="V14" i="99"/>
  <c r="AD14" i="99" s="1"/>
  <c r="AK14" i="99" s="1"/>
  <c r="V26" i="99"/>
  <c r="AD26" i="99" s="1"/>
  <c r="AK26" i="99" s="1"/>
  <c r="Z38" i="99"/>
  <c r="AH38" i="99" s="1"/>
  <c r="AO38" i="99" s="1"/>
  <c r="Y34" i="99"/>
  <c r="AG34" i="99" s="1"/>
  <c r="AN34" i="99" s="1"/>
  <c r="V41" i="99"/>
  <c r="AD41" i="99" s="1"/>
  <c r="AK41" i="99" s="1"/>
  <c r="W41" i="99"/>
  <c r="AE41" i="99" s="1"/>
  <c r="AL41" i="99" s="1"/>
  <c r="Y39" i="99"/>
  <c r="AG39" i="99" s="1"/>
  <c r="AN39" i="99" s="1"/>
  <c r="W36" i="99"/>
  <c r="AE36" i="99" s="1"/>
  <c r="AL36" i="99" s="1"/>
  <c r="Y36" i="99"/>
  <c r="AG36" i="99" s="1"/>
  <c r="AN36" i="99" s="1"/>
  <c r="Z20" i="99"/>
  <c r="AH20" i="99" s="1"/>
  <c r="AO20" i="99" s="1"/>
  <c r="W19" i="99"/>
  <c r="AE19" i="99" s="1"/>
  <c r="AL19" i="99" s="1"/>
  <c r="Z36" i="99"/>
  <c r="AH36" i="99" s="1"/>
  <c r="AO36" i="99" s="1"/>
  <c r="Z35" i="99"/>
  <c r="AH35" i="99" s="1"/>
  <c r="AO35" i="99" s="1"/>
  <c r="AA41" i="99"/>
  <c r="AI41" i="99" s="1"/>
  <c r="AP41" i="99" s="1"/>
  <c r="AA39" i="99"/>
  <c r="AI39" i="99" s="1"/>
  <c r="AP39" i="99" s="1"/>
  <c r="W16" i="99"/>
  <c r="AE16" i="99" s="1"/>
  <c r="AL16" i="99" s="1"/>
  <c r="Z13" i="99"/>
  <c r="AH13" i="99" s="1"/>
  <c r="AO13" i="99" s="1"/>
  <c r="V16" i="99"/>
  <c r="AD16" i="99" s="1"/>
  <c r="AK16" i="99" s="1"/>
  <c r="X14" i="99"/>
  <c r="AF14" i="99" s="1"/>
  <c r="AM14" i="99" s="1"/>
  <c r="AI122" i="44"/>
  <c r="AI151" i="44" s="1"/>
  <c r="AI121" i="44"/>
  <c r="V29" i="53"/>
  <c r="AD29" i="53" s="1"/>
  <c r="AK29" i="53" s="1"/>
  <c r="V29" i="84"/>
  <c r="AD29" i="84" s="1"/>
  <c r="AK29" i="84" s="1"/>
  <c r="X29" i="69"/>
  <c r="AF29" i="69" s="1"/>
  <c r="AM29" i="69" s="1"/>
  <c r="X29" i="72"/>
  <c r="AF29" i="72" s="1"/>
  <c r="AM29" i="72" s="1"/>
  <c r="Z29" i="55"/>
  <c r="AH29" i="55" s="1"/>
  <c r="AO29" i="55" s="1"/>
  <c r="Z29" i="81"/>
  <c r="AH29" i="81" s="1"/>
  <c r="AO29" i="81" s="1"/>
  <c r="Z34" i="69"/>
  <c r="AH34" i="69" s="1"/>
  <c r="AO34" i="69" s="1"/>
  <c r="V35" i="95"/>
  <c r="AD35" i="95" s="1"/>
  <c r="AK35" i="95" s="1"/>
  <c r="X29" i="95"/>
  <c r="AF29" i="95" s="1"/>
  <c r="AM29" i="95" s="1"/>
  <c r="Z29" i="95"/>
  <c r="AH29" i="95" s="1"/>
  <c r="AO29" i="95" s="1"/>
  <c r="X29" i="83"/>
  <c r="AF29" i="83" s="1"/>
  <c r="AM29" i="83" s="1"/>
  <c r="Z23" i="53"/>
  <c r="AH23" i="53" s="1"/>
  <c r="AO23" i="53" s="1"/>
  <c r="W34" i="51"/>
  <c r="V34" i="51"/>
  <c r="AD34" i="51" s="1"/>
  <c r="AK34" i="51" s="1"/>
  <c r="W19" i="45"/>
  <c r="AE19" i="45" s="1"/>
  <c r="AL19" i="45" s="1"/>
  <c r="AA39" i="54"/>
  <c r="Y36" i="48"/>
  <c r="AG36" i="48" s="1"/>
  <c r="AN36" i="48" s="1"/>
  <c r="V30" i="56"/>
  <c r="AD30" i="56" s="1"/>
  <c r="AK30" i="56" s="1"/>
  <c r="AA30" i="51"/>
  <c r="Y35" i="55"/>
  <c r="V28" i="77"/>
  <c r="AD28" i="77" s="1"/>
  <c r="AK28" i="77" s="1"/>
  <c r="V37" i="64"/>
  <c r="AD37" i="64" s="1"/>
  <c r="AK37" i="64" s="1"/>
  <c r="X20" i="79"/>
  <c r="AF20" i="79" s="1"/>
  <c r="AM20" i="79" s="1"/>
  <c r="Z29" i="90"/>
  <c r="AH29" i="90" s="1"/>
  <c r="AO29" i="90" s="1"/>
  <c r="AA19" i="85"/>
  <c r="AI19" i="85" s="1"/>
  <c r="AP19" i="85" s="1"/>
  <c r="W29" i="83"/>
  <c r="AE29" i="83" s="1"/>
  <c r="AL29" i="83" s="1"/>
  <c r="Y34" i="45"/>
  <c r="Z29" i="48"/>
  <c r="AH29" i="48" s="1"/>
  <c r="AO29" i="48" s="1"/>
  <c r="V29" i="72"/>
  <c r="AD29" i="72" s="1"/>
  <c r="W29" i="90"/>
  <c r="AE29" i="90" s="1"/>
  <c r="AL29" i="90" s="1"/>
  <c r="V30" i="88"/>
  <c r="AD30" i="88" s="1"/>
  <c r="AK30" i="88" s="1"/>
  <c r="X14" i="56"/>
  <c r="Y37" i="48"/>
  <c r="AG37" i="48" s="1"/>
  <c r="AN37" i="48" s="1"/>
  <c r="V29" i="88"/>
  <c r="AD29" i="88" s="1"/>
  <c r="AK29" i="88" s="1"/>
  <c r="V16" i="54"/>
  <c r="AA30" i="45"/>
  <c r="V35" i="55"/>
  <c r="AD35" i="55" s="1"/>
  <c r="AK35" i="55" s="1"/>
  <c r="Y36" i="87"/>
  <c r="AG36" i="87" s="1"/>
  <c r="AN36" i="87" s="1"/>
  <c r="Z35" i="79"/>
  <c r="AH35" i="79" s="1"/>
  <c r="AO35" i="79" s="1"/>
  <c r="Y36" i="49"/>
  <c r="AG36" i="49" s="1"/>
  <c r="AN36" i="49" s="1"/>
  <c r="Y35" i="56"/>
  <c r="Y29" i="45"/>
  <c r="AG29" i="45" s="1"/>
  <c r="AN29" i="45" s="1"/>
  <c r="W29" i="52"/>
  <c r="AE29" i="52" s="1"/>
  <c r="AL29" i="52" s="1"/>
  <c r="V41" i="81"/>
  <c r="AD41" i="81" s="1"/>
  <c r="AK41" i="81" s="1"/>
  <c r="V28" i="53"/>
  <c r="AD28" i="53" s="1"/>
  <c r="AK28" i="53" s="1"/>
  <c r="V29" i="52"/>
  <c r="AD29" i="52" s="1"/>
  <c r="AK29" i="52" s="1"/>
  <c r="AA29" i="46"/>
  <c r="AI29" i="46" s="1"/>
  <c r="AP29" i="46" s="1"/>
  <c r="AA29" i="88"/>
  <c r="AI29" i="88" s="1"/>
  <c r="AP29" i="88" s="1"/>
  <c r="Z39" i="54"/>
  <c r="AH39" i="54" s="1"/>
  <c r="AO39" i="54" s="1"/>
  <c r="V29" i="48"/>
  <c r="AD29" i="48" s="1"/>
  <c r="AK29" i="48" s="1"/>
  <c r="Z20" i="79"/>
  <c r="AH20" i="79" s="1"/>
  <c r="AO20" i="79" s="1"/>
  <c r="X29" i="88"/>
  <c r="AF29" i="88" s="1"/>
  <c r="AM29" i="88" s="1"/>
  <c r="Z41" i="64"/>
  <c r="AH41" i="64" s="1"/>
  <c r="AO41" i="64" s="1"/>
  <c r="Y29" i="64"/>
  <c r="AG29" i="64" s="1"/>
  <c r="AN29" i="64" s="1"/>
  <c r="X29" i="50"/>
  <c r="AF29" i="50" s="1"/>
  <c r="AM29" i="50" s="1"/>
  <c r="Z29" i="73"/>
  <c r="AH29" i="73" s="1"/>
  <c r="AO29" i="73" s="1"/>
  <c r="AA29" i="79"/>
  <c r="AI29" i="79" s="1"/>
  <c r="AP29" i="79" s="1"/>
  <c r="V29" i="69"/>
  <c r="AD29" i="69" s="1"/>
  <c r="AK29" i="69" s="1"/>
  <c r="Z29" i="82"/>
  <c r="AH29" i="82" s="1"/>
  <c r="AO29" i="82" s="1"/>
  <c r="Z26" i="95"/>
  <c r="AA35" i="95"/>
  <c r="W39" i="95"/>
  <c r="AE39" i="95" s="1"/>
  <c r="AL39" i="95" s="1"/>
  <c r="AA29" i="84"/>
  <c r="AI29" i="84" s="1"/>
  <c r="AP29" i="84" s="1"/>
  <c r="AA35" i="49"/>
  <c r="AI35" i="49" s="1"/>
  <c r="AP35" i="49" s="1"/>
  <c r="AA19" i="46"/>
  <c r="AI19" i="46" s="1"/>
  <c r="AP19" i="46" s="1"/>
  <c r="W39" i="53"/>
  <c r="AE39" i="53" s="1"/>
  <c r="AL39" i="53" s="1"/>
  <c r="K65" i="5"/>
  <c r="X16" i="46"/>
  <c r="V41" i="87"/>
  <c r="AD41" i="87" s="1"/>
  <c r="AK41" i="87" s="1"/>
  <c r="V30" i="51"/>
  <c r="AD30" i="51" s="1"/>
  <c r="AK30" i="51" s="1"/>
  <c r="AA30" i="85"/>
  <c r="AI30" i="85" s="1"/>
  <c r="AP30" i="85" s="1"/>
  <c r="Y16" i="53"/>
  <c r="AG16" i="53" s="1"/>
  <c r="AN16" i="53" s="1"/>
  <c r="AA34" i="55"/>
  <c r="AI34" i="55" s="1"/>
  <c r="AP34" i="55" s="1"/>
  <c r="W34" i="52"/>
  <c r="AE34" i="52" s="1"/>
  <c r="AL34" i="52" s="1"/>
  <c r="V28" i="46"/>
  <c r="V20" i="64"/>
  <c r="AD20" i="64" s="1"/>
  <c r="AK20" i="64" s="1"/>
  <c r="AA19" i="79"/>
  <c r="AI19" i="79" s="1"/>
  <c r="AP19" i="79" s="1"/>
  <c r="X16" i="73"/>
  <c r="AF16" i="73" s="1"/>
  <c r="AM16" i="73" s="1"/>
  <c r="Y23" i="64"/>
  <c r="AG23" i="64" s="1"/>
  <c r="AN23" i="64" s="1"/>
  <c r="Z13" i="55"/>
  <c r="AH13" i="55" s="1"/>
  <c r="AO13" i="55" s="1"/>
  <c r="X29" i="73"/>
  <c r="AF29" i="73" s="1"/>
  <c r="AM29" i="73" s="1"/>
  <c r="X29" i="51"/>
  <c r="AF29" i="51" s="1"/>
  <c r="AM29" i="51" s="1"/>
  <c r="X29" i="53"/>
  <c r="AF29" i="53" s="1"/>
  <c r="AM29" i="53" s="1"/>
  <c r="AA29" i="53"/>
  <c r="AI29" i="53" s="1"/>
  <c r="AP29" i="53" s="1"/>
  <c r="Z19" i="58"/>
  <c r="AH19" i="58" s="1"/>
  <c r="AO19" i="58" s="1"/>
  <c r="W13" i="83"/>
  <c r="AE13" i="83" s="1"/>
  <c r="AL13" i="83" s="1"/>
  <c r="Y37" i="88"/>
  <c r="AG37" i="88" s="1"/>
  <c r="AN37" i="88" s="1"/>
  <c r="Z35" i="55"/>
  <c r="V29" i="55"/>
  <c r="AD29" i="55" s="1"/>
  <c r="AK29" i="55" s="1"/>
  <c r="Y37" i="83"/>
  <c r="AG37" i="83" s="1"/>
  <c r="AN37" i="83" s="1"/>
  <c r="AA13" i="48"/>
  <c r="Z29" i="83"/>
  <c r="AH29" i="83" s="1"/>
  <c r="AO29" i="83" s="1"/>
  <c r="Y35" i="81"/>
  <c r="AG35" i="81" s="1"/>
  <c r="AN35" i="81" s="1"/>
  <c r="AA29" i="54"/>
  <c r="AI29" i="54" s="1"/>
  <c r="AP29" i="54" s="1"/>
  <c r="Y29" i="51"/>
  <c r="AG29" i="51" s="1"/>
  <c r="AN29" i="51" s="1"/>
  <c r="V37" i="79"/>
  <c r="AD37" i="79" s="1"/>
  <c r="AK37" i="79" s="1"/>
  <c r="V28" i="84"/>
  <c r="AD28" i="84" s="1"/>
  <c r="AK28" i="84" s="1"/>
  <c r="W29" i="46"/>
  <c r="AE29" i="46" s="1"/>
  <c r="AL29" i="46" s="1"/>
  <c r="V39" i="53"/>
  <c r="AD39" i="53" s="1"/>
  <c r="AK39" i="53" s="1"/>
  <c r="X29" i="47"/>
  <c r="AF29" i="47" s="1"/>
  <c r="AM29" i="47" s="1"/>
  <c r="Y38" i="73"/>
  <c r="AG38" i="73" s="1"/>
  <c r="AN38" i="73" s="1"/>
  <c r="Z36" i="81"/>
  <c r="AH36" i="81" s="1"/>
  <c r="AO36" i="81" s="1"/>
  <c r="Z29" i="69"/>
  <c r="AH29" i="69" s="1"/>
  <c r="AO29" i="69" s="1"/>
  <c r="AA29" i="47"/>
  <c r="AI29" i="47" s="1"/>
  <c r="AP29" i="47" s="1"/>
  <c r="AA29" i="77"/>
  <c r="AI29" i="77" s="1"/>
  <c r="AP29" i="77" s="1"/>
  <c r="X29" i="58"/>
  <c r="AF29" i="58" s="1"/>
  <c r="AM29" i="58" s="1"/>
  <c r="W29" i="72"/>
  <c r="AE29" i="72" s="1"/>
  <c r="AL29" i="72" s="1"/>
  <c r="W29" i="95"/>
  <c r="AE29" i="95" s="1"/>
  <c r="Z35" i="95"/>
  <c r="Y39" i="95"/>
  <c r="AG39" i="95" s="1"/>
  <c r="AN39" i="95" s="1"/>
  <c r="Y41" i="55"/>
  <c r="AG41" i="55" s="1"/>
  <c r="AN41" i="55" s="1"/>
  <c r="W14" i="84"/>
  <c r="AE14" i="84" s="1"/>
  <c r="AL14" i="84" s="1"/>
  <c r="Z16" i="46"/>
  <c r="AH16" i="46" s="1"/>
  <c r="AO16" i="46" s="1"/>
  <c r="K66" i="5"/>
  <c r="AA19" i="45"/>
  <c r="Z36" i="48"/>
  <c r="AH36" i="48" s="1"/>
  <c r="AO36" i="48" s="1"/>
  <c r="Y41" i="87"/>
  <c r="AG41" i="87" s="1"/>
  <c r="AN41" i="87" s="1"/>
  <c r="Y34" i="79"/>
  <c r="X14" i="53"/>
  <c r="AF14" i="53" s="1"/>
  <c r="AM14" i="53" s="1"/>
  <c r="Y37" i="56"/>
  <c r="AG37" i="56" s="1"/>
  <c r="AN37" i="56" s="1"/>
  <c r="W20" i="64"/>
  <c r="AE20" i="64" s="1"/>
  <c r="AL20" i="64" s="1"/>
  <c r="Z34" i="51"/>
  <c r="AH34" i="51" s="1"/>
  <c r="AO34" i="51" s="1"/>
  <c r="AA34" i="69"/>
  <c r="V35" i="81"/>
  <c r="AD35" i="81" s="1"/>
  <c r="AK35" i="81" s="1"/>
  <c r="X20" i="85"/>
  <c r="AF20" i="85" s="1"/>
  <c r="AM20" i="85" s="1"/>
  <c r="Z36" i="79"/>
  <c r="AH36" i="79" s="1"/>
  <c r="AO36" i="79" s="1"/>
  <c r="V34" i="64"/>
  <c r="AD34" i="64" s="1"/>
  <c r="AK34" i="64" s="1"/>
  <c r="Z39" i="56"/>
  <c r="AH39" i="56" s="1"/>
  <c r="AO39" i="56" s="1"/>
  <c r="W29" i="79"/>
  <c r="AE29" i="79" s="1"/>
  <c r="AL29" i="79" s="1"/>
  <c r="Z35" i="90"/>
  <c r="AH35" i="90" s="1"/>
  <c r="AO35" i="90" s="1"/>
  <c r="W29" i="58"/>
  <c r="AE29" i="58" s="1"/>
  <c r="AL29" i="58" s="1"/>
  <c r="AD112" i="44"/>
  <c r="W29" i="45"/>
  <c r="AE29" i="45" s="1"/>
  <c r="AL29" i="45" s="1"/>
  <c r="Y112" i="44"/>
  <c r="Y141" i="44" s="1"/>
  <c r="Y195" i="44" s="1"/>
  <c r="AA37" i="48"/>
  <c r="AI37" i="48" s="1"/>
  <c r="AP37" i="48" s="1"/>
  <c r="Y23" i="83"/>
  <c r="AG23" i="83" s="1"/>
  <c r="AN23" i="83" s="1"/>
  <c r="AA37" i="51"/>
  <c r="AI37" i="51" s="1"/>
  <c r="AP37" i="51" s="1"/>
  <c r="Z35" i="56"/>
  <c r="AH35" i="56" s="1"/>
  <c r="AO35" i="56" s="1"/>
  <c r="V29" i="58"/>
  <c r="AD29" i="58" s="1"/>
  <c r="Z38" i="73"/>
  <c r="Y29" i="87"/>
  <c r="AG29" i="87" s="1"/>
  <c r="AN29" i="87" s="1"/>
  <c r="Y36" i="79"/>
  <c r="AG36" i="79" s="1"/>
  <c r="AN36" i="79" s="1"/>
  <c r="AA29" i="50"/>
  <c r="AI29" i="50" s="1"/>
  <c r="AP29" i="50" s="1"/>
  <c r="V37" i="48"/>
  <c r="AD37" i="48" s="1"/>
  <c r="AK37" i="48" s="1"/>
  <c r="V36" i="81"/>
  <c r="AD36" i="81" s="1"/>
  <c r="AK36" i="81" s="1"/>
  <c r="Z29" i="50"/>
  <c r="AH29" i="50" s="1"/>
  <c r="AO29" i="50" s="1"/>
  <c r="AA37" i="56"/>
  <c r="AI37" i="56" s="1"/>
  <c r="AP37" i="56" s="1"/>
  <c r="AA29" i="45"/>
  <c r="AI29" i="45" s="1"/>
  <c r="AP29" i="45" s="1"/>
  <c r="V16" i="47"/>
  <c r="W35" i="81"/>
  <c r="AE35" i="81" s="1"/>
  <c r="AL35" i="81" s="1"/>
  <c r="Z29" i="85"/>
  <c r="AH29" i="85" s="1"/>
  <c r="AO29" i="85" s="1"/>
  <c r="Y29" i="90"/>
  <c r="AG29" i="90" s="1"/>
  <c r="AN29" i="90" s="1"/>
  <c r="Y29" i="56"/>
  <c r="AG29" i="56" s="1"/>
  <c r="AN29" i="56" s="1"/>
  <c r="V29" i="83"/>
  <c r="AD29" i="83" s="1"/>
  <c r="AK29" i="83" s="1"/>
  <c r="X29" i="64"/>
  <c r="AF29" i="64" s="1"/>
  <c r="AM29" i="64" s="1"/>
  <c r="Z29" i="49"/>
  <c r="AH29" i="49" s="1"/>
  <c r="AO29" i="49" s="1"/>
  <c r="AA29" i="72"/>
  <c r="AI29" i="72" s="1"/>
  <c r="AP29" i="72" s="1"/>
  <c r="Z29" i="79"/>
  <c r="AH29" i="79" s="1"/>
  <c r="AO29" i="79" s="1"/>
  <c r="AA29" i="95"/>
  <c r="AI29" i="95" s="1"/>
  <c r="AP29" i="95" s="1"/>
  <c r="Z39" i="95"/>
  <c r="AH39" i="95" s="1"/>
  <c r="AO39" i="95" s="1"/>
  <c r="V26" i="95"/>
  <c r="W29" i="84"/>
  <c r="AE29" i="84" s="1"/>
  <c r="AL29" i="84" s="1"/>
  <c r="Z26" i="51"/>
  <c r="AA14" i="84"/>
  <c r="Y35" i="83"/>
  <c r="K68" i="5"/>
  <c r="AA35" i="50"/>
  <c r="AI35" i="50" s="1"/>
  <c r="AP35" i="50" s="1"/>
  <c r="X20" i="90"/>
  <c r="AF20" i="90" s="1"/>
  <c r="AM20" i="90" s="1"/>
  <c r="W34" i="79"/>
  <c r="AE34" i="79" s="1"/>
  <c r="AL34" i="79" s="1"/>
  <c r="AA14" i="49"/>
  <c r="AI14" i="49" s="1"/>
  <c r="AP14" i="49" s="1"/>
  <c r="AA34" i="47"/>
  <c r="Y30" i="56"/>
  <c r="Z35" i="69"/>
  <c r="AH35" i="69" s="1"/>
  <c r="AO35" i="69" s="1"/>
  <c r="Y30" i="51"/>
  <c r="AG30" i="51" s="1"/>
  <c r="AN30" i="51" s="1"/>
  <c r="W35" i="55"/>
  <c r="AE35" i="55" s="1"/>
  <c r="AL35" i="55" s="1"/>
  <c r="V34" i="69"/>
  <c r="AD34" i="69" s="1"/>
  <c r="AK34" i="69" s="1"/>
  <c r="Z36" i="82"/>
  <c r="AH36" i="82" s="1"/>
  <c r="AO36" i="82" s="1"/>
  <c r="W29" i="85"/>
  <c r="AE29" i="85" s="1"/>
  <c r="AL29" i="85" s="1"/>
  <c r="W19" i="81"/>
  <c r="V29" i="56"/>
  <c r="AD29" i="56" s="1"/>
  <c r="AK29" i="56" s="1"/>
  <c r="Y29" i="81"/>
  <c r="AG29" i="81" s="1"/>
  <c r="AN29" i="81" s="1"/>
  <c r="X29" i="87"/>
  <c r="AF29" i="87" s="1"/>
  <c r="AM29" i="87" s="1"/>
  <c r="Y16" i="54"/>
  <c r="AG16" i="54" s="1"/>
  <c r="AN16" i="54" s="1"/>
  <c r="W29" i="88"/>
  <c r="AE29" i="88" s="1"/>
  <c r="AL29" i="88" s="1"/>
  <c r="AC112" i="44"/>
  <c r="AC141" i="44" s="1"/>
  <c r="AD843" i="97" s="1"/>
  <c r="AA36" i="81"/>
  <c r="AI36" i="81" s="1"/>
  <c r="AP36" i="81" s="1"/>
  <c r="X29" i="45"/>
  <c r="AF29" i="45" s="1"/>
  <c r="AM29" i="45" s="1"/>
  <c r="V14" i="84"/>
  <c r="X20" i="69"/>
  <c r="AA38" i="83"/>
  <c r="AI38" i="83" s="1"/>
  <c r="AP38" i="83" s="1"/>
  <c r="V26" i="56"/>
  <c r="AD26" i="56" s="1"/>
  <c r="AK26" i="56" s="1"/>
  <c r="Z41" i="48"/>
  <c r="AH41" i="48" s="1"/>
  <c r="AO41" i="48" s="1"/>
  <c r="AA112" i="44"/>
  <c r="AA141" i="44" s="1"/>
  <c r="AB843" i="97" s="1"/>
  <c r="Y38" i="41"/>
  <c r="AG38" i="41" s="1"/>
  <c r="AN38" i="41" s="1"/>
  <c r="Y39" i="53"/>
  <c r="AG39" i="53" s="1"/>
  <c r="AN39" i="53" s="1"/>
  <c r="W29" i="50"/>
  <c r="AE29" i="50" s="1"/>
  <c r="Y16" i="50"/>
  <c r="AG16" i="50" s="1"/>
  <c r="AN16" i="50" s="1"/>
  <c r="AA29" i="81"/>
  <c r="AI29" i="81" s="1"/>
  <c r="AP29" i="81" s="1"/>
  <c r="AA37" i="47"/>
  <c r="AI37" i="47" s="1"/>
  <c r="AP37" i="47" s="1"/>
  <c r="Y29" i="54"/>
  <c r="AG29" i="54" s="1"/>
  <c r="AN29" i="54" s="1"/>
  <c r="Y29" i="58"/>
  <c r="AG29" i="58" s="1"/>
  <c r="AN29" i="58" s="1"/>
  <c r="Y29" i="77"/>
  <c r="AG29" i="77" s="1"/>
  <c r="AN29" i="77" s="1"/>
  <c r="Y29" i="83"/>
  <c r="AG29" i="83" s="1"/>
  <c r="AN29" i="83" s="1"/>
  <c r="AA29" i="73"/>
  <c r="AI29" i="73" s="1"/>
  <c r="AP29" i="73" s="1"/>
  <c r="X29" i="90"/>
  <c r="AF29" i="90" s="1"/>
  <c r="AM29" i="90" s="1"/>
  <c r="V29" i="79"/>
  <c r="AD29" i="79" s="1"/>
  <c r="X29" i="56"/>
  <c r="AF29" i="56" s="1"/>
  <c r="AM29" i="56" s="1"/>
  <c r="Z29" i="88"/>
  <c r="AH29" i="88" s="1"/>
  <c r="AO29" i="88" s="1"/>
  <c r="Y35" i="95"/>
  <c r="AG35" i="95" s="1"/>
  <c r="AN35" i="95" s="1"/>
  <c r="V37" i="95"/>
  <c r="AD37" i="95" s="1"/>
  <c r="AK37" i="95" s="1"/>
  <c r="AA39" i="95"/>
  <c r="V41" i="83"/>
  <c r="AD41" i="83" s="1"/>
  <c r="AK41" i="83" s="1"/>
  <c r="Z14" i="53"/>
  <c r="W14" i="49"/>
  <c r="AE14" i="49" s="1"/>
  <c r="AL14" i="49" s="1"/>
  <c r="V19" i="46"/>
  <c r="AD19" i="46" s="1"/>
  <c r="AK19" i="46" s="1"/>
  <c r="V28" i="41"/>
  <c r="AD28" i="41" s="1"/>
  <c r="AK28" i="41" s="1"/>
  <c r="K67" i="5"/>
  <c r="V35" i="83"/>
  <c r="AD35" i="83" s="1"/>
  <c r="AK35" i="83" s="1"/>
  <c r="Y34" i="85"/>
  <c r="W30" i="56"/>
  <c r="Z34" i="79"/>
  <c r="Z41" i="87"/>
  <c r="AH41" i="87" s="1"/>
  <c r="AO41" i="87" s="1"/>
  <c r="V34" i="47"/>
  <c r="AD34" i="47" s="1"/>
  <c r="AK34" i="47" s="1"/>
  <c r="W20" i="56"/>
  <c r="AA30" i="69"/>
  <c r="AI30" i="69" s="1"/>
  <c r="AP30" i="69" s="1"/>
  <c r="Z35" i="50"/>
  <c r="AH35" i="50" s="1"/>
  <c r="AO35" i="50" s="1"/>
  <c r="Z34" i="55"/>
  <c r="AH34" i="55" s="1"/>
  <c r="AO34" i="55" s="1"/>
  <c r="V13" i="83"/>
  <c r="AA29" i="85"/>
  <c r="AI29" i="85" s="1"/>
  <c r="AP29" i="85" s="1"/>
  <c r="Y41" i="83"/>
  <c r="AG41" i="83" s="1"/>
  <c r="AN41" i="83" s="1"/>
  <c r="Z36" i="51"/>
  <c r="AH36" i="51" s="1"/>
  <c r="AO36" i="51" s="1"/>
  <c r="W35" i="69"/>
  <c r="AE35" i="69" s="1"/>
  <c r="AL35" i="69" s="1"/>
  <c r="Z29" i="84"/>
  <c r="AH29" i="84" s="1"/>
  <c r="AO29" i="84" s="1"/>
  <c r="W39" i="88"/>
  <c r="AE39" i="88" s="1"/>
  <c r="AL39" i="88" s="1"/>
  <c r="AA29" i="90"/>
  <c r="AI29" i="90" s="1"/>
  <c r="AP29" i="90" s="1"/>
  <c r="W26" i="72"/>
  <c r="Y23" i="53"/>
  <c r="AG23" i="53" s="1"/>
  <c r="AN23" i="53" s="1"/>
  <c r="V16" i="50"/>
  <c r="AD16" i="50" s="1"/>
  <c r="AK16" i="50" s="1"/>
  <c r="V28" i="81"/>
  <c r="AD28" i="81" s="1"/>
  <c r="AK28" i="81" s="1"/>
  <c r="Z35" i="49"/>
  <c r="AH35" i="49" s="1"/>
  <c r="AO35" i="49" s="1"/>
  <c r="W29" i="81"/>
  <c r="AE29" i="81" s="1"/>
  <c r="AL29" i="81" s="1"/>
  <c r="W20" i="58"/>
  <c r="AE20" i="58" s="1"/>
  <c r="AL20" i="58" s="1"/>
  <c r="Y29" i="50"/>
  <c r="AG29" i="50" s="1"/>
  <c r="AN29" i="50" s="1"/>
  <c r="AA29" i="64"/>
  <c r="AI29" i="64" s="1"/>
  <c r="AP29" i="64" s="1"/>
  <c r="W41" i="79"/>
  <c r="AE41" i="79" s="1"/>
  <c r="AL41" i="79" s="1"/>
  <c r="AA29" i="82"/>
  <c r="AI29" i="82" s="1"/>
  <c r="AP29" i="82" s="1"/>
  <c r="W29" i="87"/>
  <c r="AE29" i="87" s="1"/>
  <c r="AL29" i="87" s="1"/>
  <c r="AA29" i="69"/>
  <c r="AI29" i="69" s="1"/>
  <c r="AP29" i="69" s="1"/>
  <c r="Y29" i="48"/>
  <c r="AG29" i="48" s="1"/>
  <c r="AN29" i="48" s="1"/>
  <c r="V29" i="64"/>
  <c r="AD29" i="64" s="1"/>
  <c r="Z29" i="53"/>
  <c r="AH29" i="53" s="1"/>
  <c r="AO29" i="53" s="1"/>
  <c r="Z29" i="56"/>
  <c r="AH29" i="56" s="1"/>
  <c r="AO29" i="56" s="1"/>
  <c r="AA30" i="56"/>
  <c r="AI30" i="56" s="1"/>
  <c r="AP30" i="56" s="1"/>
  <c r="X29" i="85"/>
  <c r="AF29" i="85" s="1"/>
  <c r="AM29" i="85" s="1"/>
  <c r="V29" i="95"/>
  <c r="AD29" i="95" s="1"/>
  <c r="AK29" i="95" s="1"/>
  <c r="W26" i="95"/>
  <c r="Y34" i="69"/>
  <c r="Y35" i="49"/>
  <c r="AG35" i="49" s="1"/>
  <c r="AN35" i="49" s="1"/>
  <c r="AA38" i="58"/>
  <c r="V37" i="51"/>
  <c r="W39" i="48"/>
  <c r="AE39" i="48" s="1"/>
  <c r="AL39" i="48" s="1"/>
  <c r="W35" i="50"/>
  <c r="AE35" i="50" s="1"/>
  <c r="AL35" i="50" s="1"/>
  <c r="Y36" i="53"/>
  <c r="AG36" i="53" s="1"/>
  <c r="AN36" i="53" s="1"/>
  <c r="Y34" i="47"/>
  <c r="AG34" i="47" s="1"/>
  <c r="AN34" i="47" s="1"/>
  <c r="Z26" i="49"/>
  <c r="AH26" i="49" s="1"/>
  <c r="AO26" i="49" s="1"/>
  <c r="Z36" i="53"/>
  <c r="AH36" i="53" s="1"/>
  <c r="AO36" i="53" s="1"/>
  <c r="V35" i="46"/>
  <c r="AD35" i="46" s="1"/>
  <c r="AK35" i="46" s="1"/>
  <c r="Z38" i="58"/>
  <c r="Z14" i="56"/>
  <c r="AH14" i="56" s="1"/>
  <c r="AO14" i="56" s="1"/>
  <c r="AA34" i="79"/>
  <c r="AI34" i="79" s="1"/>
  <c r="AP34" i="79" s="1"/>
  <c r="AA29" i="83"/>
  <c r="AI29" i="83" s="1"/>
  <c r="AP29" i="83" s="1"/>
  <c r="W41" i="87"/>
  <c r="AE41" i="87" s="1"/>
  <c r="AL41" i="87" s="1"/>
  <c r="W36" i="51"/>
  <c r="AE36" i="51" s="1"/>
  <c r="AL36" i="51" s="1"/>
  <c r="Y39" i="56"/>
  <c r="AG39" i="56" s="1"/>
  <c r="AN39" i="56" s="1"/>
  <c r="AA34" i="64"/>
  <c r="AI34" i="64" s="1"/>
  <c r="AP34" i="64" s="1"/>
  <c r="V35" i="90"/>
  <c r="W41" i="83"/>
  <c r="AE41" i="83" s="1"/>
  <c r="AL41" i="83" s="1"/>
  <c r="Z13" i="50"/>
  <c r="Y29" i="72"/>
  <c r="AG29" i="72" s="1"/>
  <c r="AN29" i="72" s="1"/>
  <c r="Z112" i="44"/>
  <c r="Z141" i="44" s="1"/>
  <c r="AA843" i="97" s="1"/>
  <c r="V29" i="46"/>
  <c r="AD29" i="46" s="1"/>
  <c r="AK29" i="46" s="1"/>
  <c r="AA39" i="53"/>
  <c r="AI39" i="53" s="1"/>
  <c r="AP39" i="53" s="1"/>
  <c r="W41" i="73"/>
  <c r="AE41" i="73" s="1"/>
  <c r="AL41" i="73" s="1"/>
  <c r="Y30" i="52"/>
  <c r="AG30" i="52" s="1"/>
  <c r="AN30" i="52" s="1"/>
  <c r="AA30" i="90"/>
  <c r="AI30" i="90" s="1"/>
  <c r="AP30" i="90" s="1"/>
  <c r="AA19" i="81"/>
  <c r="AI19" i="81" s="1"/>
  <c r="AP19" i="81" s="1"/>
  <c r="W19" i="51"/>
  <c r="AE19" i="51" s="1"/>
  <c r="AL19" i="51" s="1"/>
  <c r="W29" i="41"/>
  <c r="AE29" i="41" s="1"/>
  <c r="AL29" i="41" s="1"/>
  <c r="X16" i="53"/>
  <c r="AF16" i="53" s="1"/>
  <c r="AM16" i="53" s="1"/>
  <c r="Y29" i="49"/>
  <c r="AG29" i="49" s="1"/>
  <c r="AN29" i="49" s="1"/>
  <c r="V29" i="54"/>
  <c r="AD29" i="54" s="1"/>
  <c r="AK29" i="54" s="1"/>
  <c r="V29" i="87"/>
  <c r="AD29" i="87" s="1"/>
  <c r="AK29" i="87" s="1"/>
  <c r="Z23" i="50"/>
  <c r="AH23" i="50" s="1"/>
  <c r="AO23" i="50" s="1"/>
  <c r="Y13" i="50"/>
  <c r="AG13" i="50" s="1"/>
  <c r="AN13" i="50" s="1"/>
  <c r="X16" i="84"/>
  <c r="AF16" i="84" s="1"/>
  <c r="AM16" i="84" s="1"/>
  <c r="X29" i="54"/>
  <c r="AF29" i="54" s="1"/>
  <c r="AM29" i="54" s="1"/>
  <c r="AQ29" i="54" s="1"/>
  <c r="X9" i="46"/>
  <c r="AF9" i="46" s="1"/>
  <c r="AM9" i="46" s="1"/>
  <c r="X9" i="77"/>
  <c r="AF9" i="77" s="1"/>
  <c r="AM9" i="77" s="1"/>
  <c r="Y9" i="64"/>
  <c r="AG9" i="64" s="1"/>
  <c r="AN9" i="64" s="1"/>
  <c r="X9" i="85"/>
  <c r="AF9" i="85" s="1"/>
  <c r="AM9" i="85" s="1"/>
  <c r="AA9" i="81"/>
  <c r="AI9" i="81" s="1"/>
  <c r="AP9" i="81" s="1"/>
  <c r="W38" i="51"/>
  <c r="AE38" i="51" s="1"/>
  <c r="AL38" i="51" s="1"/>
  <c r="AA29" i="49"/>
  <c r="AI29" i="49" s="1"/>
  <c r="AP29" i="49" s="1"/>
  <c r="W29" i="47"/>
  <c r="AE29" i="47" s="1"/>
  <c r="AL29" i="47" s="1"/>
  <c r="W39" i="46"/>
  <c r="AE39" i="46" s="1"/>
  <c r="AL39" i="46" s="1"/>
  <c r="AA29" i="58"/>
  <c r="AI29" i="58" s="1"/>
  <c r="AP29" i="58" s="1"/>
  <c r="Y29" i="46"/>
  <c r="AG29" i="46" s="1"/>
  <c r="AN29" i="46" s="1"/>
  <c r="V39" i="49"/>
  <c r="AD39" i="49" s="1"/>
  <c r="AK39" i="49" s="1"/>
  <c r="Z19" i="50"/>
  <c r="AH19" i="50" s="1"/>
  <c r="AO19" i="50" s="1"/>
  <c r="AA14" i="54"/>
  <c r="AI14" i="54" s="1"/>
  <c r="AP14" i="54" s="1"/>
  <c r="V26" i="88"/>
  <c r="AD26" i="88" s="1"/>
  <c r="AK26" i="88" s="1"/>
  <c r="V38" i="82"/>
  <c r="AD38" i="82" s="1"/>
  <c r="AK38" i="82" s="1"/>
  <c r="Z20" i="49"/>
  <c r="AH20" i="49" s="1"/>
  <c r="AO20" i="49" s="1"/>
  <c r="Z41" i="79"/>
  <c r="AH41" i="79" s="1"/>
  <c r="AO41" i="79" s="1"/>
  <c r="AA30" i="50"/>
  <c r="AI30" i="50" s="1"/>
  <c r="AP30" i="50" s="1"/>
  <c r="W34" i="69"/>
  <c r="AE34" i="69" s="1"/>
  <c r="AL34" i="69" s="1"/>
  <c r="V28" i="58"/>
  <c r="AD28" i="58" s="1"/>
  <c r="AK28" i="58" s="1"/>
  <c r="AA39" i="77"/>
  <c r="AI39" i="77" s="1"/>
  <c r="AP39" i="77" s="1"/>
  <c r="W34" i="55"/>
  <c r="AE34" i="55" s="1"/>
  <c r="AL34" i="55" s="1"/>
  <c r="W34" i="83"/>
  <c r="AE34" i="83" s="1"/>
  <c r="AL34" i="83" s="1"/>
  <c r="Y19" i="56"/>
  <c r="AG19" i="56" s="1"/>
  <c r="AN19" i="56" s="1"/>
  <c r="Y30" i="54"/>
  <c r="AG30" i="54" s="1"/>
  <c r="AN30" i="54" s="1"/>
  <c r="Y16" i="58"/>
  <c r="V36" i="47"/>
  <c r="AD36" i="47" s="1"/>
  <c r="AK36" i="47" s="1"/>
  <c r="W34" i="54"/>
  <c r="Y38" i="58"/>
  <c r="AG38" i="58" s="1"/>
  <c r="AN38" i="58" s="1"/>
  <c r="Y34" i="83"/>
  <c r="AG34" i="83" s="1"/>
  <c r="AN34" i="83" s="1"/>
  <c r="W41" i="84"/>
  <c r="AE41" i="84" s="1"/>
  <c r="AL41" i="84" s="1"/>
  <c r="W19" i="79"/>
  <c r="AE19" i="79" s="1"/>
  <c r="AL19" i="79" s="1"/>
  <c r="V37" i="81"/>
  <c r="AD37" i="81" s="1"/>
  <c r="AK37" i="81" s="1"/>
  <c r="V39" i="54"/>
  <c r="Z39" i="46"/>
  <c r="W20" i="77"/>
  <c r="AE20" i="77" s="1"/>
  <c r="AL20" i="77" s="1"/>
  <c r="Y41" i="64"/>
  <c r="AG41" i="64" s="1"/>
  <c r="AN41" i="64" s="1"/>
  <c r="AA29" i="87"/>
  <c r="AI29" i="87" s="1"/>
  <c r="AP29" i="87" s="1"/>
  <c r="X29" i="79"/>
  <c r="AF29" i="79" s="1"/>
  <c r="AM29" i="79" s="1"/>
  <c r="Z19" i="82"/>
  <c r="AH19" i="82" s="1"/>
  <c r="AO19" i="82" s="1"/>
  <c r="Y35" i="50"/>
  <c r="AG35" i="50" s="1"/>
  <c r="AN35" i="50" s="1"/>
  <c r="AA29" i="41"/>
  <c r="AI29" i="41" s="1"/>
  <c r="AP29" i="41" s="1"/>
  <c r="Y34" i="54"/>
  <c r="W29" i="56"/>
  <c r="AE29" i="56" s="1"/>
  <c r="AL29" i="56" s="1"/>
  <c r="AB112" i="44"/>
  <c r="AB141" i="44" s="1"/>
  <c r="AC843" i="97" s="1"/>
  <c r="V13" i="85"/>
  <c r="AD13" i="85" s="1"/>
  <c r="AK13" i="85" s="1"/>
  <c r="Y41" i="77"/>
  <c r="AG41" i="77" s="1"/>
  <c r="AN41" i="77" s="1"/>
  <c r="Y35" i="90"/>
  <c r="AG35" i="90" s="1"/>
  <c r="AN35" i="90" s="1"/>
  <c r="AA39" i="56"/>
  <c r="AI39" i="56" s="1"/>
  <c r="AP39" i="56" s="1"/>
  <c r="AA36" i="79"/>
  <c r="W39" i="58"/>
  <c r="AE39" i="58" s="1"/>
  <c r="AL39" i="58" s="1"/>
  <c r="AA20" i="64"/>
  <c r="AI20" i="64" s="1"/>
  <c r="AP20" i="64" s="1"/>
  <c r="Z30" i="56"/>
  <c r="AH30" i="56" s="1"/>
  <c r="AO30" i="56" s="1"/>
  <c r="Z14" i="82"/>
  <c r="AH14" i="82" s="1"/>
  <c r="AO14" i="82" s="1"/>
  <c r="AA37" i="95"/>
  <c r="AI37" i="95" s="1"/>
  <c r="AP37" i="95" s="1"/>
  <c r="W29" i="73"/>
  <c r="AE29" i="73" s="1"/>
  <c r="AL29" i="73" s="1"/>
  <c r="X29" i="81"/>
  <c r="AF29" i="81" s="1"/>
  <c r="AM29" i="81" s="1"/>
  <c r="Y23" i="84"/>
  <c r="AG23" i="84" s="1"/>
  <c r="AN23" i="84" s="1"/>
  <c r="Y30" i="73"/>
  <c r="AG30" i="73" s="1"/>
  <c r="AN30" i="73" s="1"/>
  <c r="Z26" i="77"/>
  <c r="AH26" i="77" s="1"/>
  <c r="AO26" i="77" s="1"/>
  <c r="V26" i="79"/>
  <c r="AD26" i="79" s="1"/>
  <c r="AK26" i="79" s="1"/>
  <c r="Y30" i="90"/>
  <c r="AG30" i="90" s="1"/>
  <c r="AN30" i="90" s="1"/>
  <c r="Z41" i="69"/>
  <c r="AH41" i="69" s="1"/>
  <c r="AO41" i="69" s="1"/>
  <c r="V41" i="56"/>
  <c r="AD41" i="56" s="1"/>
  <c r="AK41" i="56" s="1"/>
  <c r="V41" i="88"/>
  <c r="AD41" i="88" s="1"/>
  <c r="AK41" i="88" s="1"/>
  <c r="V37" i="84"/>
  <c r="AD37" i="84" s="1"/>
  <c r="AK37" i="84" s="1"/>
  <c r="V37" i="58"/>
  <c r="AD37" i="58" s="1"/>
  <c r="AK37" i="58" s="1"/>
  <c r="V38" i="85"/>
  <c r="AD38" i="85" s="1"/>
  <c r="AK38" i="85" s="1"/>
  <c r="Z38" i="46"/>
  <c r="AH38" i="46" s="1"/>
  <c r="AO38" i="46" s="1"/>
  <c r="W38" i="87"/>
  <c r="AE38" i="87" s="1"/>
  <c r="AL38" i="87" s="1"/>
  <c r="X20" i="50"/>
  <c r="Z20" i="81"/>
  <c r="W36" i="88"/>
  <c r="V20" i="46"/>
  <c r="V19" i="49"/>
  <c r="AD19" i="49" s="1"/>
  <c r="AK19" i="49" s="1"/>
  <c r="Y23" i="77"/>
  <c r="AG23" i="77" s="1"/>
  <c r="AN23" i="77" s="1"/>
  <c r="AA19" i="77"/>
  <c r="AI19" i="77" s="1"/>
  <c r="AP19" i="77" s="1"/>
  <c r="Y38" i="54"/>
  <c r="AG38" i="54" s="1"/>
  <c r="AN38" i="54" s="1"/>
  <c r="Y23" i="52"/>
  <c r="AG23" i="52" s="1"/>
  <c r="AN23" i="52" s="1"/>
  <c r="AA39" i="45"/>
  <c r="AI39" i="45" s="1"/>
  <c r="AP39" i="45" s="1"/>
  <c r="Z30" i="49"/>
  <c r="AH30" i="49" s="1"/>
  <c r="AO30" i="49" s="1"/>
  <c r="Y35" i="84"/>
  <c r="AG35" i="84" s="1"/>
  <c r="AN35" i="84" s="1"/>
  <c r="AA38" i="50"/>
  <c r="AI38" i="50" s="1"/>
  <c r="AP38" i="50" s="1"/>
  <c r="Y39" i="77"/>
  <c r="Y35" i="41"/>
  <c r="AG35" i="41" s="1"/>
  <c r="AN35" i="41" s="1"/>
  <c r="V35" i="52"/>
  <c r="AD35" i="52" s="1"/>
  <c r="AK35" i="52" s="1"/>
  <c r="Z23" i="83"/>
  <c r="AH23" i="83" s="1"/>
  <c r="AO23" i="83" s="1"/>
  <c r="AA30" i="55"/>
  <c r="AI30" i="55" s="1"/>
  <c r="AP30" i="55" s="1"/>
  <c r="Z30" i="69"/>
  <c r="AH30" i="69" s="1"/>
  <c r="AO30" i="69" s="1"/>
  <c r="AA19" i="64"/>
  <c r="Z39" i="58"/>
  <c r="AH39" i="58" s="1"/>
  <c r="AO39" i="58" s="1"/>
  <c r="Y36" i="58"/>
  <c r="AG36" i="58" s="1"/>
  <c r="AN36" i="58" s="1"/>
  <c r="V26" i="73"/>
  <c r="AD26" i="73" s="1"/>
  <c r="AK26" i="73" s="1"/>
  <c r="AA36" i="82"/>
  <c r="AI36" i="82" s="1"/>
  <c r="AP36" i="82" s="1"/>
  <c r="V36" i="49"/>
  <c r="AD36" i="49" s="1"/>
  <c r="AK36" i="49" s="1"/>
  <c r="Z13" i="45"/>
  <c r="AH13" i="45" s="1"/>
  <c r="AO13" i="45" s="1"/>
  <c r="Z29" i="51"/>
  <c r="AH29" i="51" s="1"/>
  <c r="AO29" i="51" s="1"/>
  <c r="AA13" i="51"/>
  <c r="Y16" i="49"/>
  <c r="AA13" i="47"/>
  <c r="Y16" i="55"/>
  <c r="Z16" i="72"/>
  <c r="AH16" i="72" s="1"/>
  <c r="AO16" i="72" s="1"/>
  <c r="Z29" i="77"/>
  <c r="AH29" i="77" s="1"/>
  <c r="AO29" i="77" s="1"/>
  <c r="W14" i="79"/>
  <c r="AE14" i="79" s="1"/>
  <c r="AL14" i="79" s="1"/>
  <c r="AA38" i="90"/>
  <c r="AI38" i="90" s="1"/>
  <c r="AP38" i="90" s="1"/>
  <c r="Z26" i="46"/>
  <c r="AH26" i="46" s="1"/>
  <c r="AO26" i="46" s="1"/>
  <c r="V26" i="90"/>
  <c r="W34" i="90"/>
  <c r="AA41" i="54"/>
  <c r="AI41" i="54" s="1"/>
  <c r="AP41" i="54" s="1"/>
  <c r="AA37" i="85"/>
  <c r="AI37" i="85" s="1"/>
  <c r="AP37" i="85" s="1"/>
  <c r="V28" i="79"/>
  <c r="AD28" i="79" s="1"/>
  <c r="AK28" i="79" s="1"/>
  <c r="X20" i="87"/>
  <c r="W20" i="45"/>
  <c r="AE20" i="45" s="1"/>
  <c r="AL20" i="45" s="1"/>
  <c r="Z20" i="85"/>
  <c r="V36" i="53"/>
  <c r="AD36" i="53" s="1"/>
  <c r="AK36" i="53" s="1"/>
  <c r="Z30" i="88"/>
  <c r="AH30" i="88" s="1"/>
  <c r="AO30" i="88" s="1"/>
  <c r="Z19" i="46"/>
  <c r="AH19" i="46" s="1"/>
  <c r="AO19" i="46" s="1"/>
  <c r="V39" i="72"/>
  <c r="AD39" i="72" s="1"/>
  <c r="AK39" i="72" s="1"/>
  <c r="Z23" i="45"/>
  <c r="AH23" i="45" s="1"/>
  <c r="AO23" i="45" s="1"/>
  <c r="V30" i="45"/>
  <c r="AA19" i="84"/>
  <c r="AI19" i="84" s="1"/>
  <c r="AP19" i="84" s="1"/>
  <c r="Z13" i="41"/>
  <c r="X16" i="54"/>
  <c r="Y13" i="52"/>
  <c r="AG13" i="52" s="1"/>
  <c r="AN13" i="52" s="1"/>
  <c r="W16" i="46"/>
  <c r="AE16" i="46" s="1"/>
  <c r="AL16" i="46" s="1"/>
  <c r="Z29" i="58"/>
  <c r="AH29" i="58" s="1"/>
  <c r="AO29" i="58" s="1"/>
  <c r="W13" i="73"/>
  <c r="AE13" i="73" s="1"/>
  <c r="AL13" i="73" s="1"/>
  <c r="Z13" i="82"/>
  <c r="Z14" i="88"/>
  <c r="AH14" i="88" s="1"/>
  <c r="AO14" i="88" s="1"/>
  <c r="G42" i="81"/>
  <c r="I42" i="81" s="1"/>
  <c r="G42" i="69"/>
  <c r="I42" i="69" s="1"/>
  <c r="G42" i="77"/>
  <c r="R42" i="77" s="1"/>
  <c r="T42" i="77" s="1"/>
  <c r="W34" i="45"/>
  <c r="AE34" i="45" s="1"/>
  <c r="AL34" i="45" s="1"/>
  <c r="V26" i="84"/>
  <c r="AD26" i="84" s="1"/>
  <c r="AK26" i="84" s="1"/>
  <c r="V28" i="85"/>
  <c r="Y37" i="55"/>
  <c r="AG37" i="55" s="1"/>
  <c r="AN37" i="55" s="1"/>
  <c r="Y37" i="47"/>
  <c r="AG37" i="47" s="1"/>
  <c r="AN37" i="47" s="1"/>
  <c r="Y38" i="82"/>
  <c r="AG38" i="82" s="1"/>
  <c r="AN38" i="82" s="1"/>
  <c r="W20" i="53"/>
  <c r="AE20" i="53" s="1"/>
  <c r="AL20" i="53" s="1"/>
  <c r="V28" i="50"/>
  <c r="AD28" i="50" s="1"/>
  <c r="AK28" i="50" s="1"/>
  <c r="W36" i="46"/>
  <c r="AE36" i="46" s="1"/>
  <c r="AL36" i="46" s="1"/>
  <c r="Y39" i="49"/>
  <c r="AG39" i="49" s="1"/>
  <c r="AN39" i="49" s="1"/>
  <c r="AA35" i="46"/>
  <c r="AI35" i="46" s="1"/>
  <c r="AP35" i="46" s="1"/>
  <c r="Z23" i="48"/>
  <c r="AH23" i="48" s="1"/>
  <c r="AO23" i="48" s="1"/>
  <c r="V28" i="48"/>
  <c r="Y36" i="81"/>
  <c r="AG36" i="81" s="1"/>
  <c r="AN36" i="81" s="1"/>
  <c r="Z29" i="41"/>
  <c r="AH29" i="41" s="1"/>
  <c r="AO29" i="41" s="1"/>
  <c r="V14" i="41"/>
  <c r="AD14" i="41" s="1"/>
  <c r="AK14" i="41" s="1"/>
  <c r="Y29" i="52"/>
  <c r="AG29" i="52" s="1"/>
  <c r="AN29" i="52" s="1"/>
  <c r="V14" i="48"/>
  <c r="AD14" i="48" s="1"/>
  <c r="AK14" i="48" s="1"/>
  <c r="V13" i="56"/>
  <c r="V14" i="58"/>
  <c r="AD14" i="58" s="1"/>
  <c r="AK14" i="58" s="1"/>
  <c r="AA14" i="73"/>
  <c r="AI14" i="73" s="1"/>
  <c r="AP14" i="73" s="1"/>
  <c r="W29" i="77"/>
  <c r="AE29" i="77" s="1"/>
  <c r="AL29" i="77" s="1"/>
  <c r="Y29" i="82"/>
  <c r="AG29" i="82" s="1"/>
  <c r="AN29" i="82" s="1"/>
  <c r="AK42" i="100"/>
  <c r="AP42" i="100"/>
  <c r="AL42" i="100"/>
  <c r="AN42" i="100"/>
  <c r="AM42" i="100"/>
  <c r="AI170" i="44"/>
  <c r="AN42" i="99"/>
  <c r="AL42" i="99"/>
  <c r="AP42" i="99"/>
  <c r="AK42" i="99"/>
  <c r="AM42" i="99"/>
  <c r="Z42" i="99"/>
  <c r="AC85" i="70"/>
  <c r="AH85" i="70"/>
  <c r="Y34" i="48"/>
  <c r="AG34" i="48" s="1"/>
  <c r="AN34" i="48" s="1"/>
  <c r="W26" i="69"/>
  <c r="AE26" i="69" s="1"/>
  <c r="AL26" i="69" s="1"/>
  <c r="Y30" i="46"/>
  <c r="AG30" i="46" s="1"/>
  <c r="AN30" i="46" s="1"/>
  <c r="AA41" i="50"/>
  <c r="AI41" i="50" s="1"/>
  <c r="AP41" i="50" s="1"/>
  <c r="V37" i="82"/>
  <c r="AD37" i="82" s="1"/>
  <c r="AK37" i="82" s="1"/>
  <c r="V37" i="77"/>
  <c r="AD37" i="77" s="1"/>
  <c r="AK37" i="77" s="1"/>
  <c r="AA38" i="73"/>
  <c r="AI38" i="73" s="1"/>
  <c r="AP38" i="73" s="1"/>
  <c r="Z20" i="73"/>
  <c r="AH20" i="73" s="1"/>
  <c r="AO20" i="73" s="1"/>
  <c r="V28" i="72"/>
  <c r="AD28" i="72" s="1"/>
  <c r="AK28" i="72" s="1"/>
  <c r="Y36" i="45"/>
  <c r="AG36" i="45" s="1"/>
  <c r="AN36" i="45" s="1"/>
  <c r="Z19" i="41"/>
  <c r="AH19" i="41" s="1"/>
  <c r="AO19" i="41" s="1"/>
  <c r="Y41" i="73"/>
  <c r="AG41" i="73" s="1"/>
  <c r="AN41" i="73" s="1"/>
  <c r="Z23" i="72"/>
  <c r="AH23" i="72" s="1"/>
  <c r="AO23" i="72" s="1"/>
  <c r="W34" i="53"/>
  <c r="AE34" i="53" s="1"/>
  <c r="AL34" i="53" s="1"/>
  <c r="Z19" i="79"/>
  <c r="AH19" i="79" s="1"/>
  <c r="AO19" i="79" s="1"/>
  <c r="V29" i="45"/>
  <c r="V16" i="45"/>
  <c r="AA13" i="53"/>
  <c r="AI13" i="53" s="1"/>
  <c r="AP13" i="53" s="1"/>
  <c r="Z16" i="51"/>
  <c r="AH16" i="51" s="1"/>
  <c r="AO16" i="51" s="1"/>
  <c r="V29" i="47"/>
  <c r="AD29" i="47" s="1"/>
  <c r="Y16" i="47"/>
  <c r="AG16" i="47" s="1"/>
  <c r="AN16" i="47" s="1"/>
  <c r="W13" i="55"/>
  <c r="X16" i="64"/>
  <c r="AF16" i="64" s="1"/>
  <c r="AM16" i="64" s="1"/>
  <c r="U9" i="95"/>
  <c r="AA9" i="95" s="1"/>
  <c r="AI9" i="95" s="1"/>
  <c r="AP9" i="95" s="1"/>
  <c r="U9" i="99"/>
  <c r="I85" i="70"/>
  <c r="W39" i="52"/>
  <c r="AE39" i="52" s="1"/>
  <c r="AL39" i="52" s="1"/>
  <c r="V38" i="77"/>
  <c r="AD38" i="77" s="1"/>
  <c r="AK38" i="77" s="1"/>
  <c r="V28" i="87"/>
  <c r="AD28" i="87" s="1"/>
  <c r="AK28" i="87" s="1"/>
  <c r="Z19" i="85"/>
  <c r="AH19" i="85" s="1"/>
  <c r="AO19" i="85" s="1"/>
  <c r="Z26" i="88"/>
  <c r="AA19" i="51"/>
  <c r="V35" i="56"/>
  <c r="AD35" i="56" s="1"/>
  <c r="AK35" i="56" s="1"/>
  <c r="Z23" i="64"/>
  <c r="V37" i="54"/>
  <c r="AD37" i="54" s="1"/>
  <c r="AK37" i="54" s="1"/>
  <c r="Z34" i="52"/>
  <c r="Z35" i="81"/>
  <c r="AH35" i="81" s="1"/>
  <c r="AO35" i="81" s="1"/>
  <c r="Z34" i="87"/>
  <c r="Y35" i="48"/>
  <c r="AG35" i="48" s="1"/>
  <c r="AN35" i="48" s="1"/>
  <c r="AA30" i="41"/>
  <c r="Y19" i="48"/>
  <c r="AG19" i="48" s="1"/>
  <c r="AN19" i="48" s="1"/>
  <c r="V28" i="73"/>
  <c r="AD28" i="73" s="1"/>
  <c r="AK28" i="73" s="1"/>
  <c r="V28" i="54"/>
  <c r="AD28" i="54" s="1"/>
  <c r="AK28" i="54" s="1"/>
  <c r="AA14" i="53"/>
  <c r="AI14" i="53" s="1"/>
  <c r="AP14" i="53" s="1"/>
  <c r="V14" i="49"/>
  <c r="AD14" i="49" s="1"/>
  <c r="AK14" i="49" s="1"/>
  <c r="AA14" i="55"/>
  <c r="AI14" i="55" s="1"/>
  <c r="AP14" i="55" s="1"/>
  <c r="U85" i="70"/>
  <c r="AF85" i="70"/>
  <c r="J85" i="70"/>
  <c r="W26" i="50"/>
  <c r="AE26" i="50" s="1"/>
  <c r="AL26" i="50" s="1"/>
  <c r="Z26" i="48"/>
  <c r="AH26" i="48" s="1"/>
  <c r="AO26" i="48" s="1"/>
  <c r="Z26" i="81"/>
  <c r="AH26" i="81" s="1"/>
  <c r="AO26" i="81" s="1"/>
  <c r="V28" i="49"/>
  <c r="AD28" i="49" s="1"/>
  <c r="AK28" i="49" s="1"/>
  <c r="AA39" i="88"/>
  <c r="AI39" i="88" s="1"/>
  <c r="AP39" i="88" s="1"/>
  <c r="W20" i="47"/>
  <c r="AE20" i="47" s="1"/>
  <c r="AL20" i="47" s="1"/>
  <c r="AA20" i="58"/>
  <c r="V36" i="48"/>
  <c r="AD36" i="48" s="1"/>
  <c r="AK36" i="48" s="1"/>
  <c r="AA30" i="87"/>
  <c r="AI30" i="87" s="1"/>
  <c r="AP30" i="87" s="1"/>
  <c r="Y19" i="45"/>
  <c r="V19" i="72"/>
  <c r="Z23" i="55"/>
  <c r="AH23" i="55" s="1"/>
  <c r="AO23" i="55" s="1"/>
  <c r="AA34" i="77"/>
  <c r="AI34" i="77" s="1"/>
  <c r="AP34" i="77" s="1"/>
  <c r="V38" i="58"/>
  <c r="AD38" i="58" s="1"/>
  <c r="AK38" i="58" s="1"/>
  <c r="Z23" i="81"/>
  <c r="AH23" i="81" s="1"/>
  <c r="AO23" i="81" s="1"/>
  <c r="W34" i="41"/>
  <c r="AE34" i="41" s="1"/>
  <c r="AL34" i="41" s="1"/>
  <c r="V28" i="55"/>
  <c r="AD28" i="55" s="1"/>
  <c r="AK28" i="55" s="1"/>
  <c r="V16" i="52"/>
  <c r="AD16" i="52" s="1"/>
  <c r="AK16" i="52" s="1"/>
  <c r="X29" i="55"/>
  <c r="AF29" i="55" s="1"/>
  <c r="AM29" i="55" s="1"/>
  <c r="V16" i="58"/>
  <c r="Y13" i="69"/>
  <c r="AG13" i="69" s="1"/>
  <c r="AN13" i="69" s="1"/>
  <c r="V16" i="73"/>
  <c r="AD16" i="73" s="1"/>
  <c r="AK16" i="73" s="1"/>
  <c r="AB129" i="2"/>
  <c r="AB77" i="2" s="1"/>
  <c r="AQ80" i="70" s="1"/>
  <c r="L129" i="2"/>
  <c r="L77" i="2" s="1"/>
  <c r="J9" i="13" s="1"/>
  <c r="S126" i="2"/>
  <c r="S76" i="2" s="1"/>
  <c r="Q8" i="13" s="1"/>
  <c r="K126" i="2"/>
  <c r="K76" i="2" s="1"/>
  <c r="I8" i="13" s="1"/>
  <c r="AF10" i="13"/>
  <c r="J81" i="70"/>
  <c r="S129" i="2"/>
  <c r="S77" i="2" s="1"/>
  <c r="S80" i="70" s="1"/>
  <c r="K129" i="2"/>
  <c r="K77" i="2" s="1"/>
  <c r="K80" i="70" s="1"/>
  <c r="Z126" i="2"/>
  <c r="Z76" i="2" s="1"/>
  <c r="X8" i="13" s="1"/>
  <c r="R126" i="2"/>
  <c r="R76" i="2" s="1"/>
  <c r="P8" i="13" s="1"/>
  <c r="J126" i="2"/>
  <c r="J76" i="2" s="1"/>
  <c r="J79" i="70" s="1"/>
  <c r="AV81" i="70"/>
  <c r="Q81" i="70"/>
  <c r="I81" i="70"/>
  <c r="AH129" i="2"/>
  <c r="Z129" i="2"/>
  <c r="Z77" i="2" s="1"/>
  <c r="X9" i="13" s="1"/>
  <c r="X96" i="13" s="1"/>
  <c r="R129" i="2"/>
  <c r="R77" i="2" s="1"/>
  <c r="R80" i="70" s="1"/>
  <c r="J129" i="2"/>
  <c r="J77" i="2" s="1"/>
  <c r="J80" i="70" s="1"/>
  <c r="Y126" i="2"/>
  <c r="Y76" i="2" s="1"/>
  <c r="W8" i="13" s="1"/>
  <c r="Q126" i="2"/>
  <c r="Q76" i="2" s="1"/>
  <c r="Q79" i="70" s="1"/>
  <c r="I126" i="2"/>
  <c r="I76" i="2" s="1"/>
  <c r="I79" i="70" s="1"/>
  <c r="AU81" i="70"/>
  <c r="H81" i="70"/>
  <c r="AG129" i="2"/>
  <c r="AG77" i="2" s="1"/>
  <c r="AV80" i="70" s="1"/>
  <c r="Q129" i="2"/>
  <c r="Q77" i="2" s="1"/>
  <c r="Q80" i="70" s="1"/>
  <c r="I129" i="2"/>
  <c r="I77" i="2" s="1"/>
  <c r="I80" i="70" s="1"/>
  <c r="X126" i="2"/>
  <c r="X76" i="2" s="1"/>
  <c r="AM79" i="70" s="1"/>
  <c r="P126" i="2"/>
  <c r="P76" i="2" s="1"/>
  <c r="P79" i="70" s="1"/>
  <c r="H126" i="2"/>
  <c r="H76" i="2" s="1"/>
  <c r="H79" i="70" s="1"/>
  <c r="AE81" i="70"/>
  <c r="O81" i="70"/>
  <c r="E10" i="13"/>
  <c r="E97" i="13" s="1"/>
  <c r="AF129" i="2"/>
  <c r="AF77" i="2" s="1"/>
  <c r="P129" i="2"/>
  <c r="P77" i="2" s="1"/>
  <c r="P80" i="70" s="1"/>
  <c r="H129" i="2"/>
  <c r="H77" i="2" s="1"/>
  <c r="H80" i="70" s="1"/>
  <c r="O126" i="2"/>
  <c r="O76" i="2" s="1"/>
  <c r="O79" i="70" s="1"/>
  <c r="G126" i="2"/>
  <c r="G76" i="2" s="1"/>
  <c r="G79" i="70" s="1"/>
  <c r="AD81" i="70"/>
  <c r="D10" i="13"/>
  <c r="D97" i="13" s="1"/>
  <c r="AE129" i="2"/>
  <c r="AE77" i="2" s="1"/>
  <c r="AE80" i="70" s="1"/>
  <c r="O129" i="2"/>
  <c r="O77" i="2" s="1"/>
  <c r="O80" i="70" s="1"/>
  <c r="G129" i="2"/>
  <c r="G77" i="2" s="1"/>
  <c r="G80" i="70" s="1"/>
  <c r="N126" i="2"/>
  <c r="N76" i="2" s="1"/>
  <c r="L8" i="13" s="1"/>
  <c r="L95" i="13" s="1"/>
  <c r="F126" i="2"/>
  <c r="F76" i="2" s="1"/>
  <c r="F79" i="70" s="1"/>
  <c r="AR81" i="70"/>
  <c r="M81" i="70"/>
  <c r="E81" i="70"/>
  <c r="AD129" i="2"/>
  <c r="AD77" i="2" s="1"/>
  <c r="AS80" i="70" s="1"/>
  <c r="V129" i="2"/>
  <c r="V77" i="2" s="1"/>
  <c r="T9" i="13" s="1"/>
  <c r="T96" i="13" s="1"/>
  <c r="N129" i="2"/>
  <c r="N77" i="2" s="1"/>
  <c r="N80" i="70" s="1"/>
  <c r="F129" i="2"/>
  <c r="F77" i="2" s="1"/>
  <c r="F80" i="70" s="1"/>
  <c r="M126" i="2"/>
  <c r="M76" i="2" s="1"/>
  <c r="M79" i="70" s="1"/>
  <c r="E126" i="2"/>
  <c r="E76" i="2" s="1"/>
  <c r="E79" i="70" s="1"/>
  <c r="Z10" i="13"/>
  <c r="T81" i="70"/>
  <c r="L81" i="70"/>
  <c r="T126" i="2"/>
  <c r="T76" i="2" s="1"/>
  <c r="T79" i="70" s="1"/>
  <c r="L126" i="2"/>
  <c r="L76" i="2" s="1"/>
  <c r="L79" i="70" s="1"/>
  <c r="AX81" i="70"/>
  <c r="AC129" i="2"/>
  <c r="AC77" i="2" s="1"/>
  <c r="E129" i="2"/>
  <c r="E77" i="2" s="1"/>
  <c r="E80" i="70" s="1"/>
  <c r="M129" i="2"/>
  <c r="M77" i="2" s="1"/>
  <c r="M80" i="70" s="1"/>
  <c r="K81" i="70"/>
  <c r="AB126" i="2"/>
  <c r="AB76" i="2" s="1"/>
  <c r="Z8" i="13" s="1"/>
  <c r="S81" i="70"/>
  <c r="AX85" i="70"/>
  <c r="G42" i="99"/>
  <c r="G42" i="41"/>
  <c r="B10" i="21"/>
  <c r="H17" i="100"/>
  <c r="S17" i="100" s="1"/>
  <c r="H17" i="99"/>
  <c r="S17" i="99" s="1"/>
  <c r="B31" i="20"/>
  <c r="H16" i="83"/>
  <c r="H8" i="83" s="1"/>
  <c r="H16" i="64"/>
  <c r="H8" i="64" s="1"/>
  <c r="H16" i="47"/>
  <c r="I16" i="47" s="1"/>
  <c r="H16" i="100"/>
  <c r="H16" i="99"/>
  <c r="H16" i="73"/>
  <c r="S16" i="73" s="1"/>
  <c r="T16" i="73" s="1"/>
  <c r="H16" i="41"/>
  <c r="I16" i="41" s="1"/>
  <c r="U63" i="71"/>
  <c r="V63" i="71"/>
  <c r="E8" i="71"/>
  <c r="AA63" i="71"/>
  <c r="P8" i="71"/>
  <c r="C17" i="71"/>
  <c r="K17" i="71"/>
  <c r="I72" i="71"/>
  <c r="F63" i="71"/>
  <c r="N63" i="71"/>
  <c r="L133" i="33"/>
  <c r="BD100" i="32"/>
  <c r="G42" i="87"/>
  <c r="I42" i="87" s="1"/>
  <c r="C26" i="37"/>
  <c r="C26" i="16" s="1"/>
  <c r="AE24" i="94"/>
  <c r="P24" i="94"/>
  <c r="Q85" i="70"/>
  <c r="K24" i="94"/>
  <c r="L85" i="70"/>
  <c r="N24" i="94"/>
  <c r="O85" i="70"/>
  <c r="U24" i="94"/>
  <c r="AK85" i="70"/>
  <c r="X24" i="94"/>
  <c r="S24" i="94"/>
  <c r="T85" i="70"/>
  <c r="V24" i="94"/>
  <c r="AL85" i="70"/>
  <c r="W24" i="94"/>
  <c r="AM85" i="70"/>
  <c r="Z24" i="94"/>
  <c r="AA85" i="70"/>
  <c r="AA24" i="94"/>
  <c r="AQ85" i="70"/>
  <c r="AD24" i="94"/>
  <c r="E24" i="94"/>
  <c r="F85" i="70"/>
  <c r="D24" i="94"/>
  <c r="E85" i="70"/>
  <c r="F24" i="94"/>
  <c r="G85" i="70"/>
  <c r="M24" i="94"/>
  <c r="N85" i="70"/>
  <c r="J24" i="94"/>
  <c r="K85" i="70"/>
  <c r="Q24" i="94"/>
  <c r="R85" i="70"/>
  <c r="H72" i="71"/>
  <c r="M8" i="71"/>
  <c r="I8" i="71"/>
  <c r="G72" i="71"/>
  <c r="Z63" i="71"/>
  <c r="X63" i="71"/>
  <c r="AF151" i="10"/>
  <c r="AO84" i="33" s="1"/>
  <c r="T8" i="71"/>
  <c r="L63" i="71"/>
  <c r="Y63" i="71"/>
  <c r="D8" i="71"/>
  <c r="AC8" i="71"/>
  <c r="K8" i="71"/>
  <c r="C63" i="71"/>
  <c r="E72" i="71"/>
  <c r="R8" i="71"/>
  <c r="L17" i="71"/>
  <c r="Q8" i="71"/>
  <c r="D17" i="71"/>
  <c r="J8" i="71"/>
  <c r="AD8" i="71"/>
  <c r="AE8" i="71"/>
  <c r="AA38" i="85"/>
  <c r="AI38" i="85" s="1"/>
  <c r="AP38" i="85" s="1"/>
  <c r="Z14" i="58"/>
  <c r="AH14" i="58" s="1"/>
  <c r="AO14" i="58" s="1"/>
  <c r="AD34" i="52"/>
  <c r="AK34" i="52" s="1"/>
  <c r="AG38" i="45"/>
  <c r="AN38" i="45" s="1"/>
  <c r="AI35" i="51"/>
  <c r="AP35" i="51" s="1"/>
  <c r="X14" i="73"/>
  <c r="AF14" i="73" s="1"/>
  <c r="AM14" i="73" s="1"/>
  <c r="V30" i="55"/>
  <c r="AD30" i="55" s="1"/>
  <c r="AK30" i="55" s="1"/>
  <c r="W36" i="82"/>
  <c r="AE36" i="82" s="1"/>
  <c r="AL36" i="82" s="1"/>
  <c r="AI13" i="83"/>
  <c r="AP13" i="83" s="1"/>
  <c r="V36" i="58"/>
  <c r="AD36" i="58" s="1"/>
  <c r="AK36" i="58" s="1"/>
  <c r="Z35" i="52"/>
  <c r="W36" i="58"/>
  <c r="AE36" i="58" s="1"/>
  <c r="AL36" i="58" s="1"/>
  <c r="AA36" i="58"/>
  <c r="AI36" i="58" s="1"/>
  <c r="AP36" i="58" s="1"/>
  <c r="Y30" i="69"/>
  <c r="AG30" i="69" s="1"/>
  <c r="AN30" i="69" s="1"/>
  <c r="AD42" i="51"/>
  <c r="AK42" i="51" s="1"/>
  <c r="AH35" i="95"/>
  <c r="AO35" i="95" s="1"/>
  <c r="V39" i="77"/>
  <c r="AD39" i="77" s="1"/>
  <c r="AK39" i="77" s="1"/>
  <c r="AG19" i="45"/>
  <c r="AN19" i="45" s="1"/>
  <c r="E170" i="44"/>
  <c r="AB170" i="44"/>
  <c r="AH38" i="45"/>
  <c r="AO38" i="45" s="1"/>
  <c r="AH36" i="87"/>
  <c r="AO36" i="87" s="1"/>
  <c r="V39" i="58"/>
  <c r="AD39" i="58" s="1"/>
  <c r="AK39" i="58" s="1"/>
  <c r="Z30" i="73"/>
  <c r="AH30" i="73" s="1"/>
  <c r="AO30" i="73" s="1"/>
  <c r="AA41" i="88"/>
  <c r="AI41" i="88" s="1"/>
  <c r="AP41" i="88" s="1"/>
  <c r="AI35" i="45"/>
  <c r="AP35" i="45" s="1"/>
  <c r="W30" i="55"/>
  <c r="AE30" i="55" s="1"/>
  <c r="AL30" i="55" s="1"/>
  <c r="AA35" i="52"/>
  <c r="AI35" i="52" s="1"/>
  <c r="AP35" i="52" s="1"/>
  <c r="Y36" i="82"/>
  <c r="AG36" i="82" s="1"/>
  <c r="AN36" i="82" s="1"/>
  <c r="V30" i="69"/>
  <c r="W20" i="46"/>
  <c r="AE20" i="46" s="1"/>
  <c r="AL20" i="46" s="1"/>
  <c r="AI35" i="95"/>
  <c r="AP35" i="95" s="1"/>
  <c r="AE170" i="44"/>
  <c r="G42" i="53"/>
  <c r="I42" i="53" s="1"/>
  <c r="AI9" i="84"/>
  <c r="AP9" i="84" s="1"/>
  <c r="X14" i="88"/>
  <c r="AF14" i="88" s="1"/>
  <c r="AM14" i="88" s="1"/>
  <c r="Z26" i="73"/>
  <c r="AH26" i="73" s="1"/>
  <c r="AO26" i="73" s="1"/>
  <c r="AD16" i="47"/>
  <c r="AK16" i="47" s="1"/>
  <c r="AA36" i="88"/>
  <c r="AI36" i="88" s="1"/>
  <c r="AP36" i="88" s="1"/>
  <c r="AA41" i="69"/>
  <c r="AI41" i="69" s="1"/>
  <c r="AP41" i="69" s="1"/>
  <c r="V30" i="90"/>
  <c r="AD30" i="90" s="1"/>
  <c r="AK30" i="90" s="1"/>
  <c r="AE42" i="51"/>
  <c r="AL42" i="51" s="1"/>
  <c r="W38" i="46"/>
  <c r="AE38" i="46" s="1"/>
  <c r="AL38" i="46" s="1"/>
  <c r="W26" i="79"/>
  <c r="AE26" i="79" s="1"/>
  <c r="AL26" i="79" s="1"/>
  <c r="W39" i="77"/>
  <c r="V38" i="46"/>
  <c r="AD38" i="46" s="1"/>
  <c r="AK38" i="46" s="1"/>
  <c r="Y30" i="55"/>
  <c r="AG30" i="55" s="1"/>
  <c r="AN30" i="55" s="1"/>
  <c r="AF112" i="44"/>
  <c r="AF141" i="44" s="1"/>
  <c r="G42" i="48"/>
  <c r="I42" i="48" s="1"/>
  <c r="G42" i="82"/>
  <c r="I42" i="82" s="1"/>
  <c r="Y26" i="37"/>
  <c r="Y26" i="16" s="1"/>
  <c r="V39" i="45"/>
  <c r="AD39" i="45" s="1"/>
  <c r="AK39" i="45" s="1"/>
  <c r="Y39" i="58"/>
  <c r="AG39" i="58" s="1"/>
  <c r="AN39" i="58" s="1"/>
  <c r="Z23" i="84"/>
  <c r="AH23" i="84" s="1"/>
  <c r="AO23" i="84" s="1"/>
  <c r="W35" i="52"/>
  <c r="AE35" i="52" s="1"/>
  <c r="AL35" i="52" s="1"/>
  <c r="AA38" i="87"/>
  <c r="AI38" i="87" s="1"/>
  <c r="AP38" i="87" s="1"/>
  <c r="Z39" i="77"/>
  <c r="AH39" i="77" s="1"/>
  <c r="AO39" i="77" s="1"/>
  <c r="AF20" i="87"/>
  <c r="AM20" i="87" s="1"/>
  <c r="W36" i="49"/>
  <c r="AE36" i="49" s="1"/>
  <c r="AL36" i="49" s="1"/>
  <c r="AG35" i="45"/>
  <c r="AN35" i="45" s="1"/>
  <c r="V41" i="90"/>
  <c r="AD41" i="90" s="1"/>
  <c r="AK41" i="90" s="1"/>
  <c r="V36" i="82"/>
  <c r="AD36" i="82" s="1"/>
  <c r="AK36" i="82" s="1"/>
  <c r="V30" i="73"/>
  <c r="AD30" i="73" s="1"/>
  <c r="AK30" i="73" s="1"/>
  <c r="V38" i="87"/>
  <c r="AD38" i="87" s="1"/>
  <c r="AK38" i="87" s="1"/>
  <c r="V38" i="54"/>
  <c r="AD38" i="54" s="1"/>
  <c r="AK38" i="54" s="1"/>
  <c r="W26" i="73"/>
  <c r="AE26" i="73" s="1"/>
  <c r="AL26" i="73" s="1"/>
  <c r="AI42" i="45"/>
  <c r="AP42" i="45" s="1"/>
  <c r="AG42" i="51"/>
  <c r="AN42" i="51" s="1"/>
  <c r="AA30" i="95"/>
  <c r="AI30" i="95" s="1"/>
  <c r="AP30" i="95" s="1"/>
  <c r="AF170" i="44"/>
  <c r="AH13" i="83"/>
  <c r="AO13" i="83" s="1"/>
  <c r="AH35" i="51"/>
  <c r="AO35" i="51" s="1"/>
  <c r="W30" i="90"/>
  <c r="AE30" i="90" s="1"/>
  <c r="AL30" i="90" s="1"/>
  <c r="W41" i="90"/>
  <c r="AE41" i="90" s="1"/>
  <c r="AL41" i="90" s="1"/>
  <c r="Y41" i="90"/>
  <c r="AG41" i="90" s="1"/>
  <c r="AN41" i="90" s="1"/>
  <c r="AA36" i="49"/>
  <c r="AI36" i="49" s="1"/>
  <c r="AP36" i="49" s="1"/>
  <c r="AF16" i="47"/>
  <c r="AM16" i="47" s="1"/>
  <c r="W30" i="69"/>
  <c r="AE30" i="69" s="1"/>
  <c r="AL30" i="69" s="1"/>
  <c r="Z30" i="90"/>
  <c r="AH30" i="90" s="1"/>
  <c r="AO30" i="90" s="1"/>
  <c r="V38" i="90"/>
  <c r="AD38" i="90" s="1"/>
  <c r="AK38" i="90" s="1"/>
  <c r="AD35" i="45"/>
  <c r="AK35" i="45" s="1"/>
  <c r="W38" i="90"/>
  <c r="AE38" i="90" s="1"/>
  <c r="AL38" i="90" s="1"/>
  <c r="Z26" i="79"/>
  <c r="AH26" i="79" s="1"/>
  <c r="AO26" i="79" s="1"/>
  <c r="AD28" i="46"/>
  <c r="AK28" i="46" s="1"/>
  <c r="AD30" i="58"/>
  <c r="AK30" i="58" s="1"/>
  <c r="Z30" i="55"/>
  <c r="AH30" i="55" s="1"/>
  <c r="AO30" i="55" s="1"/>
  <c r="Z35" i="41"/>
  <c r="AH35" i="41" s="1"/>
  <c r="AO35" i="41" s="1"/>
  <c r="Y16" i="84"/>
  <c r="AG16" i="84" s="1"/>
  <c r="AN16" i="84" s="1"/>
  <c r="AE14" i="53"/>
  <c r="AL14" i="53" s="1"/>
  <c r="Z38" i="85"/>
  <c r="AH38" i="85" s="1"/>
  <c r="AO38" i="85" s="1"/>
  <c r="AA41" i="90"/>
  <c r="AI41" i="90" s="1"/>
  <c r="AP41" i="90" s="1"/>
  <c r="AD38" i="45"/>
  <c r="AK38" i="45" s="1"/>
  <c r="AG13" i="72"/>
  <c r="AN13" i="72" s="1"/>
  <c r="AE30" i="58"/>
  <c r="AL30" i="58" s="1"/>
  <c r="U10" i="45"/>
  <c r="Y10" i="45" s="1"/>
  <c r="AG10" i="45" s="1"/>
  <c r="AN10" i="45" s="1"/>
  <c r="U10" i="96"/>
  <c r="X10" i="96" s="1"/>
  <c r="AF10" i="96" s="1"/>
  <c r="AM10" i="96" s="1"/>
  <c r="Y38" i="85"/>
  <c r="AG38" i="85" s="1"/>
  <c r="AN38" i="85" s="1"/>
  <c r="AG38" i="51"/>
  <c r="AN38" i="51" s="1"/>
  <c r="AI19" i="45"/>
  <c r="AP19" i="45" s="1"/>
  <c r="G18" i="94"/>
  <c r="Z42" i="53" s="1"/>
  <c r="AB42" i="53" s="1"/>
  <c r="G42" i="58"/>
  <c r="I42" i="58" s="1"/>
  <c r="G42" i="56"/>
  <c r="I42" i="56" s="1"/>
  <c r="G42" i="49"/>
  <c r="R42" i="49" s="1"/>
  <c r="M35" i="97" s="1"/>
  <c r="G42" i="46"/>
  <c r="R42" i="46" s="1"/>
  <c r="T42" i="46" s="1"/>
  <c r="G42" i="50"/>
  <c r="I42" i="50" s="1"/>
  <c r="L27" i="44"/>
  <c r="Z26" i="37"/>
  <c r="Z26" i="16" s="1"/>
  <c r="H16" i="84"/>
  <c r="H8" i="84" s="1"/>
  <c r="X14" i="82"/>
  <c r="AF14" i="82" s="1"/>
  <c r="AM14" i="82" s="1"/>
  <c r="W16" i="85"/>
  <c r="AE16" i="85" s="1"/>
  <c r="AL16" i="85" s="1"/>
  <c r="Z14" i="87"/>
  <c r="AH14" i="87" s="1"/>
  <c r="AO14" i="87" s="1"/>
  <c r="X14" i="90"/>
  <c r="AM42" i="95"/>
  <c r="W16" i="96"/>
  <c r="AE16" i="96" s="1"/>
  <c r="AL16" i="96" s="1"/>
  <c r="W29" i="96"/>
  <c r="AE29" i="96" s="1"/>
  <c r="AL29" i="96" s="1"/>
  <c r="AA29" i="96"/>
  <c r="AI29" i="96" s="1"/>
  <c r="AP29" i="96" s="1"/>
  <c r="W36" i="96"/>
  <c r="Y36" i="96"/>
  <c r="AG36" i="96" s="1"/>
  <c r="AN36" i="96" s="1"/>
  <c r="W38" i="96"/>
  <c r="AH170" i="44"/>
  <c r="C108" i="13"/>
  <c r="D34" i="20"/>
  <c r="AG38" i="20"/>
  <c r="AH27" i="44" s="1"/>
  <c r="CE27" i="70" s="1"/>
  <c r="AC38" i="20"/>
  <c r="AD27" i="44" s="1"/>
  <c r="AD95" i="44" s="1"/>
  <c r="U38" i="20"/>
  <c r="V27" i="44" s="1"/>
  <c r="M33" i="73" s="1"/>
  <c r="Q38" i="20"/>
  <c r="R27" i="44" s="1"/>
  <c r="M38" i="20"/>
  <c r="N27" i="44" s="1"/>
  <c r="E38" i="20"/>
  <c r="F27" i="44" s="1"/>
  <c r="AD37" i="20"/>
  <c r="Z37" i="20"/>
  <c r="V37" i="20"/>
  <c r="N37" i="20"/>
  <c r="J37" i="20"/>
  <c r="F37" i="20"/>
  <c r="AE36" i="20"/>
  <c r="AA36" i="20"/>
  <c r="W36" i="20"/>
  <c r="O36" i="20"/>
  <c r="K36" i="20"/>
  <c r="G36" i="20"/>
  <c r="AF34" i="20"/>
  <c r="AB34" i="20"/>
  <c r="X34" i="20"/>
  <c r="P34" i="20"/>
  <c r="L34" i="20"/>
  <c r="H34" i="20"/>
  <c r="AG33" i="20"/>
  <c r="Y33" i="20"/>
  <c r="U33" i="20"/>
  <c r="Q33" i="20"/>
  <c r="E33" i="20"/>
  <c r="AD32" i="20"/>
  <c r="Z32" i="20"/>
  <c r="V32" i="20"/>
  <c r="N32" i="20"/>
  <c r="J32" i="20"/>
  <c r="F32" i="20"/>
  <c r="AE31" i="20"/>
  <c r="H21" i="90" s="1"/>
  <c r="S21" i="90" s="1"/>
  <c r="K31" i="20"/>
  <c r="H21" i="49" s="1"/>
  <c r="S21" i="49" s="1"/>
  <c r="AG29" i="20"/>
  <c r="H16" i="96" s="1"/>
  <c r="S16" i="96" s="1"/>
  <c r="AB108" i="13"/>
  <c r="X108" i="13"/>
  <c r="T108" i="13"/>
  <c r="Q29" i="20"/>
  <c r="H16" i="58" s="1"/>
  <c r="I16" i="58" s="1"/>
  <c r="L108" i="13"/>
  <c r="E29" i="20"/>
  <c r="D26" i="37" s="1"/>
  <c r="D26" i="16" s="1"/>
  <c r="G42" i="95"/>
  <c r="R42" i="95" s="1"/>
  <c r="AN42" i="84"/>
  <c r="W14" i="85"/>
  <c r="AE14" i="85" s="1"/>
  <c r="AL14" i="85" s="1"/>
  <c r="V13" i="88"/>
  <c r="AD13" i="88" s="1"/>
  <c r="AK13" i="88" s="1"/>
  <c r="Z16" i="88"/>
  <c r="AH16" i="88" s="1"/>
  <c r="AO16" i="88" s="1"/>
  <c r="AL42" i="88"/>
  <c r="Y16" i="90"/>
  <c r="AG16" i="90" s="1"/>
  <c r="AN16" i="90" s="1"/>
  <c r="AP42" i="90"/>
  <c r="G42" i="64"/>
  <c r="I42" i="64" s="1"/>
  <c r="Z14" i="95"/>
  <c r="AH14" i="95" s="1"/>
  <c r="AO14" i="95" s="1"/>
  <c r="Z20" i="95"/>
  <c r="W38" i="95"/>
  <c r="AE38" i="95" s="1"/>
  <c r="AL38" i="95" s="1"/>
  <c r="W41" i="95"/>
  <c r="AE41" i="95" s="1"/>
  <c r="AL41" i="95" s="1"/>
  <c r="U9" i="96"/>
  <c r="Z9" i="96" s="1"/>
  <c r="AH9" i="96" s="1"/>
  <c r="AO9" i="96" s="1"/>
  <c r="X29" i="96"/>
  <c r="AF29" i="96" s="1"/>
  <c r="AM29" i="96" s="1"/>
  <c r="AG170" i="44"/>
  <c r="D31" i="20"/>
  <c r="AF38" i="20"/>
  <c r="AB38" i="20"/>
  <c r="X38" i="20"/>
  <c r="T38" i="20"/>
  <c r="P38" i="20"/>
  <c r="L38" i="20"/>
  <c r="H38" i="20"/>
  <c r="AG37" i="20"/>
  <c r="AC37" i="20"/>
  <c r="Y37" i="20"/>
  <c r="U37" i="20"/>
  <c r="Q37" i="20"/>
  <c r="M37" i="20"/>
  <c r="I37" i="20"/>
  <c r="E37" i="20"/>
  <c r="AD36" i="20"/>
  <c r="Z36" i="20"/>
  <c r="V36" i="20"/>
  <c r="R36" i="20"/>
  <c r="N36" i="20"/>
  <c r="J36" i="20"/>
  <c r="F36" i="20"/>
  <c r="AD31" i="20"/>
  <c r="Z31" i="20"/>
  <c r="V31" i="20"/>
  <c r="R31" i="20"/>
  <c r="N31" i="20"/>
  <c r="J31" i="20"/>
  <c r="H21" i="50" s="1"/>
  <c r="S21" i="50" s="1"/>
  <c r="F31" i="20"/>
  <c r="N108" i="13"/>
  <c r="H29" i="20"/>
  <c r="G26" i="37" s="1"/>
  <c r="W41" i="69"/>
  <c r="AI13" i="51"/>
  <c r="AP13" i="51" s="1"/>
  <c r="AH14" i="50"/>
  <c r="AO14" i="50" s="1"/>
  <c r="AE14" i="46"/>
  <c r="AL14" i="46" s="1"/>
  <c r="O44" i="70"/>
  <c r="S42" i="70"/>
  <c r="O42" i="70"/>
  <c r="S40" i="70"/>
  <c r="O40" i="70"/>
  <c r="S36" i="70"/>
  <c r="K36" i="70"/>
  <c r="U35" i="70"/>
  <c r="M35" i="70"/>
  <c r="S34" i="70"/>
  <c r="O34" i="70"/>
  <c r="AV44" i="70"/>
  <c r="Q44" i="70"/>
  <c r="M44" i="70"/>
  <c r="M42" i="70"/>
  <c r="I42" i="70"/>
  <c r="E42" i="70"/>
  <c r="M40" i="70"/>
  <c r="I40" i="70"/>
  <c r="E40" i="70"/>
  <c r="T44" i="70"/>
  <c r="L44" i="70"/>
  <c r="H44" i="70"/>
  <c r="AH18" i="44"/>
  <c r="CE18" i="70" s="1"/>
  <c r="P42" i="70"/>
  <c r="T40" i="70"/>
  <c r="P40" i="70"/>
  <c r="L40" i="70"/>
  <c r="H40" i="70"/>
  <c r="L36" i="70"/>
  <c r="N35" i="70"/>
  <c r="J35" i="70"/>
  <c r="F35" i="70"/>
  <c r="T34" i="70"/>
  <c r="L34" i="70"/>
  <c r="H34" i="70"/>
  <c r="R42" i="70"/>
  <c r="Q36" i="70"/>
  <c r="I36" i="70"/>
  <c r="G35" i="70"/>
  <c r="R44" i="70"/>
  <c r="J40" i="70"/>
  <c r="N36" i="70"/>
  <c r="T35" i="70"/>
  <c r="L35" i="70"/>
  <c r="R34" i="70"/>
  <c r="J34" i="70"/>
  <c r="J42" i="70"/>
  <c r="M36" i="70"/>
  <c r="E36" i="70"/>
  <c r="S35" i="70"/>
  <c r="C9" i="85"/>
  <c r="C8" i="85" s="1"/>
  <c r="R40" i="70"/>
  <c r="R36" i="70"/>
  <c r="J44" i="70"/>
  <c r="J36" i="70"/>
  <c r="F34" i="70"/>
  <c r="V28" i="88"/>
  <c r="AD28" i="88" s="1"/>
  <c r="AK28" i="88" s="1"/>
  <c r="W13" i="85"/>
  <c r="AE13" i="85" s="1"/>
  <c r="AL13" i="85" s="1"/>
  <c r="AN42" i="95"/>
  <c r="Z13" i="95"/>
  <c r="AH13" i="95" s="1"/>
  <c r="AO13" i="95" s="1"/>
  <c r="W16" i="95"/>
  <c r="AE16" i="95" s="1"/>
  <c r="AL16" i="95" s="1"/>
  <c r="W14" i="96"/>
  <c r="Y29" i="96"/>
  <c r="AG29" i="96" s="1"/>
  <c r="AN29" i="96" s="1"/>
  <c r="AF32" i="20"/>
  <c r="AG31" i="20"/>
  <c r="H21" i="96" s="1"/>
  <c r="S21" i="96" s="1"/>
  <c r="AC31" i="20"/>
  <c r="H21" i="87" s="1"/>
  <c r="S21" i="87" s="1"/>
  <c r="Y31" i="20"/>
  <c r="H21" i="82" s="1"/>
  <c r="S21" i="82" s="1"/>
  <c r="U31" i="20"/>
  <c r="H21" i="73" s="1"/>
  <c r="S21" i="73" s="1"/>
  <c r="Q31" i="20"/>
  <c r="H21" i="58" s="1"/>
  <c r="S21" i="58" s="1"/>
  <c r="M31" i="20"/>
  <c r="H21" i="47" s="1"/>
  <c r="S21" i="47" s="1"/>
  <c r="I31" i="20"/>
  <c r="H21" i="51" s="1"/>
  <c r="S21" i="51" s="1"/>
  <c r="E31" i="20"/>
  <c r="H21" i="45" s="1"/>
  <c r="S21" i="45" s="1"/>
  <c r="AH112" i="44"/>
  <c r="AH141" i="44" s="1"/>
  <c r="W34" i="48"/>
  <c r="AE34" i="48" s="1"/>
  <c r="AL34" i="48" s="1"/>
  <c r="Y41" i="56"/>
  <c r="AG41" i="56" s="1"/>
  <c r="AN41" i="56" s="1"/>
  <c r="Y37" i="58"/>
  <c r="AG37" i="58" s="1"/>
  <c r="AN37" i="58" s="1"/>
  <c r="AA122" i="44"/>
  <c r="AA151" i="44" s="1"/>
  <c r="AB122" i="44"/>
  <c r="AH23" i="64"/>
  <c r="AO23" i="64" s="1"/>
  <c r="AH34" i="52"/>
  <c r="AO34" i="52" s="1"/>
  <c r="V28" i="90"/>
  <c r="AD28" i="90" s="1"/>
  <c r="AK28" i="90" s="1"/>
  <c r="W16" i="83"/>
  <c r="AE16" i="83" s="1"/>
  <c r="AL16" i="83" s="1"/>
  <c r="V126" i="2"/>
  <c r="V76" i="2" s="1"/>
  <c r="T8" i="13" s="1"/>
  <c r="T95" i="13" s="1"/>
  <c r="U126" i="2"/>
  <c r="U76" i="2" s="1"/>
  <c r="U79" i="70" s="1"/>
  <c r="U129" i="2"/>
  <c r="U77" i="2" s="1"/>
  <c r="U80" i="70" s="1"/>
  <c r="W126" i="2"/>
  <c r="W76" i="2" s="1"/>
  <c r="U8" i="13" s="1"/>
  <c r="AN42" i="85"/>
  <c r="W13" i="96"/>
  <c r="AE13" i="96" s="1"/>
  <c r="AL13" i="96" s="1"/>
  <c r="X14" i="96"/>
  <c r="AF14" i="96" s="1"/>
  <c r="AM14" i="96" s="1"/>
  <c r="Z20" i="96"/>
  <c r="AH20" i="96" s="1"/>
  <c r="AO20" i="96" s="1"/>
  <c r="V26" i="96"/>
  <c r="AD26" i="96" s="1"/>
  <c r="AK26" i="96" s="1"/>
  <c r="V29" i="96"/>
  <c r="AD29" i="96" s="1"/>
  <c r="AK29" i="96" s="1"/>
  <c r="Z29" i="96"/>
  <c r="AH29" i="96" s="1"/>
  <c r="AO29" i="96" s="1"/>
  <c r="AM42" i="96"/>
  <c r="AG112" i="44"/>
  <c r="AG141" i="44" s="1"/>
  <c r="AG168" i="44" s="1"/>
  <c r="AF31" i="20"/>
  <c r="H21" i="95" s="1"/>
  <c r="S21" i="95" s="1"/>
  <c r="AB31" i="20"/>
  <c r="H21" i="85" s="1"/>
  <c r="S21" i="85" s="1"/>
  <c r="X31" i="20"/>
  <c r="H21" i="81" s="1"/>
  <c r="S21" i="81" s="1"/>
  <c r="T31" i="20"/>
  <c r="H21" i="72" s="1"/>
  <c r="S21" i="72" s="1"/>
  <c r="P31" i="20"/>
  <c r="H21" i="56" s="1"/>
  <c r="S21" i="56" s="1"/>
  <c r="L31" i="20"/>
  <c r="H21" i="48" s="1"/>
  <c r="S21" i="48" s="1"/>
  <c r="H31" i="20"/>
  <c r="H21" i="52" s="1"/>
  <c r="S21" i="52" s="1"/>
  <c r="M33" i="84"/>
  <c r="AA31" i="20"/>
  <c r="H21" i="84" s="1"/>
  <c r="S21" i="84" s="1"/>
  <c r="W31" i="20"/>
  <c r="H21" i="79" s="1"/>
  <c r="S21" i="79" s="1"/>
  <c r="S31" i="20"/>
  <c r="H21" i="69" s="1"/>
  <c r="S21" i="69" s="1"/>
  <c r="O31" i="20"/>
  <c r="H21" i="55" s="1"/>
  <c r="S21" i="55" s="1"/>
  <c r="G31" i="20"/>
  <c r="H21" i="53" s="1"/>
  <c r="S21" i="53" s="1"/>
  <c r="I42" i="51"/>
  <c r="H16" i="90"/>
  <c r="H8" i="90" s="1"/>
  <c r="H16" i="50"/>
  <c r="S16" i="50" s="1"/>
  <c r="T16" i="50" s="1"/>
  <c r="Y19" i="85"/>
  <c r="AG19" i="85" s="1"/>
  <c r="AN19" i="85" s="1"/>
  <c r="Z20" i="47"/>
  <c r="AH20" i="47" s="1"/>
  <c r="AO20" i="47" s="1"/>
  <c r="V20" i="45"/>
  <c r="AD20" i="45" s="1"/>
  <c r="AK20" i="45" s="1"/>
  <c r="AE24" i="5"/>
  <c r="H16" i="49"/>
  <c r="H8" i="49" s="1"/>
  <c r="AA19" i="55"/>
  <c r="AI19" i="55" s="1"/>
  <c r="AP19" i="55" s="1"/>
  <c r="AA20" i="47"/>
  <c r="AI20" i="47" s="1"/>
  <c r="AP20" i="47" s="1"/>
  <c r="W20" i="87"/>
  <c r="AE20" i="87" s="1"/>
  <c r="AL20" i="87" s="1"/>
  <c r="Z20" i="84"/>
  <c r="AH20" i="84" s="1"/>
  <c r="AO20" i="84" s="1"/>
  <c r="AA14" i="48"/>
  <c r="AI14" i="48" s="1"/>
  <c r="AP14" i="48" s="1"/>
  <c r="V20" i="84"/>
  <c r="AD20" i="84" s="1"/>
  <c r="AK20" i="84" s="1"/>
  <c r="Z19" i="72"/>
  <c r="AH19" i="72" s="1"/>
  <c r="AO19" i="72" s="1"/>
  <c r="W19" i="46"/>
  <c r="AH20" i="81"/>
  <c r="AO20" i="81" s="1"/>
  <c r="AE25" i="5"/>
  <c r="AF25" i="5" s="1"/>
  <c r="U10" i="69"/>
  <c r="AA10" i="69" s="1"/>
  <c r="AI10" i="69" s="1"/>
  <c r="AP10" i="69" s="1"/>
  <c r="U10" i="72"/>
  <c r="AA10" i="72" s="1"/>
  <c r="AI10" i="72" s="1"/>
  <c r="AP10" i="72" s="1"/>
  <c r="U10" i="85"/>
  <c r="V10" i="85" s="1"/>
  <c r="AD10" i="85" s="1"/>
  <c r="AK10" i="85" s="1"/>
  <c r="U10" i="55"/>
  <c r="X10" i="55" s="1"/>
  <c r="AF10" i="55" s="1"/>
  <c r="AM10" i="55" s="1"/>
  <c r="U10" i="51"/>
  <c r="Y10" i="51" s="1"/>
  <c r="AG10" i="51" s="1"/>
  <c r="AN10" i="51" s="1"/>
  <c r="U10" i="58"/>
  <c r="Z10" i="58" s="1"/>
  <c r="AH10" i="58" s="1"/>
  <c r="AO10" i="58" s="1"/>
  <c r="U10" i="41"/>
  <c r="Y10" i="41" s="1"/>
  <c r="AG10" i="41" s="1"/>
  <c r="AN10" i="41" s="1"/>
  <c r="U10" i="50"/>
  <c r="Z10" i="50" s="1"/>
  <c r="U10" i="83"/>
  <c r="Y10" i="83" s="1"/>
  <c r="AG10" i="83" s="1"/>
  <c r="AN10" i="83" s="1"/>
  <c r="U10" i="95"/>
  <c r="Z10" i="95" s="1"/>
  <c r="AH10" i="95" s="1"/>
  <c r="AO10" i="95" s="1"/>
  <c r="W16" i="69"/>
  <c r="AE16" i="69" s="1"/>
  <c r="AL16" i="69" s="1"/>
  <c r="V16" i="69"/>
  <c r="AD16" i="69" s="1"/>
  <c r="AK16" i="69" s="1"/>
  <c r="Y16" i="69"/>
  <c r="AG16" i="69" s="1"/>
  <c r="AN16" i="69" s="1"/>
  <c r="Z14" i="72"/>
  <c r="AH14" i="72" s="1"/>
  <c r="AO14" i="72" s="1"/>
  <c r="V14" i="72"/>
  <c r="AD14" i="72" s="1"/>
  <c r="AK14" i="72" s="1"/>
  <c r="Y16" i="81"/>
  <c r="AG16" i="81" s="1"/>
  <c r="AN16" i="81" s="1"/>
  <c r="X16" i="81"/>
  <c r="AF16" i="81" s="1"/>
  <c r="AM16" i="81" s="1"/>
  <c r="W16" i="81"/>
  <c r="AE16" i="81" s="1"/>
  <c r="AL16" i="81" s="1"/>
  <c r="V13" i="81"/>
  <c r="AD13" i="81" s="1"/>
  <c r="AK13" i="81" s="1"/>
  <c r="W13" i="81"/>
  <c r="V20" i="90"/>
  <c r="AD20" i="90" s="1"/>
  <c r="AK20" i="90" s="1"/>
  <c r="AA20" i="90"/>
  <c r="AI20" i="90" s="1"/>
  <c r="AP20" i="90" s="1"/>
  <c r="Y13" i="84"/>
  <c r="AG13" i="84" s="1"/>
  <c r="AN13" i="84" s="1"/>
  <c r="Z13" i="84"/>
  <c r="AH13" i="84" s="1"/>
  <c r="AO13" i="84" s="1"/>
  <c r="AA13" i="84"/>
  <c r="AI13" i="84" s="1"/>
  <c r="AP13" i="84" s="1"/>
  <c r="V13" i="84"/>
  <c r="AD13" i="84" s="1"/>
  <c r="AK13" i="84" s="1"/>
  <c r="W14" i="88"/>
  <c r="AA14" i="88"/>
  <c r="AI14" i="88" s="1"/>
  <c r="AP14" i="88" s="1"/>
  <c r="X16" i="69"/>
  <c r="AF16" i="69" s="1"/>
  <c r="AM16" i="69" s="1"/>
  <c r="V14" i="88"/>
  <c r="AD14" i="88" s="1"/>
  <c r="AK14" i="88" s="1"/>
  <c r="AI13" i="48"/>
  <c r="AP13" i="48" s="1"/>
  <c r="Z20" i="90"/>
  <c r="AH20" i="90" s="1"/>
  <c r="AO20" i="90" s="1"/>
  <c r="Y16" i="85"/>
  <c r="AG16" i="85" s="1"/>
  <c r="AN16" i="85" s="1"/>
  <c r="X14" i="72"/>
  <c r="AF14" i="72" s="1"/>
  <c r="AM14" i="72" s="1"/>
  <c r="AI14" i="84"/>
  <c r="AP14" i="84" s="1"/>
  <c r="Z19" i="95"/>
  <c r="AH19" i="95" s="1"/>
  <c r="AO19" i="95" s="1"/>
  <c r="V19" i="95"/>
  <c r="AD19" i="95" s="1"/>
  <c r="AK19" i="95" s="1"/>
  <c r="U10" i="52"/>
  <c r="V10" i="52" s="1"/>
  <c r="AD10" i="52" s="1"/>
  <c r="AK10" i="52" s="1"/>
  <c r="U10" i="87"/>
  <c r="Z10" i="87" s="1"/>
  <c r="AH10" i="87" s="1"/>
  <c r="AO10" i="87" s="1"/>
  <c r="U10" i="90"/>
  <c r="X10" i="90" s="1"/>
  <c r="AF10" i="90" s="1"/>
  <c r="AM10" i="90" s="1"/>
  <c r="U10" i="64"/>
  <c r="Z10" i="64" s="1"/>
  <c r="AH10" i="64" s="1"/>
  <c r="AO10" i="64" s="1"/>
  <c r="U10" i="53"/>
  <c r="Z10" i="53" s="1"/>
  <c r="AH10" i="53" s="1"/>
  <c r="AO10" i="53" s="1"/>
  <c r="Z16" i="69"/>
  <c r="AH16" i="69" s="1"/>
  <c r="AO16" i="69" s="1"/>
  <c r="AI20" i="49"/>
  <c r="AP20" i="49" s="1"/>
  <c r="AD13" i="49"/>
  <c r="AK13" i="49" s="1"/>
  <c r="W19" i="64"/>
  <c r="AE19" i="64" s="1"/>
  <c r="AL19" i="64" s="1"/>
  <c r="AA14" i="46"/>
  <c r="AI14" i="46" s="1"/>
  <c r="AP14" i="46" s="1"/>
  <c r="V16" i="85"/>
  <c r="AD16" i="85" s="1"/>
  <c r="AK16" i="85" s="1"/>
  <c r="AD14" i="84"/>
  <c r="AK14" i="84" s="1"/>
  <c r="W16" i="84"/>
  <c r="AE16" i="84" s="1"/>
  <c r="AL16" i="84" s="1"/>
  <c r="V16" i="84"/>
  <c r="AD16" i="84" s="1"/>
  <c r="AK16" i="84" s="1"/>
  <c r="AE19" i="81"/>
  <c r="AL19" i="81" s="1"/>
  <c r="Y19" i="64"/>
  <c r="AG19" i="64" s="1"/>
  <c r="AN19" i="64" s="1"/>
  <c r="Z13" i="47"/>
  <c r="AH13" i="47" s="1"/>
  <c r="AO13" i="47" s="1"/>
  <c r="W19" i="72"/>
  <c r="AE19" i="72" s="1"/>
  <c r="AL19" i="72" s="1"/>
  <c r="Y19" i="46"/>
  <c r="AG19" i="46" s="1"/>
  <c r="AN19" i="46" s="1"/>
  <c r="Z16" i="47"/>
  <c r="AH16" i="47" s="1"/>
  <c r="AO16" i="47" s="1"/>
  <c r="Y13" i="81"/>
  <c r="AG13" i="81" s="1"/>
  <c r="AN13" i="81" s="1"/>
  <c r="Z19" i="45"/>
  <c r="AH19" i="45" s="1"/>
  <c r="AO19" i="45" s="1"/>
  <c r="AA14" i="72"/>
  <c r="AI14" i="72" s="1"/>
  <c r="AP14" i="72" s="1"/>
  <c r="V19" i="45"/>
  <c r="AD19" i="45" s="1"/>
  <c r="AK19" i="45" s="1"/>
  <c r="W13" i="47"/>
  <c r="AE13" i="47" s="1"/>
  <c r="AL13" i="47" s="1"/>
  <c r="W20" i="49"/>
  <c r="AE20" i="49" s="1"/>
  <c r="AL20" i="49" s="1"/>
  <c r="V20" i="49"/>
  <c r="AD20" i="49" s="1"/>
  <c r="AK20" i="49" s="1"/>
  <c r="X20" i="83"/>
  <c r="AF20" i="83" s="1"/>
  <c r="AM20" i="83" s="1"/>
  <c r="W20" i="83"/>
  <c r="AE20" i="83" s="1"/>
  <c r="AL20" i="83" s="1"/>
  <c r="W20" i="79"/>
  <c r="AE20" i="79" s="1"/>
  <c r="AL20" i="79" s="1"/>
  <c r="AA20" i="79"/>
  <c r="AI20" i="79" s="1"/>
  <c r="AP20" i="79" s="1"/>
  <c r="V20" i="79"/>
  <c r="AD20" i="79" s="1"/>
  <c r="AK20" i="79" s="1"/>
  <c r="Y19" i="58"/>
  <c r="AG19" i="58" s="1"/>
  <c r="AN19" i="58" s="1"/>
  <c r="AA19" i="58"/>
  <c r="AI19" i="58" s="1"/>
  <c r="AP19" i="58" s="1"/>
  <c r="W19" i="50"/>
  <c r="AE19" i="50" s="1"/>
  <c r="AL19" i="50" s="1"/>
  <c r="V19" i="50"/>
  <c r="AD19" i="50" s="1"/>
  <c r="AK19" i="50" s="1"/>
  <c r="AF24" i="5"/>
  <c r="Y19" i="79"/>
  <c r="AG19" i="79" s="1"/>
  <c r="AN19" i="79" s="1"/>
  <c r="V19" i="79"/>
  <c r="AD19" i="79" s="1"/>
  <c r="AK19" i="79" s="1"/>
  <c r="W16" i="51"/>
  <c r="AE16" i="51" s="1"/>
  <c r="AL16" i="51" s="1"/>
  <c r="Y16" i="51"/>
  <c r="AG16" i="51" s="1"/>
  <c r="AN16" i="51" s="1"/>
  <c r="X14" i="50"/>
  <c r="AF14" i="50" s="1"/>
  <c r="AM14" i="50" s="1"/>
  <c r="V14" i="50"/>
  <c r="AD14" i="50" s="1"/>
  <c r="AK14" i="50" s="1"/>
  <c r="AA14" i="87"/>
  <c r="AI14" i="87" s="1"/>
  <c r="AP14" i="87" s="1"/>
  <c r="W14" i="87"/>
  <c r="AE14" i="87" s="1"/>
  <c r="AL14" i="87" s="1"/>
  <c r="AA14" i="90"/>
  <c r="AI14" i="90" s="1"/>
  <c r="AP14" i="90" s="1"/>
  <c r="W14" i="90"/>
  <c r="V16" i="81"/>
  <c r="AD16" i="81" s="1"/>
  <c r="AK16" i="81" s="1"/>
  <c r="W13" i="51"/>
  <c r="AE13" i="51" s="1"/>
  <c r="AL13" i="51" s="1"/>
  <c r="Z16" i="85"/>
  <c r="AH16" i="85" s="1"/>
  <c r="AO16" i="85" s="1"/>
  <c r="H15" i="5"/>
  <c r="U10" i="77"/>
  <c r="V10" i="77" s="1"/>
  <c r="AD10" i="77" s="1"/>
  <c r="AK10" i="77" s="1"/>
  <c r="U10" i="82"/>
  <c r="Z10" i="82" s="1"/>
  <c r="AH10" i="82" s="1"/>
  <c r="AO10" i="82" s="1"/>
  <c r="U10" i="47"/>
  <c r="V10" i="47" s="1"/>
  <c r="AD10" i="47" s="1"/>
  <c r="AK10" i="47" s="1"/>
  <c r="U10" i="73"/>
  <c r="AA10" i="73" s="1"/>
  <c r="AI10" i="73" s="1"/>
  <c r="AP10" i="73" s="1"/>
  <c r="U10" i="49"/>
  <c r="X10" i="49" s="1"/>
  <c r="AF10" i="49" s="1"/>
  <c r="AM10" i="49" s="1"/>
  <c r="U10" i="84"/>
  <c r="Y10" i="84" s="1"/>
  <c r="AG10" i="84" s="1"/>
  <c r="AN10" i="84" s="1"/>
  <c r="U10" i="88"/>
  <c r="Z10" i="88" s="1"/>
  <c r="AH10" i="88" s="1"/>
  <c r="AO10" i="88" s="1"/>
  <c r="V14" i="90"/>
  <c r="AD14" i="90" s="1"/>
  <c r="AK14" i="90" s="1"/>
  <c r="Z13" i="51"/>
  <c r="AH13" i="51" s="1"/>
  <c r="AO13" i="51" s="1"/>
  <c r="X14" i="46"/>
  <c r="AF14" i="46" s="1"/>
  <c r="AM14" i="46" s="1"/>
  <c r="W20" i="90"/>
  <c r="AE20" i="90" s="1"/>
  <c r="AL20" i="90" s="1"/>
  <c r="Z14" i="46"/>
  <c r="AH14" i="46" s="1"/>
  <c r="AO14" i="46" s="1"/>
  <c r="AH14" i="69"/>
  <c r="AO14" i="69" s="1"/>
  <c r="V16" i="95"/>
  <c r="AD16" i="95" s="1"/>
  <c r="AK16" i="95" s="1"/>
  <c r="Y16" i="95"/>
  <c r="AG16" i="95" s="1"/>
  <c r="AN16" i="95" s="1"/>
  <c r="U10" i="46"/>
  <c r="V10" i="46" s="1"/>
  <c r="AD10" i="46" s="1"/>
  <c r="AK10" i="46" s="1"/>
  <c r="U10" i="81"/>
  <c r="Z10" i="81" s="1"/>
  <c r="AH10" i="81" s="1"/>
  <c r="AO10" i="81" s="1"/>
  <c r="U10" i="56"/>
  <c r="V10" i="56" s="1"/>
  <c r="AD10" i="56" s="1"/>
  <c r="AK10" i="56" s="1"/>
  <c r="U10" i="48"/>
  <c r="X10" i="48" s="1"/>
  <c r="AF10" i="48" s="1"/>
  <c r="AM10" i="48" s="1"/>
  <c r="U10" i="79"/>
  <c r="X10" i="79" s="1"/>
  <c r="AF10" i="79" s="1"/>
  <c r="AM10" i="79" s="1"/>
  <c r="H16" i="77"/>
  <c r="H8" i="77" s="1"/>
  <c r="W13" i="69"/>
  <c r="AE13" i="69" s="1"/>
  <c r="AL13" i="69" s="1"/>
  <c r="Z14" i="54"/>
  <c r="AH14" i="54" s="1"/>
  <c r="AO14" i="54" s="1"/>
  <c r="V13" i="69"/>
  <c r="AD13" i="69" s="1"/>
  <c r="AK13" i="69" s="1"/>
  <c r="W14" i="54"/>
  <c r="AE14" i="54" s="1"/>
  <c r="AL14" i="54" s="1"/>
  <c r="AH19" i="51"/>
  <c r="AO19" i="51" s="1"/>
  <c r="Z13" i="81"/>
  <c r="AH13" i="81" s="1"/>
  <c r="AO13" i="81" s="1"/>
  <c r="Y19" i="72"/>
  <c r="AG19" i="72" s="1"/>
  <c r="AN19" i="72" s="1"/>
  <c r="V13" i="47"/>
  <c r="AD13" i="47" s="1"/>
  <c r="AK13" i="47" s="1"/>
  <c r="V14" i="87"/>
  <c r="AD14" i="87" s="1"/>
  <c r="AK14" i="87" s="1"/>
  <c r="Y13" i="47"/>
  <c r="AG13" i="47" s="1"/>
  <c r="AN13" i="47" s="1"/>
  <c r="Y13" i="51"/>
  <c r="AG13" i="51" s="1"/>
  <c r="AN13" i="51" s="1"/>
  <c r="Z16" i="81"/>
  <c r="AH16" i="81" s="1"/>
  <c r="AO16" i="81" s="1"/>
  <c r="AI20" i="58"/>
  <c r="AP20" i="58" s="1"/>
  <c r="AA14" i="50"/>
  <c r="AI14" i="50" s="1"/>
  <c r="AP14" i="50" s="1"/>
  <c r="W16" i="47"/>
  <c r="AE16" i="47" s="1"/>
  <c r="AL16" i="47" s="1"/>
  <c r="X14" i="87"/>
  <c r="AF14" i="87" s="1"/>
  <c r="AM14" i="87" s="1"/>
  <c r="AA19" i="72"/>
  <c r="AI19" i="72" s="1"/>
  <c r="AP19" i="72" s="1"/>
  <c r="Z19" i="64"/>
  <c r="AH19" i="64" s="1"/>
  <c r="AO19" i="64" s="1"/>
  <c r="AE20" i="56"/>
  <c r="AL20" i="56" s="1"/>
  <c r="X16" i="51"/>
  <c r="AF16" i="51" s="1"/>
  <c r="AM16" i="51" s="1"/>
  <c r="V16" i="51"/>
  <c r="AD16" i="51" s="1"/>
  <c r="AK16" i="51" s="1"/>
  <c r="V13" i="51"/>
  <c r="Z16" i="84"/>
  <c r="AH16" i="84" s="1"/>
  <c r="AO16" i="84" s="1"/>
  <c r="V13" i="95"/>
  <c r="AD13" i="95" s="1"/>
  <c r="AK13" i="95" s="1"/>
  <c r="AA19" i="95"/>
  <c r="AI19" i="95" s="1"/>
  <c r="AP19" i="95" s="1"/>
  <c r="W13" i="84"/>
  <c r="AE13" i="84" s="1"/>
  <c r="AL13" i="84" s="1"/>
  <c r="AF20" i="50"/>
  <c r="AM20" i="50" s="1"/>
  <c r="AE21" i="5"/>
  <c r="M26" i="37"/>
  <c r="M26" i="16" s="1"/>
  <c r="X16" i="83"/>
  <c r="AF16" i="83" s="1"/>
  <c r="AM16" i="83" s="1"/>
  <c r="AE14" i="82"/>
  <c r="AL14" i="82" s="1"/>
  <c r="X20" i="82"/>
  <c r="AF20" i="82" s="1"/>
  <c r="AM20" i="82" s="1"/>
  <c r="AI19" i="51"/>
  <c r="AP19" i="51" s="1"/>
  <c r="N26" i="37"/>
  <c r="N26" i="16" s="1"/>
  <c r="Y23" i="48"/>
  <c r="AG23" i="48" s="1"/>
  <c r="AN23" i="48" s="1"/>
  <c r="Y23" i="95"/>
  <c r="AG23" i="95" s="1"/>
  <c r="AN23" i="95" s="1"/>
  <c r="Z23" i="95"/>
  <c r="AH23" i="95" s="1"/>
  <c r="AO23" i="95" s="1"/>
  <c r="V30" i="95"/>
  <c r="AD30" i="95" s="1"/>
  <c r="AK30" i="95" s="1"/>
  <c r="W30" i="95"/>
  <c r="AE30" i="95" s="1"/>
  <c r="AL30" i="95" s="1"/>
  <c r="Y30" i="95"/>
  <c r="AG30" i="95" s="1"/>
  <c r="AN30" i="95" s="1"/>
  <c r="Y34" i="95"/>
  <c r="AG34" i="95" s="1"/>
  <c r="AN34" i="95" s="1"/>
  <c r="AA34" i="95"/>
  <c r="AI34" i="95" s="1"/>
  <c r="AP34" i="95" s="1"/>
  <c r="W34" i="95"/>
  <c r="AE34" i="95" s="1"/>
  <c r="AL34" i="95" s="1"/>
  <c r="V34" i="95"/>
  <c r="AD34" i="95" s="1"/>
  <c r="AK34" i="95" s="1"/>
  <c r="Z34" i="95"/>
  <c r="AH34" i="95" s="1"/>
  <c r="AO34" i="95" s="1"/>
  <c r="M33" i="83"/>
  <c r="Z26" i="56"/>
  <c r="AH26" i="56" s="1"/>
  <c r="AO26" i="56" s="1"/>
  <c r="W26" i="56"/>
  <c r="AE26" i="56" s="1"/>
  <c r="AL26" i="56" s="1"/>
  <c r="AA30" i="77"/>
  <c r="W30" i="77"/>
  <c r="AA30" i="73"/>
  <c r="AI30" i="73" s="1"/>
  <c r="AP30" i="73" s="1"/>
  <c r="W30" i="73"/>
  <c r="AE30" i="73" s="1"/>
  <c r="AL30" i="73" s="1"/>
  <c r="AA30" i="52"/>
  <c r="AI30" i="52" s="1"/>
  <c r="AP30" i="52" s="1"/>
  <c r="W30" i="52"/>
  <c r="AE30" i="52" s="1"/>
  <c r="AL30" i="52" s="1"/>
  <c r="Y41" i="69"/>
  <c r="AG41" i="69" s="1"/>
  <c r="AN41" i="69" s="1"/>
  <c r="V41" i="69"/>
  <c r="AD41" i="69" s="1"/>
  <c r="AK41" i="69" s="1"/>
  <c r="Z41" i="56"/>
  <c r="AH41" i="56" s="1"/>
  <c r="AO41" i="56" s="1"/>
  <c r="AA41" i="56"/>
  <c r="AI41" i="56" s="1"/>
  <c r="AP41" i="56" s="1"/>
  <c r="W41" i="56"/>
  <c r="AE41" i="56" s="1"/>
  <c r="AL41" i="56" s="1"/>
  <c r="Y38" i="46"/>
  <c r="AG38" i="46" s="1"/>
  <c r="AN38" i="46" s="1"/>
  <c r="AA38" i="46"/>
  <c r="AI38" i="46" s="1"/>
  <c r="AP38" i="46" s="1"/>
  <c r="Y38" i="87"/>
  <c r="AG38" i="87" s="1"/>
  <c r="AN38" i="87" s="1"/>
  <c r="Z38" i="87"/>
  <c r="AH38" i="87" s="1"/>
  <c r="AO38" i="87" s="1"/>
  <c r="V36" i="69"/>
  <c r="AD36" i="69" s="1"/>
  <c r="AK36" i="69" s="1"/>
  <c r="Z36" i="69"/>
  <c r="AA36" i="69"/>
  <c r="AI36" i="69" s="1"/>
  <c r="AP36" i="69" s="1"/>
  <c r="V20" i="47"/>
  <c r="AD20" i="47" s="1"/>
  <c r="AK20" i="47" s="1"/>
  <c r="X20" i="47"/>
  <c r="AF20" i="47" s="1"/>
  <c r="AM20" i="47" s="1"/>
  <c r="V20" i="58"/>
  <c r="AD20" i="58" s="1"/>
  <c r="AK20" i="58" s="1"/>
  <c r="X20" i="58"/>
  <c r="AF20" i="58" s="1"/>
  <c r="AM20" i="58" s="1"/>
  <c r="Z20" i="64"/>
  <c r="AH20" i="64" s="1"/>
  <c r="AO20" i="64" s="1"/>
  <c r="X20" i="64"/>
  <c r="AF20" i="64" s="1"/>
  <c r="AM20" i="64" s="1"/>
  <c r="AA36" i="51"/>
  <c r="Y36" i="51"/>
  <c r="Z19" i="55"/>
  <c r="AH19" i="55" s="1"/>
  <c r="AO19" i="55" s="1"/>
  <c r="Y19" i="55"/>
  <c r="AG19" i="55" s="1"/>
  <c r="AN19" i="55" s="1"/>
  <c r="W19" i="85"/>
  <c r="AE19" i="85" s="1"/>
  <c r="AL19" i="85" s="1"/>
  <c r="V19" i="85"/>
  <c r="AD19" i="85" s="1"/>
  <c r="AK19" i="85" s="1"/>
  <c r="AA19" i="56"/>
  <c r="AI19" i="56" s="1"/>
  <c r="AP19" i="56" s="1"/>
  <c r="Z19" i="56"/>
  <c r="AH19" i="56" s="1"/>
  <c r="AO19" i="56" s="1"/>
  <c r="W26" i="64"/>
  <c r="AE26" i="64" s="1"/>
  <c r="AL26" i="64" s="1"/>
  <c r="V26" i="64"/>
  <c r="AD26" i="64" s="1"/>
  <c r="AK26" i="64" s="1"/>
  <c r="W34" i="64"/>
  <c r="AE34" i="64" s="1"/>
  <c r="AL34" i="64" s="1"/>
  <c r="Z34" i="64"/>
  <c r="AH34" i="64" s="1"/>
  <c r="AO34" i="64" s="1"/>
  <c r="AA39" i="84"/>
  <c r="AI39" i="84" s="1"/>
  <c r="AP39" i="84" s="1"/>
  <c r="W39" i="84"/>
  <c r="AE39" i="84" s="1"/>
  <c r="AL39" i="84" s="1"/>
  <c r="V39" i="56"/>
  <c r="AD39" i="56" s="1"/>
  <c r="AK39" i="56" s="1"/>
  <c r="W39" i="56"/>
  <c r="AE39" i="56" s="1"/>
  <c r="AL39" i="56" s="1"/>
  <c r="Y38" i="55"/>
  <c r="AG38" i="55" s="1"/>
  <c r="AN38" i="55" s="1"/>
  <c r="W38" i="55"/>
  <c r="AE38" i="55" s="1"/>
  <c r="AL38" i="55" s="1"/>
  <c r="AA35" i="53"/>
  <c r="AI35" i="53" s="1"/>
  <c r="AP35" i="53" s="1"/>
  <c r="Y35" i="53"/>
  <c r="AG35" i="53" s="1"/>
  <c r="AN35" i="53" s="1"/>
  <c r="V30" i="84"/>
  <c r="AD30" i="84" s="1"/>
  <c r="AK30" i="84" s="1"/>
  <c r="Z30" i="84"/>
  <c r="AH30" i="84" s="1"/>
  <c r="AO30" i="84" s="1"/>
  <c r="W30" i="85"/>
  <c r="AE30" i="85" s="1"/>
  <c r="AL30" i="85" s="1"/>
  <c r="V30" i="85"/>
  <c r="AD30" i="85" s="1"/>
  <c r="AK30" i="85" s="1"/>
  <c r="Y30" i="85"/>
  <c r="AG30" i="85" s="1"/>
  <c r="AN30" i="85" s="1"/>
  <c r="Z30" i="85"/>
  <c r="AH30" i="85" s="1"/>
  <c r="AO30" i="85" s="1"/>
  <c r="Y23" i="87"/>
  <c r="AG23" i="87" s="1"/>
  <c r="AN23" i="87" s="1"/>
  <c r="Z23" i="87"/>
  <c r="AH23" i="87" s="1"/>
  <c r="AO23" i="87" s="1"/>
  <c r="V19" i="54"/>
  <c r="AD19" i="54" s="1"/>
  <c r="AK19" i="54" s="1"/>
  <c r="Y19" i="54"/>
  <c r="AG19" i="54" s="1"/>
  <c r="AN19" i="54" s="1"/>
  <c r="V19" i="81"/>
  <c r="AD19" i="81" s="1"/>
  <c r="AK19" i="81" s="1"/>
  <c r="Y19" i="81"/>
  <c r="AG19" i="81" s="1"/>
  <c r="AN19" i="81" s="1"/>
  <c r="Z39" i="83"/>
  <c r="AH39" i="83" s="1"/>
  <c r="AO39" i="83" s="1"/>
  <c r="Y39" i="83"/>
  <c r="AG39" i="83" s="1"/>
  <c r="AN39" i="83" s="1"/>
  <c r="AA13" i="54"/>
  <c r="AI13" i="54" s="1"/>
  <c r="AP13" i="54" s="1"/>
  <c r="Y13" i="54"/>
  <c r="AG13" i="54" s="1"/>
  <c r="AN13" i="54" s="1"/>
  <c r="Z16" i="50"/>
  <c r="AH16" i="50" s="1"/>
  <c r="AO16" i="50" s="1"/>
  <c r="W16" i="50"/>
  <c r="AE16" i="50" s="1"/>
  <c r="AL16" i="50" s="1"/>
  <c r="W13" i="50"/>
  <c r="AE13" i="50" s="1"/>
  <c r="AL13" i="50" s="1"/>
  <c r="V13" i="50"/>
  <c r="AD13" i="50" s="1"/>
  <c r="AK13" i="50" s="1"/>
  <c r="AE42" i="46"/>
  <c r="AL42" i="46" s="1"/>
  <c r="AG42" i="46"/>
  <c r="AN42" i="46" s="1"/>
  <c r="V14" i="56"/>
  <c r="AD14" i="56" s="1"/>
  <c r="AK14" i="56" s="1"/>
  <c r="W14" i="56"/>
  <c r="AE14" i="56" s="1"/>
  <c r="AL14" i="56" s="1"/>
  <c r="AA14" i="56"/>
  <c r="AI14" i="56" s="1"/>
  <c r="AP14" i="56" s="1"/>
  <c r="AA14" i="58"/>
  <c r="AI14" i="58" s="1"/>
  <c r="AP14" i="58" s="1"/>
  <c r="W14" i="58"/>
  <c r="AE14" i="58" s="1"/>
  <c r="AL14" i="58" s="1"/>
  <c r="Z13" i="72"/>
  <c r="AH13" i="72" s="1"/>
  <c r="AO13" i="72" s="1"/>
  <c r="V13" i="72"/>
  <c r="AD13" i="72" s="1"/>
  <c r="AK13" i="72" s="1"/>
  <c r="V14" i="73"/>
  <c r="AD14" i="73" s="1"/>
  <c r="AK14" i="73" s="1"/>
  <c r="Z14" i="73"/>
  <c r="AH14" i="73" s="1"/>
  <c r="AO14" i="73" s="1"/>
  <c r="AA36" i="90"/>
  <c r="AI36" i="90" s="1"/>
  <c r="AP36" i="90" s="1"/>
  <c r="Z36" i="90"/>
  <c r="AH36" i="90" s="1"/>
  <c r="AO36" i="90" s="1"/>
  <c r="V20" i="48"/>
  <c r="AD20" i="48" s="1"/>
  <c r="AK20" i="48" s="1"/>
  <c r="Z20" i="48"/>
  <c r="AH20" i="48" s="1"/>
  <c r="AO20" i="48" s="1"/>
  <c r="Z14" i="84"/>
  <c r="AH14" i="84" s="1"/>
  <c r="AO14" i="84" s="1"/>
  <c r="X14" i="84"/>
  <c r="AF14" i="84" s="1"/>
  <c r="AM14" i="84" s="1"/>
  <c r="BX27" i="70"/>
  <c r="AA34" i="48"/>
  <c r="AI34" i="48" s="1"/>
  <c r="AP34" i="48" s="1"/>
  <c r="V30" i="52"/>
  <c r="AD30" i="52" s="1"/>
  <c r="AK30" i="52" s="1"/>
  <c r="AD41" i="77"/>
  <c r="AK41" i="77" s="1"/>
  <c r="AD13" i="83"/>
  <c r="AK13" i="83" s="1"/>
  <c r="AD19" i="72"/>
  <c r="AK19" i="72" s="1"/>
  <c r="AE39" i="77"/>
  <c r="AL39" i="77" s="1"/>
  <c r="AI13" i="47"/>
  <c r="AP13" i="47" s="1"/>
  <c r="AG34" i="79"/>
  <c r="AN34" i="79" s="1"/>
  <c r="AE36" i="88"/>
  <c r="AL36" i="88" s="1"/>
  <c r="AH26" i="88"/>
  <c r="AO26" i="88" s="1"/>
  <c r="AI42" i="95"/>
  <c r="AP42" i="95" s="1"/>
  <c r="AH41" i="77"/>
  <c r="AO41" i="77" s="1"/>
  <c r="AI36" i="79"/>
  <c r="AP36" i="79" s="1"/>
  <c r="AH34" i="79"/>
  <c r="AO34" i="79" s="1"/>
  <c r="AH23" i="90"/>
  <c r="AO23" i="90" s="1"/>
  <c r="AE35" i="95"/>
  <c r="AL35" i="95" s="1"/>
  <c r="AG37" i="95"/>
  <c r="AN37" i="95" s="1"/>
  <c r="AD26" i="90"/>
  <c r="AK26" i="90" s="1"/>
  <c r="AE34" i="90"/>
  <c r="AL34" i="90" s="1"/>
  <c r="AH34" i="87"/>
  <c r="AO34" i="87" s="1"/>
  <c r="Y37" i="49"/>
  <c r="AG37" i="49" s="1"/>
  <c r="AN37" i="49" s="1"/>
  <c r="V37" i="49"/>
  <c r="AD37" i="49" s="1"/>
  <c r="AK37" i="49" s="1"/>
  <c r="AA37" i="49"/>
  <c r="AI37" i="49" s="1"/>
  <c r="AP37" i="49" s="1"/>
  <c r="W38" i="81"/>
  <c r="AE38" i="81" s="1"/>
  <c r="AL38" i="81" s="1"/>
  <c r="Z38" i="81"/>
  <c r="AH38" i="81" s="1"/>
  <c r="AO38" i="81" s="1"/>
  <c r="Y38" i="81"/>
  <c r="AG38" i="81" s="1"/>
  <c r="AN38" i="81" s="1"/>
  <c r="V38" i="81"/>
  <c r="AD38" i="81" s="1"/>
  <c r="AK38" i="81" s="1"/>
  <c r="AA38" i="81"/>
  <c r="AI38" i="81" s="1"/>
  <c r="AP38" i="81" s="1"/>
  <c r="Z38" i="84"/>
  <c r="AH38" i="84" s="1"/>
  <c r="AO38" i="84" s="1"/>
  <c r="Y38" i="84"/>
  <c r="AG38" i="84" s="1"/>
  <c r="AN38" i="84" s="1"/>
  <c r="AA38" i="84"/>
  <c r="AI38" i="84" s="1"/>
  <c r="AP38" i="84" s="1"/>
  <c r="W38" i="84"/>
  <c r="AE38" i="84" s="1"/>
  <c r="AL38" i="84" s="1"/>
  <c r="V38" i="84"/>
  <c r="AD38" i="84" s="1"/>
  <c r="AK38" i="84" s="1"/>
  <c r="W36" i="56"/>
  <c r="AE36" i="56" s="1"/>
  <c r="AL36" i="56" s="1"/>
  <c r="Z36" i="56"/>
  <c r="AH36" i="56" s="1"/>
  <c r="AO36" i="56" s="1"/>
  <c r="V36" i="56"/>
  <c r="AD36" i="56" s="1"/>
  <c r="AK36" i="56" s="1"/>
  <c r="AA36" i="56"/>
  <c r="AI36" i="56" s="1"/>
  <c r="AP36" i="56" s="1"/>
  <c r="Y36" i="56"/>
  <c r="AG36" i="56" s="1"/>
  <c r="AN36" i="56" s="1"/>
  <c r="Z20" i="51"/>
  <c r="AH20" i="51" s="1"/>
  <c r="AO20" i="51" s="1"/>
  <c r="V20" i="51"/>
  <c r="AD20" i="51" s="1"/>
  <c r="AK20" i="51" s="1"/>
  <c r="W20" i="51"/>
  <c r="AE20" i="51" s="1"/>
  <c r="AL20" i="51" s="1"/>
  <c r="X20" i="51"/>
  <c r="AF20" i="51" s="1"/>
  <c r="AM20" i="51" s="1"/>
  <c r="AA20" i="72"/>
  <c r="AI20" i="72" s="1"/>
  <c r="AP20" i="72" s="1"/>
  <c r="X20" i="72"/>
  <c r="AF20" i="72" s="1"/>
  <c r="AM20" i="72" s="1"/>
  <c r="W20" i="72"/>
  <c r="AE20" i="72" s="1"/>
  <c r="AL20" i="72" s="1"/>
  <c r="Z20" i="72"/>
  <c r="AH20" i="72" s="1"/>
  <c r="AO20" i="72" s="1"/>
  <c r="Y19" i="83"/>
  <c r="AG19" i="83" s="1"/>
  <c r="AN19" i="83" s="1"/>
  <c r="AA19" i="83"/>
  <c r="AI19" i="83" s="1"/>
  <c r="AP19" i="83" s="1"/>
  <c r="Y41" i="58"/>
  <c r="AG41" i="58" s="1"/>
  <c r="AN41" i="58" s="1"/>
  <c r="V41" i="58"/>
  <c r="AD41" i="58" s="1"/>
  <c r="AK41" i="58" s="1"/>
  <c r="W41" i="58"/>
  <c r="AE41" i="58" s="1"/>
  <c r="AL41" i="58" s="1"/>
  <c r="AA41" i="58"/>
  <c r="AI41" i="58" s="1"/>
  <c r="AP41" i="58" s="1"/>
  <c r="V19" i="53"/>
  <c r="AD19" i="53" s="1"/>
  <c r="AK19" i="53" s="1"/>
  <c r="W19" i="53"/>
  <c r="AE19" i="53" s="1"/>
  <c r="AL19" i="53" s="1"/>
  <c r="Y19" i="53"/>
  <c r="AG19" i="53" s="1"/>
  <c r="AN19" i="53" s="1"/>
  <c r="AA19" i="53"/>
  <c r="AI19" i="53" s="1"/>
  <c r="AP19" i="53" s="1"/>
  <c r="Z19" i="53"/>
  <c r="AH19" i="53" s="1"/>
  <c r="AO19" i="53" s="1"/>
  <c r="Z35" i="85"/>
  <c r="AH35" i="85" s="1"/>
  <c r="AO35" i="85" s="1"/>
  <c r="AA35" i="85"/>
  <c r="AI35" i="85" s="1"/>
  <c r="AP35" i="85" s="1"/>
  <c r="V35" i="85"/>
  <c r="AD35" i="85" s="1"/>
  <c r="AK35" i="85" s="1"/>
  <c r="Y35" i="85"/>
  <c r="AG35" i="85" s="1"/>
  <c r="AN35" i="85" s="1"/>
  <c r="W35" i="85"/>
  <c r="AE35" i="85" s="1"/>
  <c r="AL35" i="85" s="1"/>
  <c r="Y23" i="49"/>
  <c r="AG23" i="49" s="1"/>
  <c r="AN23" i="49" s="1"/>
  <c r="Z23" i="49"/>
  <c r="AH23" i="49" s="1"/>
  <c r="AO23" i="49" s="1"/>
  <c r="W39" i="85"/>
  <c r="AE39" i="85" s="1"/>
  <c r="AL39" i="85" s="1"/>
  <c r="Z39" i="85"/>
  <c r="AH39" i="85" s="1"/>
  <c r="AO39" i="85" s="1"/>
  <c r="AA39" i="85"/>
  <c r="AI39" i="85" s="1"/>
  <c r="AP39" i="85" s="1"/>
  <c r="Y39" i="55"/>
  <c r="AG39" i="55" s="1"/>
  <c r="AN39" i="55" s="1"/>
  <c r="W39" i="55"/>
  <c r="AE39" i="55" s="1"/>
  <c r="AL39" i="55" s="1"/>
  <c r="AA39" i="55"/>
  <c r="AI39" i="55" s="1"/>
  <c r="AP39" i="55" s="1"/>
  <c r="V34" i="50"/>
  <c r="AD34" i="50" s="1"/>
  <c r="AK34" i="50" s="1"/>
  <c r="W34" i="50"/>
  <c r="AE34" i="50" s="1"/>
  <c r="AL34" i="50" s="1"/>
  <c r="Y34" i="50"/>
  <c r="AG34" i="50" s="1"/>
  <c r="AN34" i="50" s="1"/>
  <c r="AA34" i="50"/>
  <c r="AI34" i="50" s="1"/>
  <c r="AP34" i="50" s="1"/>
  <c r="AA35" i="82"/>
  <c r="AI35" i="82" s="1"/>
  <c r="AP35" i="82" s="1"/>
  <c r="V35" i="82"/>
  <c r="AD35" i="82" s="1"/>
  <c r="AK35" i="82" s="1"/>
  <c r="W35" i="82"/>
  <c r="Y35" i="82"/>
  <c r="AG35" i="82" s="1"/>
  <c r="AN35" i="82" s="1"/>
  <c r="Z35" i="82"/>
  <c r="AH35" i="82" s="1"/>
  <c r="AO35" i="82" s="1"/>
  <c r="W38" i="72"/>
  <c r="AE38" i="72" s="1"/>
  <c r="AL38" i="72" s="1"/>
  <c r="V38" i="72"/>
  <c r="AD38" i="72" s="1"/>
  <c r="AK38" i="72" s="1"/>
  <c r="Y38" i="72"/>
  <c r="AG38" i="72" s="1"/>
  <c r="AN38" i="72" s="1"/>
  <c r="Z38" i="72"/>
  <c r="AH38" i="72" s="1"/>
  <c r="AO38" i="72" s="1"/>
  <c r="AA38" i="72"/>
  <c r="AI38" i="72" s="1"/>
  <c r="AP38" i="72" s="1"/>
  <c r="AA35" i="47"/>
  <c r="AI35" i="47" s="1"/>
  <c r="AP35" i="47" s="1"/>
  <c r="V35" i="47"/>
  <c r="AD35" i="47" s="1"/>
  <c r="AK35" i="47" s="1"/>
  <c r="Z35" i="47"/>
  <c r="AH35" i="47" s="1"/>
  <c r="AO35" i="47" s="1"/>
  <c r="W35" i="47"/>
  <c r="AE35" i="47" s="1"/>
  <c r="AL35" i="47" s="1"/>
  <c r="Y35" i="47"/>
  <c r="AG35" i="47" s="1"/>
  <c r="AN35" i="47" s="1"/>
  <c r="V30" i="47"/>
  <c r="AD30" i="47" s="1"/>
  <c r="AK30" i="47" s="1"/>
  <c r="AA30" i="47"/>
  <c r="AI30" i="47" s="1"/>
  <c r="AP30" i="47" s="1"/>
  <c r="Y30" i="47"/>
  <c r="AG30" i="47" s="1"/>
  <c r="AN30" i="47" s="1"/>
  <c r="Z30" i="47"/>
  <c r="AH30" i="47" s="1"/>
  <c r="AO30" i="47" s="1"/>
  <c r="Y16" i="41"/>
  <c r="AG16" i="41" s="1"/>
  <c r="AN16" i="41" s="1"/>
  <c r="W16" i="41"/>
  <c r="AE16" i="41" s="1"/>
  <c r="AL16" i="41" s="1"/>
  <c r="Z13" i="48"/>
  <c r="AH13" i="48" s="1"/>
  <c r="AO13" i="48" s="1"/>
  <c r="Y13" i="48"/>
  <c r="AG13" i="48" s="1"/>
  <c r="AN13" i="48" s="1"/>
  <c r="W13" i="48"/>
  <c r="AE13" i="48" s="1"/>
  <c r="AL13" i="48" s="1"/>
  <c r="V13" i="48"/>
  <c r="AD13" i="48" s="1"/>
  <c r="AK13" i="48" s="1"/>
  <c r="X14" i="47"/>
  <c r="AF14" i="47" s="1"/>
  <c r="AM14" i="47" s="1"/>
  <c r="W14" i="47"/>
  <c r="AE14" i="47" s="1"/>
  <c r="AL14" i="47" s="1"/>
  <c r="V14" i="47"/>
  <c r="AD14" i="47" s="1"/>
  <c r="AK14" i="47" s="1"/>
  <c r="Z14" i="47"/>
  <c r="AH14" i="47" s="1"/>
  <c r="AO14" i="47" s="1"/>
  <c r="AF42" i="56"/>
  <c r="AM42" i="56" s="1"/>
  <c r="AE42" i="56"/>
  <c r="AL42" i="56" s="1"/>
  <c r="AI42" i="56"/>
  <c r="AP42" i="56" s="1"/>
  <c r="AD42" i="56"/>
  <c r="AK42" i="56" s="1"/>
  <c r="AG42" i="56"/>
  <c r="AN42" i="56" s="1"/>
  <c r="Y13" i="64"/>
  <c r="AG13" i="64" s="1"/>
  <c r="AN13" i="64" s="1"/>
  <c r="AA13" i="64"/>
  <c r="AI13" i="64" s="1"/>
  <c r="AP13" i="64" s="1"/>
  <c r="Z13" i="64"/>
  <c r="AH13" i="64" s="1"/>
  <c r="AO13" i="64" s="1"/>
  <c r="W13" i="64"/>
  <c r="AE13" i="64" s="1"/>
  <c r="AL13" i="64" s="1"/>
  <c r="V13" i="64"/>
  <c r="AD13" i="64" s="1"/>
  <c r="AK13" i="64" s="1"/>
  <c r="Y16" i="77"/>
  <c r="AG16" i="77" s="1"/>
  <c r="AN16" i="77" s="1"/>
  <c r="W16" i="77"/>
  <c r="AE16" i="77" s="1"/>
  <c r="AL16" i="77" s="1"/>
  <c r="Z16" i="77"/>
  <c r="AH16" i="77" s="1"/>
  <c r="AO16" i="77" s="1"/>
  <c r="V16" i="77"/>
  <c r="W13" i="77"/>
  <c r="AE13" i="77" s="1"/>
  <c r="AL13" i="77" s="1"/>
  <c r="V13" i="77"/>
  <c r="AD13" i="77" s="1"/>
  <c r="AK13" i="77" s="1"/>
  <c r="X16" i="79"/>
  <c r="AF16" i="79" s="1"/>
  <c r="AM16" i="79" s="1"/>
  <c r="V16" i="79"/>
  <c r="AD16" i="79" s="1"/>
  <c r="AK16" i="79" s="1"/>
  <c r="W16" i="79"/>
  <c r="AE16" i="79" s="1"/>
  <c r="AL16" i="79" s="1"/>
  <c r="Y16" i="79"/>
  <c r="AG16" i="79" s="1"/>
  <c r="AN16" i="79" s="1"/>
  <c r="W13" i="87"/>
  <c r="AE13" i="87" s="1"/>
  <c r="AL13" i="87" s="1"/>
  <c r="AA13" i="87"/>
  <c r="AI13" i="87" s="1"/>
  <c r="AP13" i="87" s="1"/>
  <c r="V13" i="87"/>
  <c r="AD13" i="87" s="1"/>
  <c r="AK13" i="87" s="1"/>
  <c r="AD42" i="87"/>
  <c r="AK42" i="87" s="1"/>
  <c r="AF42" i="87"/>
  <c r="AM42" i="87" s="1"/>
  <c r="Z13" i="77"/>
  <c r="AH13" i="77" s="1"/>
  <c r="AO13" i="77" s="1"/>
  <c r="AH30" i="45"/>
  <c r="AO30" i="45" s="1"/>
  <c r="V36" i="55"/>
  <c r="AD36" i="55" s="1"/>
  <c r="AK36" i="55" s="1"/>
  <c r="AG37" i="46"/>
  <c r="AN37" i="46" s="1"/>
  <c r="AI14" i="64"/>
  <c r="AP14" i="64" s="1"/>
  <c r="V34" i="87"/>
  <c r="AD34" i="87" s="1"/>
  <c r="AK34" i="87" s="1"/>
  <c r="AG16" i="58"/>
  <c r="AN16" i="58" s="1"/>
  <c r="AD34" i="54"/>
  <c r="AK34" i="54" s="1"/>
  <c r="AE42" i="87"/>
  <c r="AL42" i="87" s="1"/>
  <c r="Z16" i="79"/>
  <c r="AH16" i="79" s="1"/>
  <c r="AO16" i="79" s="1"/>
  <c r="V20" i="81"/>
  <c r="AD20" i="81" s="1"/>
  <c r="AK20" i="81" s="1"/>
  <c r="AG38" i="77"/>
  <c r="AN38" i="77" s="1"/>
  <c r="AA20" i="50"/>
  <c r="AI20" i="50" s="1"/>
  <c r="AP20" i="50" s="1"/>
  <c r="AA20" i="51"/>
  <c r="AI20" i="51" s="1"/>
  <c r="AP20" i="51" s="1"/>
  <c r="Z34" i="50"/>
  <c r="AH34" i="50" s="1"/>
  <c r="AO34" i="50" s="1"/>
  <c r="V20" i="72"/>
  <c r="AD20" i="72" s="1"/>
  <c r="AK20" i="72" s="1"/>
  <c r="AA14" i="47"/>
  <c r="AI14" i="47" s="1"/>
  <c r="AP14" i="47" s="1"/>
  <c r="AE36" i="50"/>
  <c r="AL36" i="50" s="1"/>
  <c r="H16" i="79"/>
  <c r="H8" i="79" s="1"/>
  <c r="V26" i="37"/>
  <c r="V26" i="16" s="1"/>
  <c r="BB27" i="70"/>
  <c r="M33" i="41"/>
  <c r="AA37" i="90"/>
  <c r="AI37" i="90" s="1"/>
  <c r="AP37" i="90" s="1"/>
  <c r="Y37" i="90"/>
  <c r="AG37" i="90" s="1"/>
  <c r="AN37" i="90" s="1"/>
  <c r="V37" i="90"/>
  <c r="AD37" i="90" s="1"/>
  <c r="AK37" i="90" s="1"/>
  <c r="Z26" i="50"/>
  <c r="AH26" i="50" s="1"/>
  <c r="AO26" i="50" s="1"/>
  <c r="V26" i="50"/>
  <c r="AD26" i="50" s="1"/>
  <c r="AK26" i="50" s="1"/>
  <c r="W34" i="84"/>
  <c r="AA34" i="84"/>
  <c r="AI34" i="84" s="1"/>
  <c r="AP34" i="84" s="1"/>
  <c r="Z34" i="88"/>
  <c r="AH34" i="88" s="1"/>
  <c r="AO34" i="88" s="1"/>
  <c r="W34" i="88"/>
  <c r="AE34" i="88" s="1"/>
  <c r="AL34" i="88" s="1"/>
  <c r="AA34" i="88"/>
  <c r="AI34" i="88" s="1"/>
  <c r="AP34" i="88" s="1"/>
  <c r="W38" i="53"/>
  <c r="AE38" i="53" s="1"/>
  <c r="AL38" i="53" s="1"/>
  <c r="Z38" i="53"/>
  <c r="AH38" i="53" s="1"/>
  <c r="AO38" i="53" s="1"/>
  <c r="V38" i="53"/>
  <c r="AD38" i="53" s="1"/>
  <c r="AK38" i="53" s="1"/>
  <c r="Y38" i="53"/>
  <c r="AG38" i="53" s="1"/>
  <c r="AN38" i="53" s="1"/>
  <c r="AA38" i="53"/>
  <c r="AI38" i="53" s="1"/>
  <c r="AP38" i="53" s="1"/>
  <c r="Z20" i="50"/>
  <c r="AH20" i="50" s="1"/>
  <c r="AO20" i="50" s="1"/>
  <c r="W20" i="50"/>
  <c r="AE20" i="50" s="1"/>
  <c r="AL20" i="50" s="1"/>
  <c r="V20" i="50"/>
  <c r="AD20" i="50" s="1"/>
  <c r="AK20" i="50" s="1"/>
  <c r="W20" i="73"/>
  <c r="AE20" i="73" s="1"/>
  <c r="AL20" i="73" s="1"/>
  <c r="V20" i="73"/>
  <c r="AD20" i="73" s="1"/>
  <c r="AK20" i="73" s="1"/>
  <c r="X20" i="73"/>
  <c r="AF20" i="73" s="1"/>
  <c r="AM20" i="73" s="1"/>
  <c r="AA20" i="73"/>
  <c r="AI20" i="73" s="1"/>
  <c r="AP20" i="73" s="1"/>
  <c r="Z41" i="49"/>
  <c r="AH41" i="49" s="1"/>
  <c r="AO41" i="49" s="1"/>
  <c r="AA41" i="49"/>
  <c r="AI41" i="49" s="1"/>
  <c r="AP41" i="49" s="1"/>
  <c r="Z35" i="88"/>
  <c r="AH35" i="88" s="1"/>
  <c r="AO35" i="88" s="1"/>
  <c r="W35" i="88"/>
  <c r="AE35" i="88" s="1"/>
  <c r="AL35" i="88" s="1"/>
  <c r="Y35" i="88"/>
  <c r="AG35" i="88" s="1"/>
  <c r="AN35" i="88" s="1"/>
  <c r="Y30" i="81"/>
  <c r="AG30" i="81" s="1"/>
  <c r="AN30" i="81" s="1"/>
  <c r="V30" i="81"/>
  <c r="AD30" i="81" s="1"/>
  <c r="AK30" i="81" s="1"/>
  <c r="W30" i="81"/>
  <c r="AE30" i="81" s="1"/>
  <c r="AL30" i="81" s="1"/>
  <c r="AA30" i="81"/>
  <c r="AI30" i="81" s="1"/>
  <c r="AP30" i="81" s="1"/>
  <c r="Y23" i="46"/>
  <c r="AG23" i="46" s="1"/>
  <c r="AN23" i="46" s="1"/>
  <c r="Z23" i="46"/>
  <c r="AH23" i="46" s="1"/>
  <c r="AO23" i="46" s="1"/>
  <c r="Y30" i="72"/>
  <c r="AG30" i="72" s="1"/>
  <c r="AN30" i="72" s="1"/>
  <c r="V30" i="72"/>
  <c r="AD30" i="72" s="1"/>
  <c r="AK30" i="72" s="1"/>
  <c r="Z23" i="51"/>
  <c r="AH23" i="51" s="1"/>
  <c r="AO23" i="51" s="1"/>
  <c r="Y23" i="51"/>
  <c r="AG23" i="51" s="1"/>
  <c r="AN23" i="51" s="1"/>
  <c r="Y35" i="77"/>
  <c r="Z35" i="77"/>
  <c r="AH35" i="77" s="1"/>
  <c r="AO35" i="77" s="1"/>
  <c r="W35" i="77"/>
  <c r="AE35" i="77" s="1"/>
  <c r="AL35" i="77" s="1"/>
  <c r="V19" i="52"/>
  <c r="AD19" i="52" s="1"/>
  <c r="AK19" i="52" s="1"/>
  <c r="W19" i="52"/>
  <c r="AE19" i="52" s="1"/>
  <c r="AL19" i="52" s="1"/>
  <c r="Y19" i="52"/>
  <c r="AG19" i="52" s="1"/>
  <c r="AN19" i="52" s="1"/>
  <c r="W39" i="87"/>
  <c r="AE39" i="87" s="1"/>
  <c r="AL39" i="87" s="1"/>
  <c r="AA39" i="87"/>
  <c r="AI39" i="87" s="1"/>
  <c r="AP39" i="87" s="1"/>
  <c r="Z39" i="87"/>
  <c r="AH39" i="87" s="1"/>
  <c r="AO39" i="87" s="1"/>
  <c r="V26" i="47"/>
  <c r="AD26" i="47" s="1"/>
  <c r="AK26" i="47" s="1"/>
  <c r="Z26" i="47"/>
  <c r="AH26" i="47" s="1"/>
  <c r="AO26" i="47" s="1"/>
  <c r="W26" i="47"/>
  <c r="AE26" i="47" s="1"/>
  <c r="AL26" i="47" s="1"/>
  <c r="X14" i="45"/>
  <c r="AF14" i="45" s="1"/>
  <c r="AM14" i="45" s="1"/>
  <c r="V14" i="45"/>
  <c r="AD14" i="45" s="1"/>
  <c r="AK14" i="45" s="1"/>
  <c r="Z14" i="45"/>
  <c r="AH14" i="45" s="1"/>
  <c r="AO14" i="45" s="1"/>
  <c r="W14" i="45"/>
  <c r="AE14" i="45" s="1"/>
  <c r="AL14" i="45" s="1"/>
  <c r="AA14" i="45"/>
  <c r="AI14" i="45" s="1"/>
  <c r="AP14" i="45" s="1"/>
  <c r="AD42" i="52"/>
  <c r="AK42" i="52" s="1"/>
  <c r="AI42" i="52"/>
  <c r="AP42" i="52" s="1"/>
  <c r="AG42" i="52"/>
  <c r="AN42" i="52" s="1"/>
  <c r="AE42" i="52"/>
  <c r="AL42" i="52" s="1"/>
  <c r="Z16" i="52"/>
  <c r="AH16" i="52" s="1"/>
  <c r="AO16" i="52" s="1"/>
  <c r="Y16" i="52"/>
  <c r="AG16" i="52" s="1"/>
  <c r="AN16" i="52" s="1"/>
  <c r="W16" i="52"/>
  <c r="AE16" i="52" s="1"/>
  <c r="AL16" i="52" s="1"/>
  <c r="AA13" i="52"/>
  <c r="AI13" i="52" s="1"/>
  <c r="AP13" i="52" s="1"/>
  <c r="W13" i="52"/>
  <c r="AE13" i="52" s="1"/>
  <c r="AL13" i="52" s="1"/>
  <c r="Z13" i="52"/>
  <c r="AH13" i="52" s="1"/>
  <c r="AO13" i="52" s="1"/>
  <c r="V13" i="52"/>
  <c r="AD13" i="52" s="1"/>
  <c r="AK13" i="52" s="1"/>
  <c r="AA14" i="51"/>
  <c r="AI14" i="51" s="1"/>
  <c r="AP14" i="51" s="1"/>
  <c r="V14" i="51"/>
  <c r="AD14" i="51" s="1"/>
  <c r="AK14" i="51" s="1"/>
  <c r="X14" i="51"/>
  <c r="AF14" i="51" s="1"/>
  <c r="AM14" i="51" s="1"/>
  <c r="W14" i="51"/>
  <c r="AE14" i="51" s="1"/>
  <c r="AL14" i="51" s="1"/>
  <c r="AI42" i="48"/>
  <c r="AP42" i="48" s="1"/>
  <c r="AE42" i="48"/>
  <c r="AL42" i="48" s="1"/>
  <c r="AG42" i="48"/>
  <c r="AN42" i="48" s="1"/>
  <c r="AF42" i="48"/>
  <c r="AM42" i="48" s="1"/>
  <c r="X16" i="48"/>
  <c r="AF16" i="48" s="1"/>
  <c r="AM16" i="48" s="1"/>
  <c r="Z16" i="48"/>
  <c r="AH16" i="48" s="1"/>
  <c r="AO16" i="48" s="1"/>
  <c r="W16" i="48"/>
  <c r="AE16" i="48" s="1"/>
  <c r="AL16" i="48" s="1"/>
  <c r="V16" i="48"/>
  <c r="AD16" i="48" s="1"/>
  <c r="AK16" i="48" s="1"/>
  <c r="Y16" i="48"/>
  <c r="AG16" i="48" s="1"/>
  <c r="AN16" i="48" s="1"/>
  <c r="AD42" i="77"/>
  <c r="AK42" i="77" s="1"/>
  <c r="AI42" i="77"/>
  <c r="AP42" i="77" s="1"/>
  <c r="AG42" i="77"/>
  <c r="AN42" i="77" s="1"/>
  <c r="AF42" i="77"/>
  <c r="AM42" i="77" s="1"/>
  <c r="AE42" i="77"/>
  <c r="AL42" i="77" s="1"/>
  <c r="W39" i="90"/>
  <c r="AE39" i="90" s="1"/>
  <c r="AL39" i="90" s="1"/>
  <c r="Z39" i="90"/>
  <c r="AH39" i="90" s="1"/>
  <c r="AO39" i="90" s="1"/>
  <c r="X16" i="52"/>
  <c r="AF16" i="52" s="1"/>
  <c r="AM16" i="52" s="1"/>
  <c r="Z30" i="81"/>
  <c r="AH30" i="81" s="1"/>
  <c r="AO30" i="81" s="1"/>
  <c r="V39" i="85"/>
  <c r="AD39" i="85" s="1"/>
  <c r="AK39" i="85" s="1"/>
  <c r="AF42" i="52"/>
  <c r="AM42" i="52" s="1"/>
  <c r="Z14" i="51"/>
  <c r="AH14" i="51" s="1"/>
  <c r="AO14" i="51" s="1"/>
  <c r="AG35" i="79"/>
  <c r="AN35" i="79" s="1"/>
  <c r="AD26" i="72"/>
  <c r="AK26" i="72" s="1"/>
  <c r="AI39" i="46"/>
  <c r="AP39" i="46" s="1"/>
  <c r="V34" i="88"/>
  <c r="AD34" i="88" s="1"/>
  <c r="AK34" i="88" s="1"/>
  <c r="AA13" i="77"/>
  <c r="AI13" i="77" s="1"/>
  <c r="AP13" i="77" s="1"/>
  <c r="V39" i="55"/>
  <c r="AD39" i="55" s="1"/>
  <c r="AK39" i="55" s="1"/>
  <c r="W26" i="52"/>
  <c r="AE26" i="52" s="1"/>
  <c r="AL26" i="52" s="1"/>
  <c r="Z26" i="52"/>
  <c r="AH26" i="52" s="1"/>
  <c r="AO26" i="52" s="1"/>
  <c r="Y30" i="82"/>
  <c r="AG30" i="82" s="1"/>
  <c r="AN30" i="82" s="1"/>
  <c r="Z30" i="82"/>
  <c r="AH30" i="82" s="1"/>
  <c r="AO30" i="82" s="1"/>
  <c r="V26" i="87"/>
  <c r="AD26" i="87" s="1"/>
  <c r="AK26" i="87" s="1"/>
  <c r="Z26" i="87"/>
  <c r="AH26" i="87" s="1"/>
  <c r="AO26" i="87" s="1"/>
  <c r="W26" i="87"/>
  <c r="AE26" i="87" s="1"/>
  <c r="AL26" i="87" s="1"/>
  <c r="Y30" i="79"/>
  <c r="AG30" i="79" s="1"/>
  <c r="AN30" i="79" s="1"/>
  <c r="Z30" i="79"/>
  <c r="AH30" i="79" s="1"/>
  <c r="AO30" i="79" s="1"/>
  <c r="V30" i="79"/>
  <c r="AD30" i="79" s="1"/>
  <c r="AK30" i="79" s="1"/>
  <c r="AA41" i="46"/>
  <c r="AI41" i="46" s="1"/>
  <c r="AP41" i="46" s="1"/>
  <c r="Y41" i="46"/>
  <c r="AG41" i="46" s="1"/>
  <c r="AN41" i="46" s="1"/>
  <c r="W41" i="53"/>
  <c r="AE41" i="53" s="1"/>
  <c r="AL41" i="53" s="1"/>
  <c r="V41" i="53"/>
  <c r="AD41" i="53" s="1"/>
  <c r="AK41" i="53" s="1"/>
  <c r="AA41" i="53"/>
  <c r="AI41" i="53" s="1"/>
  <c r="AP41" i="53" s="1"/>
  <c r="V41" i="51"/>
  <c r="AD41" i="51" s="1"/>
  <c r="AK41" i="51" s="1"/>
  <c r="Z41" i="51"/>
  <c r="AH41" i="51" s="1"/>
  <c r="AO41" i="51" s="1"/>
  <c r="Y41" i="51"/>
  <c r="AG41" i="51" s="1"/>
  <c r="AN41" i="51" s="1"/>
  <c r="W41" i="51"/>
  <c r="AE41" i="51" s="1"/>
  <c r="AL41" i="51" s="1"/>
  <c r="AA37" i="53"/>
  <c r="AI37" i="53" s="1"/>
  <c r="AP37" i="53" s="1"/>
  <c r="Y37" i="53"/>
  <c r="AG37" i="53" s="1"/>
  <c r="AN37" i="53" s="1"/>
  <c r="V37" i="53"/>
  <c r="AD37" i="53" s="1"/>
  <c r="AK37" i="53" s="1"/>
  <c r="Y37" i="72"/>
  <c r="AG37" i="72" s="1"/>
  <c r="AN37" i="72" s="1"/>
  <c r="AA37" i="72"/>
  <c r="AI37" i="72" s="1"/>
  <c r="AP37" i="72" s="1"/>
  <c r="V37" i="72"/>
  <c r="AD37" i="72" s="1"/>
  <c r="AK37" i="72" s="1"/>
  <c r="AA38" i="52"/>
  <c r="AI38" i="52" s="1"/>
  <c r="AP38" i="52" s="1"/>
  <c r="Y38" i="52"/>
  <c r="AG38" i="52" s="1"/>
  <c r="AN38" i="52" s="1"/>
  <c r="V39" i="51"/>
  <c r="AD39" i="51" s="1"/>
  <c r="AK39" i="51" s="1"/>
  <c r="AA39" i="51"/>
  <c r="AI39" i="51" s="1"/>
  <c r="AP39" i="51" s="1"/>
  <c r="W39" i="51"/>
  <c r="AE39" i="51" s="1"/>
  <c r="AL39" i="51" s="1"/>
  <c r="Y39" i="51"/>
  <c r="AG39" i="51" s="1"/>
  <c r="AN39" i="51" s="1"/>
  <c r="Z39" i="51"/>
  <c r="AH39" i="51" s="1"/>
  <c r="AO39" i="51" s="1"/>
  <c r="X20" i="54"/>
  <c r="AF20" i="54" s="1"/>
  <c r="AM20" i="54" s="1"/>
  <c r="Z20" i="54"/>
  <c r="AH20" i="54" s="1"/>
  <c r="AO20" i="54" s="1"/>
  <c r="W20" i="54"/>
  <c r="AE20" i="54" s="1"/>
  <c r="AL20" i="54" s="1"/>
  <c r="AA20" i="54"/>
  <c r="AI20" i="54" s="1"/>
  <c r="AP20" i="54" s="1"/>
  <c r="V20" i="54"/>
  <c r="AD20" i="54" s="1"/>
  <c r="AK20" i="54" s="1"/>
  <c r="X20" i="81"/>
  <c r="AF20" i="81" s="1"/>
  <c r="AM20" i="81" s="1"/>
  <c r="AA20" i="81"/>
  <c r="AI20" i="81" s="1"/>
  <c r="AP20" i="81" s="1"/>
  <c r="W20" i="81"/>
  <c r="AE20" i="81" s="1"/>
  <c r="AL20" i="81" s="1"/>
  <c r="V19" i="87"/>
  <c r="AD19" i="87" s="1"/>
  <c r="AK19" i="87" s="1"/>
  <c r="AA19" i="87"/>
  <c r="AI19" i="87" s="1"/>
  <c r="AP19" i="87" s="1"/>
  <c r="Y19" i="87"/>
  <c r="AG19" i="87" s="1"/>
  <c r="AN19" i="87" s="1"/>
  <c r="W19" i="87"/>
  <c r="AE19" i="87" s="1"/>
  <c r="AL19" i="87" s="1"/>
  <c r="Z19" i="87"/>
  <c r="AH19" i="87" s="1"/>
  <c r="AO19" i="87" s="1"/>
  <c r="Z19" i="88"/>
  <c r="AH19" i="88" s="1"/>
  <c r="AO19" i="88" s="1"/>
  <c r="V19" i="88"/>
  <c r="AD19" i="88" s="1"/>
  <c r="AK19" i="88" s="1"/>
  <c r="W19" i="88"/>
  <c r="AE19" i="88" s="1"/>
  <c r="AL19" i="88" s="1"/>
  <c r="AA19" i="88"/>
  <c r="AI19" i="88" s="1"/>
  <c r="AP19" i="88" s="1"/>
  <c r="Y23" i="47"/>
  <c r="AG23" i="47" s="1"/>
  <c r="AN23" i="47" s="1"/>
  <c r="Z23" i="47"/>
  <c r="AH23" i="47" s="1"/>
  <c r="AO23" i="47" s="1"/>
  <c r="AA34" i="72"/>
  <c r="AI34" i="72" s="1"/>
  <c r="AP34" i="72" s="1"/>
  <c r="V34" i="72"/>
  <c r="AD34" i="72" s="1"/>
  <c r="AK34" i="72" s="1"/>
  <c r="Z34" i="72"/>
  <c r="AH34" i="72" s="1"/>
  <c r="AO34" i="72" s="1"/>
  <c r="Y34" i="72"/>
  <c r="AG34" i="72" s="1"/>
  <c r="AN34" i="72" s="1"/>
  <c r="W34" i="72"/>
  <c r="AE34" i="72" s="1"/>
  <c r="AL34" i="72" s="1"/>
  <c r="Z39" i="82"/>
  <c r="AH39" i="82" s="1"/>
  <c r="AO39" i="82" s="1"/>
  <c r="W39" i="82"/>
  <c r="AE39" i="82" s="1"/>
  <c r="AL39" i="82" s="1"/>
  <c r="AA39" i="82"/>
  <c r="AI39" i="82" s="1"/>
  <c r="AP39" i="82" s="1"/>
  <c r="V39" i="82"/>
  <c r="AD39" i="82" s="1"/>
  <c r="AK39" i="82" s="1"/>
  <c r="AA37" i="45"/>
  <c r="AI37" i="45" s="1"/>
  <c r="AP37" i="45" s="1"/>
  <c r="V37" i="45"/>
  <c r="AD37" i="45" s="1"/>
  <c r="AK37" i="45" s="1"/>
  <c r="Y37" i="45"/>
  <c r="AG37" i="45" s="1"/>
  <c r="AN37" i="45" s="1"/>
  <c r="Y35" i="72"/>
  <c r="AG35" i="72" s="1"/>
  <c r="AN35" i="72" s="1"/>
  <c r="AA35" i="72"/>
  <c r="AI35" i="72" s="1"/>
  <c r="AP35" i="72" s="1"/>
  <c r="V35" i="72"/>
  <c r="AD35" i="72" s="1"/>
  <c r="AK35" i="72" s="1"/>
  <c r="W35" i="72"/>
  <c r="AE35" i="72" s="1"/>
  <c r="AL35" i="72" s="1"/>
  <c r="AA38" i="48"/>
  <c r="AI38" i="48" s="1"/>
  <c r="AP38" i="48" s="1"/>
  <c r="Z38" i="48"/>
  <c r="AH38" i="48" s="1"/>
  <c r="AO38" i="48" s="1"/>
  <c r="Y38" i="48"/>
  <c r="AG38" i="48" s="1"/>
  <c r="AN38" i="48" s="1"/>
  <c r="V38" i="48"/>
  <c r="AD38" i="48" s="1"/>
  <c r="AK38" i="48" s="1"/>
  <c r="W38" i="48"/>
  <c r="AE38" i="48" s="1"/>
  <c r="AL38" i="48" s="1"/>
  <c r="V34" i="81"/>
  <c r="AD34" i="81" s="1"/>
  <c r="AK34" i="81" s="1"/>
  <c r="Z34" i="81"/>
  <c r="AH34" i="81" s="1"/>
  <c r="AO34" i="81" s="1"/>
  <c r="AA34" i="81"/>
  <c r="AI34" i="81" s="1"/>
  <c r="AP34" i="81" s="1"/>
  <c r="W34" i="81"/>
  <c r="AE34" i="81" s="1"/>
  <c r="AL34" i="81" s="1"/>
  <c r="W34" i="87"/>
  <c r="AE34" i="87" s="1"/>
  <c r="AL34" i="87" s="1"/>
  <c r="AA34" i="87"/>
  <c r="AI34" i="87" s="1"/>
  <c r="AP34" i="87" s="1"/>
  <c r="Y34" i="87"/>
  <c r="AG34" i="87" s="1"/>
  <c r="AN34" i="87" s="1"/>
  <c r="W35" i="87"/>
  <c r="AE35" i="87" s="1"/>
  <c r="AL35" i="87" s="1"/>
  <c r="Y35" i="87"/>
  <c r="AG35" i="87" s="1"/>
  <c r="AN35" i="87" s="1"/>
  <c r="Z35" i="87"/>
  <c r="AH35" i="87" s="1"/>
  <c r="AO35" i="87" s="1"/>
  <c r="V35" i="87"/>
  <c r="AD35" i="87" s="1"/>
  <c r="AK35" i="87" s="1"/>
  <c r="AA35" i="87"/>
  <c r="AI35" i="87" s="1"/>
  <c r="AP35" i="87" s="1"/>
  <c r="V39" i="79"/>
  <c r="AD39" i="79" s="1"/>
  <c r="AK39" i="79" s="1"/>
  <c r="Z39" i="79"/>
  <c r="AH39" i="79" s="1"/>
  <c r="AO39" i="79" s="1"/>
  <c r="Y39" i="79"/>
  <c r="AG39" i="79" s="1"/>
  <c r="AN39" i="79" s="1"/>
  <c r="V36" i="77"/>
  <c r="AD36" i="77" s="1"/>
  <c r="AK36" i="77" s="1"/>
  <c r="AA36" i="77"/>
  <c r="AI36" i="77" s="1"/>
  <c r="AP36" i="77" s="1"/>
  <c r="W36" i="77"/>
  <c r="AE36" i="77" s="1"/>
  <c r="AL36" i="77" s="1"/>
  <c r="AF42" i="64"/>
  <c r="AM42" i="64" s="1"/>
  <c r="AE42" i="64"/>
  <c r="AL42" i="64" s="1"/>
  <c r="AG42" i="64"/>
  <c r="AN42" i="64" s="1"/>
  <c r="AI42" i="64"/>
  <c r="AP42" i="64" s="1"/>
  <c r="AD42" i="64"/>
  <c r="AK42" i="64" s="1"/>
  <c r="Z16" i="64"/>
  <c r="AH16" i="64" s="1"/>
  <c r="AO16" i="64" s="1"/>
  <c r="W16" i="64"/>
  <c r="AE16" i="64" s="1"/>
  <c r="AL16" i="64" s="1"/>
  <c r="Y16" i="64"/>
  <c r="AG16" i="64" s="1"/>
  <c r="AN16" i="64" s="1"/>
  <c r="V16" i="64"/>
  <c r="AD16" i="64" s="1"/>
  <c r="AK16" i="64" s="1"/>
  <c r="W14" i="69"/>
  <c r="AE14" i="69" s="1"/>
  <c r="AL14" i="69" s="1"/>
  <c r="AA14" i="69"/>
  <c r="AI14" i="69" s="1"/>
  <c r="AP14" i="69" s="1"/>
  <c r="X14" i="69"/>
  <c r="AF14" i="69" s="1"/>
  <c r="AM14" i="69" s="1"/>
  <c r="V14" i="69"/>
  <c r="AD14" i="69" s="1"/>
  <c r="AK14" i="69" s="1"/>
  <c r="AF42" i="79"/>
  <c r="AM42" i="79" s="1"/>
  <c r="AI42" i="79"/>
  <c r="AP42" i="79" s="1"/>
  <c r="AD42" i="79"/>
  <c r="AK42" i="79" s="1"/>
  <c r="AE42" i="79"/>
  <c r="AL42" i="79" s="1"/>
  <c r="V13" i="79"/>
  <c r="AD13" i="79" s="1"/>
  <c r="AK13" i="79" s="1"/>
  <c r="W13" i="79"/>
  <c r="AE13" i="79" s="1"/>
  <c r="AL13" i="79" s="1"/>
  <c r="Z13" i="79"/>
  <c r="AH13" i="79" s="1"/>
  <c r="AO13" i="79" s="1"/>
  <c r="AA13" i="79"/>
  <c r="AI13" i="79" s="1"/>
  <c r="AP13" i="79" s="1"/>
  <c r="Y13" i="79"/>
  <c r="AG13" i="79" s="1"/>
  <c r="AN13" i="79" s="1"/>
  <c r="W14" i="81"/>
  <c r="AE14" i="81" s="1"/>
  <c r="AL14" i="81" s="1"/>
  <c r="Z14" i="81"/>
  <c r="AH14" i="81" s="1"/>
  <c r="AO14" i="81" s="1"/>
  <c r="X14" i="81"/>
  <c r="AF14" i="81" s="1"/>
  <c r="AM14" i="81" s="1"/>
  <c r="AA14" i="81"/>
  <c r="AI14" i="81" s="1"/>
  <c r="AP14" i="81" s="1"/>
  <c r="V14" i="81"/>
  <c r="AD14" i="81" s="1"/>
  <c r="AK14" i="81" s="1"/>
  <c r="Z14" i="83"/>
  <c r="AH14" i="83" s="1"/>
  <c r="AO14" i="83" s="1"/>
  <c r="V14" i="83"/>
  <c r="AD14" i="83" s="1"/>
  <c r="AK14" i="83" s="1"/>
  <c r="Y13" i="90"/>
  <c r="AG13" i="90" s="1"/>
  <c r="AN13" i="90" s="1"/>
  <c r="AA13" i="90"/>
  <c r="AI13" i="90" s="1"/>
  <c r="AP13" i="90" s="1"/>
  <c r="AI9" i="51"/>
  <c r="AP9" i="51" s="1"/>
  <c r="AD42" i="48"/>
  <c r="AK42" i="48" s="1"/>
  <c r="W30" i="47"/>
  <c r="AE30" i="47" s="1"/>
  <c r="AL30" i="47" s="1"/>
  <c r="V39" i="90"/>
  <c r="AD39" i="90" s="1"/>
  <c r="AK39" i="90" s="1"/>
  <c r="AE39" i="54"/>
  <c r="AL39" i="54" s="1"/>
  <c r="Z19" i="52"/>
  <c r="AH19" i="52" s="1"/>
  <c r="AO19" i="52" s="1"/>
  <c r="Y39" i="82"/>
  <c r="AG39" i="82" s="1"/>
  <c r="AN39" i="82" s="1"/>
  <c r="AD39" i="50"/>
  <c r="AK39" i="50" s="1"/>
  <c r="AH30" i="51"/>
  <c r="AO30" i="51" s="1"/>
  <c r="Z41" i="58"/>
  <c r="AH41" i="58" s="1"/>
  <c r="AO41" i="58" s="1"/>
  <c r="AH35" i="52"/>
  <c r="AO35" i="52" s="1"/>
  <c r="Y39" i="85"/>
  <c r="AG39" i="85" s="1"/>
  <c r="AN39" i="85" s="1"/>
  <c r="AD13" i="56"/>
  <c r="AK13" i="56" s="1"/>
  <c r="AE39" i="50"/>
  <c r="AL39" i="50" s="1"/>
  <c r="AG23" i="50"/>
  <c r="AN23" i="50" s="1"/>
  <c r="AI35" i="56"/>
  <c r="AP35" i="56" s="1"/>
  <c r="AI34" i="54"/>
  <c r="AP34" i="54" s="1"/>
  <c r="AE35" i="56"/>
  <c r="AL35" i="56" s="1"/>
  <c r="AD34" i="85"/>
  <c r="AK34" i="85" s="1"/>
  <c r="AG35" i="56"/>
  <c r="AN35" i="56" s="1"/>
  <c r="AG34" i="54"/>
  <c r="AN34" i="54" s="1"/>
  <c r="AI38" i="79"/>
  <c r="AP38" i="79" s="1"/>
  <c r="AI30" i="51"/>
  <c r="AP30" i="51" s="1"/>
  <c r="AE14" i="64"/>
  <c r="AL14" i="64" s="1"/>
  <c r="AD37" i="46"/>
  <c r="AK37" i="46" s="1"/>
  <c r="AG36" i="50"/>
  <c r="AN36" i="50" s="1"/>
  <c r="AI37" i="54"/>
  <c r="AP37" i="54" s="1"/>
  <c r="AH39" i="46"/>
  <c r="AO39" i="46" s="1"/>
  <c r="AE38" i="79"/>
  <c r="AL38" i="79" s="1"/>
  <c r="AE26" i="72"/>
  <c r="AL26" i="72" s="1"/>
  <c r="AE30" i="51"/>
  <c r="AL30" i="51" s="1"/>
  <c r="AD28" i="69"/>
  <c r="AK28" i="69" s="1"/>
  <c r="AD16" i="53"/>
  <c r="AK16" i="53" s="1"/>
  <c r="AI39" i="72"/>
  <c r="AP39" i="72" s="1"/>
  <c r="AE30" i="45"/>
  <c r="AL30" i="45" s="1"/>
  <c r="AE41" i="50"/>
  <c r="AL41" i="50" s="1"/>
  <c r="AE14" i="41"/>
  <c r="AL14" i="41" s="1"/>
  <c r="AE34" i="54"/>
  <c r="AL34" i="54" s="1"/>
  <c r="AH38" i="56"/>
  <c r="AO38" i="56" s="1"/>
  <c r="AH26" i="72"/>
  <c r="AO26" i="72" s="1"/>
  <c r="AG39" i="54"/>
  <c r="AN39" i="54" s="1"/>
  <c r="AD39" i="54"/>
  <c r="AK39" i="54" s="1"/>
  <c r="AD39" i="46"/>
  <c r="AK39" i="46" s="1"/>
  <c r="AH38" i="79"/>
  <c r="AO38" i="79" s="1"/>
  <c r="AD20" i="46"/>
  <c r="AK20" i="46" s="1"/>
  <c r="AI30" i="45"/>
  <c r="AP30" i="45" s="1"/>
  <c r="AI39" i="54"/>
  <c r="AP39" i="54" s="1"/>
  <c r="AE38" i="64"/>
  <c r="AL38" i="64" s="1"/>
  <c r="AD30" i="45"/>
  <c r="AK30" i="45" s="1"/>
  <c r="Z16" i="41"/>
  <c r="AH16" i="41" s="1"/>
  <c r="AO16" i="41" s="1"/>
  <c r="V16" i="41"/>
  <c r="AD16" i="41" s="1"/>
  <c r="AK16" i="41" s="1"/>
  <c r="V13" i="41"/>
  <c r="AD13" i="41" s="1"/>
  <c r="AK13" i="41" s="1"/>
  <c r="AG16" i="49"/>
  <c r="AN16" i="49" s="1"/>
  <c r="AG16" i="55"/>
  <c r="AN16" i="55" s="1"/>
  <c r="AE13" i="55"/>
  <c r="AL13" i="55" s="1"/>
  <c r="AF16" i="56"/>
  <c r="AM16" i="56" s="1"/>
  <c r="AH13" i="82"/>
  <c r="AO13" i="82" s="1"/>
  <c r="AG30" i="83"/>
  <c r="AN30" i="83" s="1"/>
  <c r="AD30" i="69"/>
  <c r="AK30" i="69" s="1"/>
  <c r="AI19" i="64"/>
  <c r="AP19" i="64" s="1"/>
  <c r="V19" i="90"/>
  <c r="AD19" i="90" s="1"/>
  <c r="AK19" i="90" s="1"/>
  <c r="Z19" i="90"/>
  <c r="AH19" i="90" s="1"/>
  <c r="AO19" i="90" s="1"/>
  <c r="W19" i="90"/>
  <c r="AE19" i="90" s="1"/>
  <c r="AL19" i="90" s="1"/>
  <c r="AA19" i="90"/>
  <c r="AI19" i="90" s="1"/>
  <c r="AP19" i="90" s="1"/>
  <c r="Z14" i="85"/>
  <c r="AH14" i="85" s="1"/>
  <c r="AO14" i="85" s="1"/>
  <c r="X14" i="85"/>
  <c r="AF14" i="85" s="1"/>
  <c r="AM14" i="85" s="1"/>
  <c r="V16" i="87"/>
  <c r="AD16" i="87" s="1"/>
  <c r="AK16" i="87" s="1"/>
  <c r="W16" i="87"/>
  <c r="AE16" i="87" s="1"/>
  <c r="AL16" i="87" s="1"/>
  <c r="X16" i="87"/>
  <c r="AF16" i="87" s="1"/>
  <c r="AM16" i="87" s="1"/>
  <c r="Y16" i="87"/>
  <c r="AG16" i="87" s="1"/>
  <c r="AN16" i="87" s="1"/>
  <c r="AG42" i="87"/>
  <c r="AN42" i="87" s="1"/>
  <c r="AA14" i="85"/>
  <c r="AI14" i="85" s="1"/>
  <c r="AP14" i="85" s="1"/>
  <c r="AE34" i="85"/>
  <c r="AL34" i="85" s="1"/>
  <c r="X16" i="88"/>
  <c r="AF16" i="88" s="1"/>
  <c r="AM16" i="88" s="1"/>
  <c r="AF42" i="88"/>
  <c r="AM42" i="88" s="1"/>
  <c r="Y13" i="87"/>
  <c r="AG13" i="87" s="1"/>
  <c r="AN13" i="87" s="1"/>
  <c r="AG42" i="88"/>
  <c r="AN42" i="88" s="1"/>
  <c r="Z26" i="54"/>
  <c r="AH26" i="54" s="1"/>
  <c r="AO26" i="54" s="1"/>
  <c r="W26" i="54"/>
  <c r="AE26" i="54" s="1"/>
  <c r="AL26" i="54" s="1"/>
  <c r="V26" i="54"/>
  <c r="AD26" i="54" s="1"/>
  <c r="AK26" i="54" s="1"/>
  <c r="Y34" i="46"/>
  <c r="AG34" i="46" s="1"/>
  <c r="AN34" i="46" s="1"/>
  <c r="Z34" i="46"/>
  <c r="AH34" i="46" s="1"/>
  <c r="AO34" i="46" s="1"/>
  <c r="W34" i="82"/>
  <c r="AE34" i="82" s="1"/>
  <c r="AL34" i="82" s="1"/>
  <c r="V34" i="82"/>
  <c r="AD34" i="82" s="1"/>
  <c r="AK34" i="82" s="1"/>
  <c r="W26" i="45"/>
  <c r="AE26" i="45" s="1"/>
  <c r="AL26" i="45" s="1"/>
  <c r="Z26" i="45"/>
  <c r="AH26" i="45" s="1"/>
  <c r="AO26" i="45" s="1"/>
  <c r="Z26" i="55"/>
  <c r="AH26" i="55" s="1"/>
  <c r="AO26" i="55" s="1"/>
  <c r="W26" i="55"/>
  <c r="AE26" i="55" s="1"/>
  <c r="AL26" i="55" s="1"/>
  <c r="V26" i="55"/>
  <c r="AD26" i="55" s="1"/>
  <c r="AK26" i="55" s="1"/>
  <c r="Z26" i="82"/>
  <c r="AH26" i="82" s="1"/>
  <c r="AO26" i="82" s="1"/>
  <c r="W26" i="82"/>
  <c r="AE26" i="82" s="1"/>
  <c r="AL26" i="82" s="1"/>
  <c r="V26" i="82"/>
  <c r="AD26" i="82" s="1"/>
  <c r="AK26" i="82" s="1"/>
  <c r="W30" i="48"/>
  <c r="AE30" i="48" s="1"/>
  <c r="AL30" i="48" s="1"/>
  <c r="Y30" i="48"/>
  <c r="AG30" i="48" s="1"/>
  <c r="AN30" i="48" s="1"/>
  <c r="Z30" i="48"/>
  <c r="AH30" i="48" s="1"/>
  <c r="AO30" i="48" s="1"/>
  <c r="Z41" i="84"/>
  <c r="AH41" i="84" s="1"/>
  <c r="AO41" i="84" s="1"/>
  <c r="Y41" i="84"/>
  <c r="AG41" i="84" s="1"/>
  <c r="AN41" i="84" s="1"/>
  <c r="Y41" i="85"/>
  <c r="AG41" i="85" s="1"/>
  <c r="AN41" i="85" s="1"/>
  <c r="W41" i="85"/>
  <c r="AE41" i="85" s="1"/>
  <c r="AL41" i="85" s="1"/>
  <c r="V41" i="85"/>
  <c r="AD41" i="85" s="1"/>
  <c r="AK41" i="85" s="1"/>
  <c r="Z41" i="85"/>
  <c r="AH41" i="85" s="1"/>
  <c r="AO41" i="85" s="1"/>
  <c r="V41" i="45"/>
  <c r="AD41" i="45" s="1"/>
  <c r="AK41" i="45" s="1"/>
  <c r="AA41" i="45"/>
  <c r="AI41" i="45" s="1"/>
  <c r="AP41" i="45" s="1"/>
  <c r="W41" i="45"/>
  <c r="AE41" i="45" s="1"/>
  <c r="AL41" i="45" s="1"/>
  <c r="Y41" i="45"/>
  <c r="AG41" i="45" s="1"/>
  <c r="AN41" i="45" s="1"/>
  <c r="Z41" i="81"/>
  <c r="AH41" i="81" s="1"/>
  <c r="AO41" i="81" s="1"/>
  <c r="W41" i="81"/>
  <c r="AE41" i="81" s="1"/>
  <c r="AL41" i="81" s="1"/>
  <c r="AA41" i="81"/>
  <c r="AI41" i="81" s="1"/>
  <c r="AP41" i="81" s="1"/>
  <c r="Y41" i="81"/>
  <c r="AG41" i="81" s="1"/>
  <c r="AN41" i="81" s="1"/>
  <c r="Z23" i="58"/>
  <c r="AH23" i="58" s="1"/>
  <c r="AO23" i="58" s="1"/>
  <c r="Y23" i="58"/>
  <c r="AG23" i="58" s="1"/>
  <c r="AN23" i="58" s="1"/>
  <c r="AA37" i="79"/>
  <c r="AI37" i="79" s="1"/>
  <c r="AP37" i="79" s="1"/>
  <c r="Y37" i="79"/>
  <c r="AG37" i="79" s="1"/>
  <c r="AN37" i="79" s="1"/>
  <c r="W34" i="56"/>
  <c r="AE34" i="56" s="1"/>
  <c r="AL34" i="56" s="1"/>
  <c r="Z34" i="56"/>
  <c r="AH34" i="56" s="1"/>
  <c r="AO34" i="56" s="1"/>
  <c r="Y34" i="56"/>
  <c r="AG34" i="56" s="1"/>
  <c r="AN34" i="56" s="1"/>
  <c r="Z38" i="69"/>
  <c r="AH38" i="69" s="1"/>
  <c r="AO38" i="69" s="1"/>
  <c r="AA38" i="69"/>
  <c r="AI38" i="69" s="1"/>
  <c r="AP38" i="69" s="1"/>
  <c r="V38" i="49"/>
  <c r="AD38" i="49" s="1"/>
  <c r="AK38" i="49" s="1"/>
  <c r="Z38" i="49"/>
  <c r="AH38" i="49" s="1"/>
  <c r="AO38" i="49" s="1"/>
  <c r="Y39" i="81"/>
  <c r="AG39" i="81" s="1"/>
  <c r="AN39" i="81" s="1"/>
  <c r="AA39" i="81"/>
  <c r="AI39" i="81" s="1"/>
  <c r="AP39" i="81" s="1"/>
  <c r="V39" i="81"/>
  <c r="AD39" i="81" s="1"/>
  <c r="AK39" i="81" s="1"/>
  <c r="W39" i="81"/>
  <c r="AE39" i="81" s="1"/>
  <c r="AL39" i="81" s="1"/>
  <c r="Z36" i="72"/>
  <c r="AH36" i="72" s="1"/>
  <c r="AO36" i="72" s="1"/>
  <c r="V36" i="72"/>
  <c r="AD36" i="72" s="1"/>
  <c r="AK36" i="72" s="1"/>
  <c r="Y36" i="72"/>
  <c r="AG36" i="72" s="1"/>
  <c r="AN36" i="72" s="1"/>
  <c r="W36" i="72"/>
  <c r="AE36" i="72" s="1"/>
  <c r="AL36" i="72" s="1"/>
  <c r="AA36" i="72"/>
  <c r="AI36" i="72" s="1"/>
  <c r="AP36" i="72" s="1"/>
  <c r="Z20" i="55"/>
  <c r="AH20" i="55" s="1"/>
  <c r="AO20" i="55" s="1"/>
  <c r="AA20" i="55"/>
  <c r="AI20" i="55" s="1"/>
  <c r="AP20" i="55" s="1"/>
  <c r="X20" i="55"/>
  <c r="AF20" i="55" s="1"/>
  <c r="AM20" i="55" s="1"/>
  <c r="AA20" i="69"/>
  <c r="AI20" i="69" s="1"/>
  <c r="AP20" i="69" s="1"/>
  <c r="Z20" i="69"/>
  <c r="AH20" i="69" s="1"/>
  <c r="AO20" i="69" s="1"/>
  <c r="X20" i="88"/>
  <c r="AF20" i="88" s="1"/>
  <c r="AM20" i="88" s="1"/>
  <c r="W20" i="88"/>
  <c r="AE20" i="88" s="1"/>
  <c r="AL20" i="88" s="1"/>
  <c r="Z20" i="88"/>
  <c r="AH20" i="88" s="1"/>
  <c r="AO20" i="88" s="1"/>
  <c r="Z20" i="52"/>
  <c r="AH20" i="52" s="1"/>
  <c r="AO20" i="52" s="1"/>
  <c r="X20" i="52"/>
  <c r="AF20" i="52" s="1"/>
  <c r="AM20" i="52" s="1"/>
  <c r="AA20" i="82"/>
  <c r="AI20" i="82" s="1"/>
  <c r="AP20" i="82" s="1"/>
  <c r="V20" i="82"/>
  <c r="AD20" i="82" s="1"/>
  <c r="AK20" i="82" s="1"/>
  <c r="X20" i="46"/>
  <c r="AF20" i="46" s="1"/>
  <c r="AM20" i="46" s="1"/>
  <c r="Z20" i="46"/>
  <c r="AH20" i="46" s="1"/>
  <c r="AO20" i="46" s="1"/>
  <c r="AA20" i="46"/>
  <c r="AI20" i="46" s="1"/>
  <c r="AP20" i="46" s="1"/>
  <c r="Z19" i="49"/>
  <c r="AH19" i="49" s="1"/>
  <c r="AO19" i="49" s="1"/>
  <c r="W19" i="49"/>
  <c r="AE19" i="49" s="1"/>
  <c r="AL19" i="49" s="1"/>
  <c r="Y19" i="49"/>
  <c r="AG19" i="49" s="1"/>
  <c r="AN19" i="49" s="1"/>
  <c r="AA19" i="49"/>
  <c r="AI19" i="49" s="1"/>
  <c r="AP19" i="49" s="1"/>
  <c r="W19" i="77"/>
  <c r="AE19" i="77" s="1"/>
  <c r="AL19" i="77" s="1"/>
  <c r="V19" i="77"/>
  <c r="AD19" i="77" s="1"/>
  <c r="AK19" i="77" s="1"/>
  <c r="Z19" i="77"/>
  <c r="AH19" i="77" s="1"/>
  <c r="AO19" i="77" s="1"/>
  <c r="W19" i="82"/>
  <c r="AE19" i="82" s="1"/>
  <c r="AL19" i="82" s="1"/>
  <c r="AA19" i="82"/>
  <c r="AI19" i="82" s="1"/>
  <c r="AP19" i="82" s="1"/>
  <c r="Y19" i="82"/>
  <c r="AG19" i="82" s="1"/>
  <c r="AN19" i="82" s="1"/>
  <c r="V35" i="79"/>
  <c r="AD35" i="79" s="1"/>
  <c r="AK35" i="79" s="1"/>
  <c r="W35" i="79"/>
  <c r="AE35" i="79" s="1"/>
  <c r="AL35" i="79" s="1"/>
  <c r="AA38" i="54"/>
  <c r="AI38" i="54" s="1"/>
  <c r="AP38" i="54" s="1"/>
  <c r="Z38" i="54"/>
  <c r="AH38" i="54" s="1"/>
  <c r="AO38" i="54" s="1"/>
  <c r="Y34" i="58"/>
  <c r="AG34" i="58" s="1"/>
  <c r="AN34" i="58" s="1"/>
  <c r="AA34" i="58"/>
  <c r="AI34" i="58" s="1"/>
  <c r="AP34" i="58" s="1"/>
  <c r="Y39" i="50"/>
  <c r="AG39" i="50" s="1"/>
  <c r="AN39" i="50" s="1"/>
  <c r="AA39" i="50"/>
  <c r="AI39" i="50" s="1"/>
  <c r="AP39" i="50" s="1"/>
  <c r="AA39" i="41"/>
  <c r="AI39" i="41" s="1"/>
  <c r="AP39" i="41" s="1"/>
  <c r="W39" i="41"/>
  <c r="AE39" i="41" s="1"/>
  <c r="AL39" i="41" s="1"/>
  <c r="AA30" i="49"/>
  <c r="AI30" i="49" s="1"/>
  <c r="AP30" i="49" s="1"/>
  <c r="W30" i="49"/>
  <c r="AE30" i="49" s="1"/>
  <c r="AL30" i="49" s="1"/>
  <c r="Z35" i="84"/>
  <c r="AH35" i="84" s="1"/>
  <c r="AO35" i="84" s="1"/>
  <c r="V35" i="84"/>
  <c r="AD35" i="84" s="1"/>
  <c r="AK35" i="84" s="1"/>
  <c r="AA35" i="84"/>
  <c r="AI35" i="84" s="1"/>
  <c r="AP35" i="84" s="1"/>
  <c r="W35" i="54"/>
  <c r="AE35" i="54" s="1"/>
  <c r="AL35" i="54" s="1"/>
  <c r="AA35" i="54"/>
  <c r="AI35" i="54" s="1"/>
  <c r="AP35" i="54" s="1"/>
  <c r="Y35" i="54"/>
  <c r="AG35" i="54" s="1"/>
  <c r="AN35" i="54" s="1"/>
  <c r="W38" i="50"/>
  <c r="AE38" i="50" s="1"/>
  <c r="AL38" i="50" s="1"/>
  <c r="Y38" i="50"/>
  <c r="AG38" i="50" s="1"/>
  <c r="AN38" i="50" s="1"/>
  <c r="W38" i="83"/>
  <c r="AE38" i="83" s="1"/>
  <c r="AL38" i="83" s="1"/>
  <c r="Y38" i="83"/>
  <c r="AG38" i="83" s="1"/>
  <c r="AN38" i="83" s="1"/>
  <c r="Y19" i="69"/>
  <c r="AG19" i="69" s="1"/>
  <c r="AN19" i="69" s="1"/>
  <c r="W19" i="69"/>
  <c r="AE19" i="69" s="1"/>
  <c r="AL19" i="69" s="1"/>
  <c r="AA19" i="69"/>
  <c r="AI19" i="69" s="1"/>
  <c r="AP19" i="69" s="1"/>
  <c r="V19" i="69"/>
  <c r="AD19" i="69" s="1"/>
  <c r="AK19" i="69" s="1"/>
  <c r="Y35" i="64"/>
  <c r="AG35" i="64" s="1"/>
  <c r="AN35" i="64" s="1"/>
  <c r="AA35" i="64"/>
  <c r="AI35" i="64" s="1"/>
  <c r="AP35" i="64" s="1"/>
  <c r="V35" i="64"/>
  <c r="AD35" i="64" s="1"/>
  <c r="AK35" i="64" s="1"/>
  <c r="W35" i="64"/>
  <c r="AE35" i="64" s="1"/>
  <c r="AL35" i="64" s="1"/>
  <c r="Z35" i="64"/>
  <c r="AH35" i="64" s="1"/>
  <c r="AO35" i="64" s="1"/>
  <c r="Z35" i="58"/>
  <c r="Y35" i="58"/>
  <c r="AG35" i="58" s="1"/>
  <c r="AN35" i="58" s="1"/>
  <c r="Z23" i="85"/>
  <c r="AH23" i="85" s="1"/>
  <c r="AO23" i="85" s="1"/>
  <c r="Y23" i="85"/>
  <c r="AG23" i="85" s="1"/>
  <c r="AN23" i="85" s="1"/>
  <c r="Z30" i="53"/>
  <c r="AH30" i="53" s="1"/>
  <c r="AO30" i="53" s="1"/>
  <c r="V30" i="53"/>
  <c r="AD30" i="53" s="1"/>
  <c r="AK30" i="53" s="1"/>
  <c r="Y30" i="53"/>
  <c r="AG30" i="53" s="1"/>
  <c r="AN30" i="53" s="1"/>
  <c r="Z23" i="54"/>
  <c r="AH23" i="54" s="1"/>
  <c r="AO23" i="54" s="1"/>
  <c r="Y23" i="54"/>
  <c r="AG23" i="54" s="1"/>
  <c r="AN23" i="54" s="1"/>
  <c r="V30" i="54"/>
  <c r="AD30" i="54" s="1"/>
  <c r="AK30" i="54" s="1"/>
  <c r="AA30" i="54"/>
  <c r="AI30" i="54" s="1"/>
  <c r="AP30" i="54" s="1"/>
  <c r="Z30" i="54"/>
  <c r="AH30" i="54" s="1"/>
  <c r="AO30" i="54" s="1"/>
  <c r="W35" i="73"/>
  <c r="AE35" i="73" s="1"/>
  <c r="AL35" i="73" s="1"/>
  <c r="V35" i="73"/>
  <c r="AD35" i="73" s="1"/>
  <c r="AK35" i="73" s="1"/>
  <c r="Z19" i="73"/>
  <c r="AH19" i="73" s="1"/>
  <c r="AO19" i="73" s="1"/>
  <c r="AA19" i="73"/>
  <c r="AI19" i="73" s="1"/>
  <c r="AP19" i="73" s="1"/>
  <c r="Y19" i="73"/>
  <c r="AG19" i="73" s="1"/>
  <c r="AN19" i="73" s="1"/>
  <c r="AA39" i="64"/>
  <c r="AI39" i="64" s="1"/>
  <c r="AP39" i="64" s="1"/>
  <c r="Y39" i="64"/>
  <c r="AG39" i="64" s="1"/>
  <c r="AN39" i="64" s="1"/>
  <c r="Z39" i="64"/>
  <c r="AH39" i="64" s="1"/>
  <c r="AO39" i="64" s="1"/>
  <c r="W38" i="56"/>
  <c r="AE38" i="56" s="1"/>
  <c r="AL38" i="56" s="1"/>
  <c r="V38" i="56"/>
  <c r="AD38" i="56" s="1"/>
  <c r="AK38" i="56" s="1"/>
  <c r="V26" i="83"/>
  <c r="AD26" i="83" s="1"/>
  <c r="AK26" i="83" s="1"/>
  <c r="W26" i="83"/>
  <c r="AE26" i="83" s="1"/>
  <c r="AL26" i="83" s="1"/>
  <c r="W19" i="84"/>
  <c r="AE19" i="84" s="1"/>
  <c r="AL19" i="84" s="1"/>
  <c r="Y19" i="84"/>
  <c r="AG19" i="84" s="1"/>
  <c r="AN19" i="84" s="1"/>
  <c r="Z19" i="84"/>
  <c r="AH19" i="84" s="1"/>
  <c r="AO19" i="84" s="1"/>
  <c r="V36" i="79"/>
  <c r="AD36" i="79" s="1"/>
  <c r="AK36" i="79" s="1"/>
  <c r="W36" i="79"/>
  <c r="AE36" i="79" s="1"/>
  <c r="AL36" i="79" s="1"/>
  <c r="W36" i="87"/>
  <c r="AE36" i="87" s="1"/>
  <c r="AL36" i="87" s="1"/>
  <c r="AA36" i="87"/>
  <c r="AI36" i="87" s="1"/>
  <c r="AP36" i="87" s="1"/>
  <c r="V36" i="87"/>
  <c r="AD36" i="87" s="1"/>
  <c r="AK36" i="87" s="1"/>
  <c r="Y36" i="85"/>
  <c r="AG36" i="85" s="1"/>
  <c r="AN36" i="85" s="1"/>
  <c r="Z36" i="85"/>
  <c r="AH36" i="85" s="1"/>
  <c r="AO36" i="85" s="1"/>
  <c r="W36" i="85"/>
  <c r="AE36" i="85" s="1"/>
  <c r="AL36" i="85" s="1"/>
  <c r="AE42" i="53"/>
  <c r="AL42" i="53" s="1"/>
  <c r="AF42" i="53"/>
  <c r="AM42" i="53" s="1"/>
  <c r="Z16" i="53"/>
  <c r="AH16" i="53" s="1"/>
  <c r="AO16" i="53" s="1"/>
  <c r="W16" i="53"/>
  <c r="AE16" i="53" s="1"/>
  <c r="AL16" i="53" s="1"/>
  <c r="Y13" i="49"/>
  <c r="AG13" i="49" s="1"/>
  <c r="AN13" i="49" s="1"/>
  <c r="AA13" i="49"/>
  <c r="AI13" i="49" s="1"/>
  <c r="AP13" i="49" s="1"/>
  <c r="Z13" i="49"/>
  <c r="AH13" i="49" s="1"/>
  <c r="AO13" i="49" s="1"/>
  <c r="W13" i="49"/>
  <c r="AE13" i="49" s="1"/>
  <c r="AL13" i="49" s="1"/>
  <c r="W14" i="48"/>
  <c r="AE14" i="48" s="1"/>
  <c r="AL14" i="48" s="1"/>
  <c r="X14" i="48"/>
  <c r="AF14" i="48" s="1"/>
  <c r="AM14" i="48" s="1"/>
  <c r="Z14" i="48"/>
  <c r="AH14" i="48" s="1"/>
  <c r="AO14" i="48" s="1"/>
  <c r="Z13" i="56"/>
  <c r="AH13" i="56" s="1"/>
  <c r="AO13" i="56" s="1"/>
  <c r="AA13" i="56"/>
  <c r="AI13" i="56" s="1"/>
  <c r="AP13" i="56" s="1"/>
  <c r="X14" i="64"/>
  <c r="AF14" i="64" s="1"/>
  <c r="AM14" i="64" s="1"/>
  <c r="V14" i="64"/>
  <c r="AD14" i="64" s="1"/>
  <c r="AK14" i="64" s="1"/>
  <c r="Z14" i="64"/>
  <c r="AH14" i="64" s="1"/>
  <c r="AO14" i="64" s="1"/>
  <c r="AG34" i="69"/>
  <c r="AN34" i="69" s="1"/>
  <c r="X14" i="77"/>
  <c r="AF14" i="77" s="1"/>
  <c r="AM14" i="77" s="1"/>
  <c r="W14" i="77"/>
  <c r="AE14" i="77" s="1"/>
  <c r="AL14" i="77" s="1"/>
  <c r="V16" i="82"/>
  <c r="AD16" i="82" s="1"/>
  <c r="AK16" i="82" s="1"/>
  <c r="Z16" i="82"/>
  <c r="AH16" i="82" s="1"/>
  <c r="AO16" i="82" s="1"/>
  <c r="W14" i="83"/>
  <c r="AE14" i="83" s="1"/>
  <c r="AL14" i="83" s="1"/>
  <c r="AA14" i="83"/>
  <c r="AI14" i="83" s="1"/>
  <c r="AP14" i="83" s="1"/>
  <c r="AE42" i="90"/>
  <c r="AL42" i="90" s="1"/>
  <c r="AG42" i="90"/>
  <c r="AN42" i="90" s="1"/>
  <c r="AH26" i="85"/>
  <c r="AO26" i="85" s="1"/>
  <c r="AD29" i="50"/>
  <c r="AK29" i="50" s="1"/>
  <c r="Y23" i="72"/>
  <c r="AG23" i="72" s="1"/>
  <c r="AN23" i="72" s="1"/>
  <c r="Y34" i="82"/>
  <c r="AG34" i="82" s="1"/>
  <c r="AN34" i="82" s="1"/>
  <c r="W30" i="53"/>
  <c r="AE30" i="53" s="1"/>
  <c r="AL30" i="53" s="1"/>
  <c r="V39" i="41"/>
  <c r="AD39" i="41" s="1"/>
  <c r="AK39" i="41" s="1"/>
  <c r="Z26" i="83"/>
  <c r="AH26" i="83" s="1"/>
  <c r="AO26" i="83" s="1"/>
  <c r="V16" i="55"/>
  <c r="AD16" i="55" s="1"/>
  <c r="AK16" i="55" s="1"/>
  <c r="V37" i="69"/>
  <c r="AD37" i="69" s="1"/>
  <c r="AK37" i="69" s="1"/>
  <c r="AA30" i="48"/>
  <c r="AI30" i="48" s="1"/>
  <c r="AP30" i="48" s="1"/>
  <c r="AF42" i="90"/>
  <c r="AM42" i="90" s="1"/>
  <c r="AI42" i="53"/>
  <c r="AP42" i="53" s="1"/>
  <c r="Z36" i="45"/>
  <c r="AH36" i="45" s="1"/>
  <c r="AO36" i="45" s="1"/>
  <c r="Z34" i="53"/>
  <c r="AH34" i="53" s="1"/>
  <c r="AO34" i="53" s="1"/>
  <c r="AE19" i="56"/>
  <c r="AL19" i="56" s="1"/>
  <c r="Z41" i="52"/>
  <c r="AH41" i="52" s="1"/>
  <c r="AO41" i="52" s="1"/>
  <c r="V41" i="84"/>
  <c r="AD41" i="84" s="1"/>
  <c r="AK41" i="84" s="1"/>
  <c r="AI42" i="87"/>
  <c r="AP42" i="87" s="1"/>
  <c r="V14" i="85"/>
  <c r="AD14" i="85" s="1"/>
  <c r="AK14" i="85" s="1"/>
  <c r="V19" i="82"/>
  <c r="AD19" i="82" s="1"/>
  <c r="AK19" i="82" s="1"/>
  <c r="AA38" i="56"/>
  <c r="AI38" i="56" s="1"/>
  <c r="AP38" i="56" s="1"/>
  <c r="AA37" i="55"/>
  <c r="AI37" i="55" s="1"/>
  <c r="AP37" i="55" s="1"/>
  <c r="W26" i="84"/>
  <c r="AE26" i="84" s="1"/>
  <c r="AL26" i="84" s="1"/>
  <c r="AA19" i="41"/>
  <c r="AI19" i="41" s="1"/>
  <c r="AP19" i="41" s="1"/>
  <c r="Z20" i="77"/>
  <c r="AH20" i="77" s="1"/>
  <c r="AO20" i="77" s="1"/>
  <c r="Y39" i="90"/>
  <c r="AG39" i="90" s="1"/>
  <c r="AN39" i="90" s="1"/>
  <c r="Z16" i="87"/>
  <c r="AH16" i="87" s="1"/>
  <c r="AO16" i="87" s="1"/>
  <c r="Y35" i="73"/>
  <c r="AG35" i="73" s="1"/>
  <c r="AN35" i="73" s="1"/>
  <c r="V41" i="73"/>
  <c r="AD41" i="73" s="1"/>
  <c r="AK41" i="73" s="1"/>
  <c r="V20" i="69"/>
  <c r="AD20" i="69" s="1"/>
  <c r="AK20" i="69" s="1"/>
  <c r="AA35" i="58"/>
  <c r="AI35" i="58" s="1"/>
  <c r="AP35" i="58" s="1"/>
  <c r="W20" i="69"/>
  <c r="AE20" i="69" s="1"/>
  <c r="AL20" i="69" s="1"/>
  <c r="W13" i="82"/>
  <c r="AE13" i="82" s="1"/>
  <c r="AL13" i="82" s="1"/>
  <c r="Z19" i="69"/>
  <c r="AH19" i="69" s="1"/>
  <c r="AO19" i="69" s="1"/>
  <c r="V35" i="54"/>
  <c r="AD35" i="54" s="1"/>
  <c r="AK35" i="54" s="1"/>
  <c r="Z38" i="83"/>
  <c r="AH38" i="83" s="1"/>
  <c r="AO38" i="83" s="1"/>
  <c r="Z38" i="50"/>
  <c r="AH38" i="50" s="1"/>
  <c r="AO38" i="50" s="1"/>
  <c r="Z35" i="54"/>
  <c r="AH35" i="54" s="1"/>
  <c r="AO35" i="54" s="1"/>
  <c r="AA14" i="79"/>
  <c r="AI14" i="79" s="1"/>
  <c r="AP14" i="79" s="1"/>
  <c r="AG42" i="82"/>
  <c r="AN42" i="82" s="1"/>
  <c r="AE42" i="73"/>
  <c r="AL42" i="73" s="1"/>
  <c r="W16" i="55"/>
  <c r="AE16" i="55" s="1"/>
  <c r="AL16" i="55" s="1"/>
  <c r="W20" i="82"/>
  <c r="AE20" i="82" s="1"/>
  <c r="AL20" i="82" s="1"/>
  <c r="Y30" i="49"/>
  <c r="AG30" i="49" s="1"/>
  <c r="AN30" i="49" s="1"/>
  <c r="V19" i="84"/>
  <c r="AD19" i="84" s="1"/>
  <c r="AK19" i="84" s="1"/>
  <c r="V20" i="55"/>
  <c r="AD20" i="55" s="1"/>
  <c r="AK20" i="55" s="1"/>
  <c r="Z13" i="88"/>
  <c r="AH13" i="88" s="1"/>
  <c r="AO13" i="88" s="1"/>
  <c r="AA13" i="88"/>
  <c r="AI13" i="88" s="1"/>
  <c r="AP13" i="88" s="1"/>
  <c r="W13" i="88"/>
  <c r="AE13" i="88" s="1"/>
  <c r="AL13" i="88" s="1"/>
  <c r="Y16" i="88"/>
  <c r="AG16" i="88" s="1"/>
  <c r="AN16" i="88" s="1"/>
  <c r="W16" i="88"/>
  <c r="AE16" i="88" s="1"/>
  <c r="AL16" i="88" s="1"/>
  <c r="V16" i="88"/>
  <c r="W13" i="90"/>
  <c r="AE13" i="90" s="1"/>
  <c r="AL13" i="90" s="1"/>
  <c r="Z13" i="90"/>
  <c r="AH13" i="90" s="1"/>
  <c r="AO13" i="90" s="1"/>
  <c r="V13" i="90"/>
  <c r="AD13" i="90" s="1"/>
  <c r="AK13" i="90" s="1"/>
  <c r="Z16" i="90"/>
  <c r="AH16" i="90" s="1"/>
  <c r="AO16" i="90" s="1"/>
  <c r="X16" i="90"/>
  <c r="AF16" i="90" s="1"/>
  <c r="AM16" i="90" s="1"/>
  <c r="W16" i="90"/>
  <c r="AE16" i="90" s="1"/>
  <c r="AL16" i="90" s="1"/>
  <c r="AD28" i="83"/>
  <c r="AK28" i="83" s="1"/>
  <c r="AD36" i="85"/>
  <c r="AK36" i="85" s="1"/>
  <c r="X14" i="83"/>
  <c r="AF14" i="83" s="1"/>
  <c r="AM14" i="83" s="1"/>
  <c r="AA39" i="90"/>
  <c r="AI39" i="90" s="1"/>
  <c r="AP39" i="90" s="1"/>
  <c r="V30" i="48"/>
  <c r="AD30" i="48" s="1"/>
  <c r="AK30" i="48" s="1"/>
  <c r="AE35" i="90"/>
  <c r="AL35" i="90" s="1"/>
  <c r="Z30" i="83"/>
  <c r="AH30" i="83" s="1"/>
  <c r="AO30" i="83" s="1"/>
  <c r="Z39" i="81"/>
  <c r="AH39" i="81" s="1"/>
  <c r="AO39" i="81" s="1"/>
  <c r="AA20" i="77"/>
  <c r="AI20" i="77" s="1"/>
  <c r="AP20" i="77" s="1"/>
  <c r="W39" i="64"/>
  <c r="AE39" i="64" s="1"/>
  <c r="AL39" i="64" s="1"/>
  <c r="AA34" i="45"/>
  <c r="AI34" i="45" s="1"/>
  <c r="AP34" i="45" s="1"/>
  <c r="AA36" i="45"/>
  <c r="AI36" i="45" s="1"/>
  <c r="AP36" i="45" s="1"/>
  <c r="Y19" i="90"/>
  <c r="AG19" i="90" s="1"/>
  <c r="AN19" i="90" s="1"/>
  <c r="V19" i="73"/>
  <c r="AD19" i="73" s="1"/>
  <c r="AK19" i="73" s="1"/>
  <c r="AA41" i="73"/>
  <c r="AI41" i="73" s="1"/>
  <c r="AP41" i="73" s="1"/>
  <c r="W39" i="72"/>
  <c r="AE39" i="72" s="1"/>
  <c r="AL39" i="72" s="1"/>
  <c r="V38" i="69"/>
  <c r="AD38" i="69" s="1"/>
  <c r="AK38" i="69" s="1"/>
  <c r="AA30" i="53"/>
  <c r="AI30" i="53" s="1"/>
  <c r="AP30" i="53" s="1"/>
  <c r="AA35" i="79"/>
  <c r="AI35" i="79" s="1"/>
  <c r="AP35" i="79" s="1"/>
  <c r="Z13" i="87"/>
  <c r="AH13" i="87" s="1"/>
  <c r="AO13" i="87" s="1"/>
  <c r="V37" i="47"/>
  <c r="AD37" i="47" s="1"/>
  <c r="AK37" i="47" s="1"/>
  <c r="W38" i="54"/>
  <c r="AE38" i="54" s="1"/>
  <c r="AL38" i="54" s="1"/>
  <c r="AA34" i="41"/>
  <c r="AI34" i="41" s="1"/>
  <c r="AP34" i="41" s="1"/>
  <c r="AD16" i="54"/>
  <c r="AK16" i="54" s="1"/>
  <c r="W35" i="84"/>
  <c r="AE35" i="84" s="1"/>
  <c r="AL35" i="84" s="1"/>
  <c r="V35" i="58"/>
  <c r="AD35" i="58" s="1"/>
  <c r="AK35" i="58" s="1"/>
  <c r="Y39" i="72"/>
  <c r="AG39" i="72" s="1"/>
  <c r="AN39" i="72" s="1"/>
  <c r="V16" i="90"/>
  <c r="AD16" i="90" s="1"/>
  <c r="AK16" i="90" s="1"/>
  <c r="AD42" i="90"/>
  <c r="AK42" i="90" s="1"/>
  <c r="AH41" i="47"/>
  <c r="AO41" i="47" s="1"/>
  <c r="AD35" i="90"/>
  <c r="AK35" i="90" s="1"/>
  <c r="Y41" i="82"/>
  <c r="AG41" i="82" s="1"/>
  <c r="AN41" i="82" s="1"/>
  <c r="AA41" i="85"/>
  <c r="AI41" i="85" s="1"/>
  <c r="AP41" i="85" s="1"/>
  <c r="Z39" i="72"/>
  <c r="AH39" i="72" s="1"/>
  <c r="AO39" i="72" s="1"/>
  <c r="AD28" i="48"/>
  <c r="AK28" i="48" s="1"/>
  <c r="W20" i="55"/>
  <c r="AE20" i="55" s="1"/>
  <c r="AL20" i="55" s="1"/>
  <c r="AG34" i="85"/>
  <c r="AN34" i="85" s="1"/>
  <c r="V38" i="50"/>
  <c r="AD38" i="50" s="1"/>
  <c r="AK38" i="50" s="1"/>
  <c r="V30" i="49"/>
  <c r="AD30" i="49" s="1"/>
  <c r="AK30" i="49" s="1"/>
  <c r="W19" i="73"/>
  <c r="AE19" i="73" s="1"/>
  <c r="AL19" i="73" s="1"/>
  <c r="AI39" i="47"/>
  <c r="AP39" i="47" s="1"/>
  <c r="AD35" i="49"/>
  <c r="AK35" i="49" s="1"/>
  <c r="AI35" i="55"/>
  <c r="AP35" i="55" s="1"/>
  <c r="AH14" i="49"/>
  <c r="AO14" i="49" s="1"/>
  <c r="AE14" i="88"/>
  <c r="AL14" i="88" s="1"/>
  <c r="AI13" i="50"/>
  <c r="AP13" i="50" s="1"/>
  <c r="AF16" i="54"/>
  <c r="AM16" i="54" s="1"/>
  <c r="AH39" i="47"/>
  <c r="AO39" i="47" s="1"/>
  <c r="AH20" i="85"/>
  <c r="AO20" i="85" s="1"/>
  <c r="AD35" i="53"/>
  <c r="AK35" i="53" s="1"/>
  <c r="AH35" i="55"/>
  <c r="AO35" i="55" s="1"/>
  <c r="AG39" i="47"/>
  <c r="AN39" i="47" s="1"/>
  <c r="AF14" i="90"/>
  <c r="AM14" i="90" s="1"/>
  <c r="AE19" i="55"/>
  <c r="AL19" i="55" s="1"/>
  <c r="AH38" i="88"/>
  <c r="AO38" i="88" s="1"/>
  <c r="AE34" i="47"/>
  <c r="AL34" i="47" s="1"/>
  <c r="AD14" i="82"/>
  <c r="AK14" i="82" s="1"/>
  <c r="AH14" i="53"/>
  <c r="AO14" i="53" s="1"/>
  <c r="AG36" i="51"/>
  <c r="AN36" i="51" s="1"/>
  <c r="AI34" i="69"/>
  <c r="AP34" i="69" s="1"/>
  <c r="AI34" i="47"/>
  <c r="AP34" i="47" s="1"/>
  <c r="AI34" i="85"/>
  <c r="AP34" i="85" s="1"/>
  <c r="AD39" i="95"/>
  <c r="AK39" i="95" s="1"/>
  <c r="AH39" i="69"/>
  <c r="AO39" i="69" s="1"/>
  <c r="AD28" i="85"/>
  <c r="AK28" i="85" s="1"/>
  <c r="AG35" i="55"/>
  <c r="AN35" i="55" s="1"/>
  <c r="AD41" i="47"/>
  <c r="AK41" i="47" s="1"/>
  <c r="AH36" i="69"/>
  <c r="AO36" i="69" s="1"/>
  <c r="AF16" i="46"/>
  <c r="AM16" i="46" s="1"/>
  <c r="AE14" i="90"/>
  <c r="AL14" i="90" s="1"/>
  <c r="AI30" i="41"/>
  <c r="AP30" i="41" s="1"/>
  <c r="AF42" i="41"/>
  <c r="AM42" i="41" s="1"/>
  <c r="AE42" i="41"/>
  <c r="AL42" i="41" s="1"/>
  <c r="AA14" i="95"/>
  <c r="AI14" i="95" s="1"/>
  <c r="AP14" i="95" s="1"/>
  <c r="W14" i="95"/>
  <c r="AE14" i="95" s="1"/>
  <c r="AL14" i="95" s="1"/>
  <c r="X14" i="95"/>
  <c r="AF14" i="95" s="1"/>
  <c r="AM14" i="95" s="1"/>
  <c r="V14" i="95"/>
  <c r="AD14" i="95" s="1"/>
  <c r="AK14" i="95" s="1"/>
  <c r="AA20" i="95"/>
  <c r="AI20" i="95" s="1"/>
  <c r="AP20" i="95" s="1"/>
  <c r="X20" i="95"/>
  <c r="AF20" i="95" s="1"/>
  <c r="AM20" i="95" s="1"/>
  <c r="W20" i="95"/>
  <c r="AE20" i="95" s="1"/>
  <c r="AL20" i="95" s="1"/>
  <c r="Y36" i="95"/>
  <c r="AG36" i="95" s="1"/>
  <c r="AN36" i="95" s="1"/>
  <c r="W36" i="95"/>
  <c r="AE36" i="95" s="1"/>
  <c r="AL36" i="95" s="1"/>
  <c r="Z36" i="95"/>
  <c r="AH36" i="95" s="1"/>
  <c r="AO36" i="95" s="1"/>
  <c r="I16" i="46"/>
  <c r="V20" i="95"/>
  <c r="AD20" i="95" s="1"/>
  <c r="AK20" i="95" s="1"/>
  <c r="AA38" i="95"/>
  <c r="AI38" i="95" s="1"/>
  <c r="AP38" i="95" s="1"/>
  <c r="V35" i="51"/>
  <c r="AD35" i="51" s="1"/>
  <c r="AK35" i="51" s="1"/>
  <c r="Y35" i="51"/>
  <c r="AG35" i="51" s="1"/>
  <c r="AN35" i="51" s="1"/>
  <c r="W26" i="77"/>
  <c r="AE26" i="77" s="1"/>
  <c r="AL26" i="77" s="1"/>
  <c r="V26" i="77"/>
  <c r="AD26" i="77" s="1"/>
  <c r="AK26" i="77" s="1"/>
  <c r="Z26" i="69"/>
  <c r="AH26" i="69" s="1"/>
  <c r="AO26" i="69" s="1"/>
  <c r="V26" i="69"/>
  <c r="AD26" i="69" s="1"/>
  <c r="AK26" i="69" s="1"/>
  <c r="W30" i="46"/>
  <c r="AE30" i="46" s="1"/>
  <c r="AL30" i="46" s="1"/>
  <c r="V30" i="46"/>
  <c r="AD30" i="46" s="1"/>
  <c r="AK30" i="46" s="1"/>
  <c r="Z30" i="46"/>
  <c r="AH30" i="46" s="1"/>
  <c r="AO30" i="46" s="1"/>
  <c r="AA30" i="46"/>
  <c r="AI30" i="46" s="1"/>
  <c r="AP30" i="46" s="1"/>
  <c r="AA41" i="64"/>
  <c r="AI41" i="64" s="1"/>
  <c r="AP41" i="64" s="1"/>
  <c r="W41" i="64"/>
  <c r="AE41" i="64" s="1"/>
  <c r="AL41" i="64" s="1"/>
  <c r="V41" i="64"/>
  <c r="AD41" i="64" s="1"/>
  <c r="AK41" i="64" s="1"/>
  <c r="AA41" i="41"/>
  <c r="AI41" i="41" s="1"/>
  <c r="AP41" i="41" s="1"/>
  <c r="Z41" i="41"/>
  <c r="AH41" i="41" s="1"/>
  <c r="AO41" i="41" s="1"/>
  <c r="V41" i="50"/>
  <c r="AD41" i="50" s="1"/>
  <c r="AK41" i="50" s="1"/>
  <c r="Z41" i="50"/>
  <c r="AH41" i="50" s="1"/>
  <c r="AO41" i="50" s="1"/>
  <c r="Y41" i="50"/>
  <c r="AG41" i="50" s="1"/>
  <c r="AN41" i="50" s="1"/>
  <c r="Y37" i="84"/>
  <c r="AG37" i="84" s="1"/>
  <c r="AN37" i="84" s="1"/>
  <c r="AA37" i="84"/>
  <c r="AI37" i="84" s="1"/>
  <c r="AP37" i="84" s="1"/>
  <c r="AA37" i="64"/>
  <c r="AI37" i="64" s="1"/>
  <c r="AP37" i="64" s="1"/>
  <c r="Y37" i="64"/>
  <c r="AG37" i="64" s="1"/>
  <c r="AN37" i="64" s="1"/>
  <c r="Y37" i="52"/>
  <c r="AG37" i="52" s="1"/>
  <c r="AN37" i="52" s="1"/>
  <c r="V37" i="52"/>
  <c r="AD37" i="52" s="1"/>
  <c r="AK37" i="52" s="1"/>
  <c r="AA38" i="51"/>
  <c r="AI38" i="51" s="1"/>
  <c r="AP38" i="51" s="1"/>
  <c r="Z38" i="51"/>
  <c r="AH38" i="51" s="1"/>
  <c r="AO38" i="51" s="1"/>
  <c r="V38" i="51"/>
  <c r="AD38" i="51" s="1"/>
  <c r="AK38" i="51" s="1"/>
  <c r="AA20" i="87"/>
  <c r="AI20" i="87" s="1"/>
  <c r="AP20" i="87" s="1"/>
  <c r="V20" i="87"/>
  <c r="AD20" i="87" s="1"/>
  <c r="AK20" i="87" s="1"/>
  <c r="Z20" i="87"/>
  <c r="AH20" i="87" s="1"/>
  <c r="AO20" i="87" s="1"/>
  <c r="AA20" i="85"/>
  <c r="AI20" i="85" s="1"/>
  <c r="AP20" i="85" s="1"/>
  <c r="W20" i="85"/>
  <c r="AE20" i="85" s="1"/>
  <c r="AL20" i="85" s="1"/>
  <c r="V20" i="85"/>
  <c r="AD20" i="85" s="1"/>
  <c r="AK20" i="85" s="1"/>
  <c r="Y34" i="49"/>
  <c r="AG34" i="49" s="1"/>
  <c r="AN34" i="49" s="1"/>
  <c r="AA34" i="49"/>
  <c r="AI34" i="49" s="1"/>
  <c r="AP34" i="49" s="1"/>
  <c r="W39" i="73"/>
  <c r="AE39" i="73" s="1"/>
  <c r="AL39" i="73" s="1"/>
  <c r="Y39" i="73"/>
  <c r="AG39" i="73" s="1"/>
  <c r="AN39" i="73" s="1"/>
  <c r="Z35" i="53"/>
  <c r="AH35" i="53" s="1"/>
  <c r="AO35" i="53" s="1"/>
  <c r="W35" i="53"/>
  <c r="AE35" i="53" s="1"/>
  <c r="AL35" i="53" s="1"/>
  <c r="V13" i="54"/>
  <c r="AD13" i="54" s="1"/>
  <c r="AK13" i="54" s="1"/>
  <c r="Z13" i="54"/>
  <c r="AH13" i="54" s="1"/>
  <c r="AO13" i="54" s="1"/>
  <c r="AF42" i="50"/>
  <c r="AM42" i="50" s="1"/>
  <c r="AE42" i="50"/>
  <c r="AL42" i="50" s="1"/>
  <c r="Y16" i="46"/>
  <c r="AG16" i="46" s="1"/>
  <c r="AN16" i="46" s="1"/>
  <c r="V16" i="46"/>
  <c r="AD16" i="46" s="1"/>
  <c r="AK16" i="46" s="1"/>
  <c r="V14" i="55"/>
  <c r="AD14" i="55" s="1"/>
  <c r="AK14" i="55" s="1"/>
  <c r="X14" i="55"/>
  <c r="AF14" i="55" s="1"/>
  <c r="AM14" i="55" s="1"/>
  <c r="Z14" i="55"/>
  <c r="AH14" i="55" s="1"/>
  <c r="AO14" i="55" s="1"/>
  <c r="Y38" i="90"/>
  <c r="AG38" i="90" s="1"/>
  <c r="AN38" i="90" s="1"/>
  <c r="Z38" i="90"/>
  <c r="AH38" i="90" s="1"/>
  <c r="AO38" i="90" s="1"/>
  <c r="AC18" i="94"/>
  <c r="Z42" i="87" s="1"/>
  <c r="AH42" i="87" s="1"/>
  <c r="AO42" i="87" s="1"/>
  <c r="G95" i="44"/>
  <c r="Z38" i="95"/>
  <c r="AH38" i="95" s="1"/>
  <c r="AO38" i="95" s="1"/>
  <c r="AD14" i="54"/>
  <c r="AK14" i="54" s="1"/>
  <c r="AG39" i="77"/>
  <c r="AN39" i="77" s="1"/>
  <c r="AD16" i="45"/>
  <c r="AK16" i="45" s="1"/>
  <c r="AE34" i="84"/>
  <c r="AL34" i="84" s="1"/>
  <c r="AD28" i="56"/>
  <c r="AK28" i="56" s="1"/>
  <c r="AG35" i="83"/>
  <c r="AN35" i="83" s="1"/>
  <c r="AD13" i="51"/>
  <c r="AK13" i="51" s="1"/>
  <c r="AD35" i="50"/>
  <c r="AK35" i="50" s="1"/>
  <c r="Y37" i="41"/>
  <c r="AG37" i="41" s="1"/>
  <c r="AN37" i="41" s="1"/>
  <c r="Z34" i="41"/>
  <c r="AH34" i="41" s="1"/>
  <c r="AO34" i="41" s="1"/>
  <c r="W26" i="41"/>
  <c r="AE26" i="41" s="1"/>
  <c r="AL26" i="41" s="1"/>
  <c r="W19" i="41"/>
  <c r="AH13" i="41"/>
  <c r="AO13" i="41" s="1"/>
  <c r="Z36" i="77"/>
  <c r="AH36" i="77" s="1"/>
  <c r="AO36" i="77" s="1"/>
  <c r="AA18" i="94"/>
  <c r="Z42" i="84" s="1"/>
  <c r="AB42" i="84" s="1"/>
  <c r="AE36" i="48"/>
  <c r="AL36" i="48" s="1"/>
  <c r="AE19" i="46"/>
  <c r="AL19" i="46" s="1"/>
  <c r="AB874" i="97"/>
  <c r="AC874" i="97"/>
  <c r="AE13" i="81"/>
  <c r="AL13" i="81" s="1"/>
  <c r="AE35" i="83"/>
  <c r="AL35" i="83" s="1"/>
  <c r="AE141" i="44"/>
  <c r="AF20" i="77"/>
  <c r="AM20" i="77" s="1"/>
  <c r="Y39" i="41"/>
  <c r="AG39" i="41" s="1"/>
  <c r="AN39" i="41" s="1"/>
  <c r="AA38" i="41"/>
  <c r="AI38" i="41" s="1"/>
  <c r="AP38" i="41" s="1"/>
  <c r="V38" i="41"/>
  <c r="AD38" i="41" s="1"/>
  <c r="AK38" i="41" s="1"/>
  <c r="V37" i="41"/>
  <c r="AD37" i="41" s="1"/>
  <c r="AK37" i="41" s="1"/>
  <c r="Y36" i="41"/>
  <c r="AG36" i="41" s="1"/>
  <c r="AN36" i="41" s="1"/>
  <c r="AA35" i="41"/>
  <c r="AI35" i="41" s="1"/>
  <c r="AP35" i="41" s="1"/>
  <c r="V35" i="41"/>
  <c r="AD35" i="41" s="1"/>
  <c r="AK35" i="41" s="1"/>
  <c r="V26" i="41"/>
  <c r="AD26" i="41" s="1"/>
  <c r="AK26" i="41" s="1"/>
  <c r="X20" i="41"/>
  <c r="AF20" i="41" s="1"/>
  <c r="AM20" i="41" s="1"/>
  <c r="V19" i="41"/>
  <c r="AD19" i="41" s="1"/>
  <c r="AK19" i="41" s="1"/>
  <c r="Z36" i="58"/>
  <c r="AH36" i="58" s="1"/>
  <c r="AO36" i="58" s="1"/>
  <c r="W35" i="58"/>
  <c r="AE35" i="58" s="1"/>
  <c r="AL35" i="58" s="1"/>
  <c r="Z34" i="58"/>
  <c r="AH34" i="58" s="1"/>
  <c r="AO34" i="58" s="1"/>
  <c r="Y30" i="58"/>
  <c r="AG30" i="58" s="1"/>
  <c r="AN30" i="58" s="1"/>
  <c r="Z20" i="58"/>
  <c r="AH20" i="58" s="1"/>
  <c r="AO20" i="58" s="1"/>
  <c r="W19" i="58"/>
  <c r="AE19" i="58" s="1"/>
  <c r="AL19" i="58" s="1"/>
  <c r="AD16" i="58"/>
  <c r="AK16" i="58" s="1"/>
  <c r="X14" i="58"/>
  <c r="AF14" i="58" s="1"/>
  <c r="AM14" i="58" s="1"/>
  <c r="AG23" i="81"/>
  <c r="AN23" i="81" s="1"/>
  <c r="O18" i="94"/>
  <c r="Z42" i="55" s="1"/>
  <c r="AB42" i="55" s="1"/>
  <c r="M33" i="90"/>
  <c r="AF95" i="44"/>
  <c r="V41" i="49"/>
  <c r="AD41" i="49" s="1"/>
  <c r="AK41" i="49" s="1"/>
  <c r="W41" i="49"/>
  <c r="AE41" i="49" s="1"/>
  <c r="AL41" i="49" s="1"/>
  <c r="Y41" i="49"/>
  <c r="AG41" i="49" s="1"/>
  <c r="AN41" i="49" s="1"/>
  <c r="AA36" i="46"/>
  <c r="AI36" i="46" s="1"/>
  <c r="AP36" i="46" s="1"/>
  <c r="Z36" i="46"/>
  <c r="AH36" i="46" s="1"/>
  <c r="AO36" i="46" s="1"/>
  <c r="V36" i="83"/>
  <c r="AD36" i="83" s="1"/>
  <c r="AK36" i="83" s="1"/>
  <c r="AA36" i="83"/>
  <c r="AI36" i="83" s="1"/>
  <c r="AP36" i="83" s="1"/>
  <c r="Z19" i="47"/>
  <c r="AH19" i="47" s="1"/>
  <c r="AO19" i="47" s="1"/>
  <c r="Y19" i="47"/>
  <c r="AG19" i="47" s="1"/>
  <c r="AN19" i="47" s="1"/>
  <c r="V19" i="47"/>
  <c r="AD19" i="47" s="1"/>
  <c r="AK19" i="47" s="1"/>
  <c r="U12" i="84"/>
  <c r="AA12" i="84" s="1"/>
  <c r="AI12" i="84" s="1"/>
  <c r="AP12" i="84" s="1"/>
  <c r="V19" i="83"/>
  <c r="AD19" i="83" s="1"/>
  <c r="AK19" i="83" s="1"/>
  <c r="Z19" i="83"/>
  <c r="AH19" i="83" s="1"/>
  <c r="AO19" i="83" s="1"/>
  <c r="AA30" i="82"/>
  <c r="AI30" i="82" s="1"/>
  <c r="AP30" i="82" s="1"/>
  <c r="V30" i="82"/>
  <c r="AD30" i="82" s="1"/>
  <c r="AK30" i="82" s="1"/>
  <c r="W30" i="82"/>
  <c r="AE30" i="82" s="1"/>
  <c r="AL30" i="82" s="1"/>
  <c r="V34" i="84"/>
  <c r="AD34" i="84" s="1"/>
  <c r="AK34" i="84" s="1"/>
  <c r="Z34" i="84"/>
  <c r="AH34" i="84" s="1"/>
  <c r="AO34" i="84" s="1"/>
  <c r="Y34" i="84"/>
  <c r="AG34" i="84" s="1"/>
  <c r="AN34" i="84" s="1"/>
  <c r="V26" i="48"/>
  <c r="AD26" i="48" s="1"/>
  <c r="AK26" i="48" s="1"/>
  <c r="W26" i="48"/>
  <c r="AE26" i="48" s="1"/>
  <c r="AL26" i="48" s="1"/>
  <c r="W26" i="46"/>
  <c r="AE26" i="46" s="1"/>
  <c r="AL26" i="46" s="1"/>
  <c r="V26" i="46"/>
  <c r="AD26" i="46" s="1"/>
  <c r="AK26" i="46" s="1"/>
  <c r="V26" i="81"/>
  <c r="AD26" i="81" s="1"/>
  <c r="AK26" i="81" s="1"/>
  <c r="W26" i="81"/>
  <c r="AE26" i="81" s="1"/>
  <c r="AL26" i="81" s="1"/>
  <c r="Z26" i="90"/>
  <c r="AH26" i="90" s="1"/>
  <c r="AO26" i="90" s="1"/>
  <c r="W26" i="90"/>
  <c r="AE26" i="90" s="1"/>
  <c r="AL26" i="90" s="1"/>
  <c r="W30" i="79"/>
  <c r="AE30" i="79" s="1"/>
  <c r="AL30" i="79" s="1"/>
  <c r="AA30" i="79"/>
  <c r="AI30" i="79" s="1"/>
  <c r="AP30" i="79" s="1"/>
  <c r="AA34" i="90"/>
  <c r="AI34" i="90" s="1"/>
  <c r="AP34" i="90" s="1"/>
  <c r="V34" i="90"/>
  <c r="AD34" i="90" s="1"/>
  <c r="AK34" i="90" s="1"/>
  <c r="Y34" i="90"/>
  <c r="AG34" i="90" s="1"/>
  <c r="AN34" i="90" s="1"/>
  <c r="Z34" i="90"/>
  <c r="AH34" i="90" s="1"/>
  <c r="AO34" i="90" s="1"/>
  <c r="V41" i="46"/>
  <c r="AD41" i="46" s="1"/>
  <c r="AK41" i="46" s="1"/>
  <c r="W41" i="46"/>
  <c r="AE41" i="46" s="1"/>
  <c r="AL41" i="46" s="1"/>
  <c r="Z41" i="46"/>
  <c r="AH41" i="46" s="1"/>
  <c r="AO41" i="46" s="1"/>
  <c r="Z41" i="53"/>
  <c r="AH41" i="53" s="1"/>
  <c r="AO41" i="53" s="1"/>
  <c r="Y41" i="53"/>
  <c r="AG41" i="53" s="1"/>
  <c r="AN41" i="53" s="1"/>
  <c r="Z41" i="54"/>
  <c r="AH41" i="54" s="1"/>
  <c r="AO41" i="54" s="1"/>
  <c r="V41" i="54"/>
  <c r="AD41" i="54" s="1"/>
  <c r="AK41" i="54" s="1"/>
  <c r="Y41" i="54"/>
  <c r="AG41" i="54" s="1"/>
  <c r="AN41" i="54" s="1"/>
  <c r="W41" i="54"/>
  <c r="AE41" i="54" s="1"/>
  <c r="AL41" i="54" s="1"/>
  <c r="Z23" i="56"/>
  <c r="AH23" i="56" s="1"/>
  <c r="AO23" i="56" s="1"/>
  <c r="Y23" i="56"/>
  <c r="AG23" i="56" s="1"/>
  <c r="AN23" i="56" s="1"/>
  <c r="V37" i="50"/>
  <c r="AD37" i="50" s="1"/>
  <c r="AK37" i="50" s="1"/>
  <c r="AA37" i="50"/>
  <c r="AI37" i="50" s="1"/>
  <c r="AP37" i="50" s="1"/>
  <c r="Y37" i="50"/>
  <c r="AG37" i="50" s="1"/>
  <c r="AN37" i="50" s="1"/>
  <c r="V37" i="85"/>
  <c r="AD37" i="85" s="1"/>
  <c r="AK37" i="85" s="1"/>
  <c r="Y37" i="85"/>
  <c r="AG37" i="85" s="1"/>
  <c r="AN37" i="85" s="1"/>
  <c r="AA34" i="56"/>
  <c r="AI34" i="56" s="1"/>
  <c r="AP34" i="56" s="1"/>
  <c r="V34" i="56"/>
  <c r="AD34" i="56" s="1"/>
  <c r="AK34" i="56" s="1"/>
  <c r="Y38" i="69"/>
  <c r="AG38" i="69" s="1"/>
  <c r="AN38" i="69" s="1"/>
  <c r="W38" i="69"/>
  <c r="AE38" i="69" s="1"/>
  <c r="AL38" i="69" s="1"/>
  <c r="Y38" i="49"/>
  <c r="AG38" i="49" s="1"/>
  <c r="AN38" i="49" s="1"/>
  <c r="W38" i="49"/>
  <c r="AE38" i="49" s="1"/>
  <c r="AL38" i="49" s="1"/>
  <c r="AA38" i="49"/>
  <c r="AI38" i="49" s="1"/>
  <c r="AP38" i="49" s="1"/>
  <c r="AA38" i="82"/>
  <c r="AI38" i="82" s="1"/>
  <c r="AP38" i="82" s="1"/>
  <c r="Z38" i="82"/>
  <c r="AH38" i="82" s="1"/>
  <c r="AO38" i="82" s="1"/>
  <c r="Z38" i="64"/>
  <c r="AH38" i="64" s="1"/>
  <c r="AO38" i="64" s="1"/>
  <c r="Y38" i="64"/>
  <c r="AG38" i="64" s="1"/>
  <c r="AN38" i="64" s="1"/>
  <c r="V38" i="64"/>
  <c r="AD38" i="64" s="1"/>
  <c r="AK38" i="64" s="1"/>
  <c r="AA38" i="64"/>
  <c r="AI38" i="64" s="1"/>
  <c r="AP38" i="64" s="1"/>
  <c r="W39" i="49"/>
  <c r="AE39" i="49" s="1"/>
  <c r="AL39" i="49" s="1"/>
  <c r="Z39" i="49"/>
  <c r="AH39" i="49" s="1"/>
  <c r="AO39" i="49" s="1"/>
  <c r="AA35" i="48"/>
  <c r="AI35" i="48" s="1"/>
  <c r="AP35" i="48" s="1"/>
  <c r="W35" i="48"/>
  <c r="AE35" i="48" s="1"/>
  <c r="AL35" i="48" s="1"/>
  <c r="V35" i="48"/>
  <c r="AD35" i="48" s="1"/>
  <c r="AK35" i="48" s="1"/>
  <c r="Z35" i="48"/>
  <c r="AH35" i="48" s="1"/>
  <c r="AO35" i="48" s="1"/>
  <c r="Z23" i="69"/>
  <c r="AH23" i="69" s="1"/>
  <c r="AO23" i="69" s="1"/>
  <c r="Y23" i="69"/>
  <c r="AG23" i="69" s="1"/>
  <c r="AN23" i="69" s="1"/>
  <c r="Z30" i="72"/>
  <c r="AH30" i="72" s="1"/>
  <c r="AO30" i="72" s="1"/>
  <c r="W30" i="72"/>
  <c r="AE30" i="72" s="1"/>
  <c r="AL30" i="72" s="1"/>
  <c r="AA35" i="77"/>
  <c r="AI35" i="77" s="1"/>
  <c r="AP35" i="77" s="1"/>
  <c r="V35" i="77"/>
  <c r="AD35" i="77" s="1"/>
  <c r="AK35" i="77" s="1"/>
  <c r="W19" i="48"/>
  <c r="AE19" i="48" s="1"/>
  <c r="AL19" i="48" s="1"/>
  <c r="AA19" i="48"/>
  <c r="AI19" i="48" s="1"/>
  <c r="AP19" i="48" s="1"/>
  <c r="Z19" i="48"/>
  <c r="AH19" i="48" s="1"/>
  <c r="AO19" i="48" s="1"/>
  <c r="V19" i="48"/>
  <c r="AD19" i="48" s="1"/>
  <c r="AK19" i="48" s="1"/>
  <c r="Y39" i="87"/>
  <c r="AG39" i="87" s="1"/>
  <c r="AN39" i="87" s="1"/>
  <c r="V39" i="87"/>
  <c r="AD39" i="87" s="1"/>
  <c r="AK39" i="87" s="1"/>
  <c r="W39" i="79"/>
  <c r="AE39" i="79" s="1"/>
  <c r="AL39" i="79" s="1"/>
  <c r="AA39" i="79"/>
  <c r="AI39" i="79" s="1"/>
  <c r="AP39" i="79" s="1"/>
  <c r="AA36" i="64"/>
  <c r="AI36" i="64" s="1"/>
  <c r="AP36" i="64" s="1"/>
  <c r="Z36" i="64"/>
  <c r="AH36" i="64" s="1"/>
  <c r="AO36" i="64" s="1"/>
  <c r="Y13" i="53"/>
  <c r="AG13" i="53" s="1"/>
  <c r="AN13" i="53" s="1"/>
  <c r="V13" i="53"/>
  <c r="AD13" i="53" s="1"/>
  <c r="AK13" i="53" s="1"/>
  <c r="Z13" i="53"/>
  <c r="AH13" i="53" s="1"/>
  <c r="AO13" i="53" s="1"/>
  <c r="W13" i="53"/>
  <c r="AE13" i="53" s="1"/>
  <c r="AL13" i="53" s="1"/>
  <c r="Z14" i="52"/>
  <c r="AH14" i="52" s="1"/>
  <c r="AO14" i="52" s="1"/>
  <c r="V14" i="52"/>
  <c r="AD14" i="52" s="1"/>
  <c r="AK14" i="52" s="1"/>
  <c r="AA14" i="52"/>
  <c r="AI14" i="52" s="1"/>
  <c r="AP14" i="52" s="1"/>
  <c r="W14" i="52"/>
  <c r="AE14" i="52" s="1"/>
  <c r="AL14" i="52" s="1"/>
  <c r="AF42" i="49"/>
  <c r="AM42" i="49" s="1"/>
  <c r="AD42" i="49"/>
  <c r="AK42" i="49" s="1"/>
  <c r="AI42" i="49"/>
  <c r="AP42" i="49" s="1"/>
  <c r="AE42" i="49"/>
  <c r="AL42" i="49" s="1"/>
  <c r="Z16" i="49"/>
  <c r="AH16" i="49" s="1"/>
  <c r="AO16" i="49" s="1"/>
  <c r="X16" i="49"/>
  <c r="AF16" i="49" s="1"/>
  <c r="AM16" i="49" s="1"/>
  <c r="V16" i="49"/>
  <c r="AD16" i="49" s="1"/>
  <c r="AK16" i="49" s="1"/>
  <c r="W16" i="49"/>
  <c r="AE16" i="49" s="1"/>
  <c r="AL16" i="49" s="1"/>
  <c r="Z16" i="55"/>
  <c r="AH16" i="55" s="1"/>
  <c r="AO16" i="55" s="1"/>
  <c r="X16" i="55"/>
  <c r="AF16" i="55" s="1"/>
  <c r="AM16" i="55" s="1"/>
  <c r="AA13" i="55"/>
  <c r="AI13" i="55" s="1"/>
  <c r="AP13" i="55" s="1"/>
  <c r="Y13" i="55"/>
  <c r="AG13" i="55" s="1"/>
  <c r="AN13" i="55" s="1"/>
  <c r="V13" i="55"/>
  <c r="AD13" i="55" s="1"/>
  <c r="AK13" i="55" s="1"/>
  <c r="W16" i="56"/>
  <c r="AE16" i="56" s="1"/>
  <c r="AL16" i="56" s="1"/>
  <c r="V16" i="56"/>
  <c r="AD16" i="56" s="1"/>
  <c r="AK16" i="56" s="1"/>
  <c r="Z16" i="56"/>
  <c r="AH16" i="56" s="1"/>
  <c r="AO16" i="56" s="1"/>
  <c r="Y16" i="56"/>
  <c r="AG16" i="56" s="1"/>
  <c r="AN16" i="56" s="1"/>
  <c r="Y13" i="56"/>
  <c r="AG13" i="56" s="1"/>
  <c r="AN13" i="56" s="1"/>
  <c r="W13" i="56"/>
  <c r="AE13" i="56" s="1"/>
  <c r="AL13" i="56" s="1"/>
  <c r="AE42" i="58"/>
  <c r="AL42" i="58" s="1"/>
  <c r="AF42" i="58"/>
  <c r="AM42" i="58" s="1"/>
  <c r="W26" i="58"/>
  <c r="AE26" i="58" s="1"/>
  <c r="AL26" i="58" s="1"/>
  <c r="W16" i="58"/>
  <c r="AE16" i="58" s="1"/>
  <c r="AL16" i="58" s="1"/>
  <c r="Z13" i="58"/>
  <c r="AH13" i="58" s="1"/>
  <c r="AO13" i="58" s="1"/>
  <c r="Y13" i="58"/>
  <c r="AG13" i="58" s="1"/>
  <c r="AN13" i="58" s="1"/>
  <c r="W13" i="58"/>
  <c r="AE13" i="58" s="1"/>
  <c r="AL13" i="58" s="1"/>
  <c r="W16" i="73"/>
  <c r="AE16" i="73" s="1"/>
  <c r="AL16" i="73" s="1"/>
  <c r="Z16" i="73"/>
  <c r="AH16" i="73" s="1"/>
  <c r="AO16" i="73" s="1"/>
  <c r="Y13" i="73"/>
  <c r="AG13" i="73" s="1"/>
  <c r="AN13" i="73" s="1"/>
  <c r="V13" i="73"/>
  <c r="AD13" i="73" s="1"/>
  <c r="AK13" i="73" s="1"/>
  <c r="AA13" i="73"/>
  <c r="AI13" i="73" s="1"/>
  <c r="AP13" i="73" s="1"/>
  <c r="Z13" i="73"/>
  <c r="AH13" i="73" s="1"/>
  <c r="AO13" i="73" s="1"/>
  <c r="AA14" i="77"/>
  <c r="AI14" i="77" s="1"/>
  <c r="AP14" i="77" s="1"/>
  <c r="V14" i="77"/>
  <c r="AD14" i="77" s="1"/>
  <c r="AK14" i="77" s="1"/>
  <c r="V14" i="79"/>
  <c r="AD14" i="79" s="1"/>
  <c r="AK14" i="79" s="1"/>
  <c r="Z14" i="79"/>
  <c r="AH14" i="79" s="1"/>
  <c r="AO14" i="79" s="1"/>
  <c r="X14" i="79"/>
  <c r="AF14" i="79" s="1"/>
  <c r="AM14" i="79" s="1"/>
  <c r="AE42" i="82"/>
  <c r="AL42" i="82" s="1"/>
  <c r="AI42" i="82"/>
  <c r="AP42" i="82" s="1"/>
  <c r="AD42" i="82"/>
  <c r="AK42" i="82" s="1"/>
  <c r="X16" i="82"/>
  <c r="AF16" i="82" s="1"/>
  <c r="AM16" i="82" s="1"/>
  <c r="Y16" i="82"/>
  <c r="AG16" i="82" s="1"/>
  <c r="AN16" i="82" s="1"/>
  <c r="V13" i="82"/>
  <c r="AD13" i="82" s="1"/>
  <c r="AK13" i="82" s="1"/>
  <c r="Y13" i="82"/>
  <c r="AG13" i="82" s="1"/>
  <c r="AN13" i="82" s="1"/>
  <c r="AA13" i="82"/>
  <c r="AI13" i="82" s="1"/>
  <c r="AP13" i="82" s="1"/>
  <c r="U12" i="64"/>
  <c r="Z12" i="64" s="1"/>
  <c r="AH12" i="64" s="1"/>
  <c r="AO12" i="64" s="1"/>
  <c r="H16" i="69"/>
  <c r="S16" i="69" s="1"/>
  <c r="AA19" i="47"/>
  <c r="AI19" i="47" s="1"/>
  <c r="AP19" i="47" s="1"/>
  <c r="W41" i="48"/>
  <c r="AE41" i="48" s="1"/>
  <c r="AL41" i="48" s="1"/>
  <c r="AA41" i="48"/>
  <c r="AI41" i="48" s="1"/>
  <c r="AP41" i="48" s="1"/>
  <c r="U12" i="50"/>
  <c r="AA12" i="50" s="1"/>
  <c r="AI12" i="50" s="1"/>
  <c r="AP12" i="50" s="1"/>
  <c r="H16" i="5"/>
  <c r="W19" i="83"/>
  <c r="AE19" i="83" s="1"/>
  <c r="AL19" i="83" s="1"/>
  <c r="W19" i="47"/>
  <c r="AE19" i="47" s="1"/>
  <c r="AL19" i="47" s="1"/>
  <c r="AA41" i="51"/>
  <c r="AI41" i="51" s="1"/>
  <c r="AP41" i="51" s="1"/>
  <c r="AA36" i="54"/>
  <c r="AI36" i="54" s="1"/>
  <c r="AP36" i="54" s="1"/>
  <c r="Z36" i="54"/>
  <c r="AH36" i="54" s="1"/>
  <c r="AO36" i="54" s="1"/>
  <c r="W20" i="84"/>
  <c r="AE20" i="84" s="1"/>
  <c r="AL20" i="84" s="1"/>
  <c r="AA20" i="84"/>
  <c r="AI20" i="84" s="1"/>
  <c r="AP20" i="84" s="1"/>
  <c r="AA20" i="56"/>
  <c r="AI20" i="56" s="1"/>
  <c r="AP20" i="56" s="1"/>
  <c r="Z20" i="56"/>
  <c r="AH20" i="56" s="1"/>
  <c r="AO20" i="56" s="1"/>
  <c r="V20" i="56"/>
  <c r="AD20" i="56" s="1"/>
  <c r="AK20" i="56" s="1"/>
  <c r="X20" i="56"/>
  <c r="AF20" i="56" s="1"/>
  <c r="AM20" i="56" s="1"/>
  <c r="W20" i="41"/>
  <c r="AE20" i="41" s="1"/>
  <c r="AL20" i="41" s="1"/>
  <c r="Z20" i="41"/>
  <c r="AH20" i="41" s="1"/>
  <c r="AO20" i="41" s="1"/>
  <c r="AA20" i="83"/>
  <c r="AI20" i="83" s="1"/>
  <c r="AP20" i="83" s="1"/>
  <c r="V20" i="83"/>
  <c r="AD20" i="83" s="1"/>
  <c r="AK20" i="83" s="1"/>
  <c r="Z20" i="83"/>
  <c r="AH20" i="83" s="1"/>
  <c r="AO20" i="83" s="1"/>
  <c r="V20" i="53"/>
  <c r="AD20" i="53" s="1"/>
  <c r="AK20" i="53" s="1"/>
  <c r="Z20" i="53"/>
  <c r="AH20" i="53" s="1"/>
  <c r="AO20" i="53" s="1"/>
  <c r="X20" i="53"/>
  <c r="AF20" i="53" s="1"/>
  <c r="AM20" i="53" s="1"/>
  <c r="AA20" i="53"/>
  <c r="AI20" i="53" s="1"/>
  <c r="AP20" i="53" s="1"/>
  <c r="AD30" i="64"/>
  <c r="AK30" i="64" s="1"/>
  <c r="AF20" i="69"/>
  <c r="AM20" i="69" s="1"/>
  <c r="AH13" i="50"/>
  <c r="AO13" i="50" s="1"/>
  <c r="AG34" i="45"/>
  <c r="AN34" i="45" s="1"/>
  <c r="AI36" i="51"/>
  <c r="AP36" i="51" s="1"/>
  <c r="AE35" i="82"/>
  <c r="AL35" i="82" s="1"/>
  <c r="AE41" i="69"/>
  <c r="AL41" i="69" s="1"/>
  <c r="AE30" i="77"/>
  <c r="AL30" i="77" s="1"/>
  <c r="AA36" i="48"/>
  <c r="AI36" i="48" s="1"/>
  <c r="AP36" i="48" s="1"/>
  <c r="W36" i="53"/>
  <c r="AE36" i="53" s="1"/>
  <c r="AL36" i="53" s="1"/>
  <c r="AD37" i="51"/>
  <c r="AK37" i="51" s="1"/>
  <c r="AI34" i="51"/>
  <c r="AP34" i="51" s="1"/>
  <c r="AA34" i="46"/>
  <c r="AI34" i="46" s="1"/>
  <c r="AP34" i="46" s="1"/>
  <c r="V34" i="46"/>
  <c r="AD34" i="46" s="1"/>
  <c r="AK34" i="46" s="1"/>
  <c r="V30" i="83"/>
  <c r="AD30" i="83" s="1"/>
  <c r="AK30" i="83" s="1"/>
  <c r="AA30" i="83"/>
  <c r="AI30" i="83" s="1"/>
  <c r="AP30" i="83" s="1"/>
  <c r="AI42" i="88"/>
  <c r="AP42" i="88" s="1"/>
  <c r="AD42" i="88"/>
  <c r="AK42" i="88" s="1"/>
  <c r="AD19" i="56"/>
  <c r="AK19" i="56" s="1"/>
  <c r="AH38" i="73"/>
  <c r="AO38" i="73" s="1"/>
  <c r="AE39" i="47"/>
  <c r="AL39" i="47" s="1"/>
  <c r="AF14" i="56"/>
  <c r="AM14" i="56" s="1"/>
  <c r="AD36" i="51"/>
  <c r="AK36" i="51" s="1"/>
  <c r="AG30" i="56"/>
  <c r="AN30" i="56" s="1"/>
  <c r="AD14" i="53"/>
  <c r="AK14" i="53" s="1"/>
  <c r="AE30" i="56"/>
  <c r="AL30" i="56" s="1"/>
  <c r="AE34" i="51"/>
  <c r="AL34" i="51" s="1"/>
  <c r="Z23" i="82"/>
  <c r="AH23" i="82" s="1"/>
  <c r="AO23" i="82" s="1"/>
  <c r="AD19" i="58"/>
  <c r="AK19" i="58" s="1"/>
  <c r="AE14" i="55"/>
  <c r="AL14" i="55" s="1"/>
  <c r="W13" i="95"/>
  <c r="AE13" i="95" s="1"/>
  <c r="AL13" i="95" s="1"/>
  <c r="AA13" i="95"/>
  <c r="AI13" i="95" s="1"/>
  <c r="AP13" i="95" s="1"/>
  <c r="Y13" i="95"/>
  <c r="AG13" i="95" s="1"/>
  <c r="AN13" i="95" s="1"/>
  <c r="X16" i="95"/>
  <c r="AF16" i="95" s="1"/>
  <c r="AM16" i="95" s="1"/>
  <c r="Z16" i="95"/>
  <c r="AH16" i="95" s="1"/>
  <c r="AO16" i="95" s="1"/>
  <c r="W19" i="95"/>
  <c r="AE19" i="95" s="1"/>
  <c r="AL19" i="95" s="1"/>
  <c r="Y19" i="95"/>
  <c r="AG19" i="95" s="1"/>
  <c r="AN19" i="95" s="1"/>
  <c r="AA36" i="95"/>
  <c r="AI36" i="95" s="1"/>
  <c r="AP36" i="95" s="1"/>
  <c r="V36" i="95"/>
  <c r="AD36" i="95" s="1"/>
  <c r="AK36" i="95" s="1"/>
  <c r="Y38" i="95"/>
  <c r="AG38" i="95" s="1"/>
  <c r="AN38" i="95" s="1"/>
  <c r="V38" i="95"/>
  <c r="AD38" i="95" s="1"/>
  <c r="AK38" i="95" s="1"/>
  <c r="Y41" i="95"/>
  <c r="AG41" i="95" s="1"/>
  <c r="AN41" i="95" s="1"/>
  <c r="Z41" i="95"/>
  <c r="AH41" i="95" s="1"/>
  <c r="AO41" i="95" s="1"/>
  <c r="V41" i="95"/>
  <c r="AD41" i="95" s="1"/>
  <c r="AK41" i="95" s="1"/>
  <c r="AA41" i="95"/>
  <c r="AI41" i="95" s="1"/>
  <c r="AP41" i="95" s="1"/>
  <c r="AH26" i="51"/>
  <c r="AO26" i="51" s="1"/>
  <c r="V19" i="64"/>
  <c r="AD19" i="64" s="1"/>
  <c r="AK19" i="64" s="1"/>
  <c r="AD26" i="95"/>
  <c r="AK26" i="95" s="1"/>
  <c r="AH26" i="95"/>
  <c r="AO26" i="95" s="1"/>
  <c r="AI30" i="77"/>
  <c r="AP30" i="77" s="1"/>
  <c r="AE42" i="95"/>
  <c r="AL42" i="95" s="1"/>
  <c r="AA14" i="96"/>
  <c r="AI14" i="96" s="1"/>
  <c r="AP14" i="96" s="1"/>
  <c r="Z35" i="96"/>
  <c r="AH35" i="96" s="1"/>
  <c r="AO35" i="96" s="1"/>
  <c r="Y37" i="96"/>
  <c r="AG37" i="96" s="1"/>
  <c r="AN37" i="96" s="1"/>
  <c r="AG34" i="51"/>
  <c r="AN34" i="51" s="1"/>
  <c r="AI39" i="95"/>
  <c r="AP39" i="95" s="1"/>
  <c r="AE26" i="95"/>
  <c r="AL26" i="95" s="1"/>
  <c r="AH20" i="95"/>
  <c r="AO20" i="95" s="1"/>
  <c r="Z23" i="77"/>
  <c r="AH23" i="77" s="1"/>
  <c r="AO23" i="77" s="1"/>
  <c r="V20" i="77"/>
  <c r="AD20" i="77" s="1"/>
  <c r="AK20" i="77" s="1"/>
  <c r="Y19" i="77"/>
  <c r="AG19" i="77" s="1"/>
  <c r="AN19" i="77" s="1"/>
  <c r="X16" i="77"/>
  <c r="AF16" i="77" s="1"/>
  <c r="AM16" i="77" s="1"/>
  <c r="Z14" i="77"/>
  <c r="AH14" i="77" s="1"/>
  <c r="AO14" i="77" s="1"/>
  <c r="Y13" i="77"/>
  <c r="AG13" i="77" s="1"/>
  <c r="AN13" i="77" s="1"/>
  <c r="Y16" i="96"/>
  <c r="AG16" i="96" s="1"/>
  <c r="AN16" i="96" s="1"/>
  <c r="V20" i="96"/>
  <c r="AD20" i="96" s="1"/>
  <c r="AK20" i="96" s="1"/>
  <c r="AA35" i="96"/>
  <c r="AI35" i="96" s="1"/>
  <c r="AP35" i="96" s="1"/>
  <c r="AE36" i="96"/>
  <c r="AL36" i="96" s="1"/>
  <c r="Z39" i="41"/>
  <c r="AH39" i="41" s="1"/>
  <c r="AO39" i="41" s="1"/>
  <c r="W38" i="41"/>
  <c r="AE38" i="41" s="1"/>
  <c r="AL38" i="41" s="1"/>
  <c r="W35" i="41"/>
  <c r="AE35" i="41" s="1"/>
  <c r="AL35" i="41" s="1"/>
  <c r="Y30" i="41"/>
  <c r="AG30" i="41" s="1"/>
  <c r="AN30" i="41" s="1"/>
  <c r="AE19" i="41"/>
  <c r="AL19" i="41" s="1"/>
  <c r="X14" i="41"/>
  <c r="AF14" i="41" s="1"/>
  <c r="AM14" i="41" s="1"/>
  <c r="W13" i="41"/>
  <c r="AE13" i="41" s="1"/>
  <c r="AL13" i="41" s="1"/>
  <c r="W38" i="77"/>
  <c r="AE38" i="77" s="1"/>
  <c r="AL38" i="77" s="1"/>
  <c r="Y37" i="77"/>
  <c r="AG37" i="77" s="1"/>
  <c r="AN37" i="77" s="1"/>
  <c r="Z34" i="77"/>
  <c r="AH34" i="77" s="1"/>
  <c r="AO34" i="77" s="1"/>
  <c r="Y30" i="77"/>
  <c r="AG30" i="77" s="1"/>
  <c r="AN30" i="77" s="1"/>
  <c r="V16" i="96"/>
  <c r="AD16" i="96" s="1"/>
  <c r="AK16" i="96" s="1"/>
  <c r="W20" i="96"/>
  <c r="AE20" i="96" s="1"/>
  <c r="AL20" i="96" s="1"/>
  <c r="AA20" i="96"/>
  <c r="AI20" i="96" s="1"/>
  <c r="AP20" i="96" s="1"/>
  <c r="H24" i="94"/>
  <c r="E18" i="94"/>
  <c r="Z42" i="45" s="1"/>
  <c r="AB42" i="45" s="1"/>
  <c r="U18" i="94"/>
  <c r="Z42" i="73" s="1"/>
  <c r="AH42" i="73" s="1"/>
  <c r="N18" i="94"/>
  <c r="Z42" i="46" s="1"/>
  <c r="I18" i="94"/>
  <c r="Z42" i="51" s="1"/>
  <c r="V18" i="94"/>
  <c r="Z42" i="77" s="1"/>
  <c r="AB42" i="77" s="1"/>
  <c r="K18" i="94"/>
  <c r="Z42" i="49" s="1"/>
  <c r="AB42" i="49" s="1"/>
  <c r="BY27" i="70"/>
  <c r="AL29" i="95"/>
  <c r="Y13" i="88"/>
  <c r="AG13" i="88" s="1"/>
  <c r="AN13" i="88" s="1"/>
  <c r="AD16" i="88"/>
  <c r="AK16" i="88" s="1"/>
  <c r="Y19" i="88"/>
  <c r="AG19" i="88" s="1"/>
  <c r="AN19" i="88" s="1"/>
  <c r="V20" i="88"/>
  <c r="AD20" i="88" s="1"/>
  <c r="AK20" i="88" s="1"/>
  <c r="AA20" i="88"/>
  <c r="AI20" i="88" s="1"/>
  <c r="AP20" i="88" s="1"/>
  <c r="Z23" i="88"/>
  <c r="AH23" i="88" s="1"/>
  <c r="AO23" i="88" s="1"/>
  <c r="W30" i="88"/>
  <c r="AE30" i="88" s="1"/>
  <c r="AL30" i="88" s="1"/>
  <c r="Y34" i="88"/>
  <c r="AG34" i="88" s="1"/>
  <c r="AN34" i="88" s="1"/>
  <c r="V35" i="88"/>
  <c r="AD35" i="88" s="1"/>
  <c r="AK35" i="88" s="1"/>
  <c r="AA35" i="88"/>
  <c r="AI35" i="88" s="1"/>
  <c r="AP35" i="88" s="1"/>
  <c r="Y36" i="88"/>
  <c r="AG36" i="88" s="1"/>
  <c r="AN36" i="88" s="1"/>
  <c r="V37" i="88"/>
  <c r="AD37" i="88" s="1"/>
  <c r="AK37" i="88" s="1"/>
  <c r="V38" i="88"/>
  <c r="AD38" i="88" s="1"/>
  <c r="AK38" i="88" s="1"/>
  <c r="AA38" i="88"/>
  <c r="AI38" i="88" s="1"/>
  <c r="AP38" i="88" s="1"/>
  <c r="Y39" i="88"/>
  <c r="AG39" i="88" s="1"/>
  <c r="AN39" i="88" s="1"/>
  <c r="Y41" i="88"/>
  <c r="AG41" i="88" s="1"/>
  <c r="AN41" i="88" s="1"/>
  <c r="Z41" i="88"/>
  <c r="AH41" i="88" s="1"/>
  <c r="AO41" i="88" s="1"/>
  <c r="Z36" i="88"/>
  <c r="AH36" i="88" s="1"/>
  <c r="AO36" i="88" s="1"/>
  <c r="Y29" i="88"/>
  <c r="W41" i="88"/>
  <c r="AE41" i="88" s="1"/>
  <c r="AL41" i="88" s="1"/>
  <c r="V36" i="88"/>
  <c r="AD36" i="88" s="1"/>
  <c r="AK36" i="88" s="1"/>
  <c r="AA30" i="88"/>
  <c r="AI30" i="88" s="1"/>
  <c r="AP30" i="88" s="1"/>
  <c r="AK29" i="82"/>
  <c r="AK29" i="81"/>
  <c r="AK29" i="79"/>
  <c r="AG35" i="77"/>
  <c r="AN35" i="77" s="1"/>
  <c r="W34" i="77"/>
  <c r="AE34" i="77" s="1"/>
  <c r="AL34" i="77" s="1"/>
  <c r="V30" i="77"/>
  <c r="AD30" i="77" s="1"/>
  <c r="AK30" i="77" s="1"/>
  <c r="Z38" i="77"/>
  <c r="AH38" i="77" s="1"/>
  <c r="AO38" i="77" s="1"/>
  <c r="Z30" i="77"/>
  <c r="AH30" i="77" s="1"/>
  <c r="AO30" i="77" s="1"/>
  <c r="AD16" i="77"/>
  <c r="AK16" i="77" s="1"/>
  <c r="T29" i="77"/>
  <c r="AA38" i="77"/>
  <c r="AI38" i="77" s="1"/>
  <c r="AP38" i="77" s="1"/>
  <c r="V34" i="77"/>
  <c r="AD34" i="77" s="1"/>
  <c r="AK34" i="77" s="1"/>
  <c r="Y36" i="77"/>
  <c r="AG36" i="77" s="1"/>
  <c r="AN36" i="77" s="1"/>
  <c r="AK29" i="77"/>
  <c r="AK29" i="73"/>
  <c r="AK29" i="72"/>
  <c r="AL29" i="69"/>
  <c r="V13" i="58"/>
  <c r="AD13" i="58" s="1"/>
  <c r="AK13" i="58" s="1"/>
  <c r="Z16" i="58"/>
  <c r="AH16" i="58" s="1"/>
  <c r="AO16" i="58" s="1"/>
  <c r="V26" i="58"/>
  <c r="AD26" i="58" s="1"/>
  <c r="AK26" i="58" s="1"/>
  <c r="AA37" i="58"/>
  <c r="AI37" i="58" s="1"/>
  <c r="AP37" i="58" s="1"/>
  <c r="AD42" i="58"/>
  <c r="AK42" i="58" s="1"/>
  <c r="AI38" i="58"/>
  <c r="AP38" i="58" s="1"/>
  <c r="AA13" i="58"/>
  <c r="AI13" i="58" s="1"/>
  <c r="AP13" i="58" s="1"/>
  <c r="AG42" i="58"/>
  <c r="AN42" i="58" s="1"/>
  <c r="AH35" i="58"/>
  <c r="AO35" i="58" s="1"/>
  <c r="AI42" i="58"/>
  <c r="AP42" i="58" s="1"/>
  <c r="X16" i="58"/>
  <c r="AF16" i="58" s="1"/>
  <c r="AM16" i="58" s="1"/>
  <c r="AA30" i="58"/>
  <c r="AI30" i="58" s="1"/>
  <c r="AP30" i="58" s="1"/>
  <c r="AH38" i="58"/>
  <c r="AO38" i="58" s="1"/>
  <c r="AK29" i="58"/>
  <c r="AL29" i="50"/>
  <c r="AA9" i="50"/>
  <c r="AI9" i="50" s="1"/>
  <c r="AP9" i="50" s="1"/>
  <c r="AK29" i="51"/>
  <c r="V26" i="52"/>
  <c r="AD26" i="52" s="1"/>
  <c r="AK26" i="52" s="1"/>
  <c r="Z23" i="52"/>
  <c r="AH23" i="52" s="1"/>
  <c r="AO23" i="52" s="1"/>
  <c r="AA20" i="52"/>
  <c r="AI20" i="52" s="1"/>
  <c r="AP20" i="52" s="1"/>
  <c r="V20" i="52"/>
  <c r="AD20" i="52" s="1"/>
  <c r="AK20" i="52" s="1"/>
  <c r="V41" i="52"/>
  <c r="AD41" i="52" s="1"/>
  <c r="AK41" i="52" s="1"/>
  <c r="AA37" i="52"/>
  <c r="AI37" i="52" s="1"/>
  <c r="AP37" i="52" s="1"/>
  <c r="AA36" i="52"/>
  <c r="AI36" i="52" s="1"/>
  <c r="AP36" i="52" s="1"/>
  <c r="V36" i="52"/>
  <c r="AD36" i="52" s="1"/>
  <c r="AK36" i="52" s="1"/>
  <c r="Y35" i="52"/>
  <c r="AG35" i="52" s="1"/>
  <c r="AN35" i="52" s="1"/>
  <c r="AA34" i="52"/>
  <c r="AI34" i="52" s="1"/>
  <c r="AP34" i="52" s="1"/>
  <c r="Z30" i="52"/>
  <c r="AH30" i="52" s="1"/>
  <c r="AO30" i="52" s="1"/>
  <c r="W20" i="52"/>
  <c r="AE20" i="52" s="1"/>
  <c r="AL20" i="52" s="1"/>
  <c r="Z36" i="52"/>
  <c r="AH36" i="52" s="1"/>
  <c r="AO36" i="52" s="1"/>
  <c r="Y36" i="52"/>
  <c r="AG36" i="52" s="1"/>
  <c r="AN36" i="52" s="1"/>
  <c r="Z38" i="52"/>
  <c r="AH38" i="52" s="1"/>
  <c r="AO38" i="52" s="1"/>
  <c r="W38" i="52"/>
  <c r="AE38" i="52" s="1"/>
  <c r="AL38" i="52" s="1"/>
  <c r="T29" i="52"/>
  <c r="V38" i="52"/>
  <c r="AD38" i="52" s="1"/>
  <c r="AK38" i="52" s="1"/>
  <c r="Z41" i="45"/>
  <c r="AH41" i="45" s="1"/>
  <c r="AO41" i="45" s="1"/>
  <c r="Z39" i="45"/>
  <c r="AH39" i="45" s="1"/>
  <c r="AO39" i="45" s="1"/>
  <c r="W38" i="45"/>
  <c r="AE38" i="45" s="1"/>
  <c r="AL38" i="45" s="1"/>
  <c r="W35" i="45"/>
  <c r="AE35" i="45" s="1"/>
  <c r="AL35" i="45" s="1"/>
  <c r="Z34" i="45"/>
  <c r="AH34" i="45" s="1"/>
  <c r="AO34" i="45" s="1"/>
  <c r="Y30" i="45"/>
  <c r="AG30" i="45" s="1"/>
  <c r="AN30" i="45" s="1"/>
  <c r="Y23" i="45"/>
  <c r="AG23" i="45" s="1"/>
  <c r="AN23" i="45" s="1"/>
  <c r="Z20" i="45"/>
  <c r="AH20" i="45" s="1"/>
  <c r="AO20" i="45" s="1"/>
  <c r="W16" i="45"/>
  <c r="AE16" i="45" s="1"/>
  <c r="AL16" i="45" s="1"/>
  <c r="W13" i="45"/>
  <c r="AE13" i="45" s="1"/>
  <c r="AL13" i="45" s="1"/>
  <c r="V28" i="45"/>
  <c r="AD28" i="45" s="1"/>
  <c r="AK28" i="45" s="1"/>
  <c r="AD29" i="45"/>
  <c r="AD42" i="45"/>
  <c r="AK42" i="45" s="1"/>
  <c r="AG42" i="45"/>
  <c r="AN42" i="45" s="1"/>
  <c r="Y13" i="45"/>
  <c r="AG13" i="45" s="1"/>
  <c r="AN13" i="45" s="1"/>
  <c r="AA13" i="45"/>
  <c r="AI13" i="45" s="1"/>
  <c r="AP13" i="45" s="1"/>
  <c r="W39" i="45"/>
  <c r="AE39" i="45" s="1"/>
  <c r="AL39" i="45" s="1"/>
  <c r="Z16" i="45"/>
  <c r="AH16" i="45" s="1"/>
  <c r="AO16" i="45" s="1"/>
  <c r="X20" i="45"/>
  <c r="AF20" i="45" s="1"/>
  <c r="AM20" i="45" s="1"/>
  <c r="V13" i="45"/>
  <c r="AD13" i="45" s="1"/>
  <c r="AK13" i="45" s="1"/>
  <c r="Y16" i="45"/>
  <c r="AG16" i="45" s="1"/>
  <c r="AN16" i="45" s="1"/>
  <c r="X16" i="45"/>
  <c r="AF16" i="45" s="1"/>
  <c r="AM16" i="45" s="1"/>
  <c r="Z29" i="45"/>
  <c r="AH29" i="45" s="1"/>
  <c r="AO29" i="45" s="1"/>
  <c r="Y39" i="45"/>
  <c r="AG39" i="45" s="1"/>
  <c r="AN39" i="45" s="1"/>
  <c r="AF42" i="45"/>
  <c r="AM42" i="45" s="1"/>
  <c r="AA20" i="45"/>
  <c r="AI20" i="45" s="1"/>
  <c r="AP20" i="45" s="1"/>
  <c r="AA13" i="41"/>
  <c r="AI13" i="41" s="1"/>
  <c r="AP13" i="41" s="1"/>
  <c r="Y34" i="41"/>
  <c r="AG34" i="41" s="1"/>
  <c r="AN34" i="41" s="1"/>
  <c r="W30" i="41"/>
  <c r="AE30" i="41" s="1"/>
  <c r="AL30" i="41" s="1"/>
  <c r="V34" i="41"/>
  <c r="AD34" i="41" s="1"/>
  <c r="AK34" i="41" s="1"/>
  <c r="V30" i="41"/>
  <c r="AD30" i="41" s="1"/>
  <c r="AK30" i="41" s="1"/>
  <c r="W41" i="41"/>
  <c r="AE41" i="41" s="1"/>
  <c r="AL41" i="41" s="1"/>
  <c r="V41" i="41"/>
  <c r="AD41" i="41" s="1"/>
  <c r="AK41" i="41" s="1"/>
  <c r="Y23" i="41"/>
  <c r="AG23" i="41" s="1"/>
  <c r="AN23" i="41" s="1"/>
  <c r="AI42" i="41"/>
  <c r="AP42" i="41" s="1"/>
  <c r="AH38" i="41"/>
  <c r="AO38" i="41" s="1"/>
  <c r="Y41" i="41"/>
  <c r="AG41" i="41" s="1"/>
  <c r="AN41" i="41" s="1"/>
  <c r="T29" i="41"/>
  <c r="Y29" i="41"/>
  <c r="AG29" i="41" s="1"/>
  <c r="AN29" i="41" s="1"/>
  <c r="Z30" i="41"/>
  <c r="AH30" i="41" s="1"/>
  <c r="AO30" i="41" s="1"/>
  <c r="AA14" i="41"/>
  <c r="AI14" i="41" s="1"/>
  <c r="AP14" i="41" s="1"/>
  <c r="AA20" i="41"/>
  <c r="AI20" i="41" s="1"/>
  <c r="AP20" i="41" s="1"/>
  <c r="V20" i="41"/>
  <c r="AD20" i="41" s="1"/>
  <c r="AK20" i="41" s="1"/>
  <c r="Y19" i="41"/>
  <c r="AG19" i="41" s="1"/>
  <c r="AN19" i="41" s="1"/>
  <c r="X16" i="41"/>
  <c r="AF16" i="41" s="1"/>
  <c r="AM16" i="41" s="1"/>
  <c r="Z14" i="41"/>
  <c r="AH14" i="41" s="1"/>
  <c r="AO14" i="41" s="1"/>
  <c r="Y13" i="41"/>
  <c r="AG13" i="41" s="1"/>
  <c r="AN13" i="41" s="1"/>
  <c r="AD42" i="41"/>
  <c r="AK42" i="41" s="1"/>
  <c r="W36" i="41"/>
  <c r="AE36" i="41" s="1"/>
  <c r="AL36" i="41" s="1"/>
  <c r="Z36" i="41"/>
  <c r="AH36" i="41" s="1"/>
  <c r="AO36" i="41" s="1"/>
  <c r="V36" i="41"/>
  <c r="AD36" i="41" s="1"/>
  <c r="AK36" i="41" s="1"/>
  <c r="AG42" i="41"/>
  <c r="AN42" i="41" s="1"/>
  <c r="Y9" i="90"/>
  <c r="AG9" i="90" s="1"/>
  <c r="AN9" i="90" s="1"/>
  <c r="W9" i="88"/>
  <c r="AE9" i="88" s="1"/>
  <c r="AL9" i="88" s="1"/>
  <c r="Z9" i="90"/>
  <c r="AH9" i="90" s="1"/>
  <c r="AO9" i="90" s="1"/>
  <c r="H17" i="82"/>
  <c r="S17" i="82" s="1"/>
  <c r="AA621" i="97" s="1"/>
  <c r="B8" i="2"/>
  <c r="C9" i="87"/>
  <c r="N9" i="87" s="1"/>
  <c r="T9" i="87" s="1"/>
  <c r="C9" i="83"/>
  <c r="C9" i="82"/>
  <c r="I9" i="82" s="1"/>
  <c r="Z27" i="44"/>
  <c r="M33" i="55"/>
  <c r="BM27" i="70"/>
  <c r="P95" i="44"/>
  <c r="M33" i="54"/>
  <c r="L26" i="37"/>
  <c r="L26" i="16" s="1"/>
  <c r="H16" i="53"/>
  <c r="I16" i="53" s="1"/>
  <c r="Q26" i="37"/>
  <c r="Q26" i="16" s="1"/>
  <c r="P108" i="13"/>
  <c r="D18" i="20"/>
  <c r="AE18" i="20"/>
  <c r="AA18" i="20"/>
  <c r="W18" i="20"/>
  <c r="S18" i="20"/>
  <c r="O18" i="20"/>
  <c r="K18" i="20"/>
  <c r="G18" i="20"/>
  <c r="AF18" i="20"/>
  <c r="AB18" i="20"/>
  <c r="X18" i="20"/>
  <c r="T18" i="20"/>
  <c r="P18" i="20"/>
  <c r="L18" i="20"/>
  <c r="H18" i="20"/>
  <c r="H16" i="88"/>
  <c r="I16" i="88" s="1"/>
  <c r="T26" i="37"/>
  <c r="T26" i="16" s="1"/>
  <c r="H16" i="51"/>
  <c r="H8" i="51" s="1"/>
  <c r="Y29" i="20"/>
  <c r="D108" i="13"/>
  <c r="AC29" i="20"/>
  <c r="G42" i="90"/>
  <c r="O24" i="94"/>
  <c r="AG18" i="94"/>
  <c r="Z42" i="96" s="1"/>
  <c r="AH42" i="96" s="1"/>
  <c r="AO42" i="96" s="1"/>
  <c r="G42" i="45"/>
  <c r="G42" i="55"/>
  <c r="R42" i="55" s="1"/>
  <c r="Q35" i="97" s="1"/>
  <c r="Z18" i="94"/>
  <c r="Z42" i="83" s="1"/>
  <c r="AB42" i="83" s="1"/>
  <c r="W18" i="94"/>
  <c r="Z42" i="79" s="1"/>
  <c r="R18" i="94"/>
  <c r="Z42" i="64" s="1"/>
  <c r="G42" i="73"/>
  <c r="AB24" i="94"/>
  <c r="Q18" i="94"/>
  <c r="Z42" i="58" s="1"/>
  <c r="V14" i="96"/>
  <c r="AD14" i="96" s="1"/>
  <c r="AK14" i="96" s="1"/>
  <c r="Z14" i="96"/>
  <c r="AH14" i="96" s="1"/>
  <c r="AO14" i="96" s="1"/>
  <c r="AA19" i="96"/>
  <c r="AI19" i="96" s="1"/>
  <c r="AP19" i="96" s="1"/>
  <c r="V19" i="96"/>
  <c r="AD19" i="96" s="1"/>
  <c r="AK19" i="96" s="1"/>
  <c r="Z23" i="96"/>
  <c r="AH23" i="96" s="1"/>
  <c r="AO23" i="96" s="1"/>
  <c r="AA30" i="96"/>
  <c r="AI30" i="96" s="1"/>
  <c r="AP30" i="96" s="1"/>
  <c r="AA39" i="96"/>
  <c r="AI39" i="96" s="1"/>
  <c r="AP39" i="96" s="1"/>
  <c r="Y13" i="96"/>
  <c r="AG13" i="96" s="1"/>
  <c r="AN13" i="96" s="1"/>
  <c r="Z13" i="96"/>
  <c r="AH13" i="96" s="1"/>
  <c r="AO13" i="96" s="1"/>
  <c r="V13" i="96"/>
  <c r="AD13" i="96" s="1"/>
  <c r="AK13" i="96" s="1"/>
  <c r="AA13" i="96"/>
  <c r="AI13" i="96" s="1"/>
  <c r="AP13" i="96" s="1"/>
  <c r="X16" i="96"/>
  <c r="AF16" i="96" s="1"/>
  <c r="AM16" i="96" s="1"/>
  <c r="Y19" i="96"/>
  <c r="AG19" i="96" s="1"/>
  <c r="AN19" i="96" s="1"/>
  <c r="Y23" i="96"/>
  <c r="AG23" i="96" s="1"/>
  <c r="AN23" i="96" s="1"/>
  <c r="Z39" i="96"/>
  <c r="AH39" i="96" s="1"/>
  <c r="AO39" i="96" s="1"/>
  <c r="Z16" i="96"/>
  <c r="AH16" i="96" s="1"/>
  <c r="AO16" i="96" s="1"/>
  <c r="Z26" i="96"/>
  <c r="AH26" i="96" s="1"/>
  <c r="AO26" i="96" s="1"/>
  <c r="AA34" i="96"/>
  <c r="AI34" i="96" s="1"/>
  <c r="AP34" i="96" s="1"/>
  <c r="AA37" i="96"/>
  <c r="AI37" i="96" s="1"/>
  <c r="AP37" i="96" s="1"/>
  <c r="Y38" i="96"/>
  <c r="AG38" i="96" s="1"/>
  <c r="AN38" i="96" s="1"/>
  <c r="AG42" i="96"/>
  <c r="AN42" i="96" s="1"/>
  <c r="V36" i="96"/>
  <c r="AD36" i="96" s="1"/>
  <c r="AK36" i="96" s="1"/>
  <c r="AA36" i="96"/>
  <c r="AI36" i="96" s="1"/>
  <c r="AP36" i="96" s="1"/>
  <c r="V38" i="96"/>
  <c r="AD38" i="96" s="1"/>
  <c r="AK38" i="96" s="1"/>
  <c r="AE38" i="96"/>
  <c r="AL38" i="96" s="1"/>
  <c r="Z19" i="96"/>
  <c r="AH19" i="96" s="1"/>
  <c r="AO19" i="96" s="1"/>
  <c r="W26" i="96"/>
  <c r="AE26" i="96" s="1"/>
  <c r="AL26" i="96" s="1"/>
  <c r="V39" i="96"/>
  <c r="AD39" i="96" s="1"/>
  <c r="AK39" i="96" s="1"/>
  <c r="W19" i="96"/>
  <c r="AE19" i="96" s="1"/>
  <c r="AL19" i="96" s="1"/>
  <c r="W35" i="96"/>
  <c r="AE35" i="96" s="1"/>
  <c r="AL35" i="96" s="1"/>
  <c r="W39" i="96"/>
  <c r="AE39" i="96" s="1"/>
  <c r="AL39" i="96" s="1"/>
  <c r="AA41" i="96"/>
  <c r="AI41" i="96" s="1"/>
  <c r="AP41" i="96" s="1"/>
  <c r="X20" i="96"/>
  <c r="AF20" i="96" s="1"/>
  <c r="AM20" i="96" s="1"/>
  <c r="V28" i="96"/>
  <c r="AD28" i="96" s="1"/>
  <c r="AK28" i="96" s="1"/>
  <c r="T29" i="96"/>
  <c r="V30" i="96"/>
  <c r="AD30" i="96" s="1"/>
  <c r="AK30" i="96" s="1"/>
  <c r="V34" i="96"/>
  <c r="AD34" i="96" s="1"/>
  <c r="AK34" i="96" s="1"/>
  <c r="Y35" i="96"/>
  <c r="AG35" i="96" s="1"/>
  <c r="AN35" i="96" s="1"/>
  <c r="V37" i="96"/>
  <c r="AD37" i="96" s="1"/>
  <c r="AK37" i="96" s="1"/>
  <c r="Z38" i="96"/>
  <c r="AH38" i="96" s="1"/>
  <c r="AO38" i="96" s="1"/>
  <c r="Y39" i="96"/>
  <c r="AG39" i="96" s="1"/>
  <c r="AN39" i="96" s="1"/>
  <c r="AA38" i="96"/>
  <c r="AI38" i="96" s="1"/>
  <c r="AP38" i="96" s="1"/>
  <c r="V35" i="96"/>
  <c r="AD35" i="96" s="1"/>
  <c r="AK35" i="96" s="1"/>
  <c r="W30" i="96"/>
  <c r="AE30" i="96" s="1"/>
  <c r="AL30" i="96" s="1"/>
  <c r="Y30" i="96"/>
  <c r="AG30" i="96" s="1"/>
  <c r="AN30" i="96" s="1"/>
  <c r="Z30" i="96"/>
  <c r="AH30" i="96" s="1"/>
  <c r="AO30" i="96" s="1"/>
  <c r="AE42" i="96"/>
  <c r="AL42" i="96" s="1"/>
  <c r="AI42" i="96"/>
  <c r="AP42" i="96" s="1"/>
  <c r="AE14" i="96"/>
  <c r="AL14" i="96" s="1"/>
  <c r="W34" i="96"/>
  <c r="AE34" i="96" s="1"/>
  <c r="AL34" i="96" s="1"/>
  <c r="Y34" i="96"/>
  <c r="AG34" i="96" s="1"/>
  <c r="AN34" i="96" s="1"/>
  <c r="Z34" i="96"/>
  <c r="AH34" i="96" s="1"/>
  <c r="AO34" i="96" s="1"/>
  <c r="V41" i="96"/>
  <c r="AD41" i="96" s="1"/>
  <c r="AK41" i="96" s="1"/>
  <c r="W41" i="96"/>
  <c r="AE41" i="96" s="1"/>
  <c r="AL41" i="96" s="1"/>
  <c r="Y41" i="96"/>
  <c r="AG41" i="96" s="1"/>
  <c r="AN41" i="96" s="1"/>
  <c r="Z41" i="96"/>
  <c r="AH41" i="96" s="1"/>
  <c r="AO41" i="96" s="1"/>
  <c r="AD42" i="96"/>
  <c r="AK42" i="96" s="1"/>
  <c r="Y9" i="41"/>
  <c r="AG9" i="41" s="1"/>
  <c r="AN9" i="41" s="1"/>
  <c r="Z9" i="69"/>
  <c r="AH9" i="69" s="1"/>
  <c r="AO9" i="69" s="1"/>
  <c r="X9" i="64"/>
  <c r="AF9" i="64" s="1"/>
  <c r="AM9" i="64" s="1"/>
  <c r="Z9" i="41"/>
  <c r="AH9" i="41" s="1"/>
  <c r="AO9" i="41" s="1"/>
  <c r="Z9" i="56"/>
  <c r="AH9" i="56" s="1"/>
  <c r="AO9" i="56" s="1"/>
  <c r="Z9" i="72"/>
  <c r="AH9" i="72" s="1"/>
  <c r="AO9" i="72" s="1"/>
  <c r="Y9" i="45"/>
  <c r="AG9" i="45" s="1"/>
  <c r="AN9" i="45" s="1"/>
  <c r="X9" i="45"/>
  <c r="AF9" i="45" s="1"/>
  <c r="AM9" i="45" s="1"/>
  <c r="AA9" i="53"/>
  <c r="AI9" i="53" s="1"/>
  <c r="AP9" i="53" s="1"/>
  <c r="W9" i="56"/>
  <c r="AE9" i="56" s="1"/>
  <c r="AL9" i="56" s="1"/>
  <c r="Z9" i="51"/>
  <c r="AH9" i="51" s="1"/>
  <c r="AO9" i="51" s="1"/>
  <c r="Y9" i="87"/>
  <c r="AG9" i="87" s="1"/>
  <c r="AN9" i="87" s="1"/>
  <c r="AA9" i="45"/>
  <c r="AI9" i="45" s="1"/>
  <c r="AP9" i="45" s="1"/>
  <c r="W9" i="41"/>
  <c r="AE9" i="41" s="1"/>
  <c r="AL9" i="41" s="1"/>
  <c r="W9" i="90"/>
  <c r="AE9" i="90" s="1"/>
  <c r="AL9" i="90" s="1"/>
  <c r="X9" i="72"/>
  <c r="AF9" i="72" s="1"/>
  <c r="AM9" i="72" s="1"/>
  <c r="X9" i="51"/>
  <c r="AF9" i="51" s="1"/>
  <c r="AM9" i="51" s="1"/>
  <c r="W9" i="79"/>
  <c r="AE9" i="79" s="1"/>
  <c r="AL9" i="79" s="1"/>
  <c r="X9" i="53"/>
  <c r="AF9" i="53" s="1"/>
  <c r="AM9" i="53" s="1"/>
  <c r="AA9" i="88"/>
  <c r="AI9" i="88" s="1"/>
  <c r="AP9" i="88" s="1"/>
  <c r="Z9" i="85"/>
  <c r="AH9" i="85" s="1"/>
  <c r="AO9" i="85" s="1"/>
  <c r="AA9" i="46"/>
  <c r="AI9" i="46" s="1"/>
  <c r="AP9" i="46" s="1"/>
  <c r="Y9" i="53"/>
  <c r="AG9" i="53" s="1"/>
  <c r="AN9" i="53" s="1"/>
  <c r="Y9" i="85"/>
  <c r="AG9" i="85" s="1"/>
  <c r="AN9" i="85" s="1"/>
  <c r="W9" i="46"/>
  <c r="AE9" i="46" s="1"/>
  <c r="AL9" i="46" s="1"/>
  <c r="X9" i="90"/>
  <c r="AF9" i="90" s="1"/>
  <c r="AM9" i="90" s="1"/>
  <c r="X9" i="69"/>
  <c r="AF9" i="69" s="1"/>
  <c r="AM9" i="69" s="1"/>
  <c r="W9" i="64"/>
  <c r="AE9" i="64" s="1"/>
  <c r="AL9" i="64" s="1"/>
  <c r="X9" i="41"/>
  <c r="AF9" i="41" s="1"/>
  <c r="AM9" i="41" s="1"/>
  <c r="W9" i="87"/>
  <c r="AE9" i="87" s="1"/>
  <c r="AL9" i="87" s="1"/>
  <c r="Z9" i="88"/>
  <c r="AH9" i="88" s="1"/>
  <c r="AO9" i="88" s="1"/>
  <c r="AA9" i="56"/>
  <c r="AI9" i="56" s="1"/>
  <c r="AP9" i="56" s="1"/>
  <c r="Y9" i="56"/>
  <c r="AG9" i="56" s="1"/>
  <c r="AN9" i="56" s="1"/>
  <c r="AA9" i="72"/>
  <c r="AI9" i="72" s="1"/>
  <c r="AP9" i="72" s="1"/>
  <c r="Y9" i="72"/>
  <c r="AG9" i="72" s="1"/>
  <c r="AN9" i="72" s="1"/>
  <c r="W9" i="51"/>
  <c r="AE9" i="51" s="1"/>
  <c r="AL9" i="51" s="1"/>
  <c r="AA9" i="64"/>
  <c r="AI9" i="64" s="1"/>
  <c r="AP9" i="64" s="1"/>
  <c r="Z9" i="64"/>
  <c r="AH9" i="64" s="1"/>
  <c r="AO9" i="64" s="1"/>
  <c r="AA9" i="49"/>
  <c r="AI9" i="49" s="1"/>
  <c r="AA9" i="87"/>
  <c r="AI9" i="87" s="1"/>
  <c r="AP9" i="87" s="1"/>
  <c r="X9" i="88"/>
  <c r="AF9" i="88" s="1"/>
  <c r="AM9" i="88" s="1"/>
  <c r="Y9" i="51"/>
  <c r="AG9" i="51" s="1"/>
  <c r="AN9" i="51" s="1"/>
  <c r="AA36" i="55"/>
  <c r="AI36" i="55" s="1"/>
  <c r="AP36" i="55" s="1"/>
  <c r="W36" i="54"/>
  <c r="AE36" i="54" s="1"/>
  <c r="AL36" i="54" s="1"/>
  <c r="V36" i="84"/>
  <c r="AD36" i="84" s="1"/>
  <c r="AK36" i="84" s="1"/>
  <c r="Y36" i="46"/>
  <c r="AG36" i="46" s="1"/>
  <c r="AN36" i="46" s="1"/>
  <c r="Y36" i="83"/>
  <c r="AG36" i="83" s="1"/>
  <c r="AN36" i="83" s="1"/>
  <c r="AA36" i="84"/>
  <c r="AI36" i="84" s="1"/>
  <c r="AP36" i="84" s="1"/>
  <c r="AA36" i="73"/>
  <c r="AI36" i="73" s="1"/>
  <c r="AP36" i="73" s="1"/>
  <c r="W36" i="84"/>
  <c r="AE36" i="84" s="1"/>
  <c r="AL36" i="84" s="1"/>
  <c r="Y36" i="55"/>
  <c r="AG36" i="55" s="1"/>
  <c r="AN36" i="55" s="1"/>
  <c r="W36" i="64"/>
  <c r="AE36" i="64" s="1"/>
  <c r="AL36" i="64" s="1"/>
  <c r="Z36" i="73"/>
  <c r="AH36" i="73" s="1"/>
  <c r="AO36" i="73" s="1"/>
  <c r="V36" i="46"/>
  <c r="AD36" i="46" s="1"/>
  <c r="AK36" i="46" s="1"/>
  <c r="Y36" i="90"/>
  <c r="AG36" i="90" s="1"/>
  <c r="AN36" i="90" s="1"/>
  <c r="V36" i="54"/>
  <c r="AD36" i="54" s="1"/>
  <c r="AK36" i="54" s="1"/>
  <c r="Z36" i="83"/>
  <c r="AH36" i="83" s="1"/>
  <c r="AO36" i="83" s="1"/>
  <c r="Z36" i="84"/>
  <c r="AH36" i="84" s="1"/>
  <c r="AO36" i="84" s="1"/>
  <c r="W36" i="83"/>
  <c r="AE36" i="83" s="1"/>
  <c r="AL36" i="83" s="1"/>
  <c r="Y36" i="54"/>
  <c r="AG36" i="54" s="1"/>
  <c r="AN36" i="54" s="1"/>
  <c r="Z36" i="55"/>
  <c r="AH36" i="55" s="1"/>
  <c r="AO36" i="55" s="1"/>
  <c r="V36" i="90"/>
  <c r="AD36" i="90" s="1"/>
  <c r="AK36" i="90" s="1"/>
  <c r="Z36" i="96"/>
  <c r="AH36" i="96" s="1"/>
  <c r="AO36" i="96" s="1"/>
  <c r="P30" i="20"/>
  <c r="O27" i="37" s="1"/>
  <c r="W26" i="5"/>
  <c r="S26" i="5"/>
  <c r="D30" i="20"/>
  <c r="H30" i="20"/>
  <c r="H17" i="52" s="1"/>
  <c r="L30" i="20"/>
  <c r="H17" i="48" s="1"/>
  <c r="S17" i="48" s="1"/>
  <c r="V26" i="5"/>
  <c r="T30" i="20"/>
  <c r="H17" i="72" s="1"/>
  <c r="S17" i="72" s="1"/>
  <c r="V621" i="97" s="1"/>
  <c r="X30" i="20"/>
  <c r="W27" i="37" s="1"/>
  <c r="W27" i="16" s="1"/>
  <c r="AB30" i="20"/>
  <c r="AA27" i="37" s="1"/>
  <c r="AA27" i="16" s="1"/>
  <c r="AL26" i="5"/>
  <c r="T42" i="51"/>
  <c r="S16" i="46"/>
  <c r="AA16" i="46" s="1"/>
  <c r="AI16" i="46" s="1"/>
  <c r="H17" i="45"/>
  <c r="S17" i="45" s="1"/>
  <c r="AA9" i="82"/>
  <c r="AI9" i="82" s="1"/>
  <c r="AP9" i="82" s="1"/>
  <c r="Y9" i="82"/>
  <c r="AG9" i="82" s="1"/>
  <c r="AN9" i="82" s="1"/>
  <c r="W9" i="82"/>
  <c r="AE9" i="82" s="1"/>
  <c r="AL9" i="82" s="1"/>
  <c r="Z9" i="83"/>
  <c r="AH9" i="83" s="1"/>
  <c r="AO9" i="83" s="1"/>
  <c r="AA9" i="83"/>
  <c r="AI9" i="83" s="1"/>
  <c r="AP9" i="83" s="1"/>
  <c r="Y9" i="48"/>
  <c r="AG9" i="48" s="1"/>
  <c r="AN9" i="48" s="1"/>
  <c r="X9" i="48"/>
  <c r="AF9" i="48" s="1"/>
  <c r="AM9" i="48" s="1"/>
  <c r="Z9" i="47"/>
  <c r="AH9" i="47" s="1"/>
  <c r="AO9" i="47" s="1"/>
  <c r="Z9" i="45"/>
  <c r="AH9" i="45" s="1"/>
  <c r="AO9" i="45" s="1"/>
  <c r="Z9" i="53"/>
  <c r="AH9" i="53" s="1"/>
  <c r="AO9" i="53" s="1"/>
  <c r="Y9" i="50"/>
  <c r="AG9" i="50" s="1"/>
  <c r="AN9" i="50" s="1"/>
  <c r="AA9" i="85"/>
  <c r="AI9" i="85" s="1"/>
  <c r="AP9" i="85" s="1"/>
  <c r="W9" i="85"/>
  <c r="AE9" i="85" s="1"/>
  <c r="AL9" i="85" s="1"/>
  <c r="Y9" i="69"/>
  <c r="AG9" i="69" s="1"/>
  <c r="AN9" i="69" s="1"/>
  <c r="AA9" i="69"/>
  <c r="AI9" i="69" s="1"/>
  <c r="AP9" i="69" s="1"/>
  <c r="K26" i="5"/>
  <c r="M26" i="5"/>
  <c r="N26" i="5"/>
  <c r="O26" i="5"/>
  <c r="Q26" i="5"/>
  <c r="R26" i="5"/>
  <c r="U26" i="5"/>
  <c r="Y26" i="5"/>
  <c r="Z26" i="5"/>
  <c r="AA26" i="5"/>
  <c r="AD26" i="5"/>
  <c r="AE26" i="5"/>
  <c r="AH26" i="5"/>
  <c r="AK26" i="5"/>
  <c r="G24" i="94"/>
  <c r="W9" i="50"/>
  <c r="AE9" i="50" s="1"/>
  <c r="AL9" i="50" s="1"/>
  <c r="X9" i="49"/>
  <c r="AF9" i="49" s="1"/>
  <c r="AM9" i="49" s="1"/>
  <c r="Z9" i="48"/>
  <c r="AH9" i="48" s="1"/>
  <c r="AO9" i="48" s="1"/>
  <c r="X9" i="50"/>
  <c r="AF9" i="50" s="1"/>
  <c r="AM9" i="50" s="1"/>
  <c r="W9" i="49"/>
  <c r="AE9" i="49" s="1"/>
  <c r="AL9" i="49" s="1"/>
  <c r="Y9" i="49"/>
  <c r="AG9" i="49" s="1"/>
  <c r="AN9" i="49" s="1"/>
  <c r="Y9" i="81"/>
  <c r="AG9" i="81" s="1"/>
  <c r="AN9" i="81" s="1"/>
  <c r="AA9" i="55"/>
  <c r="AI9" i="55" s="1"/>
  <c r="AP9" i="55" s="1"/>
  <c r="Z9" i="79"/>
  <c r="AH9" i="79" s="1"/>
  <c r="AO9" i="79" s="1"/>
  <c r="AA9" i="79"/>
  <c r="AI9" i="79" s="1"/>
  <c r="AP9" i="79" s="1"/>
  <c r="X9" i="79"/>
  <c r="AF9" i="79" s="1"/>
  <c r="AM9" i="79" s="1"/>
  <c r="AB27" i="37"/>
  <c r="AB27" i="16" s="1"/>
  <c r="H17" i="87"/>
  <c r="S17" i="87" s="1"/>
  <c r="AE621" i="97" s="1"/>
  <c r="H27" i="37"/>
  <c r="H27" i="16" s="1"/>
  <c r="H17" i="51"/>
  <c r="S17" i="51" s="1"/>
  <c r="H17" i="96"/>
  <c r="S17" i="96" s="1"/>
  <c r="AA126" i="2"/>
  <c r="AA76" i="2" s="1"/>
  <c r="AP79" i="70" s="1"/>
  <c r="AE18" i="94"/>
  <c r="Z42" i="90" s="1"/>
  <c r="J18" i="94"/>
  <c r="Z42" i="50" s="1"/>
  <c r="M18" i="94"/>
  <c r="Z42" i="47" s="1"/>
  <c r="AD18" i="94"/>
  <c r="Z42" i="88" s="1"/>
  <c r="S18" i="94"/>
  <c r="Z42" i="69" s="1"/>
  <c r="F18" i="94"/>
  <c r="Z42" i="54" s="1"/>
  <c r="H36" i="20"/>
  <c r="L36" i="20"/>
  <c r="P36" i="20"/>
  <c r="T36" i="20"/>
  <c r="X36" i="20"/>
  <c r="AB36" i="20"/>
  <c r="AF36" i="20"/>
  <c r="E36" i="20"/>
  <c r="Q36" i="20"/>
  <c r="U36" i="20"/>
  <c r="P27" i="37"/>
  <c r="P27" i="16" s="1"/>
  <c r="H17" i="58"/>
  <c r="S17" i="58" s="1"/>
  <c r="AF30" i="20"/>
  <c r="AI9" i="47"/>
  <c r="AP9" i="47" s="1"/>
  <c r="Z9" i="52"/>
  <c r="AA9" i="52"/>
  <c r="AI9" i="52" s="1"/>
  <c r="AP9" i="52" s="1"/>
  <c r="X9" i="52"/>
  <c r="AF9" i="52" s="1"/>
  <c r="AM9" i="52" s="1"/>
  <c r="Y9" i="52"/>
  <c r="AG9" i="52" s="1"/>
  <c r="AN9" i="52" s="1"/>
  <c r="Y9" i="58"/>
  <c r="AG9" i="58" s="1"/>
  <c r="AN9" i="58" s="1"/>
  <c r="X9" i="58"/>
  <c r="AF9" i="58" s="1"/>
  <c r="AM9" i="58" s="1"/>
  <c r="AA9" i="58"/>
  <c r="AI9" i="58" s="1"/>
  <c r="AP9" i="58" s="1"/>
  <c r="W9" i="58"/>
  <c r="AE9" i="58" s="1"/>
  <c r="AL9" i="58" s="1"/>
  <c r="L26" i="5"/>
  <c r="F30" i="20"/>
  <c r="P26" i="5"/>
  <c r="J30" i="20"/>
  <c r="I27" i="37" s="1"/>
  <c r="N30" i="20"/>
  <c r="T26" i="5"/>
  <c r="R30" i="20"/>
  <c r="X26" i="5"/>
  <c r="AB26" i="5"/>
  <c r="V30" i="20"/>
  <c r="AF26" i="5"/>
  <c r="Z30" i="20"/>
  <c r="Y27" i="37" s="1"/>
  <c r="AJ26" i="5"/>
  <c r="AD30" i="20"/>
  <c r="Y9" i="84"/>
  <c r="AG9" i="84" s="1"/>
  <c r="AN9" i="84" s="1"/>
  <c r="X9" i="84"/>
  <c r="AF9" i="84" s="1"/>
  <c r="AM9" i="84" s="1"/>
  <c r="X9" i="73"/>
  <c r="AF9" i="73" s="1"/>
  <c r="AM9" i="73" s="1"/>
  <c r="Y9" i="73"/>
  <c r="AG9" i="73" s="1"/>
  <c r="AN9" i="73" s="1"/>
  <c r="W9" i="47"/>
  <c r="X9" i="47"/>
  <c r="AF9" i="47" s="1"/>
  <c r="AM9" i="47" s="1"/>
  <c r="AA9" i="54"/>
  <c r="AI9" i="54" s="1"/>
  <c r="AP9" i="54" s="1"/>
  <c r="Y9" i="54"/>
  <c r="AG9" i="54" s="1"/>
  <c r="AN9" i="54" s="1"/>
  <c r="X9" i="54"/>
  <c r="AF9" i="54" s="1"/>
  <c r="AM9" i="54" s="1"/>
  <c r="X9" i="87"/>
  <c r="AF9" i="87" s="1"/>
  <c r="AM9" i="87" s="1"/>
  <c r="W9" i="84"/>
  <c r="AE9" i="84" s="1"/>
  <c r="AL9" i="84" s="1"/>
  <c r="Z9" i="82"/>
  <c r="AH9" i="82" s="1"/>
  <c r="AO9" i="82" s="1"/>
  <c r="W9" i="73"/>
  <c r="AE9" i="73" s="1"/>
  <c r="AL9" i="73" s="1"/>
  <c r="Z9" i="77"/>
  <c r="AH9" i="77" s="1"/>
  <c r="AO9" i="77" s="1"/>
  <c r="AA9" i="77"/>
  <c r="W9" i="77"/>
  <c r="Y9" i="77"/>
  <c r="AG9" i="77" s="1"/>
  <c r="AN9" i="77" s="1"/>
  <c r="Z9" i="81"/>
  <c r="X9" i="81"/>
  <c r="AF9" i="81" s="1"/>
  <c r="AM9" i="81" s="1"/>
  <c r="W9" i="81"/>
  <c r="AE9" i="81" s="1"/>
  <c r="AL9" i="81" s="1"/>
  <c r="Y9" i="83"/>
  <c r="AG9" i="83" s="1"/>
  <c r="AN9" i="83" s="1"/>
  <c r="X9" i="83"/>
  <c r="AF9" i="83" s="1"/>
  <c r="AM9" i="83" s="1"/>
  <c r="W9" i="83"/>
  <c r="AE9" i="83" s="1"/>
  <c r="AL9" i="83" s="1"/>
  <c r="AA9" i="48"/>
  <c r="AI9" i="48" s="1"/>
  <c r="AP9" i="48" s="1"/>
  <c r="W9" i="48"/>
  <c r="AE9" i="48" s="1"/>
  <c r="AL9" i="48" s="1"/>
  <c r="Z9" i="84"/>
  <c r="AH9" i="84" s="1"/>
  <c r="W9" i="55"/>
  <c r="AE9" i="55" s="1"/>
  <c r="AL9" i="55" s="1"/>
  <c r="Y9" i="55"/>
  <c r="AG9" i="55" s="1"/>
  <c r="AN9" i="55" s="1"/>
  <c r="X9" i="55"/>
  <c r="AF9" i="55" s="1"/>
  <c r="AM9" i="55" s="1"/>
  <c r="X9" i="82"/>
  <c r="AF9" i="82" s="1"/>
  <c r="AM9" i="82" s="1"/>
  <c r="W9" i="54"/>
  <c r="Y9" i="47"/>
  <c r="AG9" i="47" s="1"/>
  <c r="AN9" i="47" s="1"/>
  <c r="Z9" i="73"/>
  <c r="AH9" i="73" s="1"/>
  <c r="AO9" i="73" s="1"/>
  <c r="Z9" i="46"/>
  <c r="Y9" i="46"/>
  <c r="AG9" i="46" s="1"/>
  <c r="AN9" i="46" s="1"/>
  <c r="L27" i="37"/>
  <c r="H17" i="47"/>
  <c r="S17" i="47" s="1"/>
  <c r="D36" i="20"/>
  <c r="AA9" i="73"/>
  <c r="H8" i="55"/>
  <c r="I16" i="55"/>
  <c r="S16" i="55"/>
  <c r="M33" i="77"/>
  <c r="BT27" i="70"/>
  <c r="W95" i="44"/>
  <c r="AG18" i="20"/>
  <c r="AC18" i="20"/>
  <c r="Y18" i="20"/>
  <c r="U18" i="20"/>
  <c r="Q18" i="20"/>
  <c r="M18" i="20"/>
  <c r="I18" i="20"/>
  <c r="E18" i="20"/>
  <c r="AD18" i="20"/>
  <c r="Z18" i="20"/>
  <c r="V18" i="20"/>
  <c r="R18" i="20"/>
  <c r="N18" i="20"/>
  <c r="J18" i="20"/>
  <c r="F18" i="20"/>
  <c r="AE34" i="20"/>
  <c r="AA34" i="20"/>
  <c r="W34" i="20"/>
  <c r="S34" i="20"/>
  <c r="O34" i="20"/>
  <c r="G34" i="20"/>
  <c r="AF33" i="20"/>
  <c r="AB33" i="20"/>
  <c r="X33" i="20"/>
  <c r="T33" i="20"/>
  <c r="P33" i="20"/>
  <c r="L33" i="20"/>
  <c r="H33" i="20"/>
  <c r="AG32" i="20"/>
  <c r="AC32" i="20"/>
  <c r="Y32" i="20"/>
  <c r="U32" i="20"/>
  <c r="M32" i="20"/>
  <c r="I32" i="20"/>
  <c r="E32" i="20"/>
  <c r="AD108" i="13"/>
  <c r="AE30" i="20"/>
  <c r="Z108" i="13"/>
  <c r="AA30" i="20"/>
  <c r="W30" i="20"/>
  <c r="V108" i="13"/>
  <c r="S30" i="20"/>
  <c r="R108" i="13"/>
  <c r="J108" i="13"/>
  <c r="K30" i="20"/>
  <c r="G30" i="20"/>
  <c r="F108" i="13"/>
  <c r="AE108" i="13"/>
  <c r="AF29" i="20"/>
  <c r="AB29" i="20"/>
  <c r="AA108" i="13"/>
  <c r="W108" i="13"/>
  <c r="X29" i="20"/>
  <c r="T29" i="20"/>
  <c r="S108" i="13"/>
  <c r="O108" i="13"/>
  <c r="P29" i="20"/>
  <c r="K108" i="13"/>
  <c r="L29" i="20"/>
  <c r="AG24" i="94"/>
  <c r="G42" i="96"/>
  <c r="Q32" i="20"/>
  <c r="K34" i="20"/>
  <c r="O30" i="20"/>
  <c r="G108" i="13"/>
  <c r="BQ27" i="70"/>
  <c r="T95" i="44"/>
  <c r="M33" i="69"/>
  <c r="AE95" i="44"/>
  <c r="CB27" i="70"/>
  <c r="M33" i="88"/>
  <c r="M33" i="50"/>
  <c r="BH27" i="70"/>
  <c r="K95" i="44"/>
  <c r="H16" i="54"/>
  <c r="E26" i="37"/>
  <c r="J95" i="44"/>
  <c r="BG27" i="70"/>
  <c r="S95" i="44"/>
  <c r="M33" i="64"/>
  <c r="BU27" i="70"/>
  <c r="X95" i="44"/>
  <c r="O95" i="44"/>
  <c r="M33" i="46"/>
  <c r="BL27" i="70"/>
  <c r="BE27" i="70"/>
  <c r="M33" i="53"/>
  <c r="H95" i="44"/>
  <c r="T27" i="37"/>
  <c r="H17" i="73"/>
  <c r="I24" i="94"/>
  <c r="L24" i="94"/>
  <c r="T24" i="94"/>
  <c r="R24" i="94"/>
  <c r="Y18" i="94"/>
  <c r="Z42" i="82" s="1"/>
  <c r="Y24" i="94"/>
  <c r="AF24" i="94"/>
  <c r="AG66" i="44"/>
  <c r="AH66" i="44"/>
  <c r="AF18" i="94"/>
  <c r="Z42" i="95" s="1"/>
  <c r="D21" i="94"/>
  <c r="D15" i="94"/>
  <c r="P21" i="94"/>
  <c r="P15" i="94"/>
  <c r="D22" i="94"/>
  <c r="D16" i="94"/>
  <c r="H22" i="94"/>
  <c r="H16" i="94"/>
  <c r="L22" i="94"/>
  <c r="L16" i="94"/>
  <c r="P22" i="94"/>
  <c r="P16" i="94"/>
  <c r="T22" i="94"/>
  <c r="T16" i="94"/>
  <c r="X22" i="94"/>
  <c r="X16" i="94"/>
  <c r="AB22" i="94"/>
  <c r="AB16" i="94"/>
  <c r="D23" i="94"/>
  <c r="D17" i="94"/>
  <c r="H23" i="94"/>
  <c r="H17" i="94"/>
  <c r="L23" i="94"/>
  <c r="L17" i="94"/>
  <c r="P23" i="94"/>
  <c r="P17" i="94"/>
  <c r="T23" i="94"/>
  <c r="T17" i="94"/>
  <c r="X23" i="94"/>
  <c r="X17" i="94"/>
  <c r="AB23" i="94"/>
  <c r="AB17" i="94"/>
  <c r="F874" i="97" l="1"/>
  <c r="E122" i="44"/>
  <c r="E151" i="44" s="1"/>
  <c r="R42" i="41"/>
  <c r="T42" i="41" s="1"/>
  <c r="M33" i="49"/>
  <c r="BC27" i="70"/>
  <c r="F109" i="13"/>
  <c r="F110" i="13" s="1"/>
  <c r="F112" i="13" s="1"/>
  <c r="AQ29" i="90"/>
  <c r="AJ29" i="56"/>
  <c r="AL170" i="44"/>
  <c r="AO170" i="44"/>
  <c r="AJ29" i="47"/>
  <c r="AN170" i="44"/>
  <c r="AM170" i="44"/>
  <c r="AQ29" i="41"/>
  <c r="Y35" i="20"/>
  <c r="Z26" i="44" s="1"/>
  <c r="I42" i="72"/>
  <c r="Y35" i="97"/>
  <c r="AJ85" i="70"/>
  <c r="AJ29" i="54"/>
  <c r="AJ29" i="53"/>
  <c r="AJ29" i="90"/>
  <c r="AB29" i="52"/>
  <c r="AB29" i="47"/>
  <c r="AJ29" i="87"/>
  <c r="AB29" i="54"/>
  <c r="AJ29" i="64"/>
  <c r="C8" i="101"/>
  <c r="N9" i="101"/>
  <c r="I9" i="101"/>
  <c r="AQ29" i="72"/>
  <c r="T42" i="72"/>
  <c r="AB29" i="90"/>
  <c r="AB29" i="53"/>
  <c r="AB168" i="44"/>
  <c r="AJ151" i="44"/>
  <c r="AJ205" i="44" s="1"/>
  <c r="Y10" i="100"/>
  <c r="AG10" i="100" s="1"/>
  <c r="AN10" i="100" s="1"/>
  <c r="Z10" i="100"/>
  <c r="AH10" i="100" s="1"/>
  <c r="AO10" i="100" s="1"/>
  <c r="X10" i="100"/>
  <c r="AF10" i="100" s="1"/>
  <c r="AM10" i="100" s="1"/>
  <c r="AA10" i="100"/>
  <c r="AI10" i="100" s="1"/>
  <c r="AP10" i="100" s="1"/>
  <c r="V10" i="99"/>
  <c r="AD10" i="99" s="1"/>
  <c r="AK10" i="99" s="1"/>
  <c r="X10" i="99"/>
  <c r="AF10" i="99" s="1"/>
  <c r="AM10" i="99" s="1"/>
  <c r="Y10" i="99"/>
  <c r="AG10" i="99" s="1"/>
  <c r="AN10" i="99" s="1"/>
  <c r="Z10" i="99"/>
  <c r="AH10" i="99" s="1"/>
  <c r="AO10" i="99" s="1"/>
  <c r="AK29" i="64"/>
  <c r="AQ29" i="64" s="1"/>
  <c r="AQ29" i="87"/>
  <c r="AQ29" i="56"/>
  <c r="AH10" i="13"/>
  <c r="AB29" i="48"/>
  <c r="U15" i="99"/>
  <c r="W15" i="99" s="1"/>
  <c r="AE15" i="99" s="1"/>
  <c r="AL15" i="99" s="1"/>
  <c r="U15" i="100"/>
  <c r="U12" i="99"/>
  <c r="AA12" i="99" s="1"/>
  <c r="AI12" i="99" s="1"/>
  <c r="AP12" i="99" s="1"/>
  <c r="U12" i="100"/>
  <c r="AJ129" i="2"/>
  <c r="AL129" i="2" s="1"/>
  <c r="AJ22" i="44"/>
  <c r="CG22" i="70" s="1"/>
  <c r="AJ15" i="44"/>
  <c r="CG15" i="70" s="1"/>
  <c r="AJ18" i="44"/>
  <c r="CG18" i="70" s="1"/>
  <c r="AJ21" i="44"/>
  <c r="CG21" i="70" s="1"/>
  <c r="AJ29" i="69"/>
  <c r="AJ29" i="85"/>
  <c r="AJ29" i="51"/>
  <c r="AB29" i="58"/>
  <c r="AH6" i="37"/>
  <c r="AJ29" i="81"/>
  <c r="C9" i="100"/>
  <c r="AJ14" i="44"/>
  <c r="CG14" i="70" s="1"/>
  <c r="AB29" i="82"/>
  <c r="AB29" i="64"/>
  <c r="AQ29" i="46"/>
  <c r="AQ29" i="53"/>
  <c r="AJ126" i="2"/>
  <c r="AL126" i="2" s="1"/>
  <c r="AJ120" i="44"/>
  <c r="AD141" i="44"/>
  <c r="Z168" i="44"/>
  <c r="AJ168" i="44"/>
  <c r="AJ195" i="44"/>
  <c r="AK843" i="97"/>
  <c r="AJ178" i="44"/>
  <c r="AU85" i="70"/>
  <c r="X35" i="97"/>
  <c r="R42" i="84"/>
  <c r="T42" i="84" s="1"/>
  <c r="I42" i="79"/>
  <c r="AC109" i="13"/>
  <c r="AC110" i="13" s="1"/>
  <c r="AC112" i="13" s="1"/>
  <c r="G109" i="13"/>
  <c r="J109" i="13"/>
  <c r="J110" i="13" s="1"/>
  <c r="J112" i="13" s="1"/>
  <c r="H109" i="13"/>
  <c r="H110" i="13" s="1"/>
  <c r="H112" i="13" s="1"/>
  <c r="K109" i="13"/>
  <c r="K110" i="13" s="1"/>
  <c r="K113" i="13" s="1"/>
  <c r="N109" i="13"/>
  <c r="N110" i="13" s="1"/>
  <c r="N112" i="13" s="1"/>
  <c r="S109" i="13"/>
  <c r="S110" i="13" s="1"/>
  <c r="S112" i="13" s="1"/>
  <c r="V109" i="13"/>
  <c r="W109" i="13"/>
  <c r="W110" i="13" s="1"/>
  <c r="W113" i="13" s="1"/>
  <c r="Z109" i="13"/>
  <c r="AA109" i="13"/>
  <c r="AA110" i="13" s="1"/>
  <c r="AA112" i="13" s="1"/>
  <c r="AD109" i="13"/>
  <c r="AD110" i="13" s="1"/>
  <c r="AD113" i="13" s="1"/>
  <c r="F35" i="97"/>
  <c r="X10" i="54"/>
  <c r="AF10" i="54" s="1"/>
  <c r="AM10" i="54" s="1"/>
  <c r="I42" i="41"/>
  <c r="P26" i="37"/>
  <c r="P26" i="16" s="1"/>
  <c r="I42" i="77"/>
  <c r="H16" i="45"/>
  <c r="H8" i="45" s="1"/>
  <c r="AB151" i="44"/>
  <c r="AC873" i="97" s="1"/>
  <c r="M33" i="96"/>
  <c r="S8" i="69"/>
  <c r="AC81" i="70"/>
  <c r="AS85" i="70"/>
  <c r="T42" i="83"/>
  <c r="AX42" i="70"/>
  <c r="AI42" i="70"/>
  <c r="AX39" i="70"/>
  <c r="AI39" i="70"/>
  <c r="AX44" i="70"/>
  <c r="AI44" i="70"/>
  <c r="AX45" i="70"/>
  <c r="AI45" i="70"/>
  <c r="C9" i="90"/>
  <c r="C8" i="90" s="1"/>
  <c r="AX43" i="70"/>
  <c r="AI43" i="70"/>
  <c r="AX34" i="70"/>
  <c r="AI34" i="70"/>
  <c r="AX35" i="70"/>
  <c r="AI35" i="70"/>
  <c r="AX37" i="70"/>
  <c r="AI37" i="70"/>
  <c r="AX38" i="70"/>
  <c r="AI38" i="70"/>
  <c r="AX6" i="70"/>
  <c r="AI6" i="70"/>
  <c r="S16" i="47"/>
  <c r="AA16" i="47" s="1"/>
  <c r="AX40" i="70"/>
  <c r="AI40" i="70"/>
  <c r="AX36" i="70"/>
  <c r="AI36" i="70"/>
  <c r="AK621" i="97"/>
  <c r="I16" i="64"/>
  <c r="I16" i="83"/>
  <c r="S16" i="83"/>
  <c r="S8" i="83" s="1"/>
  <c r="AB615" i="97" s="1"/>
  <c r="V10" i="79"/>
  <c r="AD10" i="79" s="1"/>
  <c r="S16" i="64"/>
  <c r="T16" i="64" s="1"/>
  <c r="R42" i="85"/>
  <c r="AD35" i="97" s="1"/>
  <c r="AR85" i="70"/>
  <c r="T42" i="52"/>
  <c r="I42" i="52"/>
  <c r="AI81" i="70"/>
  <c r="S16" i="41"/>
  <c r="H8" i="47"/>
  <c r="H8" i="41"/>
  <c r="R42" i="81"/>
  <c r="Z35" i="97" s="1"/>
  <c r="AW85" i="70"/>
  <c r="X10" i="58"/>
  <c r="AF10" i="58" s="1"/>
  <c r="AM10" i="58" s="1"/>
  <c r="X9" i="95"/>
  <c r="AF9" i="95" s="1"/>
  <c r="AM9" i="95" s="1"/>
  <c r="Y9" i="95"/>
  <c r="AG9" i="95" s="1"/>
  <c r="AN9" i="95" s="1"/>
  <c r="AI85" i="70"/>
  <c r="C9" i="99"/>
  <c r="I9" i="99" s="1"/>
  <c r="I42" i="88"/>
  <c r="R42" i="87"/>
  <c r="AE35" i="97" s="1"/>
  <c r="I42" i="83"/>
  <c r="AC168" i="44"/>
  <c r="Z195" i="44"/>
  <c r="AH42" i="100"/>
  <c r="AB42" i="100"/>
  <c r="AD35" i="100"/>
  <c r="AH44" i="70"/>
  <c r="AW44" i="70"/>
  <c r="Z10" i="54"/>
  <c r="AH10" i="54" s="1"/>
  <c r="AO10" i="54" s="1"/>
  <c r="AQ29" i="51"/>
  <c r="AJ29" i="72"/>
  <c r="AQ29" i="85"/>
  <c r="U12" i="48"/>
  <c r="W12" i="48" s="1"/>
  <c r="AE12" i="48" s="1"/>
  <c r="AL12" i="48" s="1"/>
  <c r="AB29" i="85"/>
  <c r="U12" i="41"/>
  <c r="Y12" i="41" s="1"/>
  <c r="AG12" i="41" s="1"/>
  <c r="AN12" i="41" s="1"/>
  <c r="U12" i="81"/>
  <c r="V12" i="81" s="1"/>
  <c r="AD12" i="81" s="1"/>
  <c r="AK12" i="81" s="1"/>
  <c r="AB29" i="72"/>
  <c r="W9" i="95"/>
  <c r="AE9" i="95" s="1"/>
  <c r="AL9" i="95" s="1"/>
  <c r="AA9" i="99"/>
  <c r="AI9" i="99" s="1"/>
  <c r="AP9" i="99" s="1"/>
  <c r="W9" i="99"/>
  <c r="AE9" i="99" s="1"/>
  <c r="AL9" i="99" s="1"/>
  <c r="X9" i="99"/>
  <c r="AF9" i="99" s="1"/>
  <c r="AM9" i="99" s="1"/>
  <c r="Z9" i="99"/>
  <c r="AH9" i="99" s="1"/>
  <c r="AO9" i="99" s="1"/>
  <c r="Y9" i="99"/>
  <c r="AG9" i="99" s="1"/>
  <c r="AN9" i="99" s="1"/>
  <c r="AD29" i="99"/>
  <c r="AB29" i="99"/>
  <c r="AD36" i="100"/>
  <c r="AH9" i="100"/>
  <c r="AG9" i="100"/>
  <c r="AN9" i="100" s="1"/>
  <c r="AE9" i="100"/>
  <c r="AW43" i="70"/>
  <c r="AH43" i="70"/>
  <c r="AJ29" i="58"/>
  <c r="AI126" i="2"/>
  <c r="AI120" i="44"/>
  <c r="AI178" i="44"/>
  <c r="AI141" i="44"/>
  <c r="AD38" i="100"/>
  <c r="AH19" i="100"/>
  <c r="H8" i="73"/>
  <c r="AQ29" i="58"/>
  <c r="AJ29" i="73"/>
  <c r="U12" i="58"/>
  <c r="V12" i="58" s="1"/>
  <c r="AD12" i="58" s="1"/>
  <c r="AK12" i="58" s="1"/>
  <c r="AB29" i="87"/>
  <c r="R42" i="47"/>
  <c r="O35" i="97" s="1"/>
  <c r="AG43" i="70"/>
  <c r="I42" i="99"/>
  <c r="R42" i="99"/>
  <c r="I42" i="100"/>
  <c r="R42" i="100"/>
  <c r="AD41" i="100"/>
  <c r="AD13" i="100"/>
  <c r="AH42" i="70"/>
  <c r="AW42" i="70"/>
  <c r="AH37" i="70"/>
  <c r="AW37" i="70"/>
  <c r="AJ29" i="46"/>
  <c r="AJ29" i="49"/>
  <c r="AQ29" i="73"/>
  <c r="AJ29" i="79"/>
  <c r="AJ29" i="83"/>
  <c r="U12" i="69"/>
  <c r="Y12" i="69" s="1"/>
  <c r="AG12" i="69" s="1"/>
  <c r="AN12" i="69" s="1"/>
  <c r="AC195" i="44"/>
  <c r="AH42" i="99"/>
  <c r="AB42" i="99"/>
  <c r="AE19" i="100"/>
  <c r="AD14" i="100"/>
  <c r="AD29" i="100"/>
  <c r="AB29" i="100"/>
  <c r="AW36" i="70"/>
  <c r="AH36" i="70"/>
  <c r="AH6" i="70"/>
  <c r="AW6" i="70"/>
  <c r="AW34" i="70"/>
  <c r="AH34" i="70"/>
  <c r="AI15" i="44"/>
  <c r="CF15" i="70" s="1"/>
  <c r="AH45" i="70"/>
  <c r="AW45" i="70"/>
  <c r="AH35" i="70"/>
  <c r="AW35" i="70"/>
  <c r="AH21" i="44"/>
  <c r="AH89" i="44" s="1"/>
  <c r="Y10" i="54"/>
  <c r="AG10" i="54" s="1"/>
  <c r="AN10" i="54" s="1"/>
  <c r="AV43" i="70"/>
  <c r="V10" i="54"/>
  <c r="AD10" i="54" s="1"/>
  <c r="R42" i="54"/>
  <c r="H35" i="97" s="1"/>
  <c r="AQ29" i="49"/>
  <c r="AJ29" i="77"/>
  <c r="AQ29" i="79"/>
  <c r="AQ29" i="83"/>
  <c r="AJ29" i="95"/>
  <c r="U12" i="87"/>
  <c r="V12" i="87" s="1"/>
  <c r="AD12" i="87" s="1"/>
  <c r="AK12" i="87" s="1"/>
  <c r="AB29" i="46"/>
  <c r="AB29" i="83"/>
  <c r="AB29" i="69"/>
  <c r="R42" i="69"/>
  <c r="U35" i="97" s="1"/>
  <c r="AB29" i="95"/>
  <c r="AD39" i="100"/>
  <c r="AG6" i="37"/>
  <c r="AG6" i="16" s="1"/>
  <c r="AJ29" i="48"/>
  <c r="AB29" i="55"/>
  <c r="AQ29" i="77"/>
  <c r="AB29" i="81"/>
  <c r="AQ29" i="84"/>
  <c r="AQ29" i="95"/>
  <c r="U12" i="52"/>
  <c r="W12" i="52" s="1"/>
  <c r="AE12" i="52" s="1"/>
  <c r="AL12" i="52" s="1"/>
  <c r="AB29" i="73"/>
  <c r="Z9" i="95"/>
  <c r="AH9" i="95" s="1"/>
  <c r="AO9" i="95" s="1"/>
  <c r="AB29" i="79"/>
  <c r="AB29" i="50"/>
  <c r="AG10" i="13"/>
  <c r="AH81" i="70"/>
  <c r="AW81" i="70"/>
  <c r="K69" i="5"/>
  <c r="D56" i="5" s="1"/>
  <c r="U42" i="101" s="1"/>
  <c r="AI9" i="100"/>
  <c r="AD20" i="100"/>
  <c r="AD34" i="100"/>
  <c r="AD37" i="100"/>
  <c r="AI21" i="44"/>
  <c r="AI18" i="44"/>
  <c r="CF18" i="70" s="1"/>
  <c r="AW38" i="70"/>
  <c r="AH38" i="70"/>
  <c r="AD19" i="100"/>
  <c r="AG35" i="70"/>
  <c r="AF26" i="37"/>
  <c r="AF26" i="16" s="1"/>
  <c r="AB29" i="51"/>
  <c r="AQ29" i="48"/>
  <c r="AQ29" i="69"/>
  <c r="AB29" i="77"/>
  <c r="AQ29" i="81"/>
  <c r="AJ29" i="84"/>
  <c r="AB29" i="84"/>
  <c r="AB29" i="56"/>
  <c r="U12" i="49"/>
  <c r="AA12" i="49" s="1"/>
  <c r="AI12" i="49" s="1"/>
  <c r="AP12" i="49" s="1"/>
  <c r="AB29" i="49"/>
  <c r="AI129" i="2"/>
  <c r="AD10" i="100"/>
  <c r="AW40" i="70"/>
  <c r="AH40" i="70"/>
  <c r="AW39" i="70"/>
  <c r="AH39" i="70"/>
  <c r="AI22" i="44"/>
  <c r="AD30" i="100"/>
  <c r="AI14" i="44"/>
  <c r="CF14" i="70" s="1"/>
  <c r="AA16" i="73"/>
  <c r="AI16" i="73" s="1"/>
  <c r="H8" i="99"/>
  <c r="S16" i="99"/>
  <c r="I16" i="99"/>
  <c r="S8" i="73"/>
  <c r="W615" i="97" s="1"/>
  <c r="L95" i="44"/>
  <c r="H8" i="100"/>
  <c r="S16" i="100"/>
  <c r="I16" i="100"/>
  <c r="BI27" i="70"/>
  <c r="I16" i="73"/>
  <c r="H21" i="100"/>
  <c r="H21" i="99"/>
  <c r="B32" i="20"/>
  <c r="H22" i="50" s="1"/>
  <c r="S22" i="50" s="1"/>
  <c r="H22" i="54"/>
  <c r="S22" i="54" s="1"/>
  <c r="AJ621" i="97"/>
  <c r="AA195" i="44"/>
  <c r="AB29" i="96"/>
  <c r="AB42" i="87"/>
  <c r="W79" i="70"/>
  <c r="V10" i="50"/>
  <c r="AD10" i="50" s="1"/>
  <c r="Y10" i="58"/>
  <c r="AG10" i="58" s="1"/>
  <c r="AN10" i="58" s="1"/>
  <c r="AH42" i="45"/>
  <c r="AO42" i="45" s="1"/>
  <c r="AQ42" i="45" s="1"/>
  <c r="V80" i="70"/>
  <c r="AB85" i="70"/>
  <c r="R8" i="13"/>
  <c r="R95" i="13" s="1"/>
  <c r="P35" i="97"/>
  <c r="H17" i="41"/>
  <c r="S17" i="41" s="1"/>
  <c r="R42" i="50"/>
  <c r="T42" i="50" s="1"/>
  <c r="V85" i="70"/>
  <c r="N79" i="70"/>
  <c r="I42" i="46"/>
  <c r="Z10" i="45"/>
  <c r="AH10" i="45" s="1"/>
  <c r="AO10" i="45" s="1"/>
  <c r="X10" i="45"/>
  <c r="AF10" i="45" s="1"/>
  <c r="AM10" i="45" s="1"/>
  <c r="AA10" i="45"/>
  <c r="AI10" i="45" s="1"/>
  <c r="AP10" i="45" s="1"/>
  <c r="AA10" i="56"/>
  <c r="AI10" i="56" s="1"/>
  <c r="AP10" i="56" s="1"/>
  <c r="V10" i="45"/>
  <c r="AD10" i="45" s="1"/>
  <c r="AK10" i="45" s="1"/>
  <c r="Z10" i="56"/>
  <c r="AH10" i="56" s="1"/>
  <c r="AO10" i="56" s="1"/>
  <c r="Z10" i="84"/>
  <c r="AH10" i="84" s="1"/>
  <c r="AO10" i="84" s="1"/>
  <c r="V10" i="84"/>
  <c r="AD10" i="84" s="1"/>
  <c r="AK10" i="84" s="1"/>
  <c r="X10" i="84"/>
  <c r="AF10" i="84" s="1"/>
  <c r="AM10" i="84" s="1"/>
  <c r="H16" i="52"/>
  <c r="H8" i="52" s="1"/>
  <c r="S79" i="70"/>
  <c r="M9" i="13"/>
  <c r="M96" i="13" s="1"/>
  <c r="T42" i="49"/>
  <c r="D8" i="13"/>
  <c r="D95" i="13" s="1"/>
  <c r="AF97" i="13"/>
  <c r="R42" i="82"/>
  <c r="R42" i="56"/>
  <c r="R35" i="97" s="1"/>
  <c r="AB195" i="44"/>
  <c r="R42" i="48"/>
  <c r="N35" i="97" s="1"/>
  <c r="K39" i="96"/>
  <c r="AA168" i="44"/>
  <c r="R42" i="53"/>
  <c r="I35" i="97" s="1"/>
  <c r="AH42" i="53"/>
  <c r="AO42" i="53" s="1"/>
  <c r="AQ42" i="53" s="1"/>
  <c r="T80" i="70"/>
  <c r="AH95" i="44"/>
  <c r="Z843" i="97"/>
  <c r="Y168" i="44"/>
  <c r="M843" i="97"/>
  <c r="L168" i="44"/>
  <c r="X85" i="70"/>
  <c r="AP85" i="70"/>
  <c r="AG44" i="70"/>
  <c r="W85" i="70"/>
  <c r="R42" i="58"/>
  <c r="S35" i="97" s="1"/>
  <c r="I42" i="49"/>
  <c r="K9" i="13"/>
  <c r="K96" i="13" s="1"/>
  <c r="R10" i="13"/>
  <c r="R97" i="13" s="1"/>
  <c r="V9" i="13"/>
  <c r="V96" i="13" s="1"/>
  <c r="X10" i="51"/>
  <c r="AF10" i="51" s="1"/>
  <c r="AM10" i="51" s="1"/>
  <c r="X80" i="70"/>
  <c r="K8" i="13"/>
  <c r="K95" i="13" s="1"/>
  <c r="V79" i="70"/>
  <c r="Z10" i="51"/>
  <c r="AH10" i="51" s="1"/>
  <c r="AO10" i="51" s="1"/>
  <c r="R79" i="70"/>
  <c r="I9" i="13"/>
  <c r="I96" i="13" s="1"/>
  <c r="Z10" i="49"/>
  <c r="AH10" i="49" s="1"/>
  <c r="AO10" i="49" s="1"/>
  <c r="X10" i="85"/>
  <c r="AF10" i="85" s="1"/>
  <c r="AM10" i="85" s="1"/>
  <c r="V95" i="44"/>
  <c r="AI621" i="97"/>
  <c r="M10" i="13"/>
  <c r="M97" i="13" s="1"/>
  <c r="M33" i="87"/>
  <c r="F8" i="13"/>
  <c r="F95" i="13" s="1"/>
  <c r="AH42" i="49"/>
  <c r="AJ42" i="49" s="1"/>
  <c r="J79" i="10" s="1"/>
  <c r="J29" i="10" s="1"/>
  <c r="CA27" i="70"/>
  <c r="F81" i="70"/>
  <c r="BS27" i="70"/>
  <c r="O8" i="13"/>
  <c r="O95" i="13" s="1"/>
  <c r="AL79" i="70"/>
  <c r="Z81" i="70"/>
  <c r="E9" i="13"/>
  <c r="E96" i="13" s="1"/>
  <c r="J10" i="13"/>
  <c r="J97" i="13" s="1"/>
  <c r="C8" i="13"/>
  <c r="C88" i="13" s="1"/>
  <c r="N9" i="13"/>
  <c r="N96" i="13" s="1"/>
  <c r="X10" i="13"/>
  <c r="X97" i="13" s="1"/>
  <c r="S9" i="13"/>
  <c r="H89" i="13" s="1"/>
  <c r="I16" i="84"/>
  <c r="S16" i="84"/>
  <c r="S8" i="84" s="1"/>
  <c r="AC615" i="97" s="1"/>
  <c r="AO79" i="70"/>
  <c r="Z79" i="70"/>
  <c r="Z10" i="83"/>
  <c r="AH10" i="83" s="1"/>
  <c r="AO10" i="83" s="1"/>
  <c r="X10" i="82"/>
  <c r="AF10" i="82" s="1"/>
  <c r="AM10" i="82" s="1"/>
  <c r="H8" i="96"/>
  <c r="I16" i="96"/>
  <c r="Z10" i="41"/>
  <c r="AH10" i="41" s="1"/>
  <c r="AO10" i="41" s="1"/>
  <c r="AB81" i="70"/>
  <c r="R42" i="64"/>
  <c r="T35" i="97" s="1"/>
  <c r="AF116" i="44"/>
  <c r="AQ81" i="70"/>
  <c r="V10" i="82"/>
  <c r="AD10" i="82" s="1"/>
  <c r="AK10" i="82" s="1"/>
  <c r="AS79" i="70"/>
  <c r="AL80" i="70"/>
  <c r="L9" i="13"/>
  <c r="L96" i="13" s="1"/>
  <c r="Y10" i="69"/>
  <c r="AG10" i="69" s="1"/>
  <c r="AN10" i="69" s="1"/>
  <c r="AB8" i="13"/>
  <c r="AB95" i="13" s="1"/>
  <c r="H10" i="13"/>
  <c r="H97" i="13" s="1"/>
  <c r="Y10" i="72"/>
  <c r="AG10" i="72" s="1"/>
  <c r="AN10" i="72" s="1"/>
  <c r="S8" i="13"/>
  <c r="S95" i="13" s="1"/>
  <c r="J8" i="13"/>
  <c r="J95" i="13" s="1"/>
  <c r="V10" i="95"/>
  <c r="AD10" i="95" s="1"/>
  <c r="AK10" i="95" s="1"/>
  <c r="Q10" i="13"/>
  <c r="Q97" i="13" s="1"/>
  <c r="AA10" i="95"/>
  <c r="AI10" i="95" s="1"/>
  <c r="AP10" i="95" s="1"/>
  <c r="Z10" i="72"/>
  <c r="AH10" i="72" s="1"/>
  <c r="AO10" i="72" s="1"/>
  <c r="W80" i="70"/>
  <c r="O10" i="13"/>
  <c r="O97" i="13" s="1"/>
  <c r="V10" i="72"/>
  <c r="AD10" i="72" s="1"/>
  <c r="AK10" i="72" s="1"/>
  <c r="Y10" i="95"/>
  <c r="AG10" i="95" s="1"/>
  <c r="AN10" i="95" s="1"/>
  <c r="C9" i="13"/>
  <c r="C96" i="13" s="1"/>
  <c r="F10" i="13"/>
  <c r="F97" i="13" s="1"/>
  <c r="L80" i="70"/>
  <c r="AC10" i="13"/>
  <c r="AC97" i="13" s="1"/>
  <c r="M8" i="13"/>
  <c r="M95" i="13" s="1"/>
  <c r="K79" i="70"/>
  <c r="E8" i="13"/>
  <c r="E95" i="13" s="1"/>
  <c r="X79" i="70"/>
  <c r="H8" i="13"/>
  <c r="H95" i="13" s="1"/>
  <c r="M33" i="47"/>
  <c r="BK27" i="70"/>
  <c r="I42" i="95"/>
  <c r="AE6" i="37"/>
  <c r="AE6" i="16" s="1"/>
  <c r="AE10" i="13"/>
  <c r="AE97" i="13" s="1"/>
  <c r="U10" i="13"/>
  <c r="U97" i="13" s="1"/>
  <c r="AF37" i="70"/>
  <c r="AD10" i="13"/>
  <c r="N8" i="13"/>
  <c r="N95" i="13" s="1"/>
  <c r="CC22" i="70"/>
  <c r="G10" i="13"/>
  <c r="G97" i="13" s="1"/>
  <c r="Y10" i="73"/>
  <c r="AG10" i="73" s="1"/>
  <c r="AN10" i="73" s="1"/>
  <c r="K41" i="90"/>
  <c r="Y9" i="96"/>
  <c r="AG9" i="96" s="1"/>
  <c r="AN9" i="96" s="1"/>
  <c r="AU37" i="70"/>
  <c r="X9" i="96"/>
  <c r="AF9" i="96" s="1"/>
  <c r="AA9" i="96"/>
  <c r="AI9" i="96" s="1"/>
  <c r="AP9" i="96" s="1"/>
  <c r="AH42" i="83"/>
  <c r="AO42" i="83" s="1"/>
  <c r="AQ42" i="83" s="1"/>
  <c r="CC21" i="70"/>
  <c r="K33" i="90"/>
  <c r="AF45" i="70"/>
  <c r="W9" i="96"/>
  <c r="AE9" i="96" s="1"/>
  <c r="AL9" i="96" s="1"/>
  <c r="AG886" i="97"/>
  <c r="P9" i="13"/>
  <c r="P96" i="13" s="1"/>
  <c r="AU45" i="70"/>
  <c r="Z10" i="46"/>
  <c r="AH10" i="46" s="1"/>
  <c r="AO10" i="46" s="1"/>
  <c r="C9" i="95"/>
  <c r="N9" i="95" s="1"/>
  <c r="AF81" i="70"/>
  <c r="G8" i="13"/>
  <c r="G95" i="13" s="1"/>
  <c r="G9" i="13"/>
  <c r="G96" i="13" s="1"/>
  <c r="AG81" i="70"/>
  <c r="K10" i="13"/>
  <c r="K97" i="13" s="1"/>
  <c r="C10" i="13"/>
  <c r="C97" i="13" s="1"/>
  <c r="AL81" i="70"/>
  <c r="O9" i="13"/>
  <c r="O96" i="13" s="1"/>
  <c r="G81" i="70"/>
  <c r="W10" i="13"/>
  <c r="S10" i="13"/>
  <c r="AA10" i="13"/>
  <c r="O90" i="13" s="1"/>
  <c r="I10" i="13"/>
  <c r="I97" i="13" s="1"/>
  <c r="X10" i="41"/>
  <c r="AF10" i="41" s="1"/>
  <c r="AM10" i="41" s="1"/>
  <c r="AN81" i="70"/>
  <c r="H9" i="13"/>
  <c r="H96" i="13" s="1"/>
  <c r="V8" i="13"/>
  <c r="K88" i="13" s="1"/>
  <c r="AK79" i="70"/>
  <c r="X81" i="70"/>
  <c r="AA10" i="82"/>
  <c r="AI10" i="82" s="1"/>
  <c r="D9" i="13"/>
  <c r="D96" i="13" s="1"/>
  <c r="AT81" i="70"/>
  <c r="Y10" i="56"/>
  <c r="AG10" i="56" s="1"/>
  <c r="AN10" i="56" s="1"/>
  <c r="V10" i="58"/>
  <c r="AD10" i="58" s="1"/>
  <c r="AK10" i="58" s="1"/>
  <c r="X10" i="72"/>
  <c r="AF10" i="72" s="1"/>
  <c r="AM10" i="72" s="1"/>
  <c r="AK80" i="70"/>
  <c r="V10" i="13"/>
  <c r="V97" i="13" s="1"/>
  <c r="AA10" i="84"/>
  <c r="AI10" i="84" s="1"/>
  <c r="AP10" i="84" s="1"/>
  <c r="AK81" i="70"/>
  <c r="Q9" i="13"/>
  <c r="Q96" i="13" s="1"/>
  <c r="V81" i="70"/>
  <c r="AA10" i="58"/>
  <c r="AI10" i="58" s="1"/>
  <c r="AP10" i="58" s="1"/>
  <c r="X10" i="95"/>
  <c r="AF10" i="95" s="1"/>
  <c r="AM10" i="95" s="1"/>
  <c r="X10" i="87"/>
  <c r="AF10" i="87" s="1"/>
  <c r="AM10" i="87" s="1"/>
  <c r="F9" i="13"/>
  <c r="F96" i="13" s="1"/>
  <c r="J35" i="20"/>
  <c r="I28" i="37" s="1"/>
  <c r="I25" i="37" s="1"/>
  <c r="I44" i="37" s="1"/>
  <c r="M35" i="20"/>
  <c r="P35" i="20"/>
  <c r="Q26" i="44" s="1"/>
  <c r="S35" i="20"/>
  <c r="R28" i="37" s="1"/>
  <c r="N95" i="44"/>
  <c r="N35" i="20"/>
  <c r="M28" i="37" s="1"/>
  <c r="AD35" i="20"/>
  <c r="Q35" i="20"/>
  <c r="AG35" i="20"/>
  <c r="AF28" i="37" s="1"/>
  <c r="AH42" i="55"/>
  <c r="AJ42" i="55" s="1"/>
  <c r="N79" i="10" s="1"/>
  <c r="N29" i="10" s="1"/>
  <c r="AH42" i="84"/>
  <c r="AJ42" i="84" s="1"/>
  <c r="Z79" i="10" s="1"/>
  <c r="Z29" i="10" s="1"/>
  <c r="T35" i="20"/>
  <c r="S28" i="37" s="1"/>
  <c r="G35" i="20"/>
  <c r="H26" i="44" s="1"/>
  <c r="W35" i="20"/>
  <c r="X26" i="44" s="1"/>
  <c r="AU35" i="70"/>
  <c r="AF35" i="70"/>
  <c r="AM43" i="70"/>
  <c r="X43" i="70"/>
  <c r="X18" i="44"/>
  <c r="V42" i="70"/>
  <c r="AK42" i="70"/>
  <c r="X35" i="70"/>
  <c r="AM35" i="70"/>
  <c r="O22" i="44"/>
  <c r="O37" i="70"/>
  <c r="Q38" i="70"/>
  <c r="Q14" i="44"/>
  <c r="L18" i="44"/>
  <c r="L43" i="70"/>
  <c r="P45" i="70"/>
  <c r="P21" i="44"/>
  <c r="V36" i="70"/>
  <c r="AK36" i="70"/>
  <c r="AM37" i="70"/>
  <c r="X37" i="70"/>
  <c r="X22" i="44"/>
  <c r="Z38" i="70"/>
  <c r="AO38" i="70"/>
  <c r="Z14" i="44"/>
  <c r="Z40" i="70"/>
  <c r="AO40" i="70"/>
  <c r="AF43" i="70"/>
  <c r="AF18" i="44"/>
  <c r="AU43" i="70"/>
  <c r="Y6" i="70"/>
  <c r="AN6" i="70"/>
  <c r="W6" i="37"/>
  <c r="W6" i="16" s="1"/>
  <c r="W35" i="70"/>
  <c r="AL35" i="70"/>
  <c r="Y36" i="70"/>
  <c r="AN36" i="70"/>
  <c r="AP37" i="70"/>
  <c r="AA37" i="70"/>
  <c r="AA22" i="44"/>
  <c r="AR38" i="70"/>
  <c r="AC14" i="44"/>
  <c r="AC38" i="70"/>
  <c r="AD40" i="70"/>
  <c r="AS40" i="70"/>
  <c r="V6" i="37"/>
  <c r="X6" i="70"/>
  <c r="AM6" i="70"/>
  <c r="AQ34" i="70"/>
  <c r="AB34" i="70"/>
  <c r="AD35" i="70"/>
  <c r="AS35" i="70"/>
  <c r="AF36" i="70"/>
  <c r="AU36" i="70"/>
  <c r="R37" i="70"/>
  <c r="R22" i="44"/>
  <c r="AH22" i="44"/>
  <c r="T14" i="44"/>
  <c r="T38" i="70"/>
  <c r="F15" i="44"/>
  <c r="F39" i="70"/>
  <c r="AK39" i="70"/>
  <c r="V39" i="70"/>
  <c r="V15" i="44"/>
  <c r="AM40" i="70"/>
  <c r="X40" i="70"/>
  <c r="AB42" i="70"/>
  <c r="AQ42" i="70"/>
  <c r="N18" i="44"/>
  <c r="N43" i="70"/>
  <c r="AD18" i="44"/>
  <c r="AS43" i="70"/>
  <c r="AD43" i="70"/>
  <c r="AU44" i="70"/>
  <c r="AF44" i="70"/>
  <c r="R45" i="70"/>
  <c r="R21" i="44"/>
  <c r="O15" i="44"/>
  <c r="O39" i="70"/>
  <c r="AE39" i="70"/>
  <c r="AT39" i="70"/>
  <c r="AE15" i="44"/>
  <c r="AG40" i="70"/>
  <c r="AV40" i="70"/>
  <c r="AV42" i="70"/>
  <c r="AG42" i="70"/>
  <c r="S43" i="70"/>
  <c r="S18" i="44"/>
  <c r="G45" i="70"/>
  <c r="G21" i="44"/>
  <c r="W21" i="44"/>
  <c r="W45" i="70"/>
  <c r="AL45" i="70"/>
  <c r="AA6" i="70"/>
  <c r="Y6" i="37"/>
  <c r="Y6" i="16" s="1"/>
  <c r="AP6" i="70"/>
  <c r="AE34" i="70"/>
  <c r="AT34" i="70"/>
  <c r="E22" i="44"/>
  <c r="E37" i="70"/>
  <c r="U37" i="70"/>
  <c r="U22" i="44"/>
  <c r="G38" i="70"/>
  <c r="G14" i="44"/>
  <c r="AL38" i="70"/>
  <c r="W14" i="44"/>
  <c r="W38" i="70"/>
  <c r="I39" i="70"/>
  <c r="I15" i="44"/>
  <c r="Y15" i="44"/>
  <c r="Y39" i="70"/>
  <c r="AN39" i="70"/>
  <c r="AA40" i="70"/>
  <c r="AP40" i="70"/>
  <c r="AE42" i="70"/>
  <c r="AT42" i="70"/>
  <c r="Q43" i="70"/>
  <c r="Q18" i="44"/>
  <c r="E21" i="44"/>
  <c r="E45" i="70"/>
  <c r="U45" i="70"/>
  <c r="U21" i="44"/>
  <c r="M27" i="44"/>
  <c r="U27" i="44"/>
  <c r="AC27" i="44"/>
  <c r="Z35" i="20"/>
  <c r="Y28" i="37" s="1"/>
  <c r="AC35" i="20"/>
  <c r="AD26" i="44" s="1"/>
  <c r="AF35" i="20"/>
  <c r="AG26" i="44" s="1"/>
  <c r="AG94" i="44" s="1"/>
  <c r="D35" i="20"/>
  <c r="AB109" i="13"/>
  <c r="AB110" i="13" s="1"/>
  <c r="AB112" i="13" s="1"/>
  <c r="R35" i="20"/>
  <c r="S26" i="44" s="1"/>
  <c r="E35" i="20"/>
  <c r="F26" i="44" s="1"/>
  <c r="U35" i="20"/>
  <c r="V26" i="44" s="1"/>
  <c r="W12" i="50"/>
  <c r="AE12" i="50" s="1"/>
  <c r="AL12" i="50" s="1"/>
  <c r="AF122" i="44"/>
  <c r="H35" i="20"/>
  <c r="X35" i="20"/>
  <c r="Y26" i="44" s="1"/>
  <c r="K35" i="20"/>
  <c r="J28" i="37" s="1"/>
  <c r="AA35" i="20"/>
  <c r="AB26" i="44" s="1"/>
  <c r="AQ45" i="70"/>
  <c r="AB45" i="70"/>
  <c r="AB21" i="44"/>
  <c r="L37" i="70"/>
  <c r="L22" i="44"/>
  <c r="T37" i="70"/>
  <c r="T22" i="44"/>
  <c r="Z44" i="70"/>
  <c r="AO44" i="70"/>
  <c r="AO36" i="70"/>
  <c r="Z36" i="70"/>
  <c r="H18" i="44"/>
  <c r="H43" i="70"/>
  <c r="W22" i="44"/>
  <c r="W37" i="70"/>
  <c r="AL37" i="70"/>
  <c r="Y38" i="70"/>
  <c r="AN38" i="70"/>
  <c r="Y14" i="44"/>
  <c r="AK40" i="70"/>
  <c r="V40" i="70"/>
  <c r="AQ43" i="70"/>
  <c r="AB43" i="70"/>
  <c r="AB18" i="44"/>
  <c r="Z34" i="70"/>
  <c r="AO34" i="70"/>
  <c r="AB35" i="70"/>
  <c r="AQ35" i="70"/>
  <c r="AD36" i="70"/>
  <c r="AS36" i="70"/>
  <c r="H15" i="44"/>
  <c r="H39" i="70"/>
  <c r="AC34" i="70"/>
  <c r="AR34" i="70"/>
  <c r="AE35" i="70"/>
  <c r="AT35" i="70"/>
  <c r="AV36" i="70"/>
  <c r="AG36" i="70"/>
  <c r="E14" i="44"/>
  <c r="E38" i="70"/>
  <c r="L39" i="70"/>
  <c r="L15" i="44"/>
  <c r="V44" i="70"/>
  <c r="AK44" i="70"/>
  <c r="AQ6" i="70"/>
  <c r="AB6" i="70"/>
  <c r="Z6" i="37"/>
  <c r="Z6" i="16" s="1"/>
  <c r="AU34" i="70"/>
  <c r="AF34" i="70"/>
  <c r="F22" i="44"/>
  <c r="F37" i="70"/>
  <c r="AK37" i="70"/>
  <c r="V37" i="70"/>
  <c r="V22" i="44"/>
  <c r="H14" i="44"/>
  <c r="H38" i="70"/>
  <c r="X14" i="44"/>
  <c r="X38" i="70"/>
  <c r="AM38" i="70"/>
  <c r="J15" i="44"/>
  <c r="J39" i="70"/>
  <c r="Z15" i="44"/>
  <c r="Z39" i="70"/>
  <c r="AO39" i="70"/>
  <c r="AB40" i="70"/>
  <c r="AQ40" i="70"/>
  <c r="AU42" i="70"/>
  <c r="AF42" i="70"/>
  <c r="R43" i="70"/>
  <c r="R18" i="44"/>
  <c r="F21" i="44"/>
  <c r="F45" i="70"/>
  <c r="V45" i="70"/>
  <c r="AK45" i="70"/>
  <c r="V21" i="44"/>
  <c r="AV38" i="70"/>
  <c r="AG14" i="44"/>
  <c r="AG38" i="70"/>
  <c r="S15" i="44"/>
  <c r="S39" i="70"/>
  <c r="G43" i="70"/>
  <c r="G18" i="44"/>
  <c r="W43" i="70"/>
  <c r="W18" i="44"/>
  <c r="AL43" i="70"/>
  <c r="AN44" i="70"/>
  <c r="Y44" i="70"/>
  <c r="K45" i="70"/>
  <c r="K21" i="44"/>
  <c r="AA45" i="70"/>
  <c r="AA21" i="44"/>
  <c r="AP45" i="70"/>
  <c r="AC6" i="37"/>
  <c r="AC6" i="16" s="1"/>
  <c r="AE6" i="70"/>
  <c r="AT6" i="70"/>
  <c r="AL36" i="70"/>
  <c r="W36" i="70"/>
  <c r="I37" i="70"/>
  <c r="I22" i="44"/>
  <c r="Y37" i="70"/>
  <c r="AN37" i="70"/>
  <c r="Y22" i="44"/>
  <c r="K38" i="70"/>
  <c r="K14" i="44"/>
  <c r="AP38" i="70"/>
  <c r="AA38" i="70"/>
  <c r="AA14" i="44"/>
  <c r="M39" i="70"/>
  <c r="M15" i="44"/>
  <c r="AR39" i="70"/>
  <c r="AC39" i="70"/>
  <c r="AC15" i="44"/>
  <c r="AE40" i="70"/>
  <c r="AT40" i="70"/>
  <c r="E18" i="44"/>
  <c r="E43" i="70"/>
  <c r="U43" i="70"/>
  <c r="U18" i="44"/>
  <c r="W44" i="70"/>
  <c r="AL44" i="70"/>
  <c r="I21" i="44"/>
  <c r="I45" i="70"/>
  <c r="AN45" i="70"/>
  <c r="Y45" i="70"/>
  <c r="Y21" i="44"/>
  <c r="F35" i="20"/>
  <c r="G26" i="44" s="1"/>
  <c r="V35" i="20"/>
  <c r="I35" i="20"/>
  <c r="J26" i="44" s="1"/>
  <c r="L35" i="20"/>
  <c r="K28" i="37" s="1"/>
  <c r="AB35" i="20"/>
  <c r="AA28" i="37" s="1"/>
  <c r="O35" i="20"/>
  <c r="P26" i="44" s="1"/>
  <c r="AE35" i="20"/>
  <c r="AF26" i="44" s="1"/>
  <c r="N81" i="70"/>
  <c r="L10" i="13"/>
  <c r="L97" i="13" s="1"/>
  <c r="AS81" i="70"/>
  <c r="AB10" i="13"/>
  <c r="AB97" i="13" s="1"/>
  <c r="N10" i="13"/>
  <c r="N97" i="13" s="1"/>
  <c r="P81" i="70"/>
  <c r="AF6" i="37"/>
  <c r="AF6" i="16" s="1"/>
  <c r="F38" i="70"/>
  <c r="F14" i="44"/>
  <c r="N38" i="70"/>
  <c r="N14" i="44"/>
  <c r="V14" i="44"/>
  <c r="V38" i="70"/>
  <c r="AK38" i="70"/>
  <c r="X6" i="37"/>
  <c r="X6" i="16" s="1"/>
  <c r="AO6" i="70"/>
  <c r="Z6" i="70"/>
  <c r="AB22" i="44"/>
  <c r="AB37" i="70"/>
  <c r="AQ37" i="70"/>
  <c r="L45" i="70"/>
  <c r="L21" i="44"/>
  <c r="Y34" i="70"/>
  <c r="AN34" i="70"/>
  <c r="AA35" i="70"/>
  <c r="AP35" i="70"/>
  <c r="AC36" i="70"/>
  <c r="AR36" i="70"/>
  <c r="AE22" i="44"/>
  <c r="AE37" i="70"/>
  <c r="AT37" i="70"/>
  <c r="AH14" i="44"/>
  <c r="AB6" i="37"/>
  <c r="AB6" i="16" s="1"/>
  <c r="AD6" i="70"/>
  <c r="AS6" i="70"/>
  <c r="H22" i="44"/>
  <c r="H37" i="70"/>
  <c r="J38" i="70"/>
  <c r="J14" i="44"/>
  <c r="AM39" i="70"/>
  <c r="X39" i="70"/>
  <c r="X15" i="44"/>
  <c r="AD42" i="70"/>
  <c r="AS42" i="70"/>
  <c r="K37" i="70"/>
  <c r="K22" i="44"/>
  <c r="M14" i="44"/>
  <c r="M38" i="70"/>
  <c r="AQ39" i="70"/>
  <c r="AB39" i="70"/>
  <c r="AB15" i="44"/>
  <c r="H45" i="70"/>
  <c r="H21" i="44"/>
  <c r="AF6" i="70"/>
  <c r="AU6" i="70"/>
  <c r="V35" i="70"/>
  <c r="AK35" i="70"/>
  <c r="AM36" i="70"/>
  <c r="X36" i="70"/>
  <c r="J22" i="44"/>
  <c r="J37" i="70"/>
  <c r="AO37" i="70"/>
  <c r="Z22" i="44"/>
  <c r="Z37" i="70"/>
  <c r="L14" i="44"/>
  <c r="L38" i="70"/>
  <c r="AB14" i="44"/>
  <c r="AB38" i="70"/>
  <c r="AQ38" i="70"/>
  <c r="N15" i="44"/>
  <c r="N39" i="70"/>
  <c r="AD39" i="70"/>
  <c r="AD15" i="44"/>
  <c r="AS39" i="70"/>
  <c r="AF40" i="70"/>
  <c r="AU40" i="70"/>
  <c r="F43" i="70"/>
  <c r="F18" i="44"/>
  <c r="V18" i="44"/>
  <c r="AK43" i="70"/>
  <c r="V43" i="70"/>
  <c r="AM44" i="70"/>
  <c r="X44" i="70"/>
  <c r="J45" i="70"/>
  <c r="J21" i="44"/>
  <c r="AO45" i="70"/>
  <c r="Z21" i="44"/>
  <c r="Z45" i="70"/>
  <c r="G39" i="70"/>
  <c r="G15" i="44"/>
  <c r="AL39" i="70"/>
  <c r="W39" i="70"/>
  <c r="W15" i="44"/>
  <c r="AN40" i="70"/>
  <c r="Y40" i="70"/>
  <c r="Y42" i="70"/>
  <c r="AN42" i="70"/>
  <c r="K43" i="70"/>
  <c r="K18" i="44"/>
  <c r="AA43" i="70"/>
  <c r="AP43" i="70"/>
  <c r="AA18" i="44"/>
  <c r="AR44" i="70"/>
  <c r="AC44" i="70"/>
  <c r="O45" i="70"/>
  <c r="O21" i="44"/>
  <c r="AE45" i="70"/>
  <c r="AE21" i="44"/>
  <c r="AT45" i="70"/>
  <c r="W34" i="70"/>
  <c r="AL34" i="70"/>
  <c r="Y35" i="70"/>
  <c r="AN35" i="70"/>
  <c r="AA36" i="70"/>
  <c r="AP36" i="70"/>
  <c r="M37" i="70"/>
  <c r="M22" i="44"/>
  <c r="AC22" i="44"/>
  <c r="AC37" i="70"/>
  <c r="AR37" i="70"/>
  <c r="O38" i="70"/>
  <c r="O14" i="44"/>
  <c r="AE14" i="44"/>
  <c r="AE38" i="70"/>
  <c r="AT38" i="70"/>
  <c r="Q39" i="70"/>
  <c r="Q15" i="44"/>
  <c r="AG39" i="70"/>
  <c r="AG15" i="44"/>
  <c r="AV39" i="70"/>
  <c r="W42" i="70"/>
  <c r="AL42" i="70"/>
  <c r="I43" i="70"/>
  <c r="I18" i="44"/>
  <c r="Y43" i="70"/>
  <c r="Y18" i="44"/>
  <c r="AN43" i="70"/>
  <c r="AP44" i="70"/>
  <c r="AA44" i="70"/>
  <c r="M45" i="70"/>
  <c r="M21" i="44"/>
  <c r="AC45" i="70"/>
  <c r="AC21" i="44"/>
  <c r="AR45" i="70"/>
  <c r="I27" i="44"/>
  <c r="Q27" i="44"/>
  <c r="Y27" i="44"/>
  <c r="AG27" i="44"/>
  <c r="P10" i="13"/>
  <c r="P97" i="13" s="1"/>
  <c r="R81" i="70"/>
  <c r="AA81" i="70"/>
  <c r="Y10" i="13"/>
  <c r="Y97" i="13" s="1"/>
  <c r="AS34" i="70"/>
  <c r="AD34" i="70"/>
  <c r="P39" i="70"/>
  <c r="P15" i="44"/>
  <c r="AF15" i="44"/>
  <c r="AU39" i="70"/>
  <c r="AF39" i="70"/>
  <c r="V34" i="70"/>
  <c r="AK34" i="70"/>
  <c r="AD38" i="70"/>
  <c r="AS38" i="70"/>
  <c r="AD14" i="44"/>
  <c r="AR6" i="70"/>
  <c r="AC6" i="70"/>
  <c r="AA6" i="37"/>
  <c r="AA6" i="16" s="1"/>
  <c r="AV34" i="70"/>
  <c r="AG34" i="70"/>
  <c r="G37" i="70"/>
  <c r="G22" i="44"/>
  <c r="I38" i="70"/>
  <c r="I14" i="44"/>
  <c r="T15" i="44"/>
  <c r="T39" i="70"/>
  <c r="AO42" i="70"/>
  <c r="Z42" i="70"/>
  <c r="AD44" i="70"/>
  <c r="AS44" i="70"/>
  <c r="P37" i="70"/>
  <c r="P22" i="44"/>
  <c r="R38" i="70"/>
  <c r="R14" i="44"/>
  <c r="P18" i="44"/>
  <c r="P43" i="70"/>
  <c r="T21" i="44"/>
  <c r="T45" i="70"/>
  <c r="S22" i="44"/>
  <c r="S37" i="70"/>
  <c r="U38" i="70"/>
  <c r="U14" i="44"/>
  <c r="T18" i="44"/>
  <c r="T43" i="70"/>
  <c r="AM45" i="70"/>
  <c r="X45" i="70"/>
  <c r="X21" i="44"/>
  <c r="AM34" i="70"/>
  <c r="X34" i="70"/>
  <c r="Z35" i="70"/>
  <c r="AO35" i="70"/>
  <c r="AB36" i="70"/>
  <c r="AQ36" i="70"/>
  <c r="N22" i="44"/>
  <c r="N37" i="70"/>
  <c r="AS37" i="70"/>
  <c r="AD37" i="70"/>
  <c r="AD22" i="44"/>
  <c r="P14" i="44"/>
  <c r="P38" i="70"/>
  <c r="AF38" i="70"/>
  <c r="AF14" i="44"/>
  <c r="AU38" i="70"/>
  <c r="R15" i="44"/>
  <c r="R39" i="70"/>
  <c r="AH15" i="44"/>
  <c r="AM42" i="70"/>
  <c r="X42" i="70"/>
  <c r="J18" i="44"/>
  <c r="J43" i="70"/>
  <c r="Z43" i="70"/>
  <c r="Z18" i="44"/>
  <c r="AO43" i="70"/>
  <c r="AB44" i="70"/>
  <c r="AQ44" i="70"/>
  <c r="N45" i="70"/>
  <c r="N21" i="44"/>
  <c r="AS45" i="70"/>
  <c r="AD21" i="44"/>
  <c r="AD45" i="70"/>
  <c r="K15" i="44"/>
  <c r="K39" i="70"/>
  <c r="AA39" i="70"/>
  <c r="AA15" i="44"/>
  <c r="AP39" i="70"/>
  <c r="AC40" i="70"/>
  <c r="AR40" i="70"/>
  <c r="AR42" i="70"/>
  <c r="AC42" i="70"/>
  <c r="O18" i="44"/>
  <c r="O43" i="70"/>
  <c r="AE43" i="70"/>
  <c r="AT43" i="70"/>
  <c r="AE18" i="44"/>
  <c r="S21" i="44"/>
  <c r="S45" i="70"/>
  <c r="U6" i="37"/>
  <c r="AL6" i="70"/>
  <c r="W6" i="70"/>
  <c r="AA34" i="70"/>
  <c r="AP34" i="70"/>
  <c r="AC35" i="70"/>
  <c r="AR35" i="70"/>
  <c r="AT36" i="70"/>
  <c r="AE36" i="70"/>
  <c r="Q22" i="44"/>
  <c r="Q37" i="70"/>
  <c r="AG22" i="44"/>
  <c r="AV37" i="70"/>
  <c r="AG37" i="70"/>
  <c r="S14" i="44"/>
  <c r="S38" i="70"/>
  <c r="E39" i="70"/>
  <c r="E15" i="44"/>
  <c r="U15" i="44"/>
  <c r="U39" i="70"/>
  <c r="W40" i="70"/>
  <c r="AL40" i="70"/>
  <c r="AP42" i="70"/>
  <c r="AA42" i="70"/>
  <c r="M43" i="70"/>
  <c r="M18" i="44"/>
  <c r="AC43" i="70"/>
  <c r="AC18" i="44"/>
  <c r="AR43" i="70"/>
  <c r="AE44" i="70"/>
  <c r="AT44" i="70"/>
  <c r="Q45" i="70"/>
  <c r="Q21" i="44"/>
  <c r="AG45" i="70"/>
  <c r="AG21" i="44"/>
  <c r="AV45" i="70"/>
  <c r="AB42" i="73"/>
  <c r="AH42" i="77"/>
  <c r="AO42" i="77" s="1"/>
  <c r="AQ42" i="77" s="1"/>
  <c r="X10" i="69"/>
  <c r="AF10" i="69" s="1"/>
  <c r="AM10" i="69" s="1"/>
  <c r="AA10" i="51"/>
  <c r="AI10" i="51" s="1"/>
  <c r="AP10" i="51" s="1"/>
  <c r="X10" i="52"/>
  <c r="AF10" i="52" s="1"/>
  <c r="AM10" i="52" s="1"/>
  <c r="V10" i="51"/>
  <c r="AD10" i="51" s="1"/>
  <c r="AK10" i="51" s="1"/>
  <c r="AA10" i="83"/>
  <c r="AI10" i="83" s="1"/>
  <c r="AP10" i="83" s="1"/>
  <c r="V10" i="83"/>
  <c r="AD10" i="83" s="1"/>
  <c r="AK10" i="83" s="1"/>
  <c r="X10" i="83"/>
  <c r="AF10" i="83" s="1"/>
  <c r="AM10" i="83" s="1"/>
  <c r="AA10" i="52"/>
  <c r="AI10" i="52" s="1"/>
  <c r="AP10" i="52" s="1"/>
  <c r="X10" i="53"/>
  <c r="AF10" i="53" s="1"/>
  <c r="AM10" i="53" s="1"/>
  <c r="V10" i="53"/>
  <c r="AD10" i="53" s="1"/>
  <c r="AK10" i="53" s="1"/>
  <c r="Z10" i="69"/>
  <c r="AH10" i="69" s="1"/>
  <c r="AO10" i="69" s="1"/>
  <c r="V10" i="69"/>
  <c r="AD10" i="69" s="1"/>
  <c r="AK10" i="69" s="1"/>
  <c r="I109" i="13"/>
  <c r="I110" i="13" s="1"/>
  <c r="I112" i="13" s="1"/>
  <c r="P109" i="13"/>
  <c r="P110" i="13" s="1"/>
  <c r="P112" i="13" s="1"/>
  <c r="O109" i="13"/>
  <c r="O110" i="13" s="1"/>
  <c r="O112" i="13" s="1"/>
  <c r="AE109" i="13"/>
  <c r="AE110" i="13" s="1"/>
  <c r="AE112" i="13" s="1"/>
  <c r="C109" i="13"/>
  <c r="C110" i="13" s="1"/>
  <c r="C112" i="13" s="1"/>
  <c r="X10" i="46"/>
  <c r="AF10" i="46" s="1"/>
  <c r="AM10" i="46" s="1"/>
  <c r="AF109" i="13"/>
  <c r="AF110" i="13" s="1"/>
  <c r="AF112" i="13" s="1"/>
  <c r="Y10" i="64"/>
  <c r="AG10" i="64" s="1"/>
  <c r="AN10" i="64" s="1"/>
  <c r="Y10" i="55"/>
  <c r="AG10" i="55" s="1"/>
  <c r="AN10" i="55" s="1"/>
  <c r="V10" i="73"/>
  <c r="AD10" i="73" s="1"/>
  <c r="AK10" i="73" s="1"/>
  <c r="Y10" i="46"/>
  <c r="AG10" i="46" s="1"/>
  <c r="AN10" i="46" s="1"/>
  <c r="M109" i="13"/>
  <c r="M110" i="13" s="1"/>
  <c r="M112" i="13" s="1"/>
  <c r="R109" i="13"/>
  <c r="R110" i="13" s="1"/>
  <c r="R113" i="13" s="1"/>
  <c r="AA10" i="79"/>
  <c r="AI10" i="79" s="1"/>
  <c r="AP10" i="79" s="1"/>
  <c r="V10" i="55"/>
  <c r="AD10" i="55" s="1"/>
  <c r="AK10" i="55" s="1"/>
  <c r="U109" i="13"/>
  <c r="U110" i="13" s="1"/>
  <c r="U112" i="13" s="1"/>
  <c r="H8" i="50"/>
  <c r="S8" i="50"/>
  <c r="L615" i="97" s="1"/>
  <c r="AA16" i="50"/>
  <c r="AB16" i="50" s="1"/>
  <c r="I16" i="50"/>
  <c r="T42" i="55"/>
  <c r="Z10" i="90"/>
  <c r="AH10" i="90" s="1"/>
  <c r="AO10" i="90" s="1"/>
  <c r="AA10" i="90"/>
  <c r="AI10" i="90" s="1"/>
  <c r="AP10" i="90" s="1"/>
  <c r="AA10" i="41"/>
  <c r="AI10" i="41" s="1"/>
  <c r="AP10" i="41" s="1"/>
  <c r="V10" i="88"/>
  <c r="AD10" i="88" s="1"/>
  <c r="AK10" i="88" s="1"/>
  <c r="Z10" i="96"/>
  <c r="AH10" i="96" s="1"/>
  <c r="AO10" i="96" s="1"/>
  <c r="Y10" i="88"/>
  <c r="AG10" i="88" s="1"/>
  <c r="AN10" i="88" s="1"/>
  <c r="Y10" i="96"/>
  <c r="AG10" i="96" s="1"/>
  <c r="AN10" i="96" s="1"/>
  <c r="I16" i="49"/>
  <c r="AA10" i="88"/>
  <c r="AI10" i="88" s="1"/>
  <c r="AP10" i="88" s="1"/>
  <c r="V10" i="41"/>
  <c r="AD10" i="41" s="1"/>
  <c r="AK10" i="41" s="1"/>
  <c r="Y10" i="85"/>
  <c r="AG10" i="85" s="1"/>
  <c r="AN10" i="85" s="1"/>
  <c r="S16" i="49"/>
  <c r="T16" i="49" s="1"/>
  <c r="Z10" i="85"/>
  <c r="AH10" i="85" s="1"/>
  <c r="AO10" i="85" s="1"/>
  <c r="Z10" i="47"/>
  <c r="AH10" i="47" s="1"/>
  <c r="AA10" i="85"/>
  <c r="AI10" i="85" s="1"/>
  <c r="AP10" i="85" s="1"/>
  <c r="Y10" i="90"/>
  <c r="AG10" i="90" s="1"/>
  <c r="AN10" i="90" s="1"/>
  <c r="V10" i="90"/>
  <c r="AD10" i="90" s="1"/>
  <c r="AK10" i="90" s="1"/>
  <c r="I16" i="90"/>
  <c r="S16" i="90"/>
  <c r="AH77" i="2"/>
  <c r="X10" i="56"/>
  <c r="AF10" i="56" s="1"/>
  <c r="AM10" i="56" s="1"/>
  <c r="Y10" i="82"/>
  <c r="AG10" i="82" s="1"/>
  <c r="AN10" i="82" s="1"/>
  <c r="Z12" i="50"/>
  <c r="AH12" i="50" s="1"/>
  <c r="AO12" i="50" s="1"/>
  <c r="Y10" i="48"/>
  <c r="AG10" i="48" s="1"/>
  <c r="AN10" i="48" s="1"/>
  <c r="AA10" i="96"/>
  <c r="AI10" i="96" s="1"/>
  <c r="Y10" i="47"/>
  <c r="AG10" i="47" s="1"/>
  <c r="AN10" i="47" s="1"/>
  <c r="X10" i="50"/>
  <c r="AF10" i="50" s="1"/>
  <c r="AM10" i="50" s="1"/>
  <c r="V10" i="48"/>
  <c r="AD10" i="48" s="1"/>
  <c r="AK10" i="48" s="1"/>
  <c r="V10" i="96"/>
  <c r="AD10" i="96" s="1"/>
  <c r="AA10" i="64"/>
  <c r="AI10" i="64" s="1"/>
  <c r="AP10" i="64" s="1"/>
  <c r="AA10" i="50"/>
  <c r="AI10" i="50" s="1"/>
  <c r="AP10" i="50" s="1"/>
  <c r="Y10" i="50"/>
  <c r="AG10" i="50" s="1"/>
  <c r="AN10" i="50" s="1"/>
  <c r="AA10" i="55"/>
  <c r="AI10" i="55" s="1"/>
  <c r="AP10" i="55" s="1"/>
  <c r="AA10" i="47"/>
  <c r="AI10" i="47" s="1"/>
  <c r="AP10" i="47" s="1"/>
  <c r="V10" i="64"/>
  <c r="AD10" i="64" s="1"/>
  <c r="AK10" i="64" s="1"/>
  <c r="AA10" i="48"/>
  <c r="AI10" i="48" s="1"/>
  <c r="AP10" i="48" s="1"/>
  <c r="Z10" i="48"/>
  <c r="AH10" i="48" s="1"/>
  <c r="AO10" i="48" s="1"/>
  <c r="Z10" i="55"/>
  <c r="AH10" i="55" s="1"/>
  <c r="AO10" i="55" s="1"/>
  <c r="X10" i="64"/>
  <c r="AF10" i="64" s="1"/>
  <c r="AM10" i="64" s="1"/>
  <c r="X10" i="47"/>
  <c r="AF10" i="47" s="1"/>
  <c r="AM10" i="47" s="1"/>
  <c r="X10" i="88"/>
  <c r="AF10" i="88" s="1"/>
  <c r="AM10" i="88" s="1"/>
  <c r="AG24" i="5"/>
  <c r="S16" i="77"/>
  <c r="S8" i="77" s="1"/>
  <c r="X615" i="97" s="1"/>
  <c r="AA10" i="77"/>
  <c r="AI10" i="77" s="1"/>
  <c r="AP10" i="77" s="1"/>
  <c r="X10" i="77"/>
  <c r="AF10" i="77" s="1"/>
  <c r="AM10" i="77" s="1"/>
  <c r="U12" i="96"/>
  <c r="U12" i="45"/>
  <c r="U12" i="73"/>
  <c r="U12" i="47"/>
  <c r="U12" i="53"/>
  <c r="U12" i="54"/>
  <c r="U12" i="55"/>
  <c r="X10" i="73"/>
  <c r="AF10" i="73" s="1"/>
  <c r="AM10" i="73" s="1"/>
  <c r="I16" i="77"/>
  <c r="AA10" i="46"/>
  <c r="AI10" i="46" s="1"/>
  <c r="AP10" i="46" s="1"/>
  <c r="Y10" i="53"/>
  <c r="AG10" i="53" s="1"/>
  <c r="AN10" i="53" s="1"/>
  <c r="Y10" i="49"/>
  <c r="AG10" i="49" s="1"/>
  <c r="AN10" i="49" s="1"/>
  <c r="AA10" i="49"/>
  <c r="AI10" i="49" s="1"/>
  <c r="AP10" i="49" s="1"/>
  <c r="W12" i="64"/>
  <c r="AE12" i="64" s="1"/>
  <c r="AL12" i="64" s="1"/>
  <c r="Y10" i="52"/>
  <c r="AG10" i="52" s="1"/>
  <c r="AN10" i="52" s="1"/>
  <c r="Z10" i="77"/>
  <c r="AH10" i="77" s="1"/>
  <c r="AO10" i="77" s="1"/>
  <c r="AA10" i="87"/>
  <c r="AI10" i="87" s="1"/>
  <c r="AP10" i="87" s="1"/>
  <c r="Y10" i="81"/>
  <c r="AG10" i="81" s="1"/>
  <c r="AN10" i="81" s="1"/>
  <c r="Z10" i="52"/>
  <c r="AH10" i="52" s="1"/>
  <c r="AO10" i="52" s="1"/>
  <c r="Y10" i="77"/>
  <c r="AG10" i="77" s="1"/>
  <c r="AN10" i="77" s="1"/>
  <c r="U12" i="85"/>
  <c r="U12" i="79"/>
  <c r="W12" i="79" s="1"/>
  <c r="AE12" i="79" s="1"/>
  <c r="AL12" i="79" s="1"/>
  <c r="U12" i="56"/>
  <c r="AA12" i="56" s="1"/>
  <c r="AI12" i="56" s="1"/>
  <c r="AP12" i="56" s="1"/>
  <c r="U12" i="83"/>
  <c r="Z12" i="83" s="1"/>
  <c r="AH12" i="83" s="1"/>
  <c r="AO12" i="83" s="1"/>
  <c r="U12" i="72"/>
  <c r="AA12" i="72" s="1"/>
  <c r="AI12" i="72" s="1"/>
  <c r="AP12" i="72" s="1"/>
  <c r="Z10" i="79"/>
  <c r="AH10" i="79" s="1"/>
  <c r="AO10" i="79" s="1"/>
  <c r="AG25" i="5"/>
  <c r="AF21" i="5"/>
  <c r="V10" i="49"/>
  <c r="AD10" i="49" s="1"/>
  <c r="AK10" i="49" s="1"/>
  <c r="Y10" i="79"/>
  <c r="AG10" i="79" s="1"/>
  <c r="AN10" i="79" s="1"/>
  <c r="Z10" i="73"/>
  <c r="AH10" i="73" s="1"/>
  <c r="AO10" i="73" s="1"/>
  <c r="AA10" i="53"/>
  <c r="AI10" i="53" s="1"/>
  <c r="AP10" i="53" s="1"/>
  <c r="Y12" i="50"/>
  <c r="AG12" i="50" s="1"/>
  <c r="AN12" i="50" s="1"/>
  <c r="V10" i="81"/>
  <c r="AD10" i="81" s="1"/>
  <c r="AK10" i="81" s="1"/>
  <c r="AA10" i="81"/>
  <c r="AI10" i="81" s="1"/>
  <c r="AP10" i="81" s="1"/>
  <c r="Y10" i="87"/>
  <c r="AG10" i="87" s="1"/>
  <c r="AN10" i="87" s="1"/>
  <c r="V12" i="50"/>
  <c r="AD12" i="50" s="1"/>
  <c r="AK12" i="50" s="1"/>
  <c r="V10" i="87"/>
  <c r="AD10" i="87" s="1"/>
  <c r="AK10" i="87" s="1"/>
  <c r="X10" i="81"/>
  <c r="AF10" i="81" s="1"/>
  <c r="AM10" i="81" s="1"/>
  <c r="U12" i="95"/>
  <c r="AA12" i="95" s="1"/>
  <c r="AI12" i="95" s="1"/>
  <c r="AP12" i="95" s="1"/>
  <c r="U12" i="90"/>
  <c r="AA12" i="90" s="1"/>
  <c r="AI12" i="90" s="1"/>
  <c r="AP12" i="90" s="1"/>
  <c r="U12" i="82"/>
  <c r="W12" i="82" s="1"/>
  <c r="AE12" i="82" s="1"/>
  <c r="AL12" i="82" s="1"/>
  <c r="U12" i="51"/>
  <c r="U12" i="77"/>
  <c r="V12" i="77" s="1"/>
  <c r="AD12" i="77" s="1"/>
  <c r="AK12" i="77" s="1"/>
  <c r="U12" i="46"/>
  <c r="AA12" i="46" s="1"/>
  <c r="AI12" i="46" s="1"/>
  <c r="AP12" i="46" s="1"/>
  <c r="U12" i="88"/>
  <c r="I16" i="79"/>
  <c r="T16" i="69"/>
  <c r="I16" i="69"/>
  <c r="H8" i="69"/>
  <c r="S16" i="79"/>
  <c r="S8" i="79" s="1"/>
  <c r="Y615" i="97" s="1"/>
  <c r="F95" i="44"/>
  <c r="W12" i="84"/>
  <c r="AE12" i="84" s="1"/>
  <c r="AL12" i="84" s="1"/>
  <c r="V12" i="84"/>
  <c r="AD12" i="84" s="1"/>
  <c r="AK12" i="84" s="1"/>
  <c r="Z12" i="84"/>
  <c r="AH12" i="84" s="1"/>
  <c r="AO12" i="84" s="1"/>
  <c r="Y12" i="84"/>
  <c r="AG12" i="84" s="1"/>
  <c r="AN12" i="84" s="1"/>
  <c r="S16" i="51"/>
  <c r="AA16" i="51" s="1"/>
  <c r="M33" i="45"/>
  <c r="I16" i="51"/>
  <c r="T42" i="88"/>
  <c r="AA12" i="64"/>
  <c r="AI12" i="64" s="1"/>
  <c r="AP12" i="64" s="1"/>
  <c r="AQ42" i="96"/>
  <c r="AB29" i="41"/>
  <c r="AA16" i="69"/>
  <c r="AI16" i="69" s="1"/>
  <c r="Y12" i="64"/>
  <c r="AG12" i="64" s="1"/>
  <c r="AN12" i="64" s="1"/>
  <c r="V12" i="64"/>
  <c r="AD12" i="64" s="1"/>
  <c r="AK12" i="64" s="1"/>
  <c r="AJ42" i="87"/>
  <c r="AB79" i="10" s="1"/>
  <c r="AB29" i="10" s="1"/>
  <c r="AQ42" i="87"/>
  <c r="I42" i="55"/>
  <c r="AQ29" i="50"/>
  <c r="AB42" i="96"/>
  <c r="AJ29" i="50"/>
  <c r="AJ29" i="41"/>
  <c r="AK29" i="47"/>
  <c r="AQ29" i="47" s="1"/>
  <c r="AG868" i="97"/>
  <c r="AF843" i="97"/>
  <c r="AE195" i="44"/>
  <c r="AE168" i="44"/>
  <c r="AH168" i="44"/>
  <c r="AG874" i="97"/>
  <c r="H874" i="97"/>
  <c r="G122" i="44"/>
  <c r="G151" i="44" s="1"/>
  <c r="U15" i="96"/>
  <c r="U15" i="46"/>
  <c r="U15" i="87"/>
  <c r="U15" i="72"/>
  <c r="U15" i="83"/>
  <c r="U15" i="88"/>
  <c r="U15" i="49"/>
  <c r="U15" i="52"/>
  <c r="U15" i="50"/>
  <c r="U15" i="77"/>
  <c r="U15" i="82"/>
  <c r="U15" i="41"/>
  <c r="U15" i="95"/>
  <c r="H17" i="5"/>
  <c r="U24" i="100" s="1"/>
  <c r="Z24" i="100" s="1"/>
  <c r="AH24" i="100" s="1"/>
  <c r="AO24" i="100" s="1"/>
  <c r="U15" i="79"/>
  <c r="U15" i="56"/>
  <c r="U15" i="51"/>
  <c r="U15" i="81"/>
  <c r="U15" i="73"/>
  <c r="U15" i="53"/>
  <c r="U15" i="45"/>
  <c r="U15" i="58"/>
  <c r="U15" i="90"/>
  <c r="U15" i="54"/>
  <c r="U15" i="55"/>
  <c r="U15" i="84"/>
  <c r="U15" i="47"/>
  <c r="U15" i="85"/>
  <c r="U15" i="69"/>
  <c r="U15" i="48"/>
  <c r="U15" i="64"/>
  <c r="AH843" i="97"/>
  <c r="AG195" i="44"/>
  <c r="AG843" i="97"/>
  <c r="AF195" i="44"/>
  <c r="AF168" i="44"/>
  <c r="AI843" i="97"/>
  <c r="AH195" i="44"/>
  <c r="H8" i="58"/>
  <c r="G27" i="37"/>
  <c r="G27" i="16" s="1"/>
  <c r="H8" i="53"/>
  <c r="H8" i="88"/>
  <c r="H17" i="81"/>
  <c r="S17" i="81" s="1"/>
  <c r="Z621" i="97" s="1"/>
  <c r="AO80" i="70"/>
  <c r="S16" i="53"/>
  <c r="S8" i="53" s="1"/>
  <c r="I615" i="97" s="1"/>
  <c r="S16" i="88"/>
  <c r="AA16" i="88" s="1"/>
  <c r="AT79" i="70"/>
  <c r="Z80" i="70"/>
  <c r="H17" i="56"/>
  <c r="S17" i="56" s="1"/>
  <c r="R621" i="97" s="1"/>
  <c r="AE85" i="70"/>
  <c r="AT85" i="70"/>
  <c r="AB42" i="46"/>
  <c r="AH42" i="46"/>
  <c r="AH42" i="51"/>
  <c r="AB42" i="51"/>
  <c r="AB29" i="88"/>
  <c r="AG29" i="88"/>
  <c r="AQ29" i="82"/>
  <c r="AJ29" i="82"/>
  <c r="AJ29" i="55"/>
  <c r="AQ29" i="55"/>
  <c r="AQ29" i="52"/>
  <c r="AJ29" i="52"/>
  <c r="AJ29" i="45"/>
  <c r="AK29" i="45"/>
  <c r="AQ29" i="45" s="1"/>
  <c r="AB29" i="45"/>
  <c r="S16" i="58"/>
  <c r="AA16" i="58" s="1"/>
  <c r="AB16" i="58" s="1"/>
  <c r="AN80" i="70"/>
  <c r="C27" i="37"/>
  <c r="C27" i="16" s="1"/>
  <c r="S27" i="37"/>
  <c r="S27" i="16" s="1"/>
  <c r="C8" i="79"/>
  <c r="N9" i="85"/>
  <c r="N8" i="85" s="1"/>
  <c r="AD489" i="97" s="1"/>
  <c r="N9" i="79"/>
  <c r="V9" i="79" s="1"/>
  <c r="AD9" i="79" s="1"/>
  <c r="AK9" i="79" s="1"/>
  <c r="N9" i="84"/>
  <c r="T9" i="84" s="1"/>
  <c r="I9" i="85"/>
  <c r="C8" i="84"/>
  <c r="N9" i="82"/>
  <c r="I9" i="88"/>
  <c r="N9" i="88"/>
  <c r="V9" i="88" s="1"/>
  <c r="AB9" i="88" s="1"/>
  <c r="C8" i="82"/>
  <c r="Y80" i="70"/>
  <c r="AE8" i="13"/>
  <c r="S88" i="13" s="1"/>
  <c r="C8" i="77"/>
  <c r="AQ79" i="70"/>
  <c r="AC8" i="13"/>
  <c r="AG79" i="70"/>
  <c r="AB9" i="13"/>
  <c r="AB96" i="13" s="1"/>
  <c r="AB79" i="70"/>
  <c r="C8" i="87"/>
  <c r="I9" i="87"/>
  <c r="AF117" i="44"/>
  <c r="AF146" i="44" s="1"/>
  <c r="AF173" i="44" s="1"/>
  <c r="N9" i="77"/>
  <c r="V9" i="77" s="1"/>
  <c r="N8" i="87"/>
  <c r="AE489" i="97" s="1"/>
  <c r="C8" i="96"/>
  <c r="V9" i="87"/>
  <c r="N9" i="96"/>
  <c r="T9" i="96" s="1"/>
  <c r="I9" i="81"/>
  <c r="C8" i="81"/>
  <c r="N9" i="81"/>
  <c r="T9" i="81" s="1"/>
  <c r="B9" i="2"/>
  <c r="I9" i="83"/>
  <c r="C8" i="83"/>
  <c r="AC9" i="13"/>
  <c r="AC96" i="13" s="1"/>
  <c r="N9" i="83"/>
  <c r="T9" i="83" s="1"/>
  <c r="K27" i="37"/>
  <c r="K27" i="16" s="1"/>
  <c r="J122" i="44"/>
  <c r="J151" i="44" s="1"/>
  <c r="K874" i="97"/>
  <c r="H122" i="44"/>
  <c r="H151" i="44" s="1"/>
  <c r="I874" i="97"/>
  <c r="AD122" i="44"/>
  <c r="AD151" i="44" s="1"/>
  <c r="AE874" i="97"/>
  <c r="S122" i="44"/>
  <c r="S151" i="44" s="1"/>
  <c r="T874" i="97"/>
  <c r="AE122" i="44"/>
  <c r="AE151" i="44" s="1"/>
  <c r="AF874" i="97"/>
  <c r="AA205" i="44"/>
  <c r="AB873" i="97"/>
  <c r="T122" i="44"/>
  <c r="T151" i="44" s="1"/>
  <c r="U874" i="97"/>
  <c r="D109" i="13"/>
  <c r="D110" i="13" s="1"/>
  <c r="D112" i="13" s="1"/>
  <c r="E178" i="44"/>
  <c r="F873" i="97"/>
  <c r="E205" i="44"/>
  <c r="X26" i="37"/>
  <c r="X26" i="16" s="1"/>
  <c r="H16" i="82"/>
  <c r="BO27" i="70"/>
  <c r="M33" i="58"/>
  <c r="R95" i="44"/>
  <c r="W122" i="44"/>
  <c r="W151" i="44" s="1"/>
  <c r="X874" i="97"/>
  <c r="O122" i="44"/>
  <c r="O151" i="44" s="1"/>
  <c r="P874" i="97"/>
  <c r="X122" i="44"/>
  <c r="X151" i="44" s="1"/>
  <c r="Y874" i="97"/>
  <c r="K122" i="44"/>
  <c r="K151" i="44" s="1"/>
  <c r="L874" i="97"/>
  <c r="Q109" i="13"/>
  <c r="Q110" i="13" s="1"/>
  <c r="Q112" i="13" s="1"/>
  <c r="T109" i="13"/>
  <c r="T110" i="13" s="1"/>
  <c r="T112" i="13" s="1"/>
  <c r="H16" i="87"/>
  <c r="AB26" i="37"/>
  <c r="AB26" i="16" s="1"/>
  <c r="Q874" i="97"/>
  <c r="P122" i="44"/>
  <c r="P151" i="44" s="1"/>
  <c r="BW27" i="70"/>
  <c r="Z95" i="44"/>
  <c r="M33" i="82"/>
  <c r="AB42" i="58"/>
  <c r="AH42" i="58"/>
  <c r="R42" i="90"/>
  <c r="I42" i="90"/>
  <c r="AN85" i="70"/>
  <c r="Y85" i="70"/>
  <c r="AB42" i="64"/>
  <c r="AH42" i="64"/>
  <c r="AH42" i="79"/>
  <c r="AB42" i="79"/>
  <c r="AH35" i="97"/>
  <c r="T42" i="95"/>
  <c r="R42" i="73"/>
  <c r="I42" i="73"/>
  <c r="I42" i="45"/>
  <c r="R42" i="45"/>
  <c r="S8" i="46"/>
  <c r="P615" i="97" s="1"/>
  <c r="AB16" i="46"/>
  <c r="AQ29" i="96"/>
  <c r="AJ29" i="96"/>
  <c r="H17" i="85"/>
  <c r="S17" i="85" s="1"/>
  <c r="AD621" i="97" s="1"/>
  <c r="Y9" i="13"/>
  <c r="Y96" i="13" s="1"/>
  <c r="AA80" i="70"/>
  <c r="H17" i="83"/>
  <c r="S17" i="83" s="1"/>
  <c r="AB621" i="97" s="1"/>
  <c r="AG80" i="70"/>
  <c r="Y79" i="70"/>
  <c r="AD80" i="70"/>
  <c r="T16" i="46"/>
  <c r="AN79" i="70"/>
  <c r="AT80" i="70"/>
  <c r="AF79" i="70"/>
  <c r="H17" i="50"/>
  <c r="S17" i="50" s="1"/>
  <c r="Y8" i="13"/>
  <c r="Y95" i="13" s="1"/>
  <c r="AR79" i="70"/>
  <c r="Z9" i="13"/>
  <c r="Z96" i="13" s="1"/>
  <c r="AU79" i="70"/>
  <c r="AA8" i="13"/>
  <c r="O88" i="13" s="1"/>
  <c r="AA79" i="70"/>
  <c r="AB80" i="70"/>
  <c r="AE9" i="13"/>
  <c r="S621" i="97"/>
  <c r="AA178" i="44"/>
  <c r="AR80" i="70"/>
  <c r="AC80" i="70"/>
  <c r="AA9" i="13"/>
  <c r="X18" i="94"/>
  <c r="Z42" i="81" s="1"/>
  <c r="AH42" i="81" s="1"/>
  <c r="H18" i="94"/>
  <c r="Z42" i="52" s="1"/>
  <c r="AH42" i="52" s="1"/>
  <c r="O27" i="16"/>
  <c r="AJ16" i="46"/>
  <c r="AP16" i="46"/>
  <c r="AQ16" i="46" s="1"/>
  <c r="AB18" i="94"/>
  <c r="Z42" i="85" s="1"/>
  <c r="AH42" i="85" s="1"/>
  <c r="T18" i="94"/>
  <c r="Z42" i="72" s="1"/>
  <c r="AH42" i="72" s="1"/>
  <c r="AB42" i="47"/>
  <c r="AH42" i="47"/>
  <c r="AH42" i="90"/>
  <c r="AB42" i="90"/>
  <c r="AB42" i="54"/>
  <c r="AH42" i="54"/>
  <c r="AO42" i="73"/>
  <c r="AQ42" i="73" s="1"/>
  <c r="AJ42" i="73"/>
  <c r="T79" i="10" s="1"/>
  <c r="T29" i="10" s="1"/>
  <c r="AB42" i="69"/>
  <c r="AH42" i="69"/>
  <c r="AB42" i="88"/>
  <c r="AH42" i="88"/>
  <c r="AH42" i="50"/>
  <c r="AB42" i="50"/>
  <c r="H17" i="95"/>
  <c r="AE27" i="37"/>
  <c r="AD6" i="16"/>
  <c r="P95" i="13"/>
  <c r="AE9" i="77"/>
  <c r="AH10" i="50"/>
  <c r="AE9" i="54"/>
  <c r="AH9" i="81"/>
  <c r="AI9" i="77"/>
  <c r="AP9" i="77" s="1"/>
  <c r="Q27" i="37"/>
  <c r="H17" i="64"/>
  <c r="AP9" i="49"/>
  <c r="AH9" i="52"/>
  <c r="AD9" i="13"/>
  <c r="AU80" i="70"/>
  <c r="AF80" i="70"/>
  <c r="Z97" i="13"/>
  <c r="L27" i="16"/>
  <c r="T98" i="13"/>
  <c r="AH9" i="46"/>
  <c r="AO9" i="84"/>
  <c r="AE9" i="47"/>
  <c r="AL9" i="47" s="1"/>
  <c r="AC27" i="37"/>
  <c r="AC27" i="16" s="1"/>
  <c r="H17" i="88"/>
  <c r="S17" i="88" s="1"/>
  <c r="U27" i="37"/>
  <c r="H17" i="77"/>
  <c r="E27" i="37"/>
  <c r="H17" i="54"/>
  <c r="AH76" i="2"/>
  <c r="M27" i="37"/>
  <c r="H17" i="46"/>
  <c r="U96" i="13"/>
  <c r="I89" i="13"/>
  <c r="Z95" i="13"/>
  <c r="P18" i="94"/>
  <c r="Z42" i="56" s="1"/>
  <c r="AH42" i="95"/>
  <c r="AB42" i="95"/>
  <c r="AJ42" i="96"/>
  <c r="AF79" i="10" s="1"/>
  <c r="AF29" i="10" s="1"/>
  <c r="S17" i="73"/>
  <c r="W621" i="97" s="1"/>
  <c r="S16" i="54"/>
  <c r="H8" i="54"/>
  <c r="I16" i="54"/>
  <c r="Y27" i="16"/>
  <c r="U95" i="13"/>
  <c r="I88" i="13"/>
  <c r="H17" i="55"/>
  <c r="N27" i="37"/>
  <c r="H22" i="58"/>
  <c r="Q95" i="13"/>
  <c r="F88" i="13"/>
  <c r="I95" i="13"/>
  <c r="G26" i="16"/>
  <c r="R27" i="37"/>
  <c r="H17" i="69"/>
  <c r="Z110" i="13"/>
  <c r="Z112" i="13" s="1"/>
  <c r="E109" i="13"/>
  <c r="H21" i="64"/>
  <c r="H21" i="83"/>
  <c r="H22" i="47"/>
  <c r="H22" i="73"/>
  <c r="H22" i="87"/>
  <c r="X95" i="13"/>
  <c r="L88" i="13"/>
  <c r="AG85" i="70"/>
  <c r="AV85" i="70"/>
  <c r="L18" i="94"/>
  <c r="Z42" i="48" s="1"/>
  <c r="D18" i="94"/>
  <c r="Z42" i="41" s="1"/>
  <c r="CD18" i="70"/>
  <c r="K39" i="95"/>
  <c r="Z85" i="70"/>
  <c r="AO85" i="70"/>
  <c r="T27" i="16"/>
  <c r="I42" i="96"/>
  <c r="R42" i="96"/>
  <c r="AI35" i="97" s="1"/>
  <c r="L89" i="13"/>
  <c r="W96" i="13"/>
  <c r="H16" i="48"/>
  <c r="K26" i="37"/>
  <c r="V110" i="13"/>
  <c r="V113" i="13" s="1"/>
  <c r="AD27" i="37"/>
  <c r="H17" i="90"/>
  <c r="Y109" i="13"/>
  <c r="H22" i="45"/>
  <c r="L109" i="13"/>
  <c r="X109" i="13"/>
  <c r="H21" i="41"/>
  <c r="T16" i="96"/>
  <c r="AA16" i="96"/>
  <c r="S8" i="96"/>
  <c r="AI615" i="97" s="1"/>
  <c r="AB42" i="82"/>
  <c r="AH42" i="82"/>
  <c r="I27" i="16"/>
  <c r="S26" i="37"/>
  <c r="H16" i="72"/>
  <c r="AA26" i="37"/>
  <c r="H16" i="85"/>
  <c r="F27" i="37"/>
  <c r="H17" i="53"/>
  <c r="V27" i="37"/>
  <c r="H17" i="79"/>
  <c r="H21" i="77"/>
  <c r="H22" i="82"/>
  <c r="H22" i="96"/>
  <c r="AN9" i="79"/>
  <c r="S17" i="52"/>
  <c r="E26" i="16"/>
  <c r="J96" i="13"/>
  <c r="G110" i="13"/>
  <c r="G112" i="13" s="1"/>
  <c r="H16" i="56"/>
  <c r="O26" i="37"/>
  <c r="H16" i="81"/>
  <c r="W26" i="37"/>
  <c r="AE26" i="37"/>
  <c r="H16" i="95"/>
  <c r="H17" i="49"/>
  <c r="J27" i="37"/>
  <c r="Z27" i="37"/>
  <c r="H17" i="84"/>
  <c r="H21" i="54"/>
  <c r="H21" i="46"/>
  <c r="H21" i="88"/>
  <c r="H22" i="51"/>
  <c r="W95" i="13"/>
  <c r="T16" i="55"/>
  <c r="AA16" i="55"/>
  <c r="S8" i="55"/>
  <c r="Q615" i="97" s="1"/>
  <c r="AI9" i="73"/>
  <c r="AK873" i="97" l="1"/>
  <c r="S21" i="41"/>
  <c r="X28" i="37"/>
  <c r="X25" i="37" s="1"/>
  <c r="X44" i="37" s="1"/>
  <c r="Z28" i="10"/>
  <c r="BK26" i="104"/>
  <c r="BK26" i="98"/>
  <c r="BJ26" i="71"/>
  <c r="N28" i="10"/>
  <c r="AY25" i="98" s="1"/>
  <c r="AY26" i="104"/>
  <c r="AY26" i="98"/>
  <c r="AX26" i="71"/>
  <c r="AF28" i="10"/>
  <c r="BQ26" i="104"/>
  <c r="BQ26" i="98"/>
  <c r="BP26" i="71"/>
  <c r="AB28" i="10"/>
  <c r="BM25" i="98" s="1"/>
  <c r="BM26" i="104"/>
  <c r="BM26" i="98"/>
  <c r="BL26" i="71"/>
  <c r="T28" i="10"/>
  <c r="BE26" i="104"/>
  <c r="BE26" i="98"/>
  <c r="BD26" i="71"/>
  <c r="J28" i="10"/>
  <c r="AU25" i="98" s="1"/>
  <c r="AU26" i="104"/>
  <c r="AU26" i="98"/>
  <c r="AT26" i="71"/>
  <c r="AL168" i="44"/>
  <c r="AO168" i="44"/>
  <c r="T16" i="90"/>
  <c r="AO178" i="44"/>
  <c r="AL178" i="44"/>
  <c r="AN178" i="44"/>
  <c r="AM178" i="44"/>
  <c r="W90" i="13"/>
  <c r="AJ10" i="13"/>
  <c r="Y15" i="99"/>
  <c r="AG15" i="99" s="1"/>
  <c r="AN15" i="99" s="1"/>
  <c r="AH6" i="16"/>
  <c r="Z12" i="99"/>
  <c r="AH12" i="99" s="1"/>
  <c r="AO12" i="99" s="1"/>
  <c r="V12" i="99"/>
  <c r="AD12" i="99" s="1"/>
  <c r="AK12" i="99" s="1"/>
  <c r="AH97" i="13"/>
  <c r="AJ42" i="45"/>
  <c r="D79" i="10" s="1"/>
  <c r="D29" i="10" s="1"/>
  <c r="K41" i="101"/>
  <c r="AC35" i="97"/>
  <c r="K39" i="101"/>
  <c r="N8" i="101"/>
  <c r="AL489" i="97" s="1"/>
  <c r="V9" i="101"/>
  <c r="T9" i="101"/>
  <c r="K35" i="101"/>
  <c r="K34" i="101"/>
  <c r="K33" i="101"/>
  <c r="AA15" i="99"/>
  <c r="AI15" i="99" s="1"/>
  <c r="AP15" i="99" s="1"/>
  <c r="X15" i="99"/>
  <c r="AF15" i="99" s="1"/>
  <c r="AM15" i="99" s="1"/>
  <c r="V15" i="99"/>
  <c r="AD15" i="99" s="1"/>
  <c r="AK15" i="99" s="1"/>
  <c r="W12" i="99"/>
  <c r="AE12" i="99" s="1"/>
  <c r="AL12" i="99" s="1"/>
  <c r="Y12" i="99"/>
  <c r="AG12" i="99" s="1"/>
  <c r="AN12" i="99" s="1"/>
  <c r="AJ90" i="44"/>
  <c r="K33" i="100"/>
  <c r="AJ77" i="2"/>
  <c r="Y12" i="100"/>
  <c r="AG12" i="100" s="1"/>
  <c r="AN12" i="100" s="1"/>
  <c r="W12" i="100"/>
  <c r="AE12" i="100" s="1"/>
  <c r="AL12" i="100" s="1"/>
  <c r="V12" i="100"/>
  <c r="AD12" i="100" s="1"/>
  <c r="AK12" i="100" s="1"/>
  <c r="Z12" i="100"/>
  <c r="AH12" i="100" s="1"/>
  <c r="AO12" i="100" s="1"/>
  <c r="AA12" i="100"/>
  <c r="AI12" i="100" s="1"/>
  <c r="AP12" i="100" s="1"/>
  <c r="AJ89" i="44"/>
  <c r="K41" i="100"/>
  <c r="AJ76" i="2"/>
  <c r="AG6" i="63"/>
  <c r="K35" i="100"/>
  <c r="X15" i="100"/>
  <c r="AF15" i="100" s="1"/>
  <c r="AM15" i="100" s="1"/>
  <c r="Y15" i="100"/>
  <c r="AG15" i="100" s="1"/>
  <c r="AN15" i="100" s="1"/>
  <c r="V15" i="100"/>
  <c r="AD15" i="100" s="1"/>
  <c r="AK15" i="100" s="1"/>
  <c r="AA15" i="100"/>
  <c r="AI15" i="100" s="1"/>
  <c r="AP15" i="100" s="1"/>
  <c r="W15" i="100"/>
  <c r="AE15" i="100" s="1"/>
  <c r="AL15" i="100" s="1"/>
  <c r="H22" i="83"/>
  <c r="S22" i="83" s="1"/>
  <c r="H22" i="88"/>
  <c r="S22" i="88" s="1"/>
  <c r="T9" i="95"/>
  <c r="AD195" i="44"/>
  <c r="AE843" i="97"/>
  <c r="AD168" i="44"/>
  <c r="N113" i="13"/>
  <c r="N114" i="13" s="1"/>
  <c r="L122" i="44"/>
  <c r="L151" i="44" s="1"/>
  <c r="M873" i="97" s="1"/>
  <c r="V122" i="44"/>
  <c r="V151" i="44" s="1"/>
  <c r="V205" i="44" s="1"/>
  <c r="AA16" i="41"/>
  <c r="AI16" i="41" s="1"/>
  <c r="AP16" i="41" s="1"/>
  <c r="T9" i="82"/>
  <c r="AA35" i="97"/>
  <c r="K39" i="99"/>
  <c r="W28" i="37"/>
  <c r="W25" i="37" s="1"/>
  <c r="W44" i="37" s="1"/>
  <c r="S16" i="45"/>
  <c r="S8" i="45" s="1"/>
  <c r="G615" i="97" s="1"/>
  <c r="I16" i="45"/>
  <c r="AB205" i="44"/>
  <c r="AB178" i="44"/>
  <c r="O26" i="44"/>
  <c r="O94" i="44" s="1"/>
  <c r="V28" i="37"/>
  <c r="V25" i="37" s="1"/>
  <c r="V44" i="37" s="1"/>
  <c r="T42" i="81"/>
  <c r="D28" i="37"/>
  <c r="D25" i="37" s="1"/>
  <c r="D44" i="37" s="1"/>
  <c r="AF151" i="44"/>
  <c r="AF178" i="44" s="1"/>
  <c r="T42" i="47"/>
  <c r="S8" i="64"/>
  <c r="T615" i="97" s="1"/>
  <c r="AA16" i="64"/>
  <c r="AB16" i="64" s="1"/>
  <c r="T42" i="85"/>
  <c r="T42" i="87"/>
  <c r="V12" i="69"/>
  <c r="AD12" i="69" s="1"/>
  <c r="AK12" i="69" s="1"/>
  <c r="V12" i="52"/>
  <c r="AD12" i="52" s="1"/>
  <c r="AK12" i="52" s="1"/>
  <c r="AB16" i="73"/>
  <c r="U615" i="97"/>
  <c r="T16" i="41"/>
  <c r="K41" i="96"/>
  <c r="S8" i="47"/>
  <c r="O615" i="97" s="1"/>
  <c r="T16" i="47"/>
  <c r="AA16" i="83"/>
  <c r="AB16" i="83" s="1"/>
  <c r="Z12" i="69"/>
  <c r="AH12" i="69" s="1"/>
  <c r="AO12" i="69" s="1"/>
  <c r="W12" i="69"/>
  <c r="AE12" i="69" s="1"/>
  <c r="AL12" i="69" s="1"/>
  <c r="AA12" i="69"/>
  <c r="AI12" i="69" s="1"/>
  <c r="AP12" i="69" s="1"/>
  <c r="D88" i="13"/>
  <c r="Y12" i="87"/>
  <c r="AG12" i="87" s="1"/>
  <c r="AN12" i="87" s="1"/>
  <c r="Z12" i="41"/>
  <c r="AH12" i="41" s="1"/>
  <c r="AO12" i="41" s="1"/>
  <c r="AA12" i="87"/>
  <c r="AI12" i="87" s="1"/>
  <c r="AP12" i="87" s="1"/>
  <c r="N9" i="90"/>
  <c r="V12" i="48"/>
  <c r="AD12" i="48" s="1"/>
  <c r="AK12" i="48" s="1"/>
  <c r="CE21" i="70"/>
  <c r="S8" i="41"/>
  <c r="I9" i="90"/>
  <c r="AI90" i="44"/>
  <c r="CF22" i="70"/>
  <c r="AI89" i="44"/>
  <c r="CF21" i="70"/>
  <c r="AA12" i="52"/>
  <c r="AI12" i="52" s="1"/>
  <c r="AP12" i="52" s="1"/>
  <c r="Z12" i="52"/>
  <c r="AH12" i="52" s="1"/>
  <c r="AO12" i="52" s="1"/>
  <c r="Y12" i="52"/>
  <c r="AG12" i="52" s="1"/>
  <c r="AN12" i="52" s="1"/>
  <c r="Y12" i="58"/>
  <c r="AG12" i="58" s="1"/>
  <c r="AN12" i="58" s="1"/>
  <c r="W12" i="58"/>
  <c r="AE12" i="58" s="1"/>
  <c r="AL12" i="58" s="1"/>
  <c r="Z12" i="58"/>
  <c r="AH12" i="58" s="1"/>
  <c r="AO12" i="58" s="1"/>
  <c r="Z12" i="48"/>
  <c r="AH12" i="48" s="1"/>
  <c r="AO12" i="48" s="1"/>
  <c r="AA12" i="48"/>
  <c r="AI12" i="48" s="1"/>
  <c r="AP12" i="48" s="1"/>
  <c r="Y12" i="48"/>
  <c r="AG12" i="48" s="1"/>
  <c r="AN12" i="48" s="1"/>
  <c r="AA12" i="58"/>
  <c r="AI12" i="58" s="1"/>
  <c r="AP12" i="58" s="1"/>
  <c r="T42" i="100"/>
  <c r="AK35" i="97"/>
  <c r="V12" i="49"/>
  <c r="AD12" i="49" s="1"/>
  <c r="AK12" i="49" s="1"/>
  <c r="T16" i="83"/>
  <c r="U90" i="13"/>
  <c r="V90" i="13"/>
  <c r="Z12" i="81"/>
  <c r="AH12" i="81" s="1"/>
  <c r="AO12" i="81" s="1"/>
  <c r="W12" i="81"/>
  <c r="AE12" i="81" s="1"/>
  <c r="AL12" i="81" s="1"/>
  <c r="C8" i="99"/>
  <c r="N9" i="99"/>
  <c r="V9" i="99" s="1"/>
  <c r="AB9" i="99" s="1"/>
  <c r="AI77" i="2"/>
  <c r="AI76" i="2"/>
  <c r="T42" i="54"/>
  <c r="M874" i="97"/>
  <c r="Z12" i="87"/>
  <c r="AH12" i="87" s="1"/>
  <c r="AO12" i="87" s="1"/>
  <c r="W12" i="87"/>
  <c r="AE12" i="87" s="1"/>
  <c r="AL12" i="87" s="1"/>
  <c r="K34" i="100"/>
  <c r="Y12" i="49"/>
  <c r="AG12" i="49" s="1"/>
  <c r="AN12" i="49" s="1"/>
  <c r="W12" i="49"/>
  <c r="AE12" i="49" s="1"/>
  <c r="AL12" i="49" s="1"/>
  <c r="T42" i="69"/>
  <c r="AK34" i="100"/>
  <c r="AF6" i="63"/>
  <c r="AK14" i="100"/>
  <c r="AK13" i="100"/>
  <c r="AO19" i="100"/>
  <c r="AL9" i="100"/>
  <c r="T28" i="37"/>
  <c r="T25" i="37" s="1"/>
  <c r="T44" i="37" s="1"/>
  <c r="AA12" i="81"/>
  <c r="AI12" i="81" s="1"/>
  <c r="AP12" i="81" s="1"/>
  <c r="AK41" i="100"/>
  <c r="W12" i="41"/>
  <c r="AE12" i="41" s="1"/>
  <c r="AL12" i="41" s="1"/>
  <c r="AK10" i="100"/>
  <c r="AK38" i="100"/>
  <c r="U24" i="73"/>
  <c r="U24" i="99"/>
  <c r="Z24" i="99" s="1"/>
  <c r="AH24" i="99" s="1"/>
  <c r="AO24" i="99" s="1"/>
  <c r="AK29" i="99"/>
  <c r="AQ29" i="99" s="1"/>
  <c r="AJ29" i="99"/>
  <c r="N9" i="100"/>
  <c r="C8" i="100"/>
  <c r="I9" i="100"/>
  <c r="AL19" i="100"/>
  <c r="O28" i="37"/>
  <c r="O25" i="37" s="1"/>
  <c r="O44" i="37" s="1"/>
  <c r="Y12" i="81"/>
  <c r="AG12" i="81" s="1"/>
  <c r="AN12" i="81" s="1"/>
  <c r="AA12" i="41"/>
  <c r="AI12" i="41" s="1"/>
  <c r="AP12" i="41" s="1"/>
  <c r="AP9" i="100"/>
  <c r="AK39" i="100"/>
  <c r="AI195" i="44"/>
  <c r="AJ843" i="97"/>
  <c r="U42" i="99"/>
  <c r="U42" i="100"/>
  <c r="U42" i="96"/>
  <c r="U42" i="55"/>
  <c r="U42" i="88"/>
  <c r="U42" i="72"/>
  <c r="U42" i="79"/>
  <c r="U42" i="95"/>
  <c r="U42" i="41"/>
  <c r="U42" i="90"/>
  <c r="U42" i="53"/>
  <c r="U42" i="83"/>
  <c r="U42" i="73"/>
  <c r="U42" i="51"/>
  <c r="U42" i="50"/>
  <c r="U42" i="85"/>
  <c r="U42" i="48"/>
  <c r="U42" i="45"/>
  <c r="U42" i="49"/>
  <c r="U42" i="69"/>
  <c r="U42" i="84"/>
  <c r="U42" i="52"/>
  <c r="U42" i="82"/>
  <c r="U42" i="47"/>
  <c r="U42" i="54"/>
  <c r="U42" i="64"/>
  <c r="U42" i="77"/>
  <c r="U42" i="87"/>
  <c r="U42" i="46"/>
  <c r="U42" i="58"/>
  <c r="U42" i="56"/>
  <c r="U42" i="81"/>
  <c r="AJ42" i="99"/>
  <c r="AG79" i="10" s="1"/>
  <c r="AG29" i="10" s="1"/>
  <c r="AO42" i="99"/>
  <c r="AQ42" i="99" s="1"/>
  <c r="AI205" i="44"/>
  <c r="AJ873" i="97"/>
  <c r="AK35" i="100"/>
  <c r="AG97" i="13"/>
  <c r="AJ35" i="97"/>
  <c r="T42" i="99"/>
  <c r="AO9" i="100"/>
  <c r="AK30" i="100"/>
  <c r="AK20" i="100"/>
  <c r="AA97" i="13"/>
  <c r="Z12" i="49"/>
  <c r="AH12" i="49" s="1"/>
  <c r="AO12" i="49" s="1"/>
  <c r="V12" i="41"/>
  <c r="AD12" i="41" s="1"/>
  <c r="AK12" i="41" s="1"/>
  <c r="K41" i="99"/>
  <c r="AK19" i="100"/>
  <c r="K39" i="100"/>
  <c r="AK37" i="100"/>
  <c r="AK29" i="100"/>
  <c r="AQ29" i="100" s="1"/>
  <c r="AJ29" i="100"/>
  <c r="AI168" i="44"/>
  <c r="AK36" i="100"/>
  <c r="AO42" i="100"/>
  <c r="AQ42" i="100" s="1"/>
  <c r="AJ42" i="100"/>
  <c r="AH79" i="10" s="1"/>
  <c r="AJ79" i="10" s="1"/>
  <c r="AA16" i="100"/>
  <c r="T16" i="100"/>
  <c r="S8" i="100"/>
  <c r="N28" i="37"/>
  <c r="N25" i="37" s="1"/>
  <c r="N44" i="37" s="1"/>
  <c r="H22" i="100"/>
  <c r="H22" i="99"/>
  <c r="B33" i="20"/>
  <c r="H22" i="90"/>
  <c r="S22" i="90" s="1"/>
  <c r="H22" i="72"/>
  <c r="S22" i="72" s="1"/>
  <c r="H22" i="84"/>
  <c r="S22" i="84" s="1"/>
  <c r="H22" i="81"/>
  <c r="S22" i="81" s="1"/>
  <c r="H22" i="64"/>
  <c r="S22" i="64" s="1"/>
  <c r="H22" i="48"/>
  <c r="S22" i="48" s="1"/>
  <c r="H22" i="52"/>
  <c r="S22" i="52" s="1"/>
  <c r="H22" i="79"/>
  <c r="S22" i="79" s="1"/>
  <c r="H22" i="49"/>
  <c r="S22" i="49" s="1"/>
  <c r="H22" i="85"/>
  <c r="S22" i="85" s="1"/>
  <c r="H22" i="41"/>
  <c r="H22" i="53"/>
  <c r="S22" i="53" s="1"/>
  <c r="H22" i="56"/>
  <c r="S22" i="56" s="1"/>
  <c r="H22" i="55"/>
  <c r="S22" i="55" s="1"/>
  <c r="H22" i="69"/>
  <c r="S22" i="69" s="1"/>
  <c r="H22" i="95"/>
  <c r="S22" i="95" s="1"/>
  <c r="AA16" i="99"/>
  <c r="S8" i="99"/>
  <c r="T16" i="99"/>
  <c r="AE26" i="44"/>
  <c r="CB26" i="70" s="1"/>
  <c r="S21" i="99"/>
  <c r="S21" i="100"/>
  <c r="AD28" i="37"/>
  <c r="AD25" i="37" s="1"/>
  <c r="AD44" i="37" s="1"/>
  <c r="H22" i="77"/>
  <c r="S22" i="77" s="1"/>
  <c r="H22" i="46"/>
  <c r="S22" i="46" s="1"/>
  <c r="I16" i="52"/>
  <c r="T42" i="56"/>
  <c r="T42" i="58"/>
  <c r="T42" i="48"/>
  <c r="M26" i="44"/>
  <c r="F28" i="37"/>
  <c r="F25" i="37" s="1"/>
  <c r="F44" i="37" s="1"/>
  <c r="H28" i="37"/>
  <c r="H25" i="37" s="1"/>
  <c r="H44" i="37" s="1"/>
  <c r="W26" i="44"/>
  <c r="BT26" i="70" s="1"/>
  <c r="W874" i="97"/>
  <c r="C28" i="37"/>
  <c r="C25" i="37" s="1"/>
  <c r="C44" i="37" s="1"/>
  <c r="E26" i="44"/>
  <c r="L35" i="97"/>
  <c r="AO42" i="84"/>
  <c r="AQ42" i="84" s="1"/>
  <c r="AJ42" i="53"/>
  <c r="F79" i="10" s="1"/>
  <c r="AJ42" i="83"/>
  <c r="Y79" i="10" s="1"/>
  <c r="AO42" i="55"/>
  <c r="AQ42" i="55" s="1"/>
  <c r="S16" i="52"/>
  <c r="T16" i="52" s="1"/>
  <c r="S113" i="13"/>
  <c r="S114" i="13" s="1"/>
  <c r="I90" i="13"/>
  <c r="L98" i="13"/>
  <c r="L102" i="13" s="1"/>
  <c r="D98" i="13"/>
  <c r="D103" i="13" s="1"/>
  <c r="T42" i="82"/>
  <c r="AH80" i="70"/>
  <c r="AW80" i="70"/>
  <c r="AH79" i="70"/>
  <c r="AW79" i="70"/>
  <c r="AF9" i="13"/>
  <c r="T89" i="13" s="1"/>
  <c r="K35" i="99"/>
  <c r="CE15" i="70"/>
  <c r="K34" i="99"/>
  <c r="CE14" i="70"/>
  <c r="K33" i="99"/>
  <c r="CE22" i="70"/>
  <c r="AO42" i="49"/>
  <c r="AQ42" i="49" s="1"/>
  <c r="AB42" i="81"/>
  <c r="T42" i="53"/>
  <c r="AE28" i="37"/>
  <c r="G28" i="37"/>
  <c r="G25" i="37" s="1"/>
  <c r="G44" i="37" s="1"/>
  <c r="AG25" i="44"/>
  <c r="CD25" i="70" s="1"/>
  <c r="T42" i="64"/>
  <c r="U26" i="44"/>
  <c r="M26" i="72" s="1"/>
  <c r="L26" i="44"/>
  <c r="AG121" i="44"/>
  <c r="U28" i="37"/>
  <c r="U25" i="37" s="1"/>
  <c r="U44" i="37" s="1"/>
  <c r="T26" i="44"/>
  <c r="BQ26" i="70" s="1"/>
  <c r="AH122" i="44"/>
  <c r="AH151" i="44" s="1"/>
  <c r="AI874" i="97"/>
  <c r="F122" i="44"/>
  <c r="N122" i="44"/>
  <c r="G90" i="13"/>
  <c r="R98" i="13"/>
  <c r="R103" i="13" s="1"/>
  <c r="G874" i="97"/>
  <c r="AG867" i="97"/>
  <c r="O874" i="97"/>
  <c r="Q28" i="37"/>
  <c r="Q25" i="37" s="1"/>
  <c r="Q44" i="37" s="1"/>
  <c r="G89" i="13"/>
  <c r="S96" i="13"/>
  <c r="K89" i="13"/>
  <c r="J89" i="13"/>
  <c r="C95" i="13"/>
  <c r="C98" i="13" s="1"/>
  <c r="C103" i="13" s="1"/>
  <c r="E88" i="13"/>
  <c r="T90" i="13"/>
  <c r="R26" i="44"/>
  <c r="M26" i="58" s="1"/>
  <c r="M18" i="58" s="1"/>
  <c r="M43" i="58" s="1"/>
  <c r="AA26" i="44"/>
  <c r="AA94" i="44" s="1"/>
  <c r="G113" i="13"/>
  <c r="G114" i="13" s="1"/>
  <c r="P28" i="37"/>
  <c r="P25" i="37" s="1"/>
  <c r="P44" i="37" s="1"/>
  <c r="AB42" i="72"/>
  <c r="V12" i="72"/>
  <c r="AD12" i="72" s="1"/>
  <c r="AK12" i="72" s="1"/>
  <c r="G88" i="13"/>
  <c r="H88" i="13"/>
  <c r="S90" i="13"/>
  <c r="AA16" i="49"/>
  <c r="AI16" i="49" s="1"/>
  <c r="H98" i="13"/>
  <c r="H103" i="13" s="1"/>
  <c r="AC26" i="44"/>
  <c r="BZ26" i="70" s="1"/>
  <c r="AC28" i="37"/>
  <c r="AC25" i="37" s="1"/>
  <c r="AC44" i="37" s="1"/>
  <c r="R90" i="13"/>
  <c r="AA16" i="84"/>
  <c r="AI16" i="84" s="1"/>
  <c r="AP16" i="84" s="1"/>
  <c r="D89" i="13"/>
  <c r="AD97" i="13"/>
  <c r="C89" i="13"/>
  <c r="T16" i="84"/>
  <c r="K90" i="13"/>
  <c r="H90" i="13"/>
  <c r="S97" i="13"/>
  <c r="J88" i="13"/>
  <c r="V95" i="13"/>
  <c r="V98" i="13" s="1"/>
  <c r="V103" i="13" s="1"/>
  <c r="D90" i="13"/>
  <c r="F90" i="13"/>
  <c r="W97" i="13"/>
  <c r="W98" i="13" s="1"/>
  <c r="W101" i="13" s="1"/>
  <c r="L90" i="13"/>
  <c r="E89" i="13"/>
  <c r="N98" i="13"/>
  <c r="N103" i="13" s="1"/>
  <c r="C90" i="13"/>
  <c r="F98" i="13"/>
  <c r="F102" i="13" s="1"/>
  <c r="I9" i="95"/>
  <c r="I26" i="44"/>
  <c r="Z28" i="37"/>
  <c r="Z25" i="37" s="1"/>
  <c r="Z44" i="37" s="1"/>
  <c r="AJ42" i="77"/>
  <c r="U79" i="10" s="1"/>
  <c r="Q88" i="13"/>
  <c r="L28" i="37"/>
  <c r="L25" i="37" s="1"/>
  <c r="L44" i="37" s="1"/>
  <c r="Z12" i="56"/>
  <c r="AH12" i="56" s="1"/>
  <c r="AO12" i="56" s="1"/>
  <c r="F89" i="13"/>
  <c r="M26" i="95"/>
  <c r="N26" i="44"/>
  <c r="M113" i="13"/>
  <c r="M114" i="13" s="1"/>
  <c r="J90" i="13"/>
  <c r="N90" i="13"/>
  <c r="M90" i="13"/>
  <c r="CD26" i="70"/>
  <c r="Q90" i="13"/>
  <c r="W12" i="56"/>
  <c r="AE12" i="56" s="1"/>
  <c r="AL12" i="56" s="1"/>
  <c r="C8" i="95"/>
  <c r="AB28" i="37"/>
  <c r="AB25" i="37" s="1"/>
  <c r="AB44" i="37" s="1"/>
  <c r="K26" i="44"/>
  <c r="AH26" i="44"/>
  <c r="CE26" i="70" s="1"/>
  <c r="E28" i="37"/>
  <c r="E25" i="37" s="1"/>
  <c r="E44" i="37" s="1"/>
  <c r="K34" i="96"/>
  <c r="K39" i="48"/>
  <c r="BJ18" i="70"/>
  <c r="B6" i="63"/>
  <c r="K35" i="41"/>
  <c r="BB15" i="70"/>
  <c r="BN22" i="70"/>
  <c r="Q90" i="44"/>
  <c r="K33" i="56"/>
  <c r="CB18" i="70"/>
  <c r="K39" i="88"/>
  <c r="K39" i="46"/>
  <c r="BL18" i="70"/>
  <c r="BM14" i="70"/>
  <c r="K34" i="55"/>
  <c r="K41" i="79"/>
  <c r="X89" i="44"/>
  <c r="BU21" i="70"/>
  <c r="BQ18" i="70"/>
  <c r="K39" i="69"/>
  <c r="BP22" i="70"/>
  <c r="K33" i="64"/>
  <c r="S90" i="44"/>
  <c r="BM18" i="70"/>
  <c r="K39" i="55"/>
  <c r="CA14" i="70"/>
  <c r="K34" i="87"/>
  <c r="BM15" i="70"/>
  <c r="M6" i="63"/>
  <c r="K35" i="55"/>
  <c r="BV18" i="70"/>
  <c r="K39" i="81"/>
  <c r="CB21" i="70"/>
  <c r="K41" i="88"/>
  <c r="AE89" i="44"/>
  <c r="BG22" i="70"/>
  <c r="K33" i="51"/>
  <c r="J90" i="44"/>
  <c r="H90" i="44"/>
  <c r="K33" i="53"/>
  <c r="BE22" i="70"/>
  <c r="L89" i="44"/>
  <c r="BI21" i="70"/>
  <c r="K41" i="49"/>
  <c r="BY22" i="70"/>
  <c r="K33" i="84"/>
  <c r="AB90" i="44"/>
  <c r="BV21" i="70"/>
  <c r="K41" i="81"/>
  <c r="Y89" i="44"/>
  <c r="I89" i="44"/>
  <c r="BF21" i="70"/>
  <c r="K41" i="52"/>
  <c r="BJ15" i="70"/>
  <c r="K35" i="48"/>
  <c r="J6" i="63"/>
  <c r="BH21" i="70"/>
  <c r="K41" i="50"/>
  <c r="K89" i="44"/>
  <c r="CD14" i="70"/>
  <c r="K34" i="95"/>
  <c r="K34" i="79"/>
  <c r="BU14" i="70"/>
  <c r="BV14" i="70"/>
  <c r="K34" i="81"/>
  <c r="T90" i="44"/>
  <c r="K33" i="69"/>
  <c r="BQ22" i="70"/>
  <c r="AB89" i="44"/>
  <c r="BY21" i="70"/>
  <c r="K41" i="84"/>
  <c r="BR27" i="70"/>
  <c r="M33" i="72"/>
  <c r="U95" i="44"/>
  <c r="K41" i="72"/>
  <c r="U89" i="44"/>
  <c r="BR21" i="70"/>
  <c r="BN18" i="70"/>
  <c r="K39" i="56"/>
  <c r="V6" i="63"/>
  <c r="BV15" i="70"/>
  <c r="K35" i="81"/>
  <c r="K34" i="77"/>
  <c r="BT14" i="70"/>
  <c r="K33" i="72"/>
  <c r="U90" i="44"/>
  <c r="BR22" i="70"/>
  <c r="G89" i="44"/>
  <c r="K41" i="54"/>
  <c r="BD21" i="70"/>
  <c r="AB6" i="63"/>
  <c r="K35" i="88"/>
  <c r="CB15" i="70"/>
  <c r="K35" i="46"/>
  <c r="L6" i="63"/>
  <c r="BL15" i="70"/>
  <c r="K34" i="69"/>
  <c r="BQ14" i="70"/>
  <c r="V12" i="56"/>
  <c r="AD12" i="56" s="1"/>
  <c r="AK12" i="56" s="1"/>
  <c r="Y12" i="56"/>
  <c r="AG12" i="56" s="1"/>
  <c r="AN12" i="56" s="1"/>
  <c r="Q89" i="44"/>
  <c r="BN21" i="70"/>
  <c r="K41" i="56"/>
  <c r="U40" i="37"/>
  <c r="U6" i="16"/>
  <c r="K35" i="50"/>
  <c r="BH15" i="70"/>
  <c r="H6" i="63"/>
  <c r="BK21" i="70"/>
  <c r="N89" i="44"/>
  <c r="K41" i="47"/>
  <c r="K39" i="51"/>
  <c r="BG18" i="70"/>
  <c r="AE6" i="63"/>
  <c r="K35" i="96"/>
  <c r="CC14" i="70"/>
  <c r="K34" i="90"/>
  <c r="AD90" i="44"/>
  <c r="CA22" i="70"/>
  <c r="K33" i="87"/>
  <c r="K33" i="47"/>
  <c r="N90" i="44"/>
  <c r="BK22" i="70"/>
  <c r="K34" i="72"/>
  <c r="BR14" i="70"/>
  <c r="K34" i="58"/>
  <c r="BO14" i="70"/>
  <c r="K33" i="54"/>
  <c r="BD22" i="70"/>
  <c r="G90" i="44"/>
  <c r="BV27" i="70"/>
  <c r="Y95" i="44"/>
  <c r="M33" i="81"/>
  <c r="I95" i="44"/>
  <c r="BF27" i="70"/>
  <c r="M33" i="52"/>
  <c r="AC89" i="44"/>
  <c r="BZ21" i="70"/>
  <c r="K41" i="85"/>
  <c r="BN15" i="70"/>
  <c r="N6" i="63"/>
  <c r="K35" i="56"/>
  <c r="CB14" i="70"/>
  <c r="K34" i="88"/>
  <c r="BH18" i="70"/>
  <c r="K39" i="50"/>
  <c r="BW21" i="70"/>
  <c r="Z89" i="44"/>
  <c r="K41" i="82"/>
  <c r="K39" i="73"/>
  <c r="BS18" i="70"/>
  <c r="K34" i="84"/>
  <c r="BY14" i="70"/>
  <c r="K33" i="82"/>
  <c r="BW22" i="70"/>
  <c r="Z90" i="44"/>
  <c r="BY15" i="70"/>
  <c r="Y6" i="63"/>
  <c r="K35" i="84"/>
  <c r="K34" i="48"/>
  <c r="BJ14" i="70"/>
  <c r="K34" i="51"/>
  <c r="BG14" i="70"/>
  <c r="CB22" i="70"/>
  <c r="AE90" i="44"/>
  <c r="K33" i="88"/>
  <c r="BC14" i="70"/>
  <c r="K34" i="45"/>
  <c r="BZ15" i="70"/>
  <c r="K35" i="85"/>
  <c r="Z6" i="63"/>
  <c r="BH14" i="70"/>
  <c r="K34" i="50"/>
  <c r="BT18" i="70"/>
  <c r="K39" i="77"/>
  <c r="K35" i="51"/>
  <c r="G6" i="63"/>
  <c r="BG15" i="70"/>
  <c r="K33" i="77"/>
  <c r="BT22" i="70"/>
  <c r="W90" i="44"/>
  <c r="P90" i="13"/>
  <c r="F6" i="63"/>
  <c r="K35" i="52"/>
  <c r="BF15" i="70"/>
  <c r="BO21" i="70"/>
  <c r="K41" i="58"/>
  <c r="R89" i="44"/>
  <c r="BK18" i="70"/>
  <c r="K39" i="47"/>
  <c r="AH90" i="44"/>
  <c r="K33" i="96"/>
  <c r="V40" i="37"/>
  <c r="V6" i="16"/>
  <c r="BZ14" i="70"/>
  <c r="K34" i="85"/>
  <c r="K33" i="79"/>
  <c r="BU22" i="70"/>
  <c r="X90" i="44"/>
  <c r="BI18" i="70"/>
  <c r="K39" i="49"/>
  <c r="BL22" i="70"/>
  <c r="O90" i="44"/>
  <c r="K33" i="46"/>
  <c r="BZ18" i="70"/>
  <c r="K39" i="85"/>
  <c r="CD22" i="70"/>
  <c r="AG90" i="44"/>
  <c r="K33" i="95"/>
  <c r="X6" i="63"/>
  <c r="K35" i="83"/>
  <c r="BX15" i="70"/>
  <c r="K39" i="82"/>
  <c r="BW18" i="70"/>
  <c r="K41" i="69"/>
  <c r="BQ21" i="70"/>
  <c r="T89" i="44"/>
  <c r="BQ15" i="70"/>
  <c r="K35" i="69"/>
  <c r="Q6" i="63"/>
  <c r="BF18" i="70"/>
  <c r="K39" i="52"/>
  <c r="BL14" i="70"/>
  <c r="K34" i="46"/>
  <c r="AC90" i="44"/>
  <c r="BZ22" i="70"/>
  <c r="K33" i="85"/>
  <c r="O89" i="44"/>
  <c r="K41" i="46"/>
  <c r="BL21" i="70"/>
  <c r="K39" i="83"/>
  <c r="BX18" i="70"/>
  <c r="BD15" i="70"/>
  <c r="K35" i="54"/>
  <c r="D6" i="63"/>
  <c r="BC18" i="70"/>
  <c r="K39" i="45"/>
  <c r="K6" i="63"/>
  <c r="BK15" i="70"/>
  <c r="K35" i="47"/>
  <c r="K33" i="50"/>
  <c r="K90" i="44"/>
  <c r="BH22" i="70"/>
  <c r="K35" i="79"/>
  <c r="U6" i="63"/>
  <c r="BU15" i="70"/>
  <c r="BS14" i="70"/>
  <c r="K34" i="73"/>
  <c r="E90" i="13"/>
  <c r="BB18" i="70"/>
  <c r="K39" i="41"/>
  <c r="BX14" i="70"/>
  <c r="K34" i="83"/>
  <c r="I90" i="44"/>
  <c r="K33" i="52"/>
  <c r="BF22" i="70"/>
  <c r="BX21" i="70"/>
  <c r="K41" i="83"/>
  <c r="AA89" i="44"/>
  <c r="P6" i="63"/>
  <c r="K35" i="64"/>
  <c r="BP15" i="70"/>
  <c r="BS21" i="70"/>
  <c r="K41" i="73"/>
  <c r="V89" i="44"/>
  <c r="F89" i="44"/>
  <c r="K41" i="45"/>
  <c r="BC21" i="70"/>
  <c r="BE14" i="70"/>
  <c r="K34" i="53"/>
  <c r="BB14" i="70"/>
  <c r="K34" i="41"/>
  <c r="E6" i="63"/>
  <c r="K35" i="53"/>
  <c r="BE15" i="70"/>
  <c r="K33" i="49"/>
  <c r="L90" i="44"/>
  <c r="BI22" i="70"/>
  <c r="AC95" i="44"/>
  <c r="M33" i="85"/>
  <c r="BZ27" i="70"/>
  <c r="M95" i="44"/>
  <c r="M33" i="48"/>
  <c r="BJ27" i="70"/>
  <c r="BD14" i="70"/>
  <c r="K34" i="54"/>
  <c r="K39" i="64"/>
  <c r="BP18" i="70"/>
  <c r="BS15" i="70"/>
  <c r="K35" i="73"/>
  <c r="S6" i="63"/>
  <c r="BC15" i="70"/>
  <c r="C6" i="63"/>
  <c r="K35" i="45"/>
  <c r="CC18" i="70"/>
  <c r="K39" i="90"/>
  <c r="K34" i="82"/>
  <c r="BW14" i="70"/>
  <c r="P89" i="44"/>
  <c r="K41" i="55"/>
  <c r="BM21" i="70"/>
  <c r="K34" i="56"/>
  <c r="BN14" i="70"/>
  <c r="BU18" i="70"/>
  <c r="K39" i="79"/>
  <c r="CD21" i="70"/>
  <c r="K41" i="95"/>
  <c r="AG89" i="44"/>
  <c r="BR15" i="70"/>
  <c r="R6" i="63"/>
  <c r="K35" i="72"/>
  <c r="BP14" i="70"/>
  <c r="K34" i="64"/>
  <c r="BP21" i="70"/>
  <c r="S89" i="44"/>
  <c r="K41" i="64"/>
  <c r="K41" i="87"/>
  <c r="CA21" i="70"/>
  <c r="AD89" i="44"/>
  <c r="BO15" i="70"/>
  <c r="K35" i="58"/>
  <c r="O6" i="63"/>
  <c r="BM22" i="70"/>
  <c r="P90" i="44"/>
  <c r="K33" i="55"/>
  <c r="K34" i="52"/>
  <c r="BF14" i="70"/>
  <c r="AC6" i="63"/>
  <c r="K35" i="90"/>
  <c r="CC15" i="70"/>
  <c r="CD27" i="70"/>
  <c r="AG95" i="44"/>
  <c r="M33" i="95"/>
  <c r="M33" i="56"/>
  <c r="BN27" i="70"/>
  <c r="Q95" i="44"/>
  <c r="BJ21" i="70"/>
  <c r="M89" i="44"/>
  <c r="K41" i="48"/>
  <c r="CD15" i="70"/>
  <c r="K35" i="95"/>
  <c r="AD6" i="63"/>
  <c r="K33" i="48"/>
  <c r="BJ22" i="70"/>
  <c r="M90" i="44"/>
  <c r="BT15" i="70"/>
  <c r="T6" i="63"/>
  <c r="K35" i="77"/>
  <c r="BG21" i="70"/>
  <c r="K41" i="51"/>
  <c r="J89" i="44"/>
  <c r="K35" i="87"/>
  <c r="AA6" i="63"/>
  <c r="CA15" i="70"/>
  <c r="BI14" i="70"/>
  <c r="K34" i="49"/>
  <c r="K41" i="53"/>
  <c r="BE21" i="70"/>
  <c r="H89" i="44"/>
  <c r="K34" i="47"/>
  <c r="BK14" i="70"/>
  <c r="BR18" i="70"/>
  <c r="K39" i="72"/>
  <c r="BV22" i="70"/>
  <c r="K33" i="81"/>
  <c r="Y90" i="44"/>
  <c r="K39" i="54"/>
  <c r="BD18" i="70"/>
  <c r="K39" i="58"/>
  <c r="BO18" i="70"/>
  <c r="K35" i="82"/>
  <c r="W6" i="63"/>
  <c r="BW15" i="70"/>
  <c r="V90" i="44"/>
  <c r="BS22" i="70"/>
  <c r="K33" i="73"/>
  <c r="BC22" i="70"/>
  <c r="F90" i="44"/>
  <c r="K33" i="45"/>
  <c r="BI15" i="70"/>
  <c r="K35" i="49"/>
  <c r="I6" i="63"/>
  <c r="K39" i="84"/>
  <c r="BY18" i="70"/>
  <c r="K39" i="53"/>
  <c r="BE18" i="70"/>
  <c r="K41" i="41"/>
  <c r="BB21" i="70"/>
  <c r="E89" i="44"/>
  <c r="BB22" i="70"/>
  <c r="E90" i="44"/>
  <c r="K33" i="41"/>
  <c r="K41" i="77"/>
  <c r="W89" i="44"/>
  <c r="BT21" i="70"/>
  <c r="CA18" i="70"/>
  <c r="K39" i="87"/>
  <c r="BO22" i="70"/>
  <c r="K33" i="58"/>
  <c r="R90" i="44"/>
  <c r="BX22" i="70"/>
  <c r="AA90" i="44"/>
  <c r="K33" i="83"/>
  <c r="O113" i="13"/>
  <c r="O114" i="13" s="1"/>
  <c r="Z113" i="13"/>
  <c r="Z114" i="13" s="1"/>
  <c r="AA12" i="83"/>
  <c r="AI12" i="83" s="1"/>
  <c r="AP12" i="83" s="1"/>
  <c r="Z12" i="90"/>
  <c r="AH12" i="90" s="1"/>
  <c r="AO12" i="90" s="1"/>
  <c r="AI16" i="50"/>
  <c r="AJ16" i="50" s="1"/>
  <c r="S8" i="90"/>
  <c r="S8" i="49"/>
  <c r="M615" i="97" s="1"/>
  <c r="Y12" i="77"/>
  <c r="AG12" i="77" s="1"/>
  <c r="AN12" i="77" s="1"/>
  <c r="AA16" i="90"/>
  <c r="AI16" i="90" s="1"/>
  <c r="AP16" i="90" s="1"/>
  <c r="AA16" i="53"/>
  <c r="AB16" i="53" s="1"/>
  <c r="S8" i="51"/>
  <c r="K615" i="97" s="1"/>
  <c r="AC95" i="13"/>
  <c r="AC98" i="13" s="1"/>
  <c r="AC103" i="13" s="1"/>
  <c r="W12" i="90"/>
  <c r="AE12" i="90" s="1"/>
  <c r="AL12" i="90" s="1"/>
  <c r="T16" i="79"/>
  <c r="T16" i="77"/>
  <c r="V12" i="83"/>
  <c r="AD12" i="83" s="1"/>
  <c r="AK12" i="83" s="1"/>
  <c r="Y12" i="90"/>
  <c r="AG12" i="90" s="1"/>
  <c r="AN12" i="90" s="1"/>
  <c r="AA12" i="79"/>
  <c r="AI12" i="79" s="1"/>
  <c r="AP12" i="79" s="1"/>
  <c r="V12" i="79"/>
  <c r="AD12" i="79" s="1"/>
  <c r="AK12" i="79" s="1"/>
  <c r="Y12" i="79"/>
  <c r="AG12" i="79" s="1"/>
  <c r="AN12" i="79" s="1"/>
  <c r="W12" i="72"/>
  <c r="AE12" i="72" s="1"/>
  <c r="AL12" i="72" s="1"/>
  <c r="Y12" i="72"/>
  <c r="AG12" i="72" s="1"/>
  <c r="AN12" i="72" s="1"/>
  <c r="Z12" i="79"/>
  <c r="AH12" i="79" s="1"/>
  <c r="AO12" i="79" s="1"/>
  <c r="W12" i="88"/>
  <c r="AE12" i="88" s="1"/>
  <c r="AL12" i="88" s="1"/>
  <c r="Y12" i="88"/>
  <c r="AG12" i="88" s="1"/>
  <c r="AN12" i="88" s="1"/>
  <c r="V12" i="45"/>
  <c r="AD12" i="45" s="1"/>
  <c r="AK12" i="45" s="1"/>
  <c r="Y12" i="45"/>
  <c r="AG12" i="45" s="1"/>
  <c r="AN12" i="45" s="1"/>
  <c r="AA12" i="45"/>
  <c r="AI12" i="45" s="1"/>
  <c r="AP12" i="45" s="1"/>
  <c r="W12" i="45"/>
  <c r="AE12" i="45" s="1"/>
  <c r="AL12" i="45" s="1"/>
  <c r="Z12" i="45"/>
  <c r="AH12" i="45" s="1"/>
  <c r="AO12" i="45" s="1"/>
  <c r="W12" i="46"/>
  <c r="AE12" i="46" s="1"/>
  <c r="AL12" i="46" s="1"/>
  <c r="Y12" i="46"/>
  <c r="AG12" i="46" s="1"/>
  <c r="AN12" i="46" s="1"/>
  <c r="AA16" i="79"/>
  <c r="AB16" i="79" s="1"/>
  <c r="Z12" i="72"/>
  <c r="AH12" i="72" s="1"/>
  <c r="AO12" i="72" s="1"/>
  <c r="V12" i="90"/>
  <c r="AD12" i="90" s="1"/>
  <c r="AK12" i="90" s="1"/>
  <c r="AA12" i="88"/>
  <c r="AI12" i="88" s="1"/>
  <c r="AP12" i="88" s="1"/>
  <c r="W12" i="77"/>
  <c r="AE12" i="77" s="1"/>
  <c r="AL12" i="77" s="1"/>
  <c r="AA12" i="77"/>
  <c r="AI12" i="77" s="1"/>
  <c r="AP12" i="77" s="1"/>
  <c r="Y12" i="95"/>
  <c r="AG12" i="95" s="1"/>
  <c r="AN12" i="95" s="1"/>
  <c r="V12" i="95"/>
  <c r="AD12" i="95" s="1"/>
  <c r="AK12" i="95" s="1"/>
  <c r="W12" i="95"/>
  <c r="AE12" i="95" s="1"/>
  <c r="AL12" i="95" s="1"/>
  <c r="AH25" i="5"/>
  <c r="Z12" i="47"/>
  <c r="AH12" i="47" s="1"/>
  <c r="AO12" i="47" s="1"/>
  <c r="V12" i="47"/>
  <c r="AD12" i="47" s="1"/>
  <c r="AK12" i="47" s="1"/>
  <c r="W12" i="47"/>
  <c r="AE12" i="47" s="1"/>
  <c r="AL12" i="47" s="1"/>
  <c r="Y12" i="47"/>
  <c r="AG12" i="47" s="1"/>
  <c r="AN12" i="47" s="1"/>
  <c r="AA12" i="47"/>
  <c r="AI12" i="47" s="1"/>
  <c r="AP12" i="47" s="1"/>
  <c r="Z12" i="82"/>
  <c r="AH12" i="82" s="1"/>
  <c r="AO12" i="82" s="1"/>
  <c r="AA12" i="82"/>
  <c r="AI12" i="82" s="1"/>
  <c r="AP12" i="82" s="1"/>
  <c r="Y12" i="85"/>
  <c r="AG12" i="85" s="1"/>
  <c r="AN12" i="85" s="1"/>
  <c r="Z12" i="85"/>
  <c r="AH12" i="85" s="1"/>
  <c r="AO12" i="85" s="1"/>
  <c r="W12" i="85"/>
  <c r="AE12" i="85" s="1"/>
  <c r="AL12" i="85" s="1"/>
  <c r="AA12" i="85"/>
  <c r="AI12" i="85" s="1"/>
  <c r="AP12" i="85" s="1"/>
  <c r="V12" i="85"/>
  <c r="AD12" i="85" s="1"/>
  <c r="AK12" i="85" s="1"/>
  <c r="AA12" i="54"/>
  <c r="AI12" i="54" s="1"/>
  <c r="AP12" i="54" s="1"/>
  <c r="V12" i="54"/>
  <c r="AD12" i="54" s="1"/>
  <c r="AK12" i="54" s="1"/>
  <c r="Y12" i="54"/>
  <c r="AG12" i="54" s="1"/>
  <c r="AN12" i="54" s="1"/>
  <c r="W12" i="54"/>
  <c r="AE12" i="54" s="1"/>
  <c r="AL12" i="54" s="1"/>
  <c r="Z12" i="54"/>
  <c r="AH12" i="54" s="1"/>
  <c r="AO12" i="54" s="1"/>
  <c r="V12" i="82"/>
  <c r="AD12" i="82" s="1"/>
  <c r="AK12" i="82" s="1"/>
  <c r="Y12" i="82"/>
  <c r="AG12" i="82" s="1"/>
  <c r="AN12" i="82" s="1"/>
  <c r="Z12" i="53"/>
  <c r="AH12" i="53" s="1"/>
  <c r="AO12" i="53" s="1"/>
  <c r="V12" i="53"/>
  <c r="AD12" i="53" s="1"/>
  <c r="AK12" i="53" s="1"/>
  <c r="W12" i="53"/>
  <c r="AE12" i="53" s="1"/>
  <c r="AL12" i="53" s="1"/>
  <c r="AA12" i="53"/>
  <c r="AI12" i="53" s="1"/>
  <c r="AP12" i="53" s="1"/>
  <c r="Y12" i="53"/>
  <c r="AG12" i="53" s="1"/>
  <c r="AN12" i="53" s="1"/>
  <c r="Z12" i="96"/>
  <c r="AH12" i="96" s="1"/>
  <c r="AO12" i="96" s="1"/>
  <c r="W12" i="96"/>
  <c r="AE12" i="96" s="1"/>
  <c r="AL12" i="96" s="1"/>
  <c r="AA12" i="96"/>
  <c r="AI12" i="96" s="1"/>
  <c r="AP12" i="96" s="1"/>
  <c r="V12" i="96"/>
  <c r="AD12" i="96" s="1"/>
  <c r="AK12" i="96" s="1"/>
  <c r="Y12" i="96"/>
  <c r="AG12" i="96" s="1"/>
  <c r="AN12" i="96" s="1"/>
  <c r="AA16" i="77"/>
  <c r="AB16" i="77" s="1"/>
  <c r="W12" i="83"/>
  <c r="AE12" i="83" s="1"/>
  <c r="AL12" i="83" s="1"/>
  <c r="Z12" i="88"/>
  <c r="AH12" i="88" s="1"/>
  <c r="AO12" i="88" s="1"/>
  <c r="Z12" i="46"/>
  <c r="AH12" i="46" s="1"/>
  <c r="AO12" i="46" s="1"/>
  <c r="V12" i="88"/>
  <c r="AD12" i="88" s="1"/>
  <c r="AK12" i="88" s="1"/>
  <c r="Y12" i="83"/>
  <c r="AG12" i="83" s="1"/>
  <c r="AN12" i="83" s="1"/>
  <c r="V12" i="46"/>
  <c r="AD12" i="46" s="1"/>
  <c r="AK12" i="46" s="1"/>
  <c r="Z12" i="77"/>
  <c r="AH12" i="77" s="1"/>
  <c r="AO12" i="77" s="1"/>
  <c r="Z12" i="95"/>
  <c r="AH12" i="95" s="1"/>
  <c r="AO12" i="95" s="1"/>
  <c r="W12" i="51"/>
  <c r="AE12" i="51" s="1"/>
  <c r="AL12" i="51" s="1"/>
  <c r="V12" i="51"/>
  <c r="AD12" i="51" s="1"/>
  <c r="AK12" i="51" s="1"/>
  <c r="Z12" i="51"/>
  <c r="AH12" i="51" s="1"/>
  <c r="AO12" i="51" s="1"/>
  <c r="AA12" i="51"/>
  <c r="AI12" i="51" s="1"/>
  <c r="AP12" i="51" s="1"/>
  <c r="Y12" i="51"/>
  <c r="AG12" i="51" s="1"/>
  <c r="AN12" i="51" s="1"/>
  <c r="AG21" i="5"/>
  <c r="Z12" i="55"/>
  <c r="AH12" i="55" s="1"/>
  <c r="AO12" i="55" s="1"/>
  <c r="AA12" i="55"/>
  <c r="AI12" i="55" s="1"/>
  <c r="AP12" i="55" s="1"/>
  <c r="Y12" i="55"/>
  <c r="AG12" i="55" s="1"/>
  <c r="AN12" i="55" s="1"/>
  <c r="W12" i="55"/>
  <c r="AE12" i="55" s="1"/>
  <c r="AL12" i="55" s="1"/>
  <c r="V12" i="55"/>
  <c r="AD12" i="55" s="1"/>
  <c r="AK12" i="55" s="1"/>
  <c r="Z12" i="73"/>
  <c r="AH12" i="73" s="1"/>
  <c r="AO12" i="73" s="1"/>
  <c r="V12" i="73"/>
  <c r="AD12" i="73" s="1"/>
  <c r="AK12" i="73" s="1"/>
  <c r="AA12" i="73"/>
  <c r="AI12" i="73" s="1"/>
  <c r="AP12" i="73" s="1"/>
  <c r="W12" i="73"/>
  <c r="AE12" i="73" s="1"/>
  <c r="AL12" i="73" s="1"/>
  <c r="Y12" i="73"/>
  <c r="AG12" i="73" s="1"/>
  <c r="AN12" i="73" s="1"/>
  <c r="AH24" i="5"/>
  <c r="AB98" i="13"/>
  <c r="AB101" i="13" s="1"/>
  <c r="T16" i="51"/>
  <c r="AB42" i="85"/>
  <c r="AB16" i="69"/>
  <c r="AB158" i="10"/>
  <c r="T16" i="58"/>
  <c r="AI16" i="58"/>
  <c r="AJ16" i="58" s="1"/>
  <c r="T16" i="53"/>
  <c r="AB42" i="52"/>
  <c r="T16" i="88"/>
  <c r="X15" i="64"/>
  <c r="AF15" i="64" s="1"/>
  <c r="AM15" i="64" s="1"/>
  <c r="Y15" i="64"/>
  <c r="AG15" i="64" s="1"/>
  <c r="AN15" i="64" s="1"/>
  <c r="W15" i="64"/>
  <c r="AE15" i="64" s="1"/>
  <c r="AL15" i="64" s="1"/>
  <c r="AA15" i="64"/>
  <c r="AI15" i="64" s="1"/>
  <c r="AP15" i="64" s="1"/>
  <c r="V15" i="64"/>
  <c r="AD15" i="64" s="1"/>
  <c r="AK15" i="64" s="1"/>
  <c r="V15" i="47"/>
  <c r="AD15" i="47" s="1"/>
  <c r="AK15" i="47" s="1"/>
  <c r="AA15" i="47"/>
  <c r="AI15" i="47" s="1"/>
  <c r="AP15" i="47" s="1"/>
  <c r="W15" i="47"/>
  <c r="AE15" i="47" s="1"/>
  <c r="AL15" i="47" s="1"/>
  <c r="X15" i="47"/>
  <c r="AF15" i="47" s="1"/>
  <c r="AM15" i="47" s="1"/>
  <c r="Y15" i="47"/>
  <c r="AG15" i="47" s="1"/>
  <c r="AN15" i="47" s="1"/>
  <c r="AA15" i="90"/>
  <c r="AI15" i="90" s="1"/>
  <c r="AP15" i="90" s="1"/>
  <c r="Y15" i="90"/>
  <c r="AG15" i="90" s="1"/>
  <c r="AN15" i="90" s="1"/>
  <c r="X15" i="90"/>
  <c r="AF15" i="90" s="1"/>
  <c r="AM15" i="90" s="1"/>
  <c r="W15" i="90"/>
  <c r="AE15" i="90" s="1"/>
  <c r="AL15" i="90" s="1"/>
  <c r="V15" i="90"/>
  <c r="AD15" i="90" s="1"/>
  <c r="AK15" i="90" s="1"/>
  <c r="W15" i="73"/>
  <c r="AE15" i="73" s="1"/>
  <c r="AL15" i="73" s="1"/>
  <c r="AA15" i="73"/>
  <c r="V15" i="73"/>
  <c r="AD15" i="73" s="1"/>
  <c r="AK15" i="73" s="1"/>
  <c r="Y15" i="73"/>
  <c r="AG15" i="73" s="1"/>
  <c r="AN15" i="73" s="1"/>
  <c r="X15" i="73"/>
  <c r="AF15" i="73" s="1"/>
  <c r="AM15" i="73" s="1"/>
  <c r="X15" i="79"/>
  <c r="AF15" i="79" s="1"/>
  <c r="AM15" i="79" s="1"/>
  <c r="AA15" i="79"/>
  <c r="AI15" i="79" s="1"/>
  <c r="AP15" i="79" s="1"/>
  <c r="Y15" i="79"/>
  <c r="AG15" i="79" s="1"/>
  <c r="AN15" i="79" s="1"/>
  <c r="V15" i="79"/>
  <c r="AD15" i="79" s="1"/>
  <c r="AK15" i="79" s="1"/>
  <c r="W15" i="79"/>
  <c r="AE15" i="79" s="1"/>
  <c r="AL15" i="79" s="1"/>
  <c r="Y15" i="82"/>
  <c r="AG15" i="82" s="1"/>
  <c r="AN15" i="82" s="1"/>
  <c r="V15" i="82"/>
  <c r="AD15" i="82" s="1"/>
  <c r="AK15" i="82" s="1"/>
  <c r="AA15" i="82"/>
  <c r="AI15" i="82" s="1"/>
  <c r="AP15" i="82" s="1"/>
  <c r="W15" i="82"/>
  <c r="AE15" i="82" s="1"/>
  <c r="AL15" i="82" s="1"/>
  <c r="X15" i="82"/>
  <c r="AF15" i="82" s="1"/>
  <c r="AM15" i="82" s="1"/>
  <c r="X15" i="49"/>
  <c r="AF15" i="49" s="1"/>
  <c r="AM15" i="49" s="1"/>
  <c r="Y15" i="49"/>
  <c r="AG15" i="49" s="1"/>
  <c r="AN15" i="49" s="1"/>
  <c r="W15" i="49"/>
  <c r="AE15" i="49" s="1"/>
  <c r="AL15" i="49" s="1"/>
  <c r="AA15" i="49"/>
  <c r="AI15" i="49" s="1"/>
  <c r="AP15" i="49" s="1"/>
  <c r="V15" i="49"/>
  <c r="AD15" i="49" s="1"/>
  <c r="AK15" i="49" s="1"/>
  <c r="AA15" i="87"/>
  <c r="AI15" i="87" s="1"/>
  <c r="AP15" i="87" s="1"/>
  <c r="X15" i="87"/>
  <c r="AF15" i="87" s="1"/>
  <c r="AM15" i="87" s="1"/>
  <c r="Y15" i="87"/>
  <c r="AG15" i="87" s="1"/>
  <c r="AN15" i="87" s="1"/>
  <c r="V15" i="87"/>
  <c r="AD15" i="87" s="1"/>
  <c r="AK15" i="87" s="1"/>
  <c r="W15" i="87"/>
  <c r="AE15" i="87" s="1"/>
  <c r="AL15" i="87" s="1"/>
  <c r="V15" i="48"/>
  <c r="AD15" i="48" s="1"/>
  <c r="AK15" i="48" s="1"/>
  <c r="W15" i="48"/>
  <c r="AE15" i="48" s="1"/>
  <c r="AL15" i="48" s="1"/>
  <c r="X15" i="48"/>
  <c r="AF15" i="48" s="1"/>
  <c r="AM15" i="48" s="1"/>
  <c r="AA15" i="48"/>
  <c r="AI15" i="48" s="1"/>
  <c r="AP15" i="48" s="1"/>
  <c r="Y15" i="48"/>
  <c r="AG15" i="48" s="1"/>
  <c r="AN15" i="48" s="1"/>
  <c r="AA15" i="84"/>
  <c r="AI15" i="84" s="1"/>
  <c r="AP15" i="84" s="1"/>
  <c r="W15" i="84"/>
  <c r="AE15" i="84" s="1"/>
  <c r="AL15" i="84" s="1"/>
  <c r="Y15" i="84"/>
  <c r="AG15" i="84" s="1"/>
  <c r="AN15" i="84" s="1"/>
  <c r="X15" i="84"/>
  <c r="AF15" i="84" s="1"/>
  <c r="AM15" i="84" s="1"/>
  <c r="V15" i="84"/>
  <c r="AD15" i="84" s="1"/>
  <c r="AK15" i="84" s="1"/>
  <c r="V15" i="58"/>
  <c r="AD15" i="58" s="1"/>
  <c r="AK15" i="58" s="1"/>
  <c r="W15" i="58"/>
  <c r="AE15" i="58" s="1"/>
  <c r="AL15" i="58" s="1"/>
  <c r="X15" i="58"/>
  <c r="AF15" i="58" s="1"/>
  <c r="AM15" i="58" s="1"/>
  <c r="AA15" i="58"/>
  <c r="Y15" i="58"/>
  <c r="AG15" i="58" s="1"/>
  <c r="AN15" i="58" s="1"/>
  <c r="AA15" i="81"/>
  <c r="AI15" i="81" s="1"/>
  <c r="AP15" i="81" s="1"/>
  <c r="Y15" i="81"/>
  <c r="AG15" i="81" s="1"/>
  <c r="AN15" i="81" s="1"/>
  <c r="W15" i="81"/>
  <c r="AE15" i="81" s="1"/>
  <c r="AL15" i="81" s="1"/>
  <c r="X15" i="81"/>
  <c r="AF15" i="81" s="1"/>
  <c r="AM15" i="81" s="1"/>
  <c r="V15" i="81"/>
  <c r="AD15" i="81" s="1"/>
  <c r="AK15" i="81" s="1"/>
  <c r="U24" i="95"/>
  <c r="U24" i="88"/>
  <c r="U24" i="52"/>
  <c r="U24" i="48"/>
  <c r="U24" i="56"/>
  <c r="U24" i="72"/>
  <c r="U24" i="81"/>
  <c r="U24" i="85"/>
  <c r="U24" i="64"/>
  <c r="U24" i="90"/>
  <c r="U24" i="69"/>
  <c r="U24" i="41"/>
  <c r="U24" i="45"/>
  <c r="U24" i="51"/>
  <c r="U24" i="47"/>
  <c r="U24" i="58"/>
  <c r="U24" i="82"/>
  <c r="U24" i="87"/>
  <c r="U24" i="83"/>
  <c r="U24" i="53"/>
  <c r="U24" i="55"/>
  <c r="U24" i="84"/>
  <c r="U24" i="96"/>
  <c r="Z24" i="96" s="1"/>
  <c r="AH24" i="96" s="1"/>
  <c r="AO24" i="96" s="1"/>
  <c r="U24" i="54"/>
  <c r="U24" i="50"/>
  <c r="U24" i="46"/>
  <c r="U24" i="77"/>
  <c r="U24" i="49"/>
  <c r="U24" i="79"/>
  <c r="H18" i="5"/>
  <c r="AA15" i="77"/>
  <c r="AI15" i="77" s="1"/>
  <c r="AP15" i="77" s="1"/>
  <c r="Y15" i="77"/>
  <c r="AG15" i="77" s="1"/>
  <c r="AN15" i="77" s="1"/>
  <c r="V15" i="77"/>
  <c r="AD15" i="77" s="1"/>
  <c r="AK15" i="77" s="1"/>
  <c r="X15" i="77"/>
  <c r="AF15" i="77" s="1"/>
  <c r="AM15" i="77" s="1"/>
  <c r="W15" i="77"/>
  <c r="AE15" i="77" s="1"/>
  <c r="AL15" i="77" s="1"/>
  <c r="X15" i="88"/>
  <c r="AF15" i="88" s="1"/>
  <c r="AM15" i="88" s="1"/>
  <c r="Y15" i="88"/>
  <c r="AG15" i="88" s="1"/>
  <c r="AN15" i="88" s="1"/>
  <c r="W15" i="88"/>
  <c r="AE15" i="88" s="1"/>
  <c r="AL15" i="88" s="1"/>
  <c r="V15" i="88"/>
  <c r="AD15" i="88" s="1"/>
  <c r="AK15" i="88" s="1"/>
  <c r="AA15" i="88"/>
  <c r="AI15" i="88" s="1"/>
  <c r="AP15" i="88" s="1"/>
  <c r="Y15" i="46"/>
  <c r="AG15" i="46" s="1"/>
  <c r="AN15" i="46" s="1"/>
  <c r="X15" i="46"/>
  <c r="AF15" i="46" s="1"/>
  <c r="AM15" i="46" s="1"/>
  <c r="AA15" i="46"/>
  <c r="W15" i="46"/>
  <c r="AE15" i="46" s="1"/>
  <c r="AL15" i="46" s="1"/>
  <c r="V15" i="46"/>
  <c r="AD15" i="46" s="1"/>
  <c r="AK15" i="46" s="1"/>
  <c r="W15" i="69"/>
  <c r="AE15" i="69" s="1"/>
  <c r="AL15" i="69" s="1"/>
  <c r="V15" i="69"/>
  <c r="AD15" i="69" s="1"/>
  <c r="AK15" i="69" s="1"/>
  <c r="Y15" i="69"/>
  <c r="AG15" i="69" s="1"/>
  <c r="AN15" i="69" s="1"/>
  <c r="AA15" i="69"/>
  <c r="X15" i="69"/>
  <c r="AF15" i="69" s="1"/>
  <c r="AM15" i="69" s="1"/>
  <c r="X15" i="55"/>
  <c r="AF15" i="55" s="1"/>
  <c r="AM15" i="55" s="1"/>
  <c r="V15" i="55"/>
  <c r="AD15" i="55" s="1"/>
  <c r="AK15" i="55" s="1"/>
  <c r="W15" i="55"/>
  <c r="AE15" i="55" s="1"/>
  <c r="AL15" i="55" s="1"/>
  <c r="AA15" i="55"/>
  <c r="AI15" i="55" s="1"/>
  <c r="AP15" i="55" s="1"/>
  <c r="Y15" i="55"/>
  <c r="AG15" i="55" s="1"/>
  <c r="AN15" i="55" s="1"/>
  <c r="X15" i="45"/>
  <c r="AF15" i="45" s="1"/>
  <c r="AM15" i="45" s="1"/>
  <c r="AA15" i="45"/>
  <c r="AI15" i="45" s="1"/>
  <c r="AP15" i="45" s="1"/>
  <c r="W15" i="45"/>
  <c r="AE15" i="45" s="1"/>
  <c r="AL15" i="45" s="1"/>
  <c r="V15" i="45"/>
  <c r="AD15" i="45" s="1"/>
  <c r="AK15" i="45" s="1"/>
  <c r="Y15" i="45"/>
  <c r="AG15" i="45" s="1"/>
  <c r="AN15" i="45" s="1"/>
  <c r="Y15" i="51"/>
  <c r="AG15" i="51" s="1"/>
  <c r="AN15" i="51" s="1"/>
  <c r="AA15" i="51"/>
  <c r="AI15" i="51" s="1"/>
  <c r="AP15" i="51" s="1"/>
  <c r="V15" i="51"/>
  <c r="AD15" i="51" s="1"/>
  <c r="AK15" i="51" s="1"/>
  <c r="W15" i="51"/>
  <c r="AE15" i="51" s="1"/>
  <c r="AL15" i="51" s="1"/>
  <c r="X15" i="51"/>
  <c r="AF15" i="51" s="1"/>
  <c r="AM15" i="51" s="1"/>
  <c r="X15" i="95"/>
  <c r="AF15" i="95" s="1"/>
  <c r="AM15" i="95" s="1"/>
  <c r="AA15" i="95"/>
  <c r="AI15" i="95" s="1"/>
  <c r="AP15" i="95" s="1"/>
  <c r="W15" i="95"/>
  <c r="AE15" i="95" s="1"/>
  <c r="AL15" i="95" s="1"/>
  <c r="V15" i="95"/>
  <c r="AD15" i="95" s="1"/>
  <c r="AK15" i="95" s="1"/>
  <c r="Y15" i="95"/>
  <c r="AG15" i="95" s="1"/>
  <c r="AN15" i="95" s="1"/>
  <c r="W15" i="50"/>
  <c r="AE15" i="50" s="1"/>
  <c r="AL15" i="50" s="1"/>
  <c r="Y15" i="50"/>
  <c r="AG15" i="50" s="1"/>
  <c r="AN15" i="50" s="1"/>
  <c r="AA15" i="50"/>
  <c r="V15" i="50"/>
  <c r="X15" i="50"/>
  <c r="AF15" i="50" s="1"/>
  <c r="AM15" i="50" s="1"/>
  <c r="V15" i="83"/>
  <c r="AD15" i="83" s="1"/>
  <c r="AK15" i="83" s="1"/>
  <c r="AA15" i="83"/>
  <c r="AI15" i="83" s="1"/>
  <c r="AP15" i="83" s="1"/>
  <c r="W15" i="83"/>
  <c r="AE15" i="83" s="1"/>
  <c r="AL15" i="83" s="1"/>
  <c r="X15" i="83"/>
  <c r="AF15" i="83" s="1"/>
  <c r="AM15" i="83" s="1"/>
  <c r="Y15" i="83"/>
  <c r="AG15" i="83" s="1"/>
  <c r="AN15" i="83" s="1"/>
  <c r="X15" i="96"/>
  <c r="AF15" i="96" s="1"/>
  <c r="AM15" i="96" s="1"/>
  <c r="V15" i="96"/>
  <c r="AD15" i="96" s="1"/>
  <c r="AK15" i="96" s="1"/>
  <c r="AA15" i="96"/>
  <c r="AI15" i="96" s="1"/>
  <c r="AP15" i="96" s="1"/>
  <c r="Y15" i="96"/>
  <c r="AG15" i="96" s="1"/>
  <c r="AN15" i="96" s="1"/>
  <c r="W15" i="96"/>
  <c r="AE15" i="96" s="1"/>
  <c r="AL15" i="96" s="1"/>
  <c r="AA15" i="85"/>
  <c r="AI15" i="85" s="1"/>
  <c r="AP15" i="85" s="1"/>
  <c r="W15" i="85"/>
  <c r="AE15" i="85" s="1"/>
  <c r="AL15" i="85" s="1"/>
  <c r="V15" i="85"/>
  <c r="AD15" i="85" s="1"/>
  <c r="AK15" i="85" s="1"/>
  <c r="X15" i="85"/>
  <c r="AF15" i="85" s="1"/>
  <c r="AM15" i="85" s="1"/>
  <c r="Y15" i="85"/>
  <c r="AG15" i="85" s="1"/>
  <c r="AN15" i="85" s="1"/>
  <c r="X15" i="54"/>
  <c r="AF15" i="54" s="1"/>
  <c r="AM15" i="54" s="1"/>
  <c r="AA15" i="54"/>
  <c r="AI15" i="54" s="1"/>
  <c r="AP15" i="54" s="1"/>
  <c r="Y15" i="54"/>
  <c r="AG15" i="54" s="1"/>
  <c r="AN15" i="54" s="1"/>
  <c r="W15" i="54"/>
  <c r="AE15" i="54" s="1"/>
  <c r="AL15" i="54" s="1"/>
  <c r="V15" i="54"/>
  <c r="AD15" i="54" s="1"/>
  <c r="AK15" i="54" s="1"/>
  <c r="AA15" i="53"/>
  <c r="AI15" i="53" s="1"/>
  <c r="AP15" i="53" s="1"/>
  <c r="X15" i="53"/>
  <c r="AF15" i="53" s="1"/>
  <c r="AM15" i="53" s="1"/>
  <c r="V15" i="53"/>
  <c r="AD15" i="53" s="1"/>
  <c r="AK15" i="53" s="1"/>
  <c r="Y15" i="53"/>
  <c r="AG15" i="53" s="1"/>
  <c r="AN15" i="53" s="1"/>
  <c r="W15" i="53"/>
  <c r="AE15" i="53" s="1"/>
  <c r="AL15" i="53" s="1"/>
  <c r="W15" i="56"/>
  <c r="AE15" i="56" s="1"/>
  <c r="AL15" i="56" s="1"/>
  <c r="Y15" i="56"/>
  <c r="AG15" i="56" s="1"/>
  <c r="AN15" i="56" s="1"/>
  <c r="V15" i="56"/>
  <c r="AD15" i="56" s="1"/>
  <c r="AK15" i="56" s="1"/>
  <c r="X15" i="56"/>
  <c r="AF15" i="56" s="1"/>
  <c r="AM15" i="56" s="1"/>
  <c r="AA15" i="56"/>
  <c r="AI15" i="56" s="1"/>
  <c r="AP15" i="56" s="1"/>
  <c r="W15" i="41"/>
  <c r="AE15" i="41" s="1"/>
  <c r="AL15" i="41" s="1"/>
  <c r="X15" i="41"/>
  <c r="AF15" i="41" s="1"/>
  <c r="AM15" i="41" s="1"/>
  <c r="V15" i="41"/>
  <c r="AD15" i="41" s="1"/>
  <c r="AK15" i="41" s="1"/>
  <c r="Y15" i="41"/>
  <c r="AG15" i="41" s="1"/>
  <c r="AN15" i="41" s="1"/>
  <c r="AA15" i="41"/>
  <c r="V15" i="52"/>
  <c r="AD15" i="52" s="1"/>
  <c r="AK15" i="52" s="1"/>
  <c r="W15" i="52"/>
  <c r="AE15" i="52" s="1"/>
  <c r="AL15" i="52" s="1"/>
  <c r="AA15" i="52"/>
  <c r="AI15" i="52" s="1"/>
  <c r="AP15" i="52" s="1"/>
  <c r="Y15" i="52"/>
  <c r="AG15" i="52" s="1"/>
  <c r="AN15" i="52" s="1"/>
  <c r="X15" i="52"/>
  <c r="AF15" i="52" s="1"/>
  <c r="AM15" i="52" s="1"/>
  <c r="W15" i="72"/>
  <c r="AE15" i="72" s="1"/>
  <c r="AL15" i="72" s="1"/>
  <c r="V15" i="72"/>
  <c r="AD15" i="72" s="1"/>
  <c r="AK15" i="72" s="1"/>
  <c r="AA15" i="72"/>
  <c r="AI15" i="72" s="1"/>
  <c r="AP15" i="72" s="1"/>
  <c r="Y15" i="72"/>
  <c r="AG15" i="72" s="1"/>
  <c r="AN15" i="72" s="1"/>
  <c r="X15" i="72"/>
  <c r="AF15" i="72" s="1"/>
  <c r="AM15" i="72" s="1"/>
  <c r="AB9" i="87"/>
  <c r="S8" i="58"/>
  <c r="S615" i="97" s="1"/>
  <c r="Q89" i="13"/>
  <c r="AD9" i="87"/>
  <c r="AK9" i="87" s="1"/>
  <c r="AQ9" i="87" s="1"/>
  <c r="AE95" i="13"/>
  <c r="T9" i="79"/>
  <c r="R88" i="13"/>
  <c r="S8" i="88"/>
  <c r="AF615" i="97" s="1"/>
  <c r="AD9" i="88"/>
  <c r="T9" i="85"/>
  <c r="AO42" i="46"/>
  <c r="AQ42" i="46" s="1"/>
  <c r="AJ42" i="46"/>
  <c r="M79" i="10" s="1"/>
  <c r="M29" i="10" s="1"/>
  <c r="AO42" i="51"/>
  <c r="AQ42" i="51" s="1"/>
  <c r="AJ42" i="51"/>
  <c r="H79" i="10" s="1"/>
  <c r="H29" i="10" s="1"/>
  <c r="V9" i="82"/>
  <c r="AD9" i="82" s="1"/>
  <c r="T9" i="88"/>
  <c r="N8" i="88"/>
  <c r="AF489" i="97" s="1"/>
  <c r="N8" i="82"/>
  <c r="V9" i="85"/>
  <c r="AD9" i="85" s="1"/>
  <c r="AJ9" i="85" s="1"/>
  <c r="AN29" i="88"/>
  <c r="AQ29" i="88" s="1"/>
  <c r="AJ29" i="88"/>
  <c r="M89" i="13"/>
  <c r="N8" i="84"/>
  <c r="AC489" i="97" s="1"/>
  <c r="V9" i="84"/>
  <c r="AD9" i="84" s="1"/>
  <c r="N8" i="79"/>
  <c r="Y489" i="97" s="1"/>
  <c r="AB9" i="79"/>
  <c r="AJ9" i="79"/>
  <c r="V9" i="83"/>
  <c r="AD9" i="83" s="1"/>
  <c r="T9" i="77"/>
  <c r="N8" i="81"/>
  <c r="Z489" i="97" s="1"/>
  <c r="V9" i="81"/>
  <c r="N88" i="13"/>
  <c r="N8" i="77"/>
  <c r="X489" i="97" s="1"/>
  <c r="N8" i="83"/>
  <c r="AB489" i="97" s="1"/>
  <c r="AF200" i="44"/>
  <c r="M88" i="13"/>
  <c r="V9" i="96"/>
  <c r="AD9" i="96" s="1"/>
  <c r="AK9" i="96" s="1"/>
  <c r="N8" i="95"/>
  <c r="V9" i="95"/>
  <c r="AD9" i="95" s="1"/>
  <c r="N8" i="96"/>
  <c r="AI489" i="97" s="1"/>
  <c r="R89" i="13"/>
  <c r="B10" i="2"/>
  <c r="K205" i="44"/>
  <c r="L873" i="97"/>
  <c r="P178" i="44"/>
  <c r="S205" i="44"/>
  <c r="T873" i="97"/>
  <c r="H205" i="44"/>
  <c r="I873" i="97"/>
  <c r="J205" i="44"/>
  <c r="K873" i="97"/>
  <c r="M26" i="53"/>
  <c r="H25" i="44"/>
  <c r="BE26" i="70"/>
  <c r="H94" i="44"/>
  <c r="S16" i="87"/>
  <c r="I16" i="87"/>
  <c r="H8" i="87"/>
  <c r="BM26" i="70"/>
  <c r="P94" i="44"/>
  <c r="M26" i="55"/>
  <c r="P25" i="44"/>
  <c r="BM25" i="70" s="1"/>
  <c r="H113" i="13"/>
  <c r="H114" i="13" s="1"/>
  <c r="AE205" i="44"/>
  <c r="AF873" i="97"/>
  <c r="X205" i="44"/>
  <c r="Y873" i="97"/>
  <c r="AA874" i="97"/>
  <c r="Z122" i="44"/>
  <c r="Z151" i="44" s="1"/>
  <c r="H8" i="82"/>
  <c r="S16" i="82"/>
  <c r="I16" i="82"/>
  <c r="AB94" i="44"/>
  <c r="BY26" i="70"/>
  <c r="M26" i="84"/>
  <c r="AB25" i="44"/>
  <c r="BY25" i="70" s="1"/>
  <c r="M26" i="81"/>
  <c r="BV26" i="70"/>
  <c r="Y94" i="44"/>
  <c r="Y25" i="44"/>
  <c r="BV25" i="70" s="1"/>
  <c r="AD205" i="44"/>
  <c r="AE873" i="97"/>
  <c r="T205" i="44"/>
  <c r="U873" i="97"/>
  <c r="O205" i="44"/>
  <c r="P873" i="97"/>
  <c r="W205" i="44"/>
  <c r="X873" i="97"/>
  <c r="M26" i="79"/>
  <c r="BU26" i="70"/>
  <c r="X94" i="44"/>
  <c r="X25" i="44"/>
  <c r="BU25" i="70" s="1"/>
  <c r="S874" i="97"/>
  <c r="R122" i="44"/>
  <c r="R151" i="44" s="1"/>
  <c r="M26" i="56"/>
  <c r="BN26" i="70"/>
  <c r="Q25" i="44"/>
  <c r="BN25" i="70" s="1"/>
  <c r="Q94" i="44"/>
  <c r="AF25" i="44"/>
  <c r="CC25" i="70" s="1"/>
  <c r="M26" i="90"/>
  <c r="CC26" i="70"/>
  <c r="AF94" i="44"/>
  <c r="Z158" i="10"/>
  <c r="BK25" i="98"/>
  <c r="W35" i="97"/>
  <c r="T42" i="73"/>
  <c r="N158" i="10"/>
  <c r="AG35" i="97"/>
  <c r="T42" i="90"/>
  <c r="G35" i="97"/>
  <c r="T42" i="45"/>
  <c r="AO42" i="64"/>
  <c r="AQ42" i="64" s="1"/>
  <c r="AJ42" i="64"/>
  <c r="Q79" i="10" s="1"/>
  <c r="Q29" i="10" s="1"/>
  <c r="AO42" i="58"/>
  <c r="AQ42" i="58" s="1"/>
  <c r="AJ42" i="58"/>
  <c r="P79" i="10" s="1"/>
  <c r="P29" i="10" s="1"/>
  <c r="AJ42" i="79"/>
  <c r="V79" i="10" s="1"/>
  <c r="V29" i="10" s="1"/>
  <c r="AO42" i="79"/>
  <c r="AQ42" i="79" s="1"/>
  <c r="J158" i="10"/>
  <c r="N89" i="13"/>
  <c r="AA95" i="13"/>
  <c r="P88" i="13"/>
  <c r="AI886" i="97"/>
  <c r="AE96" i="13"/>
  <c r="AF621" i="97"/>
  <c r="J113" i="13"/>
  <c r="J114" i="13" s="1"/>
  <c r="AA113" i="13"/>
  <c r="AA114" i="13" s="1"/>
  <c r="AF113" i="13"/>
  <c r="AF114" i="13" s="1"/>
  <c r="AA96" i="13"/>
  <c r="P89" i="13"/>
  <c r="O89" i="13"/>
  <c r="F113" i="13"/>
  <c r="F114" i="13" s="1"/>
  <c r="AB113" i="13"/>
  <c r="AB114" i="13" s="1"/>
  <c r="Q113" i="13"/>
  <c r="Q114" i="13" s="1"/>
  <c r="V112" i="13"/>
  <c r="V114" i="13" s="1"/>
  <c r="P113" i="13"/>
  <c r="P114" i="13" s="1"/>
  <c r="AC113" i="13"/>
  <c r="AC114" i="13" s="1"/>
  <c r="AE178" i="44"/>
  <c r="AE113" i="13"/>
  <c r="AE114" i="13" s="1"/>
  <c r="AO42" i="88"/>
  <c r="AQ42" i="88" s="1"/>
  <c r="AJ42" i="88"/>
  <c r="AC79" i="10" s="1"/>
  <c r="AC29" i="10" s="1"/>
  <c r="T158" i="10"/>
  <c r="AJ42" i="47"/>
  <c r="L79" i="10" s="1"/>
  <c r="L29" i="10" s="1"/>
  <c r="AO42" i="47"/>
  <c r="AQ42" i="47" s="1"/>
  <c r="AO42" i="69"/>
  <c r="AQ42" i="69" s="1"/>
  <c r="AJ42" i="69"/>
  <c r="R79" i="10" s="1"/>
  <c r="R29" i="10" s="1"/>
  <c r="AJ42" i="54"/>
  <c r="E79" i="10" s="1"/>
  <c r="E29" i="10" s="1"/>
  <c r="AO42" i="54"/>
  <c r="AQ42" i="54" s="1"/>
  <c r="AJ42" i="50"/>
  <c r="I79" i="10" s="1"/>
  <c r="I29" i="10" s="1"/>
  <c r="AO42" i="50"/>
  <c r="AQ42" i="50" s="1"/>
  <c r="AJ42" i="90"/>
  <c r="AD79" i="10" s="1"/>
  <c r="AD29" i="10" s="1"/>
  <c r="AO42" i="90"/>
  <c r="AQ42" i="90" s="1"/>
  <c r="K112" i="13"/>
  <c r="K114" i="13" s="1"/>
  <c r="AD178" i="44"/>
  <c r="AD112" i="13"/>
  <c r="AD114" i="13" s="1"/>
  <c r="H178" i="44"/>
  <c r="T178" i="44"/>
  <c r="C113" i="13"/>
  <c r="C114" i="13" s="1"/>
  <c r="AE27" i="16"/>
  <c r="AI16" i="51"/>
  <c r="AB16" i="51"/>
  <c r="S89" i="13"/>
  <c r="S17" i="95"/>
  <c r="AJ16" i="73"/>
  <c r="AP16" i="73"/>
  <c r="AQ16" i="73" s="1"/>
  <c r="AB16" i="47"/>
  <c r="AI16" i="47"/>
  <c r="AO10" i="47"/>
  <c r="AL9" i="54"/>
  <c r="P98" i="13"/>
  <c r="P101" i="13" s="1"/>
  <c r="AF8" i="13"/>
  <c r="AO9" i="52"/>
  <c r="AK10" i="50"/>
  <c r="AI16" i="88"/>
  <c r="AB16" i="88"/>
  <c r="U27" i="16"/>
  <c r="AO9" i="46"/>
  <c r="S17" i="46"/>
  <c r="P621" i="97" s="1"/>
  <c r="AP16" i="69"/>
  <c r="AJ16" i="69"/>
  <c r="AD96" i="13"/>
  <c r="S17" i="64"/>
  <c r="T621" i="97" s="1"/>
  <c r="AK10" i="54"/>
  <c r="AK10" i="79"/>
  <c r="E27" i="16"/>
  <c r="AO9" i="81"/>
  <c r="M27" i="16"/>
  <c r="AP10" i="82"/>
  <c r="S17" i="54"/>
  <c r="S17" i="77"/>
  <c r="X621" i="97" s="1"/>
  <c r="T103" i="13"/>
  <c r="T102" i="13"/>
  <c r="T101" i="13"/>
  <c r="Q27" i="16"/>
  <c r="AO10" i="50"/>
  <c r="AL9" i="77"/>
  <c r="AD9" i="77"/>
  <c r="AB9" i="77"/>
  <c r="Z98" i="13"/>
  <c r="Z101" i="13" s="1"/>
  <c r="AI16" i="55"/>
  <c r="AB16" i="55"/>
  <c r="U113" i="13"/>
  <c r="U114" i="13" s="1"/>
  <c r="S21" i="54"/>
  <c r="R112" i="13"/>
  <c r="R114" i="13" s="1"/>
  <c r="S16" i="95"/>
  <c r="H8" i="95"/>
  <c r="I16" i="95"/>
  <c r="O26" i="16"/>
  <c r="AO42" i="52"/>
  <c r="AQ42" i="52" s="1"/>
  <c r="AJ42" i="52"/>
  <c r="G79" i="10" s="1"/>
  <c r="G29" i="10" s="1"/>
  <c r="S22" i="96"/>
  <c r="V27" i="16"/>
  <c r="I16" i="85"/>
  <c r="H8" i="85"/>
  <c r="S16" i="85"/>
  <c r="X110" i="13"/>
  <c r="X112" i="13" s="1"/>
  <c r="Y110" i="13"/>
  <c r="Y112" i="13" s="1"/>
  <c r="AD27" i="16"/>
  <c r="I113" i="13"/>
  <c r="I114" i="13" s="1"/>
  <c r="K178" i="44"/>
  <c r="S21" i="83"/>
  <c r="W112" i="13"/>
  <c r="W114" i="13" s="1"/>
  <c r="I98" i="13"/>
  <c r="S17" i="55"/>
  <c r="Q621" i="97" s="1"/>
  <c r="S8" i="54"/>
  <c r="H615" i="97" s="1"/>
  <c r="T16" i="54"/>
  <c r="AA16" i="54"/>
  <c r="AO42" i="95"/>
  <c r="AQ42" i="95" s="1"/>
  <c r="AJ42" i="95"/>
  <c r="AE79" i="10" s="1"/>
  <c r="AE29" i="10" s="1"/>
  <c r="AJ42" i="72"/>
  <c r="S79" i="10" s="1"/>
  <c r="S29" i="10" s="1"/>
  <c r="AO42" i="72"/>
  <c r="AQ42" i="72" s="1"/>
  <c r="AP9" i="73"/>
  <c r="S22" i="51"/>
  <c r="AE26" i="16"/>
  <c r="S16" i="56"/>
  <c r="I16" i="56"/>
  <c r="H8" i="56"/>
  <c r="AP10" i="96"/>
  <c r="M26" i="51"/>
  <c r="M18" i="51" s="1"/>
  <c r="M43" i="51" s="1"/>
  <c r="BG26" i="70"/>
  <c r="J25" i="44"/>
  <c r="J94" i="44"/>
  <c r="G25" i="44"/>
  <c r="BD26" i="70"/>
  <c r="G94" i="44"/>
  <c r="M26" i="54"/>
  <c r="M18" i="54" s="1"/>
  <c r="M43" i="54" s="1"/>
  <c r="AA25" i="37"/>
  <c r="AA44" i="37" s="1"/>
  <c r="AA26" i="16"/>
  <c r="M98" i="13"/>
  <c r="M101" i="13" s="1"/>
  <c r="AO42" i="82"/>
  <c r="AQ42" i="82" s="1"/>
  <c r="AJ42" i="82"/>
  <c r="X79" i="10" s="1"/>
  <c r="X29" i="10" s="1"/>
  <c r="AI16" i="96"/>
  <c r="AB16" i="96"/>
  <c r="BC26" i="70"/>
  <c r="M26" i="45"/>
  <c r="M18" i="45" s="1"/>
  <c r="M43" i="45" s="1"/>
  <c r="F25" i="44"/>
  <c r="F94" i="44"/>
  <c r="L110" i="13"/>
  <c r="L112" i="13" s="1"/>
  <c r="K26" i="16"/>
  <c r="K25" i="37"/>
  <c r="K44" i="37" s="1"/>
  <c r="X178" i="44"/>
  <c r="AH42" i="41"/>
  <c r="AB42" i="41"/>
  <c r="AO42" i="81"/>
  <c r="AQ42" i="81" s="1"/>
  <c r="AJ42" i="81"/>
  <c r="W79" i="10" s="1"/>
  <c r="W29" i="10" s="1"/>
  <c r="Q98" i="13"/>
  <c r="Q101" i="13" s="1"/>
  <c r="S22" i="58"/>
  <c r="AF158" i="10"/>
  <c r="AB42" i="56"/>
  <c r="AH42" i="56"/>
  <c r="T113" i="13"/>
  <c r="T114" i="13" s="1"/>
  <c r="S21" i="88"/>
  <c r="M25" i="37"/>
  <c r="M44" i="37" s="1"/>
  <c r="S17" i="84"/>
  <c r="AC621" i="97" s="1"/>
  <c r="J27" i="16"/>
  <c r="J25" i="37"/>
  <c r="J44" i="37" s="1"/>
  <c r="W26" i="16"/>
  <c r="G98" i="13"/>
  <c r="G101" i="13" s="1"/>
  <c r="J98" i="13"/>
  <c r="J102" i="13" s="1"/>
  <c r="AQ9" i="79"/>
  <c r="S22" i="82"/>
  <c r="S21" i="77"/>
  <c r="S17" i="53"/>
  <c r="H8" i="72"/>
  <c r="S16" i="72"/>
  <c r="I16" i="72"/>
  <c r="E98" i="13"/>
  <c r="E101" i="13" s="1"/>
  <c r="S22" i="45"/>
  <c r="S16" i="48"/>
  <c r="H8" i="48"/>
  <c r="I16" i="48"/>
  <c r="T42" i="96"/>
  <c r="O178" i="44"/>
  <c r="AH116" i="44"/>
  <c r="AH42" i="48"/>
  <c r="AB42" i="48"/>
  <c r="X98" i="13"/>
  <c r="X101" i="13" s="1"/>
  <c r="S22" i="73"/>
  <c r="D113" i="13"/>
  <c r="D114" i="13" s="1"/>
  <c r="S21" i="64"/>
  <c r="S17" i="69"/>
  <c r="Y98" i="13"/>
  <c r="Y103" i="13" s="1"/>
  <c r="U98" i="13"/>
  <c r="U101" i="13" s="1"/>
  <c r="J178" i="44"/>
  <c r="CA26" i="70"/>
  <c r="AD94" i="44"/>
  <c r="AD25" i="44"/>
  <c r="CA25" i="70" s="1"/>
  <c r="M26" i="87"/>
  <c r="M18" i="87" s="1"/>
  <c r="M43" i="87" s="1"/>
  <c r="S21" i="46"/>
  <c r="Z27" i="16"/>
  <c r="S17" i="49"/>
  <c r="H8" i="81"/>
  <c r="S16" i="81"/>
  <c r="I16" i="81"/>
  <c r="Z25" i="44"/>
  <c r="BW25" i="70" s="1"/>
  <c r="Z94" i="44"/>
  <c r="M26" i="82"/>
  <c r="M18" i="82" s="1"/>
  <c r="M43" i="82" s="1"/>
  <c r="BW26" i="70"/>
  <c r="S17" i="79"/>
  <c r="Y621" i="97" s="1"/>
  <c r="F27" i="16"/>
  <c r="S25" i="37"/>
  <c r="S44" i="37" s="1"/>
  <c r="S26" i="16"/>
  <c r="O98" i="13"/>
  <c r="O101" i="13" s="1"/>
  <c r="S178" i="44"/>
  <c r="AK10" i="96"/>
  <c r="BS26" i="70"/>
  <c r="V25" i="44"/>
  <c r="BS25" i="70" s="1"/>
  <c r="V94" i="44"/>
  <c r="M26" i="73"/>
  <c r="M18" i="73" s="1"/>
  <c r="M43" i="73" s="1"/>
  <c r="BP26" i="70"/>
  <c r="S94" i="44"/>
  <c r="M26" i="64"/>
  <c r="M18" i="64" s="1"/>
  <c r="M43" i="64" s="1"/>
  <c r="S25" i="44"/>
  <c r="BP25" i="70" s="1"/>
  <c r="S17" i="90"/>
  <c r="K98" i="13"/>
  <c r="K101" i="13" s="1"/>
  <c r="AM9" i="96"/>
  <c r="AF25" i="37"/>
  <c r="W178" i="44"/>
  <c r="S22" i="87"/>
  <c r="S22" i="47"/>
  <c r="E110" i="13"/>
  <c r="E112" i="13" s="1"/>
  <c r="R27" i="16"/>
  <c r="R25" i="37"/>
  <c r="R44" i="37" s="1"/>
  <c r="N27" i="16"/>
  <c r="Y25" i="37"/>
  <c r="Y44" i="37" s="1"/>
  <c r="AO42" i="85"/>
  <c r="AQ42" i="85" s="1"/>
  <c r="AJ42" i="85"/>
  <c r="AA79" i="10" s="1"/>
  <c r="AA29" i="10" s="1"/>
  <c r="S22" i="41" l="1"/>
  <c r="N25" i="44"/>
  <c r="BE25" i="70"/>
  <c r="M94" i="44"/>
  <c r="M26" i="52"/>
  <c r="M18" i="52" s="1"/>
  <c r="M43" i="52" s="1"/>
  <c r="BB26" i="70"/>
  <c r="BD25" i="70"/>
  <c r="BG25" i="70"/>
  <c r="K25" i="44"/>
  <c r="BI26" i="70"/>
  <c r="BC25" i="70"/>
  <c r="S28" i="10"/>
  <c r="BD26" i="104"/>
  <c r="BD26" i="98"/>
  <c r="BC26" i="71"/>
  <c r="J81" i="71"/>
  <c r="J26" i="71"/>
  <c r="I28" i="10"/>
  <c r="AT26" i="104"/>
  <c r="AS26" i="71"/>
  <c r="AT26" i="98"/>
  <c r="J81" i="98"/>
  <c r="J26" i="98"/>
  <c r="AL32" i="103"/>
  <c r="BE25" i="104"/>
  <c r="AA28" i="10"/>
  <c r="BL26" i="104"/>
  <c r="BL26" i="98"/>
  <c r="BK26" i="71"/>
  <c r="D28" i="10"/>
  <c r="AN25" i="71" s="1"/>
  <c r="AO26" i="104"/>
  <c r="AO26" i="98"/>
  <c r="AN26" i="71"/>
  <c r="J81" i="104"/>
  <c r="J26" i="104"/>
  <c r="AF26" i="104"/>
  <c r="AF81" i="104"/>
  <c r="Z81" i="71"/>
  <c r="Z26" i="71"/>
  <c r="X28" i="10"/>
  <c r="BI26" i="104"/>
  <c r="BH26" i="71"/>
  <c r="BI26" i="98"/>
  <c r="E28" i="10"/>
  <c r="AP26" i="104"/>
  <c r="AP26" i="98"/>
  <c r="AO26" i="71"/>
  <c r="P28" i="10"/>
  <c r="BA26" i="104"/>
  <c r="BA26" i="98"/>
  <c r="AZ26" i="71"/>
  <c r="M28" i="10"/>
  <c r="AX26" i="104"/>
  <c r="AX26" i="98"/>
  <c r="AW26" i="71"/>
  <c r="AN168" i="44"/>
  <c r="AM168" i="44"/>
  <c r="AB32" i="103"/>
  <c r="AU25" i="104"/>
  <c r="AX32" i="103"/>
  <c r="BQ25" i="104"/>
  <c r="Z26" i="98"/>
  <c r="Z81" i="98"/>
  <c r="N81" i="104"/>
  <c r="N26" i="104"/>
  <c r="AB81" i="71"/>
  <c r="AB26" i="71"/>
  <c r="Z81" i="104"/>
  <c r="Z26" i="104"/>
  <c r="T81" i="104"/>
  <c r="T26" i="104"/>
  <c r="H28" i="10"/>
  <c r="AS26" i="104"/>
  <c r="AR26" i="71"/>
  <c r="AS26" i="98"/>
  <c r="AF81" i="98"/>
  <c r="AF26" i="98"/>
  <c r="V28" i="10"/>
  <c r="BG25" i="98" s="1"/>
  <c r="BG26" i="104"/>
  <c r="BG26" i="98"/>
  <c r="BF26" i="71"/>
  <c r="G28" i="10"/>
  <c r="AR26" i="104"/>
  <c r="AR26" i="98"/>
  <c r="AQ26" i="71"/>
  <c r="W28" i="10"/>
  <c r="BH26" i="104"/>
  <c r="BH26" i="98"/>
  <c r="BG26" i="71"/>
  <c r="Q28" i="10"/>
  <c r="BB25" i="98" s="1"/>
  <c r="BB26" i="104"/>
  <c r="BB26" i="98"/>
  <c r="BA26" i="71"/>
  <c r="AB81" i="98"/>
  <c r="AB26" i="98"/>
  <c r="AR32" i="103"/>
  <c r="BK25" i="104"/>
  <c r="AF81" i="71"/>
  <c r="AF26" i="71"/>
  <c r="AE28" i="10"/>
  <c r="BP26" i="104"/>
  <c r="BP26" i="98"/>
  <c r="BO26" i="71"/>
  <c r="AC28" i="10"/>
  <c r="BN26" i="104"/>
  <c r="BN26" i="98"/>
  <c r="BM26" i="71"/>
  <c r="BR26" i="104"/>
  <c r="BR26" i="98"/>
  <c r="BQ26" i="71"/>
  <c r="AF32" i="103"/>
  <c r="AY25" i="104"/>
  <c r="R28" i="10"/>
  <c r="BC26" i="104"/>
  <c r="BC26" i="98"/>
  <c r="BB26" i="71"/>
  <c r="AJ6" i="16"/>
  <c r="T81" i="71"/>
  <c r="T26" i="71"/>
  <c r="AB81" i="104"/>
  <c r="AB26" i="104"/>
  <c r="N81" i="71"/>
  <c r="N26" i="71"/>
  <c r="AD28" i="10"/>
  <c r="BO26" i="104"/>
  <c r="BO26" i="98"/>
  <c r="BN26" i="71"/>
  <c r="L28" i="10"/>
  <c r="AW26" i="104"/>
  <c r="AW26" i="98"/>
  <c r="AV26" i="71"/>
  <c r="T81" i="98"/>
  <c r="T26" i="98"/>
  <c r="AT32" i="103"/>
  <c r="BM25" i="104"/>
  <c r="N81" i="98"/>
  <c r="N26" i="98"/>
  <c r="AG615" i="97"/>
  <c r="V9" i="90"/>
  <c r="AD9" i="90" s="1"/>
  <c r="AJ9" i="90" s="1"/>
  <c r="AG621" i="97"/>
  <c r="AJ79" i="70"/>
  <c r="AY79" i="70"/>
  <c r="AL76" i="2"/>
  <c r="AJ80" i="70"/>
  <c r="AY80" i="70"/>
  <c r="AL77" i="2"/>
  <c r="D158" i="10"/>
  <c r="V8" i="101"/>
  <c r="AD9" i="101"/>
  <c r="AB9" i="101"/>
  <c r="AH8" i="13"/>
  <c r="AJ117" i="44"/>
  <c r="AK868" i="97"/>
  <c r="AH9" i="13"/>
  <c r="AJ116" i="44"/>
  <c r="AK886" i="97"/>
  <c r="AH29" i="10"/>
  <c r="AI29" i="10"/>
  <c r="AK615" i="97"/>
  <c r="V178" i="44"/>
  <c r="AH621" i="97"/>
  <c r="AH489" i="97"/>
  <c r="Y158" i="10"/>
  <c r="Y29" i="10"/>
  <c r="AG28" i="10"/>
  <c r="U158" i="10"/>
  <c r="U29" i="10"/>
  <c r="F158" i="10"/>
  <c r="F29" i="10"/>
  <c r="L205" i="44"/>
  <c r="W873" i="97"/>
  <c r="M26" i="77"/>
  <c r="M18" i="77" s="1"/>
  <c r="M43" i="77" s="1"/>
  <c r="W25" i="44"/>
  <c r="U28" i="16" s="1"/>
  <c r="AG873" i="97"/>
  <c r="AF205" i="44"/>
  <c r="AJ886" i="97"/>
  <c r="AB16" i="41"/>
  <c r="L178" i="44"/>
  <c r="AJ16" i="41"/>
  <c r="AI117" i="44"/>
  <c r="AI146" i="44" s="1"/>
  <c r="AA16" i="45"/>
  <c r="AB16" i="45" s="1"/>
  <c r="T16" i="45"/>
  <c r="F615" i="97"/>
  <c r="AI16" i="83"/>
  <c r="AJ16" i="83" s="1"/>
  <c r="AA489" i="97"/>
  <c r="M26" i="46"/>
  <c r="M18" i="46" s="1"/>
  <c r="M43" i="46" s="1"/>
  <c r="O25" i="44"/>
  <c r="M28" i="16" s="1"/>
  <c r="BL26" i="70"/>
  <c r="AI16" i="64"/>
  <c r="AJ16" i="64" s="1"/>
  <c r="AE25" i="44"/>
  <c r="AC28" i="16" s="1"/>
  <c r="M26" i="88"/>
  <c r="M18" i="88" s="1"/>
  <c r="M43" i="88" s="1"/>
  <c r="AE94" i="44"/>
  <c r="L25" i="44"/>
  <c r="AJ868" i="97"/>
  <c r="N151" i="44"/>
  <c r="N205" i="44" s="1"/>
  <c r="F151" i="44"/>
  <c r="F205" i="44" s="1"/>
  <c r="AI116" i="44"/>
  <c r="U25" i="44"/>
  <c r="BR25" i="70" s="1"/>
  <c r="S22" i="99"/>
  <c r="U621" i="97"/>
  <c r="T9" i="90"/>
  <c r="N8" i="90"/>
  <c r="D102" i="13"/>
  <c r="AI80" i="70"/>
  <c r="AX80" i="70"/>
  <c r="AI79" i="70"/>
  <c r="AX79" i="70"/>
  <c r="AD9" i="99"/>
  <c r="AK9" i="99" s="1"/>
  <c r="AH158" i="10"/>
  <c r="AM158" i="10" s="1"/>
  <c r="N8" i="99"/>
  <c r="AJ489" i="97" s="1"/>
  <c r="T9" i="99"/>
  <c r="AG8" i="13"/>
  <c r="U88" i="13" s="1"/>
  <c r="AG9" i="13"/>
  <c r="U89" i="13" s="1"/>
  <c r="M26" i="41"/>
  <c r="M18" i="41" s="1"/>
  <c r="M43" i="41" s="1"/>
  <c r="BR26" i="70"/>
  <c r="E25" i="44"/>
  <c r="U94" i="44"/>
  <c r="E94" i="44"/>
  <c r="AA25" i="44"/>
  <c r="Y28" i="16" s="1"/>
  <c r="L94" i="44"/>
  <c r="X28" i="16"/>
  <c r="AG158" i="10"/>
  <c r="I25" i="44"/>
  <c r="BF26" i="70"/>
  <c r="V9" i="100"/>
  <c r="T9" i="100"/>
  <c r="N8" i="100"/>
  <c r="H23" i="100"/>
  <c r="H23" i="99"/>
  <c r="B34" i="20"/>
  <c r="H25" i="99" s="1"/>
  <c r="S25" i="99" s="1"/>
  <c r="H23" i="69"/>
  <c r="S23" i="69" s="1"/>
  <c r="H23" i="50"/>
  <c r="H23" i="90"/>
  <c r="S23" i="90" s="1"/>
  <c r="H23" i="64"/>
  <c r="S23" i="64" s="1"/>
  <c r="AA23" i="64" s="1"/>
  <c r="AI23" i="64" s="1"/>
  <c r="AP23" i="64" s="1"/>
  <c r="H23" i="87"/>
  <c r="S23" i="87" s="1"/>
  <c r="AA23" i="87" s="1"/>
  <c r="AI23" i="87" s="1"/>
  <c r="AP23" i="87" s="1"/>
  <c r="H23" i="49"/>
  <c r="S23" i="49" s="1"/>
  <c r="AA23" i="49" s="1"/>
  <c r="AI23" i="49" s="1"/>
  <c r="AP23" i="49" s="1"/>
  <c r="H23" i="54"/>
  <c r="S23" i="54" s="1"/>
  <c r="AA23" i="54" s="1"/>
  <c r="AI23" i="54" s="1"/>
  <c r="AP23" i="54" s="1"/>
  <c r="H23" i="55"/>
  <c r="S23" i="55" s="1"/>
  <c r="AA23" i="55" s="1"/>
  <c r="AI23" i="55" s="1"/>
  <c r="AP23" i="55" s="1"/>
  <c r="H23" i="83"/>
  <c r="S23" i="83" s="1"/>
  <c r="AA23" i="83" s="1"/>
  <c r="AI23" i="83" s="1"/>
  <c r="AP23" i="83" s="1"/>
  <c r="H23" i="77"/>
  <c r="H23" i="41"/>
  <c r="H23" i="79"/>
  <c r="H23" i="53"/>
  <c r="S23" i="53" s="1"/>
  <c r="AA23" i="53" s="1"/>
  <c r="AI23" i="53" s="1"/>
  <c r="AP23" i="53" s="1"/>
  <c r="H23" i="47"/>
  <c r="H23" i="84"/>
  <c r="S23" i="84" s="1"/>
  <c r="AA23" i="84" s="1"/>
  <c r="AI23" i="84" s="1"/>
  <c r="AP23" i="84" s="1"/>
  <c r="H23" i="51"/>
  <c r="S23" i="51" s="1"/>
  <c r="AA23" i="51" s="1"/>
  <c r="AI23" i="51" s="1"/>
  <c r="AP23" i="51" s="1"/>
  <c r="H23" i="46"/>
  <c r="S23" i="46" s="1"/>
  <c r="AA23" i="46" s="1"/>
  <c r="AI23" i="46" s="1"/>
  <c r="AP23" i="46" s="1"/>
  <c r="H23" i="88"/>
  <c r="H23" i="82"/>
  <c r="H23" i="73"/>
  <c r="H23" i="81"/>
  <c r="S23" i="81" s="1"/>
  <c r="AA23" i="81" s="1"/>
  <c r="H23" i="45"/>
  <c r="S23" i="45" s="1"/>
  <c r="AA23" i="45" s="1"/>
  <c r="AI23" i="45" s="1"/>
  <c r="AP23" i="45" s="1"/>
  <c r="H23" i="58"/>
  <c r="H23" i="96"/>
  <c r="S23" i="96" s="1"/>
  <c r="AA23" i="96" s="1"/>
  <c r="AI23" i="96" s="1"/>
  <c r="AP23" i="96" s="1"/>
  <c r="H23" i="95"/>
  <c r="S23" i="95" s="1"/>
  <c r="H23" i="72"/>
  <c r="S23" i="72" s="1"/>
  <c r="AA23" i="72" s="1"/>
  <c r="H23" i="48"/>
  <c r="H23" i="85"/>
  <c r="S23" i="85" s="1"/>
  <c r="AA23" i="85" s="1"/>
  <c r="H23" i="56"/>
  <c r="H23" i="52"/>
  <c r="AJ615" i="97"/>
  <c r="S22" i="100"/>
  <c r="AI16" i="100"/>
  <c r="AB16" i="100"/>
  <c r="AI16" i="99"/>
  <c r="AB16" i="99"/>
  <c r="BO26" i="70"/>
  <c r="L101" i="13"/>
  <c r="D101" i="13"/>
  <c r="S8" i="52"/>
  <c r="J615" i="97" s="1"/>
  <c r="M26" i="49"/>
  <c r="M18" i="49" s="1"/>
  <c r="M43" i="49" s="1"/>
  <c r="M26" i="48"/>
  <c r="M18" i="48" s="1"/>
  <c r="M43" i="48" s="1"/>
  <c r="W94" i="44"/>
  <c r="BJ26" i="70"/>
  <c r="I94" i="44"/>
  <c r="M25" i="44"/>
  <c r="AA16" i="52"/>
  <c r="AB16" i="52" s="1"/>
  <c r="BX26" i="70"/>
  <c r="AE28" i="16"/>
  <c r="L103" i="13"/>
  <c r="M26" i="83"/>
  <c r="M18" i="83" s="1"/>
  <c r="M43" i="83" s="1"/>
  <c r="BP25" i="71"/>
  <c r="AE25" i="37"/>
  <c r="R102" i="13"/>
  <c r="R101" i="13"/>
  <c r="N101" i="13"/>
  <c r="N102" i="13"/>
  <c r="AF96" i="13"/>
  <c r="H102" i="13"/>
  <c r="AD98" i="13"/>
  <c r="AD101" i="13" s="1"/>
  <c r="M26" i="50"/>
  <c r="M18" i="50" s="1"/>
  <c r="M43" i="50" s="1"/>
  <c r="AB16" i="49"/>
  <c r="K94" i="44"/>
  <c r="AP16" i="50"/>
  <c r="AQ16" i="50" s="1"/>
  <c r="AH25" i="44"/>
  <c r="CE25" i="70" s="1"/>
  <c r="M26" i="69"/>
  <c r="AH94" i="44"/>
  <c r="R25" i="44"/>
  <c r="P28" i="16" s="1"/>
  <c r="T94" i="44"/>
  <c r="N94" i="44"/>
  <c r="R94" i="44"/>
  <c r="T25" i="44"/>
  <c r="BQ25" i="70" s="1"/>
  <c r="M26" i="96"/>
  <c r="M18" i="96" s="1"/>
  <c r="M43" i="96" s="1"/>
  <c r="BK26" i="70"/>
  <c r="M26" i="47"/>
  <c r="M18" i="47" s="1"/>
  <c r="M43" i="47" s="1"/>
  <c r="S98" i="13"/>
  <c r="S101" i="13" s="1"/>
  <c r="F101" i="13"/>
  <c r="H101" i="13"/>
  <c r="F103" i="13"/>
  <c r="AC25" i="44"/>
  <c r="BZ25" i="70" s="1"/>
  <c r="M26" i="85"/>
  <c r="AB16" i="84"/>
  <c r="AC94" i="44"/>
  <c r="V28" i="16"/>
  <c r="BH26" i="70"/>
  <c r="M18" i="81"/>
  <c r="M43" i="81" s="1"/>
  <c r="N25" i="98"/>
  <c r="N80" i="98"/>
  <c r="Z25" i="98"/>
  <c r="Z80" i="98"/>
  <c r="G868" i="97"/>
  <c r="F117" i="44"/>
  <c r="V117" i="44"/>
  <c r="W868" i="97"/>
  <c r="Y117" i="44"/>
  <c r="Z868" i="97"/>
  <c r="N886" i="97"/>
  <c r="M116" i="44"/>
  <c r="M122" i="44"/>
  <c r="M151" i="44" s="1"/>
  <c r="N874" i="97"/>
  <c r="G886" i="97"/>
  <c r="F116" i="44"/>
  <c r="I117" i="44"/>
  <c r="J868" i="97"/>
  <c r="AC117" i="44"/>
  <c r="AD868" i="97"/>
  <c r="U886" i="97"/>
  <c r="T116" i="44"/>
  <c r="I122" i="44"/>
  <c r="I151" i="44" s="1"/>
  <c r="J874" i="97"/>
  <c r="R886" i="97"/>
  <c r="Q116" i="44"/>
  <c r="L886" i="97"/>
  <c r="K116" i="44"/>
  <c r="Y116" i="44"/>
  <c r="Z886" i="97"/>
  <c r="L116" i="44"/>
  <c r="M886" i="97"/>
  <c r="Y886" i="97"/>
  <c r="X116" i="44"/>
  <c r="R117" i="44"/>
  <c r="S868" i="97"/>
  <c r="M117" i="44"/>
  <c r="N868" i="97"/>
  <c r="AG116" i="44"/>
  <c r="AH886" i="97"/>
  <c r="W886" i="97"/>
  <c r="V116" i="44"/>
  <c r="O116" i="44"/>
  <c r="P886" i="97"/>
  <c r="AH868" i="97"/>
  <c r="AG117" i="44"/>
  <c r="G116" i="44"/>
  <c r="H886" i="97"/>
  <c r="U116" i="44"/>
  <c r="V886" i="97"/>
  <c r="U868" i="97"/>
  <c r="T117" i="44"/>
  <c r="R868" i="97"/>
  <c r="Q117" i="44"/>
  <c r="AB25" i="98"/>
  <c r="AB80" i="98"/>
  <c r="E117" i="44"/>
  <c r="F868" i="97"/>
  <c r="P117" i="44"/>
  <c r="Q868" i="97"/>
  <c r="AI37" i="97"/>
  <c r="BQ25" i="98"/>
  <c r="W37" i="97"/>
  <c r="BE25" i="98"/>
  <c r="J25" i="98"/>
  <c r="J80" i="98"/>
  <c r="AE886" i="97"/>
  <c r="AD116" i="44"/>
  <c r="T886" i="97"/>
  <c r="S116" i="44"/>
  <c r="P116" i="44"/>
  <c r="Q886" i="97"/>
  <c r="M868" i="97"/>
  <c r="L117" i="44"/>
  <c r="L146" i="44" s="1"/>
  <c r="S886" i="97"/>
  <c r="R116" i="44"/>
  <c r="AF868" i="97"/>
  <c r="AE117" i="44"/>
  <c r="AE146" i="44" s="1"/>
  <c r="AE173" i="44" s="1"/>
  <c r="AD886" i="97"/>
  <c r="AC116" i="44"/>
  <c r="Z874" i="97"/>
  <c r="Y122" i="44"/>
  <c r="Y151" i="44" s="1"/>
  <c r="M18" i="95"/>
  <c r="M43" i="95" s="1"/>
  <c r="U122" i="44"/>
  <c r="U151" i="44" s="1"/>
  <c r="V874" i="97"/>
  <c r="AC886" i="97"/>
  <c r="AB116" i="44"/>
  <c r="I868" i="97"/>
  <c r="H117" i="44"/>
  <c r="AE116" i="44"/>
  <c r="AF886" i="97"/>
  <c r="T868" i="97"/>
  <c r="S117" i="44"/>
  <c r="AB868" i="97"/>
  <c r="AA117" i="44"/>
  <c r="W116" i="44"/>
  <c r="X886" i="97"/>
  <c r="E116" i="44"/>
  <c r="F886" i="97"/>
  <c r="I886" i="97"/>
  <c r="H116" i="44"/>
  <c r="K886" i="97"/>
  <c r="J116" i="44"/>
  <c r="R874" i="97"/>
  <c r="Q122" i="44"/>
  <c r="Q151" i="44" s="1"/>
  <c r="AH874" i="97"/>
  <c r="AG93" i="44"/>
  <c r="AG122" i="44"/>
  <c r="AG151" i="44" s="1"/>
  <c r="AC122" i="44"/>
  <c r="AC151" i="44" s="1"/>
  <c r="AD874" i="97"/>
  <c r="AB886" i="97"/>
  <c r="AA116" i="44"/>
  <c r="K117" i="44"/>
  <c r="K146" i="44" s="1"/>
  <c r="K173" i="44" s="1"/>
  <c r="L868" i="97"/>
  <c r="O117" i="44"/>
  <c r="P868" i="97"/>
  <c r="Y868" i="97"/>
  <c r="X117" i="44"/>
  <c r="AH117" i="44"/>
  <c r="AI868" i="97"/>
  <c r="W117" i="44"/>
  <c r="W146" i="44" s="1"/>
  <c r="W173" i="44" s="1"/>
  <c r="X868" i="97"/>
  <c r="AA868" i="97"/>
  <c r="Z117" i="44"/>
  <c r="Z146" i="44" s="1"/>
  <c r="Z173" i="44" s="1"/>
  <c r="Z116" i="44"/>
  <c r="AA886" i="97"/>
  <c r="G117" i="44"/>
  <c r="H868" i="97"/>
  <c r="N117" i="44"/>
  <c r="O868" i="97"/>
  <c r="AD117" i="44"/>
  <c r="AE868" i="97"/>
  <c r="N116" i="44"/>
  <c r="O886" i="97"/>
  <c r="U117" i="44"/>
  <c r="V868" i="97"/>
  <c r="I116" i="44"/>
  <c r="J886" i="97"/>
  <c r="AB117" i="44"/>
  <c r="AB146" i="44" s="1"/>
  <c r="AB173" i="44" s="1"/>
  <c r="AC868" i="97"/>
  <c r="K868" i="97"/>
  <c r="J117" i="44"/>
  <c r="AJ16" i="90"/>
  <c r="AB16" i="90"/>
  <c r="F28" i="16"/>
  <c r="AB102" i="13"/>
  <c r="AI16" i="79"/>
  <c r="AP16" i="79" s="1"/>
  <c r="AB103" i="13"/>
  <c r="AI16" i="53"/>
  <c r="AJ16" i="53" s="1"/>
  <c r="AI16" i="77"/>
  <c r="AH21" i="5"/>
  <c r="AI25" i="5"/>
  <c r="AI24" i="5"/>
  <c r="AP16" i="58"/>
  <c r="AQ16" i="58" s="1"/>
  <c r="V101" i="13"/>
  <c r="AE37" i="97"/>
  <c r="BL25" i="71"/>
  <c r="AB123" i="10"/>
  <c r="AI32" i="89"/>
  <c r="D28" i="16"/>
  <c r="V102" i="13"/>
  <c r="W28" i="16"/>
  <c r="H873" i="97"/>
  <c r="G205" i="44"/>
  <c r="G178" i="44"/>
  <c r="AI15" i="41"/>
  <c r="H19" i="5"/>
  <c r="H20" i="5" s="1"/>
  <c r="U27" i="100" s="1"/>
  <c r="Z24" i="46"/>
  <c r="AH24" i="46" s="1"/>
  <c r="AO24" i="46" s="1"/>
  <c r="Z24" i="84"/>
  <c r="AH24" i="84" s="1"/>
  <c r="AO24" i="84" s="1"/>
  <c r="Z24" i="87"/>
  <c r="AH24" i="87" s="1"/>
  <c r="AO24" i="87" s="1"/>
  <c r="Z24" i="47"/>
  <c r="AH24" i="47" s="1"/>
  <c r="AO24" i="47" s="1"/>
  <c r="Z24" i="69"/>
  <c r="AH24" i="69" s="1"/>
  <c r="AO24" i="69" s="1"/>
  <c r="Z24" i="81"/>
  <c r="AH24" i="81" s="1"/>
  <c r="AO24" i="81" s="1"/>
  <c r="Z24" i="52"/>
  <c r="AH24" i="52" s="1"/>
  <c r="AO24" i="52" s="1"/>
  <c r="AD15" i="50"/>
  <c r="Z24" i="79"/>
  <c r="AH24" i="79" s="1"/>
  <c r="AO24" i="79" s="1"/>
  <c r="Z24" i="50"/>
  <c r="AH24" i="50" s="1"/>
  <c r="AO24" i="50" s="1"/>
  <c r="Z24" i="55"/>
  <c r="AH24" i="55" s="1"/>
  <c r="AO24" i="55" s="1"/>
  <c r="Z24" i="82"/>
  <c r="AH24" i="82" s="1"/>
  <c r="AO24" i="82" s="1"/>
  <c r="Z24" i="51"/>
  <c r="AH24" i="51" s="1"/>
  <c r="AO24" i="51" s="1"/>
  <c r="Z24" i="90"/>
  <c r="AH24" i="90" s="1"/>
  <c r="AO24" i="90" s="1"/>
  <c r="Z24" i="72"/>
  <c r="AH24" i="72" s="1"/>
  <c r="AO24" i="72" s="1"/>
  <c r="Z24" i="88"/>
  <c r="AH24" i="88" s="1"/>
  <c r="AO24" i="88" s="1"/>
  <c r="AI15" i="58"/>
  <c r="AI15" i="50"/>
  <c r="AI15" i="69"/>
  <c r="Z24" i="49"/>
  <c r="AH24" i="49" s="1"/>
  <c r="AO24" i="49" s="1"/>
  <c r="Z24" i="54"/>
  <c r="AH24" i="54" s="1"/>
  <c r="AO24" i="54" s="1"/>
  <c r="Z24" i="53"/>
  <c r="AH24" i="53" s="1"/>
  <c r="AO24" i="53" s="1"/>
  <c r="Z24" i="73"/>
  <c r="AH24" i="73" s="1"/>
  <c r="AO24" i="73" s="1"/>
  <c r="Z24" i="45"/>
  <c r="AH24" i="45" s="1"/>
  <c r="AO24" i="45" s="1"/>
  <c r="Z24" i="64"/>
  <c r="AH24" i="64" s="1"/>
  <c r="AO24" i="64" s="1"/>
  <c r="Z24" i="56"/>
  <c r="AH24" i="56" s="1"/>
  <c r="AO24" i="56" s="1"/>
  <c r="Z24" i="95"/>
  <c r="AH24" i="95" s="1"/>
  <c r="AO24" i="95" s="1"/>
  <c r="AI15" i="73"/>
  <c r="AI15" i="46"/>
  <c r="Z24" i="77"/>
  <c r="AH24" i="77" s="1"/>
  <c r="AO24" i="77" s="1"/>
  <c r="Z24" i="83"/>
  <c r="AH24" i="83" s="1"/>
  <c r="AO24" i="83" s="1"/>
  <c r="Z24" i="58"/>
  <c r="AH24" i="58" s="1"/>
  <c r="AO24" i="58" s="1"/>
  <c r="Z24" i="41"/>
  <c r="AH24" i="41" s="1"/>
  <c r="AO24" i="41" s="1"/>
  <c r="Z24" i="85"/>
  <c r="AH24" i="85" s="1"/>
  <c r="AO24" i="85" s="1"/>
  <c r="Z24" i="48"/>
  <c r="AH24" i="48" s="1"/>
  <c r="AO24" i="48" s="1"/>
  <c r="AJ9" i="87"/>
  <c r="AK9" i="88"/>
  <c r="AQ9" i="88" s="1"/>
  <c r="AB9" i="83"/>
  <c r="AB9" i="84"/>
  <c r="AJ9" i="88"/>
  <c r="AE98" i="13"/>
  <c r="AE102" i="13" s="1"/>
  <c r="AB9" i="82"/>
  <c r="AB9" i="85"/>
  <c r="AK9" i="85"/>
  <c r="AQ9" i="85" s="1"/>
  <c r="H158" i="10"/>
  <c r="M158" i="10"/>
  <c r="Z28" i="16"/>
  <c r="N28" i="16"/>
  <c r="AJ16" i="84"/>
  <c r="AB9" i="81"/>
  <c r="AD9" i="81"/>
  <c r="AK9" i="81" s="1"/>
  <c r="AJ9" i="96"/>
  <c r="AB9" i="95"/>
  <c r="AB9" i="96"/>
  <c r="W103" i="13"/>
  <c r="W102" i="13"/>
  <c r="B11" i="2"/>
  <c r="AF93" i="44"/>
  <c r="AF121" i="44"/>
  <c r="Q93" i="44"/>
  <c r="Q121" i="44"/>
  <c r="R178" i="44"/>
  <c r="O28" i="16"/>
  <c r="AB93" i="44"/>
  <c r="AB121" i="44"/>
  <c r="Z178" i="44"/>
  <c r="AA873" i="97"/>
  <c r="Z205" i="44"/>
  <c r="M18" i="79"/>
  <c r="M43" i="79" s="1"/>
  <c r="S8" i="87"/>
  <c r="AE615" i="97" s="1"/>
  <c r="T16" i="87"/>
  <c r="AA16" i="87"/>
  <c r="M18" i="53"/>
  <c r="M43" i="53" s="1"/>
  <c r="L113" i="13"/>
  <c r="L114" i="13" s="1"/>
  <c r="M18" i="90"/>
  <c r="M43" i="90" s="1"/>
  <c r="Y93" i="44"/>
  <c r="Y121" i="44"/>
  <c r="M18" i="84"/>
  <c r="M43" i="84" s="1"/>
  <c r="AA16" i="82"/>
  <c r="S8" i="82"/>
  <c r="AA615" i="97" s="1"/>
  <c r="T16" i="82"/>
  <c r="M18" i="55"/>
  <c r="M43" i="55" s="1"/>
  <c r="H121" i="44"/>
  <c r="H93" i="44"/>
  <c r="Q873" i="97"/>
  <c r="P205" i="44"/>
  <c r="M18" i="56"/>
  <c r="M43" i="56" s="1"/>
  <c r="M18" i="72"/>
  <c r="M43" i="72" s="1"/>
  <c r="X93" i="44"/>
  <c r="X121" i="44"/>
  <c r="P93" i="44"/>
  <c r="P121" i="44"/>
  <c r="AD28" i="16"/>
  <c r="M37" i="97"/>
  <c r="J26" i="59"/>
  <c r="Q32" i="89"/>
  <c r="J123" i="10"/>
  <c r="AT25" i="71"/>
  <c r="P158" i="10"/>
  <c r="Q158" i="10"/>
  <c r="Q37" i="97"/>
  <c r="AX25" i="71"/>
  <c r="U32" i="89"/>
  <c r="N123" i="10"/>
  <c r="N26" i="59"/>
  <c r="AC37" i="97"/>
  <c r="BJ25" i="71"/>
  <c r="Z123" i="10"/>
  <c r="AG32" i="89"/>
  <c r="V158" i="10"/>
  <c r="AA98" i="13"/>
  <c r="AA102" i="13" s="1"/>
  <c r="G103" i="13"/>
  <c r="C102" i="13"/>
  <c r="Y113" i="13"/>
  <c r="Y114" i="13" s="1"/>
  <c r="D123" i="10"/>
  <c r="AJ9" i="95"/>
  <c r="AK9" i="95"/>
  <c r="AQ16" i="41"/>
  <c r="X113" i="13"/>
  <c r="X114" i="13" s="1"/>
  <c r="I158" i="10"/>
  <c r="T123" i="10"/>
  <c r="BD25" i="71"/>
  <c r="AA32" i="89"/>
  <c r="AD158" i="10"/>
  <c r="E158" i="10"/>
  <c r="AC158" i="10"/>
  <c r="R158" i="10"/>
  <c r="L158" i="10"/>
  <c r="E113" i="13"/>
  <c r="E114" i="13" s="1"/>
  <c r="AJ16" i="49"/>
  <c r="AP16" i="49"/>
  <c r="AJ16" i="51"/>
  <c r="AP16" i="51"/>
  <c r="AP16" i="47"/>
  <c r="AJ16" i="47"/>
  <c r="AP16" i="88"/>
  <c r="AQ16" i="88" s="1"/>
  <c r="AJ16" i="88"/>
  <c r="AQ16" i="84"/>
  <c r="T104" i="13"/>
  <c r="AQ16" i="69"/>
  <c r="AF95" i="13"/>
  <c r="T88" i="13"/>
  <c r="P102" i="13"/>
  <c r="P103" i="13"/>
  <c r="AK9" i="82"/>
  <c r="AJ9" i="82"/>
  <c r="K102" i="13"/>
  <c r="K103" i="13"/>
  <c r="AK9" i="84"/>
  <c r="AJ9" i="84"/>
  <c r="Z103" i="13"/>
  <c r="Z102" i="13"/>
  <c r="AJ9" i="83"/>
  <c r="AK9" i="83"/>
  <c r="AJ9" i="77"/>
  <c r="AK9" i="77"/>
  <c r="AA158" i="10"/>
  <c r="O102" i="13"/>
  <c r="AA16" i="81"/>
  <c r="S8" i="81"/>
  <c r="T16" i="81"/>
  <c r="AA93" i="44"/>
  <c r="AA121" i="44"/>
  <c r="C101" i="13"/>
  <c r="AO42" i="56"/>
  <c r="AQ42" i="56" s="1"/>
  <c r="AJ42" i="56"/>
  <c r="O79" i="10" s="1"/>
  <c r="O29" i="10" s="1"/>
  <c r="T28" i="16"/>
  <c r="W158" i="10"/>
  <c r="Y102" i="13"/>
  <c r="AB28" i="16"/>
  <c r="AP16" i="55"/>
  <c r="AJ16" i="55"/>
  <c r="S121" i="44"/>
  <c r="S93" i="44"/>
  <c r="AC101" i="13"/>
  <c r="Z93" i="44"/>
  <c r="Z121" i="44"/>
  <c r="J101" i="13"/>
  <c r="J103" i="13"/>
  <c r="AQ9" i="96"/>
  <c r="Q28" i="16"/>
  <c r="F121" i="44"/>
  <c r="F93" i="44"/>
  <c r="AJ16" i="96"/>
  <c r="AP16" i="96"/>
  <c r="AQ16" i="96" s="1"/>
  <c r="J121" i="44"/>
  <c r="J93" i="44"/>
  <c r="AE158" i="10"/>
  <c r="AA16" i="85"/>
  <c r="T16" i="85"/>
  <c r="S8" i="85"/>
  <c r="AD615" i="97" s="1"/>
  <c r="T16" i="95"/>
  <c r="AA16" i="95"/>
  <c r="S8" i="95"/>
  <c r="V121" i="44"/>
  <c r="V93" i="44"/>
  <c r="AD93" i="44"/>
  <c r="AD121" i="44"/>
  <c r="U103" i="13"/>
  <c r="U102" i="13"/>
  <c r="Y101" i="13"/>
  <c r="AC102" i="13"/>
  <c r="AJ42" i="48"/>
  <c r="K79" i="10" s="1"/>
  <c r="K29" i="10" s="1"/>
  <c r="AO42" i="48"/>
  <c r="AQ42" i="48" s="1"/>
  <c r="T16" i="48"/>
  <c r="AA16" i="48"/>
  <c r="S8" i="48"/>
  <c r="N615" i="97" s="1"/>
  <c r="G102" i="13"/>
  <c r="G93" i="44"/>
  <c r="G121" i="44"/>
  <c r="S8" i="56"/>
  <c r="R615" i="97" s="1"/>
  <c r="AA16" i="56"/>
  <c r="T16" i="56"/>
  <c r="E28" i="16"/>
  <c r="I102" i="13"/>
  <c r="I103" i="13"/>
  <c r="L28" i="16"/>
  <c r="AQ16" i="90"/>
  <c r="G158" i="10"/>
  <c r="O103" i="13"/>
  <c r="X103" i="13"/>
  <c r="X102" i="13"/>
  <c r="E103" i="13"/>
  <c r="E102" i="13"/>
  <c r="S8" i="72"/>
  <c r="V615" i="97" s="1"/>
  <c r="T16" i="72"/>
  <c r="AA16" i="72"/>
  <c r="AM32" i="89"/>
  <c r="AF123" i="10"/>
  <c r="Q103" i="13"/>
  <c r="Q102" i="13"/>
  <c r="AO42" i="41"/>
  <c r="AQ42" i="41" s="1"/>
  <c r="AJ42" i="41"/>
  <c r="C79" i="10" s="1"/>
  <c r="C29" i="10" s="1"/>
  <c r="X158" i="10"/>
  <c r="M103" i="13"/>
  <c r="M102" i="13"/>
  <c r="S158" i="10"/>
  <c r="AB16" i="54"/>
  <c r="AI16" i="54"/>
  <c r="I101" i="13"/>
  <c r="O121" i="44"/>
  <c r="O93" i="44"/>
  <c r="H28" i="16"/>
  <c r="M121" i="44" l="1"/>
  <c r="M93" i="44"/>
  <c r="I28" i="16"/>
  <c r="BI25" i="70"/>
  <c r="BH25" i="70"/>
  <c r="BJ25" i="70"/>
  <c r="BB25" i="70"/>
  <c r="BF25" i="70"/>
  <c r="BK25" i="70"/>
  <c r="K32" i="89"/>
  <c r="AO25" i="98"/>
  <c r="D80" i="98" s="1"/>
  <c r="G37" i="97"/>
  <c r="D26" i="59"/>
  <c r="X81" i="104"/>
  <c r="X26" i="104"/>
  <c r="P81" i="104"/>
  <c r="P26" i="104"/>
  <c r="AD32" i="103"/>
  <c r="AW25" i="104"/>
  <c r="W81" i="104"/>
  <c r="W26" i="104"/>
  <c r="V81" i="104"/>
  <c r="V26" i="104"/>
  <c r="E81" i="71"/>
  <c r="E26" i="71"/>
  <c r="AA81" i="104"/>
  <c r="AA26" i="104"/>
  <c r="S81" i="71"/>
  <c r="S26" i="71"/>
  <c r="W81" i="71"/>
  <c r="W26" i="71"/>
  <c r="F28" i="10"/>
  <c r="AQ25" i="104" s="1"/>
  <c r="AQ26" i="104"/>
  <c r="AQ26" i="98"/>
  <c r="AP26" i="71"/>
  <c r="AC81" i="104"/>
  <c r="AC26" i="104"/>
  <c r="M81" i="71"/>
  <c r="M26" i="71"/>
  <c r="AD81" i="71"/>
  <c r="AD26" i="71"/>
  <c r="N80" i="104"/>
  <c r="N25" i="104"/>
  <c r="AU32" i="103"/>
  <c r="BN25" i="104"/>
  <c r="AO32" i="103"/>
  <c r="BH25" i="104"/>
  <c r="AN32" i="103"/>
  <c r="BG25" i="104"/>
  <c r="M81" i="98"/>
  <c r="M26" i="98"/>
  <c r="E81" i="98"/>
  <c r="E26" i="98"/>
  <c r="AS32" i="103"/>
  <c r="BL25" i="104"/>
  <c r="S81" i="98"/>
  <c r="S26" i="98"/>
  <c r="R26" i="98"/>
  <c r="R81" i="98"/>
  <c r="AP32" i="103"/>
  <c r="BI25" i="104"/>
  <c r="AF80" i="104"/>
  <c r="AF25" i="104"/>
  <c r="U28" i="10"/>
  <c r="BF26" i="104"/>
  <c r="BF26" i="98"/>
  <c r="BE26" i="71"/>
  <c r="AD81" i="98"/>
  <c r="AD26" i="98"/>
  <c r="AE81" i="71"/>
  <c r="AE26" i="71"/>
  <c r="Z25" i="104"/>
  <c r="Z80" i="104"/>
  <c r="Q26" i="71"/>
  <c r="Q81" i="71"/>
  <c r="G81" i="71"/>
  <c r="G26" i="71"/>
  <c r="M81" i="104"/>
  <c r="M26" i="104"/>
  <c r="E81" i="104"/>
  <c r="E26" i="104"/>
  <c r="D81" i="71"/>
  <c r="D26" i="71"/>
  <c r="T80" i="104"/>
  <c r="T25" i="104"/>
  <c r="I26" i="98"/>
  <c r="I81" i="98"/>
  <c r="S26" i="104"/>
  <c r="S81" i="104"/>
  <c r="L81" i="104"/>
  <c r="L26" i="104"/>
  <c r="R26" i="104"/>
  <c r="R81" i="104"/>
  <c r="V81" i="98"/>
  <c r="V26" i="98"/>
  <c r="Z32" i="103"/>
  <c r="AS25" i="104"/>
  <c r="AH32" i="103"/>
  <c r="BA25" i="104"/>
  <c r="C28" i="10"/>
  <c r="AN26" i="104"/>
  <c r="AN26" i="98"/>
  <c r="AM26" i="71"/>
  <c r="BT26" i="104"/>
  <c r="BT26" i="98"/>
  <c r="AD81" i="104"/>
  <c r="AD26" i="104"/>
  <c r="AG81" i="71"/>
  <c r="AG26" i="71"/>
  <c r="AE26" i="98"/>
  <c r="AE81" i="98"/>
  <c r="Q26" i="98"/>
  <c r="Q81" i="98"/>
  <c r="G81" i="98"/>
  <c r="G26" i="98"/>
  <c r="AE32" i="103"/>
  <c r="AX25" i="104"/>
  <c r="W32" i="103"/>
  <c r="AP25" i="104"/>
  <c r="D81" i="98"/>
  <c r="D26" i="98"/>
  <c r="I81" i="71"/>
  <c r="I26" i="71"/>
  <c r="AK32" i="103"/>
  <c r="BD25" i="104"/>
  <c r="L81" i="98"/>
  <c r="L26" i="98"/>
  <c r="AC81" i="71"/>
  <c r="AC26" i="71"/>
  <c r="V81" i="71"/>
  <c r="V26" i="71"/>
  <c r="AA81" i="71"/>
  <c r="AA26" i="71"/>
  <c r="W81" i="98"/>
  <c r="W26" i="98"/>
  <c r="AJ32" i="103"/>
  <c r="BC25" i="104"/>
  <c r="O28" i="10"/>
  <c r="AZ26" i="104"/>
  <c r="AZ26" i="98"/>
  <c r="AY26" i="71"/>
  <c r="AY32" i="103"/>
  <c r="BR25" i="104"/>
  <c r="AK29" i="10"/>
  <c r="BS26" i="104"/>
  <c r="BS26" i="98"/>
  <c r="BR26" i="71"/>
  <c r="AV32" i="103"/>
  <c r="BO25" i="104"/>
  <c r="AG81" i="98"/>
  <c r="AG26" i="98"/>
  <c r="AE26" i="104"/>
  <c r="AE81" i="104"/>
  <c r="Q81" i="104"/>
  <c r="Q26" i="104"/>
  <c r="G81" i="104"/>
  <c r="G26" i="104"/>
  <c r="H81" i="98"/>
  <c r="H26" i="98"/>
  <c r="J80" i="104"/>
  <c r="J25" i="104"/>
  <c r="P81" i="71"/>
  <c r="P26" i="71"/>
  <c r="X81" i="98"/>
  <c r="X26" i="98"/>
  <c r="D81" i="104"/>
  <c r="D26" i="104"/>
  <c r="I81" i="104"/>
  <c r="I26" i="104"/>
  <c r="H81" i="104"/>
  <c r="H26" i="104"/>
  <c r="K28" i="10"/>
  <c r="AV26" i="104"/>
  <c r="AV26" i="98"/>
  <c r="AU26" i="71"/>
  <c r="AC81" i="98"/>
  <c r="AC26" i="98"/>
  <c r="AA81" i="98"/>
  <c r="AA26" i="98"/>
  <c r="BA25" i="98"/>
  <c r="P80" i="98" s="1"/>
  <c r="AS25" i="98"/>
  <c r="Y28" i="10"/>
  <c r="AF32" i="89" s="1"/>
  <c r="BJ26" i="104"/>
  <c r="BJ26" i="98"/>
  <c r="BI26" i="71"/>
  <c r="AB80" i="104"/>
  <c r="AB25" i="104"/>
  <c r="L81" i="71"/>
  <c r="L26" i="71"/>
  <c r="R81" i="71"/>
  <c r="R26" i="71"/>
  <c r="AG81" i="104"/>
  <c r="AG26" i="104"/>
  <c r="AW32" i="103"/>
  <c r="BP25" i="104"/>
  <c r="AI32" i="103"/>
  <c r="BB25" i="104"/>
  <c r="Y32" i="103"/>
  <c r="AR25" i="104"/>
  <c r="H81" i="71"/>
  <c r="H26" i="71"/>
  <c r="P81" i="98"/>
  <c r="P26" i="98"/>
  <c r="X26" i="71"/>
  <c r="X81" i="71"/>
  <c r="V32" i="103"/>
  <c r="AO25" i="104"/>
  <c r="AA32" i="103"/>
  <c r="AT25" i="104"/>
  <c r="AB9" i="90"/>
  <c r="AQ25" i="98"/>
  <c r="F80" i="98" s="1"/>
  <c r="X32" i="103"/>
  <c r="AK9" i="90"/>
  <c r="AQ9" i="90" s="1"/>
  <c r="AA23" i="90"/>
  <c r="AI23" i="90" s="1"/>
  <c r="AP23" i="90" s="1"/>
  <c r="AG489" i="97"/>
  <c r="W89" i="13"/>
  <c r="AJ9" i="13"/>
  <c r="W88" i="13"/>
  <c r="AJ8" i="13"/>
  <c r="AI28" i="10"/>
  <c r="AL29" i="10"/>
  <c r="AJ29" i="10"/>
  <c r="AH28" i="10"/>
  <c r="AK37" i="97" s="1"/>
  <c r="AH95" i="13"/>
  <c r="AH96" i="13"/>
  <c r="AD8" i="101"/>
  <c r="AI59" i="10" s="1"/>
  <c r="AK9" i="101"/>
  <c r="AJ9" i="101"/>
  <c r="AJ146" i="44"/>
  <c r="Z27" i="100"/>
  <c r="AH27" i="100" s="1"/>
  <c r="AO27" i="100" s="1"/>
  <c r="V27" i="100"/>
  <c r="AD27" i="100" s="1"/>
  <c r="AK27" i="100" s="1"/>
  <c r="AK489" i="97"/>
  <c r="AH615" i="97"/>
  <c r="AA23" i="95"/>
  <c r="AI23" i="95" s="1"/>
  <c r="BT25" i="70"/>
  <c r="W121" i="44"/>
  <c r="W120" i="44" s="1"/>
  <c r="BL25" i="70"/>
  <c r="CB25" i="70"/>
  <c r="S28" i="16"/>
  <c r="AH93" i="44"/>
  <c r="I93" i="44"/>
  <c r="AE121" i="44"/>
  <c r="AE120" i="44" s="1"/>
  <c r="W93" i="44"/>
  <c r="L121" i="44"/>
  <c r="L120" i="44" s="1"/>
  <c r="E93" i="44"/>
  <c r="U93" i="44"/>
  <c r="AP16" i="83"/>
  <c r="AQ16" i="83" s="1"/>
  <c r="M25" i="16"/>
  <c r="AI16" i="45"/>
  <c r="AP16" i="45" s="1"/>
  <c r="AQ16" i="45" s="1"/>
  <c r="AP16" i="64"/>
  <c r="AQ16" i="64" s="1"/>
  <c r="U121" i="44"/>
  <c r="U120" i="44" s="1"/>
  <c r="F123" i="10"/>
  <c r="O118" i="33" s="1"/>
  <c r="AE93" i="44"/>
  <c r="C28" i="16"/>
  <c r="O873" i="97"/>
  <c r="N178" i="44"/>
  <c r="BX25" i="70"/>
  <c r="J28" i="16"/>
  <c r="G28" i="16"/>
  <c r="L93" i="44"/>
  <c r="E121" i="44"/>
  <c r="E120" i="44" s="1"/>
  <c r="F178" i="44"/>
  <c r="G873" i="97"/>
  <c r="Y25" i="16"/>
  <c r="X25" i="16"/>
  <c r="AA23" i="69"/>
  <c r="AI23" i="69" s="1"/>
  <c r="AP23" i="69" s="1"/>
  <c r="AJ9" i="99"/>
  <c r="D104" i="13"/>
  <c r="BQ25" i="71"/>
  <c r="F26" i="59"/>
  <c r="M32" i="89"/>
  <c r="AP25" i="71"/>
  <c r="F25" i="71" s="1"/>
  <c r="I37" i="97"/>
  <c r="AJ28" i="32"/>
  <c r="AJ54" i="32" s="1"/>
  <c r="AG96" i="13"/>
  <c r="V89" i="13"/>
  <c r="V88" i="13"/>
  <c r="AG95" i="13"/>
  <c r="AA28" i="16"/>
  <c r="I121" i="44"/>
  <c r="I120" i="44" s="1"/>
  <c r="AJ867" i="97"/>
  <c r="AI200" i="44"/>
  <c r="H21" i="5"/>
  <c r="U27" i="99"/>
  <c r="AD9" i="100"/>
  <c r="AB9" i="100"/>
  <c r="AG123" i="10"/>
  <c r="AP118" i="33" s="1"/>
  <c r="BR25" i="98"/>
  <c r="AJ37" i="97"/>
  <c r="AN32" i="89"/>
  <c r="AI173" i="44"/>
  <c r="AJ16" i="99"/>
  <c r="AP16" i="99"/>
  <c r="S23" i="48"/>
  <c r="AA23" i="48" s="1"/>
  <c r="AI23" i="48" s="1"/>
  <c r="S23" i="82"/>
  <c r="AA23" i="82" s="1"/>
  <c r="AI23" i="82" s="1"/>
  <c r="AP23" i="82" s="1"/>
  <c r="S23" i="41"/>
  <c r="K28" i="16"/>
  <c r="S23" i="88"/>
  <c r="AA23" i="88" s="1"/>
  <c r="AI23" i="88" s="1"/>
  <c r="AP23" i="88" s="1"/>
  <c r="S23" i="77"/>
  <c r="AA23" i="77" s="1"/>
  <c r="AI23" i="77" s="1"/>
  <c r="AP23" i="77" s="1"/>
  <c r="S23" i="50"/>
  <c r="AA23" i="50" s="1"/>
  <c r="AI23" i="50" s="1"/>
  <c r="AP23" i="50" s="1"/>
  <c r="AH121" i="44"/>
  <c r="AH120" i="44" s="1"/>
  <c r="AP16" i="100"/>
  <c r="AJ16" i="100"/>
  <c r="H25" i="100"/>
  <c r="S25" i="100" s="1"/>
  <c r="B35" i="20"/>
  <c r="H25" i="58"/>
  <c r="S25" i="58" s="1"/>
  <c r="H25" i="54"/>
  <c r="S25" i="54" s="1"/>
  <c r="H25" i="64"/>
  <c r="S25" i="64" s="1"/>
  <c r="H25" i="47"/>
  <c r="S25" i="47" s="1"/>
  <c r="H25" i="46"/>
  <c r="S25" i="46" s="1"/>
  <c r="H25" i="82"/>
  <c r="S25" i="82" s="1"/>
  <c r="H25" i="77"/>
  <c r="S25" i="77" s="1"/>
  <c r="H25" i="96"/>
  <c r="S25" i="96" s="1"/>
  <c r="H25" i="72"/>
  <c r="S25" i="72" s="1"/>
  <c r="H25" i="45"/>
  <c r="S25" i="45" s="1"/>
  <c r="H25" i="51"/>
  <c r="S25" i="51" s="1"/>
  <c r="H25" i="50"/>
  <c r="S25" i="50" s="1"/>
  <c r="H25" i="88"/>
  <c r="S25" i="88" s="1"/>
  <c r="H25" i="87"/>
  <c r="S25" i="87" s="1"/>
  <c r="H25" i="73"/>
  <c r="S25" i="73" s="1"/>
  <c r="H25" i="83"/>
  <c r="S25" i="83" s="1"/>
  <c r="H25" i="81"/>
  <c r="S25" i="81" s="1"/>
  <c r="H25" i="52"/>
  <c r="S25" i="52" s="1"/>
  <c r="H25" i="79"/>
  <c r="S25" i="79" s="1"/>
  <c r="H25" i="53"/>
  <c r="S25" i="53" s="1"/>
  <c r="H25" i="48"/>
  <c r="S25" i="48" s="1"/>
  <c r="H25" i="95"/>
  <c r="S25" i="95" s="1"/>
  <c r="H25" i="90"/>
  <c r="S25" i="90" s="1"/>
  <c r="H25" i="84"/>
  <c r="S25" i="84" s="1"/>
  <c r="H25" i="49"/>
  <c r="S25" i="49" s="1"/>
  <c r="H25" i="55"/>
  <c r="S25" i="55" s="1"/>
  <c r="H25" i="69"/>
  <c r="S25" i="69" s="1"/>
  <c r="H25" i="41"/>
  <c r="H25" i="56"/>
  <c r="S25" i="56" s="1"/>
  <c r="H25" i="85"/>
  <c r="S25" i="85" s="1"/>
  <c r="S23" i="58"/>
  <c r="AA23" i="58" s="1"/>
  <c r="AI23" i="58" s="1"/>
  <c r="AP23" i="58" s="1"/>
  <c r="S23" i="99"/>
  <c r="S23" i="52"/>
  <c r="AA23" i="52" s="1"/>
  <c r="AI23" i="52" s="1"/>
  <c r="S23" i="47"/>
  <c r="AA23" i="47" s="1"/>
  <c r="AI23" i="47" s="1"/>
  <c r="AP23" i="47" s="1"/>
  <c r="S23" i="100"/>
  <c r="S23" i="56"/>
  <c r="AA23" i="56" s="1"/>
  <c r="AI23" i="56" s="1"/>
  <c r="S23" i="73"/>
  <c r="AA23" i="73" s="1"/>
  <c r="AI23" i="73" s="1"/>
  <c r="AP23" i="73" s="1"/>
  <c r="S23" i="79"/>
  <c r="AA23" i="79" s="1"/>
  <c r="AI23" i="79" s="1"/>
  <c r="AP23" i="79" s="1"/>
  <c r="AI16" i="52"/>
  <c r="AP16" i="52" s="1"/>
  <c r="AQ9" i="99"/>
  <c r="L104" i="13"/>
  <c r="N93" i="44"/>
  <c r="AC121" i="44"/>
  <c r="AC120" i="44" s="1"/>
  <c r="T93" i="44"/>
  <c r="N121" i="44"/>
  <c r="N120" i="44" s="1"/>
  <c r="T121" i="44"/>
  <c r="T120" i="44" s="1"/>
  <c r="K121" i="44"/>
  <c r="K120" i="44" s="1"/>
  <c r="R121" i="44"/>
  <c r="R120" i="44" s="1"/>
  <c r="AE25" i="16"/>
  <c r="R104" i="13"/>
  <c r="X37" i="97"/>
  <c r="AC93" i="44"/>
  <c r="AI118" i="33"/>
  <c r="R93" i="44"/>
  <c r="AK118" i="33"/>
  <c r="M118" i="33"/>
  <c r="S118" i="33"/>
  <c r="H104" i="13"/>
  <c r="X28" i="32"/>
  <c r="X54" i="32" s="1"/>
  <c r="AB32" i="89"/>
  <c r="BE25" i="71"/>
  <c r="U25" i="71" s="1"/>
  <c r="U123" i="10"/>
  <c r="AE107" i="32" s="1"/>
  <c r="AF107" i="32" s="1"/>
  <c r="K93" i="44"/>
  <c r="N104" i="13"/>
  <c r="AF80" i="71"/>
  <c r="AF25" i="71"/>
  <c r="AD102" i="13"/>
  <c r="AC25" i="16"/>
  <c r="P25" i="16"/>
  <c r="F25" i="16"/>
  <c r="V25" i="16"/>
  <c r="U25" i="16"/>
  <c r="AD103" i="13"/>
  <c r="S102" i="13"/>
  <c r="AA867" i="97"/>
  <c r="Z200" i="44"/>
  <c r="F104" i="13"/>
  <c r="AC867" i="97"/>
  <c r="M18" i="85"/>
  <c r="M43" i="85" s="1"/>
  <c r="S103" i="13"/>
  <c r="BO25" i="70"/>
  <c r="M18" i="69"/>
  <c r="M43" i="69" s="1"/>
  <c r="AH178" i="44"/>
  <c r="AI873" i="97"/>
  <c r="AH205" i="44"/>
  <c r="R28" i="16"/>
  <c r="AF28" i="16"/>
  <c r="AP16" i="77"/>
  <c r="AQ16" i="77" s="1"/>
  <c r="X867" i="97"/>
  <c r="W200" i="44"/>
  <c r="AP16" i="53"/>
  <c r="AQ16" i="53" s="1"/>
  <c r="AE200" i="44"/>
  <c r="K200" i="44"/>
  <c r="AF867" i="97"/>
  <c r="L867" i="97"/>
  <c r="AH37" i="97"/>
  <c r="BP25" i="98"/>
  <c r="AD37" i="97"/>
  <c r="BL25" i="98"/>
  <c r="AG37" i="97"/>
  <c r="BO25" i="98"/>
  <c r="V25" i="98"/>
  <c r="V80" i="98"/>
  <c r="AD25" i="16"/>
  <c r="O25" i="16"/>
  <c r="N25" i="16"/>
  <c r="AH146" i="44"/>
  <c r="X146" i="44"/>
  <c r="X173" i="44" s="1"/>
  <c r="O146" i="44"/>
  <c r="O173" i="44" s="1"/>
  <c r="AA146" i="44"/>
  <c r="AF25" i="98"/>
  <c r="AF80" i="98"/>
  <c r="P146" i="44"/>
  <c r="P173" i="44" s="1"/>
  <c r="E146" i="44"/>
  <c r="E173" i="44" s="1"/>
  <c r="I146" i="44"/>
  <c r="I173" i="44" s="1"/>
  <c r="M178" i="44"/>
  <c r="F146" i="44"/>
  <c r="F173" i="44" s="1"/>
  <c r="U37" i="97"/>
  <c r="BC25" i="98"/>
  <c r="H37" i="97"/>
  <c r="AP25" i="98"/>
  <c r="Z25" i="16"/>
  <c r="H80" i="98"/>
  <c r="H25" i="98"/>
  <c r="G146" i="44"/>
  <c r="G173" i="44" s="1"/>
  <c r="AC178" i="44"/>
  <c r="Y178" i="44"/>
  <c r="AG146" i="44"/>
  <c r="AG173" i="44" s="1"/>
  <c r="R146" i="44"/>
  <c r="Z37" i="97"/>
  <c r="BH25" i="98"/>
  <c r="J146" i="44"/>
  <c r="J173" i="44" s="1"/>
  <c r="U146" i="44"/>
  <c r="U173" i="44" s="1"/>
  <c r="N146" i="44"/>
  <c r="N173" i="44" s="1"/>
  <c r="U178" i="44"/>
  <c r="T25" i="98"/>
  <c r="T80" i="98"/>
  <c r="Q146" i="44"/>
  <c r="Q173" i="44" s="1"/>
  <c r="T146" i="44"/>
  <c r="T173" i="44" s="1"/>
  <c r="M146" i="44"/>
  <c r="M173" i="44" s="1"/>
  <c r="V146" i="44"/>
  <c r="L37" i="97"/>
  <c r="AT25" i="98"/>
  <c r="V37" i="97"/>
  <c r="BD25" i="98"/>
  <c r="AA37" i="97"/>
  <c r="BI25" i="98"/>
  <c r="J37" i="97"/>
  <c r="AR25" i="98"/>
  <c r="O37" i="97"/>
  <c r="AW25" i="98"/>
  <c r="AF37" i="97"/>
  <c r="BN25" i="98"/>
  <c r="AB200" i="44"/>
  <c r="Q80" i="98"/>
  <c r="Q25" i="98"/>
  <c r="Q28" i="32"/>
  <c r="Q54" i="32" s="1"/>
  <c r="AX25" i="98"/>
  <c r="W25" i="16"/>
  <c r="AD146" i="44"/>
  <c r="AG120" i="44"/>
  <c r="Q178" i="44"/>
  <c r="S146" i="44"/>
  <c r="S173" i="44" s="1"/>
  <c r="H146" i="44"/>
  <c r="L173" i="44"/>
  <c r="M867" i="97"/>
  <c r="L200" i="44"/>
  <c r="AC146" i="44"/>
  <c r="AC173" i="44" s="1"/>
  <c r="Y146" i="44"/>
  <c r="Y173" i="44" s="1"/>
  <c r="AB104" i="13"/>
  <c r="AJ16" i="79"/>
  <c r="D25" i="16"/>
  <c r="AJ16" i="77"/>
  <c r="V104" i="13"/>
  <c r="AI21" i="5"/>
  <c r="AJ24" i="5"/>
  <c r="AJ25" i="5"/>
  <c r="AI28" i="32"/>
  <c r="AI54" i="32" s="1"/>
  <c r="AE101" i="13"/>
  <c r="AE103" i="13"/>
  <c r="AB80" i="71"/>
  <c r="AB25" i="71"/>
  <c r="AK15" i="50"/>
  <c r="AP15" i="69"/>
  <c r="AP15" i="73"/>
  <c r="AP15" i="58"/>
  <c r="U27" i="96"/>
  <c r="U27" i="85"/>
  <c r="U27" i="50"/>
  <c r="U27" i="72"/>
  <c r="U27" i="88"/>
  <c r="U27" i="73"/>
  <c r="U27" i="83"/>
  <c r="U27" i="77"/>
  <c r="U27" i="54"/>
  <c r="U27" i="52"/>
  <c r="U27" i="95"/>
  <c r="U27" i="58"/>
  <c r="U27" i="49"/>
  <c r="U27" i="48"/>
  <c r="U27" i="82"/>
  <c r="U27" i="79"/>
  <c r="U27" i="51"/>
  <c r="U27" i="90"/>
  <c r="U27" i="84"/>
  <c r="U27" i="53"/>
  <c r="U27" i="45"/>
  <c r="U27" i="46"/>
  <c r="U27" i="55"/>
  <c r="U27" i="81"/>
  <c r="U27" i="64"/>
  <c r="U27" i="56"/>
  <c r="U27" i="47"/>
  <c r="U27" i="41"/>
  <c r="U27" i="87"/>
  <c r="U27" i="69"/>
  <c r="AP15" i="41"/>
  <c r="AP15" i="46"/>
  <c r="AP15" i="50"/>
  <c r="P37" i="97"/>
  <c r="M123" i="10"/>
  <c r="AW25" i="71"/>
  <c r="M26" i="59"/>
  <c r="T32" i="89"/>
  <c r="K37" i="97"/>
  <c r="AR25" i="71"/>
  <c r="H26" i="59"/>
  <c r="H123" i="10"/>
  <c r="O32" i="89"/>
  <c r="W104" i="13"/>
  <c r="AJ9" i="81"/>
  <c r="AQ9" i="81"/>
  <c r="G104" i="13"/>
  <c r="B12" i="2"/>
  <c r="B13" i="2" s="1"/>
  <c r="AI16" i="82"/>
  <c r="AB16" i="82"/>
  <c r="AB120" i="44"/>
  <c r="P120" i="44"/>
  <c r="X120" i="44"/>
  <c r="M120" i="44"/>
  <c r="Q120" i="44"/>
  <c r="H120" i="44"/>
  <c r="AI16" i="87"/>
  <c r="AB16" i="87"/>
  <c r="R205" i="44"/>
  <c r="S873" i="97"/>
  <c r="Y120" i="44"/>
  <c r="AF120" i="44"/>
  <c r="AA101" i="13"/>
  <c r="Y37" i="97"/>
  <c r="BF25" i="71"/>
  <c r="V123" i="10"/>
  <c r="AC32" i="89"/>
  <c r="Y28" i="32"/>
  <c r="Y54" i="32" s="1"/>
  <c r="Z80" i="71"/>
  <c r="Z25" i="71"/>
  <c r="T37" i="97"/>
  <c r="Q26" i="59"/>
  <c r="X32" i="89"/>
  <c r="BA25" i="71"/>
  <c r="T28" i="32"/>
  <c r="T54" i="32" s="1"/>
  <c r="Q123" i="10"/>
  <c r="N80" i="71"/>
  <c r="N25" i="71"/>
  <c r="S37" i="97"/>
  <c r="P26" i="59"/>
  <c r="P123" i="10"/>
  <c r="AZ25" i="71"/>
  <c r="W32" i="89"/>
  <c r="W118" i="33"/>
  <c r="J80" i="71"/>
  <c r="J25" i="71"/>
  <c r="AA103" i="13"/>
  <c r="E104" i="13"/>
  <c r="Z615" i="97"/>
  <c r="D80" i="71"/>
  <c r="D25" i="71"/>
  <c r="K104" i="13"/>
  <c r="AQ9" i="95"/>
  <c r="P104" i="13"/>
  <c r="R123" i="10"/>
  <c r="Y32" i="89"/>
  <c r="BB25" i="71"/>
  <c r="U28" i="32"/>
  <c r="U54" i="32" s="1"/>
  <c r="E123" i="10"/>
  <c r="H28" i="32"/>
  <c r="H54" i="32" s="1"/>
  <c r="E26" i="59"/>
  <c r="L32" i="89"/>
  <c r="I28" i="32"/>
  <c r="I54" i="32" s="1"/>
  <c r="AO25" i="71"/>
  <c r="AV25" i="71"/>
  <c r="L26" i="59"/>
  <c r="P28" i="32"/>
  <c r="P54" i="32" s="1"/>
  <c r="L123" i="10"/>
  <c r="S32" i="89"/>
  <c r="AC123" i="10"/>
  <c r="BM25" i="71"/>
  <c r="AF28" i="32"/>
  <c r="AF54" i="32" s="1"/>
  <c r="AJ32" i="89"/>
  <c r="T25" i="71"/>
  <c r="T80" i="71"/>
  <c r="BN25" i="71"/>
  <c r="AD123" i="10"/>
  <c r="AK32" i="89"/>
  <c r="AG28" i="32"/>
  <c r="AG54" i="32" s="1"/>
  <c r="AC118" i="33"/>
  <c r="I123" i="10"/>
  <c r="L28" i="32"/>
  <c r="L54" i="32" s="1"/>
  <c r="M28" i="32"/>
  <c r="M54" i="32" s="1"/>
  <c r="I26" i="59"/>
  <c r="AS25" i="71"/>
  <c r="P32" i="89"/>
  <c r="AQ16" i="49"/>
  <c r="AQ16" i="47"/>
  <c r="AQ16" i="51"/>
  <c r="AF98" i="13"/>
  <c r="AF101" i="13" s="1"/>
  <c r="AQ9" i="82"/>
  <c r="X104" i="13"/>
  <c r="AQ9" i="77"/>
  <c r="AQ9" i="84"/>
  <c r="AQ9" i="83"/>
  <c r="Z104" i="13"/>
  <c r="X123" i="10"/>
  <c r="BH25" i="71"/>
  <c r="AE32" i="89"/>
  <c r="AA28" i="32"/>
  <c r="AI23" i="81"/>
  <c r="G123" i="10"/>
  <c r="G26" i="59"/>
  <c r="N32" i="89"/>
  <c r="J28" i="32"/>
  <c r="AQ25" i="71"/>
  <c r="K28" i="32"/>
  <c r="Z120" i="44"/>
  <c r="O158" i="10"/>
  <c r="AB16" i="81"/>
  <c r="AI16" i="81"/>
  <c r="BK25" i="71"/>
  <c r="AH32" i="89"/>
  <c r="AD28" i="32"/>
  <c r="AA123" i="10"/>
  <c r="AE28" i="32"/>
  <c r="O120" i="44"/>
  <c r="AP16" i="54"/>
  <c r="AJ16" i="54"/>
  <c r="AO118" i="33"/>
  <c r="O104" i="13"/>
  <c r="AB16" i="56"/>
  <c r="AI16" i="56"/>
  <c r="Y104" i="13"/>
  <c r="AI16" i="85"/>
  <c r="AB16" i="85"/>
  <c r="BO25" i="71"/>
  <c r="AE123" i="10"/>
  <c r="AH28" i="32"/>
  <c r="AL32" i="89"/>
  <c r="F120" i="44"/>
  <c r="AQ16" i="55"/>
  <c r="AA120" i="44"/>
  <c r="AI23" i="72"/>
  <c r="BC25" i="71"/>
  <c r="Z32" i="89"/>
  <c r="S123" i="10"/>
  <c r="V28" i="32"/>
  <c r="W28" i="32"/>
  <c r="J104" i="13"/>
  <c r="T25" i="16"/>
  <c r="H25" i="16"/>
  <c r="C158" i="10"/>
  <c r="G120" i="44"/>
  <c r="M104" i="13"/>
  <c r="AI16" i="95"/>
  <c r="AB16" i="95"/>
  <c r="J120" i="44"/>
  <c r="Q25" i="16"/>
  <c r="AB25" i="16"/>
  <c r="AD32" i="89"/>
  <c r="W123" i="10"/>
  <c r="BG25" i="71"/>
  <c r="Z28" i="32"/>
  <c r="AQ16" i="79"/>
  <c r="U104" i="13"/>
  <c r="V120" i="44"/>
  <c r="I104" i="13"/>
  <c r="AB16" i="72"/>
  <c r="AI16" i="72"/>
  <c r="L25" i="16"/>
  <c r="E25" i="16"/>
  <c r="AB16" i="48"/>
  <c r="AI16" i="48"/>
  <c r="K158" i="10"/>
  <c r="AD120" i="44"/>
  <c r="AC104" i="13"/>
  <c r="S120" i="44"/>
  <c r="AI23" i="85"/>
  <c r="C104" i="13"/>
  <c r="Q104" i="13"/>
  <c r="BJ25" i="98" l="1"/>
  <c r="Y25" i="98" s="1"/>
  <c r="AC28" i="32"/>
  <c r="AC54" i="32" s="1"/>
  <c r="D25" i="98"/>
  <c r="I25" i="16"/>
  <c r="AQ32" i="103"/>
  <c r="AB28" i="32"/>
  <c r="AH123" i="10"/>
  <c r="BE107" i="32" s="1"/>
  <c r="BF107" i="32" s="1"/>
  <c r="AB37" i="97"/>
  <c r="BI25" i="71"/>
  <c r="Y80" i="71" s="1"/>
  <c r="S25" i="41"/>
  <c r="BS25" i="98"/>
  <c r="P25" i="98"/>
  <c r="AK28" i="32"/>
  <c r="F25" i="98"/>
  <c r="AO32" i="89"/>
  <c r="Y26" i="71"/>
  <c r="Y81" i="71"/>
  <c r="AH81" i="71"/>
  <c r="AH26" i="71"/>
  <c r="O81" i="104"/>
  <c r="O26" i="104"/>
  <c r="E80" i="104"/>
  <c r="E25" i="104"/>
  <c r="AI81" i="98"/>
  <c r="AI26" i="98"/>
  <c r="H80" i="104"/>
  <c r="H25" i="104"/>
  <c r="U81" i="71"/>
  <c r="U26" i="71"/>
  <c r="V80" i="104"/>
  <c r="V25" i="104"/>
  <c r="AG32" i="103"/>
  <c r="AZ25" i="104"/>
  <c r="G80" i="104"/>
  <c r="G25" i="104"/>
  <c r="Y81" i="104"/>
  <c r="Y26" i="104"/>
  <c r="AH81" i="104"/>
  <c r="AH26" i="104"/>
  <c r="S80" i="104"/>
  <c r="S25" i="104"/>
  <c r="M25" i="104"/>
  <c r="M80" i="104"/>
  <c r="C81" i="71"/>
  <c r="C26" i="71"/>
  <c r="U81" i="104"/>
  <c r="U26" i="104"/>
  <c r="W80" i="104"/>
  <c r="W25" i="104"/>
  <c r="U81" i="98"/>
  <c r="U26" i="98"/>
  <c r="Y123" i="10"/>
  <c r="AM107" i="32" s="1"/>
  <c r="AN107" i="32" s="1"/>
  <c r="BJ25" i="104"/>
  <c r="C81" i="98"/>
  <c r="C26" i="98"/>
  <c r="AM32" i="103"/>
  <c r="BF25" i="104"/>
  <c r="BF25" i="98"/>
  <c r="Y81" i="98"/>
  <c r="Y26" i="98"/>
  <c r="AH81" i="98"/>
  <c r="AH26" i="98"/>
  <c r="I80" i="104"/>
  <c r="I25" i="104"/>
  <c r="Q80" i="104"/>
  <c r="Q25" i="104"/>
  <c r="K81" i="71"/>
  <c r="K26" i="71"/>
  <c r="AG80" i="104"/>
  <c r="AG25" i="104"/>
  <c r="R80" i="104"/>
  <c r="R25" i="104"/>
  <c r="C81" i="104"/>
  <c r="C26" i="104"/>
  <c r="F81" i="71"/>
  <c r="F26" i="71"/>
  <c r="BA32" i="103"/>
  <c r="BT25" i="104"/>
  <c r="BT25" i="98"/>
  <c r="AI81" i="104"/>
  <c r="AI26" i="104"/>
  <c r="AZ32" i="103"/>
  <c r="BS25" i="104"/>
  <c r="K81" i="98"/>
  <c r="K26" i="98"/>
  <c r="U32" i="103"/>
  <c r="AN25" i="104"/>
  <c r="F81" i="98"/>
  <c r="F26" i="98"/>
  <c r="D80" i="104"/>
  <c r="D25" i="104"/>
  <c r="AE80" i="104"/>
  <c r="AE25" i="104"/>
  <c r="K81" i="104"/>
  <c r="K26" i="104"/>
  <c r="AD80" i="104"/>
  <c r="AD25" i="104"/>
  <c r="O81" i="71"/>
  <c r="O26" i="71"/>
  <c r="P25" i="104"/>
  <c r="P80" i="104"/>
  <c r="X80" i="104"/>
  <c r="X25" i="104"/>
  <c r="AA80" i="104"/>
  <c r="AA25" i="104"/>
  <c r="AC80" i="104"/>
  <c r="AC25" i="104"/>
  <c r="F81" i="104"/>
  <c r="F26" i="104"/>
  <c r="L80" i="104"/>
  <c r="L25" i="104"/>
  <c r="AC32" i="103"/>
  <c r="AV25" i="104"/>
  <c r="O81" i="98"/>
  <c r="O26" i="98"/>
  <c r="F80" i="104"/>
  <c r="F25" i="104"/>
  <c r="AH98" i="13"/>
  <c r="AH103" i="13" s="1"/>
  <c r="AM173" i="44"/>
  <c r="AN173" i="44"/>
  <c r="AL28" i="32"/>
  <c r="AL54" i="32" s="1"/>
  <c r="C28" i="32"/>
  <c r="AI123" i="10"/>
  <c r="AI139" i="10"/>
  <c r="AL37" i="97"/>
  <c r="AK28" i="10"/>
  <c r="BR25" i="71"/>
  <c r="AP32" i="89"/>
  <c r="AL28" i="10"/>
  <c r="AJ28" i="10"/>
  <c r="AJ173" i="44"/>
  <c r="AQ9" i="101"/>
  <c r="AK8" i="101"/>
  <c r="AJ200" i="44"/>
  <c r="AK867" i="97"/>
  <c r="S25" i="16"/>
  <c r="Y25" i="71"/>
  <c r="Y80" i="98"/>
  <c r="AJ16" i="45"/>
  <c r="C25" i="16"/>
  <c r="AA23" i="41"/>
  <c r="AI23" i="41" s="1"/>
  <c r="AP23" i="41" s="1"/>
  <c r="J25" i="16"/>
  <c r="G25" i="16"/>
  <c r="K25" i="16"/>
  <c r="AA25" i="16"/>
  <c r="AG98" i="13"/>
  <c r="AG101" i="13" s="1"/>
  <c r="AH25" i="98"/>
  <c r="AH80" i="98"/>
  <c r="F80" i="71"/>
  <c r="AG80" i="71"/>
  <c r="AG25" i="71"/>
  <c r="AJ16" i="52"/>
  <c r="AQ16" i="100"/>
  <c r="AK9" i="100"/>
  <c r="AJ9" i="100"/>
  <c r="Z27" i="99"/>
  <c r="AH27" i="99" s="1"/>
  <c r="AO27" i="99" s="1"/>
  <c r="V27" i="99"/>
  <c r="AD27" i="99" s="1"/>
  <c r="AK27" i="99" s="1"/>
  <c r="AG25" i="98"/>
  <c r="AG80" i="98"/>
  <c r="H22" i="5"/>
  <c r="U32" i="100" s="1"/>
  <c r="BC107" i="32"/>
  <c r="BD107" i="32" s="1"/>
  <c r="H26" i="100"/>
  <c r="H26" i="99"/>
  <c r="B36" i="20"/>
  <c r="H26" i="79"/>
  <c r="H26" i="82"/>
  <c r="S26" i="82" s="1"/>
  <c r="AA26" i="82" s="1"/>
  <c r="AI26" i="82" s="1"/>
  <c r="H26" i="46"/>
  <c r="H26" i="50"/>
  <c r="H26" i="83"/>
  <c r="H26" i="55"/>
  <c r="H26" i="87"/>
  <c r="H26" i="58"/>
  <c r="H26" i="45"/>
  <c r="H26" i="81"/>
  <c r="H26" i="72"/>
  <c r="H26" i="69"/>
  <c r="H26" i="73"/>
  <c r="H26" i="48"/>
  <c r="S26" i="48" s="1"/>
  <c r="AA26" i="48" s="1"/>
  <c r="AI26" i="48" s="1"/>
  <c r="H26" i="41"/>
  <c r="H26" i="53"/>
  <c r="H26" i="95"/>
  <c r="H26" i="54"/>
  <c r="H26" i="84"/>
  <c r="H26" i="47"/>
  <c r="H26" i="49"/>
  <c r="H26" i="85"/>
  <c r="H26" i="96"/>
  <c r="H26" i="51"/>
  <c r="H26" i="77"/>
  <c r="S26" i="77" s="1"/>
  <c r="H26" i="52"/>
  <c r="H26" i="56"/>
  <c r="H26" i="64"/>
  <c r="H26" i="88"/>
  <c r="S26" i="88" s="1"/>
  <c r="H26" i="90"/>
  <c r="AA23" i="99"/>
  <c r="AA23" i="100"/>
  <c r="AQ16" i="99"/>
  <c r="AD104" i="13"/>
  <c r="AD118" i="33"/>
  <c r="N118" i="33"/>
  <c r="U80" i="71"/>
  <c r="V118" i="33"/>
  <c r="Q118" i="33"/>
  <c r="R118" i="33"/>
  <c r="U118" i="33"/>
  <c r="Y118" i="33"/>
  <c r="S104" i="13"/>
  <c r="AF25" i="16"/>
  <c r="R25" i="16"/>
  <c r="Q107" i="32"/>
  <c r="R107" i="32" s="1"/>
  <c r="H200" i="44"/>
  <c r="I867" i="97"/>
  <c r="AG205" i="44"/>
  <c r="AG178" i="44"/>
  <c r="AH873" i="97"/>
  <c r="AD200" i="44"/>
  <c r="AE867" i="97"/>
  <c r="AC25" i="98"/>
  <c r="AC80" i="98"/>
  <c r="X80" i="98"/>
  <c r="X25" i="98"/>
  <c r="V200" i="44"/>
  <c r="W867" i="97"/>
  <c r="I205" i="44"/>
  <c r="J873" i="97"/>
  <c r="W80" i="98"/>
  <c r="W25" i="98"/>
  <c r="S867" i="97"/>
  <c r="R200" i="44"/>
  <c r="E25" i="98"/>
  <c r="E80" i="98"/>
  <c r="AA200" i="44"/>
  <c r="AB867" i="97"/>
  <c r="AI867" i="97"/>
  <c r="AH200" i="44"/>
  <c r="N37" i="97"/>
  <c r="AV25" i="98"/>
  <c r="F37" i="97"/>
  <c r="AN25" i="98"/>
  <c r="R37" i="97"/>
  <c r="AZ25" i="98"/>
  <c r="N867" i="97"/>
  <c r="M200" i="44"/>
  <c r="U867" i="97"/>
  <c r="T200" i="44"/>
  <c r="V873" i="97"/>
  <c r="U205" i="44"/>
  <c r="V867" i="97"/>
  <c r="U200" i="44"/>
  <c r="J200" i="44"/>
  <c r="K867" i="97"/>
  <c r="H867" i="97"/>
  <c r="G200" i="44"/>
  <c r="N873" i="97"/>
  <c r="M205" i="44"/>
  <c r="I200" i="44"/>
  <c r="J867" i="97"/>
  <c r="E200" i="44"/>
  <c r="F867" i="97"/>
  <c r="Q867" i="97"/>
  <c r="P200" i="44"/>
  <c r="X200" i="44"/>
  <c r="Y867" i="97"/>
  <c r="AD25" i="98"/>
  <c r="AD80" i="98"/>
  <c r="S200" i="44"/>
  <c r="T867" i="97"/>
  <c r="Q205" i="44"/>
  <c r="R873" i="97"/>
  <c r="L25" i="98"/>
  <c r="L80" i="98"/>
  <c r="G25" i="98"/>
  <c r="G80" i="98"/>
  <c r="S80" i="98"/>
  <c r="S25" i="98"/>
  <c r="I25" i="98"/>
  <c r="I80" i="98"/>
  <c r="O867" i="97"/>
  <c r="N200" i="44"/>
  <c r="AH867" i="97"/>
  <c r="AG200" i="44"/>
  <c r="R25" i="98"/>
  <c r="R80" i="98"/>
  <c r="AH173" i="44"/>
  <c r="Y200" i="44"/>
  <c r="Z867" i="97"/>
  <c r="AD867" i="97"/>
  <c r="AC200" i="44"/>
  <c r="H173" i="44"/>
  <c r="AD173" i="44"/>
  <c r="M80" i="98"/>
  <c r="M25" i="98"/>
  <c r="V173" i="44"/>
  <c r="I178" i="44"/>
  <c r="R867" i="97"/>
  <c r="Q200" i="44"/>
  <c r="R173" i="44"/>
  <c r="Z873" i="97"/>
  <c r="Y205" i="44"/>
  <c r="AD873" i="97"/>
  <c r="AC205" i="44"/>
  <c r="G867" i="97"/>
  <c r="F200" i="44"/>
  <c r="AA173" i="44"/>
  <c r="P867" i="97"/>
  <c r="O200" i="44"/>
  <c r="AA80" i="98"/>
  <c r="AA25" i="98"/>
  <c r="AE80" i="98"/>
  <c r="AE25" i="98"/>
  <c r="AJ21" i="5"/>
  <c r="U22" i="88" s="1"/>
  <c r="AK24" i="5"/>
  <c r="AK25" i="5"/>
  <c r="AE104" i="13"/>
  <c r="Z27" i="41"/>
  <c r="AH27" i="41" s="1"/>
  <c r="AO27" i="41" s="1"/>
  <c r="V27" i="41"/>
  <c r="AD27" i="41" s="1"/>
  <c r="AK27" i="41" s="1"/>
  <c r="Z27" i="81"/>
  <c r="AH27" i="81" s="1"/>
  <c r="AO27" i="81" s="1"/>
  <c r="V27" i="81"/>
  <c r="AD27" i="81" s="1"/>
  <c r="AK27" i="81" s="1"/>
  <c r="V27" i="53"/>
  <c r="AD27" i="53" s="1"/>
  <c r="AK27" i="53" s="1"/>
  <c r="Z27" i="53"/>
  <c r="AH27" i="53" s="1"/>
  <c r="AO27" i="53" s="1"/>
  <c r="Z27" i="79"/>
  <c r="AH27" i="79" s="1"/>
  <c r="AO27" i="79" s="1"/>
  <c r="V27" i="79"/>
  <c r="AD27" i="79" s="1"/>
  <c r="AK27" i="79" s="1"/>
  <c r="Z27" i="58"/>
  <c r="AH27" i="58" s="1"/>
  <c r="AO27" i="58" s="1"/>
  <c r="V27" i="58"/>
  <c r="AD27" i="58" s="1"/>
  <c r="AK27" i="58" s="1"/>
  <c r="Z27" i="77"/>
  <c r="AH27" i="77" s="1"/>
  <c r="AO27" i="77" s="1"/>
  <c r="V27" i="77"/>
  <c r="AD27" i="77" s="1"/>
  <c r="AK27" i="77" s="1"/>
  <c r="Z27" i="88"/>
  <c r="AH27" i="88" s="1"/>
  <c r="AO27" i="88" s="1"/>
  <c r="V27" i="88"/>
  <c r="AD27" i="88" s="1"/>
  <c r="AK27" i="88" s="1"/>
  <c r="Z27" i="96"/>
  <c r="AH27" i="96" s="1"/>
  <c r="AO27" i="96" s="1"/>
  <c r="V27" i="96"/>
  <c r="AD27" i="96" s="1"/>
  <c r="AK27" i="96" s="1"/>
  <c r="V27" i="47"/>
  <c r="AD27" i="47" s="1"/>
  <c r="AK27" i="47" s="1"/>
  <c r="Z27" i="47"/>
  <c r="AH27" i="47" s="1"/>
  <c r="AO27" i="47" s="1"/>
  <c r="V27" i="55"/>
  <c r="AD27" i="55" s="1"/>
  <c r="AK27" i="55" s="1"/>
  <c r="Z27" i="55"/>
  <c r="AH27" i="55" s="1"/>
  <c r="AO27" i="55" s="1"/>
  <c r="Z27" i="84"/>
  <c r="AH27" i="84" s="1"/>
  <c r="AO27" i="84" s="1"/>
  <c r="V27" i="84"/>
  <c r="AD27" i="84" s="1"/>
  <c r="AK27" i="84" s="1"/>
  <c r="Z27" i="82"/>
  <c r="AH27" i="82" s="1"/>
  <c r="AO27" i="82" s="1"/>
  <c r="V27" i="82"/>
  <c r="AD27" i="82" s="1"/>
  <c r="AK27" i="82" s="1"/>
  <c r="V27" i="95"/>
  <c r="AD27" i="95" s="1"/>
  <c r="AK27" i="95" s="1"/>
  <c r="Z27" i="95"/>
  <c r="AH27" i="95" s="1"/>
  <c r="AO27" i="95" s="1"/>
  <c r="Z27" i="83"/>
  <c r="AH27" i="83" s="1"/>
  <c r="AO27" i="83" s="1"/>
  <c r="V27" i="83"/>
  <c r="AD27" i="83" s="1"/>
  <c r="AK27" i="83" s="1"/>
  <c r="V27" i="72"/>
  <c r="AD27" i="72" s="1"/>
  <c r="AK27" i="72" s="1"/>
  <c r="Z27" i="72"/>
  <c r="AH27" i="72" s="1"/>
  <c r="AO27" i="72" s="1"/>
  <c r="V27" i="69"/>
  <c r="AD27" i="69" s="1"/>
  <c r="AK27" i="69" s="1"/>
  <c r="Z27" i="69"/>
  <c r="AH27" i="69" s="1"/>
  <c r="AO27" i="69" s="1"/>
  <c r="V27" i="56"/>
  <c r="AD27" i="56" s="1"/>
  <c r="AK27" i="56" s="1"/>
  <c r="Z27" i="56"/>
  <c r="AH27" i="56" s="1"/>
  <c r="AO27" i="56" s="1"/>
  <c r="Z27" i="46"/>
  <c r="AH27" i="46" s="1"/>
  <c r="AO27" i="46" s="1"/>
  <c r="V27" i="46"/>
  <c r="AD27" i="46" s="1"/>
  <c r="AK27" i="46" s="1"/>
  <c r="Z27" i="90"/>
  <c r="AH27" i="90" s="1"/>
  <c r="AO27" i="90" s="1"/>
  <c r="V27" i="90"/>
  <c r="AD27" i="90" s="1"/>
  <c r="AK27" i="90" s="1"/>
  <c r="Z27" i="48"/>
  <c r="AH27" i="48" s="1"/>
  <c r="AO27" i="48" s="1"/>
  <c r="V27" i="48"/>
  <c r="AD27" i="48" s="1"/>
  <c r="AK27" i="48" s="1"/>
  <c r="Z27" i="52"/>
  <c r="AH27" i="52" s="1"/>
  <c r="AO27" i="52" s="1"/>
  <c r="V27" i="52"/>
  <c r="AD27" i="52" s="1"/>
  <c r="AK27" i="52" s="1"/>
  <c r="U22" i="77"/>
  <c r="U22" i="84"/>
  <c r="U22" i="82"/>
  <c r="U22" i="46"/>
  <c r="U22" i="72"/>
  <c r="U22" i="54"/>
  <c r="U22" i="56"/>
  <c r="U22" i="51"/>
  <c r="U22" i="53"/>
  <c r="U22" i="83"/>
  <c r="U22" i="50"/>
  <c r="U22" i="73"/>
  <c r="U22" i="69"/>
  <c r="U22" i="45"/>
  <c r="U22" i="55"/>
  <c r="U22" i="48"/>
  <c r="U22" i="79"/>
  <c r="U22" i="64"/>
  <c r="U22" i="85"/>
  <c r="U22" i="87"/>
  <c r="U22" i="58"/>
  <c r="U22" i="52"/>
  <c r="U22" i="41"/>
  <c r="U22" i="81"/>
  <c r="U22" i="49"/>
  <c r="U22" i="47"/>
  <c r="V27" i="50"/>
  <c r="AD27" i="50" s="1"/>
  <c r="AK27" i="50" s="1"/>
  <c r="Z27" i="50"/>
  <c r="AH27" i="50" s="1"/>
  <c r="AO27" i="50" s="1"/>
  <c r="Z27" i="87"/>
  <c r="AH27" i="87" s="1"/>
  <c r="AO27" i="87" s="1"/>
  <c r="V27" i="87"/>
  <c r="AD27" i="87" s="1"/>
  <c r="AK27" i="87" s="1"/>
  <c r="Z27" i="64"/>
  <c r="AH27" i="64" s="1"/>
  <c r="AO27" i="64" s="1"/>
  <c r="V27" i="64"/>
  <c r="AD27" i="64" s="1"/>
  <c r="AK27" i="64" s="1"/>
  <c r="V27" i="45"/>
  <c r="AD27" i="45" s="1"/>
  <c r="AK27" i="45" s="1"/>
  <c r="Z27" i="45"/>
  <c r="AH27" i="45" s="1"/>
  <c r="AO27" i="45" s="1"/>
  <c r="V27" i="51"/>
  <c r="AD27" i="51" s="1"/>
  <c r="AK27" i="51" s="1"/>
  <c r="Z27" i="51"/>
  <c r="AH27" i="51" s="1"/>
  <c r="AO27" i="51" s="1"/>
  <c r="V27" i="49"/>
  <c r="AD27" i="49" s="1"/>
  <c r="AK27" i="49" s="1"/>
  <c r="Z27" i="49"/>
  <c r="AH27" i="49" s="1"/>
  <c r="AO27" i="49" s="1"/>
  <c r="Z27" i="54"/>
  <c r="AH27" i="54" s="1"/>
  <c r="AO27" i="54" s="1"/>
  <c r="V27" i="54"/>
  <c r="AD27" i="54" s="1"/>
  <c r="AK27" i="54" s="1"/>
  <c r="Z27" i="73"/>
  <c r="AH27" i="73" s="1"/>
  <c r="AO27" i="73" s="1"/>
  <c r="V27" i="73"/>
  <c r="AD27" i="73" s="1"/>
  <c r="AK27" i="73" s="1"/>
  <c r="V27" i="85"/>
  <c r="AD27" i="85" s="1"/>
  <c r="AK27" i="85" s="1"/>
  <c r="Z27" i="85"/>
  <c r="AH27" i="85" s="1"/>
  <c r="AO27" i="85" s="1"/>
  <c r="H25" i="71"/>
  <c r="H80" i="71"/>
  <c r="M25" i="71"/>
  <c r="M80" i="71"/>
  <c r="AA104" i="13"/>
  <c r="B14" i="2"/>
  <c r="AP16" i="87"/>
  <c r="AJ16" i="87"/>
  <c r="AP16" i="82"/>
  <c r="AJ16" i="82"/>
  <c r="AY107" i="32"/>
  <c r="AZ107" i="32" s="1"/>
  <c r="Q80" i="71"/>
  <c r="Q25" i="71"/>
  <c r="AE118" i="33"/>
  <c r="AG107" i="32"/>
  <c r="AH107" i="32" s="1"/>
  <c r="V80" i="71"/>
  <c r="V25" i="71"/>
  <c r="P80" i="71"/>
  <c r="P25" i="71"/>
  <c r="Z118" i="33"/>
  <c r="W107" i="32"/>
  <c r="X107" i="32" s="1"/>
  <c r="I25" i="71"/>
  <c r="I80" i="71"/>
  <c r="AD25" i="71"/>
  <c r="AD80" i="71"/>
  <c r="AC25" i="71"/>
  <c r="AC80" i="71"/>
  <c r="R80" i="71"/>
  <c r="R25" i="71"/>
  <c r="AL118" i="33"/>
  <c r="AU107" i="32"/>
  <c r="AV107" i="32" s="1"/>
  <c r="E80" i="71"/>
  <c r="E25" i="71"/>
  <c r="AM118" i="33"/>
  <c r="AW107" i="32"/>
  <c r="AX107" i="32" s="1"/>
  <c r="L25" i="71"/>
  <c r="L80" i="71"/>
  <c r="AA118" i="33"/>
  <c r="Y107" i="32"/>
  <c r="Z107" i="32" s="1"/>
  <c r="AF102" i="13"/>
  <c r="AF103" i="13"/>
  <c r="AF118" i="33"/>
  <c r="AI107" i="32"/>
  <c r="AJ107" i="32" s="1"/>
  <c r="J107" i="32"/>
  <c r="AJ16" i="95"/>
  <c r="AP16" i="95"/>
  <c r="J32" i="89"/>
  <c r="C26" i="59"/>
  <c r="C123" i="10"/>
  <c r="AM25" i="71"/>
  <c r="G28" i="32"/>
  <c r="W54" i="32"/>
  <c r="S25" i="71"/>
  <c r="S80" i="71"/>
  <c r="AH54" i="32"/>
  <c r="AQ16" i="54"/>
  <c r="K54" i="32"/>
  <c r="X25" i="71"/>
  <c r="X80" i="71"/>
  <c r="AP16" i="48"/>
  <c r="AJ16" i="48"/>
  <c r="AJ16" i="72"/>
  <c r="AP16" i="72"/>
  <c r="AP23" i="48"/>
  <c r="AP23" i="56"/>
  <c r="AQ16" i="52"/>
  <c r="AP23" i="52"/>
  <c r="V54" i="32"/>
  <c r="AP23" i="95"/>
  <c r="AN118" i="33"/>
  <c r="BA107" i="32"/>
  <c r="BB107" i="32" s="1"/>
  <c r="AE54" i="32"/>
  <c r="AA25" i="71"/>
  <c r="AA80" i="71"/>
  <c r="G25" i="71"/>
  <c r="G80" i="71"/>
  <c r="P118" i="33"/>
  <c r="AB54" i="32"/>
  <c r="AG118" i="33"/>
  <c r="AK107" i="32"/>
  <c r="AL107" i="32" s="1"/>
  <c r="Z54" i="32"/>
  <c r="AB118" i="33"/>
  <c r="AA107" i="32"/>
  <c r="AB107" i="32" s="1"/>
  <c r="AC107" i="32"/>
  <c r="AD107" i="32" s="1"/>
  <c r="AP23" i="72"/>
  <c r="AE80" i="71"/>
  <c r="AE25" i="71"/>
  <c r="AJ16" i="85"/>
  <c r="AP16" i="85"/>
  <c r="AQ107" i="32"/>
  <c r="AR107" i="32" s="1"/>
  <c r="AJ118" i="33"/>
  <c r="AS107" i="32"/>
  <c r="AT107" i="32" s="1"/>
  <c r="AP16" i="81"/>
  <c r="AJ16" i="81"/>
  <c r="O123" i="10"/>
  <c r="O26" i="59"/>
  <c r="V32" i="89"/>
  <c r="AY25" i="71"/>
  <c r="R28" i="32"/>
  <c r="S28" i="32"/>
  <c r="J54" i="32"/>
  <c r="AP23" i="81"/>
  <c r="AA54" i="32"/>
  <c r="K26" i="59"/>
  <c r="N28" i="32"/>
  <c r="K123" i="10"/>
  <c r="R32" i="89"/>
  <c r="AU25" i="71"/>
  <c r="O28" i="32"/>
  <c r="AP23" i="85"/>
  <c r="W25" i="71"/>
  <c r="W80" i="71"/>
  <c r="AP16" i="56"/>
  <c r="AJ16" i="56"/>
  <c r="AD54" i="32"/>
  <c r="AQ118" i="33" l="1"/>
  <c r="S26" i="41"/>
  <c r="AA26" i="41" s="1"/>
  <c r="AI26" i="41" s="1"/>
  <c r="AP26" i="41" s="1"/>
  <c r="U80" i="104"/>
  <c r="U25" i="104"/>
  <c r="U25" i="98"/>
  <c r="U80" i="98"/>
  <c r="K80" i="104"/>
  <c r="K25" i="104"/>
  <c r="Y80" i="104"/>
  <c r="Y25" i="104"/>
  <c r="O80" i="104"/>
  <c r="O25" i="104"/>
  <c r="C80" i="104"/>
  <c r="C25" i="104"/>
  <c r="AH80" i="104"/>
  <c r="AH25" i="104"/>
  <c r="AI80" i="98"/>
  <c r="AI25" i="98"/>
  <c r="AH118" i="33"/>
  <c r="AO107" i="32"/>
  <c r="AP107" i="32" s="1"/>
  <c r="AI80" i="104"/>
  <c r="AI25" i="104"/>
  <c r="AH101" i="13"/>
  <c r="AH102" i="13"/>
  <c r="AR118" i="33"/>
  <c r="AS118" i="33" s="1"/>
  <c r="AR91" i="33"/>
  <c r="AR45" i="33"/>
  <c r="AO173" i="44"/>
  <c r="AL173" i="44"/>
  <c r="BG107" i="32"/>
  <c r="BH107" i="32" s="1"/>
  <c r="AK123" i="10"/>
  <c r="AJ123" i="10"/>
  <c r="AH25" i="71"/>
  <c r="AH80" i="71"/>
  <c r="Y32" i="100"/>
  <c r="AG32" i="100" s="1"/>
  <c r="AN32" i="100" s="1"/>
  <c r="W32" i="100"/>
  <c r="AE32" i="100" s="1"/>
  <c r="AL32" i="100" s="1"/>
  <c r="Z32" i="100"/>
  <c r="AH32" i="100" s="1"/>
  <c r="AO32" i="100" s="1"/>
  <c r="V32" i="100"/>
  <c r="AD32" i="100" s="1"/>
  <c r="AK32" i="100" s="1"/>
  <c r="AA32" i="100"/>
  <c r="AI32" i="100" s="1"/>
  <c r="AP32" i="100" s="1"/>
  <c r="AG102" i="13"/>
  <c r="AG103" i="13"/>
  <c r="AQ45" i="33"/>
  <c r="AQ91" i="33"/>
  <c r="D28" i="32"/>
  <c r="AQ9" i="100"/>
  <c r="H23" i="5"/>
  <c r="U33" i="100" s="1"/>
  <c r="U32" i="99"/>
  <c r="AI23" i="100"/>
  <c r="S26" i="56"/>
  <c r="S26" i="84"/>
  <c r="S26" i="72"/>
  <c r="S26" i="46"/>
  <c r="S26" i="50"/>
  <c r="S26" i="81"/>
  <c r="AA26" i="77"/>
  <c r="AI26" i="77" s="1"/>
  <c r="AP26" i="77" s="1"/>
  <c r="S26" i="95"/>
  <c r="S26" i="45"/>
  <c r="S26" i="79"/>
  <c r="S26" i="69"/>
  <c r="S26" i="51"/>
  <c r="S26" i="53"/>
  <c r="S26" i="58"/>
  <c r="H27" i="100"/>
  <c r="H27" i="99"/>
  <c r="B37" i="20"/>
  <c r="H27" i="51"/>
  <c r="S27" i="51" s="1"/>
  <c r="AA27" i="51" s="1"/>
  <c r="AI27" i="51" s="1"/>
  <c r="AP27" i="51" s="1"/>
  <c r="H27" i="96"/>
  <c r="S27" i="96" s="1"/>
  <c r="AA27" i="96" s="1"/>
  <c r="AI27" i="96" s="1"/>
  <c r="AP27" i="96" s="1"/>
  <c r="H27" i="47"/>
  <c r="S27" i="47" s="1"/>
  <c r="AA27" i="47" s="1"/>
  <c r="AI27" i="47" s="1"/>
  <c r="AP27" i="47" s="1"/>
  <c r="H27" i="87"/>
  <c r="S27" i="87" s="1"/>
  <c r="AA27" i="87" s="1"/>
  <c r="AI27" i="87" s="1"/>
  <c r="AP27" i="87" s="1"/>
  <c r="H27" i="69"/>
  <c r="S27" i="69" s="1"/>
  <c r="H27" i="82"/>
  <c r="S27" i="82" s="1"/>
  <c r="AA27" i="82" s="1"/>
  <c r="AI27" i="82" s="1"/>
  <c r="AP27" i="82" s="1"/>
  <c r="H27" i="58"/>
  <c r="S27" i="58" s="1"/>
  <c r="AA27" i="58" s="1"/>
  <c r="AI27" i="58" s="1"/>
  <c r="AP27" i="58" s="1"/>
  <c r="H27" i="79"/>
  <c r="S27" i="79" s="1"/>
  <c r="AA27" i="79" s="1"/>
  <c r="AI27" i="79" s="1"/>
  <c r="AP27" i="79" s="1"/>
  <c r="H27" i="56"/>
  <c r="S27" i="56" s="1"/>
  <c r="AA27" i="56" s="1"/>
  <c r="AI27" i="56" s="1"/>
  <c r="AP27" i="56" s="1"/>
  <c r="H27" i="83"/>
  <c r="S27" i="83" s="1"/>
  <c r="AA27" i="83" s="1"/>
  <c r="AI27" i="83" s="1"/>
  <c r="AP27" i="83" s="1"/>
  <c r="H27" i="53"/>
  <c r="S27" i="53" s="1"/>
  <c r="AA27" i="53" s="1"/>
  <c r="AI27" i="53" s="1"/>
  <c r="AP27" i="53" s="1"/>
  <c r="H27" i="64"/>
  <c r="S27" i="64" s="1"/>
  <c r="AA27" i="64" s="1"/>
  <c r="AI27" i="64" s="1"/>
  <c r="AP27" i="64" s="1"/>
  <c r="H27" i="54"/>
  <c r="S27" i="54" s="1"/>
  <c r="AA27" i="54" s="1"/>
  <c r="AI27" i="54" s="1"/>
  <c r="AP27" i="54" s="1"/>
  <c r="H27" i="90"/>
  <c r="S27" i="90" s="1"/>
  <c r="H27" i="88"/>
  <c r="H27" i="46"/>
  <c r="S27" i="46" s="1"/>
  <c r="AA27" i="46" s="1"/>
  <c r="AI27" i="46" s="1"/>
  <c r="AP27" i="46" s="1"/>
  <c r="H27" i="49"/>
  <c r="S27" i="49" s="1"/>
  <c r="AA27" i="49" s="1"/>
  <c r="AI27" i="49" s="1"/>
  <c r="AP27" i="49" s="1"/>
  <c r="H27" i="55"/>
  <c r="S27" i="55" s="1"/>
  <c r="AA27" i="55" s="1"/>
  <c r="AI27" i="55" s="1"/>
  <c r="AP27" i="55" s="1"/>
  <c r="H27" i="72"/>
  <c r="S27" i="72" s="1"/>
  <c r="AA27" i="72" s="1"/>
  <c r="AI27" i="72" s="1"/>
  <c r="AP27" i="72" s="1"/>
  <c r="H27" i="45"/>
  <c r="S27" i="45" s="1"/>
  <c r="AA27" i="45" s="1"/>
  <c r="AI27" i="45" s="1"/>
  <c r="AP27" i="45" s="1"/>
  <c r="H27" i="73"/>
  <c r="S27" i="73" s="1"/>
  <c r="AA27" i="73" s="1"/>
  <c r="AI27" i="73" s="1"/>
  <c r="AP27" i="73" s="1"/>
  <c r="H27" i="41"/>
  <c r="H27" i="95"/>
  <c r="S27" i="95" s="1"/>
  <c r="H27" i="48"/>
  <c r="H27" i="77"/>
  <c r="H27" i="85"/>
  <c r="S27" i="85" s="1"/>
  <c r="AA27" i="85" s="1"/>
  <c r="AI27" i="85" s="1"/>
  <c r="AP27" i="85" s="1"/>
  <c r="H27" i="81"/>
  <c r="S27" i="81" s="1"/>
  <c r="AA27" i="81" s="1"/>
  <c r="AI27" i="81" s="1"/>
  <c r="AP27" i="81" s="1"/>
  <c r="H27" i="52"/>
  <c r="S27" i="52" s="1"/>
  <c r="AA27" i="52" s="1"/>
  <c r="AI27" i="52" s="1"/>
  <c r="AP27" i="52" s="1"/>
  <c r="H27" i="84"/>
  <c r="S27" i="84" s="1"/>
  <c r="AA27" i="84" s="1"/>
  <c r="AI27" i="84" s="1"/>
  <c r="AP27" i="84" s="1"/>
  <c r="H27" i="50"/>
  <c r="S27" i="50" s="1"/>
  <c r="AA27" i="50" s="1"/>
  <c r="AI27" i="50" s="1"/>
  <c r="AP27" i="50" s="1"/>
  <c r="S26" i="96"/>
  <c r="S26" i="87"/>
  <c r="S26" i="99"/>
  <c r="S26" i="64"/>
  <c r="S26" i="54"/>
  <c r="AI23" i="99"/>
  <c r="S26" i="90"/>
  <c r="S26" i="85"/>
  <c r="S26" i="55"/>
  <c r="S26" i="100"/>
  <c r="S26" i="47"/>
  <c r="S26" i="52"/>
  <c r="AA26" i="88"/>
  <c r="AI26" i="88" s="1"/>
  <c r="AP26" i="88" s="1"/>
  <c r="S26" i="49"/>
  <c r="S26" i="73"/>
  <c r="S26" i="83"/>
  <c r="P91" i="33"/>
  <c r="AP45" i="33"/>
  <c r="AP91" i="33"/>
  <c r="AG45" i="33"/>
  <c r="C80" i="98"/>
  <c r="C25" i="98"/>
  <c r="O80" i="98"/>
  <c r="O25" i="98"/>
  <c r="K25" i="98"/>
  <c r="K80" i="98"/>
  <c r="AL24" i="5"/>
  <c r="AL25" i="5"/>
  <c r="AK21" i="5"/>
  <c r="AJ45" i="33"/>
  <c r="AB91" i="33"/>
  <c r="P45" i="33"/>
  <c r="AN91" i="33"/>
  <c r="W22" i="47"/>
  <c r="AE22" i="47" s="1"/>
  <c r="AL22" i="47" s="1"/>
  <c r="V22" i="47"/>
  <c r="AD22" i="47" s="1"/>
  <c r="AK22" i="47" s="1"/>
  <c r="X22" i="47"/>
  <c r="AF22" i="47" s="1"/>
  <c r="AM22" i="47" s="1"/>
  <c r="Z22" i="47"/>
  <c r="AH22" i="47" s="1"/>
  <c r="AO22" i="47" s="1"/>
  <c r="AA22" i="47"/>
  <c r="X22" i="52"/>
  <c r="AF22" i="52" s="1"/>
  <c r="AM22" i="52" s="1"/>
  <c r="W22" i="52"/>
  <c r="AE22" i="52" s="1"/>
  <c r="AL22" i="52" s="1"/>
  <c r="V22" i="52"/>
  <c r="AD22" i="52" s="1"/>
  <c r="AK22" i="52" s="1"/>
  <c r="AA22" i="52"/>
  <c r="Z22" i="52"/>
  <c r="AH22" i="52" s="1"/>
  <c r="AO22" i="52" s="1"/>
  <c r="V22" i="64"/>
  <c r="AD22" i="64" s="1"/>
  <c r="AK22" i="64" s="1"/>
  <c r="X22" i="64"/>
  <c r="AF22" i="64" s="1"/>
  <c r="AM22" i="64" s="1"/>
  <c r="W22" i="64"/>
  <c r="AE22" i="64" s="1"/>
  <c r="AL22" i="64" s="1"/>
  <c r="Z22" i="64"/>
  <c r="AH22" i="64" s="1"/>
  <c r="AO22" i="64" s="1"/>
  <c r="AA22" i="64"/>
  <c r="W22" i="55"/>
  <c r="AE22" i="55" s="1"/>
  <c r="AL22" i="55" s="1"/>
  <c r="V22" i="55"/>
  <c r="AD22" i="55" s="1"/>
  <c r="AK22" i="55" s="1"/>
  <c r="X22" i="55"/>
  <c r="AF22" i="55" s="1"/>
  <c r="AM22" i="55" s="1"/>
  <c r="Z22" i="55"/>
  <c r="AH22" i="55" s="1"/>
  <c r="AO22" i="55" s="1"/>
  <c r="AA22" i="55"/>
  <c r="W22" i="73"/>
  <c r="AE22" i="73" s="1"/>
  <c r="AL22" i="73" s="1"/>
  <c r="V22" i="73"/>
  <c r="AD22" i="73" s="1"/>
  <c r="AK22" i="73" s="1"/>
  <c r="X22" i="73"/>
  <c r="AF22" i="73" s="1"/>
  <c r="AM22" i="73" s="1"/>
  <c r="Z22" i="73"/>
  <c r="AH22" i="73" s="1"/>
  <c r="AO22" i="73" s="1"/>
  <c r="AA22" i="73"/>
  <c r="W22" i="72"/>
  <c r="AE22" i="72" s="1"/>
  <c r="AL22" i="72" s="1"/>
  <c r="V22" i="72"/>
  <c r="AD22" i="72" s="1"/>
  <c r="AK22" i="72" s="1"/>
  <c r="Z22" i="72"/>
  <c r="AH22" i="72" s="1"/>
  <c r="AO22" i="72" s="1"/>
  <c r="X22" i="72"/>
  <c r="AF22" i="72" s="1"/>
  <c r="AM22" i="72" s="1"/>
  <c r="AA22" i="72"/>
  <c r="V22" i="84"/>
  <c r="AD22" i="84" s="1"/>
  <c r="AK22" i="84" s="1"/>
  <c r="W22" i="84"/>
  <c r="AE22" i="84" s="1"/>
  <c r="AL22" i="84" s="1"/>
  <c r="AA22" i="84"/>
  <c r="X22" i="84"/>
  <c r="AF22" i="84" s="1"/>
  <c r="AM22" i="84" s="1"/>
  <c r="Z22" i="84"/>
  <c r="AH22" i="84" s="1"/>
  <c r="AO22" i="84" s="1"/>
  <c r="V22" i="49"/>
  <c r="AD22" i="49" s="1"/>
  <c r="AK22" i="49" s="1"/>
  <c r="W22" i="49"/>
  <c r="AE22" i="49" s="1"/>
  <c r="AL22" i="49" s="1"/>
  <c r="Z22" i="49"/>
  <c r="AH22" i="49" s="1"/>
  <c r="AO22" i="49" s="1"/>
  <c r="X22" i="49"/>
  <c r="AF22" i="49" s="1"/>
  <c r="AM22" i="49" s="1"/>
  <c r="AA22" i="49"/>
  <c r="W22" i="58"/>
  <c r="AE22" i="58" s="1"/>
  <c r="AL22" i="58" s="1"/>
  <c r="Z22" i="58"/>
  <c r="AH22" i="58" s="1"/>
  <c r="AO22" i="58" s="1"/>
  <c r="V22" i="58"/>
  <c r="AD22" i="58" s="1"/>
  <c r="AK22" i="58" s="1"/>
  <c r="X22" i="58"/>
  <c r="AF22" i="58" s="1"/>
  <c r="AM22" i="58" s="1"/>
  <c r="AA22" i="58"/>
  <c r="X22" i="79"/>
  <c r="AF22" i="79" s="1"/>
  <c r="AM22" i="79" s="1"/>
  <c r="AA22" i="79"/>
  <c r="V22" i="79"/>
  <c r="AD22" i="79" s="1"/>
  <c r="AK22" i="79" s="1"/>
  <c r="W22" i="79"/>
  <c r="AE22" i="79" s="1"/>
  <c r="AL22" i="79" s="1"/>
  <c r="Z22" i="79"/>
  <c r="AH22" i="79" s="1"/>
  <c r="AO22" i="79" s="1"/>
  <c r="X22" i="45"/>
  <c r="AF22" i="45" s="1"/>
  <c r="AM22" i="45" s="1"/>
  <c r="W22" i="45"/>
  <c r="AE22" i="45" s="1"/>
  <c r="AL22" i="45" s="1"/>
  <c r="V22" i="45"/>
  <c r="AD22" i="45" s="1"/>
  <c r="AK22" i="45" s="1"/>
  <c r="Z22" i="45"/>
  <c r="AH22" i="45" s="1"/>
  <c r="AO22" i="45" s="1"/>
  <c r="AA22" i="45"/>
  <c r="X22" i="50"/>
  <c r="AF22" i="50" s="1"/>
  <c r="AM22" i="50" s="1"/>
  <c r="W22" i="50"/>
  <c r="AE22" i="50" s="1"/>
  <c r="AL22" i="50" s="1"/>
  <c r="AA22" i="50"/>
  <c r="V22" i="50"/>
  <c r="AD22" i="50" s="1"/>
  <c r="AK22" i="50" s="1"/>
  <c r="Z22" i="50"/>
  <c r="AH22" i="50" s="1"/>
  <c r="AO22" i="50" s="1"/>
  <c r="X22" i="51"/>
  <c r="AF22" i="51" s="1"/>
  <c r="AM22" i="51" s="1"/>
  <c r="V22" i="51"/>
  <c r="AD22" i="51" s="1"/>
  <c r="AK22" i="51" s="1"/>
  <c r="Z22" i="51"/>
  <c r="AH22" i="51" s="1"/>
  <c r="AO22" i="51" s="1"/>
  <c r="W22" i="51"/>
  <c r="AE22" i="51" s="1"/>
  <c r="AL22" i="51" s="1"/>
  <c r="AA22" i="51"/>
  <c r="U32" i="96"/>
  <c r="U32" i="85"/>
  <c r="U32" i="51"/>
  <c r="U32" i="90"/>
  <c r="U32" i="50"/>
  <c r="U32" i="83"/>
  <c r="U32" i="88"/>
  <c r="U32" i="64"/>
  <c r="U32" i="58"/>
  <c r="U32" i="95"/>
  <c r="U32" i="79"/>
  <c r="U32" i="72"/>
  <c r="U32" i="69"/>
  <c r="U32" i="81"/>
  <c r="U32" i="73"/>
  <c r="U32" i="87"/>
  <c r="U32" i="54"/>
  <c r="U32" i="53"/>
  <c r="U32" i="77"/>
  <c r="U32" i="52"/>
  <c r="U32" i="41"/>
  <c r="U32" i="45"/>
  <c r="U32" i="46"/>
  <c r="U32" i="48"/>
  <c r="U32" i="84"/>
  <c r="U32" i="56"/>
  <c r="U32" i="49"/>
  <c r="U32" i="55"/>
  <c r="U32" i="47"/>
  <c r="U32" i="82"/>
  <c r="Z22" i="77"/>
  <c r="AH22" i="77" s="1"/>
  <c r="AO22" i="77" s="1"/>
  <c r="W22" i="77"/>
  <c r="AE22" i="77" s="1"/>
  <c r="AL22" i="77" s="1"/>
  <c r="AA22" i="77"/>
  <c r="V22" i="77"/>
  <c r="AD22" i="77" s="1"/>
  <c r="AK22" i="77" s="1"/>
  <c r="X22" i="77"/>
  <c r="AF22" i="77" s="1"/>
  <c r="AM22" i="77" s="1"/>
  <c r="V22" i="81"/>
  <c r="AD22" i="81" s="1"/>
  <c r="AK22" i="81" s="1"/>
  <c r="W22" i="81"/>
  <c r="AE22" i="81" s="1"/>
  <c r="AL22" i="81" s="1"/>
  <c r="AA22" i="81"/>
  <c r="X22" i="81"/>
  <c r="AF22" i="81" s="1"/>
  <c r="AM22" i="81" s="1"/>
  <c r="Z22" i="81"/>
  <c r="AH22" i="81" s="1"/>
  <c r="AO22" i="81" s="1"/>
  <c r="X22" i="87"/>
  <c r="AF22" i="87" s="1"/>
  <c r="AM22" i="87" s="1"/>
  <c r="W22" i="87"/>
  <c r="AE22" i="87" s="1"/>
  <c r="AL22" i="87" s="1"/>
  <c r="Z22" i="87"/>
  <c r="AH22" i="87" s="1"/>
  <c r="AO22" i="87" s="1"/>
  <c r="V22" i="87"/>
  <c r="AD22" i="87" s="1"/>
  <c r="AK22" i="87" s="1"/>
  <c r="AA22" i="87"/>
  <c r="X22" i="88"/>
  <c r="AF22" i="88" s="1"/>
  <c r="AM22" i="88" s="1"/>
  <c r="V22" i="88"/>
  <c r="AD22" i="88" s="1"/>
  <c r="AK22" i="88" s="1"/>
  <c r="Z22" i="88"/>
  <c r="AH22" i="88" s="1"/>
  <c r="AO22" i="88" s="1"/>
  <c r="W22" i="88"/>
  <c r="AE22" i="88" s="1"/>
  <c r="AL22" i="88" s="1"/>
  <c r="AA22" i="88"/>
  <c r="Z22" i="69"/>
  <c r="AH22" i="69" s="1"/>
  <c r="AO22" i="69" s="1"/>
  <c r="X22" i="69"/>
  <c r="AF22" i="69" s="1"/>
  <c r="AM22" i="69" s="1"/>
  <c r="V22" i="69"/>
  <c r="AD22" i="69" s="1"/>
  <c r="AK22" i="69" s="1"/>
  <c r="W22" i="69"/>
  <c r="AE22" i="69" s="1"/>
  <c r="AL22" i="69" s="1"/>
  <c r="AA22" i="69"/>
  <c r="W22" i="83"/>
  <c r="AE22" i="83" s="1"/>
  <c r="AL22" i="83" s="1"/>
  <c r="Z22" i="83"/>
  <c r="AH22" i="83" s="1"/>
  <c r="AO22" i="83" s="1"/>
  <c r="AA22" i="83"/>
  <c r="X22" i="83"/>
  <c r="AF22" i="83" s="1"/>
  <c r="AM22" i="83" s="1"/>
  <c r="V22" i="83"/>
  <c r="AD22" i="83" s="1"/>
  <c r="AK22" i="83" s="1"/>
  <c r="W22" i="56"/>
  <c r="AE22" i="56" s="1"/>
  <c r="AL22" i="56" s="1"/>
  <c r="Z22" i="56"/>
  <c r="AH22" i="56" s="1"/>
  <c r="AO22" i="56" s="1"/>
  <c r="X22" i="56"/>
  <c r="AF22" i="56" s="1"/>
  <c r="AM22" i="56" s="1"/>
  <c r="AA22" i="56"/>
  <c r="V22" i="56"/>
  <c r="AD22" i="56" s="1"/>
  <c r="AK22" i="56" s="1"/>
  <c r="Z22" i="46"/>
  <c r="AH22" i="46" s="1"/>
  <c r="AO22" i="46" s="1"/>
  <c r="X22" i="46"/>
  <c r="AF22" i="46" s="1"/>
  <c r="AM22" i="46" s="1"/>
  <c r="AA22" i="46"/>
  <c r="W22" i="46"/>
  <c r="AE22" i="46" s="1"/>
  <c r="AL22" i="46" s="1"/>
  <c r="V22" i="46"/>
  <c r="AD22" i="46" s="1"/>
  <c r="AK22" i="46" s="1"/>
  <c r="W22" i="41"/>
  <c r="AE22" i="41" s="1"/>
  <c r="AL22" i="41" s="1"/>
  <c r="Z22" i="41"/>
  <c r="AH22" i="41" s="1"/>
  <c r="AO22" i="41" s="1"/>
  <c r="V22" i="41"/>
  <c r="AD22" i="41" s="1"/>
  <c r="AK22" i="41" s="1"/>
  <c r="AA22" i="41"/>
  <c r="X22" i="41"/>
  <c r="AF22" i="41" s="1"/>
  <c r="AM22" i="41" s="1"/>
  <c r="V22" i="85"/>
  <c r="AD22" i="85" s="1"/>
  <c r="AK22" i="85" s="1"/>
  <c r="W22" i="85"/>
  <c r="AE22" i="85" s="1"/>
  <c r="AL22" i="85" s="1"/>
  <c r="X22" i="85"/>
  <c r="AF22" i="85" s="1"/>
  <c r="AM22" i="85" s="1"/>
  <c r="Z22" i="85"/>
  <c r="AH22" i="85" s="1"/>
  <c r="AO22" i="85" s="1"/>
  <c r="AA22" i="85"/>
  <c r="W22" i="48"/>
  <c r="AE22" i="48" s="1"/>
  <c r="AL22" i="48" s="1"/>
  <c r="V22" i="48"/>
  <c r="AD22" i="48" s="1"/>
  <c r="AK22" i="48" s="1"/>
  <c r="Z22" i="48"/>
  <c r="AH22" i="48" s="1"/>
  <c r="AO22" i="48" s="1"/>
  <c r="AA22" i="48"/>
  <c r="X22" i="48"/>
  <c r="AF22" i="48" s="1"/>
  <c r="AM22" i="48" s="1"/>
  <c r="W22" i="53"/>
  <c r="AE22" i="53" s="1"/>
  <c r="AL22" i="53" s="1"/>
  <c r="Z22" i="53"/>
  <c r="AH22" i="53" s="1"/>
  <c r="AO22" i="53" s="1"/>
  <c r="AA22" i="53"/>
  <c r="V22" i="53"/>
  <c r="AD22" i="53" s="1"/>
  <c r="AK22" i="53" s="1"/>
  <c r="X22" i="53"/>
  <c r="AF22" i="53" s="1"/>
  <c r="AM22" i="53" s="1"/>
  <c r="V22" i="54"/>
  <c r="AD22" i="54" s="1"/>
  <c r="AK22" i="54" s="1"/>
  <c r="AA22" i="54"/>
  <c r="W22" i="54"/>
  <c r="AE22" i="54" s="1"/>
  <c r="AL22" i="54" s="1"/>
  <c r="X22" i="54"/>
  <c r="AF22" i="54" s="1"/>
  <c r="AM22" i="54" s="1"/>
  <c r="Z22" i="54"/>
  <c r="AH22" i="54" s="1"/>
  <c r="AO22" i="54" s="1"/>
  <c r="Z22" i="82"/>
  <c r="AH22" i="82" s="1"/>
  <c r="AO22" i="82" s="1"/>
  <c r="V22" i="82"/>
  <c r="AD22" i="82" s="1"/>
  <c r="AK22" i="82" s="1"/>
  <c r="W22" i="82"/>
  <c r="AE22" i="82" s="1"/>
  <c r="AL22" i="82" s="1"/>
  <c r="X22" i="82"/>
  <c r="AF22" i="82" s="1"/>
  <c r="AM22" i="82" s="1"/>
  <c r="AA22" i="82"/>
  <c r="AJ91" i="33"/>
  <c r="AN45" i="33"/>
  <c r="AB45" i="33"/>
  <c r="AG91" i="33"/>
  <c r="B15" i="2"/>
  <c r="AP26" i="48"/>
  <c r="AQ16" i="82"/>
  <c r="AQ16" i="87"/>
  <c r="AF104" i="13"/>
  <c r="K25" i="71"/>
  <c r="K80" i="71"/>
  <c r="O80" i="71"/>
  <c r="O25" i="71"/>
  <c r="AP26" i="82"/>
  <c r="L118" i="33"/>
  <c r="L91" i="33"/>
  <c r="AM45" i="33"/>
  <c r="V91" i="33"/>
  <c r="AM91" i="33"/>
  <c r="V45" i="33"/>
  <c r="L45" i="33"/>
  <c r="M45" i="33"/>
  <c r="M91" i="33"/>
  <c r="S91" i="33"/>
  <c r="AL91" i="33"/>
  <c r="N45" i="33"/>
  <c r="AD91" i="33"/>
  <c r="AI91" i="33"/>
  <c r="R45" i="33"/>
  <c r="Z45" i="33"/>
  <c r="U91" i="33"/>
  <c r="Q91" i="33"/>
  <c r="AC45" i="33"/>
  <c r="S45" i="33"/>
  <c r="AA45" i="33"/>
  <c r="W91" i="33"/>
  <c r="N91" i="33"/>
  <c r="AK91" i="33"/>
  <c r="AE45" i="33"/>
  <c r="Y45" i="33"/>
  <c r="AH91" i="33"/>
  <c r="R91" i="33"/>
  <c r="U45" i="33"/>
  <c r="O91" i="33"/>
  <c r="AL45" i="33"/>
  <c r="AA91" i="33"/>
  <c r="W45" i="33"/>
  <c r="AD45" i="33"/>
  <c r="AI45" i="33"/>
  <c r="AE91" i="33"/>
  <c r="AH45" i="33"/>
  <c r="Z91" i="33"/>
  <c r="AC91" i="33"/>
  <c r="O45" i="33"/>
  <c r="AK45" i="33"/>
  <c r="Y91" i="33"/>
  <c r="Q45" i="33"/>
  <c r="AO45" i="33"/>
  <c r="AO91" i="33"/>
  <c r="AQ16" i="95"/>
  <c r="K107" i="32"/>
  <c r="G107" i="32"/>
  <c r="AQ16" i="56"/>
  <c r="AQ16" i="81"/>
  <c r="T91" i="33"/>
  <c r="T118" i="33"/>
  <c r="T45" i="33"/>
  <c r="S54" i="32"/>
  <c r="G54" i="32"/>
  <c r="AF45" i="33"/>
  <c r="O54" i="32"/>
  <c r="N54" i="32"/>
  <c r="R54" i="32"/>
  <c r="X45" i="33"/>
  <c r="X118" i="33"/>
  <c r="S107" i="32"/>
  <c r="T107" i="32" s="1"/>
  <c r="X91" i="33"/>
  <c r="U107" i="32"/>
  <c r="V107" i="32" s="1"/>
  <c r="AQ16" i="85"/>
  <c r="AQ16" i="72"/>
  <c r="AQ16" i="48"/>
  <c r="C25" i="71"/>
  <c r="C80" i="71"/>
  <c r="AF91" i="33"/>
  <c r="AJ80" i="98" l="1"/>
  <c r="AJ80" i="104"/>
  <c r="AH104" i="13"/>
  <c r="AA27" i="90"/>
  <c r="AI27" i="90" s="1"/>
  <c r="AP27" i="90" s="1"/>
  <c r="Z33" i="100"/>
  <c r="AH33" i="100" s="1"/>
  <c r="AO33" i="100" s="1"/>
  <c r="V33" i="100"/>
  <c r="AD33" i="100" s="1"/>
  <c r="AK33" i="100" s="1"/>
  <c r="W33" i="100"/>
  <c r="AE33" i="100" s="1"/>
  <c r="AL33" i="100" s="1"/>
  <c r="Y33" i="100"/>
  <c r="AG33" i="100" s="1"/>
  <c r="AN33" i="100" s="1"/>
  <c r="AA27" i="95"/>
  <c r="AI27" i="95" s="1"/>
  <c r="AP27" i="95" s="1"/>
  <c r="AG104" i="13"/>
  <c r="S27" i="99"/>
  <c r="AA27" i="99" s="1"/>
  <c r="AI27" i="99" s="1"/>
  <c r="AP27" i="99" s="1"/>
  <c r="AA27" i="69"/>
  <c r="AI27" i="69" s="1"/>
  <c r="AP27" i="69" s="1"/>
  <c r="AK54" i="32"/>
  <c r="Y32" i="99"/>
  <c r="AG32" i="99" s="1"/>
  <c r="AN32" i="99" s="1"/>
  <c r="Z32" i="99"/>
  <c r="AH32" i="99" s="1"/>
  <c r="AO32" i="99" s="1"/>
  <c r="W32" i="99"/>
  <c r="AE32" i="99" s="1"/>
  <c r="AL32" i="99" s="1"/>
  <c r="V32" i="99"/>
  <c r="AD32" i="99" s="1"/>
  <c r="AK32" i="99" s="1"/>
  <c r="AA32" i="99"/>
  <c r="AI32" i="99" s="1"/>
  <c r="AP32" i="99" s="1"/>
  <c r="H24" i="5"/>
  <c r="U33" i="99"/>
  <c r="AA26" i="72"/>
  <c r="AI26" i="72" s="1"/>
  <c r="AP26" i="72" s="1"/>
  <c r="AA26" i="100"/>
  <c r="AI26" i="100" s="1"/>
  <c r="AP26" i="100" s="1"/>
  <c r="AA26" i="87"/>
  <c r="AI26" i="87" s="1"/>
  <c r="AP26" i="87" s="1"/>
  <c r="S27" i="77"/>
  <c r="AA26" i="51"/>
  <c r="AI26" i="51" s="1"/>
  <c r="AP26" i="51" s="1"/>
  <c r="AA26" i="79"/>
  <c r="AI26" i="79" s="1"/>
  <c r="AP26" i="79" s="1"/>
  <c r="AA26" i="81"/>
  <c r="AI26" i="81" s="1"/>
  <c r="AP26" i="81" s="1"/>
  <c r="AA26" i="84"/>
  <c r="AI26" i="84" s="1"/>
  <c r="AP26" i="84" s="1"/>
  <c r="AA26" i="55"/>
  <c r="AI26" i="55" s="1"/>
  <c r="AP26" i="55" s="1"/>
  <c r="AP23" i="99"/>
  <c r="S27" i="48"/>
  <c r="H28" i="100"/>
  <c r="S28" i="100" s="1"/>
  <c r="AA28" i="100" s="1"/>
  <c r="AI28" i="100" s="1"/>
  <c r="AP28" i="100" s="1"/>
  <c r="H28" i="99"/>
  <c r="B38" i="20"/>
  <c r="H28" i="56"/>
  <c r="S28" i="56" s="1"/>
  <c r="AA28" i="56" s="1"/>
  <c r="AI28" i="56" s="1"/>
  <c r="AP28" i="56" s="1"/>
  <c r="H28" i="48"/>
  <c r="S28" i="48" s="1"/>
  <c r="AA28" i="48" s="1"/>
  <c r="AI28" i="48" s="1"/>
  <c r="AP28" i="48" s="1"/>
  <c r="H28" i="49"/>
  <c r="H28" i="72"/>
  <c r="S28" i="72" s="1"/>
  <c r="AA28" i="72" s="1"/>
  <c r="AI28" i="72" s="1"/>
  <c r="AP28" i="72" s="1"/>
  <c r="H28" i="41"/>
  <c r="H28" i="69"/>
  <c r="H28" i="85"/>
  <c r="S28" i="85" s="1"/>
  <c r="AA28" i="85" s="1"/>
  <c r="AI28" i="85" s="1"/>
  <c r="AP28" i="85" s="1"/>
  <c r="H28" i="53"/>
  <c r="S28" i="53" s="1"/>
  <c r="AA28" i="53" s="1"/>
  <c r="AI28" i="53" s="1"/>
  <c r="AP28" i="53" s="1"/>
  <c r="H28" i="52"/>
  <c r="H28" i="84"/>
  <c r="S28" i="84" s="1"/>
  <c r="AA28" i="84" s="1"/>
  <c r="AI28" i="84" s="1"/>
  <c r="AP28" i="84" s="1"/>
  <c r="H28" i="90"/>
  <c r="H28" i="55"/>
  <c r="S28" i="55" s="1"/>
  <c r="AA28" i="55" s="1"/>
  <c r="AI28" i="55" s="1"/>
  <c r="AP28" i="55" s="1"/>
  <c r="H28" i="79"/>
  <c r="H28" i="64"/>
  <c r="H28" i="81"/>
  <c r="S28" i="81" s="1"/>
  <c r="AA28" i="81" s="1"/>
  <c r="AI28" i="81" s="1"/>
  <c r="AP28" i="81" s="1"/>
  <c r="H28" i="95"/>
  <c r="S28" i="95" s="1"/>
  <c r="H28" i="54"/>
  <c r="H28" i="87"/>
  <c r="H28" i="73"/>
  <c r="H28" i="88"/>
  <c r="S28" i="88" s="1"/>
  <c r="AA28" i="88" s="1"/>
  <c r="AI28" i="88" s="1"/>
  <c r="AP28" i="88" s="1"/>
  <c r="H28" i="47"/>
  <c r="S28" i="47" s="1"/>
  <c r="AA28" i="47" s="1"/>
  <c r="AI28" i="47" s="1"/>
  <c r="AP28" i="47" s="1"/>
  <c r="H28" i="50"/>
  <c r="S28" i="50" s="1"/>
  <c r="AA28" i="50" s="1"/>
  <c r="AI28" i="50" s="1"/>
  <c r="AP28" i="50" s="1"/>
  <c r="H28" i="46"/>
  <c r="S28" i="46" s="1"/>
  <c r="AA28" i="46" s="1"/>
  <c r="AI28" i="46" s="1"/>
  <c r="AP28" i="46" s="1"/>
  <c r="H28" i="51"/>
  <c r="S28" i="51" s="1"/>
  <c r="AA28" i="51" s="1"/>
  <c r="AI28" i="51" s="1"/>
  <c r="AP28" i="51" s="1"/>
  <c r="H28" i="77"/>
  <c r="S28" i="77" s="1"/>
  <c r="AA28" i="77" s="1"/>
  <c r="AI28" i="77" s="1"/>
  <c r="AP28" i="77" s="1"/>
  <c r="H28" i="83"/>
  <c r="S28" i="83" s="1"/>
  <c r="AA28" i="83" s="1"/>
  <c r="AI28" i="83" s="1"/>
  <c r="AP28" i="83" s="1"/>
  <c r="H28" i="82"/>
  <c r="H28" i="45"/>
  <c r="S28" i="45" s="1"/>
  <c r="AA28" i="45" s="1"/>
  <c r="AI28" i="45" s="1"/>
  <c r="AP28" i="45" s="1"/>
  <c r="H28" i="58"/>
  <c r="S28" i="58" s="1"/>
  <c r="AA28" i="58" s="1"/>
  <c r="AI28" i="58" s="1"/>
  <c r="AP28" i="58" s="1"/>
  <c r="H28" i="96"/>
  <c r="S28" i="96" s="1"/>
  <c r="AA28" i="96" s="1"/>
  <c r="AI28" i="96" s="1"/>
  <c r="AP28" i="96" s="1"/>
  <c r="AA26" i="45"/>
  <c r="AI26" i="45" s="1"/>
  <c r="AP26" i="45" s="1"/>
  <c r="AA26" i="47"/>
  <c r="AI26" i="47" s="1"/>
  <c r="AP26" i="47" s="1"/>
  <c r="AA26" i="54"/>
  <c r="AI26" i="54" s="1"/>
  <c r="AP26" i="54" s="1"/>
  <c r="S27" i="88"/>
  <c r="AA26" i="50"/>
  <c r="AI26" i="50" s="1"/>
  <c r="AP26" i="50" s="1"/>
  <c r="AA26" i="83"/>
  <c r="AI26" i="83" s="1"/>
  <c r="AP26" i="83" s="1"/>
  <c r="S27" i="41"/>
  <c r="S27" i="100"/>
  <c r="AA26" i="95"/>
  <c r="AI26" i="95" s="1"/>
  <c r="AP26" i="95" s="1"/>
  <c r="AA26" i="56"/>
  <c r="AI26" i="56" s="1"/>
  <c r="AP26" i="56" s="1"/>
  <c r="AA26" i="73"/>
  <c r="AI26" i="73" s="1"/>
  <c r="AP26" i="73" s="1"/>
  <c r="AA26" i="90"/>
  <c r="AI26" i="90" s="1"/>
  <c r="AP26" i="90" s="1"/>
  <c r="AA26" i="53"/>
  <c r="AI26" i="53" s="1"/>
  <c r="AP26" i="53" s="1"/>
  <c r="AA26" i="52"/>
  <c r="AI26" i="52" s="1"/>
  <c r="AP26" i="52" s="1"/>
  <c r="AA26" i="85"/>
  <c r="AI26" i="85" s="1"/>
  <c r="AP26" i="85" s="1"/>
  <c r="AA26" i="64"/>
  <c r="AI26" i="64" s="1"/>
  <c r="AP26" i="64" s="1"/>
  <c r="AA26" i="96"/>
  <c r="AI26" i="96" s="1"/>
  <c r="AP26" i="96" s="1"/>
  <c r="AA26" i="49"/>
  <c r="AI26" i="49" s="1"/>
  <c r="AP26" i="49" s="1"/>
  <c r="AA26" i="99"/>
  <c r="AA26" i="58"/>
  <c r="AI26" i="58" s="1"/>
  <c r="AP26" i="58" s="1"/>
  <c r="AA26" i="69"/>
  <c r="AI26" i="69" s="1"/>
  <c r="AP26" i="69" s="1"/>
  <c r="AA26" i="46"/>
  <c r="AI26" i="46" s="1"/>
  <c r="AP26" i="46" s="1"/>
  <c r="AP23" i="100"/>
  <c r="AL21" i="5"/>
  <c r="U22" i="90"/>
  <c r="AM25" i="5"/>
  <c r="AN25" i="5" s="1"/>
  <c r="AO25" i="5" s="1"/>
  <c r="AM24" i="5"/>
  <c r="AN24" i="5" s="1"/>
  <c r="AO24" i="5" s="1"/>
  <c r="AI22" i="46"/>
  <c r="AI22" i="56"/>
  <c r="V32" i="55"/>
  <c r="AD32" i="55" s="1"/>
  <c r="AK32" i="55" s="1"/>
  <c r="Z32" i="55"/>
  <c r="AH32" i="55" s="1"/>
  <c r="AO32" i="55" s="1"/>
  <c r="AA32" i="55"/>
  <c r="AI32" i="55" s="1"/>
  <c r="AP32" i="55" s="1"/>
  <c r="Y32" i="55"/>
  <c r="AG32" i="55" s="1"/>
  <c r="AN32" i="55" s="1"/>
  <c r="W32" i="55"/>
  <c r="AE32" i="55" s="1"/>
  <c r="AL32" i="55" s="1"/>
  <c r="AA32" i="48"/>
  <c r="AI32" i="48" s="1"/>
  <c r="AP32" i="48" s="1"/>
  <c r="Z32" i="48"/>
  <c r="AH32" i="48" s="1"/>
  <c r="AO32" i="48" s="1"/>
  <c r="W32" i="48"/>
  <c r="AE32" i="48" s="1"/>
  <c r="AL32" i="48" s="1"/>
  <c r="V32" i="48"/>
  <c r="AD32" i="48" s="1"/>
  <c r="AK32" i="48" s="1"/>
  <c r="Y32" i="48"/>
  <c r="AG32" i="48" s="1"/>
  <c r="AN32" i="48" s="1"/>
  <c r="Y32" i="52"/>
  <c r="AG32" i="52" s="1"/>
  <c r="AN32" i="52" s="1"/>
  <c r="AA32" i="52"/>
  <c r="AI32" i="52" s="1"/>
  <c r="AP32" i="52" s="1"/>
  <c r="W32" i="52"/>
  <c r="AE32" i="52" s="1"/>
  <c r="AL32" i="52" s="1"/>
  <c r="V32" i="52"/>
  <c r="AD32" i="52" s="1"/>
  <c r="AK32" i="52" s="1"/>
  <c r="Z32" i="52"/>
  <c r="AH32" i="52" s="1"/>
  <c r="AO32" i="52" s="1"/>
  <c r="W32" i="87"/>
  <c r="AE32" i="87" s="1"/>
  <c r="AL32" i="87" s="1"/>
  <c r="AA32" i="87"/>
  <c r="AI32" i="87" s="1"/>
  <c r="AP32" i="87" s="1"/>
  <c r="V32" i="87"/>
  <c r="AD32" i="87" s="1"/>
  <c r="AK32" i="87" s="1"/>
  <c r="Y32" i="87"/>
  <c r="AG32" i="87" s="1"/>
  <c r="AN32" i="87" s="1"/>
  <c r="Z32" i="87"/>
  <c r="AH32" i="87" s="1"/>
  <c r="AO32" i="87" s="1"/>
  <c r="Z32" i="72"/>
  <c r="AH32" i="72" s="1"/>
  <c r="AO32" i="72" s="1"/>
  <c r="W32" i="72"/>
  <c r="AE32" i="72" s="1"/>
  <c r="AL32" i="72" s="1"/>
  <c r="AA32" i="72"/>
  <c r="AI32" i="72" s="1"/>
  <c r="AP32" i="72" s="1"/>
  <c r="V32" i="72"/>
  <c r="AD32" i="72" s="1"/>
  <c r="AK32" i="72" s="1"/>
  <c r="Y32" i="72"/>
  <c r="AG32" i="72" s="1"/>
  <c r="AN32" i="72" s="1"/>
  <c r="Z32" i="64"/>
  <c r="AH32" i="64" s="1"/>
  <c r="AO32" i="64" s="1"/>
  <c r="W32" i="64"/>
  <c r="AE32" i="64" s="1"/>
  <c r="AL32" i="64" s="1"/>
  <c r="AA32" i="64"/>
  <c r="AI32" i="64" s="1"/>
  <c r="AP32" i="64" s="1"/>
  <c r="Y32" i="64"/>
  <c r="AG32" i="64" s="1"/>
  <c r="AN32" i="64" s="1"/>
  <c r="V32" i="64"/>
  <c r="AD32" i="64" s="1"/>
  <c r="AK32" i="64" s="1"/>
  <c r="Y32" i="90"/>
  <c r="AG32" i="90" s="1"/>
  <c r="AN32" i="90" s="1"/>
  <c r="V32" i="90"/>
  <c r="AD32" i="90" s="1"/>
  <c r="AK32" i="90" s="1"/>
  <c r="Z32" i="90"/>
  <c r="AH32" i="90" s="1"/>
  <c r="AO32" i="90" s="1"/>
  <c r="W32" i="90"/>
  <c r="AE32" i="90" s="1"/>
  <c r="AL32" i="90" s="1"/>
  <c r="AA32" i="90"/>
  <c r="AI32" i="90" s="1"/>
  <c r="AP32" i="90" s="1"/>
  <c r="Y32" i="96"/>
  <c r="AG32" i="96" s="1"/>
  <c r="AN32" i="96" s="1"/>
  <c r="V32" i="96"/>
  <c r="AD32" i="96" s="1"/>
  <c r="AK32" i="96" s="1"/>
  <c r="W32" i="96"/>
  <c r="AE32" i="96" s="1"/>
  <c r="AL32" i="96" s="1"/>
  <c r="Z32" i="96"/>
  <c r="AH32" i="96" s="1"/>
  <c r="AO32" i="96" s="1"/>
  <c r="AA32" i="96"/>
  <c r="AI32" i="96" s="1"/>
  <c r="AP32" i="96" s="1"/>
  <c r="AI22" i="50"/>
  <c r="AI22" i="84"/>
  <c r="AI22" i="41"/>
  <c r="AI22" i="69"/>
  <c r="V32" i="49"/>
  <c r="AD32" i="49" s="1"/>
  <c r="AK32" i="49" s="1"/>
  <c r="AA32" i="49"/>
  <c r="AI32" i="49" s="1"/>
  <c r="AP32" i="49" s="1"/>
  <c r="W32" i="49"/>
  <c r="AE32" i="49" s="1"/>
  <c r="AL32" i="49" s="1"/>
  <c r="Z32" i="49"/>
  <c r="AH32" i="49" s="1"/>
  <c r="AO32" i="49" s="1"/>
  <c r="Y32" i="49"/>
  <c r="AG32" i="49" s="1"/>
  <c r="AN32" i="49" s="1"/>
  <c r="Z32" i="46"/>
  <c r="AH32" i="46" s="1"/>
  <c r="AO32" i="46" s="1"/>
  <c r="W32" i="46"/>
  <c r="AE32" i="46" s="1"/>
  <c r="AL32" i="46" s="1"/>
  <c r="AA32" i="46"/>
  <c r="AI32" i="46" s="1"/>
  <c r="AP32" i="46" s="1"/>
  <c r="Y32" i="46"/>
  <c r="AG32" i="46" s="1"/>
  <c r="AN32" i="46" s="1"/>
  <c r="V32" i="46"/>
  <c r="AD32" i="46" s="1"/>
  <c r="AK32" i="46" s="1"/>
  <c r="AA32" i="77"/>
  <c r="AI32" i="77" s="1"/>
  <c r="AP32" i="77" s="1"/>
  <c r="V32" i="77"/>
  <c r="AD32" i="77" s="1"/>
  <c r="AK32" i="77" s="1"/>
  <c r="W32" i="77"/>
  <c r="AE32" i="77" s="1"/>
  <c r="AL32" i="77" s="1"/>
  <c r="Z32" i="77"/>
  <c r="AH32" i="77" s="1"/>
  <c r="AO32" i="77" s="1"/>
  <c r="Y32" i="77"/>
  <c r="AG32" i="77" s="1"/>
  <c r="AN32" i="77" s="1"/>
  <c r="Y32" i="73"/>
  <c r="AG32" i="73" s="1"/>
  <c r="AN32" i="73" s="1"/>
  <c r="V32" i="73"/>
  <c r="AD32" i="73" s="1"/>
  <c r="AK32" i="73" s="1"/>
  <c r="AA32" i="73"/>
  <c r="AI32" i="73" s="1"/>
  <c r="AP32" i="73" s="1"/>
  <c r="W32" i="73"/>
  <c r="AE32" i="73" s="1"/>
  <c r="AL32" i="73" s="1"/>
  <c r="Z32" i="73"/>
  <c r="AH32" i="73" s="1"/>
  <c r="AO32" i="73" s="1"/>
  <c r="AA32" i="79"/>
  <c r="AI32" i="79" s="1"/>
  <c r="AP32" i="79" s="1"/>
  <c r="W32" i="79"/>
  <c r="AE32" i="79" s="1"/>
  <c r="AL32" i="79" s="1"/>
  <c r="Z32" i="79"/>
  <c r="AH32" i="79" s="1"/>
  <c r="AO32" i="79" s="1"/>
  <c r="Y32" i="79"/>
  <c r="AG32" i="79" s="1"/>
  <c r="AN32" i="79" s="1"/>
  <c r="V32" i="79"/>
  <c r="AD32" i="79" s="1"/>
  <c r="AK32" i="79" s="1"/>
  <c r="AA32" i="88"/>
  <c r="AI32" i="88" s="1"/>
  <c r="AP32" i="88" s="1"/>
  <c r="V32" i="88"/>
  <c r="AD32" i="88" s="1"/>
  <c r="AK32" i="88" s="1"/>
  <c r="Y32" i="88"/>
  <c r="AG32" i="88" s="1"/>
  <c r="AN32" i="88" s="1"/>
  <c r="Z32" i="88"/>
  <c r="AH32" i="88" s="1"/>
  <c r="AO32" i="88" s="1"/>
  <c r="W32" i="88"/>
  <c r="AE32" i="88" s="1"/>
  <c r="AL32" i="88" s="1"/>
  <c r="AA32" i="51"/>
  <c r="AI32" i="51" s="1"/>
  <c r="AP32" i="51" s="1"/>
  <c r="Z32" i="51"/>
  <c r="AH32" i="51" s="1"/>
  <c r="AO32" i="51" s="1"/>
  <c r="W32" i="51"/>
  <c r="AE32" i="51" s="1"/>
  <c r="AL32" i="51" s="1"/>
  <c r="V32" i="51"/>
  <c r="AD32" i="51" s="1"/>
  <c r="AK32" i="51" s="1"/>
  <c r="Y32" i="51"/>
  <c r="AG32" i="51" s="1"/>
  <c r="AN32" i="51" s="1"/>
  <c r="AI22" i="51"/>
  <c r="AI22" i="58"/>
  <c r="AI22" i="73"/>
  <c r="AI22" i="52"/>
  <c r="AI22" i="47"/>
  <c r="AI22" i="82"/>
  <c r="AI22" i="54"/>
  <c r="AI22" i="53"/>
  <c r="AI22" i="83"/>
  <c r="AI22" i="88"/>
  <c r="AI22" i="81"/>
  <c r="AA32" i="82"/>
  <c r="AI32" i="82" s="1"/>
  <c r="AP32" i="82" s="1"/>
  <c r="Y32" i="82"/>
  <c r="AG32" i="82" s="1"/>
  <c r="AN32" i="82" s="1"/>
  <c r="Z32" i="82"/>
  <c r="AH32" i="82" s="1"/>
  <c r="AO32" i="82" s="1"/>
  <c r="W32" i="82"/>
  <c r="AE32" i="82" s="1"/>
  <c r="AL32" i="82" s="1"/>
  <c r="V32" i="82"/>
  <c r="AD32" i="82" s="1"/>
  <c r="AK32" i="82" s="1"/>
  <c r="AA32" i="56"/>
  <c r="AI32" i="56" s="1"/>
  <c r="AP32" i="56" s="1"/>
  <c r="Z32" i="56"/>
  <c r="AH32" i="56" s="1"/>
  <c r="AO32" i="56" s="1"/>
  <c r="V32" i="56"/>
  <c r="AD32" i="56" s="1"/>
  <c r="AK32" i="56" s="1"/>
  <c r="Y32" i="56"/>
  <c r="AG32" i="56" s="1"/>
  <c r="AN32" i="56" s="1"/>
  <c r="W32" i="56"/>
  <c r="AE32" i="56" s="1"/>
  <c r="AL32" i="56" s="1"/>
  <c r="AA32" i="45"/>
  <c r="AI32" i="45" s="1"/>
  <c r="AP32" i="45" s="1"/>
  <c r="W32" i="45"/>
  <c r="AE32" i="45" s="1"/>
  <c r="AL32" i="45" s="1"/>
  <c r="Z32" i="45"/>
  <c r="AH32" i="45" s="1"/>
  <c r="AO32" i="45" s="1"/>
  <c r="V32" i="45"/>
  <c r="AD32" i="45" s="1"/>
  <c r="AK32" i="45" s="1"/>
  <c r="Y32" i="45"/>
  <c r="AG32" i="45" s="1"/>
  <c r="AN32" i="45" s="1"/>
  <c r="W32" i="53"/>
  <c r="AE32" i="53" s="1"/>
  <c r="AL32" i="53" s="1"/>
  <c r="AA32" i="53"/>
  <c r="AI32" i="53" s="1"/>
  <c r="AP32" i="53" s="1"/>
  <c r="V32" i="53"/>
  <c r="AD32" i="53" s="1"/>
  <c r="AK32" i="53" s="1"/>
  <c r="Y32" i="53"/>
  <c r="AG32" i="53" s="1"/>
  <c r="AN32" i="53" s="1"/>
  <c r="Z32" i="53"/>
  <c r="AH32" i="53" s="1"/>
  <c r="AO32" i="53" s="1"/>
  <c r="Y32" i="81"/>
  <c r="AG32" i="81" s="1"/>
  <c r="AN32" i="81" s="1"/>
  <c r="Z32" i="81"/>
  <c r="AH32" i="81" s="1"/>
  <c r="AO32" i="81" s="1"/>
  <c r="V32" i="81"/>
  <c r="AD32" i="81" s="1"/>
  <c r="AK32" i="81" s="1"/>
  <c r="AA32" i="81"/>
  <c r="AI32" i="81" s="1"/>
  <c r="AP32" i="81" s="1"/>
  <c r="W32" i="81"/>
  <c r="AE32" i="81" s="1"/>
  <c r="AL32" i="81" s="1"/>
  <c r="Y32" i="95"/>
  <c r="AG32" i="95" s="1"/>
  <c r="AN32" i="95" s="1"/>
  <c r="AA32" i="95"/>
  <c r="AI32" i="95" s="1"/>
  <c r="AP32" i="95" s="1"/>
  <c r="Z32" i="95"/>
  <c r="AH32" i="95" s="1"/>
  <c r="AO32" i="95" s="1"/>
  <c r="W32" i="95"/>
  <c r="AE32" i="95" s="1"/>
  <c r="AL32" i="95" s="1"/>
  <c r="V32" i="95"/>
  <c r="AD32" i="95" s="1"/>
  <c r="AK32" i="95" s="1"/>
  <c r="Z32" i="83"/>
  <c r="AH32" i="83" s="1"/>
  <c r="AO32" i="83" s="1"/>
  <c r="AA32" i="83"/>
  <c r="AI32" i="83" s="1"/>
  <c r="AP32" i="83" s="1"/>
  <c r="Y32" i="83"/>
  <c r="AG32" i="83" s="1"/>
  <c r="AN32" i="83" s="1"/>
  <c r="W32" i="83"/>
  <c r="AE32" i="83" s="1"/>
  <c r="AL32" i="83" s="1"/>
  <c r="V32" i="83"/>
  <c r="AD32" i="83" s="1"/>
  <c r="AK32" i="83" s="1"/>
  <c r="AA32" i="85"/>
  <c r="AI32" i="85" s="1"/>
  <c r="AP32" i="85" s="1"/>
  <c r="V32" i="85"/>
  <c r="AD32" i="85" s="1"/>
  <c r="AK32" i="85" s="1"/>
  <c r="W32" i="85"/>
  <c r="AE32" i="85" s="1"/>
  <c r="AL32" i="85" s="1"/>
  <c r="Z32" i="85"/>
  <c r="AH32" i="85" s="1"/>
  <c r="AO32" i="85" s="1"/>
  <c r="Y32" i="85"/>
  <c r="AG32" i="85" s="1"/>
  <c r="AN32" i="85" s="1"/>
  <c r="AI22" i="49"/>
  <c r="AI22" i="55"/>
  <c r="AI22" i="48"/>
  <c r="AI22" i="85"/>
  <c r="AI22" i="87"/>
  <c r="AI22" i="77"/>
  <c r="V32" i="47"/>
  <c r="AD32" i="47" s="1"/>
  <c r="AK32" i="47" s="1"/>
  <c r="AA32" i="47"/>
  <c r="AI32" i="47" s="1"/>
  <c r="AP32" i="47" s="1"/>
  <c r="Y32" i="47"/>
  <c r="AG32" i="47" s="1"/>
  <c r="AN32" i="47" s="1"/>
  <c r="W32" i="47"/>
  <c r="AE32" i="47" s="1"/>
  <c r="AL32" i="47" s="1"/>
  <c r="Z32" i="47"/>
  <c r="AH32" i="47" s="1"/>
  <c r="AO32" i="47" s="1"/>
  <c r="Z32" i="84"/>
  <c r="AH32" i="84" s="1"/>
  <c r="AO32" i="84" s="1"/>
  <c r="W32" i="84"/>
  <c r="AE32" i="84" s="1"/>
  <c r="AL32" i="84" s="1"/>
  <c r="AA32" i="84"/>
  <c r="AI32" i="84" s="1"/>
  <c r="AP32" i="84" s="1"/>
  <c r="V32" i="84"/>
  <c r="AD32" i="84" s="1"/>
  <c r="AK32" i="84" s="1"/>
  <c r="Y32" i="84"/>
  <c r="AG32" i="84" s="1"/>
  <c r="AN32" i="84" s="1"/>
  <c r="V32" i="41"/>
  <c r="AD32" i="41" s="1"/>
  <c r="AK32" i="41" s="1"/>
  <c r="W32" i="41"/>
  <c r="AE32" i="41" s="1"/>
  <c r="AL32" i="41" s="1"/>
  <c r="Y32" i="41"/>
  <c r="AG32" i="41" s="1"/>
  <c r="AN32" i="41" s="1"/>
  <c r="Z32" i="41"/>
  <c r="AH32" i="41" s="1"/>
  <c r="AO32" i="41" s="1"/>
  <c r="AA32" i="41"/>
  <c r="AI32" i="41" s="1"/>
  <c r="AP32" i="41" s="1"/>
  <c r="AA32" i="54"/>
  <c r="AI32" i="54" s="1"/>
  <c r="AP32" i="54" s="1"/>
  <c r="Z32" i="54"/>
  <c r="AH32" i="54" s="1"/>
  <c r="AO32" i="54" s="1"/>
  <c r="W32" i="54"/>
  <c r="AE32" i="54" s="1"/>
  <c r="AL32" i="54" s="1"/>
  <c r="V32" i="54"/>
  <c r="AD32" i="54" s="1"/>
  <c r="AK32" i="54" s="1"/>
  <c r="Y32" i="54"/>
  <c r="AG32" i="54" s="1"/>
  <c r="AN32" i="54" s="1"/>
  <c r="AA32" i="69"/>
  <c r="AI32" i="69" s="1"/>
  <c r="AP32" i="69" s="1"/>
  <c r="V32" i="69"/>
  <c r="AD32" i="69" s="1"/>
  <c r="AK32" i="69" s="1"/>
  <c r="Y32" i="69"/>
  <c r="AG32" i="69" s="1"/>
  <c r="AN32" i="69" s="1"/>
  <c r="Z32" i="69"/>
  <c r="AH32" i="69" s="1"/>
  <c r="AO32" i="69" s="1"/>
  <c r="W32" i="69"/>
  <c r="AE32" i="69" s="1"/>
  <c r="AL32" i="69" s="1"/>
  <c r="Z32" i="58"/>
  <c r="AH32" i="58" s="1"/>
  <c r="AO32" i="58" s="1"/>
  <c r="Y32" i="58"/>
  <c r="AG32" i="58" s="1"/>
  <c r="AN32" i="58" s="1"/>
  <c r="AA32" i="58"/>
  <c r="AI32" i="58" s="1"/>
  <c r="AP32" i="58" s="1"/>
  <c r="V32" i="58"/>
  <c r="AD32" i="58" s="1"/>
  <c r="AK32" i="58" s="1"/>
  <c r="W32" i="58"/>
  <c r="AE32" i="58" s="1"/>
  <c r="AL32" i="58" s="1"/>
  <c r="V32" i="50"/>
  <c r="AD32" i="50" s="1"/>
  <c r="AK32" i="50" s="1"/>
  <c r="Y32" i="50"/>
  <c r="AG32" i="50" s="1"/>
  <c r="AN32" i="50" s="1"/>
  <c r="AA32" i="50"/>
  <c r="AI32" i="50" s="1"/>
  <c r="AP32" i="50" s="1"/>
  <c r="W32" i="50"/>
  <c r="AE32" i="50" s="1"/>
  <c r="AL32" i="50" s="1"/>
  <c r="Z32" i="50"/>
  <c r="AH32" i="50" s="1"/>
  <c r="AO32" i="50" s="1"/>
  <c r="U33" i="96"/>
  <c r="U33" i="58"/>
  <c r="U33" i="52"/>
  <c r="U33" i="73"/>
  <c r="U33" i="82"/>
  <c r="U33" i="56"/>
  <c r="U33" i="54"/>
  <c r="U33" i="85"/>
  <c r="U33" i="84"/>
  <c r="U33" i="95"/>
  <c r="U33" i="47"/>
  <c r="U33" i="49"/>
  <c r="U33" i="87"/>
  <c r="U33" i="88"/>
  <c r="U33" i="48"/>
  <c r="U33" i="72"/>
  <c r="U33" i="51"/>
  <c r="U33" i="77"/>
  <c r="U33" i="81"/>
  <c r="U33" i="83"/>
  <c r="U33" i="41"/>
  <c r="U33" i="46"/>
  <c r="U33" i="64"/>
  <c r="U33" i="69"/>
  <c r="U33" i="55"/>
  <c r="U33" i="50"/>
  <c r="U33" i="45"/>
  <c r="U33" i="53"/>
  <c r="U33" i="79"/>
  <c r="U33" i="90"/>
  <c r="AI22" i="45"/>
  <c r="AI22" i="79"/>
  <c r="AI22" i="72"/>
  <c r="AI22" i="64"/>
  <c r="B16" i="2"/>
  <c r="H107" i="32"/>
  <c r="S28" i="41" l="1"/>
  <c r="AA28" i="41" s="1"/>
  <c r="AI28" i="41" s="1"/>
  <c r="AP28" i="41" s="1"/>
  <c r="U40" i="100"/>
  <c r="AA28" i="95"/>
  <c r="AI28" i="95" s="1"/>
  <c r="AP28" i="95" s="1"/>
  <c r="W33" i="99"/>
  <c r="AE33" i="99" s="1"/>
  <c r="AL33" i="99" s="1"/>
  <c r="Y33" i="99"/>
  <c r="AG33" i="99" s="1"/>
  <c r="AN33" i="99" s="1"/>
  <c r="V33" i="99"/>
  <c r="AD33" i="99" s="1"/>
  <c r="AK33" i="99" s="1"/>
  <c r="Z33" i="99"/>
  <c r="AH33" i="99" s="1"/>
  <c r="AO33" i="99" s="1"/>
  <c r="H25" i="5"/>
  <c r="U31" i="100" s="1"/>
  <c r="U40" i="99"/>
  <c r="AI26" i="99"/>
  <c r="S28" i="64"/>
  <c r="S28" i="69"/>
  <c r="AA27" i="77"/>
  <c r="AI27" i="77" s="1"/>
  <c r="AP27" i="77" s="1"/>
  <c r="AA27" i="48"/>
  <c r="AI27" i="48" s="1"/>
  <c r="AP27" i="48" s="1"/>
  <c r="AA27" i="100"/>
  <c r="S28" i="82"/>
  <c r="S28" i="73"/>
  <c r="S28" i="90"/>
  <c r="S28" i="49"/>
  <c r="S28" i="87"/>
  <c r="S28" i="99"/>
  <c r="S28" i="79"/>
  <c r="AA27" i="41"/>
  <c r="AI27" i="41" s="1"/>
  <c r="AP27" i="41" s="1"/>
  <c r="S28" i="54"/>
  <c r="S28" i="52"/>
  <c r="AA27" i="88"/>
  <c r="AI27" i="88" s="1"/>
  <c r="AP27" i="88" s="1"/>
  <c r="H33" i="100"/>
  <c r="H33" i="99"/>
  <c r="H33" i="88"/>
  <c r="H33" i="84"/>
  <c r="H33" i="90"/>
  <c r="S33" i="90" s="1"/>
  <c r="H33" i="82"/>
  <c r="S33" i="82" s="1"/>
  <c r="AA33" i="82" s="1"/>
  <c r="AI33" i="82" s="1"/>
  <c r="AP33" i="82" s="1"/>
  <c r="H33" i="69"/>
  <c r="S33" i="69" s="1"/>
  <c r="H33" i="83"/>
  <c r="H33" i="55"/>
  <c r="H33" i="46"/>
  <c r="S33" i="46" s="1"/>
  <c r="S18" i="46" s="1"/>
  <c r="H33" i="73"/>
  <c r="S33" i="73" s="1"/>
  <c r="AA33" i="73" s="1"/>
  <c r="AI33" i="73" s="1"/>
  <c r="AP33" i="73" s="1"/>
  <c r="H33" i="53"/>
  <c r="H33" i="49"/>
  <c r="S33" i="49" s="1"/>
  <c r="AA33" i="49" s="1"/>
  <c r="AI33" i="49" s="1"/>
  <c r="AP33" i="49" s="1"/>
  <c r="H33" i="79"/>
  <c r="S33" i="79" s="1"/>
  <c r="AA33" i="79" s="1"/>
  <c r="AI33" i="79" s="1"/>
  <c r="AP33" i="79" s="1"/>
  <c r="H33" i="41"/>
  <c r="H33" i="50"/>
  <c r="S33" i="50" s="1"/>
  <c r="AA33" i="50" s="1"/>
  <c r="AI33" i="50" s="1"/>
  <c r="AP33" i="50" s="1"/>
  <c r="H33" i="77"/>
  <c r="H33" i="58"/>
  <c r="S33" i="58" s="1"/>
  <c r="S18" i="58" s="1"/>
  <c r="H33" i="64"/>
  <c r="S33" i="64" s="1"/>
  <c r="AA33" i="64" s="1"/>
  <c r="AI33" i="64" s="1"/>
  <c r="AP33" i="64" s="1"/>
  <c r="H33" i="54"/>
  <c r="S33" i="54" s="1"/>
  <c r="AA33" i="54" s="1"/>
  <c r="AI33" i="54" s="1"/>
  <c r="AP33" i="54" s="1"/>
  <c r="H33" i="51"/>
  <c r="H33" i="96"/>
  <c r="S33" i="96" s="1"/>
  <c r="S18" i="96" s="1"/>
  <c r="H33" i="87"/>
  <c r="S33" i="87" s="1"/>
  <c r="AA33" i="87" s="1"/>
  <c r="AI33" i="87" s="1"/>
  <c r="AP33" i="87" s="1"/>
  <c r="H33" i="48"/>
  <c r="H33" i="52"/>
  <c r="S33" i="52" s="1"/>
  <c r="AA33" i="52" s="1"/>
  <c r="AI33" i="52" s="1"/>
  <c r="AP33" i="52" s="1"/>
  <c r="H33" i="47"/>
  <c r="S33" i="47" s="1"/>
  <c r="S18" i="47" s="1"/>
  <c r="H33" i="95"/>
  <c r="H33" i="72"/>
  <c r="H33" i="56"/>
  <c r="H33" i="45"/>
  <c r="H33" i="85"/>
  <c r="S33" i="85" s="1"/>
  <c r="S18" i="85" s="1"/>
  <c r="H33" i="81"/>
  <c r="S33" i="81" s="1"/>
  <c r="AA33" i="81" s="1"/>
  <c r="AI33" i="81" s="1"/>
  <c r="AP33" i="81" s="1"/>
  <c r="AA22" i="90"/>
  <c r="AI22" i="90" s="1"/>
  <c r="AP22" i="90" s="1"/>
  <c r="Z22" i="90"/>
  <c r="AH22" i="90" s="1"/>
  <c r="AO22" i="90" s="1"/>
  <c r="W22" i="90"/>
  <c r="AE22" i="90" s="1"/>
  <c r="AL22" i="90" s="1"/>
  <c r="X22" i="90"/>
  <c r="AF22" i="90" s="1"/>
  <c r="AM22" i="90" s="1"/>
  <c r="V22" i="90"/>
  <c r="AD22" i="90" s="1"/>
  <c r="AK22" i="90" s="1"/>
  <c r="AM21" i="5"/>
  <c r="AN21" i="5" s="1"/>
  <c r="U22" i="95"/>
  <c r="W33" i="77"/>
  <c r="AE33" i="77" s="1"/>
  <c r="AL33" i="77" s="1"/>
  <c r="Y33" i="77"/>
  <c r="AG33" i="77" s="1"/>
  <c r="AN33" i="77" s="1"/>
  <c r="Z33" i="77"/>
  <c r="AH33" i="77" s="1"/>
  <c r="AO33" i="77" s="1"/>
  <c r="V33" i="77"/>
  <c r="AD33" i="77" s="1"/>
  <c r="AK33" i="77" s="1"/>
  <c r="AP22" i="49"/>
  <c r="AP22" i="88"/>
  <c r="AP22" i="47"/>
  <c r="AP22" i="73"/>
  <c r="AP22" i="58"/>
  <c r="AP22" i="41"/>
  <c r="AP22" i="64"/>
  <c r="AP22" i="79"/>
  <c r="Z33" i="50"/>
  <c r="AH33" i="50" s="1"/>
  <c r="AO33" i="50" s="1"/>
  <c r="W33" i="50"/>
  <c r="AE33" i="50" s="1"/>
  <c r="AL33" i="50" s="1"/>
  <c r="Y33" i="50"/>
  <c r="AG33" i="50" s="1"/>
  <c r="AN33" i="50" s="1"/>
  <c r="V33" i="50"/>
  <c r="AD33" i="50" s="1"/>
  <c r="AK33" i="50" s="1"/>
  <c r="Z33" i="95"/>
  <c r="AH33" i="95" s="1"/>
  <c r="AO33" i="95" s="1"/>
  <c r="Y33" i="95"/>
  <c r="AG33" i="95" s="1"/>
  <c r="AN33" i="95" s="1"/>
  <c r="V33" i="95"/>
  <c r="AD33" i="95" s="1"/>
  <c r="AK33" i="95" s="1"/>
  <c r="W33" i="95"/>
  <c r="AE33" i="95" s="1"/>
  <c r="AL33" i="95" s="1"/>
  <c r="V33" i="56"/>
  <c r="AD33" i="56" s="1"/>
  <c r="AK33" i="56" s="1"/>
  <c r="W33" i="56"/>
  <c r="AE33" i="56" s="1"/>
  <c r="AL33" i="56" s="1"/>
  <c r="Z33" i="56"/>
  <c r="AH33" i="56" s="1"/>
  <c r="AO33" i="56" s="1"/>
  <c r="Y33" i="56"/>
  <c r="AG33" i="56" s="1"/>
  <c r="AN33" i="56" s="1"/>
  <c r="V33" i="79"/>
  <c r="AD33" i="79" s="1"/>
  <c r="AK33" i="79" s="1"/>
  <c r="W33" i="79"/>
  <c r="AE33" i="79" s="1"/>
  <c r="AL33" i="79" s="1"/>
  <c r="Y33" i="79"/>
  <c r="AG33" i="79" s="1"/>
  <c r="AN33" i="79" s="1"/>
  <c r="Z33" i="79"/>
  <c r="AH33" i="79" s="1"/>
  <c r="AO33" i="79" s="1"/>
  <c r="Z33" i="55"/>
  <c r="AH33" i="55" s="1"/>
  <c r="AO33" i="55" s="1"/>
  <c r="Y33" i="55"/>
  <c r="AG33" i="55" s="1"/>
  <c r="AN33" i="55" s="1"/>
  <c r="V33" i="55"/>
  <c r="AD33" i="55" s="1"/>
  <c r="AK33" i="55" s="1"/>
  <c r="W33" i="55"/>
  <c r="AE33" i="55" s="1"/>
  <c r="AL33" i="55" s="1"/>
  <c r="W33" i="41"/>
  <c r="AE33" i="41" s="1"/>
  <c r="AL33" i="41" s="1"/>
  <c r="Z33" i="41"/>
  <c r="AH33" i="41" s="1"/>
  <c r="AO33" i="41" s="1"/>
  <c r="Y33" i="41"/>
  <c r="AG33" i="41" s="1"/>
  <c r="AN33" i="41" s="1"/>
  <c r="V33" i="41"/>
  <c r="AD33" i="41" s="1"/>
  <c r="AK33" i="41" s="1"/>
  <c r="V33" i="51"/>
  <c r="AD33" i="51" s="1"/>
  <c r="AK33" i="51" s="1"/>
  <c r="W33" i="51"/>
  <c r="AE33" i="51" s="1"/>
  <c r="AL33" i="51" s="1"/>
  <c r="Z33" i="51"/>
  <c r="AH33" i="51" s="1"/>
  <c r="AO33" i="51" s="1"/>
  <c r="Y33" i="51"/>
  <c r="AG33" i="51" s="1"/>
  <c r="AN33" i="51" s="1"/>
  <c r="V33" i="87"/>
  <c r="AD33" i="87" s="1"/>
  <c r="AK33" i="87" s="1"/>
  <c r="Z33" i="87"/>
  <c r="AH33" i="87" s="1"/>
  <c r="AO33" i="87" s="1"/>
  <c r="W33" i="87"/>
  <c r="AE33" i="87" s="1"/>
  <c r="AL33" i="87" s="1"/>
  <c r="Y33" i="87"/>
  <c r="AG33" i="87" s="1"/>
  <c r="AN33" i="87" s="1"/>
  <c r="V33" i="84"/>
  <c r="AD33" i="84" s="1"/>
  <c r="AK33" i="84" s="1"/>
  <c r="Y33" i="84"/>
  <c r="AG33" i="84" s="1"/>
  <c r="AN33" i="84" s="1"/>
  <c r="Z33" i="84"/>
  <c r="AH33" i="84" s="1"/>
  <c r="AO33" i="84" s="1"/>
  <c r="W33" i="84"/>
  <c r="AE33" i="84" s="1"/>
  <c r="AL33" i="84" s="1"/>
  <c r="W33" i="82"/>
  <c r="AE33" i="82" s="1"/>
  <c r="AL33" i="82" s="1"/>
  <c r="Y33" i="82"/>
  <c r="AG33" i="82" s="1"/>
  <c r="AN33" i="82" s="1"/>
  <c r="V33" i="82"/>
  <c r="AD33" i="82" s="1"/>
  <c r="AK33" i="82" s="1"/>
  <c r="Z33" i="82"/>
  <c r="AH33" i="82" s="1"/>
  <c r="AO33" i="82" s="1"/>
  <c r="W33" i="96"/>
  <c r="AE33" i="96" s="1"/>
  <c r="AL33" i="96" s="1"/>
  <c r="V33" i="96"/>
  <c r="AD33" i="96" s="1"/>
  <c r="AK33" i="96" s="1"/>
  <c r="Y33" i="96"/>
  <c r="AG33" i="96" s="1"/>
  <c r="AN33" i="96" s="1"/>
  <c r="Z33" i="96"/>
  <c r="AH33" i="96" s="1"/>
  <c r="AO33" i="96" s="1"/>
  <c r="AP22" i="85"/>
  <c r="AP22" i="55"/>
  <c r="AP22" i="54"/>
  <c r="AP22" i="84"/>
  <c r="AP22" i="56"/>
  <c r="U40" i="96"/>
  <c r="U40" i="95"/>
  <c r="U40" i="77"/>
  <c r="U40" i="41"/>
  <c r="U40" i="72"/>
  <c r="U40" i="81"/>
  <c r="U40" i="64"/>
  <c r="U40" i="56"/>
  <c r="U40" i="79"/>
  <c r="U40" i="49"/>
  <c r="U40" i="53"/>
  <c r="U40" i="88"/>
  <c r="U40" i="47"/>
  <c r="U40" i="52"/>
  <c r="U40" i="45"/>
  <c r="U40" i="50"/>
  <c r="U40" i="84"/>
  <c r="U40" i="51"/>
  <c r="U40" i="48"/>
  <c r="U40" i="82"/>
  <c r="U40" i="55"/>
  <c r="U40" i="69"/>
  <c r="U40" i="85"/>
  <c r="U40" i="54"/>
  <c r="U40" i="58"/>
  <c r="U40" i="73"/>
  <c r="U40" i="87"/>
  <c r="U40" i="46"/>
  <c r="U40" i="83"/>
  <c r="U40" i="90"/>
  <c r="Z33" i="46"/>
  <c r="AH33" i="46" s="1"/>
  <c r="AO33" i="46" s="1"/>
  <c r="W33" i="46"/>
  <c r="AE33" i="46" s="1"/>
  <c r="AL33" i="46" s="1"/>
  <c r="V33" i="46"/>
  <c r="AD33" i="46" s="1"/>
  <c r="AK33" i="46" s="1"/>
  <c r="Y33" i="46"/>
  <c r="AG33" i="46" s="1"/>
  <c r="AN33" i="46" s="1"/>
  <c r="Z33" i="88"/>
  <c r="AH33" i="88" s="1"/>
  <c r="AO33" i="88" s="1"/>
  <c r="W33" i="88"/>
  <c r="AE33" i="88" s="1"/>
  <c r="AL33" i="88" s="1"/>
  <c r="V33" i="88"/>
  <c r="AD33" i="88" s="1"/>
  <c r="AK33" i="88" s="1"/>
  <c r="Y33" i="88"/>
  <c r="AG33" i="88" s="1"/>
  <c r="AN33" i="88" s="1"/>
  <c r="Z33" i="58"/>
  <c r="AH33" i="58" s="1"/>
  <c r="AO33" i="58" s="1"/>
  <c r="W33" i="58"/>
  <c r="AE33" i="58" s="1"/>
  <c r="AL33" i="58" s="1"/>
  <c r="Y33" i="58"/>
  <c r="AG33" i="58" s="1"/>
  <c r="AN33" i="58" s="1"/>
  <c r="V33" i="58"/>
  <c r="AD33" i="58" s="1"/>
  <c r="AK33" i="58" s="1"/>
  <c r="AP22" i="72"/>
  <c r="AP22" i="45"/>
  <c r="Y33" i="53"/>
  <c r="AG33" i="53" s="1"/>
  <c r="AN33" i="53" s="1"/>
  <c r="W33" i="53"/>
  <c r="AE33" i="53" s="1"/>
  <c r="AL33" i="53" s="1"/>
  <c r="V33" i="53"/>
  <c r="AD33" i="53" s="1"/>
  <c r="AK33" i="53" s="1"/>
  <c r="Z33" i="53"/>
  <c r="AH33" i="53" s="1"/>
  <c r="AO33" i="53" s="1"/>
  <c r="W33" i="69"/>
  <c r="AE33" i="69" s="1"/>
  <c r="AL33" i="69" s="1"/>
  <c r="Z33" i="69"/>
  <c r="AH33" i="69" s="1"/>
  <c r="AO33" i="69" s="1"/>
  <c r="Y33" i="69"/>
  <c r="AG33" i="69" s="1"/>
  <c r="AN33" i="69" s="1"/>
  <c r="V33" i="69"/>
  <c r="AD33" i="69" s="1"/>
  <c r="AK33" i="69" s="1"/>
  <c r="Z33" i="83"/>
  <c r="AH33" i="83" s="1"/>
  <c r="AO33" i="83" s="1"/>
  <c r="Y33" i="83"/>
  <c r="AG33" i="83" s="1"/>
  <c r="AN33" i="83" s="1"/>
  <c r="V33" i="83"/>
  <c r="AD33" i="83" s="1"/>
  <c r="AK33" i="83" s="1"/>
  <c r="W33" i="83"/>
  <c r="AE33" i="83" s="1"/>
  <c r="AL33" i="83" s="1"/>
  <c r="Y33" i="72"/>
  <c r="AG33" i="72" s="1"/>
  <c r="AN33" i="72" s="1"/>
  <c r="W33" i="72"/>
  <c r="AE33" i="72" s="1"/>
  <c r="AL33" i="72" s="1"/>
  <c r="Z33" i="72"/>
  <c r="AH33" i="72" s="1"/>
  <c r="AO33" i="72" s="1"/>
  <c r="V33" i="72"/>
  <c r="AD33" i="72" s="1"/>
  <c r="AK33" i="72" s="1"/>
  <c r="Z33" i="49"/>
  <c r="AH33" i="49" s="1"/>
  <c r="AO33" i="49" s="1"/>
  <c r="V33" i="49"/>
  <c r="AD33" i="49" s="1"/>
  <c r="AK33" i="49" s="1"/>
  <c r="W33" i="49"/>
  <c r="AE33" i="49" s="1"/>
  <c r="AL33" i="49" s="1"/>
  <c r="Y33" i="49"/>
  <c r="AG33" i="49" s="1"/>
  <c r="AN33" i="49" s="1"/>
  <c r="W33" i="85"/>
  <c r="AE33" i="85" s="1"/>
  <c r="AL33" i="85" s="1"/>
  <c r="Z33" i="85"/>
  <c r="AH33" i="85" s="1"/>
  <c r="AO33" i="85" s="1"/>
  <c r="V33" i="85"/>
  <c r="AD33" i="85" s="1"/>
  <c r="AK33" i="85" s="1"/>
  <c r="Y33" i="85"/>
  <c r="AG33" i="85" s="1"/>
  <c r="AN33" i="85" s="1"/>
  <c r="Y33" i="73"/>
  <c r="AG33" i="73" s="1"/>
  <c r="AN33" i="73" s="1"/>
  <c r="V33" i="73"/>
  <c r="AD33" i="73" s="1"/>
  <c r="AK33" i="73" s="1"/>
  <c r="Z33" i="73"/>
  <c r="AH33" i="73" s="1"/>
  <c r="AO33" i="73" s="1"/>
  <c r="W33" i="73"/>
  <c r="AE33" i="73" s="1"/>
  <c r="AL33" i="73" s="1"/>
  <c r="AP22" i="77"/>
  <c r="AP22" i="87"/>
  <c r="AP22" i="81"/>
  <c r="AP22" i="83"/>
  <c r="AP22" i="52"/>
  <c r="AP22" i="51"/>
  <c r="AP22" i="50"/>
  <c r="Z33" i="90"/>
  <c r="AH33" i="90" s="1"/>
  <c r="AO33" i="90" s="1"/>
  <c r="Y33" i="90"/>
  <c r="AG33" i="90" s="1"/>
  <c r="AN33" i="90" s="1"/>
  <c r="W33" i="90"/>
  <c r="AE33" i="90" s="1"/>
  <c r="AL33" i="90" s="1"/>
  <c r="V33" i="90"/>
  <c r="AD33" i="90" s="1"/>
  <c r="AK33" i="90" s="1"/>
  <c r="V33" i="45"/>
  <c r="AD33" i="45" s="1"/>
  <c r="AK33" i="45" s="1"/>
  <c r="W33" i="45"/>
  <c r="AE33" i="45" s="1"/>
  <c r="AL33" i="45" s="1"/>
  <c r="Z33" i="45"/>
  <c r="AH33" i="45" s="1"/>
  <c r="AO33" i="45" s="1"/>
  <c r="Y33" i="45"/>
  <c r="AG33" i="45" s="1"/>
  <c r="AN33" i="45" s="1"/>
  <c r="V33" i="64"/>
  <c r="AD33" i="64" s="1"/>
  <c r="AK33" i="64" s="1"/>
  <c r="W33" i="64"/>
  <c r="AE33" i="64" s="1"/>
  <c r="AL33" i="64" s="1"/>
  <c r="Y33" i="64"/>
  <c r="AG33" i="64" s="1"/>
  <c r="AN33" i="64" s="1"/>
  <c r="Z33" i="64"/>
  <c r="AH33" i="64" s="1"/>
  <c r="AO33" i="64" s="1"/>
  <c r="V33" i="81"/>
  <c r="AD33" i="81" s="1"/>
  <c r="AK33" i="81" s="1"/>
  <c r="Y33" i="81"/>
  <c r="AG33" i="81" s="1"/>
  <c r="AN33" i="81" s="1"/>
  <c r="W33" i="81"/>
  <c r="AE33" i="81" s="1"/>
  <c r="AL33" i="81" s="1"/>
  <c r="Z33" i="81"/>
  <c r="AH33" i="81" s="1"/>
  <c r="AO33" i="81" s="1"/>
  <c r="Z33" i="48"/>
  <c r="AH33" i="48" s="1"/>
  <c r="AO33" i="48" s="1"/>
  <c r="Y33" i="48"/>
  <c r="AG33" i="48" s="1"/>
  <c r="AN33" i="48" s="1"/>
  <c r="W33" i="48"/>
  <c r="AE33" i="48" s="1"/>
  <c r="AL33" i="48" s="1"/>
  <c r="V33" i="48"/>
  <c r="AD33" i="48" s="1"/>
  <c r="AK33" i="48" s="1"/>
  <c r="Z33" i="47"/>
  <c r="AH33" i="47" s="1"/>
  <c r="AO33" i="47" s="1"/>
  <c r="V33" i="47"/>
  <c r="AD33" i="47" s="1"/>
  <c r="AK33" i="47" s="1"/>
  <c r="Y33" i="47"/>
  <c r="AG33" i="47" s="1"/>
  <c r="AN33" i="47" s="1"/>
  <c r="W33" i="47"/>
  <c r="AE33" i="47" s="1"/>
  <c r="AL33" i="47" s="1"/>
  <c r="Y33" i="54"/>
  <c r="AG33" i="54" s="1"/>
  <c r="AN33" i="54" s="1"/>
  <c r="W33" i="54"/>
  <c r="AE33" i="54" s="1"/>
  <c r="AL33" i="54" s="1"/>
  <c r="Z33" i="54"/>
  <c r="AH33" i="54" s="1"/>
  <c r="AO33" i="54" s="1"/>
  <c r="V33" i="54"/>
  <c r="AD33" i="54" s="1"/>
  <c r="AK33" i="54" s="1"/>
  <c r="V33" i="52"/>
  <c r="AD33" i="52" s="1"/>
  <c r="AK33" i="52" s="1"/>
  <c r="Z33" i="52"/>
  <c r="AH33" i="52" s="1"/>
  <c r="AO33" i="52" s="1"/>
  <c r="W33" i="52"/>
  <c r="AE33" i="52" s="1"/>
  <c r="AL33" i="52" s="1"/>
  <c r="Y33" i="52"/>
  <c r="AG33" i="52" s="1"/>
  <c r="AN33" i="52" s="1"/>
  <c r="AP22" i="48"/>
  <c r="AP22" i="53"/>
  <c r="AP22" i="82"/>
  <c r="AP22" i="69"/>
  <c r="AP22" i="46"/>
  <c r="B17" i="2"/>
  <c r="S33" i="41" l="1"/>
  <c r="AA33" i="41" s="1"/>
  <c r="AI33" i="41" s="1"/>
  <c r="AP33" i="41" s="1"/>
  <c r="AA33" i="90"/>
  <c r="AI33" i="90" s="1"/>
  <c r="AP33" i="90" s="1"/>
  <c r="U22" i="99"/>
  <c r="W22" i="99" s="1"/>
  <c r="AE22" i="99" s="1"/>
  <c r="AL22" i="99" s="1"/>
  <c r="AO21" i="5"/>
  <c r="U22" i="100" s="1"/>
  <c r="V31" i="100"/>
  <c r="AD31" i="100" s="1"/>
  <c r="AK31" i="100" s="1"/>
  <c r="AA31" i="100"/>
  <c r="AI31" i="100" s="1"/>
  <c r="AP31" i="100" s="1"/>
  <c r="W31" i="100"/>
  <c r="AE31" i="100" s="1"/>
  <c r="AL31" i="100" s="1"/>
  <c r="Y31" i="100"/>
  <c r="AG31" i="100" s="1"/>
  <c r="AN31" i="100" s="1"/>
  <c r="Z31" i="100"/>
  <c r="AH31" i="100" s="1"/>
  <c r="AO31" i="100" s="1"/>
  <c r="V40" i="100"/>
  <c r="AD40" i="100" s="1"/>
  <c r="AK40" i="100" s="1"/>
  <c r="Y40" i="100"/>
  <c r="AG40" i="100" s="1"/>
  <c r="AN40" i="100" s="1"/>
  <c r="Z40" i="100"/>
  <c r="AH40" i="100" s="1"/>
  <c r="AO40" i="100" s="1"/>
  <c r="W40" i="100"/>
  <c r="AE40" i="100" s="1"/>
  <c r="AL40" i="100" s="1"/>
  <c r="AA40" i="100"/>
  <c r="AI40" i="100" s="1"/>
  <c r="AP40" i="100" s="1"/>
  <c r="AA33" i="47"/>
  <c r="AI33" i="47" s="1"/>
  <c r="AP33" i="47" s="1"/>
  <c r="S33" i="99"/>
  <c r="AA33" i="99" s="1"/>
  <c r="AI33" i="99" s="1"/>
  <c r="AP33" i="99" s="1"/>
  <c r="AA33" i="69"/>
  <c r="AI33" i="69" s="1"/>
  <c r="AP33" i="69" s="1"/>
  <c r="AA33" i="85"/>
  <c r="AI33" i="85" s="1"/>
  <c r="AP33" i="85" s="1"/>
  <c r="AA33" i="96"/>
  <c r="AI33" i="96" s="1"/>
  <c r="AP33" i="96" s="1"/>
  <c r="H18" i="85"/>
  <c r="H43" i="85" s="1"/>
  <c r="H18" i="79"/>
  <c r="H43" i="79" s="1"/>
  <c r="AI27" i="100"/>
  <c r="H18" i="58"/>
  <c r="H43" i="58" s="1"/>
  <c r="H26" i="5"/>
  <c r="U17" i="100" s="1"/>
  <c r="AA17" i="100" s="1"/>
  <c r="AI17" i="100" s="1"/>
  <c r="U31" i="99"/>
  <c r="V40" i="99"/>
  <c r="AD40" i="99" s="1"/>
  <c r="AK40" i="99" s="1"/>
  <c r="AA40" i="99"/>
  <c r="AI40" i="99" s="1"/>
  <c r="AP40" i="99" s="1"/>
  <c r="Y40" i="99"/>
  <c r="AG40" i="99" s="1"/>
  <c r="AN40" i="99" s="1"/>
  <c r="Z40" i="99"/>
  <c r="AH40" i="99" s="1"/>
  <c r="AO40" i="99" s="1"/>
  <c r="W40" i="99"/>
  <c r="AE40" i="99" s="1"/>
  <c r="AL40" i="99" s="1"/>
  <c r="AA33" i="58"/>
  <c r="AI33" i="58" s="1"/>
  <c r="AP33" i="58" s="1"/>
  <c r="H18" i="99"/>
  <c r="H18" i="69"/>
  <c r="H43" i="69" s="1"/>
  <c r="AA33" i="46"/>
  <c r="AI33" i="46" s="1"/>
  <c r="AP33" i="46" s="1"/>
  <c r="H18" i="82"/>
  <c r="H43" i="82" s="1"/>
  <c r="H18" i="87"/>
  <c r="H43" i="87" s="1"/>
  <c r="S609" i="97"/>
  <c r="S43" i="58"/>
  <c r="AD609" i="97"/>
  <c r="S43" i="85"/>
  <c r="S43" i="96"/>
  <c r="AI609" i="97"/>
  <c r="S33" i="55"/>
  <c r="H18" i="55"/>
  <c r="H43" i="55" s="1"/>
  <c r="S33" i="48"/>
  <c r="H18" i="48"/>
  <c r="H43" i="48" s="1"/>
  <c r="S33" i="83"/>
  <c r="H18" i="83"/>
  <c r="H43" i="83" s="1"/>
  <c r="H18" i="52"/>
  <c r="H43" i="52" s="1"/>
  <c r="AA28" i="79"/>
  <c r="AI28" i="79" s="1"/>
  <c r="AP28" i="79" s="1"/>
  <c r="S18" i="79"/>
  <c r="AA28" i="69"/>
  <c r="AI28" i="69" s="1"/>
  <c r="AP28" i="69" s="1"/>
  <c r="S18" i="69"/>
  <c r="AA28" i="52"/>
  <c r="AI28" i="52" s="1"/>
  <c r="AP28" i="52" s="1"/>
  <c r="S18" i="52"/>
  <c r="AA28" i="82"/>
  <c r="AI28" i="82" s="1"/>
  <c r="AP28" i="82" s="1"/>
  <c r="S18" i="82"/>
  <c r="S18" i="50"/>
  <c r="H18" i="64"/>
  <c r="H43" i="64" s="1"/>
  <c r="O609" i="97"/>
  <c r="S43" i="47"/>
  <c r="S33" i="45"/>
  <c r="H18" i="45"/>
  <c r="H43" i="45" s="1"/>
  <c r="H18" i="54"/>
  <c r="H43" i="54" s="1"/>
  <c r="AA28" i="99"/>
  <c r="H18" i="49"/>
  <c r="H43" i="49" s="1"/>
  <c r="AA28" i="64"/>
  <c r="AI28" i="64" s="1"/>
  <c r="AP28" i="64" s="1"/>
  <c r="S18" i="64"/>
  <c r="S33" i="77"/>
  <c r="H18" i="77"/>
  <c r="H43" i="77" s="1"/>
  <c r="S43" i="46"/>
  <c r="P609" i="97"/>
  <c r="S33" i="51"/>
  <c r="H18" i="51"/>
  <c r="H43" i="51" s="1"/>
  <c r="AA28" i="49"/>
  <c r="AI28" i="49" s="1"/>
  <c r="AP28" i="49" s="1"/>
  <c r="S18" i="49"/>
  <c r="H18" i="46"/>
  <c r="H43" i="46" s="1"/>
  <c r="S33" i="56"/>
  <c r="H18" i="56"/>
  <c r="H43" i="56" s="1"/>
  <c r="AA28" i="54"/>
  <c r="AI28" i="54" s="1"/>
  <c r="AP28" i="54" s="1"/>
  <c r="S18" i="54"/>
  <c r="S33" i="72"/>
  <c r="H18" i="72"/>
  <c r="H43" i="72" s="1"/>
  <c r="S33" i="53"/>
  <c r="H18" i="53"/>
  <c r="H43" i="53" s="1"/>
  <c r="S33" i="84"/>
  <c r="H18" i="84"/>
  <c r="H43" i="84" s="1"/>
  <c r="AA28" i="87"/>
  <c r="AI28" i="87" s="1"/>
  <c r="AP28" i="87" s="1"/>
  <c r="S18" i="87"/>
  <c r="H18" i="90"/>
  <c r="H43" i="90" s="1"/>
  <c r="H18" i="96"/>
  <c r="H43" i="96" s="1"/>
  <c r="S33" i="100"/>
  <c r="H18" i="100"/>
  <c r="H43" i="100" s="1"/>
  <c r="AA28" i="73"/>
  <c r="AI28" i="73" s="1"/>
  <c r="AP28" i="73" s="1"/>
  <c r="S18" i="73"/>
  <c r="S33" i="95"/>
  <c r="H18" i="95"/>
  <c r="H43" i="95" s="1"/>
  <c r="S33" i="88"/>
  <c r="H18" i="88"/>
  <c r="H43" i="88" s="1"/>
  <c r="H18" i="50"/>
  <c r="H43" i="50" s="1"/>
  <c r="H18" i="81"/>
  <c r="H43" i="81" s="1"/>
  <c r="AA28" i="90"/>
  <c r="AI28" i="90" s="1"/>
  <c r="AP28" i="90" s="1"/>
  <c r="S18" i="90"/>
  <c r="S18" i="81"/>
  <c r="H18" i="47"/>
  <c r="H43" i="47" s="1"/>
  <c r="H18" i="41"/>
  <c r="H18" i="73"/>
  <c r="H43" i="73" s="1"/>
  <c r="AP26" i="99"/>
  <c r="W22" i="95"/>
  <c r="AE22" i="95" s="1"/>
  <c r="AL22" i="95" s="1"/>
  <c r="Z22" i="95"/>
  <c r="AH22" i="95" s="1"/>
  <c r="AO22" i="95" s="1"/>
  <c r="V22" i="95"/>
  <c r="AD22" i="95" s="1"/>
  <c r="AK22" i="95" s="1"/>
  <c r="X22" i="95"/>
  <c r="AF22" i="95" s="1"/>
  <c r="AM22" i="95" s="1"/>
  <c r="AA22" i="95"/>
  <c r="AI22" i="95" s="1"/>
  <c r="AP22" i="95" s="1"/>
  <c r="U22" i="96"/>
  <c r="AA40" i="46"/>
  <c r="AI40" i="46" s="1"/>
  <c r="AP40" i="46" s="1"/>
  <c r="Z40" i="46"/>
  <c r="AH40" i="46" s="1"/>
  <c r="AO40" i="46" s="1"/>
  <c r="V40" i="46"/>
  <c r="AD40" i="46" s="1"/>
  <c r="AK40" i="46" s="1"/>
  <c r="W40" i="46"/>
  <c r="AE40" i="46" s="1"/>
  <c r="AL40" i="46" s="1"/>
  <c r="Y40" i="46"/>
  <c r="AG40" i="46" s="1"/>
  <c r="AN40" i="46" s="1"/>
  <c r="AA40" i="54"/>
  <c r="AI40" i="54" s="1"/>
  <c r="AP40" i="54" s="1"/>
  <c r="Y40" i="54"/>
  <c r="AG40" i="54" s="1"/>
  <c r="AN40" i="54" s="1"/>
  <c r="V40" i="54"/>
  <c r="AD40" i="54" s="1"/>
  <c r="AK40" i="54" s="1"/>
  <c r="Z40" i="54"/>
  <c r="AH40" i="54" s="1"/>
  <c r="AO40" i="54" s="1"/>
  <c r="W40" i="54"/>
  <c r="AE40" i="54" s="1"/>
  <c r="AL40" i="54" s="1"/>
  <c r="Y40" i="82"/>
  <c r="AG40" i="82" s="1"/>
  <c r="AN40" i="82" s="1"/>
  <c r="AA40" i="82"/>
  <c r="AI40" i="82" s="1"/>
  <c r="AP40" i="82" s="1"/>
  <c r="V40" i="82"/>
  <c r="AD40" i="82" s="1"/>
  <c r="AK40" i="82" s="1"/>
  <c r="Z40" i="82"/>
  <c r="AH40" i="82" s="1"/>
  <c r="AO40" i="82" s="1"/>
  <c r="W40" i="82"/>
  <c r="AE40" i="82" s="1"/>
  <c r="AL40" i="82" s="1"/>
  <c r="Y40" i="84"/>
  <c r="AG40" i="84" s="1"/>
  <c r="AN40" i="84" s="1"/>
  <c r="AA40" i="84"/>
  <c r="AI40" i="84" s="1"/>
  <c r="AP40" i="84" s="1"/>
  <c r="W40" i="84"/>
  <c r="AE40" i="84" s="1"/>
  <c r="AL40" i="84" s="1"/>
  <c r="V40" i="84"/>
  <c r="AD40" i="84" s="1"/>
  <c r="AK40" i="84" s="1"/>
  <c r="Z40" i="84"/>
  <c r="AH40" i="84" s="1"/>
  <c r="AO40" i="84" s="1"/>
  <c r="Y40" i="47"/>
  <c r="AG40" i="47" s="1"/>
  <c r="AN40" i="47" s="1"/>
  <c r="W40" i="47"/>
  <c r="AE40" i="47" s="1"/>
  <c r="AL40" i="47" s="1"/>
  <c r="Z40" i="47"/>
  <c r="AH40" i="47" s="1"/>
  <c r="AO40" i="47" s="1"/>
  <c r="AA40" i="47"/>
  <c r="AI40" i="47" s="1"/>
  <c r="AP40" i="47" s="1"/>
  <c r="V40" i="47"/>
  <c r="AD40" i="47" s="1"/>
  <c r="AK40" i="47" s="1"/>
  <c r="Z40" i="79"/>
  <c r="AH40" i="79" s="1"/>
  <c r="AO40" i="79" s="1"/>
  <c r="V40" i="79"/>
  <c r="AD40" i="79" s="1"/>
  <c r="AK40" i="79" s="1"/>
  <c r="W40" i="79"/>
  <c r="AE40" i="79" s="1"/>
  <c r="AL40" i="79" s="1"/>
  <c r="Y40" i="79"/>
  <c r="AG40" i="79" s="1"/>
  <c r="AN40" i="79" s="1"/>
  <c r="AA40" i="79"/>
  <c r="AI40" i="79" s="1"/>
  <c r="AP40" i="79" s="1"/>
  <c r="W40" i="72"/>
  <c r="AE40" i="72" s="1"/>
  <c r="AL40" i="72" s="1"/>
  <c r="Z40" i="72"/>
  <c r="AH40" i="72" s="1"/>
  <c r="AO40" i="72" s="1"/>
  <c r="AA40" i="72"/>
  <c r="AI40" i="72" s="1"/>
  <c r="AP40" i="72" s="1"/>
  <c r="Y40" i="72"/>
  <c r="AG40" i="72" s="1"/>
  <c r="AN40" i="72" s="1"/>
  <c r="V40" i="72"/>
  <c r="AD40" i="72" s="1"/>
  <c r="AK40" i="72" s="1"/>
  <c r="Y40" i="96"/>
  <c r="AG40" i="96" s="1"/>
  <c r="AN40" i="96" s="1"/>
  <c r="V40" i="96"/>
  <c r="AD40" i="96" s="1"/>
  <c r="AK40" i="96" s="1"/>
  <c r="AA40" i="96"/>
  <c r="AI40" i="96" s="1"/>
  <c r="AP40" i="96" s="1"/>
  <c r="W40" i="96"/>
  <c r="AE40" i="96" s="1"/>
  <c r="AL40" i="96" s="1"/>
  <c r="Z40" i="96"/>
  <c r="AH40" i="96" s="1"/>
  <c r="AO40" i="96" s="1"/>
  <c r="W40" i="87"/>
  <c r="AE40" i="87" s="1"/>
  <c r="AL40" i="87" s="1"/>
  <c r="V40" i="87"/>
  <c r="AD40" i="87" s="1"/>
  <c r="AK40" i="87" s="1"/>
  <c r="Z40" i="87"/>
  <c r="AH40" i="87" s="1"/>
  <c r="AO40" i="87" s="1"/>
  <c r="Y40" i="87"/>
  <c r="AG40" i="87" s="1"/>
  <c r="AN40" i="87" s="1"/>
  <c r="AA40" i="87"/>
  <c r="AI40" i="87" s="1"/>
  <c r="AP40" i="87" s="1"/>
  <c r="Y40" i="85"/>
  <c r="AG40" i="85" s="1"/>
  <c r="AN40" i="85" s="1"/>
  <c r="V40" i="85"/>
  <c r="AD40" i="85" s="1"/>
  <c r="AK40" i="85" s="1"/>
  <c r="Z40" i="85"/>
  <c r="AH40" i="85" s="1"/>
  <c r="AO40" i="85" s="1"/>
  <c r="W40" i="85"/>
  <c r="AE40" i="85" s="1"/>
  <c r="AL40" i="85" s="1"/>
  <c r="AA40" i="85"/>
  <c r="AI40" i="85" s="1"/>
  <c r="AP40" i="85" s="1"/>
  <c r="Z40" i="48"/>
  <c r="AH40" i="48" s="1"/>
  <c r="AO40" i="48" s="1"/>
  <c r="AA40" i="48"/>
  <c r="AI40" i="48" s="1"/>
  <c r="AP40" i="48" s="1"/>
  <c r="V40" i="48"/>
  <c r="AD40" i="48" s="1"/>
  <c r="AK40" i="48" s="1"/>
  <c r="W40" i="48"/>
  <c r="AE40" i="48" s="1"/>
  <c r="AL40" i="48" s="1"/>
  <c r="Y40" i="48"/>
  <c r="AG40" i="48" s="1"/>
  <c r="AN40" i="48" s="1"/>
  <c r="AA40" i="50"/>
  <c r="AI40" i="50" s="1"/>
  <c r="AP40" i="50" s="1"/>
  <c r="V40" i="50"/>
  <c r="AD40" i="50" s="1"/>
  <c r="AK40" i="50" s="1"/>
  <c r="Y40" i="50"/>
  <c r="AG40" i="50" s="1"/>
  <c r="AN40" i="50" s="1"/>
  <c r="W40" i="50"/>
  <c r="AE40" i="50" s="1"/>
  <c r="AL40" i="50" s="1"/>
  <c r="Z40" i="50"/>
  <c r="AH40" i="50" s="1"/>
  <c r="AO40" i="50" s="1"/>
  <c r="Y40" i="88"/>
  <c r="AG40" i="88" s="1"/>
  <c r="AN40" i="88" s="1"/>
  <c r="Z40" i="88"/>
  <c r="AH40" i="88" s="1"/>
  <c r="AO40" i="88" s="1"/>
  <c r="W40" i="88"/>
  <c r="AE40" i="88" s="1"/>
  <c r="AL40" i="88" s="1"/>
  <c r="V40" i="88"/>
  <c r="AD40" i="88" s="1"/>
  <c r="AK40" i="88" s="1"/>
  <c r="AA40" i="88"/>
  <c r="AI40" i="88" s="1"/>
  <c r="AP40" i="88" s="1"/>
  <c r="AA40" i="56"/>
  <c r="AI40" i="56" s="1"/>
  <c r="AP40" i="56" s="1"/>
  <c r="Y40" i="56"/>
  <c r="AG40" i="56" s="1"/>
  <c r="AN40" i="56" s="1"/>
  <c r="Z40" i="56"/>
  <c r="AH40" i="56" s="1"/>
  <c r="AO40" i="56" s="1"/>
  <c r="W40" i="56"/>
  <c r="AE40" i="56" s="1"/>
  <c r="AL40" i="56" s="1"/>
  <c r="V40" i="56"/>
  <c r="AD40" i="56" s="1"/>
  <c r="AK40" i="56" s="1"/>
  <c r="Z40" i="41"/>
  <c r="AH40" i="41" s="1"/>
  <c r="AO40" i="41" s="1"/>
  <c r="W40" i="41"/>
  <c r="AE40" i="41" s="1"/>
  <c r="AL40" i="41" s="1"/>
  <c r="AA40" i="41"/>
  <c r="AI40" i="41" s="1"/>
  <c r="AP40" i="41" s="1"/>
  <c r="Y40" i="41"/>
  <c r="AG40" i="41" s="1"/>
  <c r="AN40" i="41" s="1"/>
  <c r="V40" i="41"/>
  <c r="AD40" i="41" s="1"/>
  <c r="AK40" i="41" s="1"/>
  <c r="V40" i="90"/>
  <c r="AD40" i="90" s="1"/>
  <c r="AK40" i="90" s="1"/>
  <c r="Z40" i="90"/>
  <c r="AH40" i="90" s="1"/>
  <c r="AO40" i="90" s="1"/>
  <c r="W40" i="90"/>
  <c r="AE40" i="90" s="1"/>
  <c r="AL40" i="90" s="1"/>
  <c r="Y40" i="90"/>
  <c r="AG40" i="90" s="1"/>
  <c r="AN40" i="90" s="1"/>
  <c r="AA40" i="90"/>
  <c r="AI40" i="90" s="1"/>
  <c r="AP40" i="90" s="1"/>
  <c r="Y40" i="73"/>
  <c r="AG40" i="73" s="1"/>
  <c r="AN40" i="73" s="1"/>
  <c r="AA40" i="73"/>
  <c r="AI40" i="73" s="1"/>
  <c r="AP40" i="73" s="1"/>
  <c r="Z40" i="73"/>
  <c r="AH40" i="73" s="1"/>
  <c r="AO40" i="73" s="1"/>
  <c r="W40" i="73"/>
  <c r="AE40" i="73" s="1"/>
  <c r="AL40" i="73" s="1"/>
  <c r="V40" i="73"/>
  <c r="AD40" i="73" s="1"/>
  <c r="AK40" i="73" s="1"/>
  <c r="AA40" i="69"/>
  <c r="AI40" i="69" s="1"/>
  <c r="AP40" i="69" s="1"/>
  <c r="W40" i="69"/>
  <c r="AE40" i="69" s="1"/>
  <c r="AL40" i="69" s="1"/>
  <c r="Z40" i="69"/>
  <c r="AH40" i="69" s="1"/>
  <c r="AO40" i="69" s="1"/>
  <c r="Y40" i="69"/>
  <c r="AG40" i="69" s="1"/>
  <c r="AN40" i="69" s="1"/>
  <c r="V40" i="69"/>
  <c r="AD40" i="69" s="1"/>
  <c r="AK40" i="69" s="1"/>
  <c r="AA40" i="51"/>
  <c r="AI40" i="51" s="1"/>
  <c r="AP40" i="51" s="1"/>
  <c r="W40" i="51"/>
  <c r="AE40" i="51" s="1"/>
  <c r="AL40" i="51" s="1"/>
  <c r="Y40" i="51"/>
  <c r="AG40" i="51" s="1"/>
  <c r="AN40" i="51" s="1"/>
  <c r="Z40" i="51"/>
  <c r="AH40" i="51" s="1"/>
  <c r="AO40" i="51" s="1"/>
  <c r="V40" i="51"/>
  <c r="AD40" i="51" s="1"/>
  <c r="AK40" i="51" s="1"/>
  <c r="Z40" i="45"/>
  <c r="AH40" i="45" s="1"/>
  <c r="AO40" i="45" s="1"/>
  <c r="V40" i="45"/>
  <c r="AD40" i="45" s="1"/>
  <c r="AK40" i="45" s="1"/>
  <c r="Y40" i="45"/>
  <c r="AG40" i="45" s="1"/>
  <c r="AN40" i="45" s="1"/>
  <c r="W40" i="45"/>
  <c r="AE40" i="45" s="1"/>
  <c r="AL40" i="45" s="1"/>
  <c r="AA40" i="45"/>
  <c r="AI40" i="45" s="1"/>
  <c r="AP40" i="45" s="1"/>
  <c r="W40" i="53"/>
  <c r="AE40" i="53" s="1"/>
  <c r="AL40" i="53" s="1"/>
  <c r="V40" i="53"/>
  <c r="AD40" i="53" s="1"/>
  <c r="AK40" i="53" s="1"/>
  <c r="Y40" i="53"/>
  <c r="AG40" i="53" s="1"/>
  <c r="AN40" i="53" s="1"/>
  <c r="Z40" i="53"/>
  <c r="AH40" i="53" s="1"/>
  <c r="AO40" i="53" s="1"/>
  <c r="AA40" i="53"/>
  <c r="AI40" i="53" s="1"/>
  <c r="AP40" i="53" s="1"/>
  <c r="W40" i="64"/>
  <c r="AE40" i="64" s="1"/>
  <c r="AL40" i="64" s="1"/>
  <c r="Y40" i="64"/>
  <c r="AG40" i="64" s="1"/>
  <c r="AN40" i="64" s="1"/>
  <c r="V40" i="64"/>
  <c r="AD40" i="64" s="1"/>
  <c r="AK40" i="64" s="1"/>
  <c r="AA40" i="64"/>
  <c r="AI40" i="64" s="1"/>
  <c r="AP40" i="64" s="1"/>
  <c r="Z40" i="64"/>
  <c r="AH40" i="64" s="1"/>
  <c r="AO40" i="64" s="1"/>
  <c r="V40" i="77"/>
  <c r="AD40" i="77" s="1"/>
  <c r="AK40" i="77" s="1"/>
  <c r="W40" i="77"/>
  <c r="AE40" i="77" s="1"/>
  <c r="AL40" i="77" s="1"/>
  <c r="Y40" i="77"/>
  <c r="AG40" i="77" s="1"/>
  <c r="AN40" i="77" s="1"/>
  <c r="Z40" i="77"/>
  <c r="AH40" i="77" s="1"/>
  <c r="AO40" i="77" s="1"/>
  <c r="AA40" i="77"/>
  <c r="AI40" i="77" s="1"/>
  <c r="AP40" i="77" s="1"/>
  <c r="Y40" i="83"/>
  <c r="AG40" i="83" s="1"/>
  <c r="AN40" i="83" s="1"/>
  <c r="W40" i="83"/>
  <c r="AE40" i="83" s="1"/>
  <c r="AL40" i="83" s="1"/>
  <c r="Z40" i="83"/>
  <c r="AH40" i="83" s="1"/>
  <c r="AO40" i="83" s="1"/>
  <c r="AA40" i="83"/>
  <c r="AI40" i="83" s="1"/>
  <c r="AP40" i="83" s="1"/>
  <c r="V40" i="83"/>
  <c r="AD40" i="83" s="1"/>
  <c r="AK40" i="83" s="1"/>
  <c r="Z40" i="58"/>
  <c r="AH40" i="58" s="1"/>
  <c r="AO40" i="58" s="1"/>
  <c r="V40" i="58"/>
  <c r="AD40" i="58" s="1"/>
  <c r="AK40" i="58" s="1"/>
  <c r="Y40" i="58"/>
  <c r="AG40" i="58" s="1"/>
  <c r="AN40" i="58" s="1"/>
  <c r="W40" i="58"/>
  <c r="AE40" i="58" s="1"/>
  <c r="AL40" i="58" s="1"/>
  <c r="AA40" i="58"/>
  <c r="AI40" i="58" s="1"/>
  <c r="AP40" i="58" s="1"/>
  <c r="AA40" i="55"/>
  <c r="AI40" i="55" s="1"/>
  <c r="AP40" i="55" s="1"/>
  <c r="Y40" i="55"/>
  <c r="AG40" i="55" s="1"/>
  <c r="AN40" i="55" s="1"/>
  <c r="W40" i="55"/>
  <c r="AE40" i="55" s="1"/>
  <c r="AL40" i="55" s="1"/>
  <c r="V40" i="55"/>
  <c r="AD40" i="55" s="1"/>
  <c r="AK40" i="55" s="1"/>
  <c r="Z40" i="55"/>
  <c r="AH40" i="55" s="1"/>
  <c r="AO40" i="55" s="1"/>
  <c r="U31" i="96"/>
  <c r="U31" i="73"/>
  <c r="U31" i="55"/>
  <c r="U31" i="79"/>
  <c r="U31" i="45"/>
  <c r="U31" i="72"/>
  <c r="U31" i="88"/>
  <c r="U31" i="84"/>
  <c r="U31" i="48"/>
  <c r="U31" i="52"/>
  <c r="U31" i="56"/>
  <c r="U31" i="87"/>
  <c r="U31" i="82"/>
  <c r="U31" i="54"/>
  <c r="U31" i="50"/>
  <c r="U31" i="64"/>
  <c r="U31" i="47"/>
  <c r="U31" i="69"/>
  <c r="U31" i="41"/>
  <c r="U31" i="58"/>
  <c r="U31" i="95"/>
  <c r="U31" i="46"/>
  <c r="U31" i="53"/>
  <c r="U31" i="83"/>
  <c r="U31" i="90"/>
  <c r="U31" i="51"/>
  <c r="U31" i="49"/>
  <c r="U31" i="85"/>
  <c r="U31" i="77"/>
  <c r="U31" i="81"/>
  <c r="Z40" i="52"/>
  <c r="AH40" i="52" s="1"/>
  <c r="AO40" i="52" s="1"/>
  <c r="Y40" i="52"/>
  <c r="AG40" i="52" s="1"/>
  <c r="AN40" i="52" s="1"/>
  <c r="AA40" i="52"/>
  <c r="AI40" i="52" s="1"/>
  <c r="AP40" i="52" s="1"/>
  <c r="W40" i="52"/>
  <c r="AE40" i="52" s="1"/>
  <c r="AL40" i="52" s="1"/>
  <c r="V40" i="52"/>
  <c r="AD40" i="52" s="1"/>
  <c r="AK40" i="52" s="1"/>
  <c r="V40" i="49"/>
  <c r="AD40" i="49" s="1"/>
  <c r="AK40" i="49" s="1"/>
  <c r="AA40" i="49"/>
  <c r="AI40" i="49" s="1"/>
  <c r="AP40" i="49" s="1"/>
  <c r="Z40" i="49"/>
  <c r="AH40" i="49" s="1"/>
  <c r="AO40" i="49" s="1"/>
  <c r="W40" i="49"/>
  <c r="AE40" i="49" s="1"/>
  <c r="AL40" i="49" s="1"/>
  <c r="Y40" i="49"/>
  <c r="AG40" i="49" s="1"/>
  <c r="AN40" i="49" s="1"/>
  <c r="Z40" i="81"/>
  <c r="AH40" i="81" s="1"/>
  <c r="AO40" i="81" s="1"/>
  <c r="V40" i="81"/>
  <c r="AD40" i="81" s="1"/>
  <c r="AK40" i="81" s="1"/>
  <c r="Y40" i="81"/>
  <c r="AG40" i="81" s="1"/>
  <c r="AN40" i="81" s="1"/>
  <c r="AA40" i="81"/>
  <c r="AI40" i="81" s="1"/>
  <c r="AP40" i="81" s="1"/>
  <c r="W40" i="81"/>
  <c r="AE40" i="81" s="1"/>
  <c r="AL40" i="81" s="1"/>
  <c r="Z40" i="95"/>
  <c r="AH40" i="95" s="1"/>
  <c r="AO40" i="95" s="1"/>
  <c r="Y40" i="95"/>
  <c r="AG40" i="95" s="1"/>
  <c r="AN40" i="95" s="1"/>
  <c r="AA40" i="95"/>
  <c r="AI40" i="95" s="1"/>
  <c r="AP40" i="95" s="1"/>
  <c r="V40" i="95"/>
  <c r="AD40" i="95" s="1"/>
  <c r="AK40" i="95" s="1"/>
  <c r="W40" i="95"/>
  <c r="AE40" i="95" s="1"/>
  <c r="AL40" i="95" s="1"/>
  <c r="B18" i="2"/>
  <c r="B19" i="2" s="1"/>
  <c r="S18" i="41" l="1"/>
  <c r="F609" i="97" s="1"/>
  <c r="H43" i="41"/>
  <c r="X22" i="99"/>
  <c r="AF22" i="99" s="1"/>
  <c r="AM22" i="99" s="1"/>
  <c r="AA22" i="99"/>
  <c r="AI22" i="99" s="1"/>
  <c r="AP22" i="99" s="1"/>
  <c r="V22" i="99"/>
  <c r="AD22" i="99" s="1"/>
  <c r="AK22" i="99" s="1"/>
  <c r="Z22" i="99"/>
  <c r="AH22" i="99" s="1"/>
  <c r="AO22" i="99" s="1"/>
  <c r="AH71" i="10"/>
  <c r="AP17" i="100"/>
  <c r="V22" i="100"/>
  <c r="AD22" i="100" s="1"/>
  <c r="AK22" i="100" s="1"/>
  <c r="X22" i="100"/>
  <c r="AF22" i="100" s="1"/>
  <c r="AM22" i="100" s="1"/>
  <c r="Z22" i="100"/>
  <c r="AH22" i="100" s="1"/>
  <c r="AO22" i="100" s="1"/>
  <c r="W22" i="100"/>
  <c r="AE22" i="100" s="1"/>
  <c r="AL22" i="100" s="1"/>
  <c r="AA22" i="100"/>
  <c r="AI22" i="100" s="1"/>
  <c r="AP22" i="100" s="1"/>
  <c r="S18" i="99"/>
  <c r="AJ609" i="97" s="1"/>
  <c r="H43" i="99"/>
  <c r="AP27" i="100"/>
  <c r="AA31" i="99"/>
  <c r="AI31" i="99" s="1"/>
  <c r="AP31" i="99" s="1"/>
  <c r="W31" i="99"/>
  <c r="AE31" i="99" s="1"/>
  <c r="AL31" i="99" s="1"/>
  <c r="V31" i="99"/>
  <c r="AD31" i="99" s="1"/>
  <c r="AK31" i="99" s="1"/>
  <c r="Y31" i="99"/>
  <c r="AG31" i="99" s="1"/>
  <c r="AN31" i="99" s="1"/>
  <c r="Z31" i="99"/>
  <c r="AH31" i="99" s="1"/>
  <c r="AO31" i="99" s="1"/>
  <c r="U17" i="99"/>
  <c r="AA17" i="99" s="1"/>
  <c r="AI17" i="99" s="1"/>
  <c r="U17" i="64"/>
  <c r="AA17" i="64" s="1"/>
  <c r="AI17" i="64" s="1"/>
  <c r="U17" i="56"/>
  <c r="AA17" i="56" s="1"/>
  <c r="AI17" i="56" s="1"/>
  <c r="U17" i="88"/>
  <c r="AA17" i="88" s="1"/>
  <c r="AI17" i="88" s="1"/>
  <c r="U17" i="51"/>
  <c r="AA17" i="51" s="1"/>
  <c r="AI17" i="51" s="1"/>
  <c r="AP17" i="51" s="1"/>
  <c r="U17" i="50"/>
  <c r="AA17" i="50" s="1"/>
  <c r="AI17" i="50" s="1"/>
  <c r="AP17" i="50" s="1"/>
  <c r="U17" i="77"/>
  <c r="AA17" i="77" s="1"/>
  <c r="AI17" i="77" s="1"/>
  <c r="H27" i="5"/>
  <c r="U21" i="100" s="1"/>
  <c r="AA21" i="100" s="1"/>
  <c r="AI21" i="100" s="1"/>
  <c r="AP21" i="100" s="1"/>
  <c r="U17" i="55"/>
  <c r="AA17" i="55" s="1"/>
  <c r="AI17" i="55" s="1"/>
  <c r="U17" i="90"/>
  <c r="AA17" i="90" s="1"/>
  <c r="AI17" i="90" s="1"/>
  <c r="U17" i="49"/>
  <c r="AA17" i="49" s="1"/>
  <c r="AI17" i="49" s="1"/>
  <c r="AP17" i="49" s="1"/>
  <c r="U17" i="52"/>
  <c r="AA17" i="52" s="1"/>
  <c r="AI17" i="52" s="1"/>
  <c r="AP17" i="52" s="1"/>
  <c r="U17" i="82"/>
  <c r="AA17" i="82" s="1"/>
  <c r="AI17" i="82" s="1"/>
  <c r="U17" i="84"/>
  <c r="AA17" i="84" s="1"/>
  <c r="AI17" i="84" s="1"/>
  <c r="U17" i="47"/>
  <c r="AA17" i="47" s="1"/>
  <c r="AI17" i="47" s="1"/>
  <c r="AP17" i="47" s="1"/>
  <c r="U17" i="46"/>
  <c r="AA17" i="46" s="1"/>
  <c r="AI17" i="46" s="1"/>
  <c r="U17" i="95"/>
  <c r="AA17" i="95" s="1"/>
  <c r="AI17" i="95" s="1"/>
  <c r="U17" i="83"/>
  <c r="AA17" i="83" s="1"/>
  <c r="AI17" i="83" s="1"/>
  <c r="U17" i="79"/>
  <c r="AA17" i="79" s="1"/>
  <c r="AI17" i="79" s="1"/>
  <c r="U17" i="53"/>
  <c r="AA17" i="53" s="1"/>
  <c r="AI17" i="53" s="1"/>
  <c r="AP17" i="53" s="1"/>
  <c r="U17" i="96"/>
  <c r="AA17" i="96" s="1"/>
  <c r="AI17" i="96" s="1"/>
  <c r="U17" i="85"/>
  <c r="AA17" i="85" s="1"/>
  <c r="AI17" i="85" s="1"/>
  <c r="U17" i="45"/>
  <c r="AA17" i="45" s="1"/>
  <c r="AI17" i="45" s="1"/>
  <c r="AP17" i="45" s="1"/>
  <c r="U17" i="48"/>
  <c r="AA17" i="48" s="1"/>
  <c r="AI17" i="48" s="1"/>
  <c r="AP17" i="48" s="1"/>
  <c r="U17" i="87"/>
  <c r="AA17" i="87" s="1"/>
  <c r="AI17" i="87" s="1"/>
  <c r="U17" i="69"/>
  <c r="AA17" i="69" s="1"/>
  <c r="AI17" i="69" s="1"/>
  <c r="U17" i="73"/>
  <c r="AA17" i="73" s="1"/>
  <c r="AI17" i="73" s="1"/>
  <c r="U17" i="58"/>
  <c r="AA17" i="58" s="1"/>
  <c r="AI17" i="58" s="1"/>
  <c r="U17" i="72"/>
  <c r="AA17" i="72" s="1"/>
  <c r="AI17" i="72" s="1"/>
  <c r="U17" i="41"/>
  <c r="AA17" i="41" s="1"/>
  <c r="AI17" i="41" s="1"/>
  <c r="AP17" i="41" s="1"/>
  <c r="U17" i="54"/>
  <c r="AA17" i="54" s="1"/>
  <c r="AI17" i="54" s="1"/>
  <c r="AP17" i="54" s="1"/>
  <c r="U17" i="81"/>
  <c r="AA17" i="81" s="1"/>
  <c r="AI17" i="81" s="1"/>
  <c r="Z609" i="97"/>
  <c r="S43" i="81"/>
  <c r="S43" i="90"/>
  <c r="AG609" i="97"/>
  <c r="AA609" i="97"/>
  <c r="S43" i="82"/>
  <c r="H609" i="97"/>
  <c r="S43" i="54"/>
  <c r="AI28" i="99"/>
  <c r="S18" i="84"/>
  <c r="AA33" i="84"/>
  <c r="AI33" i="84" s="1"/>
  <c r="AP33" i="84" s="1"/>
  <c r="S18" i="56"/>
  <c r="AA33" i="56"/>
  <c r="AI33" i="56" s="1"/>
  <c r="AP33" i="56" s="1"/>
  <c r="S43" i="52"/>
  <c r="J609" i="97"/>
  <c r="S18" i="83"/>
  <c r="AA33" i="83"/>
  <c r="AI33" i="83" s="1"/>
  <c r="AP33" i="83" s="1"/>
  <c r="AE609" i="97"/>
  <c r="S43" i="87"/>
  <c r="S18" i="51"/>
  <c r="AA33" i="51"/>
  <c r="AI33" i="51" s="1"/>
  <c r="AP33" i="51" s="1"/>
  <c r="L609" i="97"/>
  <c r="S43" i="50"/>
  <c r="W609" i="97"/>
  <c r="S43" i="73"/>
  <c r="S18" i="77"/>
  <c r="AA33" i="77"/>
  <c r="AI33" i="77" s="1"/>
  <c r="AP33" i="77" s="1"/>
  <c r="AA33" i="45"/>
  <c r="AI33" i="45" s="1"/>
  <c r="AP33" i="45" s="1"/>
  <c r="S18" i="45"/>
  <c r="S18" i="95"/>
  <c r="AA33" i="95"/>
  <c r="AI33" i="95" s="1"/>
  <c r="AP33" i="95" s="1"/>
  <c r="AA33" i="100"/>
  <c r="S18" i="100"/>
  <c r="S18" i="53"/>
  <c r="AA33" i="53"/>
  <c r="AI33" i="53" s="1"/>
  <c r="AP33" i="53" s="1"/>
  <c r="S43" i="49"/>
  <c r="M609" i="97"/>
  <c r="T609" i="97"/>
  <c r="S43" i="64"/>
  <c r="U609" i="97"/>
  <c r="S43" i="69"/>
  <c r="S18" i="48"/>
  <c r="AA33" i="48"/>
  <c r="AI33" i="48" s="1"/>
  <c r="AP33" i="48" s="1"/>
  <c r="S18" i="88"/>
  <c r="AA33" i="88"/>
  <c r="AI33" i="88" s="1"/>
  <c r="AP33" i="88" s="1"/>
  <c r="AA33" i="72"/>
  <c r="AI33" i="72" s="1"/>
  <c r="AP33" i="72" s="1"/>
  <c r="S18" i="72"/>
  <c r="S43" i="79"/>
  <c r="Y609" i="97"/>
  <c r="AA33" i="55"/>
  <c r="AI33" i="55" s="1"/>
  <c r="AP33" i="55" s="1"/>
  <c r="S18" i="55"/>
  <c r="X22" i="96"/>
  <c r="AF22" i="96" s="1"/>
  <c r="AM22" i="96" s="1"/>
  <c r="W22" i="96"/>
  <c r="AE22" i="96" s="1"/>
  <c r="AL22" i="96" s="1"/>
  <c r="Z22" i="96"/>
  <c r="AH22" i="96" s="1"/>
  <c r="AO22" i="96" s="1"/>
  <c r="AA22" i="96"/>
  <c r="AI22" i="96" s="1"/>
  <c r="AP22" i="96" s="1"/>
  <c r="V22" i="96"/>
  <c r="AD22" i="96" s="1"/>
  <c r="AK22" i="96" s="1"/>
  <c r="Z31" i="77"/>
  <c r="AH31" i="77" s="1"/>
  <c r="AO31" i="77" s="1"/>
  <c r="Y31" i="77"/>
  <c r="AG31" i="77" s="1"/>
  <c r="AN31" i="77" s="1"/>
  <c r="AA31" i="77"/>
  <c r="W31" i="77"/>
  <c r="AE31" i="77" s="1"/>
  <c r="AL31" i="77" s="1"/>
  <c r="V31" i="77"/>
  <c r="AA31" i="90"/>
  <c r="Z31" i="90"/>
  <c r="AH31" i="90" s="1"/>
  <c r="AO31" i="90" s="1"/>
  <c r="Y31" i="90"/>
  <c r="AG31" i="90" s="1"/>
  <c r="AN31" i="90" s="1"/>
  <c r="W31" i="90"/>
  <c r="AE31" i="90" s="1"/>
  <c r="AL31" i="90" s="1"/>
  <c r="V31" i="90"/>
  <c r="Y31" i="95"/>
  <c r="AG31" i="95" s="1"/>
  <c r="AN31" i="95" s="1"/>
  <c r="Z31" i="95"/>
  <c r="AH31" i="95" s="1"/>
  <c r="AO31" i="95" s="1"/>
  <c r="AA31" i="95"/>
  <c r="W31" i="95"/>
  <c r="AE31" i="95" s="1"/>
  <c r="AL31" i="95" s="1"/>
  <c r="V31" i="95"/>
  <c r="Z31" i="47"/>
  <c r="AH31" i="47" s="1"/>
  <c r="AO31" i="47" s="1"/>
  <c r="AA31" i="47"/>
  <c r="Y31" i="47"/>
  <c r="AG31" i="47" s="1"/>
  <c r="AN31" i="47" s="1"/>
  <c r="V31" i="47"/>
  <c r="W31" i="47"/>
  <c r="AE31" i="47" s="1"/>
  <c r="AL31" i="47" s="1"/>
  <c r="AA31" i="82"/>
  <c r="Y31" i="82"/>
  <c r="AG31" i="82" s="1"/>
  <c r="AN31" i="82" s="1"/>
  <c r="V31" i="82"/>
  <c r="Z31" i="82"/>
  <c r="AH31" i="82" s="1"/>
  <c r="AO31" i="82" s="1"/>
  <c r="W31" i="82"/>
  <c r="AE31" i="82" s="1"/>
  <c r="AL31" i="82" s="1"/>
  <c r="Z31" i="48"/>
  <c r="AH31" i="48" s="1"/>
  <c r="AO31" i="48" s="1"/>
  <c r="Y31" i="48"/>
  <c r="AG31" i="48" s="1"/>
  <c r="AN31" i="48" s="1"/>
  <c r="V31" i="48"/>
  <c r="W31" i="48"/>
  <c r="AE31" i="48" s="1"/>
  <c r="AL31" i="48" s="1"/>
  <c r="AA31" i="48"/>
  <c r="AA31" i="45"/>
  <c r="V31" i="45"/>
  <c r="Z31" i="45"/>
  <c r="AH31" i="45" s="1"/>
  <c r="AO31" i="45" s="1"/>
  <c r="Y31" i="45"/>
  <c r="AG31" i="45" s="1"/>
  <c r="AN31" i="45" s="1"/>
  <c r="W31" i="45"/>
  <c r="AE31" i="45" s="1"/>
  <c r="AL31" i="45" s="1"/>
  <c r="W31" i="96"/>
  <c r="AE31" i="96" s="1"/>
  <c r="AL31" i="96" s="1"/>
  <c r="V31" i="96"/>
  <c r="Z31" i="96"/>
  <c r="AH31" i="96" s="1"/>
  <c r="AO31" i="96" s="1"/>
  <c r="AA31" i="96"/>
  <c r="Y31" i="96"/>
  <c r="AG31" i="96" s="1"/>
  <c r="AN31" i="96" s="1"/>
  <c r="AA31" i="85"/>
  <c r="Y31" i="85"/>
  <c r="AG31" i="85" s="1"/>
  <c r="AN31" i="85" s="1"/>
  <c r="W31" i="85"/>
  <c r="AE31" i="85" s="1"/>
  <c r="AL31" i="85" s="1"/>
  <c r="Z31" i="85"/>
  <c r="AH31" i="85" s="1"/>
  <c r="AO31" i="85" s="1"/>
  <c r="V31" i="85"/>
  <c r="Y31" i="83"/>
  <c r="AG31" i="83" s="1"/>
  <c r="AN31" i="83" s="1"/>
  <c r="Z31" i="83"/>
  <c r="AH31" i="83" s="1"/>
  <c r="AO31" i="83" s="1"/>
  <c r="V31" i="83"/>
  <c r="W31" i="83"/>
  <c r="AE31" i="83" s="1"/>
  <c r="AL31" i="83" s="1"/>
  <c r="AA31" i="83"/>
  <c r="V31" i="58"/>
  <c r="Y31" i="58"/>
  <c r="AG31" i="58" s="1"/>
  <c r="AN31" i="58" s="1"/>
  <c r="W31" i="58"/>
  <c r="AE31" i="58" s="1"/>
  <c r="AL31" i="58" s="1"/>
  <c r="Z31" i="58"/>
  <c r="AH31" i="58" s="1"/>
  <c r="AO31" i="58" s="1"/>
  <c r="AA31" i="58"/>
  <c r="Z31" i="64"/>
  <c r="AH31" i="64" s="1"/>
  <c r="AO31" i="64" s="1"/>
  <c r="AA31" i="64"/>
  <c r="V31" i="64"/>
  <c r="W31" i="64"/>
  <c r="AE31" i="64" s="1"/>
  <c r="AL31" i="64" s="1"/>
  <c r="Y31" i="64"/>
  <c r="AG31" i="64" s="1"/>
  <c r="AN31" i="64" s="1"/>
  <c r="Y31" i="87"/>
  <c r="AG31" i="87" s="1"/>
  <c r="AN31" i="87" s="1"/>
  <c r="AA31" i="87"/>
  <c r="W31" i="87"/>
  <c r="AE31" i="87" s="1"/>
  <c r="AL31" i="87" s="1"/>
  <c r="V31" i="87"/>
  <c r="Z31" i="87"/>
  <c r="AH31" i="87" s="1"/>
  <c r="AO31" i="87" s="1"/>
  <c r="W31" i="84"/>
  <c r="AE31" i="84" s="1"/>
  <c r="AL31" i="84" s="1"/>
  <c r="V31" i="84"/>
  <c r="AA31" i="84"/>
  <c r="Z31" i="84"/>
  <c r="AH31" i="84" s="1"/>
  <c r="AO31" i="84" s="1"/>
  <c r="Y31" i="84"/>
  <c r="AG31" i="84" s="1"/>
  <c r="AN31" i="84" s="1"/>
  <c r="AA31" i="79"/>
  <c r="Y31" i="79"/>
  <c r="AG31" i="79" s="1"/>
  <c r="AN31" i="79" s="1"/>
  <c r="V31" i="79"/>
  <c r="W31" i="79"/>
  <c r="AE31" i="79" s="1"/>
  <c r="AL31" i="79" s="1"/>
  <c r="Z31" i="79"/>
  <c r="AH31" i="79" s="1"/>
  <c r="AO31" i="79" s="1"/>
  <c r="AA31" i="49"/>
  <c r="Y31" i="49"/>
  <c r="AG31" i="49" s="1"/>
  <c r="AN31" i="49" s="1"/>
  <c r="V31" i="49"/>
  <c r="Z31" i="49"/>
  <c r="AH31" i="49" s="1"/>
  <c r="AO31" i="49" s="1"/>
  <c r="W31" i="49"/>
  <c r="AE31" i="49" s="1"/>
  <c r="AL31" i="49" s="1"/>
  <c r="Z31" i="53"/>
  <c r="AH31" i="53" s="1"/>
  <c r="AO31" i="53" s="1"/>
  <c r="AA31" i="53"/>
  <c r="V31" i="53"/>
  <c r="Y31" i="53"/>
  <c r="AG31" i="53" s="1"/>
  <c r="AN31" i="53" s="1"/>
  <c r="W31" i="53"/>
  <c r="AE31" i="53" s="1"/>
  <c r="AL31" i="53" s="1"/>
  <c r="V31" i="41"/>
  <c r="W31" i="41"/>
  <c r="AE31" i="41" s="1"/>
  <c r="AL31" i="41" s="1"/>
  <c r="Z31" i="41"/>
  <c r="AH31" i="41" s="1"/>
  <c r="AO31" i="41" s="1"/>
  <c r="Y31" i="41"/>
  <c r="AG31" i="41" s="1"/>
  <c r="AN31" i="41" s="1"/>
  <c r="AA31" i="41"/>
  <c r="AA31" i="50"/>
  <c r="Z31" i="50"/>
  <c r="AH31" i="50" s="1"/>
  <c r="AO31" i="50" s="1"/>
  <c r="Y31" i="50"/>
  <c r="AG31" i="50" s="1"/>
  <c r="AN31" i="50" s="1"/>
  <c r="V31" i="50"/>
  <c r="W31" i="50"/>
  <c r="AE31" i="50" s="1"/>
  <c r="AL31" i="50" s="1"/>
  <c r="Y31" i="56"/>
  <c r="AG31" i="56" s="1"/>
  <c r="AN31" i="56" s="1"/>
  <c r="W31" i="56"/>
  <c r="AE31" i="56" s="1"/>
  <c r="AL31" i="56" s="1"/>
  <c r="V31" i="56"/>
  <c r="AA31" i="56"/>
  <c r="Z31" i="56"/>
  <c r="AH31" i="56" s="1"/>
  <c r="AO31" i="56" s="1"/>
  <c r="W31" i="88"/>
  <c r="AE31" i="88" s="1"/>
  <c r="AL31" i="88" s="1"/>
  <c r="AA31" i="88"/>
  <c r="V31" i="88"/>
  <c r="Y31" i="88"/>
  <c r="AG31" i="88" s="1"/>
  <c r="AN31" i="88" s="1"/>
  <c r="Z31" i="88"/>
  <c r="AH31" i="88" s="1"/>
  <c r="AO31" i="88" s="1"/>
  <c r="AA31" i="55"/>
  <c r="Y31" i="55"/>
  <c r="AG31" i="55" s="1"/>
  <c r="AN31" i="55" s="1"/>
  <c r="Z31" i="55"/>
  <c r="AH31" i="55" s="1"/>
  <c r="AO31" i="55" s="1"/>
  <c r="W31" i="55"/>
  <c r="AE31" i="55" s="1"/>
  <c r="AL31" i="55" s="1"/>
  <c r="V31" i="55"/>
  <c r="Y31" i="81"/>
  <c r="AG31" i="81" s="1"/>
  <c r="AN31" i="81" s="1"/>
  <c r="V31" i="81"/>
  <c r="Z31" i="81"/>
  <c r="AH31" i="81" s="1"/>
  <c r="AO31" i="81" s="1"/>
  <c r="W31" i="81"/>
  <c r="AE31" i="81" s="1"/>
  <c r="AL31" i="81" s="1"/>
  <c r="AA31" i="81"/>
  <c r="Z31" i="51"/>
  <c r="AH31" i="51" s="1"/>
  <c r="AO31" i="51" s="1"/>
  <c r="V31" i="51"/>
  <c r="W31" i="51"/>
  <c r="AE31" i="51" s="1"/>
  <c r="AL31" i="51" s="1"/>
  <c r="Y31" i="51"/>
  <c r="AG31" i="51" s="1"/>
  <c r="AN31" i="51" s="1"/>
  <c r="AA31" i="51"/>
  <c r="AA31" i="46"/>
  <c r="Y31" i="46"/>
  <c r="AG31" i="46" s="1"/>
  <c r="AN31" i="46" s="1"/>
  <c r="W31" i="46"/>
  <c r="AE31" i="46" s="1"/>
  <c r="AL31" i="46" s="1"/>
  <c r="Z31" i="46"/>
  <c r="AH31" i="46" s="1"/>
  <c r="AO31" i="46" s="1"/>
  <c r="V31" i="46"/>
  <c r="Z31" i="69"/>
  <c r="AH31" i="69" s="1"/>
  <c r="AO31" i="69" s="1"/>
  <c r="AA31" i="69"/>
  <c r="Y31" i="69"/>
  <c r="AG31" i="69" s="1"/>
  <c r="AN31" i="69" s="1"/>
  <c r="W31" i="69"/>
  <c r="AE31" i="69" s="1"/>
  <c r="AL31" i="69" s="1"/>
  <c r="V31" i="69"/>
  <c r="Z31" i="54"/>
  <c r="AH31" i="54" s="1"/>
  <c r="AO31" i="54" s="1"/>
  <c r="AA31" i="54"/>
  <c r="W31" i="54"/>
  <c r="AE31" i="54" s="1"/>
  <c r="AL31" i="54" s="1"/>
  <c r="V31" i="54"/>
  <c r="Y31" i="54"/>
  <c r="AG31" i="54" s="1"/>
  <c r="AN31" i="54" s="1"/>
  <c r="Z31" i="52"/>
  <c r="AH31" i="52" s="1"/>
  <c r="AO31" i="52" s="1"/>
  <c r="Y31" i="52"/>
  <c r="AG31" i="52" s="1"/>
  <c r="AN31" i="52" s="1"/>
  <c r="V31" i="52"/>
  <c r="AA31" i="52"/>
  <c r="W31" i="52"/>
  <c r="AE31" i="52" s="1"/>
  <c r="AL31" i="52" s="1"/>
  <c r="Y31" i="72"/>
  <c r="AG31" i="72" s="1"/>
  <c r="AN31" i="72" s="1"/>
  <c r="V31" i="72"/>
  <c r="W31" i="72"/>
  <c r="AE31" i="72" s="1"/>
  <c r="AL31" i="72" s="1"/>
  <c r="Z31" i="72"/>
  <c r="AH31" i="72" s="1"/>
  <c r="AO31" i="72" s="1"/>
  <c r="AA31" i="72"/>
  <c r="AA31" i="73"/>
  <c r="Z31" i="73"/>
  <c r="AH31" i="73" s="1"/>
  <c r="AO31" i="73" s="1"/>
  <c r="W31" i="73"/>
  <c r="AE31" i="73" s="1"/>
  <c r="AL31" i="73" s="1"/>
  <c r="V31" i="73"/>
  <c r="Y31" i="73"/>
  <c r="AG31" i="73" s="1"/>
  <c r="AN31" i="73" s="1"/>
  <c r="B20" i="2"/>
  <c r="B21" i="2" s="1"/>
  <c r="S43" i="41" l="1"/>
  <c r="AI20" i="10"/>
  <c r="AJ71" i="10"/>
  <c r="S43" i="99"/>
  <c r="S43" i="100"/>
  <c r="AK609" i="97"/>
  <c r="AH20" i="10"/>
  <c r="BS17" i="104" s="1"/>
  <c r="AH161" i="10"/>
  <c r="AI33" i="100"/>
  <c r="AP17" i="73"/>
  <c r="T71" i="10"/>
  <c r="AP17" i="79"/>
  <c r="V71" i="10"/>
  <c r="AP17" i="56"/>
  <c r="O71" i="10"/>
  <c r="AP17" i="69"/>
  <c r="R71" i="10"/>
  <c r="AP17" i="83"/>
  <c r="Y71" i="10"/>
  <c r="AD71" i="10"/>
  <c r="AP17" i="90"/>
  <c r="AP17" i="64"/>
  <c r="Q71" i="10"/>
  <c r="AP17" i="95"/>
  <c r="AE71" i="10"/>
  <c r="AP17" i="81"/>
  <c r="W71" i="10"/>
  <c r="U21" i="99"/>
  <c r="AA21" i="99" s="1"/>
  <c r="U21" i="52"/>
  <c r="AA21" i="52" s="1"/>
  <c r="AI21" i="52" s="1"/>
  <c r="AP21" i="52" s="1"/>
  <c r="U21" i="96"/>
  <c r="AA21" i="96" s="1"/>
  <c r="AI21" i="96" s="1"/>
  <c r="AP21" i="96" s="1"/>
  <c r="U21" i="41"/>
  <c r="AA21" i="41" s="1"/>
  <c r="AI21" i="41" s="1"/>
  <c r="AP21" i="41" s="1"/>
  <c r="U21" i="55"/>
  <c r="AA21" i="55" s="1"/>
  <c r="AI21" i="55" s="1"/>
  <c r="AP21" i="55" s="1"/>
  <c r="U21" i="45"/>
  <c r="AA21" i="45" s="1"/>
  <c r="AI21" i="45" s="1"/>
  <c r="AP21" i="45" s="1"/>
  <c r="U21" i="47"/>
  <c r="AA21" i="47" s="1"/>
  <c r="AI21" i="47" s="1"/>
  <c r="AP21" i="47" s="1"/>
  <c r="U21" i="56"/>
  <c r="AA21" i="56" s="1"/>
  <c r="AI21" i="56" s="1"/>
  <c r="AP21" i="56" s="1"/>
  <c r="U21" i="50"/>
  <c r="AA21" i="50" s="1"/>
  <c r="AI21" i="50" s="1"/>
  <c r="AP21" i="50" s="1"/>
  <c r="U21" i="48"/>
  <c r="AA21" i="48" s="1"/>
  <c r="AI21" i="48" s="1"/>
  <c r="AP21" i="48" s="1"/>
  <c r="U21" i="54"/>
  <c r="AA21" i="54" s="1"/>
  <c r="AI21" i="54" s="1"/>
  <c r="AP21" i="54" s="1"/>
  <c r="U21" i="90"/>
  <c r="AA21" i="90" s="1"/>
  <c r="AI21" i="90" s="1"/>
  <c r="AP21" i="90" s="1"/>
  <c r="U21" i="49"/>
  <c r="AA21" i="49" s="1"/>
  <c r="AI21" i="49" s="1"/>
  <c r="AP21" i="49" s="1"/>
  <c r="U21" i="81"/>
  <c r="AA21" i="81" s="1"/>
  <c r="AI21" i="81" s="1"/>
  <c r="AP21" i="81" s="1"/>
  <c r="U21" i="64"/>
  <c r="AA21" i="64" s="1"/>
  <c r="AI21" i="64" s="1"/>
  <c r="AP21" i="64" s="1"/>
  <c r="U21" i="72"/>
  <c r="AA21" i="72" s="1"/>
  <c r="AI21" i="72" s="1"/>
  <c r="AP21" i="72" s="1"/>
  <c r="U21" i="46"/>
  <c r="AA21" i="46" s="1"/>
  <c r="AI21" i="46" s="1"/>
  <c r="AP21" i="46" s="1"/>
  <c r="U21" i="79"/>
  <c r="AA21" i="79" s="1"/>
  <c r="AI21" i="79" s="1"/>
  <c r="AP21" i="79" s="1"/>
  <c r="U21" i="88"/>
  <c r="AA21" i="88" s="1"/>
  <c r="AI21" i="88" s="1"/>
  <c r="AP21" i="88" s="1"/>
  <c r="U21" i="51"/>
  <c r="AA21" i="51" s="1"/>
  <c r="AI21" i="51" s="1"/>
  <c r="AP21" i="51" s="1"/>
  <c r="U21" i="95"/>
  <c r="AA21" i="95" s="1"/>
  <c r="AI21" i="95" s="1"/>
  <c r="AP21" i="95" s="1"/>
  <c r="U21" i="83"/>
  <c r="AA21" i="83" s="1"/>
  <c r="AI21" i="83" s="1"/>
  <c r="AP21" i="83" s="1"/>
  <c r="U21" i="85"/>
  <c r="AA21" i="85" s="1"/>
  <c r="AI21" i="85" s="1"/>
  <c r="AP21" i="85" s="1"/>
  <c r="U21" i="77"/>
  <c r="AA21" i="77" s="1"/>
  <c r="AI21" i="77" s="1"/>
  <c r="AP21" i="77" s="1"/>
  <c r="U21" i="53"/>
  <c r="AA21" i="53" s="1"/>
  <c r="AI21" i="53" s="1"/>
  <c r="AP21" i="53" s="1"/>
  <c r="U21" i="58"/>
  <c r="AA21" i="58" s="1"/>
  <c r="AI21" i="58" s="1"/>
  <c r="AP21" i="58" s="1"/>
  <c r="U21" i="69"/>
  <c r="AA21" i="69" s="1"/>
  <c r="AI21" i="69" s="1"/>
  <c r="AP21" i="69" s="1"/>
  <c r="U21" i="73"/>
  <c r="AA21" i="73" s="1"/>
  <c r="AI21" i="73" s="1"/>
  <c r="AP21" i="73" s="1"/>
  <c r="H28" i="5"/>
  <c r="U11" i="100" s="1"/>
  <c r="U21" i="82"/>
  <c r="AA21" i="82" s="1"/>
  <c r="AI21" i="82" s="1"/>
  <c r="AP21" i="82" s="1"/>
  <c r="U21" i="84"/>
  <c r="AA21" i="84" s="1"/>
  <c r="AI21" i="84" s="1"/>
  <c r="AP21" i="84" s="1"/>
  <c r="U21" i="87"/>
  <c r="AA21" i="87" s="1"/>
  <c r="AI21" i="87" s="1"/>
  <c r="AP21" i="87" s="1"/>
  <c r="U71" i="10"/>
  <c r="AP17" i="77"/>
  <c r="AP17" i="87"/>
  <c r="AB71" i="10"/>
  <c r="AA71" i="10"/>
  <c r="AP17" i="85"/>
  <c r="AP17" i="84"/>
  <c r="Z71" i="10"/>
  <c r="AP17" i="99"/>
  <c r="AG71" i="10"/>
  <c r="S71" i="10"/>
  <c r="AP17" i="72"/>
  <c r="AF71" i="10"/>
  <c r="AP17" i="96"/>
  <c r="X71" i="10"/>
  <c r="AP17" i="82"/>
  <c r="N71" i="10"/>
  <c r="AP17" i="55"/>
  <c r="AP17" i="46"/>
  <c r="M71" i="10"/>
  <c r="AP17" i="58"/>
  <c r="P71" i="10"/>
  <c r="AP17" i="88"/>
  <c r="AC71" i="10"/>
  <c r="G609" i="97"/>
  <c r="S43" i="45"/>
  <c r="Q609" i="97"/>
  <c r="S43" i="55"/>
  <c r="R609" i="97"/>
  <c r="S43" i="56"/>
  <c r="N609" i="97"/>
  <c r="S43" i="48"/>
  <c r="I609" i="97"/>
  <c r="S43" i="53"/>
  <c r="K609" i="97"/>
  <c r="S43" i="51"/>
  <c r="X609" i="97"/>
  <c r="S43" i="77"/>
  <c r="AC609" i="97"/>
  <c r="S43" i="84"/>
  <c r="AB609" i="97"/>
  <c r="S43" i="83"/>
  <c r="AP28" i="99"/>
  <c r="AF609" i="97"/>
  <c r="S43" i="88"/>
  <c r="V609" i="97"/>
  <c r="S43" i="72"/>
  <c r="AH609" i="97"/>
  <c r="S43" i="95"/>
  <c r="AI31" i="73"/>
  <c r="AD31" i="72"/>
  <c r="AD31" i="52"/>
  <c r="AD31" i="54"/>
  <c r="AD31" i="69"/>
  <c r="AI31" i="49"/>
  <c r="AI31" i="79"/>
  <c r="AD31" i="84"/>
  <c r="AI31" i="58"/>
  <c r="AD31" i="58"/>
  <c r="AI31" i="48"/>
  <c r="AD31" i="90"/>
  <c r="AI31" i="90"/>
  <c r="AD31" i="73"/>
  <c r="AI31" i="72"/>
  <c r="AD31" i="46"/>
  <c r="AI31" i="46"/>
  <c r="AD31" i="51"/>
  <c r="AD31" i="88"/>
  <c r="AI31" i="56"/>
  <c r="AI31" i="50"/>
  <c r="AD31" i="53"/>
  <c r="AI31" i="87"/>
  <c r="AD31" i="64"/>
  <c r="AI31" i="83"/>
  <c r="AD31" i="96"/>
  <c r="AI31" i="82"/>
  <c r="AI31" i="47"/>
  <c r="AI31" i="95"/>
  <c r="AD31" i="77"/>
  <c r="AI31" i="54"/>
  <c r="AI31" i="51"/>
  <c r="AD31" i="81"/>
  <c r="AD31" i="55"/>
  <c r="AI31" i="55"/>
  <c r="AI31" i="88"/>
  <c r="AD31" i="56"/>
  <c r="AD31" i="50"/>
  <c r="AI31" i="41"/>
  <c r="AD31" i="41"/>
  <c r="AI31" i="53"/>
  <c r="AD31" i="49"/>
  <c r="AD31" i="79"/>
  <c r="AI31" i="64"/>
  <c r="AD31" i="85"/>
  <c r="AI31" i="85"/>
  <c r="AD31" i="45"/>
  <c r="AD31" i="48"/>
  <c r="AI31" i="52"/>
  <c r="AI31" i="69"/>
  <c r="AI31" i="81"/>
  <c r="AI31" i="84"/>
  <c r="AD31" i="87"/>
  <c r="AD31" i="83"/>
  <c r="AI31" i="96"/>
  <c r="AI31" i="45"/>
  <c r="AD31" i="82"/>
  <c r="AD31" i="47"/>
  <c r="AD31" i="95"/>
  <c r="AI31" i="77"/>
  <c r="B22" i="2"/>
  <c r="B23" i="2" s="1"/>
  <c r="B24" i="2" l="1"/>
  <c r="BT17" i="98"/>
  <c r="AI72" i="98" s="1"/>
  <c r="BT17" i="104"/>
  <c r="AH72" i="104"/>
  <c r="AH17" i="104"/>
  <c r="AL46" i="32"/>
  <c r="AZ34" i="103"/>
  <c r="AJ20" i="10"/>
  <c r="BA34" i="103"/>
  <c r="AP34" i="89"/>
  <c r="AL623" i="97"/>
  <c r="C20" i="32"/>
  <c r="AI126" i="10"/>
  <c r="BR17" i="71"/>
  <c r="AL20" i="10"/>
  <c r="Y11" i="100"/>
  <c r="AG11" i="100" s="1"/>
  <c r="AN11" i="100" s="1"/>
  <c r="W11" i="100"/>
  <c r="AE11" i="100" s="1"/>
  <c r="AL11" i="100" s="1"/>
  <c r="AA11" i="100"/>
  <c r="V11" i="100"/>
  <c r="Z11" i="100"/>
  <c r="AH11" i="100" s="1"/>
  <c r="AO11" i="100" s="1"/>
  <c r="AQ94" i="33"/>
  <c r="AH126" i="10"/>
  <c r="AK623" i="97"/>
  <c r="AO34" i="89"/>
  <c r="BS17" i="98"/>
  <c r="AP33" i="100"/>
  <c r="Q161" i="10"/>
  <c r="Z94" i="33" s="1"/>
  <c r="Q20" i="10"/>
  <c r="S161" i="10"/>
  <c r="AB94" i="33" s="1"/>
  <c r="S20" i="10"/>
  <c r="AE20" i="10"/>
  <c r="AE161" i="10"/>
  <c r="AN94" i="33" s="1"/>
  <c r="AA20" i="10"/>
  <c r="AA161" i="10"/>
  <c r="AJ94" i="33" s="1"/>
  <c r="U11" i="99"/>
  <c r="U11" i="50"/>
  <c r="U11" i="48"/>
  <c r="U11" i="47"/>
  <c r="U11" i="83"/>
  <c r="U11" i="56"/>
  <c r="U11" i="46"/>
  <c r="U11" i="52"/>
  <c r="U11" i="82"/>
  <c r="U11" i="69"/>
  <c r="U11" i="81"/>
  <c r="U11" i="95"/>
  <c r="U11" i="54"/>
  <c r="U11" i="79"/>
  <c r="U11" i="51"/>
  <c r="U11" i="77"/>
  <c r="U11" i="96"/>
  <c r="U11" i="84"/>
  <c r="U11" i="85"/>
  <c r="U11" i="88"/>
  <c r="U11" i="73"/>
  <c r="U11" i="53"/>
  <c r="U11" i="64"/>
  <c r="U11" i="72"/>
  <c r="U11" i="45"/>
  <c r="U11" i="90"/>
  <c r="U11" i="55"/>
  <c r="U11" i="41"/>
  <c r="U11" i="87"/>
  <c r="U11" i="58"/>
  <c r="U11" i="49"/>
  <c r="AG161" i="10"/>
  <c r="AP94" i="33" s="1"/>
  <c r="AG20" i="10"/>
  <c r="BR17" i="104" s="1"/>
  <c r="V161" i="10"/>
  <c r="AE94" i="33" s="1"/>
  <c r="V20" i="10"/>
  <c r="AF161" i="10"/>
  <c r="AO94" i="33" s="1"/>
  <c r="AF20" i="10"/>
  <c r="N161" i="10"/>
  <c r="W94" i="33" s="1"/>
  <c r="N20" i="10"/>
  <c r="U161" i="10"/>
  <c r="AD94" i="33" s="1"/>
  <c r="U20" i="10"/>
  <c r="AI21" i="99"/>
  <c r="AD20" i="10"/>
  <c r="AD161" i="10"/>
  <c r="AM94" i="33" s="1"/>
  <c r="R20" i="10"/>
  <c r="R161" i="10"/>
  <c r="AA94" i="33" s="1"/>
  <c r="AC161" i="10"/>
  <c r="AL94" i="33" s="1"/>
  <c r="AC20" i="10"/>
  <c r="Z161" i="10"/>
  <c r="AI94" i="33" s="1"/>
  <c r="Z20" i="10"/>
  <c r="W161" i="10"/>
  <c r="AF94" i="33" s="1"/>
  <c r="W20" i="10"/>
  <c r="Y20" i="10"/>
  <c r="Y161" i="10"/>
  <c r="AH94" i="33" s="1"/>
  <c r="T20" i="10"/>
  <c r="T161" i="10"/>
  <c r="AC94" i="33" s="1"/>
  <c r="P161" i="10"/>
  <c r="Y94" i="33" s="1"/>
  <c r="P20" i="10"/>
  <c r="M20" i="10"/>
  <c r="M161" i="10"/>
  <c r="V94" i="33" s="1"/>
  <c r="AB161" i="10"/>
  <c r="AK94" i="33" s="1"/>
  <c r="AB20" i="10"/>
  <c r="O20" i="10"/>
  <c r="O161" i="10"/>
  <c r="X94" i="33" s="1"/>
  <c r="X161" i="10"/>
  <c r="AG94" i="33" s="1"/>
  <c r="X20" i="10"/>
  <c r="AP31" i="84"/>
  <c r="AP31" i="87"/>
  <c r="AP31" i="49"/>
  <c r="AK31" i="95"/>
  <c r="AK31" i="82"/>
  <c r="AP31" i="96"/>
  <c r="AP31" i="85"/>
  <c r="AP31" i="64"/>
  <c r="AP31" i="53"/>
  <c r="AP31" i="41"/>
  <c r="AK31" i="56"/>
  <c r="AP31" i="55"/>
  <c r="AK31" i="81"/>
  <c r="AP31" i="54"/>
  <c r="AP31" i="95"/>
  <c r="AP31" i="82"/>
  <c r="AP31" i="46"/>
  <c r="AP31" i="72"/>
  <c r="AP31" i="90"/>
  <c r="AP31" i="48"/>
  <c r="AP31" i="58"/>
  <c r="AP31" i="79"/>
  <c r="AK31" i="83"/>
  <c r="AP31" i="69"/>
  <c r="AK31" i="45"/>
  <c r="AK31" i="53"/>
  <c r="AK31" i="72"/>
  <c r="AK31" i="87"/>
  <c r="AP31" i="81"/>
  <c r="AP31" i="52"/>
  <c r="AK31" i="48"/>
  <c r="AK31" i="64"/>
  <c r="AP31" i="50"/>
  <c r="AK31" i="88"/>
  <c r="AK31" i="69"/>
  <c r="AK31" i="52"/>
  <c r="AP31" i="73"/>
  <c r="AP31" i="83"/>
  <c r="AP31" i="56"/>
  <c r="AK31" i="54"/>
  <c r="AP31" i="77"/>
  <c r="AK31" i="47"/>
  <c r="AP31" i="45"/>
  <c r="AK31" i="85"/>
  <c r="AK31" i="79"/>
  <c r="AK31" i="49"/>
  <c r="AK31" i="41"/>
  <c r="AK31" i="50"/>
  <c r="AP31" i="88"/>
  <c r="AK31" i="55"/>
  <c r="AP31" i="51"/>
  <c r="AK31" i="77"/>
  <c r="AP31" i="47"/>
  <c r="AK31" i="96"/>
  <c r="AK31" i="51"/>
  <c r="AK31" i="46"/>
  <c r="AK31" i="73"/>
  <c r="AK31" i="90"/>
  <c r="AK31" i="58"/>
  <c r="AK31" i="84"/>
  <c r="B25" i="2" l="1"/>
  <c r="AI17" i="98"/>
  <c r="AV34" i="103"/>
  <c r="BO17" i="104"/>
  <c r="AH34" i="103"/>
  <c r="BA17" i="104"/>
  <c r="AI34" i="103"/>
  <c r="BB17" i="104"/>
  <c r="AM34" i="103"/>
  <c r="BF17" i="104"/>
  <c r="AG72" i="104"/>
  <c r="AG17" i="104"/>
  <c r="AU34" i="103"/>
  <c r="BN17" i="104"/>
  <c r="AP34" i="103"/>
  <c r="BI17" i="104"/>
  <c r="AG34" i="103"/>
  <c r="AZ17" i="104"/>
  <c r="AL34" i="103"/>
  <c r="BE17" i="104"/>
  <c r="AF34" i="103"/>
  <c r="AY17" i="104"/>
  <c r="AS34" i="103"/>
  <c r="BL17" i="104"/>
  <c r="AE34" i="103"/>
  <c r="AX17" i="104"/>
  <c r="AT34" i="103"/>
  <c r="BM17" i="104"/>
  <c r="AN34" i="103"/>
  <c r="BG17" i="104"/>
  <c r="AQ34" i="103"/>
  <c r="BJ17" i="104"/>
  <c r="AJ34" i="103"/>
  <c r="BC17" i="104"/>
  <c r="AX34" i="103"/>
  <c r="BQ17" i="104"/>
  <c r="AW34" i="103"/>
  <c r="BP17" i="104"/>
  <c r="AI72" i="104"/>
  <c r="AI17" i="104"/>
  <c r="AR34" i="103"/>
  <c r="BK17" i="104"/>
  <c r="AO34" i="103"/>
  <c r="BH17" i="104"/>
  <c r="AK34" i="103"/>
  <c r="BD17" i="104"/>
  <c r="AK20" i="10"/>
  <c r="AY34" i="103"/>
  <c r="AR48" i="33"/>
  <c r="AR133" i="33"/>
  <c r="BG110" i="32"/>
  <c r="BH110" i="32" s="1"/>
  <c r="AJ126" i="10"/>
  <c r="AK126" i="10"/>
  <c r="AH17" i="71"/>
  <c r="AH72" i="71"/>
  <c r="AD11" i="100"/>
  <c r="V8" i="100"/>
  <c r="AI11" i="100"/>
  <c r="AA8" i="100"/>
  <c r="AQ133" i="33"/>
  <c r="AQ48" i="33"/>
  <c r="AH17" i="98"/>
  <c r="AH72" i="98"/>
  <c r="AK46" i="32"/>
  <c r="BQ17" i="71"/>
  <c r="P18" i="59"/>
  <c r="S623" i="97"/>
  <c r="AZ17" i="71"/>
  <c r="W34" i="89"/>
  <c r="BA17" i="98"/>
  <c r="P126" i="10"/>
  <c r="Z11" i="49"/>
  <c r="AH11" i="49" s="1"/>
  <c r="AO11" i="49" s="1"/>
  <c r="V11" i="49"/>
  <c r="AD11" i="49" s="1"/>
  <c r="AK11" i="49" s="1"/>
  <c r="W11" i="49"/>
  <c r="AE11" i="49" s="1"/>
  <c r="AL11" i="49" s="1"/>
  <c r="AA11" i="49"/>
  <c r="Y11" i="49"/>
  <c r="AG11" i="49" s="1"/>
  <c r="AN11" i="49" s="1"/>
  <c r="AA11" i="64"/>
  <c r="V11" i="64"/>
  <c r="AD11" i="64" s="1"/>
  <c r="AK11" i="64" s="1"/>
  <c r="W11" i="64"/>
  <c r="AE11" i="64" s="1"/>
  <c r="AL11" i="64" s="1"/>
  <c r="Z11" i="64"/>
  <c r="AH11" i="64" s="1"/>
  <c r="AO11" i="64" s="1"/>
  <c r="Y11" i="64"/>
  <c r="AG11" i="64" s="1"/>
  <c r="AN11" i="64" s="1"/>
  <c r="V11" i="51"/>
  <c r="AD11" i="51" s="1"/>
  <c r="AK11" i="51" s="1"/>
  <c r="Z11" i="51"/>
  <c r="AH11" i="51" s="1"/>
  <c r="AO11" i="51" s="1"/>
  <c r="W11" i="51"/>
  <c r="AE11" i="51" s="1"/>
  <c r="AL11" i="51" s="1"/>
  <c r="Y11" i="51"/>
  <c r="AG11" i="51" s="1"/>
  <c r="AN11" i="51" s="1"/>
  <c r="AA11" i="51"/>
  <c r="V11" i="46"/>
  <c r="AD11" i="46" s="1"/>
  <c r="AK11" i="46" s="1"/>
  <c r="W11" i="46"/>
  <c r="AE11" i="46" s="1"/>
  <c r="AL11" i="46" s="1"/>
  <c r="Z11" i="46"/>
  <c r="AH11" i="46" s="1"/>
  <c r="AO11" i="46" s="1"/>
  <c r="AA11" i="46"/>
  <c r="Y11" i="46"/>
  <c r="AG11" i="46" s="1"/>
  <c r="AN11" i="46" s="1"/>
  <c r="BL17" i="98"/>
  <c r="AE46" i="32"/>
  <c r="AA126" i="10"/>
  <c r="BK17" i="71"/>
  <c r="AH34" i="89"/>
  <c r="AD623" i="97"/>
  <c r="BK17" i="98"/>
  <c r="AD46" i="32"/>
  <c r="AG34" i="89"/>
  <c r="Z126" i="10"/>
  <c r="BJ17" i="71"/>
  <c r="AC623" i="97"/>
  <c r="AP21" i="99"/>
  <c r="AJ623" i="97"/>
  <c r="BR17" i="98"/>
  <c r="AG126" i="10"/>
  <c r="AN34" i="89"/>
  <c r="AA11" i="58"/>
  <c r="W11" i="58"/>
  <c r="AE11" i="58" s="1"/>
  <c r="AL11" i="58" s="1"/>
  <c r="Y11" i="58"/>
  <c r="AG11" i="58" s="1"/>
  <c r="AN11" i="58" s="1"/>
  <c r="V11" i="58"/>
  <c r="AD11" i="58" s="1"/>
  <c r="AK11" i="58" s="1"/>
  <c r="Z11" i="58"/>
  <c r="AH11" i="58" s="1"/>
  <c r="AO11" i="58" s="1"/>
  <c r="AA11" i="53"/>
  <c r="Y11" i="53"/>
  <c r="AG11" i="53" s="1"/>
  <c r="AN11" i="53" s="1"/>
  <c r="W11" i="53"/>
  <c r="AE11" i="53" s="1"/>
  <c r="AL11" i="53" s="1"/>
  <c r="V11" i="53"/>
  <c r="AD11" i="53" s="1"/>
  <c r="AK11" i="53" s="1"/>
  <c r="Z11" i="53"/>
  <c r="AH11" i="53" s="1"/>
  <c r="AO11" i="53" s="1"/>
  <c r="AA11" i="79"/>
  <c r="Y11" i="79"/>
  <c r="AG11" i="79" s="1"/>
  <c r="AN11" i="79" s="1"/>
  <c r="V11" i="79"/>
  <c r="Z11" i="79"/>
  <c r="AH11" i="79" s="1"/>
  <c r="AO11" i="79" s="1"/>
  <c r="W11" i="79"/>
  <c r="AE11" i="79" s="1"/>
  <c r="AL11" i="79" s="1"/>
  <c r="Y11" i="56"/>
  <c r="AG11" i="56" s="1"/>
  <c r="AN11" i="56" s="1"/>
  <c r="AA11" i="56"/>
  <c r="V11" i="56"/>
  <c r="AD11" i="56" s="1"/>
  <c r="AK11" i="56" s="1"/>
  <c r="W11" i="56"/>
  <c r="AE11" i="56" s="1"/>
  <c r="AL11" i="56" s="1"/>
  <c r="Z11" i="56"/>
  <c r="AH11" i="56" s="1"/>
  <c r="AO11" i="56" s="1"/>
  <c r="BL17" i="71"/>
  <c r="AB126" i="10"/>
  <c r="AE623" i="97"/>
  <c r="BM17" i="98"/>
  <c r="AF46" i="32"/>
  <c r="AI34" i="89"/>
  <c r="V11" i="41"/>
  <c r="AD11" i="41" s="1"/>
  <c r="AK11" i="41" s="1"/>
  <c r="Z11" i="41"/>
  <c r="AH11" i="41" s="1"/>
  <c r="AO11" i="41" s="1"/>
  <c r="AA11" i="41"/>
  <c r="W11" i="41"/>
  <c r="AE11" i="41" s="1"/>
  <c r="AL11" i="41" s="1"/>
  <c r="Y11" i="41"/>
  <c r="AG11" i="41" s="1"/>
  <c r="AN11" i="41" s="1"/>
  <c r="Q126" i="10"/>
  <c r="X34" i="89"/>
  <c r="BA17" i="71"/>
  <c r="Q18" i="59"/>
  <c r="BB17" i="98"/>
  <c r="T623" i="97"/>
  <c r="BD17" i="71"/>
  <c r="X46" i="32"/>
  <c r="W623" i="97"/>
  <c r="T126" i="10"/>
  <c r="BE17" i="98"/>
  <c r="AA34" i="89"/>
  <c r="AX17" i="71"/>
  <c r="N126" i="10"/>
  <c r="AY17" i="98"/>
  <c r="U34" i="89"/>
  <c r="Q623" i="97"/>
  <c r="N18" i="59"/>
  <c r="Y11" i="55"/>
  <c r="AG11" i="55" s="1"/>
  <c r="AN11" i="55" s="1"/>
  <c r="Z11" i="55"/>
  <c r="AH11" i="55" s="1"/>
  <c r="AO11" i="55" s="1"/>
  <c r="V11" i="55"/>
  <c r="AD11" i="55" s="1"/>
  <c r="AK11" i="55" s="1"/>
  <c r="AA11" i="55"/>
  <c r="W11" i="55"/>
  <c r="AE11" i="55" s="1"/>
  <c r="AL11" i="55" s="1"/>
  <c r="Z11" i="85"/>
  <c r="AH11" i="85" s="1"/>
  <c r="AO11" i="85" s="1"/>
  <c r="Y11" i="85"/>
  <c r="AG11" i="85" s="1"/>
  <c r="AN11" i="85" s="1"/>
  <c r="V11" i="85"/>
  <c r="AA11" i="85"/>
  <c r="W11" i="85"/>
  <c r="AE11" i="85" s="1"/>
  <c r="AL11" i="85" s="1"/>
  <c r="Z11" i="81"/>
  <c r="AH11" i="81" s="1"/>
  <c r="AO11" i="81" s="1"/>
  <c r="V11" i="81"/>
  <c r="AA11" i="81"/>
  <c r="W11" i="81"/>
  <c r="AE11" i="81" s="1"/>
  <c r="AL11" i="81" s="1"/>
  <c r="Y11" i="81"/>
  <c r="AG11" i="81" s="1"/>
  <c r="AN11" i="81" s="1"/>
  <c r="Z11" i="48"/>
  <c r="AH11" i="48" s="1"/>
  <c r="AO11" i="48" s="1"/>
  <c r="W11" i="48"/>
  <c r="AE11" i="48" s="1"/>
  <c r="AL11" i="48" s="1"/>
  <c r="Y11" i="48"/>
  <c r="AG11" i="48" s="1"/>
  <c r="AN11" i="48" s="1"/>
  <c r="AA11" i="48"/>
  <c r="V11" i="48"/>
  <c r="AD11" i="48" s="1"/>
  <c r="AK11" i="48" s="1"/>
  <c r="R623" i="97"/>
  <c r="V34" i="89"/>
  <c r="O126" i="10"/>
  <c r="O18" i="59"/>
  <c r="AY17" i="71"/>
  <c r="AZ17" i="98"/>
  <c r="BF17" i="98"/>
  <c r="Y46" i="32"/>
  <c r="U126" i="10"/>
  <c r="AB34" i="89"/>
  <c r="BE17" i="71"/>
  <c r="X623" i="97"/>
  <c r="W11" i="73"/>
  <c r="AE11" i="73" s="1"/>
  <c r="AL11" i="73" s="1"/>
  <c r="V11" i="73"/>
  <c r="AD11" i="73" s="1"/>
  <c r="AK11" i="73" s="1"/>
  <c r="Z11" i="73"/>
  <c r="AH11" i="73" s="1"/>
  <c r="AO11" i="73" s="1"/>
  <c r="Y11" i="73"/>
  <c r="AG11" i="73" s="1"/>
  <c r="AN11" i="73" s="1"/>
  <c r="AA11" i="73"/>
  <c r="AL34" i="89"/>
  <c r="AI46" i="32"/>
  <c r="BO17" i="71"/>
  <c r="AE126" i="10"/>
  <c r="AH623" i="97"/>
  <c r="BP17" i="98"/>
  <c r="AF623" i="97"/>
  <c r="BM17" i="71"/>
  <c r="AG46" i="32"/>
  <c r="BN17" i="98"/>
  <c r="AC126" i="10"/>
  <c r="AJ34" i="89"/>
  <c r="W11" i="47"/>
  <c r="AE11" i="47" s="1"/>
  <c r="AL11" i="47" s="1"/>
  <c r="V11" i="47"/>
  <c r="AD11" i="47" s="1"/>
  <c r="AK11" i="47" s="1"/>
  <c r="AA11" i="47"/>
  <c r="Z11" i="47"/>
  <c r="AH11" i="47" s="1"/>
  <c r="AO11" i="47" s="1"/>
  <c r="Y11" i="47"/>
  <c r="AG11" i="47" s="1"/>
  <c r="AN11" i="47" s="1"/>
  <c r="BI17" i="98"/>
  <c r="X126" i="10"/>
  <c r="AE34" i="89"/>
  <c r="AB46" i="32"/>
  <c r="AA623" i="97"/>
  <c r="BH17" i="71"/>
  <c r="W11" i="90"/>
  <c r="AE11" i="90" s="1"/>
  <c r="AL11" i="90" s="1"/>
  <c r="V11" i="90"/>
  <c r="Y11" i="90"/>
  <c r="AG11" i="90" s="1"/>
  <c r="AN11" i="90" s="1"/>
  <c r="Z11" i="90"/>
  <c r="AH11" i="90" s="1"/>
  <c r="AO11" i="90" s="1"/>
  <c r="AA11" i="90"/>
  <c r="W11" i="84"/>
  <c r="AE11" i="84" s="1"/>
  <c r="AL11" i="84" s="1"/>
  <c r="V11" i="84"/>
  <c r="Z11" i="84"/>
  <c r="AH11" i="84" s="1"/>
  <c r="AO11" i="84" s="1"/>
  <c r="Y11" i="84"/>
  <c r="AG11" i="84" s="1"/>
  <c r="AN11" i="84" s="1"/>
  <c r="AA11" i="84"/>
  <c r="Y11" i="69"/>
  <c r="AG11" i="69" s="1"/>
  <c r="AN11" i="69" s="1"/>
  <c r="Z11" i="69"/>
  <c r="AH11" i="69" s="1"/>
  <c r="AO11" i="69" s="1"/>
  <c r="W11" i="69"/>
  <c r="AE11" i="69" s="1"/>
  <c r="AL11" i="69" s="1"/>
  <c r="AA11" i="69"/>
  <c r="V11" i="69"/>
  <c r="AD11" i="69" s="1"/>
  <c r="AK11" i="69" s="1"/>
  <c r="Y11" i="50"/>
  <c r="AG11" i="50" s="1"/>
  <c r="AN11" i="50" s="1"/>
  <c r="W11" i="50"/>
  <c r="AE11" i="50" s="1"/>
  <c r="AL11" i="50" s="1"/>
  <c r="AA11" i="50"/>
  <c r="V11" i="50"/>
  <c r="AD11" i="50" s="1"/>
  <c r="AK11" i="50" s="1"/>
  <c r="Z11" i="50"/>
  <c r="AH11" i="50" s="1"/>
  <c r="AO11" i="50" s="1"/>
  <c r="BC17" i="71"/>
  <c r="BD17" i="98"/>
  <c r="W46" i="32"/>
  <c r="S126" i="10"/>
  <c r="Z34" i="89"/>
  <c r="V623" i="97"/>
  <c r="W11" i="54"/>
  <c r="AE11" i="54" s="1"/>
  <c r="AL11" i="54" s="1"/>
  <c r="Y11" i="54"/>
  <c r="AG11" i="54" s="1"/>
  <c r="AN11" i="54" s="1"/>
  <c r="V11" i="54"/>
  <c r="AD11" i="54" s="1"/>
  <c r="AK11" i="54" s="1"/>
  <c r="AA11" i="54"/>
  <c r="Z11" i="54"/>
  <c r="AH11" i="54" s="1"/>
  <c r="AO11" i="54" s="1"/>
  <c r="Y11" i="95"/>
  <c r="AG11" i="95" s="1"/>
  <c r="AN11" i="95" s="1"/>
  <c r="W11" i="95"/>
  <c r="AE11" i="95" s="1"/>
  <c r="AL11" i="95" s="1"/>
  <c r="V11" i="95"/>
  <c r="AA11" i="95"/>
  <c r="Z11" i="95"/>
  <c r="AH11" i="95" s="1"/>
  <c r="AO11" i="95" s="1"/>
  <c r="M18" i="59"/>
  <c r="AW17" i="71"/>
  <c r="P623" i="97"/>
  <c r="T34" i="89"/>
  <c r="M126" i="10"/>
  <c r="AX17" i="98"/>
  <c r="Y126" i="10"/>
  <c r="AC46" i="32"/>
  <c r="BJ17" i="98"/>
  <c r="AB623" i="97"/>
  <c r="AF34" i="89"/>
  <c r="BI17" i="71"/>
  <c r="Z11" i="45"/>
  <c r="AH11" i="45" s="1"/>
  <c r="AO11" i="45" s="1"/>
  <c r="AA11" i="45"/>
  <c r="W11" i="45"/>
  <c r="AE11" i="45" s="1"/>
  <c r="AL11" i="45" s="1"/>
  <c r="V11" i="45"/>
  <c r="AD11" i="45" s="1"/>
  <c r="AK11" i="45" s="1"/>
  <c r="Y11" i="45"/>
  <c r="AG11" i="45" s="1"/>
  <c r="AN11" i="45" s="1"/>
  <c r="AA11" i="96"/>
  <c r="Z11" i="96"/>
  <c r="AH11" i="96" s="1"/>
  <c r="AO11" i="96" s="1"/>
  <c r="V11" i="96"/>
  <c r="W11" i="96"/>
  <c r="AE11" i="96" s="1"/>
  <c r="AL11" i="96" s="1"/>
  <c r="Y11" i="96"/>
  <c r="AG11" i="96" s="1"/>
  <c r="AN11" i="96" s="1"/>
  <c r="W11" i="82"/>
  <c r="AE11" i="82" s="1"/>
  <c r="AL11" i="82" s="1"/>
  <c r="V11" i="82"/>
  <c r="Y11" i="82"/>
  <c r="AG11" i="82" s="1"/>
  <c r="AN11" i="82" s="1"/>
  <c r="Z11" i="82"/>
  <c r="AH11" i="82" s="1"/>
  <c r="AO11" i="82" s="1"/>
  <c r="AA11" i="82"/>
  <c r="Z11" i="99"/>
  <c r="AH11" i="99" s="1"/>
  <c r="AO11" i="99" s="1"/>
  <c r="AA11" i="99"/>
  <c r="W11" i="99"/>
  <c r="AE11" i="99" s="1"/>
  <c r="AL11" i="99" s="1"/>
  <c r="Y11" i="99"/>
  <c r="AG11" i="99" s="1"/>
  <c r="AN11" i="99" s="1"/>
  <c r="V11" i="99"/>
  <c r="W11" i="87"/>
  <c r="AE11" i="87" s="1"/>
  <c r="AL11" i="87" s="1"/>
  <c r="Y11" i="87"/>
  <c r="AG11" i="87" s="1"/>
  <c r="AN11" i="87" s="1"/>
  <c r="V11" i="87"/>
  <c r="AA11" i="87"/>
  <c r="Z11" i="87"/>
  <c r="AH11" i="87" s="1"/>
  <c r="AO11" i="87" s="1"/>
  <c r="Y11" i="83"/>
  <c r="AG11" i="83" s="1"/>
  <c r="AN11" i="83" s="1"/>
  <c r="W11" i="83"/>
  <c r="AE11" i="83" s="1"/>
  <c r="AL11" i="83" s="1"/>
  <c r="AA11" i="83"/>
  <c r="Z11" i="83"/>
  <c r="AH11" i="83" s="1"/>
  <c r="AO11" i="83" s="1"/>
  <c r="V11" i="83"/>
  <c r="U623" i="97"/>
  <c r="BB17" i="71"/>
  <c r="BC17" i="98"/>
  <c r="Y34" i="89"/>
  <c r="R126" i="10"/>
  <c r="AJ46" i="32"/>
  <c r="AM34" i="89"/>
  <c r="BP17" i="71"/>
  <c r="BQ17" i="98"/>
  <c r="AF126" i="10"/>
  <c r="AI623" i="97"/>
  <c r="V11" i="88"/>
  <c r="AA11" i="88"/>
  <c r="Y11" i="88"/>
  <c r="AG11" i="88" s="1"/>
  <c r="AN11" i="88" s="1"/>
  <c r="W11" i="88"/>
  <c r="AE11" i="88" s="1"/>
  <c r="AL11" i="88" s="1"/>
  <c r="Z11" i="88"/>
  <c r="AH11" i="88" s="1"/>
  <c r="AO11" i="88" s="1"/>
  <c r="BG17" i="71"/>
  <c r="Z623" i="97"/>
  <c r="AD34" i="89"/>
  <c r="BH17" i="98"/>
  <c r="W126" i="10"/>
  <c r="AA46" i="32"/>
  <c r="BN17" i="71"/>
  <c r="AG623" i="97"/>
  <c r="AH46" i="32"/>
  <c r="AK34" i="89"/>
  <c r="BO17" i="98"/>
  <c r="AD126" i="10"/>
  <c r="Y623" i="97"/>
  <c r="BG17" i="98"/>
  <c r="BF17" i="71"/>
  <c r="Z46" i="32"/>
  <c r="AC34" i="89"/>
  <c r="V126" i="10"/>
  <c r="AA11" i="72"/>
  <c r="Y11" i="72"/>
  <c r="AG11" i="72" s="1"/>
  <c r="AN11" i="72" s="1"/>
  <c r="Z11" i="72"/>
  <c r="AH11" i="72" s="1"/>
  <c r="AO11" i="72" s="1"/>
  <c r="V11" i="72"/>
  <c r="AD11" i="72" s="1"/>
  <c r="AK11" i="72" s="1"/>
  <c r="W11" i="72"/>
  <c r="AE11" i="72" s="1"/>
  <c r="AL11" i="72" s="1"/>
  <c r="Z11" i="77"/>
  <c r="AH11" i="77" s="1"/>
  <c r="AO11" i="77" s="1"/>
  <c r="AA11" i="77"/>
  <c r="Y11" i="77"/>
  <c r="AG11" i="77" s="1"/>
  <c r="AN11" i="77" s="1"/>
  <c r="V11" i="77"/>
  <c r="W11" i="77"/>
  <c r="AE11" i="77" s="1"/>
  <c r="AL11" i="77" s="1"/>
  <c r="AA11" i="52"/>
  <c r="Z11" i="52"/>
  <c r="AH11" i="52" s="1"/>
  <c r="AO11" i="52" s="1"/>
  <c r="Y11" i="52"/>
  <c r="AG11" i="52" s="1"/>
  <c r="AN11" i="52" s="1"/>
  <c r="W11" i="52"/>
  <c r="AE11" i="52" s="1"/>
  <c r="AL11" i="52" s="1"/>
  <c r="V11" i="52"/>
  <c r="AD11" i="52" s="1"/>
  <c r="AK11" i="52" s="1"/>
  <c r="E13" i="101" l="1"/>
  <c r="E13" i="41"/>
  <c r="E13" i="46"/>
  <c r="E13" i="82"/>
  <c r="E13" i="45"/>
  <c r="E13" i="53"/>
  <c r="E13" i="64"/>
  <c r="E13" i="54"/>
  <c r="B26" i="2"/>
  <c r="B27" i="2" s="1"/>
  <c r="B28" i="2" s="1"/>
  <c r="B29" i="2" s="1"/>
  <c r="E13" i="90"/>
  <c r="E13" i="52"/>
  <c r="E13" i="48"/>
  <c r="E13" i="95"/>
  <c r="E13" i="56"/>
  <c r="E13" i="88"/>
  <c r="E13" i="83"/>
  <c r="E13" i="84"/>
  <c r="E13" i="77"/>
  <c r="E13" i="73"/>
  <c r="E13" i="58"/>
  <c r="E13" i="50"/>
  <c r="E13" i="81"/>
  <c r="E13" i="87"/>
  <c r="E13" i="55"/>
  <c r="E13" i="79"/>
  <c r="E13" i="72"/>
  <c r="E13" i="69"/>
  <c r="E13" i="47"/>
  <c r="E13" i="99"/>
  <c r="E13" i="51"/>
  <c r="E13" i="85"/>
  <c r="E13" i="49"/>
  <c r="E13" i="96"/>
  <c r="E13" i="100"/>
  <c r="Y72" i="104"/>
  <c r="Y17" i="104"/>
  <c r="AA72" i="104"/>
  <c r="AA17" i="104"/>
  <c r="X72" i="104"/>
  <c r="X17" i="104"/>
  <c r="Q72" i="104"/>
  <c r="Q17" i="104"/>
  <c r="O72" i="104"/>
  <c r="O17" i="104"/>
  <c r="Z72" i="104"/>
  <c r="Z17" i="104"/>
  <c r="S72" i="104"/>
  <c r="S17" i="104"/>
  <c r="AE72" i="104"/>
  <c r="AE17" i="104"/>
  <c r="V72" i="104"/>
  <c r="V17" i="104"/>
  <c r="N72" i="104"/>
  <c r="N17" i="104"/>
  <c r="AC72" i="104"/>
  <c r="AC17" i="104"/>
  <c r="P72" i="104"/>
  <c r="P17" i="104"/>
  <c r="U17" i="104"/>
  <c r="U72" i="104"/>
  <c r="R72" i="104"/>
  <c r="R17" i="104"/>
  <c r="W72" i="104"/>
  <c r="W17" i="104"/>
  <c r="AF17" i="104"/>
  <c r="AF72" i="104"/>
  <c r="AB72" i="104"/>
  <c r="AB17" i="104"/>
  <c r="T72" i="104"/>
  <c r="T17" i="104"/>
  <c r="AD72" i="104"/>
  <c r="AD17" i="104"/>
  <c r="M72" i="104"/>
  <c r="M17" i="104"/>
  <c r="AP11" i="100"/>
  <c r="AP8" i="100" s="1"/>
  <c r="AI8" i="100"/>
  <c r="AH64" i="10" s="1"/>
  <c r="AK11" i="100"/>
  <c r="AK8" i="100" s="1"/>
  <c r="AD8" i="100"/>
  <c r="AH59" i="10" s="1"/>
  <c r="BE110" i="32"/>
  <c r="BF110" i="32" s="1"/>
  <c r="AG17" i="71"/>
  <c r="AG72" i="71"/>
  <c r="R72" i="71"/>
  <c r="R17" i="71"/>
  <c r="AD11" i="96"/>
  <c r="V8" i="96"/>
  <c r="V48" i="33"/>
  <c r="V133" i="33"/>
  <c r="AC17" i="71"/>
  <c r="AC72" i="71"/>
  <c r="AI11" i="77"/>
  <c r="AA8" i="77"/>
  <c r="AF72" i="98"/>
  <c r="AF17" i="98"/>
  <c r="AA8" i="47"/>
  <c r="AI11" i="47"/>
  <c r="N72" i="98"/>
  <c r="N17" i="98"/>
  <c r="AD11" i="83"/>
  <c r="V8" i="83"/>
  <c r="AO110" i="32"/>
  <c r="AP110" i="32" s="1"/>
  <c r="AI48" i="33"/>
  <c r="AI133" i="33"/>
  <c r="Y133" i="33"/>
  <c r="Y48" i="33"/>
  <c r="U110" i="32"/>
  <c r="V110" i="32" s="1"/>
  <c r="V17" i="71"/>
  <c r="V72" i="71"/>
  <c r="AI11" i="69"/>
  <c r="AA8" i="69"/>
  <c r="Q72" i="98"/>
  <c r="Q17" i="98"/>
  <c r="V17" i="98"/>
  <c r="V72" i="98"/>
  <c r="AI11" i="83"/>
  <c r="AA8" i="83"/>
  <c r="AD11" i="99"/>
  <c r="V8" i="99"/>
  <c r="V8" i="82"/>
  <c r="AD11" i="82"/>
  <c r="Y72" i="98"/>
  <c r="Y17" i="98"/>
  <c r="S17" i="71"/>
  <c r="S72" i="71"/>
  <c r="AI11" i="90"/>
  <c r="AA8" i="90"/>
  <c r="AN48" i="33"/>
  <c r="AY110" i="32"/>
  <c r="AZ110" i="32" s="1"/>
  <c r="AN133" i="33"/>
  <c r="O72" i="71"/>
  <c r="O17" i="71"/>
  <c r="AI11" i="85"/>
  <c r="AA8" i="85"/>
  <c r="AA8" i="79"/>
  <c r="AI11" i="79"/>
  <c r="AA8" i="49"/>
  <c r="AI11" i="49"/>
  <c r="AA17" i="71"/>
  <c r="AA72" i="71"/>
  <c r="W72" i="71"/>
  <c r="W17" i="71"/>
  <c r="Y17" i="71"/>
  <c r="Y72" i="71"/>
  <c r="AA110" i="32"/>
  <c r="AB110" i="32" s="1"/>
  <c r="AB133" i="33"/>
  <c r="AB48" i="33"/>
  <c r="X17" i="71"/>
  <c r="X72" i="71"/>
  <c r="AD11" i="81"/>
  <c r="V8" i="81"/>
  <c r="AE17" i="98"/>
  <c r="AE72" i="98"/>
  <c r="AA8" i="48"/>
  <c r="AI11" i="48"/>
  <c r="AB72" i="71"/>
  <c r="AB17" i="71"/>
  <c r="AG72" i="98"/>
  <c r="AG17" i="98"/>
  <c r="AA8" i="64"/>
  <c r="AI11" i="64"/>
  <c r="M72" i="71"/>
  <c r="M17" i="71"/>
  <c r="AA72" i="98"/>
  <c r="AA17" i="98"/>
  <c r="AI11" i="52"/>
  <c r="AA8" i="52"/>
  <c r="AF48" i="33"/>
  <c r="G110" i="32"/>
  <c r="J110" i="32"/>
  <c r="K110" i="32" s="1"/>
  <c r="AI110" i="32"/>
  <c r="AJ110" i="32" s="1"/>
  <c r="AF133" i="33"/>
  <c r="AA8" i="88"/>
  <c r="AI11" i="88"/>
  <c r="AA133" i="33"/>
  <c r="AA48" i="33"/>
  <c r="Y110" i="32"/>
  <c r="Z110" i="32" s="1"/>
  <c r="AG133" i="33"/>
  <c r="AK110" i="32"/>
  <c r="AL110" i="32" s="1"/>
  <c r="AG48" i="33"/>
  <c r="AU110" i="32"/>
  <c r="AV110" i="32" s="1"/>
  <c r="AL48" i="33"/>
  <c r="AL133" i="33"/>
  <c r="AE72" i="71"/>
  <c r="AE17" i="71"/>
  <c r="V8" i="85"/>
  <c r="AD11" i="85"/>
  <c r="T72" i="98"/>
  <c r="T17" i="98"/>
  <c r="Q17" i="71"/>
  <c r="Q72" i="71"/>
  <c r="Z72" i="98"/>
  <c r="Z17" i="98"/>
  <c r="AI11" i="46"/>
  <c r="AA8" i="46"/>
  <c r="P72" i="71"/>
  <c r="P17" i="71"/>
  <c r="AA8" i="73"/>
  <c r="AI11" i="73"/>
  <c r="AD11" i="87"/>
  <c r="V8" i="87"/>
  <c r="AI11" i="55"/>
  <c r="AA8" i="55"/>
  <c r="T17" i="71"/>
  <c r="T72" i="71"/>
  <c r="AS110" i="32"/>
  <c r="AT110" i="32" s="1"/>
  <c r="AK133" i="33"/>
  <c r="AK48" i="33"/>
  <c r="AP133" i="33"/>
  <c r="AP48" i="33"/>
  <c r="BC110" i="32"/>
  <c r="BD110" i="32" s="1"/>
  <c r="Z72" i="71"/>
  <c r="Z17" i="71"/>
  <c r="AA8" i="51"/>
  <c r="AI11" i="51"/>
  <c r="AF17" i="71"/>
  <c r="AF72" i="71"/>
  <c r="AA8" i="96"/>
  <c r="AI11" i="96"/>
  <c r="AD11" i="84"/>
  <c r="V8" i="84"/>
  <c r="AA8" i="41"/>
  <c r="AI11" i="41"/>
  <c r="AD72" i="71"/>
  <c r="AD17" i="71"/>
  <c r="AA8" i="54"/>
  <c r="AI11" i="54"/>
  <c r="S17" i="98"/>
  <c r="S72" i="98"/>
  <c r="P72" i="98"/>
  <c r="P17" i="98"/>
  <c r="AM133" i="33"/>
  <c r="AM48" i="33"/>
  <c r="AW110" i="32"/>
  <c r="AX110" i="32" s="1"/>
  <c r="W17" i="98"/>
  <c r="W72" i="98"/>
  <c r="V8" i="88"/>
  <c r="AD11" i="88"/>
  <c r="AI11" i="45"/>
  <c r="AA8" i="45"/>
  <c r="AH48" i="33"/>
  <c r="AH133" i="33"/>
  <c r="AM110" i="32"/>
  <c r="AN110" i="32" s="1"/>
  <c r="AA8" i="95"/>
  <c r="AI11" i="95"/>
  <c r="X72" i="98"/>
  <c r="X17" i="98"/>
  <c r="AC72" i="98"/>
  <c r="AC17" i="98"/>
  <c r="U17" i="71"/>
  <c r="U72" i="71"/>
  <c r="X48" i="33"/>
  <c r="X133" i="33"/>
  <c r="S110" i="32"/>
  <c r="T110" i="32" s="1"/>
  <c r="AC133" i="33"/>
  <c r="AC48" i="33"/>
  <c r="AC110" i="32"/>
  <c r="AD110" i="32" s="1"/>
  <c r="AI11" i="56"/>
  <c r="AA8" i="56"/>
  <c r="AI11" i="58"/>
  <c r="AA8" i="58"/>
  <c r="AG110" i="32"/>
  <c r="AH110" i="32" s="1"/>
  <c r="AE48" i="33"/>
  <c r="AE133" i="33"/>
  <c r="AO133" i="33"/>
  <c r="AO48" i="33"/>
  <c r="BA110" i="32"/>
  <c r="BB110" i="32" s="1"/>
  <c r="AI11" i="87"/>
  <c r="AA8" i="87"/>
  <c r="AE110" i="32"/>
  <c r="AF110" i="32" s="1"/>
  <c r="AD133" i="33"/>
  <c r="AD48" i="33"/>
  <c r="AI11" i="81"/>
  <c r="AA8" i="81"/>
  <c r="AI11" i="82"/>
  <c r="AA8" i="82"/>
  <c r="AI11" i="53"/>
  <c r="AA8" i="53"/>
  <c r="AJ133" i="33"/>
  <c r="AQ110" i="32"/>
  <c r="AR110" i="32" s="1"/>
  <c r="AJ48" i="33"/>
  <c r="U17" i="98"/>
  <c r="U72" i="98"/>
  <c r="W133" i="33"/>
  <c r="W48" i="33"/>
  <c r="Q110" i="32"/>
  <c r="R110" i="32" s="1"/>
  <c r="AD11" i="79"/>
  <c r="V8" i="79"/>
  <c r="O17" i="98"/>
  <c r="O72" i="98"/>
  <c r="N17" i="71"/>
  <c r="N72" i="71"/>
  <c r="AD11" i="77"/>
  <c r="V8" i="77"/>
  <c r="AA8" i="72"/>
  <c r="AI11" i="72"/>
  <c r="AD17" i="98"/>
  <c r="AD72" i="98"/>
  <c r="R17" i="98"/>
  <c r="R72" i="98"/>
  <c r="AI11" i="99"/>
  <c r="AA8" i="99"/>
  <c r="M72" i="98"/>
  <c r="M17" i="98"/>
  <c r="AD11" i="95"/>
  <c r="V8" i="95"/>
  <c r="AA8" i="50"/>
  <c r="AI11" i="50"/>
  <c r="AI11" i="84"/>
  <c r="AA8" i="84"/>
  <c r="V8" i="90"/>
  <c r="AD11" i="90"/>
  <c r="Z133" i="33"/>
  <c r="Z48" i="33"/>
  <c r="W110" i="32"/>
  <c r="X110" i="32" s="1"/>
  <c r="AB17" i="98"/>
  <c r="AB72" i="98"/>
  <c r="B30" i="2"/>
  <c r="I13" i="56" l="1"/>
  <c r="P13" i="56"/>
  <c r="P13" i="99"/>
  <c r="I13" i="99"/>
  <c r="I13" i="45"/>
  <c r="P13" i="45"/>
  <c r="I13" i="47"/>
  <c r="P13" i="47"/>
  <c r="I13" i="58"/>
  <c r="P13" i="58"/>
  <c r="P13" i="48"/>
  <c r="I13" i="48"/>
  <c r="P13" i="82"/>
  <c r="I13" i="82"/>
  <c r="I13" i="81"/>
  <c r="P13" i="81"/>
  <c r="P13" i="95"/>
  <c r="I13" i="95"/>
  <c r="P13" i="69"/>
  <c r="I13" i="69"/>
  <c r="I13" i="73"/>
  <c r="P13" i="73"/>
  <c r="P13" i="52"/>
  <c r="I13" i="52"/>
  <c r="I13" i="46"/>
  <c r="P13" i="46"/>
  <c r="I13" i="53"/>
  <c r="P13" i="53"/>
  <c r="P13" i="100"/>
  <c r="I13" i="100"/>
  <c r="I13" i="72"/>
  <c r="P13" i="72"/>
  <c r="I13" i="77"/>
  <c r="P13" i="77"/>
  <c r="P13" i="90"/>
  <c r="I13" i="90"/>
  <c r="P13" i="41"/>
  <c r="I13" i="41"/>
  <c r="P13" i="50"/>
  <c r="I13" i="50"/>
  <c r="I13" i="96"/>
  <c r="P13" i="96"/>
  <c r="P13" i="79"/>
  <c r="I13" i="79"/>
  <c r="P13" i="84"/>
  <c r="I13" i="84"/>
  <c r="P13" i="101"/>
  <c r="I13" i="101"/>
  <c r="P13" i="51"/>
  <c r="I13" i="51"/>
  <c r="I13" i="49"/>
  <c r="P13" i="49"/>
  <c r="I13" i="55"/>
  <c r="P13" i="55"/>
  <c r="P13" i="83"/>
  <c r="I13" i="83"/>
  <c r="I13" i="54"/>
  <c r="P13" i="54"/>
  <c r="P13" i="85"/>
  <c r="I13" i="85"/>
  <c r="I13" i="87"/>
  <c r="P13" i="87"/>
  <c r="I13" i="88"/>
  <c r="P13" i="88"/>
  <c r="P13" i="64"/>
  <c r="I13" i="64"/>
  <c r="AI13" i="10"/>
  <c r="AJ64" i="10"/>
  <c r="AI8" i="10"/>
  <c r="BT5" i="104" s="1"/>
  <c r="AJ59" i="10"/>
  <c r="AP11" i="72"/>
  <c r="AP8" i="72" s="1"/>
  <c r="AI8" i="72"/>
  <c r="AP11" i="87"/>
  <c r="AP8" i="87" s="1"/>
  <c r="AI8" i="87"/>
  <c r="AI8" i="45"/>
  <c r="AP11" i="45"/>
  <c r="AP8" i="45" s="1"/>
  <c r="AI8" i="51"/>
  <c r="AP11" i="51"/>
  <c r="AP8" i="51" s="1"/>
  <c r="AP11" i="69"/>
  <c r="AP8" i="69" s="1"/>
  <c r="AI8" i="69"/>
  <c r="AP11" i="46"/>
  <c r="AP8" i="46" s="1"/>
  <c r="AI8" i="46"/>
  <c r="AD8" i="83"/>
  <c r="Y59" i="10" s="1"/>
  <c r="AK11" i="83"/>
  <c r="AK8" i="83" s="1"/>
  <c r="AK11" i="79"/>
  <c r="AK8" i="79" s="1"/>
  <c r="AD8" i="79"/>
  <c r="V59" i="10" s="1"/>
  <c r="AI8" i="96"/>
  <c r="AP11" i="96"/>
  <c r="AP8" i="96" s="1"/>
  <c r="AI8" i="73"/>
  <c r="AP11" i="73"/>
  <c r="AP8" i="73" s="1"/>
  <c r="AI8" i="79"/>
  <c r="AP11" i="79"/>
  <c r="AP8" i="79" s="1"/>
  <c r="AI8" i="50"/>
  <c r="AP11" i="50"/>
  <c r="AP8" i="50" s="1"/>
  <c r="AD8" i="81"/>
  <c r="W59" i="10" s="1"/>
  <c r="AK11" i="81"/>
  <c r="AK8" i="81" s="1"/>
  <c r="AP11" i="77"/>
  <c r="AP8" i="77" s="1"/>
  <c r="AI8" i="77"/>
  <c r="AD8" i="96"/>
  <c r="AF59" i="10" s="1"/>
  <c r="AK11" i="96"/>
  <c r="AK8" i="96" s="1"/>
  <c r="AI8" i="82"/>
  <c r="AP11" i="82"/>
  <c r="AP8" i="82" s="1"/>
  <c r="AI8" i="49"/>
  <c r="AP11" i="49"/>
  <c r="AP8" i="49" s="1"/>
  <c r="AD8" i="84"/>
  <c r="Z59" i="10" s="1"/>
  <c r="AK11" i="84"/>
  <c r="AK8" i="84" s="1"/>
  <c r="AP11" i="99"/>
  <c r="AP8" i="99" s="1"/>
  <c r="AI8" i="99"/>
  <c r="AD8" i="77"/>
  <c r="U59" i="10" s="1"/>
  <c r="AK11" i="77"/>
  <c r="AK8" i="77" s="1"/>
  <c r="AP11" i="81"/>
  <c r="AP8" i="81" s="1"/>
  <c r="AI8" i="81"/>
  <c r="AP11" i="58"/>
  <c r="AP8" i="58" s="1"/>
  <c r="AI8" i="58"/>
  <c r="AP11" i="56"/>
  <c r="AP8" i="56" s="1"/>
  <c r="AI8" i="56"/>
  <c r="AI8" i="90"/>
  <c r="AP11" i="90"/>
  <c r="AP8" i="90" s="1"/>
  <c r="AK11" i="99"/>
  <c r="AK8" i="99" s="1"/>
  <c r="AD8" i="99"/>
  <c r="AP11" i="53"/>
  <c r="AP8" i="53" s="1"/>
  <c r="AI8" i="53"/>
  <c r="AI8" i="88"/>
  <c r="AP11" i="88"/>
  <c r="AP8" i="88" s="1"/>
  <c r="AP11" i="52"/>
  <c r="AP8" i="52" s="1"/>
  <c r="AI8" i="52"/>
  <c r="AP11" i="48"/>
  <c r="AP8" i="48" s="1"/>
  <c r="AI8" i="48"/>
  <c r="AP11" i="85"/>
  <c r="AP8" i="85" s="1"/>
  <c r="AI8" i="85"/>
  <c r="AK11" i="90"/>
  <c r="AK8" i="90" s="1"/>
  <c r="AD8" i="90"/>
  <c r="AD59" i="10" s="1"/>
  <c r="AP11" i="64"/>
  <c r="AP8" i="64" s="1"/>
  <c r="AI8" i="64"/>
  <c r="AK11" i="88"/>
  <c r="AK8" i="88" s="1"/>
  <c r="AD8" i="88"/>
  <c r="AC59" i="10" s="1"/>
  <c r="AK11" i="87"/>
  <c r="AK8" i="87" s="1"/>
  <c r="AD8" i="87"/>
  <c r="AB59" i="10" s="1"/>
  <c r="AK11" i="85"/>
  <c r="AK8" i="85" s="1"/>
  <c r="AD8" i="85"/>
  <c r="AA59" i="10" s="1"/>
  <c r="AI8" i="95"/>
  <c r="AP11" i="95"/>
  <c r="AP8" i="95" s="1"/>
  <c r="AP11" i="54"/>
  <c r="AP8" i="54" s="1"/>
  <c r="AI8" i="54"/>
  <c r="AK11" i="82"/>
  <c r="AK8" i="82" s="1"/>
  <c r="AD8" i="82"/>
  <c r="X59" i="10" s="1"/>
  <c r="AP11" i="84"/>
  <c r="AP8" i="84" s="1"/>
  <c r="AI8" i="84"/>
  <c r="AD8" i="95"/>
  <c r="AE59" i="10" s="1"/>
  <c r="AK11" i="95"/>
  <c r="AK8" i="95" s="1"/>
  <c r="AP11" i="41"/>
  <c r="AP8" i="41" s="1"/>
  <c r="AI8" i="41"/>
  <c r="AP11" i="55"/>
  <c r="AP8" i="55" s="1"/>
  <c r="AI8" i="55"/>
  <c r="AP11" i="83"/>
  <c r="AP8" i="83" s="1"/>
  <c r="AI8" i="83"/>
  <c r="AP11" i="47"/>
  <c r="AP8" i="47" s="1"/>
  <c r="AI8" i="47"/>
  <c r="B31" i="2"/>
  <c r="X13" i="41" l="1"/>
  <c r="T13" i="41"/>
  <c r="T13" i="88"/>
  <c r="X13" i="88"/>
  <c r="T13" i="54"/>
  <c r="X13" i="54"/>
  <c r="X13" i="96"/>
  <c r="T13" i="96"/>
  <c r="X13" i="53"/>
  <c r="T13" i="53"/>
  <c r="X13" i="64"/>
  <c r="T13" i="64"/>
  <c r="T13" i="79"/>
  <c r="X13" i="79"/>
  <c r="T13" i="82"/>
  <c r="X13" i="82"/>
  <c r="T13" i="51"/>
  <c r="X13" i="51"/>
  <c r="T13" i="90"/>
  <c r="X13" i="90"/>
  <c r="T13" i="69"/>
  <c r="X13" i="69"/>
  <c r="X13" i="48"/>
  <c r="T13" i="48"/>
  <c r="X13" i="45"/>
  <c r="T13" i="45"/>
  <c r="X13" i="87"/>
  <c r="T13" i="87"/>
  <c r="X13" i="77"/>
  <c r="T13" i="77"/>
  <c r="T13" i="46"/>
  <c r="X13" i="46"/>
  <c r="T13" i="58"/>
  <c r="X13" i="58"/>
  <c r="T13" i="100"/>
  <c r="X13" i="100"/>
  <c r="X13" i="83"/>
  <c r="T13" i="83"/>
  <c r="X13" i="101"/>
  <c r="T13" i="101"/>
  <c r="X13" i="95"/>
  <c r="T13" i="95"/>
  <c r="X13" i="55"/>
  <c r="T13" i="55"/>
  <c r="X13" i="72"/>
  <c r="T13" i="72"/>
  <c r="T13" i="81"/>
  <c r="X13" i="81"/>
  <c r="T13" i="47"/>
  <c r="X13" i="47"/>
  <c r="T13" i="99"/>
  <c r="X13" i="99"/>
  <c r="T13" i="85"/>
  <c r="X13" i="85"/>
  <c r="X13" i="84"/>
  <c r="T13" i="84"/>
  <c r="X13" i="50"/>
  <c r="T13" i="50"/>
  <c r="T13" i="52"/>
  <c r="X13" i="52"/>
  <c r="T13" i="56"/>
  <c r="X13" i="56"/>
  <c r="X13" i="49"/>
  <c r="T13" i="49"/>
  <c r="T13" i="73"/>
  <c r="X13" i="73"/>
  <c r="AI60" i="104"/>
  <c r="AI5" i="104"/>
  <c r="AP33" i="89"/>
  <c r="BT10" i="104"/>
  <c r="AL617" i="97"/>
  <c r="BA17" i="103"/>
  <c r="BT5" i="98"/>
  <c r="BA33" i="103"/>
  <c r="BT10" i="98"/>
  <c r="AP17" i="89"/>
  <c r="AI125" i="10"/>
  <c r="AL491" i="97"/>
  <c r="AI104" i="10"/>
  <c r="AH13" i="10"/>
  <c r="BS10" i="104" s="1"/>
  <c r="AH160" i="10"/>
  <c r="AG59" i="10"/>
  <c r="AG8" i="10" s="1"/>
  <c r="BR5" i="104" s="1"/>
  <c r="Y64" i="10"/>
  <c r="H64" i="10"/>
  <c r="P64" i="10"/>
  <c r="I64" i="10"/>
  <c r="V64" i="10"/>
  <c r="Y8" i="10"/>
  <c r="Y139" i="10"/>
  <c r="E64" i="10"/>
  <c r="N64" i="10"/>
  <c r="AC139" i="10"/>
  <c r="AC8" i="10"/>
  <c r="AC64" i="10"/>
  <c r="AE64" i="10"/>
  <c r="AA64" i="10"/>
  <c r="F64" i="10"/>
  <c r="AD64" i="10"/>
  <c r="W64" i="10"/>
  <c r="Z8" i="10"/>
  <c r="Z139" i="10"/>
  <c r="AF139" i="10"/>
  <c r="AF8" i="10"/>
  <c r="T64" i="10"/>
  <c r="AB64" i="10"/>
  <c r="C64" i="10"/>
  <c r="Z64" i="10"/>
  <c r="O64" i="10"/>
  <c r="U64" i="10"/>
  <c r="D64" i="10"/>
  <c r="Q64" i="10"/>
  <c r="K64" i="10"/>
  <c r="R64" i="10"/>
  <c r="L64" i="10"/>
  <c r="X8" i="10"/>
  <c r="X139" i="10"/>
  <c r="AA139" i="10"/>
  <c r="AA8" i="10"/>
  <c r="U8" i="10"/>
  <c r="U139" i="10"/>
  <c r="J64" i="10"/>
  <c r="V139" i="10"/>
  <c r="V8" i="10"/>
  <c r="AB8" i="10"/>
  <c r="AB139" i="10"/>
  <c r="M64" i="10"/>
  <c r="AF64" i="10"/>
  <c r="S64" i="10"/>
  <c r="AE8" i="10"/>
  <c r="AE139" i="10"/>
  <c r="AD8" i="10"/>
  <c r="AD139" i="10"/>
  <c r="G64" i="10"/>
  <c r="AG64" i="10"/>
  <c r="X64" i="10"/>
  <c r="W139" i="10"/>
  <c r="W8" i="10"/>
  <c r="B32" i="2"/>
  <c r="AF13" i="73" l="1"/>
  <c r="AB13" i="73"/>
  <c r="AB13" i="96"/>
  <c r="AF13" i="96"/>
  <c r="AB13" i="81"/>
  <c r="AF13" i="81"/>
  <c r="AF13" i="87"/>
  <c r="AB13" i="87"/>
  <c r="AB13" i="64"/>
  <c r="AF13" i="64"/>
  <c r="AF13" i="54"/>
  <c r="AB13" i="54"/>
  <c r="AB13" i="77"/>
  <c r="AF13" i="77"/>
  <c r="AF13" i="49"/>
  <c r="AB13" i="49"/>
  <c r="AB13" i="84"/>
  <c r="AF13" i="84"/>
  <c r="AF13" i="58"/>
  <c r="AB13" i="58"/>
  <c r="AF13" i="51"/>
  <c r="AB13" i="51"/>
  <c r="AF13" i="50"/>
  <c r="AB13" i="50"/>
  <c r="AB13" i="56"/>
  <c r="AF13" i="56"/>
  <c r="AF13" i="85"/>
  <c r="AB13" i="85"/>
  <c r="AF13" i="101"/>
  <c r="AB13" i="101"/>
  <c r="AF13" i="45"/>
  <c r="AB13" i="45"/>
  <c r="AF13" i="88"/>
  <c r="AB13" i="88"/>
  <c r="AF13" i="95"/>
  <c r="AB13" i="95"/>
  <c r="AF13" i="72"/>
  <c r="AB13" i="72"/>
  <c r="AB13" i="46"/>
  <c r="AF13" i="46"/>
  <c r="AF13" i="82"/>
  <c r="AB13" i="82"/>
  <c r="AB13" i="47"/>
  <c r="AF13" i="47"/>
  <c r="AF13" i="90"/>
  <c r="AB13" i="90"/>
  <c r="AF13" i="52"/>
  <c r="AB13" i="52"/>
  <c r="AF13" i="99"/>
  <c r="AB13" i="99"/>
  <c r="AF13" i="83"/>
  <c r="AB13" i="83"/>
  <c r="AB13" i="48"/>
  <c r="AF13" i="48"/>
  <c r="AF13" i="55"/>
  <c r="AB13" i="55"/>
  <c r="AB13" i="100"/>
  <c r="AF13" i="100"/>
  <c r="AB13" i="69"/>
  <c r="AF13" i="69"/>
  <c r="AB13" i="79"/>
  <c r="AF13" i="79"/>
  <c r="AB13" i="53"/>
  <c r="AF13" i="53"/>
  <c r="AF13" i="41"/>
  <c r="AB13" i="41"/>
  <c r="AX17" i="103"/>
  <c r="BQ5" i="104"/>
  <c r="AT17" i="103"/>
  <c r="BM5" i="104"/>
  <c r="AR17" i="103"/>
  <c r="BK5" i="104"/>
  <c r="AV17" i="103"/>
  <c r="BO5" i="104"/>
  <c r="AN17" i="103"/>
  <c r="BG5" i="104"/>
  <c r="AP17" i="103"/>
  <c r="BI5" i="104"/>
  <c r="AI65" i="104"/>
  <c r="AI10" i="104"/>
  <c r="AG60" i="104"/>
  <c r="AG5" i="104"/>
  <c r="AU17" i="103"/>
  <c r="BN5" i="104"/>
  <c r="AO17" i="103"/>
  <c r="BH5" i="104"/>
  <c r="AW17" i="103"/>
  <c r="BP5" i="104"/>
  <c r="AM17" i="103"/>
  <c r="BF5" i="104"/>
  <c r="AS17" i="103"/>
  <c r="BL5" i="104"/>
  <c r="AQ17" i="103"/>
  <c r="BJ5" i="104"/>
  <c r="AH65" i="104"/>
  <c r="AH10" i="104"/>
  <c r="AI65" i="98"/>
  <c r="AI10" i="98"/>
  <c r="AI60" i="98"/>
  <c r="AI5" i="98"/>
  <c r="AL13" i="32"/>
  <c r="AL39" i="32" s="1"/>
  <c r="AZ33" i="103"/>
  <c r="BQ5" i="71"/>
  <c r="AY17" i="103"/>
  <c r="AR132" i="33"/>
  <c r="AR128" i="33"/>
  <c r="BR10" i="71"/>
  <c r="AL13" i="10"/>
  <c r="AG139" i="10"/>
  <c r="AH125" i="10"/>
  <c r="BG109" i="32" s="1"/>
  <c r="BH109" i="32" s="1"/>
  <c r="AO33" i="89"/>
  <c r="AK617" i="97"/>
  <c r="BS10" i="98"/>
  <c r="AH8" i="10"/>
  <c r="BS5" i="104" s="1"/>
  <c r="AH139" i="10"/>
  <c r="S160" i="10"/>
  <c r="S13" i="10"/>
  <c r="G160" i="10"/>
  <c r="G13" i="10"/>
  <c r="K13" i="10"/>
  <c r="K160" i="10"/>
  <c r="W13" i="10"/>
  <c r="W160" i="10"/>
  <c r="AD17" i="89"/>
  <c r="Z8" i="32"/>
  <c r="Z34" i="32" s="1"/>
  <c r="Z491" i="97"/>
  <c r="W104" i="10"/>
  <c r="BG5" i="71"/>
  <c r="BH5" i="98"/>
  <c r="AF13" i="10"/>
  <c r="AF160" i="10"/>
  <c r="Y491" i="97"/>
  <c r="AC17" i="89"/>
  <c r="Y8" i="32"/>
  <c r="Y34" i="32" s="1"/>
  <c r="BF5" i="71"/>
  <c r="V104" i="10"/>
  <c r="BG5" i="98"/>
  <c r="O160" i="10"/>
  <c r="O13" i="10"/>
  <c r="T13" i="10"/>
  <c r="T160" i="10"/>
  <c r="AD104" i="10"/>
  <c r="BO5" i="98"/>
  <c r="AK17" i="89"/>
  <c r="AG8" i="32"/>
  <c r="AG34" i="32" s="1"/>
  <c r="AG491" i="97"/>
  <c r="BN5" i="71"/>
  <c r="BI5" i="98"/>
  <c r="AE17" i="89"/>
  <c r="AA491" i="97"/>
  <c r="AA8" i="32"/>
  <c r="AA34" i="32" s="1"/>
  <c r="BH5" i="71"/>
  <c r="X104" i="10"/>
  <c r="Q13" i="10"/>
  <c r="Q160" i="10"/>
  <c r="BP5" i="71"/>
  <c r="BQ5" i="98"/>
  <c r="AI8" i="32"/>
  <c r="AI34" i="32" s="1"/>
  <c r="AF104" i="10"/>
  <c r="AM17" i="89"/>
  <c r="AI491" i="97"/>
  <c r="AD160" i="10"/>
  <c r="AD13" i="10"/>
  <c r="AC160" i="10"/>
  <c r="AC13" i="10"/>
  <c r="BI5" i="71"/>
  <c r="Y104" i="10"/>
  <c r="BJ5" i="98"/>
  <c r="AB491" i="97"/>
  <c r="AB8" i="32"/>
  <c r="AB34" i="32" s="1"/>
  <c r="AF17" i="89"/>
  <c r="H160" i="10"/>
  <c r="H13" i="10"/>
  <c r="AD491" i="97"/>
  <c r="AA104" i="10"/>
  <c r="BL5" i="98"/>
  <c r="BK5" i="71"/>
  <c r="AH17" i="89"/>
  <c r="AD8" i="32"/>
  <c r="AD34" i="32" s="1"/>
  <c r="AB160" i="10"/>
  <c r="AB13" i="10"/>
  <c r="AE8" i="32"/>
  <c r="AE34" i="32" s="1"/>
  <c r="BL5" i="71"/>
  <c r="AI17" i="89"/>
  <c r="AB104" i="10"/>
  <c r="AE491" i="97"/>
  <c r="BM5" i="98"/>
  <c r="AE13" i="10"/>
  <c r="AE160" i="10"/>
  <c r="BN5" i="98"/>
  <c r="AJ17" i="89"/>
  <c r="AC104" i="10"/>
  <c r="AF8" i="32"/>
  <c r="AF34" i="32" s="1"/>
  <c r="BM5" i="71"/>
  <c r="AF491" i="97"/>
  <c r="X160" i="10"/>
  <c r="X13" i="10"/>
  <c r="BO5" i="71"/>
  <c r="AH8" i="32"/>
  <c r="AH34" i="32" s="1"/>
  <c r="AL17" i="89"/>
  <c r="BP5" i="98"/>
  <c r="AE104" i="10"/>
  <c r="AH491" i="97"/>
  <c r="J160" i="10"/>
  <c r="J13" i="10"/>
  <c r="L13" i="10"/>
  <c r="L160" i="10"/>
  <c r="D13" i="10"/>
  <c r="D160" i="10"/>
  <c r="F13" i="10"/>
  <c r="F160" i="10"/>
  <c r="V160" i="10"/>
  <c r="V13" i="10"/>
  <c r="AN17" i="89"/>
  <c r="BR5" i="98"/>
  <c r="AG104" i="10"/>
  <c r="AJ491" i="97"/>
  <c r="AJ8" i="32"/>
  <c r="AJ34" i="32" s="1"/>
  <c r="E13" i="10"/>
  <c r="E160" i="10"/>
  <c r="Z13" i="10"/>
  <c r="Z160" i="10"/>
  <c r="C160" i="10"/>
  <c r="C13" i="10"/>
  <c r="P160" i="10"/>
  <c r="P13" i="10"/>
  <c r="AG13" i="10"/>
  <c r="BR10" i="104" s="1"/>
  <c r="AG160" i="10"/>
  <c r="M160" i="10"/>
  <c r="M13" i="10"/>
  <c r="BF5" i="98"/>
  <c r="X491" i="97"/>
  <c r="AB17" i="89"/>
  <c r="BE5" i="71"/>
  <c r="U104" i="10"/>
  <c r="AD128" i="33" s="1"/>
  <c r="R13" i="10"/>
  <c r="R160" i="10"/>
  <c r="U160" i="10"/>
  <c r="U13" i="10"/>
  <c r="BJ5" i="71"/>
  <c r="AC8" i="32"/>
  <c r="AC34" i="32" s="1"/>
  <c r="AC491" i="97"/>
  <c r="AG17" i="89"/>
  <c r="Z104" i="10"/>
  <c r="BK5" i="98"/>
  <c r="AA160" i="10"/>
  <c r="AA13" i="10"/>
  <c r="N160" i="10"/>
  <c r="N13" i="10"/>
  <c r="I160" i="10"/>
  <c r="I13" i="10"/>
  <c r="Y13" i="10"/>
  <c r="Y160" i="10"/>
  <c r="B33" i="2"/>
  <c r="AM13" i="101" l="1"/>
  <c r="AJ13" i="101"/>
  <c r="AM13" i="51"/>
  <c r="AQ13" i="51" s="1"/>
  <c r="AJ13" i="51"/>
  <c r="AJ13" i="41"/>
  <c r="AM13" i="41"/>
  <c r="AQ13" i="41" s="1"/>
  <c r="AM13" i="99"/>
  <c r="AQ13" i="99" s="1"/>
  <c r="AJ13" i="99"/>
  <c r="AM13" i="95"/>
  <c r="AQ13" i="95" s="1"/>
  <c r="AJ13" i="95"/>
  <c r="AM13" i="85"/>
  <c r="AQ13" i="85" s="1"/>
  <c r="AJ13" i="85"/>
  <c r="AM13" i="81"/>
  <c r="AQ13" i="81" s="1"/>
  <c r="AJ13" i="81"/>
  <c r="AJ13" i="54"/>
  <c r="AM13" i="54"/>
  <c r="AQ13" i="54" s="1"/>
  <c r="AM13" i="83"/>
  <c r="AQ13" i="83" s="1"/>
  <c r="AJ13" i="83"/>
  <c r="AM13" i="53"/>
  <c r="AQ13" i="53" s="1"/>
  <c r="AJ13" i="53"/>
  <c r="AM13" i="55"/>
  <c r="AQ13" i="55" s="1"/>
  <c r="AJ13" i="55"/>
  <c r="AJ13" i="52"/>
  <c r="AM13" i="52"/>
  <c r="AQ13" i="52" s="1"/>
  <c r="AJ13" i="82"/>
  <c r="AM13" i="82"/>
  <c r="AQ13" i="82" s="1"/>
  <c r="AJ13" i="88"/>
  <c r="AM13" i="88"/>
  <c r="AQ13" i="88" s="1"/>
  <c r="AJ13" i="84"/>
  <c r="AM13" i="84"/>
  <c r="AQ13" i="84" s="1"/>
  <c r="AJ13" i="64"/>
  <c r="AM13" i="64"/>
  <c r="AQ13" i="64" s="1"/>
  <c r="AM13" i="96"/>
  <c r="AQ13" i="96" s="1"/>
  <c r="AJ13" i="96"/>
  <c r="AM13" i="100"/>
  <c r="AQ13" i="100" s="1"/>
  <c r="AJ13" i="100"/>
  <c r="AJ13" i="79"/>
  <c r="AM13" i="79"/>
  <c r="AQ13" i="79" s="1"/>
  <c r="AJ13" i="48"/>
  <c r="AM13" i="48"/>
  <c r="AQ13" i="48" s="1"/>
  <c r="AJ13" i="46"/>
  <c r="AM13" i="46"/>
  <c r="AQ13" i="46" s="1"/>
  <c r="AM13" i="72"/>
  <c r="AQ13" i="72" s="1"/>
  <c r="AJ13" i="72"/>
  <c r="AM13" i="58"/>
  <c r="AQ13" i="58" s="1"/>
  <c r="AJ13" i="58"/>
  <c r="AJ13" i="90"/>
  <c r="AM13" i="90"/>
  <c r="AQ13" i="90" s="1"/>
  <c r="AM13" i="45"/>
  <c r="AQ13" i="45" s="1"/>
  <c r="AJ13" i="45"/>
  <c r="AM13" i="50"/>
  <c r="AQ13" i="50" s="1"/>
  <c r="AJ13" i="50"/>
  <c r="AJ13" i="77"/>
  <c r="AM13" i="77"/>
  <c r="AQ13" i="77" s="1"/>
  <c r="AM13" i="56"/>
  <c r="AQ13" i="56" s="1"/>
  <c r="AJ13" i="56"/>
  <c r="AJ13" i="69"/>
  <c r="AM13" i="69"/>
  <c r="AQ13" i="69" s="1"/>
  <c r="AJ13" i="47"/>
  <c r="AM13" i="47"/>
  <c r="AQ13" i="47" s="1"/>
  <c r="AJ13" i="49"/>
  <c r="AM13" i="49"/>
  <c r="AQ13" i="49" s="1"/>
  <c r="AM13" i="87"/>
  <c r="AQ13" i="87" s="1"/>
  <c r="AJ13" i="87"/>
  <c r="AJ13" i="73"/>
  <c r="AM13" i="73"/>
  <c r="AQ13" i="73" s="1"/>
  <c r="AG65" i="104"/>
  <c r="AG10" i="104"/>
  <c r="AC33" i="103"/>
  <c r="AV10" i="104"/>
  <c r="AE60" i="104"/>
  <c r="AE5" i="104"/>
  <c r="Z60" i="104"/>
  <c r="Z5" i="104"/>
  <c r="AA33" i="103"/>
  <c r="AT10" i="104"/>
  <c r="AH33" i="103"/>
  <c r="BA10" i="104"/>
  <c r="U33" i="103"/>
  <c r="AN10" i="104"/>
  <c r="AS33" i="103"/>
  <c r="BL10" i="104"/>
  <c r="AM33" i="103"/>
  <c r="BF10" i="104"/>
  <c r="Y33" i="103"/>
  <c r="AR10" i="104"/>
  <c r="AX33" i="103"/>
  <c r="BQ10" i="104"/>
  <c r="AD33" i="103"/>
  <c r="AW10" i="104"/>
  <c r="Y60" i="104"/>
  <c r="Y5" i="104"/>
  <c r="W60" i="104"/>
  <c r="W5" i="104"/>
  <c r="X60" i="104"/>
  <c r="X5" i="104"/>
  <c r="AB60" i="104"/>
  <c r="AB5" i="104"/>
  <c r="AI33" i="103"/>
  <c r="BB10" i="104"/>
  <c r="AO33" i="103"/>
  <c r="BH10" i="104"/>
  <c r="U60" i="104"/>
  <c r="U5" i="104"/>
  <c r="V33" i="103"/>
  <c r="AO10" i="104"/>
  <c r="AE33" i="103"/>
  <c r="AX10" i="104"/>
  <c r="AR33" i="103"/>
  <c r="BK10" i="104"/>
  <c r="AN33" i="103"/>
  <c r="BG10" i="104"/>
  <c r="AB33" i="103"/>
  <c r="AU10" i="104"/>
  <c r="AP33" i="103"/>
  <c r="BI10" i="104"/>
  <c r="AT33" i="103"/>
  <c r="BM10" i="104"/>
  <c r="Z33" i="103"/>
  <c r="AS10" i="104"/>
  <c r="AU33" i="103"/>
  <c r="BN10" i="104"/>
  <c r="AK33" i="103"/>
  <c r="BD10" i="104"/>
  <c r="W33" i="103"/>
  <c r="AP10" i="104"/>
  <c r="X33" i="103"/>
  <c r="AQ10" i="104"/>
  <c r="AH60" i="104"/>
  <c r="AH5" i="104"/>
  <c r="AD60" i="104"/>
  <c r="AD5" i="104"/>
  <c r="AF33" i="103"/>
  <c r="AY10" i="104"/>
  <c r="AQ33" i="103"/>
  <c r="BJ10" i="104"/>
  <c r="AJ33" i="103"/>
  <c r="BC10" i="104"/>
  <c r="AW33" i="103"/>
  <c r="BP10" i="104"/>
  <c r="AL33" i="103"/>
  <c r="BE10" i="104"/>
  <c r="AA60" i="104"/>
  <c r="AA5" i="104"/>
  <c r="AC60" i="104"/>
  <c r="AC5" i="104"/>
  <c r="V60" i="104"/>
  <c r="V5" i="104"/>
  <c r="AF60" i="104"/>
  <c r="AF5" i="104"/>
  <c r="AV33" i="103"/>
  <c r="BO10" i="104"/>
  <c r="AG33" i="103"/>
  <c r="AZ10" i="104"/>
  <c r="AL8" i="32"/>
  <c r="AL34" i="32" s="1"/>
  <c r="AZ17" i="103"/>
  <c r="BQ10" i="71"/>
  <c r="AG65" i="71" s="1"/>
  <c r="AY33" i="103"/>
  <c r="AJ13" i="10"/>
  <c r="C13" i="32"/>
  <c r="AK125" i="10"/>
  <c r="AH10" i="71"/>
  <c r="AH65" i="71"/>
  <c r="AK8" i="10"/>
  <c r="AL8" i="10"/>
  <c r="AK13" i="10"/>
  <c r="BR5" i="71"/>
  <c r="AK8" i="32"/>
  <c r="AK13" i="32"/>
  <c r="AQ132" i="33"/>
  <c r="AH10" i="98"/>
  <c r="AH65" i="98"/>
  <c r="AK491" i="97"/>
  <c r="AO17" i="89"/>
  <c r="BS5" i="98"/>
  <c r="AH104" i="10"/>
  <c r="AK104" i="10" s="1"/>
  <c r="BL10" i="98"/>
  <c r="AH33" i="89"/>
  <c r="BK10" i="71"/>
  <c r="AA125" i="10"/>
  <c r="AD617" i="97"/>
  <c r="AD13" i="32"/>
  <c r="AD39" i="32" s="1"/>
  <c r="X13" i="32"/>
  <c r="X39" i="32" s="1"/>
  <c r="BE10" i="71"/>
  <c r="BF10" i="98"/>
  <c r="U125" i="10"/>
  <c r="AB33" i="89"/>
  <c r="X617" i="97"/>
  <c r="U60" i="98"/>
  <c r="U5" i="98"/>
  <c r="AP128" i="33"/>
  <c r="BC88" i="32"/>
  <c r="BD88" i="32" s="1"/>
  <c r="G617" i="97"/>
  <c r="AO10" i="98"/>
  <c r="AN10" i="71"/>
  <c r="D11" i="59"/>
  <c r="G13" i="32"/>
  <c r="G39" i="32" s="1"/>
  <c r="K33" i="89"/>
  <c r="D125" i="10"/>
  <c r="AY88" i="32"/>
  <c r="AZ88" i="32" s="1"/>
  <c r="AN128" i="33"/>
  <c r="AC5" i="71"/>
  <c r="AC60" i="71"/>
  <c r="X33" i="89"/>
  <c r="BB10" i="98"/>
  <c r="Q11" i="59"/>
  <c r="BA10" i="71"/>
  <c r="T13" i="32"/>
  <c r="T39" i="32" s="1"/>
  <c r="Q125" i="10"/>
  <c r="T617" i="97"/>
  <c r="AM33" i="89"/>
  <c r="AI13" i="32"/>
  <c r="AI39" i="32" s="1"/>
  <c r="AI617" i="97"/>
  <c r="BQ10" i="98"/>
  <c r="BP10" i="71"/>
  <c r="AF125" i="10"/>
  <c r="P13" i="32"/>
  <c r="P39" i="32" s="1"/>
  <c r="AX10" i="98"/>
  <c r="T33" i="89"/>
  <c r="P617" i="97"/>
  <c r="M125" i="10"/>
  <c r="M11" i="59"/>
  <c r="AW10" i="71"/>
  <c r="AG60" i="98"/>
  <c r="AG5" i="98"/>
  <c r="AE60" i="98"/>
  <c r="AE5" i="98"/>
  <c r="AK128" i="33"/>
  <c r="AS88" i="32"/>
  <c r="AT88" i="32" s="1"/>
  <c r="AA5" i="71"/>
  <c r="AA60" i="71"/>
  <c r="AK88" i="32"/>
  <c r="AL88" i="32" s="1"/>
  <c r="AG128" i="33"/>
  <c r="V5" i="98"/>
  <c r="V60" i="98"/>
  <c r="BG10" i="71"/>
  <c r="BH10" i="98"/>
  <c r="W125" i="10"/>
  <c r="AD33" i="89"/>
  <c r="Z13" i="32"/>
  <c r="Z39" i="32" s="1"/>
  <c r="Z617" i="97"/>
  <c r="AG33" i="89"/>
  <c r="BK10" i="98"/>
  <c r="Z125" i="10"/>
  <c r="BJ10" i="71"/>
  <c r="AC617" i="97"/>
  <c r="AC13" i="32"/>
  <c r="AC39" i="32" s="1"/>
  <c r="BG10" i="98"/>
  <c r="Y617" i="97"/>
  <c r="AC33" i="89"/>
  <c r="V125" i="10"/>
  <c r="Y13" i="32"/>
  <c r="Y39" i="32" s="1"/>
  <c r="BF10" i="71"/>
  <c r="AB60" i="71"/>
  <c r="AB5" i="71"/>
  <c r="AM88" i="32"/>
  <c r="AN88" i="32" s="1"/>
  <c r="AH128" i="33"/>
  <c r="AO128" i="33"/>
  <c r="BA88" i="32"/>
  <c r="BB88" i="32" s="1"/>
  <c r="AD60" i="98"/>
  <c r="AD5" i="98"/>
  <c r="P33" i="89"/>
  <c r="I11" i="59"/>
  <c r="I125" i="10"/>
  <c r="L617" i="97"/>
  <c r="AS10" i="71"/>
  <c r="AT10" i="98"/>
  <c r="L13" i="32"/>
  <c r="L39" i="32" s="1"/>
  <c r="AN33" i="89"/>
  <c r="AG125" i="10"/>
  <c r="BR10" i="98"/>
  <c r="AJ617" i="97"/>
  <c r="AJ13" i="32"/>
  <c r="AJ39" i="32" s="1"/>
  <c r="H617" i="97"/>
  <c r="AP10" i="98"/>
  <c r="H13" i="32"/>
  <c r="H39" i="32" s="1"/>
  <c r="E125" i="10"/>
  <c r="E11" i="59"/>
  <c r="AO10" i="71"/>
  <c r="L33" i="89"/>
  <c r="AE60" i="71"/>
  <c r="AE5" i="71"/>
  <c r="AC5" i="98"/>
  <c r="AC60" i="98"/>
  <c r="Y60" i="71"/>
  <c r="Y5" i="71"/>
  <c r="AM128" i="33"/>
  <c r="AW88" i="32"/>
  <c r="AX88" i="32" s="1"/>
  <c r="AI88" i="32"/>
  <c r="AJ88" i="32" s="1"/>
  <c r="AF128" i="33"/>
  <c r="J88" i="32"/>
  <c r="G125" i="10"/>
  <c r="G11" i="59"/>
  <c r="AR10" i="98"/>
  <c r="N33" i="89"/>
  <c r="J13" i="32"/>
  <c r="J39" i="32" s="1"/>
  <c r="J617" i="97"/>
  <c r="AQ10" i="71"/>
  <c r="Y5" i="98"/>
  <c r="Y60" i="98"/>
  <c r="W60" i="98"/>
  <c r="W5" i="98"/>
  <c r="AB13" i="32"/>
  <c r="AB39" i="32" s="1"/>
  <c r="BJ10" i="98"/>
  <c r="AF33" i="89"/>
  <c r="AB617" i="97"/>
  <c r="Y125" i="10"/>
  <c r="BI10" i="71"/>
  <c r="K11" i="59"/>
  <c r="AV10" i="98"/>
  <c r="AU10" i="71"/>
  <c r="R33" i="89"/>
  <c r="K125" i="10"/>
  <c r="N617" i="97"/>
  <c r="N13" i="32"/>
  <c r="N39" i="32" s="1"/>
  <c r="U60" i="71"/>
  <c r="U5" i="71"/>
  <c r="S617" i="97"/>
  <c r="BA10" i="98"/>
  <c r="P11" i="59"/>
  <c r="P125" i="10"/>
  <c r="AZ10" i="71"/>
  <c r="S13" i="32"/>
  <c r="S39" i="32" s="1"/>
  <c r="W33" i="89"/>
  <c r="BH10" i="71"/>
  <c r="AA617" i="97"/>
  <c r="AE33" i="89"/>
  <c r="X125" i="10"/>
  <c r="AA13" i="32"/>
  <c r="AA39" i="32" s="1"/>
  <c r="BI10" i="98"/>
  <c r="AE617" i="97"/>
  <c r="AB125" i="10"/>
  <c r="AI33" i="89"/>
  <c r="BL10" i="71"/>
  <c r="AE13" i="32"/>
  <c r="AE39" i="32" s="1"/>
  <c r="BM10" i="98"/>
  <c r="H11" i="59"/>
  <c r="AS10" i="98"/>
  <c r="O33" i="89"/>
  <c r="H125" i="10"/>
  <c r="K617" i="97"/>
  <c r="AR10" i="71"/>
  <c r="K13" i="32"/>
  <c r="K39" i="32" s="1"/>
  <c r="BM10" i="71"/>
  <c r="AF617" i="97"/>
  <c r="BN10" i="98"/>
  <c r="AJ33" i="89"/>
  <c r="AF13" i="32"/>
  <c r="AF39" i="32" s="1"/>
  <c r="AC125" i="10"/>
  <c r="AF60" i="98"/>
  <c r="AF5" i="98"/>
  <c r="AL128" i="33"/>
  <c r="AU88" i="32"/>
  <c r="AV88" i="32" s="1"/>
  <c r="AG88" i="32"/>
  <c r="AH88" i="32" s="1"/>
  <c r="AE128" i="33"/>
  <c r="AI128" i="33"/>
  <c r="AO88" i="32"/>
  <c r="AP88" i="32" s="1"/>
  <c r="AJ128" i="33"/>
  <c r="AQ88" i="32"/>
  <c r="AR88" i="32" s="1"/>
  <c r="V5" i="71"/>
  <c r="V60" i="71"/>
  <c r="Q617" i="97"/>
  <c r="AX10" i="71"/>
  <c r="Q13" i="32"/>
  <c r="Q39" i="32" s="1"/>
  <c r="N11" i="59"/>
  <c r="AY10" i="98"/>
  <c r="U33" i="89"/>
  <c r="N125" i="10"/>
  <c r="AQ10" i="98"/>
  <c r="F11" i="59"/>
  <c r="M33" i="89"/>
  <c r="F125" i="10"/>
  <c r="AP10" i="71"/>
  <c r="I13" i="32"/>
  <c r="I39" i="32" s="1"/>
  <c r="I617" i="97"/>
  <c r="BP10" i="98"/>
  <c r="AL33" i="89"/>
  <c r="BO10" i="71"/>
  <c r="AH617" i="97"/>
  <c r="AE125" i="10"/>
  <c r="AH13" i="32"/>
  <c r="AH39" i="32" s="1"/>
  <c r="AF5" i="71"/>
  <c r="AF60" i="71"/>
  <c r="X5" i="98"/>
  <c r="X60" i="98"/>
  <c r="BE10" i="98"/>
  <c r="T125" i="10"/>
  <c r="BD10" i="71"/>
  <c r="AA33" i="89"/>
  <c r="W13" i="32"/>
  <c r="W39" i="32" s="1"/>
  <c r="W617" i="97"/>
  <c r="S125" i="10"/>
  <c r="V617" i="97"/>
  <c r="Z33" i="89"/>
  <c r="V13" i="32"/>
  <c r="V39" i="32" s="1"/>
  <c r="BD10" i="98"/>
  <c r="BC10" i="71"/>
  <c r="Z5" i="98"/>
  <c r="Z60" i="98"/>
  <c r="AW10" i="98"/>
  <c r="S33" i="89"/>
  <c r="O617" i="97"/>
  <c r="AV10" i="71"/>
  <c r="O13" i="32"/>
  <c r="O39" i="32" s="1"/>
  <c r="L125" i="10"/>
  <c r="L11" i="59"/>
  <c r="AA60" i="98"/>
  <c r="AA5" i="98"/>
  <c r="X5" i="71"/>
  <c r="X60" i="71"/>
  <c r="BC10" i="98"/>
  <c r="BB10" i="71"/>
  <c r="U13" i="32"/>
  <c r="U39" i="32" s="1"/>
  <c r="R125" i="10"/>
  <c r="Y33" i="89"/>
  <c r="U617" i="97"/>
  <c r="Q33" i="89"/>
  <c r="M13" i="32"/>
  <c r="M39" i="32" s="1"/>
  <c r="M617" i="97"/>
  <c r="AT10" i="71"/>
  <c r="AU10" i="98"/>
  <c r="J11" i="59"/>
  <c r="J125" i="10"/>
  <c r="W5" i="71"/>
  <c r="W60" i="71"/>
  <c r="Z5" i="71"/>
  <c r="Z60" i="71"/>
  <c r="C125" i="10"/>
  <c r="C11" i="59"/>
  <c r="AM10" i="71"/>
  <c r="F617" i="97"/>
  <c r="J33" i="89"/>
  <c r="AN10" i="98"/>
  <c r="AB5" i="98"/>
  <c r="AB60" i="98"/>
  <c r="AK33" i="89"/>
  <c r="AG13" i="32"/>
  <c r="AG39" i="32" s="1"/>
  <c r="AG617" i="97"/>
  <c r="AD125" i="10"/>
  <c r="BO10" i="98"/>
  <c r="BN10" i="71"/>
  <c r="AD60" i="71"/>
  <c r="AD5" i="71"/>
  <c r="R617" i="97"/>
  <c r="AZ10" i="98"/>
  <c r="O125" i="10"/>
  <c r="AY10" i="71"/>
  <c r="V33" i="89"/>
  <c r="O11" i="59"/>
  <c r="R13" i="32"/>
  <c r="R39" i="32" s="1"/>
  <c r="B34" i="2"/>
  <c r="B35" i="2" s="1"/>
  <c r="E30" i="101" s="1"/>
  <c r="P30" i="101" l="1"/>
  <c r="I30" i="101"/>
  <c r="AQ13" i="101"/>
  <c r="O65" i="104"/>
  <c r="O10" i="104"/>
  <c r="R65" i="104"/>
  <c r="R10" i="104"/>
  <c r="AC65" i="104"/>
  <c r="AC10" i="104"/>
  <c r="D65" i="104"/>
  <c r="D10" i="104"/>
  <c r="L65" i="104"/>
  <c r="L10" i="104"/>
  <c r="AD65" i="104"/>
  <c r="AD10" i="104"/>
  <c r="Y65" i="104"/>
  <c r="Y10" i="104"/>
  <c r="F65" i="104"/>
  <c r="F10" i="104"/>
  <c r="H65" i="104"/>
  <c r="H10" i="104"/>
  <c r="V65" i="104"/>
  <c r="V10" i="104"/>
  <c r="AF65" i="104"/>
  <c r="AF10" i="104"/>
  <c r="C65" i="104"/>
  <c r="C10" i="104"/>
  <c r="AA65" i="104"/>
  <c r="AA10" i="104"/>
  <c r="T65" i="104"/>
  <c r="T10" i="104"/>
  <c r="N65" i="104"/>
  <c r="N10" i="104"/>
  <c r="E65" i="104"/>
  <c r="E10" i="104"/>
  <c r="AB65" i="104"/>
  <c r="AB10" i="104"/>
  <c r="Z65" i="104"/>
  <c r="Z10" i="104"/>
  <c r="W65" i="104"/>
  <c r="W10" i="104"/>
  <c r="G65" i="104"/>
  <c r="G10" i="104"/>
  <c r="P65" i="104"/>
  <c r="P10" i="104"/>
  <c r="K65" i="104"/>
  <c r="K10" i="104"/>
  <c r="J65" i="104"/>
  <c r="J10" i="104"/>
  <c r="AE65" i="104"/>
  <c r="AE10" i="104"/>
  <c r="S65" i="104"/>
  <c r="S10" i="104"/>
  <c r="X65" i="104"/>
  <c r="X10" i="104"/>
  <c r="M65" i="104"/>
  <c r="M10" i="104"/>
  <c r="Q65" i="104"/>
  <c r="Q10" i="104"/>
  <c r="U65" i="104"/>
  <c r="U10" i="104"/>
  <c r="I65" i="104"/>
  <c r="I10" i="104"/>
  <c r="AG10" i="71"/>
  <c r="AJ125" i="10"/>
  <c r="AR93" i="33"/>
  <c r="AR47" i="33"/>
  <c r="BG88" i="32"/>
  <c r="BH88" i="32" s="1"/>
  <c r="AH5" i="71"/>
  <c r="AH60" i="71"/>
  <c r="BE88" i="32"/>
  <c r="BF88" i="32" s="1"/>
  <c r="E30" i="99"/>
  <c r="P30" i="99" s="1"/>
  <c r="E30" i="100"/>
  <c r="BE109" i="32"/>
  <c r="BF109" i="32" s="1"/>
  <c r="AQ128" i="33"/>
  <c r="AQ47" i="33"/>
  <c r="AQ93" i="33"/>
  <c r="AH5" i="98"/>
  <c r="AH60" i="98"/>
  <c r="D13" i="32"/>
  <c r="X93" i="33"/>
  <c r="S109" i="32"/>
  <c r="T109" i="32" s="1"/>
  <c r="X132" i="33"/>
  <c r="X47" i="33"/>
  <c r="AW109" i="32"/>
  <c r="AX109" i="32" s="1"/>
  <c r="AM132" i="33"/>
  <c r="AM47" i="33"/>
  <c r="AM93" i="33"/>
  <c r="L65" i="71"/>
  <c r="L10" i="71"/>
  <c r="S65" i="98"/>
  <c r="S10" i="98"/>
  <c r="W93" i="33"/>
  <c r="W132" i="33"/>
  <c r="Q109" i="32"/>
  <c r="R109" i="32" s="1"/>
  <c r="W47" i="33"/>
  <c r="H65" i="98"/>
  <c r="H10" i="98"/>
  <c r="K10" i="98"/>
  <c r="K65" i="98"/>
  <c r="M65" i="98"/>
  <c r="M10" i="98"/>
  <c r="C10" i="71"/>
  <c r="C65" i="71"/>
  <c r="AN132" i="33"/>
  <c r="AY109" i="32"/>
  <c r="AZ109" i="32" s="1"/>
  <c r="AN47" i="33"/>
  <c r="AN93" i="33"/>
  <c r="G10" i="98"/>
  <c r="G65" i="98"/>
  <c r="O10" i="98"/>
  <c r="O65" i="98"/>
  <c r="T65" i="71"/>
  <c r="T10" i="71"/>
  <c r="AC10" i="71"/>
  <c r="AC65" i="71"/>
  <c r="AC47" i="33"/>
  <c r="AC132" i="33"/>
  <c r="AC93" i="33"/>
  <c r="AC109" i="32"/>
  <c r="AD109" i="32" s="1"/>
  <c r="F65" i="71"/>
  <c r="F10" i="71"/>
  <c r="V65" i="71"/>
  <c r="V10" i="71"/>
  <c r="D65" i="71"/>
  <c r="D10" i="71"/>
  <c r="L65" i="98"/>
  <c r="L10" i="98"/>
  <c r="T65" i="98"/>
  <c r="T10" i="98"/>
  <c r="O93" i="33"/>
  <c r="O47" i="33"/>
  <c r="O132" i="33"/>
  <c r="AB65" i="98"/>
  <c r="AB10" i="98"/>
  <c r="P65" i="71"/>
  <c r="P10" i="71"/>
  <c r="Y65" i="71"/>
  <c r="Y10" i="71"/>
  <c r="I65" i="98"/>
  <c r="I10" i="98"/>
  <c r="Z10" i="71"/>
  <c r="Z65" i="71"/>
  <c r="J109" i="32"/>
  <c r="K109" i="32" s="1"/>
  <c r="AF47" i="33"/>
  <c r="G109" i="32"/>
  <c r="H109" i="32" s="1"/>
  <c r="AI109" i="32"/>
  <c r="AJ109" i="32" s="1"/>
  <c r="AF93" i="33"/>
  <c r="AF132" i="33"/>
  <c r="M65" i="71"/>
  <c r="M10" i="71"/>
  <c r="AO93" i="33"/>
  <c r="AO132" i="33"/>
  <c r="AO47" i="33"/>
  <c r="BA109" i="32"/>
  <c r="BB109" i="32" s="1"/>
  <c r="Z93" i="33"/>
  <c r="Z47" i="33"/>
  <c r="W109" i="32"/>
  <c r="X109" i="32" s="1"/>
  <c r="Z132" i="33"/>
  <c r="D10" i="98"/>
  <c r="D65" i="98"/>
  <c r="L47" i="33"/>
  <c r="L93" i="33"/>
  <c r="L132" i="33"/>
  <c r="J65" i="98"/>
  <c r="J10" i="98"/>
  <c r="AA47" i="33"/>
  <c r="Y109" i="32"/>
  <c r="Z109" i="32" s="1"/>
  <c r="AA93" i="33"/>
  <c r="AA132" i="33"/>
  <c r="AB93" i="33"/>
  <c r="AB47" i="33"/>
  <c r="AB132" i="33"/>
  <c r="AA109" i="32"/>
  <c r="AB109" i="32" s="1"/>
  <c r="AE10" i="71"/>
  <c r="AE65" i="71"/>
  <c r="AL47" i="33"/>
  <c r="AU109" i="32"/>
  <c r="AV109" i="32" s="1"/>
  <c r="AL132" i="33"/>
  <c r="AL93" i="33"/>
  <c r="H65" i="71"/>
  <c r="H10" i="71"/>
  <c r="AG93" i="33"/>
  <c r="AG132" i="33"/>
  <c r="AG47" i="33"/>
  <c r="AK109" i="32"/>
  <c r="AL109" i="32" s="1"/>
  <c r="Y47" i="33"/>
  <c r="U109" i="32"/>
  <c r="V109" i="32" s="1"/>
  <c r="Y132" i="33"/>
  <c r="Y93" i="33"/>
  <c r="AH132" i="33"/>
  <c r="AH47" i="33"/>
  <c r="AM109" i="32"/>
  <c r="AN109" i="32" s="1"/>
  <c r="AH93" i="33"/>
  <c r="P47" i="33"/>
  <c r="P132" i="33"/>
  <c r="P93" i="33"/>
  <c r="N47" i="33"/>
  <c r="N132" i="33"/>
  <c r="N93" i="33"/>
  <c r="I65" i="71"/>
  <c r="I10" i="71"/>
  <c r="AE93" i="33"/>
  <c r="AG109" i="32"/>
  <c r="AH109" i="32" s="1"/>
  <c r="AE47" i="33"/>
  <c r="AE132" i="33"/>
  <c r="AI47" i="33"/>
  <c r="AI132" i="33"/>
  <c r="AO109" i="32"/>
  <c r="AP109" i="32" s="1"/>
  <c r="AI93" i="33"/>
  <c r="W65" i="98"/>
  <c r="W10" i="98"/>
  <c r="AF65" i="71"/>
  <c r="AF10" i="71"/>
  <c r="AJ132" i="33"/>
  <c r="AQ109" i="32"/>
  <c r="AR109" i="32" s="1"/>
  <c r="AJ93" i="33"/>
  <c r="AJ47" i="33"/>
  <c r="N10" i="98"/>
  <c r="N65" i="98"/>
  <c r="J65" i="71"/>
  <c r="J10" i="71"/>
  <c r="N65" i="71"/>
  <c r="N10" i="71"/>
  <c r="AB10" i="71"/>
  <c r="AB65" i="71"/>
  <c r="T93" i="33"/>
  <c r="T47" i="33"/>
  <c r="T132" i="33"/>
  <c r="Z10" i="98"/>
  <c r="Z65" i="98"/>
  <c r="W10" i="71"/>
  <c r="W65" i="71"/>
  <c r="V93" i="33"/>
  <c r="V47" i="33"/>
  <c r="V132" i="33"/>
  <c r="AF65" i="98"/>
  <c r="AF10" i="98"/>
  <c r="Q10" i="71"/>
  <c r="Q65" i="71"/>
  <c r="AE109" i="32"/>
  <c r="AF109" i="32" s="1"/>
  <c r="AD93" i="33"/>
  <c r="AD47" i="33"/>
  <c r="AD132" i="33"/>
  <c r="AA10" i="71"/>
  <c r="AA65" i="71"/>
  <c r="P65" i="98"/>
  <c r="P10" i="98"/>
  <c r="G10" i="71"/>
  <c r="G65" i="71"/>
  <c r="E10" i="98"/>
  <c r="E65" i="98"/>
  <c r="AG65" i="98"/>
  <c r="AG10" i="98"/>
  <c r="R93" i="33"/>
  <c r="R132" i="33"/>
  <c r="R47" i="33"/>
  <c r="M47" i="33"/>
  <c r="M132" i="33"/>
  <c r="M93" i="33"/>
  <c r="U65" i="98"/>
  <c r="U10" i="98"/>
  <c r="S132" i="33"/>
  <c r="S47" i="33"/>
  <c r="S93" i="33"/>
  <c r="X65" i="98"/>
  <c r="X10" i="98"/>
  <c r="E10" i="71"/>
  <c r="E65" i="71"/>
  <c r="AD10" i="71"/>
  <c r="AD65" i="71"/>
  <c r="R10" i="71"/>
  <c r="R65" i="71"/>
  <c r="U132" i="33"/>
  <c r="U47" i="33"/>
  <c r="U93" i="33"/>
  <c r="AE10" i="98"/>
  <c r="AE65" i="98"/>
  <c r="F10" i="98"/>
  <c r="F65" i="98"/>
  <c r="Q132" i="33"/>
  <c r="Q93" i="33"/>
  <c r="Q47" i="33"/>
  <c r="O10" i="71"/>
  <c r="O65" i="71"/>
  <c r="AD10" i="98"/>
  <c r="AD65" i="98"/>
  <c r="C65" i="98"/>
  <c r="C10" i="98"/>
  <c r="R10" i="98"/>
  <c r="R65" i="98"/>
  <c r="S10" i="71"/>
  <c r="S65" i="71"/>
  <c r="AC65" i="98"/>
  <c r="AC10" i="98"/>
  <c r="AK132" i="33"/>
  <c r="AK47" i="33"/>
  <c r="AS109" i="32"/>
  <c r="AT109" i="32" s="1"/>
  <c r="AK93" i="33"/>
  <c r="X10" i="71"/>
  <c r="X65" i="71"/>
  <c r="K65" i="71"/>
  <c r="K10" i="71"/>
  <c r="Y10" i="98"/>
  <c r="Y65" i="98"/>
  <c r="AP132" i="33"/>
  <c r="BC109" i="32"/>
  <c r="BD109" i="32" s="1"/>
  <c r="AP47" i="33"/>
  <c r="AP93" i="33"/>
  <c r="V65" i="98"/>
  <c r="V10" i="98"/>
  <c r="Q10" i="98"/>
  <c r="Q65" i="98"/>
  <c r="U10" i="71"/>
  <c r="U65" i="71"/>
  <c r="AA65" i="98"/>
  <c r="AA10" i="98"/>
  <c r="E30" i="96"/>
  <c r="B36" i="2"/>
  <c r="E31" i="101" s="1"/>
  <c r="E30" i="41"/>
  <c r="E30" i="72"/>
  <c r="E30" i="77"/>
  <c r="E30" i="55"/>
  <c r="E30" i="47"/>
  <c r="E30" i="84"/>
  <c r="E30" i="81"/>
  <c r="E30" i="46"/>
  <c r="E30" i="50"/>
  <c r="E30" i="56"/>
  <c r="E30" i="51"/>
  <c r="E30" i="82"/>
  <c r="E30" i="73"/>
  <c r="E30" i="48"/>
  <c r="E30" i="87"/>
  <c r="E30" i="45"/>
  <c r="E30" i="79"/>
  <c r="E30" i="49"/>
  <c r="E30" i="90"/>
  <c r="E30" i="95"/>
  <c r="E30" i="52"/>
  <c r="E30" i="85"/>
  <c r="E30" i="88"/>
  <c r="E30" i="69"/>
  <c r="E30" i="64"/>
  <c r="E30" i="54"/>
  <c r="E30" i="58"/>
  <c r="E30" i="53"/>
  <c r="E30" i="83"/>
  <c r="AJ10" i="98" l="1"/>
  <c r="AJ65" i="98"/>
  <c r="I31" i="101"/>
  <c r="P31" i="101"/>
  <c r="T30" i="101"/>
  <c r="X30" i="101"/>
  <c r="AJ65" i="104"/>
  <c r="AJ10" i="104"/>
  <c r="I30" i="99"/>
  <c r="E31" i="99"/>
  <c r="P31" i="99" s="1"/>
  <c r="E31" i="100"/>
  <c r="I30" i="100"/>
  <c r="P30" i="100"/>
  <c r="AK39" i="32"/>
  <c r="X30" i="99"/>
  <c r="T30" i="99"/>
  <c r="I30" i="53"/>
  <c r="P30" i="53"/>
  <c r="P30" i="69"/>
  <c r="I30" i="69"/>
  <c r="I30" i="95"/>
  <c r="P30" i="95"/>
  <c r="P30" i="45"/>
  <c r="I30" i="45"/>
  <c r="P30" i="82"/>
  <c r="I30" i="82"/>
  <c r="P30" i="46"/>
  <c r="I30" i="46"/>
  <c r="P30" i="55"/>
  <c r="I30" i="55"/>
  <c r="E31" i="46"/>
  <c r="E31" i="50"/>
  <c r="E31" i="90"/>
  <c r="E31" i="64"/>
  <c r="E31" i="82"/>
  <c r="E31" i="96"/>
  <c r="B37" i="2"/>
  <c r="E32" i="101" s="1"/>
  <c r="E31" i="73"/>
  <c r="E31" i="58"/>
  <c r="E31" i="95"/>
  <c r="E31" i="54"/>
  <c r="E31" i="77"/>
  <c r="E31" i="51"/>
  <c r="E31" i="47"/>
  <c r="E31" i="53"/>
  <c r="E31" i="45"/>
  <c r="E31" i="79"/>
  <c r="E31" i="55"/>
  <c r="E31" i="85"/>
  <c r="E31" i="88"/>
  <c r="E31" i="72"/>
  <c r="E31" i="81"/>
  <c r="E31" i="87"/>
  <c r="E31" i="56"/>
  <c r="E31" i="52"/>
  <c r="E31" i="83"/>
  <c r="E31" i="41"/>
  <c r="E31" i="48"/>
  <c r="E31" i="69"/>
  <c r="E31" i="84"/>
  <c r="E31" i="49"/>
  <c r="I30" i="58"/>
  <c r="P30" i="58"/>
  <c r="P30" i="88"/>
  <c r="I30" i="88"/>
  <c r="P30" i="90"/>
  <c r="I30" i="90"/>
  <c r="I30" i="87"/>
  <c r="P30" i="87"/>
  <c r="P30" i="51"/>
  <c r="I30" i="51"/>
  <c r="P30" i="81"/>
  <c r="I30" i="81"/>
  <c r="I30" i="77"/>
  <c r="P30" i="77"/>
  <c r="P30" i="96"/>
  <c r="I30" i="96"/>
  <c r="P30" i="54"/>
  <c r="I30" i="54"/>
  <c r="I30" i="85"/>
  <c r="P30" i="85"/>
  <c r="I30" i="49"/>
  <c r="P30" i="49"/>
  <c r="P30" i="48"/>
  <c r="I30" i="48"/>
  <c r="P30" i="56"/>
  <c r="I30" i="56"/>
  <c r="I30" i="84"/>
  <c r="P30" i="84"/>
  <c r="I30" i="72"/>
  <c r="P30" i="72"/>
  <c r="P30" i="83"/>
  <c r="I30" i="83"/>
  <c r="P30" i="64"/>
  <c r="I30" i="64"/>
  <c r="I30" i="52"/>
  <c r="P30" i="52"/>
  <c r="P30" i="79"/>
  <c r="I30" i="79"/>
  <c r="P30" i="73"/>
  <c r="I30" i="73"/>
  <c r="P30" i="50"/>
  <c r="I30" i="50"/>
  <c r="P30" i="47"/>
  <c r="I30" i="47"/>
  <c r="P30" i="41"/>
  <c r="I30" i="41"/>
  <c r="P32" i="101" l="1"/>
  <c r="I32" i="101"/>
  <c r="AB30" i="101"/>
  <c r="AF30" i="101"/>
  <c r="X31" i="101"/>
  <c r="T31" i="101"/>
  <c r="I31" i="99"/>
  <c r="E32" i="99"/>
  <c r="I32" i="99" s="1"/>
  <c r="E32" i="100"/>
  <c r="T30" i="100"/>
  <c r="X30" i="100"/>
  <c r="P31" i="100"/>
  <c r="I31" i="100"/>
  <c r="AB30" i="99"/>
  <c r="AF30" i="99"/>
  <c r="T31" i="99"/>
  <c r="X31" i="99"/>
  <c r="X30" i="47"/>
  <c r="T30" i="47"/>
  <c r="X30" i="73"/>
  <c r="T30" i="73"/>
  <c r="X30" i="83"/>
  <c r="T30" i="83"/>
  <c r="X30" i="56"/>
  <c r="T30" i="56"/>
  <c r="X30" i="54"/>
  <c r="T30" i="54"/>
  <c r="T30" i="77"/>
  <c r="X30" i="77"/>
  <c r="T30" i="58"/>
  <c r="X30" i="58"/>
  <c r="I31" i="69"/>
  <c r="P31" i="69"/>
  <c r="P31" i="52"/>
  <c r="I31" i="52"/>
  <c r="I31" i="72"/>
  <c r="P31" i="72"/>
  <c r="P31" i="79"/>
  <c r="I31" i="79"/>
  <c r="P31" i="51"/>
  <c r="I31" i="51"/>
  <c r="I31" i="58"/>
  <c r="P31" i="58"/>
  <c r="I31" i="82"/>
  <c r="P31" i="82"/>
  <c r="P31" i="46"/>
  <c r="I31" i="46"/>
  <c r="X30" i="46"/>
  <c r="T30" i="46"/>
  <c r="X30" i="45"/>
  <c r="T30" i="45"/>
  <c r="X30" i="69"/>
  <c r="T30" i="69"/>
  <c r="T30" i="84"/>
  <c r="X30" i="84"/>
  <c r="X30" i="85"/>
  <c r="T30" i="85"/>
  <c r="X30" i="51"/>
  <c r="T30" i="51"/>
  <c r="X30" i="90"/>
  <c r="T30" i="90"/>
  <c r="P31" i="48"/>
  <c r="I31" i="48"/>
  <c r="I31" i="56"/>
  <c r="P31" i="56"/>
  <c r="I31" i="88"/>
  <c r="P31" i="88"/>
  <c r="I31" i="45"/>
  <c r="P31" i="45"/>
  <c r="P31" i="77"/>
  <c r="I31" i="77"/>
  <c r="I31" i="73"/>
  <c r="P31" i="73"/>
  <c r="I31" i="64"/>
  <c r="P31" i="64"/>
  <c r="X30" i="95"/>
  <c r="T30" i="95"/>
  <c r="X30" i="53"/>
  <c r="T30" i="53"/>
  <c r="T30" i="41"/>
  <c r="X30" i="41"/>
  <c r="X30" i="50"/>
  <c r="T30" i="50"/>
  <c r="T30" i="79"/>
  <c r="X30" i="79"/>
  <c r="X30" i="64"/>
  <c r="T30" i="64"/>
  <c r="X30" i="48"/>
  <c r="T30" i="48"/>
  <c r="X30" i="87"/>
  <c r="T30" i="87"/>
  <c r="P31" i="49"/>
  <c r="I31" i="49"/>
  <c r="P31" i="41"/>
  <c r="I31" i="41"/>
  <c r="P31" i="87"/>
  <c r="I31" i="87"/>
  <c r="P31" i="85"/>
  <c r="I31" i="85"/>
  <c r="P31" i="53"/>
  <c r="I31" i="53"/>
  <c r="P31" i="54"/>
  <c r="I31" i="54"/>
  <c r="E32" i="55"/>
  <c r="E32" i="84"/>
  <c r="E32" i="56"/>
  <c r="E32" i="79"/>
  <c r="E32" i="53"/>
  <c r="E32" i="73"/>
  <c r="E32" i="69"/>
  <c r="E32" i="83"/>
  <c r="E32" i="46"/>
  <c r="E32" i="50"/>
  <c r="B38" i="2"/>
  <c r="E33" i="101" s="1"/>
  <c r="E32" i="49"/>
  <c r="E32" i="85"/>
  <c r="E32" i="82"/>
  <c r="E32" i="87"/>
  <c r="E32" i="47"/>
  <c r="E32" i="58"/>
  <c r="E32" i="51"/>
  <c r="E32" i="41"/>
  <c r="E32" i="64"/>
  <c r="E32" i="52"/>
  <c r="E32" i="54"/>
  <c r="E32" i="88"/>
  <c r="E32" i="45"/>
  <c r="E32" i="90"/>
  <c r="E32" i="48"/>
  <c r="E32" i="81"/>
  <c r="E32" i="95"/>
  <c r="E32" i="72"/>
  <c r="E32" i="96"/>
  <c r="E32" i="77"/>
  <c r="I31" i="90"/>
  <c r="P31" i="90"/>
  <c r="T30" i="55"/>
  <c r="X30" i="55"/>
  <c r="T30" i="82"/>
  <c r="X30" i="82"/>
  <c r="X30" i="52"/>
  <c r="T30" i="52"/>
  <c r="X30" i="72"/>
  <c r="T30" i="72"/>
  <c r="X30" i="49"/>
  <c r="T30" i="49"/>
  <c r="T30" i="96"/>
  <c r="X30" i="96"/>
  <c r="T30" i="81"/>
  <c r="X30" i="81"/>
  <c r="T30" i="88"/>
  <c r="X30" i="88"/>
  <c r="I31" i="84"/>
  <c r="P31" i="84"/>
  <c r="I31" i="83"/>
  <c r="P31" i="83"/>
  <c r="I31" i="81"/>
  <c r="P31" i="81"/>
  <c r="I31" i="55"/>
  <c r="P31" i="55"/>
  <c r="I31" i="47"/>
  <c r="P31" i="47"/>
  <c r="I31" i="95"/>
  <c r="P31" i="95"/>
  <c r="I31" i="96"/>
  <c r="P31" i="96"/>
  <c r="I31" i="50"/>
  <c r="P31" i="50"/>
  <c r="P32" i="99" l="1"/>
  <c r="T32" i="99" s="1"/>
  <c r="AF31" i="101"/>
  <c r="AB31" i="101"/>
  <c r="AJ30" i="101"/>
  <c r="AM30" i="101"/>
  <c r="AQ30" i="101" s="1"/>
  <c r="I33" i="101"/>
  <c r="P33" i="101"/>
  <c r="T32" i="101"/>
  <c r="X32" i="101"/>
  <c r="E33" i="99"/>
  <c r="P33" i="99" s="1"/>
  <c r="E33" i="100"/>
  <c r="T31" i="100"/>
  <c r="X31" i="100"/>
  <c r="AB30" i="100"/>
  <c r="AF30" i="100"/>
  <c r="I32" i="100"/>
  <c r="P32" i="100"/>
  <c r="AF31" i="99"/>
  <c r="AB31" i="99"/>
  <c r="AJ30" i="99"/>
  <c r="AM30" i="99"/>
  <c r="AQ30" i="99" s="1"/>
  <c r="T31" i="50"/>
  <c r="X31" i="50"/>
  <c r="T31" i="95"/>
  <c r="X31" i="95"/>
  <c r="T31" i="55"/>
  <c r="X31" i="55"/>
  <c r="T31" i="83"/>
  <c r="X31" i="83"/>
  <c r="AB30" i="88"/>
  <c r="AF30" i="88"/>
  <c r="AB30" i="96"/>
  <c r="AF30" i="96"/>
  <c r="AB30" i="49"/>
  <c r="AF30" i="49"/>
  <c r="P32" i="95"/>
  <c r="I32" i="95"/>
  <c r="P32" i="45"/>
  <c r="I32" i="45"/>
  <c r="P32" i="64"/>
  <c r="I32" i="64"/>
  <c r="I32" i="47"/>
  <c r="P32" i="47"/>
  <c r="P32" i="49"/>
  <c r="I32" i="49"/>
  <c r="P32" i="83"/>
  <c r="I32" i="83"/>
  <c r="P32" i="79"/>
  <c r="I32" i="79"/>
  <c r="T31" i="64"/>
  <c r="X31" i="64"/>
  <c r="T31" i="88"/>
  <c r="X31" i="88"/>
  <c r="AB30" i="51"/>
  <c r="AF30" i="51"/>
  <c r="AF30" i="45"/>
  <c r="AB30" i="45"/>
  <c r="T31" i="46"/>
  <c r="X31" i="46"/>
  <c r="T31" i="79"/>
  <c r="X31" i="79"/>
  <c r="T31" i="52"/>
  <c r="X31" i="52"/>
  <c r="AB30" i="56"/>
  <c r="AF30" i="56"/>
  <c r="AF30" i="73"/>
  <c r="AB30" i="73"/>
  <c r="AB30" i="52"/>
  <c r="AF30" i="52"/>
  <c r="AB30" i="55"/>
  <c r="AF30" i="55"/>
  <c r="I32" i="77"/>
  <c r="P32" i="77"/>
  <c r="I32" i="81"/>
  <c r="P32" i="81"/>
  <c r="P32" i="88"/>
  <c r="I32" i="88"/>
  <c r="I32" i="41"/>
  <c r="P32" i="41"/>
  <c r="P32" i="87"/>
  <c r="I32" i="87"/>
  <c r="E33" i="50"/>
  <c r="E33" i="51"/>
  <c r="E33" i="64"/>
  <c r="E33" i="83"/>
  <c r="E33" i="45"/>
  <c r="E33" i="96"/>
  <c r="E33" i="58"/>
  <c r="E33" i="95"/>
  <c r="E33" i="72"/>
  <c r="E33" i="82"/>
  <c r="E33" i="77"/>
  <c r="E33" i="53"/>
  <c r="E33" i="90"/>
  <c r="E33" i="41"/>
  <c r="E33" i="85"/>
  <c r="E33" i="46"/>
  <c r="E33" i="81"/>
  <c r="E33" i="84"/>
  <c r="E33" i="69"/>
  <c r="E33" i="88"/>
  <c r="E33" i="56"/>
  <c r="E33" i="48"/>
  <c r="E33" i="79"/>
  <c r="B39" i="2"/>
  <c r="E34" i="101" s="1"/>
  <c r="E33" i="47"/>
  <c r="E33" i="73"/>
  <c r="E33" i="87"/>
  <c r="E33" i="52"/>
  <c r="E33" i="54"/>
  <c r="E33" i="49"/>
  <c r="E33" i="55"/>
  <c r="P32" i="69"/>
  <c r="I32" i="69"/>
  <c r="P32" i="56"/>
  <c r="I32" i="56"/>
  <c r="X31" i="54"/>
  <c r="T31" i="54"/>
  <c r="T31" i="85"/>
  <c r="X31" i="85"/>
  <c r="X31" i="41"/>
  <c r="T31" i="41"/>
  <c r="AB30" i="87"/>
  <c r="AF30" i="87"/>
  <c r="AF30" i="64"/>
  <c r="AB30" i="64"/>
  <c r="AB30" i="50"/>
  <c r="AF30" i="50"/>
  <c r="AB30" i="53"/>
  <c r="AF30" i="53"/>
  <c r="T31" i="77"/>
  <c r="X31" i="77"/>
  <c r="T31" i="48"/>
  <c r="X31" i="48"/>
  <c r="X31" i="82"/>
  <c r="T31" i="82"/>
  <c r="T31" i="72"/>
  <c r="X31" i="72"/>
  <c r="T31" i="69"/>
  <c r="X31" i="69"/>
  <c r="AF30" i="77"/>
  <c r="AB30" i="77"/>
  <c r="X31" i="96"/>
  <c r="T31" i="96"/>
  <c r="X31" i="47"/>
  <c r="T31" i="47"/>
  <c r="X31" i="81"/>
  <c r="T31" i="81"/>
  <c r="T31" i="84"/>
  <c r="X31" i="84"/>
  <c r="AF30" i="81"/>
  <c r="AB30" i="81"/>
  <c r="AF30" i="72"/>
  <c r="AB30" i="72"/>
  <c r="I32" i="96"/>
  <c r="P32" i="96"/>
  <c r="I32" i="48"/>
  <c r="P32" i="48"/>
  <c r="I32" i="54"/>
  <c r="P32" i="54"/>
  <c r="P32" i="51"/>
  <c r="I32" i="51"/>
  <c r="P32" i="82"/>
  <c r="I32" i="82"/>
  <c r="P32" i="50"/>
  <c r="I32" i="50"/>
  <c r="P32" i="73"/>
  <c r="I32" i="73"/>
  <c r="P32" i="84"/>
  <c r="I32" i="84"/>
  <c r="AF30" i="79"/>
  <c r="AB30" i="79"/>
  <c r="AF30" i="41"/>
  <c r="AB30" i="41"/>
  <c r="T31" i="73"/>
  <c r="X31" i="73"/>
  <c r="T31" i="45"/>
  <c r="X31" i="45"/>
  <c r="T31" i="56"/>
  <c r="X31" i="56"/>
  <c r="AF30" i="90"/>
  <c r="AB30" i="90"/>
  <c r="AF30" i="85"/>
  <c r="AB30" i="85"/>
  <c r="AB30" i="69"/>
  <c r="AF30" i="69"/>
  <c r="AB30" i="46"/>
  <c r="AF30" i="46"/>
  <c r="T31" i="51"/>
  <c r="X31" i="51"/>
  <c r="AF30" i="54"/>
  <c r="AB30" i="54"/>
  <c r="AF30" i="83"/>
  <c r="AB30" i="83"/>
  <c r="AB30" i="47"/>
  <c r="AF30" i="47"/>
  <c r="AB30" i="82"/>
  <c r="AF30" i="82"/>
  <c r="T31" i="90"/>
  <c r="X31" i="90"/>
  <c r="I32" i="72"/>
  <c r="P32" i="72"/>
  <c r="P32" i="90"/>
  <c r="I32" i="90"/>
  <c r="I32" i="52"/>
  <c r="P32" i="52"/>
  <c r="P32" i="58"/>
  <c r="I32" i="58"/>
  <c r="I32" i="85"/>
  <c r="P32" i="85"/>
  <c r="P32" i="46"/>
  <c r="I32" i="46"/>
  <c r="I32" i="53"/>
  <c r="P32" i="53"/>
  <c r="P32" i="55"/>
  <c r="I32" i="55"/>
  <c r="X31" i="53"/>
  <c r="T31" i="53"/>
  <c r="T31" i="87"/>
  <c r="X31" i="87"/>
  <c r="T31" i="49"/>
  <c r="X31" i="49"/>
  <c r="AF30" i="48"/>
  <c r="AB30" i="48"/>
  <c r="AF30" i="95"/>
  <c r="AB30" i="95"/>
  <c r="AF30" i="84"/>
  <c r="AB30" i="84"/>
  <c r="X31" i="58"/>
  <c r="T31" i="58"/>
  <c r="AF30" i="58"/>
  <c r="AB30" i="58"/>
  <c r="X32" i="99" l="1"/>
  <c r="AF32" i="99" s="1"/>
  <c r="AF32" i="101"/>
  <c r="AB32" i="101"/>
  <c r="X33" i="101"/>
  <c r="T33" i="101"/>
  <c r="I34" i="101"/>
  <c r="P34" i="101"/>
  <c r="AM31" i="101"/>
  <c r="AQ31" i="101" s="1"/>
  <c r="AJ31" i="101"/>
  <c r="I33" i="99"/>
  <c r="X32" i="100"/>
  <c r="T32" i="100"/>
  <c r="AM30" i="100"/>
  <c r="AQ30" i="100" s="1"/>
  <c r="AJ30" i="100"/>
  <c r="E34" i="99"/>
  <c r="P34" i="99" s="1"/>
  <c r="E34" i="100"/>
  <c r="AF31" i="100"/>
  <c r="AB31" i="100"/>
  <c r="P33" i="100"/>
  <c r="I33" i="100"/>
  <c r="AB32" i="99"/>
  <c r="AJ31" i="99"/>
  <c r="AM31" i="99"/>
  <c r="AQ31" i="99" s="1"/>
  <c r="T33" i="99"/>
  <c r="X33" i="99"/>
  <c r="AM30" i="58"/>
  <c r="AQ30" i="58" s="1"/>
  <c r="AJ30" i="58"/>
  <c r="AF31" i="87"/>
  <c r="AB31" i="87"/>
  <c r="AF31" i="90"/>
  <c r="AB31" i="90"/>
  <c r="AJ30" i="79"/>
  <c r="AM30" i="79"/>
  <c r="AQ30" i="79" s="1"/>
  <c r="X32" i="48"/>
  <c r="T32" i="48"/>
  <c r="AF31" i="69"/>
  <c r="AB31" i="69"/>
  <c r="AF31" i="48"/>
  <c r="AB31" i="48"/>
  <c r="AM30" i="53"/>
  <c r="AQ30" i="53" s="1"/>
  <c r="AJ30" i="53"/>
  <c r="AJ30" i="87"/>
  <c r="AM30" i="87"/>
  <c r="AQ30" i="87" s="1"/>
  <c r="AF31" i="85"/>
  <c r="AB31" i="85"/>
  <c r="I33" i="55"/>
  <c r="P33" i="55"/>
  <c r="I33" i="87"/>
  <c r="P33" i="87"/>
  <c r="I33" i="79"/>
  <c r="P33" i="79"/>
  <c r="I33" i="69"/>
  <c r="P33" i="69"/>
  <c r="I33" i="85"/>
  <c r="P33" i="85"/>
  <c r="I33" i="77"/>
  <c r="P33" i="77"/>
  <c r="P33" i="58"/>
  <c r="I33" i="58"/>
  <c r="P33" i="64"/>
  <c r="I33" i="64"/>
  <c r="X32" i="87"/>
  <c r="T32" i="87"/>
  <c r="X32" i="88"/>
  <c r="T32" i="88"/>
  <c r="AJ30" i="45"/>
  <c r="AM30" i="45"/>
  <c r="AQ30" i="45" s="1"/>
  <c r="AF31" i="88"/>
  <c r="AB31" i="88"/>
  <c r="AM30" i="49"/>
  <c r="AQ30" i="49" s="1"/>
  <c r="AJ30" i="49"/>
  <c r="AM30" i="88"/>
  <c r="AQ30" i="88" s="1"/>
  <c r="AJ30" i="88"/>
  <c r="AF31" i="55"/>
  <c r="AB31" i="55"/>
  <c r="AF31" i="50"/>
  <c r="AB31" i="50"/>
  <c r="T32" i="55"/>
  <c r="X32" i="55"/>
  <c r="T32" i="46"/>
  <c r="X32" i="46"/>
  <c r="X32" i="58"/>
  <c r="T32" i="58"/>
  <c r="T32" i="90"/>
  <c r="X32" i="90"/>
  <c r="AJ30" i="46"/>
  <c r="AM30" i="46"/>
  <c r="AQ30" i="46" s="1"/>
  <c r="AB31" i="45"/>
  <c r="AF31" i="45"/>
  <c r="X32" i="84"/>
  <c r="T32" i="84"/>
  <c r="X32" i="50"/>
  <c r="T32" i="50"/>
  <c r="T32" i="51"/>
  <c r="X32" i="51"/>
  <c r="AJ30" i="81"/>
  <c r="AM30" i="81"/>
  <c r="AQ30" i="81" s="1"/>
  <c r="AF31" i="81"/>
  <c r="AB31" i="81"/>
  <c r="AF31" i="96"/>
  <c r="AB31" i="96"/>
  <c r="AB31" i="82"/>
  <c r="AF31" i="82"/>
  <c r="T32" i="56"/>
  <c r="X32" i="56"/>
  <c r="I33" i="49"/>
  <c r="P33" i="49"/>
  <c r="P33" i="73"/>
  <c r="I33" i="73"/>
  <c r="I33" i="48"/>
  <c r="P33" i="48"/>
  <c r="I33" i="84"/>
  <c r="P33" i="84"/>
  <c r="I33" i="41"/>
  <c r="P33" i="41"/>
  <c r="I33" i="82"/>
  <c r="P33" i="82"/>
  <c r="I33" i="96"/>
  <c r="P33" i="96"/>
  <c r="I33" i="51"/>
  <c r="P33" i="51"/>
  <c r="T32" i="41"/>
  <c r="X32" i="41"/>
  <c r="X32" i="81"/>
  <c r="T32" i="81"/>
  <c r="AM30" i="55"/>
  <c r="AQ30" i="55" s="1"/>
  <c r="AJ30" i="55"/>
  <c r="AM30" i="52"/>
  <c r="AQ30" i="52" s="1"/>
  <c r="AJ30" i="52"/>
  <c r="AF31" i="52"/>
  <c r="AB31" i="52"/>
  <c r="AF31" i="46"/>
  <c r="AB31" i="46"/>
  <c r="X32" i="79"/>
  <c r="T32" i="79"/>
  <c r="T32" i="49"/>
  <c r="X32" i="49"/>
  <c r="T32" i="64"/>
  <c r="X32" i="64"/>
  <c r="X32" i="95"/>
  <c r="T32" i="95"/>
  <c r="AF31" i="58"/>
  <c r="AB31" i="58"/>
  <c r="AJ30" i="84"/>
  <c r="AM30" i="84"/>
  <c r="AQ30" i="84" s="1"/>
  <c r="AM30" i="95"/>
  <c r="AJ30" i="95"/>
  <c r="AF31" i="49"/>
  <c r="AB31" i="49"/>
  <c r="T32" i="53"/>
  <c r="X32" i="53"/>
  <c r="T32" i="85"/>
  <c r="X32" i="85"/>
  <c r="T32" i="52"/>
  <c r="X32" i="52"/>
  <c r="X32" i="72"/>
  <c r="T32" i="72"/>
  <c r="AM30" i="82"/>
  <c r="AJ30" i="82"/>
  <c r="AM30" i="83"/>
  <c r="AQ30" i="83" s="1"/>
  <c r="AJ30" i="83"/>
  <c r="AM30" i="54"/>
  <c r="AQ30" i="54" s="1"/>
  <c r="AJ30" i="54"/>
  <c r="AJ30" i="85"/>
  <c r="AM30" i="85"/>
  <c r="AQ30" i="85" s="1"/>
  <c r="AJ30" i="90"/>
  <c r="AM30" i="90"/>
  <c r="AM30" i="41"/>
  <c r="AJ30" i="41"/>
  <c r="X32" i="54"/>
  <c r="T32" i="54"/>
  <c r="X32" i="96"/>
  <c r="T32" i="96"/>
  <c r="AB31" i="84"/>
  <c r="AF31" i="84"/>
  <c r="AB31" i="72"/>
  <c r="AF31" i="72"/>
  <c r="AF31" i="77"/>
  <c r="AB31" i="77"/>
  <c r="AM30" i="64"/>
  <c r="AQ30" i="64" s="1"/>
  <c r="AJ30" i="64"/>
  <c r="I33" i="54"/>
  <c r="P33" i="54"/>
  <c r="P33" i="47"/>
  <c r="I33" i="47"/>
  <c r="I33" i="56"/>
  <c r="P33" i="56"/>
  <c r="I33" i="81"/>
  <c r="P33" i="81"/>
  <c r="I33" i="90"/>
  <c r="P33" i="90"/>
  <c r="P33" i="72"/>
  <c r="I33" i="72"/>
  <c r="I33" i="45"/>
  <c r="P33" i="45"/>
  <c r="I33" i="50"/>
  <c r="P33" i="50"/>
  <c r="AJ30" i="56"/>
  <c r="AM30" i="56"/>
  <c r="AQ30" i="56" s="1"/>
  <c r="AJ30" i="51"/>
  <c r="AM30" i="51"/>
  <c r="AQ30" i="51" s="1"/>
  <c r="AF31" i="64"/>
  <c r="AB31" i="64"/>
  <c r="X32" i="47"/>
  <c r="T32" i="47"/>
  <c r="AJ30" i="96"/>
  <c r="AM30" i="96"/>
  <c r="AQ30" i="96" s="1"/>
  <c r="AF31" i="83"/>
  <c r="AB31" i="83"/>
  <c r="AF31" i="95"/>
  <c r="AB31" i="95"/>
  <c r="AM30" i="48"/>
  <c r="AQ30" i="48" s="1"/>
  <c r="AJ30" i="48"/>
  <c r="AB31" i="53"/>
  <c r="AF31" i="53"/>
  <c r="AM30" i="47"/>
  <c r="AQ30" i="47" s="1"/>
  <c r="AJ30" i="47"/>
  <c r="AF31" i="51"/>
  <c r="AB31" i="51"/>
  <c r="AM30" i="69"/>
  <c r="AJ30" i="69"/>
  <c r="AF31" i="56"/>
  <c r="AB31" i="56"/>
  <c r="AB31" i="73"/>
  <c r="AF31" i="73"/>
  <c r="X32" i="73"/>
  <c r="T32" i="73"/>
  <c r="T32" i="82"/>
  <c r="X32" i="82"/>
  <c r="AM30" i="72"/>
  <c r="AQ30" i="72" s="1"/>
  <c r="AJ30" i="72"/>
  <c r="AF31" i="47"/>
  <c r="AB31" i="47"/>
  <c r="AJ30" i="77"/>
  <c r="AM30" i="77"/>
  <c r="AQ30" i="77" s="1"/>
  <c r="AJ30" i="50"/>
  <c r="AM30" i="50"/>
  <c r="AQ30" i="50" s="1"/>
  <c r="AF31" i="41"/>
  <c r="AB31" i="41"/>
  <c r="AF31" i="54"/>
  <c r="AB31" i="54"/>
  <c r="X32" i="69"/>
  <c r="T32" i="69"/>
  <c r="I33" i="52"/>
  <c r="P33" i="52"/>
  <c r="B40" i="2"/>
  <c r="E34" i="69"/>
  <c r="E34" i="41"/>
  <c r="E34" i="48"/>
  <c r="E34" i="85"/>
  <c r="E34" i="55"/>
  <c r="E34" i="79"/>
  <c r="E34" i="84"/>
  <c r="E34" i="90"/>
  <c r="E34" i="95"/>
  <c r="E34" i="72"/>
  <c r="E34" i="64"/>
  <c r="E34" i="82"/>
  <c r="E34" i="73"/>
  <c r="E34" i="49"/>
  <c r="E34" i="53"/>
  <c r="E34" i="58"/>
  <c r="E34" i="56"/>
  <c r="E34" i="81"/>
  <c r="E34" i="83"/>
  <c r="E34" i="77"/>
  <c r="E34" i="87"/>
  <c r="E34" i="54"/>
  <c r="E34" i="96"/>
  <c r="E34" i="52"/>
  <c r="E34" i="46"/>
  <c r="E34" i="45"/>
  <c r="E34" i="51"/>
  <c r="E34" i="47"/>
  <c r="E34" i="50"/>
  <c r="E34" i="88"/>
  <c r="I33" i="88"/>
  <c r="P33" i="88"/>
  <c r="I33" i="46"/>
  <c r="P33" i="46"/>
  <c r="I33" i="53"/>
  <c r="P33" i="53"/>
  <c r="I33" i="95"/>
  <c r="P33" i="95"/>
  <c r="I33" i="83"/>
  <c r="P33" i="83"/>
  <c r="T32" i="77"/>
  <c r="X32" i="77"/>
  <c r="AJ30" i="73"/>
  <c r="AM30" i="73"/>
  <c r="AQ30" i="73" s="1"/>
  <c r="AF31" i="79"/>
  <c r="AB31" i="79"/>
  <c r="X32" i="83"/>
  <c r="T32" i="83"/>
  <c r="X32" i="45"/>
  <c r="T32" i="45"/>
  <c r="X34" i="101" l="1"/>
  <c r="T34" i="101"/>
  <c r="AB33" i="101"/>
  <c r="AF33" i="101"/>
  <c r="AJ32" i="101"/>
  <c r="AM32" i="101"/>
  <c r="AQ32" i="101" s="1"/>
  <c r="AQ30" i="90"/>
  <c r="I34" i="99"/>
  <c r="AJ31" i="100"/>
  <c r="AM31" i="100"/>
  <c r="AQ31" i="100" s="1"/>
  <c r="I34" i="100"/>
  <c r="P34" i="100"/>
  <c r="X33" i="100"/>
  <c r="T33" i="100"/>
  <c r="AB32" i="100"/>
  <c r="AF32" i="100"/>
  <c r="AQ30" i="95"/>
  <c r="AQ30" i="41"/>
  <c r="AQ30" i="82"/>
  <c r="AQ30" i="69"/>
  <c r="AF33" i="99"/>
  <c r="AB33" i="99"/>
  <c r="X34" i="99"/>
  <c r="T34" i="99"/>
  <c r="AM32" i="99"/>
  <c r="AQ32" i="99" s="1"/>
  <c r="AJ32" i="99"/>
  <c r="AF32" i="45"/>
  <c r="AB32" i="45"/>
  <c r="AB32" i="77"/>
  <c r="AF32" i="77"/>
  <c r="X33" i="95"/>
  <c r="T33" i="95"/>
  <c r="X33" i="46"/>
  <c r="T33" i="46"/>
  <c r="I34" i="88"/>
  <c r="P34" i="88"/>
  <c r="I34" i="45"/>
  <c r="P34" i="45"/>
  <c r="I34" i="54"/>
  <c r="P34" i="54"/>
  <c r="I34" i="81"/>
  <c r="P34" i="81"/>
  <c r="I34" i="49"/>
  <c r="P34" i="49"/>
  <c r="I34" i="72"/>
  <c r="P34" i="72"/>
  <c r="I34" i="79"/>
  <c r="P34" i="79"/>
  <c r="I34" i="41"/>
  <c r="P34" i="41"/>
  <c r="AJ31" i="54"/>
  <c r="AM31" i="54"/>
  <c r="AQ31" i="54" s="1"/>
  <c r="AM31" i="64"/>
  <c r="AQ31" i="64" s="1"/>
  <c r="AJ31" i="64"/>
  <c r="AM31" i="84"/>
  <c r="AQ31" i="84" s="1"/>
  <c r="AJ31" i="84"/>
  <c r="AB32" i="85"/>
  <c r="AF32" i="85"/>
  <c r="AF32" i="79"/>
  <c r="AB32" i="79"/>
  <c r="X33" i="51"/>
  <c r="T33" i="51"/>
  <c r="X33" i="82"/>
  <c r="T33" i="82"/>
  <c r="T33" i="84"/>
  <c r="X33" i="84"/>
  <c r="AF32" i="56"/>
  <c r="AB32" i="56"/>
  <c r="AF32" i="50"/>
  <c r="AB32" i="50"/>
  <c r="AF32" i="90"/>
  <c r="AB32" i="90"/>
  <c r="AB32" i="46"/>
  <c r="AF32" i="46"/>
  <c r="AB32" i="88"/>
  <c r="AF32" i="88"/>
  <c r="X33" i="64"/>
  <c r="T33" i="64"/>
  <c r="AJ31" i="85"/>
  <c r="AM31" i="85"/>
  <c r="AQ31" i="85" s="1"/>
  <c r="AM31" i="69"/>
  <c r="AJ31" i="69"/>
  <c r="AM31" i="90"/>
  <c r="AJ31" i="90"/>
  <c r="AM31" i="79"/>
  <c r="AQ31" i="79" s="1"/>
  <c r="AJ31" i="79"/>
  <c r="I34" i="50"/>
  <c r="P34" i="50"/>
  <c r="I34" i="46"/>
  <c r="P34" i="46"/>
  <c r="I34" i="87"/>
  <c r="P34" i="87"/>
  <c r="I34" i="56"/>
  <c r="P34" i="56"/>
  <c r="I34" i="73"/>
  <c r="P34" i="73"/>
  <c r="I34" i="95"/>
  <c r="P34" i="95"/>
  <c r="I34" i="55"/>
  <c r="P34" i="55"/>
  <c r="I34" i="69"/>
  <c r="P34" i="69"/>
  <c r="AF32" i="73"/>
  <c r="AB32" i="73"/>
  <c r="AM31" i="56"/>
  <c r="AQ31" i="56" s="1"/>
  <c r="AJ31" i="56"/>
  <c r="AM31" i="51"/>
  <c r="AQ31" i="51" s="1"/>
  <c r="AJ31" i="51"/>
  <c r="AJ31" i="53"/>
  <c r="AM31" i="53"/>
  <c r="AQ31" i="53" s="1"/>
  <c r="AJ31" i="83"/>
  <c r="AM31" i="83"/>
  <c r="AQ31" i="83" s="1"/>
  <c r="AB32" i="47"/>
  <c r="AF32" i="47"/>
  <c r="X33" i="50"/>
  <c r="T33" i="50"/>
  <c r="X33" i="81"/>
  <c r="T33" i="81"/>
  <c r="AM31" i="77"/>
  <c r="AQ31" i="77" s="1"/>
  <c r="AJ31" i="77"/>
  <c r="AF32" i="54"/>
  <c r="AB32" i="54"/>
  <c r="AF32" i="72"/>
  <c r="AB32" i="72"/>
  <c r="AJ31" i="49"/>
  <c r="AM31" i="49"/>
  <c r="AQ31" i="49" s="1"/>
  <c r="AF32" i="49"/>
  <c r="AB32" i="49"/>
  <c r="AM31" i="52"/>
  <c r="AQ31" i="52" s="1"/>
  <c r="AJ31" i="52"/>
  <c r="AF32" i="81"/>
  <c r="AB32" i="81"/>
  <c r="X33" i="73"/>
  <c r="T33" i="73"/>
  <c r="AM31" i="81"/>
  <c r="AQ31" i="81" s="1"/>
  <c r="AJ31" i="81"/>
  <c r="AB32" i="51"/>
  <c r="AF32" i="51"/>
  <c r="AM31" i="55"/>
  <c r="AQ31" i="55" s="1"/>
  <c r="AJ31" i="55"/>
  <c r="X33" i="85"/>
  <c r="T33" i="85"/>
  <c r="T33" i="79"/>
  <c r="X33" i="79"/>
  <c r="X33" i="55"/>
  <c r="T33" i="55"/>
  <c r="AF32" i="83"/>
  <c r="AB32" i="83"/>
  <c r="X33" i="83"/>
  <c r="T33" i="83"/>
  <c r="X33" i="53"/>
  <c r="T33" i="53"/>
  <c r="X33" i="88"/>
  <c r="T33" i="88"/>
  <c r="P34" i="47"/>
  <c r="I34" i="47"/>
  <c r="I34" i="52"/>
  <c r="P34" i="52"/>
  <c r="I34" i="77"/>
  <c r="P34" i="77"/>
  <c r="I34" i="58"/>
  <c r="P34" i="58"/>
  <c r="P34" i="82"/>
  <c r="I34" i="82"/>
  <c r="I34" i="90"/>
  <c r="P34" i="90"/>
  <c r="I34" i="85"/>
  <c r="P34" i="85"/>
  <c r="B41" i="2"/>
  <c r="AF32" i="69"/>
  <c r="AB32" i="69"/>
  <c r="AJ31" i="41"/>
  <c r="AM31" i="41"/>
  <c r="AF32" i="82"/>
  <c r="AB32" i="82"/>
  <c r="AM31" i="73"/>
  <c r="AQ31" i="73" s="1"/>
  <c r="AJ31" i="73"/>
  <c r="X33" i="72"/>
  <c r="T33" i="72"/>
  <c r="X33" i="47"/>
  <c r="T33" i="47"/>
  <c r="AJ31" i="72"/>
  <c r="AM31" i="72"/>
  <c r="AQ31" i="72" s="1"/>
  <c r="AF32" i="52"/>
  <c r="AB32" i="52"/>
  <c r="AF32" i="53"/>
  <c r="AB32" i="53"/>
  <c r="AF32" i="95"/>
  <c r="AB32" i="95"/>
  <c r="AB32" i="41"/>
  <c r="AF32" i="41"/>
  <c r="X33" i="96"/>
  <c r="T33" i="96"/>
  <c r="T33" i="41"/>
  <c r="X33" i="41"/>
  <c r="X33" i="48"/>
  <c r="T33" i="48"/>
  <c r="X33" i="49"/>
  <c r="T33" i="49"/>
  <c r="AF32" i="84"/>
  <c r="AB32" i="84"/>
  <c r="AB32" i="55"/>
  <c r="AF32" i="55"/>
  <c r="AB32" i="87"/>
  <c r="AF32" i="87"/>
  <c r="X33" i="58"/>
  <c r="T33" i="58"/>
  <c r="AM31" i="48"/>
  <c r="AQ31" i="48" s="1"/>
  <c r="AJ31" i="48"/>
  <c r="AF32" i="48"/>
  <c r="AB32" i="48"/>
  <c r="AJ31" i="87"/>
  <c r="AM31" i="87"/>
  <c r="AQ31" i="87" s="1"/>
  <c r="I34" i="51"/>
  <c r="P34" i="51"/>
  <c r="I34" i="96"/>
  <c r="P34" i="96"/>
  <c r="I34" i="83"/>
  <c r="P34" i="83"/>
  <c r="I34" i="53"/>
  <c r="P34" i="53"/>
  <c r="I34" i="64"/>
  <c r="P34" i="64"/>
  <c r="I34" i="84"/>
  <c r="P34" i="84"/>
  <c r="I34" i="48"/>
  <c r="P34" i="48"/>
  <c r="X33" i="52"/>
  <c r="T33" i="52"/>
  <c r="AM31" i="47"/>
  <c r="AQ31" i="47" s="1"/>
  <c r="AJ31" i="47"/>
  <c r="AJ31" i="95"/>
  <c r="AM31" i="95"/>
  <c r="X33" i="45"/>
  <c r="T33" i="45"/>
  <c r="T33" i="90"/>
  <c r="X33" i="90"/>
  <c r="X33" i="56"/>
  <c r="T33" i="56"/>
  <c r="X33" i="54"/>
  <c r="T33" i="54"/>
  <c r="AF32" i="96"/>
  <c r="AB32" i="96"/>
  <c r="AJ31" i="58"/>
  <c r="AM31" i="58"/>
  <c r="AQ31" i="58" s="1"/>
  <c r="AF32" i="64"/>
  <c r="AB32" i="64"/>
  <c r="AM31" i="46"/>
  <c r="AQ31" i="46" s="1"/>
  <c r="AJ31" i="46"/>
  <c r="AM31" i="82"/>
  <c r="AJ31" i="82"/>
  <c r="AM31" i="96"/>
  <c r="AQ31" i="96" s="1"/>
  <c r="AJ31" i="96"/>
  <c r="AJ31" i="45"/>
  <c r="AM31" i="45"/>
  <c r="AQ31" i="45" s="1"/>
  <c r="AB32" i="58"/>
  <c r="AF32" i="58"/>
  <c r="AM31" i="50"/>
  <c r="AQ31" i="50" s="1"/>
  <c r="AJ31" i="50"/>
  <c r="AJ31" i="88"/>
  <c r="AM31" i="88"/>
  <c r="AQ31" i="88" s="1"/>
  <c r="X33" i="77"/>
  <c r="T33" i="77"/>
  <c r="X33" i="69"/>
  <c r="T33" i="69"/>
  <c r="X33" i="87"/>
  <c r="T33" i="87"/>
  <c r="AJ33" i="101" l="1"/>
  <c r="AM33" i="101"/>
  <c r="AQ33" i="101" s="1"/>
  <c r="AB34" i="101"/>
  <c r="AF34" i="101"/>
  <c r="AQ31" i="90"/>
  <c r="T34" i="100"/>
  <c r="X34" i="100"/>
  <c r="AF33" i="100"/>
  <c r="AB33" i="100"/>
  <c r="AM32" i="100"/>
  <c r="AQ32" i="100" s="1"/>
  <c r="AJ32" i="100"/>
  <c r="AQ31" i="95"/>
  <c r="AQ31" i="41"/>
  <c r="AQ31" i="82"/>
  <c r="AQ31" i="69"/>
  <c r="AB34" i="99"/>
  <c r="AF34" i="99"/>
  <c r="AM33" i="99"/>
  <c r="AQ33" i="99" s="1"/>
  <c r="AJ33" i="99"/>
  <c r="AF33" i="69"/>
  <c r="AB33" i="69"/>
  <c r="AF33" i="54"/>
  <c r="AB33" i="54"/>
  <c r="AF33" i="52"/>
  <c r="AB33" i="52"/>
  <c r="AJ32" i="87"/>
  <c r="AM32" i="87"/>
  <c r="AQ32" i="87" s="1"/>
  <c r="X34" i="82"/>
  <c r="T34" i="82"/>
  <c r="X34" i="47"/>
  <c r="T34" i="47"/>
  <c r="AF33" i="53"/>
  <c r="AB33" i="53"/>
  <c r="AM32" i="83"/>
  <c r="AQ32" i="83" s="1"/>
  <c r="AJ32" i="83"/>
  <c r="AF33" i="79"/>
  <c r="AB33" i="79"/>
  <c r="T34" i="55"/>
  <c r="X34" i="55"/>
  <c r="T34" i="73"/>
  <c r="X34" i="73"/>
  <c r="X34" i="87"/>
  <c r="T34" i="87"/>
  <c r="X34" i="50"/>
  <c r="T34" i="50"/>
  <c r="AF33" i="64"/>
  <c r="AB33" i="64"/>
  <c r="AJ32" i="50"/>
  <c r="AM32" i="50"/>
  <c r="AQ32" i="50" s="1"/>
  <c r="AF33" i="51"/>
  <c r="AB33" i="51"/>
  <c r="AF33" i="46"/>
  <c r="AB33" i="46"/>
  <c r="T34" i="48"/>
  <c r="X34" i="48"/>
  <c r="T34" i="64"/>
  <c r="X34" i="64"/>
  <c r="X34" i="83"/>
  <c r="T34" i="83"/>
  <c r="T34" i="51"/>
  <c r="X34" i="51"/>
  <c r="AJ32" i="84"/>
  <c r="AM32" i="84"/>
  <c r="AQ32" i="84" s="1"/>
  <c r="AF33" i="48"/>
  <c r="AB33" i="48"/>
  <c r="AF33" i="96"/>
  <c r="AB33" i="96"/>
  <c r="AM32" i="95"/>
  <c r="AJ32" i="95"/>
  <c r="AJ32" i="52"/>
  <c r="AM32" i="52"/>
  <c r="AQ32" i="52" s="1"/>
  <c r="AB33" i="47"/>
  <c r="AF33" i="47"/>
  <c r="T34" i="90"/>
  <c r="X34" i="90"/>
  <c r="X34" i="58"/>
  <c r="T34" i="58"/>
  <c r="X34" i="52"/>
  <c r="T34" i="52"/>
  <c r="AJ32" i="81"/>
  <c r="AM32" i="81"/>
  <c r="AQ32" i="81" s="1"/>
  <c r="AM32" i="49"/>
  <c r="AQ32" i="49" s="1"/>
  <c r="AJ32" i="49"/>
  <c r="AM32" i="72"/>
  <c r="AQ32" i="72" s="1"/>
  <c r="AJ32" i="72"/>
  <c r="AF33" i="50"/>
  <c r="AB33" i="50"/>
  <c r="AJ32" i="73"/>
  <c r="AM32" i="73"/>
  <c r="AQ32" i="73" s="1"/>
  <c r="AM32" i="88"/>
  <c r="AQ32" i="88" s="1"/>
  <c r="AJ32" i="88"/>
  <c r="T34" i="79"/>
  <c r="X34" i="79"/>
  <c r="T34" i="49"/>
  <c r="X34" i="49"/>
  <c r="X34" i="54"/>
  <c r="T34" i="54"/>
  <c r="T34" i="88"/>
  <c r="X34" i="88"/>
  <c r="AF33" i="87"/>
  <c r="AB33" i="87"/>
  <c r="AF33" i="77"/>
  <c r="AB33" i="77"/>
  <c r="AJ32" i="64"/>
  <c r="AM32" i="64"/>
  <c r="AQ32" i="64" s="1"/>
  <c r="AM32" i="96"/>
  <c r="AQ32" i="96" s="1"/>
  <c r="AJ32" i="96"/>
  <c r="AF33" i="56"/>
  <c r="AB33" i="56"/>
  <c r="AF33" i="45"/>
  <c r="AB33" i="45"/>
  <c r="AM32" i="55"/>
  <c r="AQ32" i="55" s="1"/>
  <c r="AJ32" i="55"/>
  <c r="AB33" i="41"/>
  <c r="AF33" i="41"/>
  <c r="AM32" i="41"/>
  <c r="AJ32" i="41"/>
  <c r="AB33" i="88"/>
  <c r="AF33" i="88"/>
  <c r="AF33" i="83"/>
  <c r="AB33" i="83"/>
  <c r="AM32" i="51"/>
  <c r="AQ32" i="51" s="1"/>
  <c r="AJ32" i="51"/>
  <c r="AJ32" i="47"/>
  <c r="AM32" i="47"/>
  <c r="AQ32" i="47" s="1"/>
  <c r="X34" i="69"/>
  <c r="T34" i="69"/>
  <c r="T34" i="95"/>
  <c r="X34" i="95"/>
  <c r="X34" i="56"/>
  <c r="T34" i="56"/>
  <c r="T34" i="46"/>
  <c r="X34" i="46"/>
  <c r="AJ32" i="90"/>
  <c r="AM32" i="90"/>
  <c r="AM32" i="56"/>
  <c r="AQ32" i="56" s="1"/>
  <c r="AJ32" i="56"/>
  <c r="AF33" i="82"/>
  <c r="AB33" i="82"/>
  <c r="AM32" i="79"/>
  <c r="AQ32" i="79" s="1"/>
  <c r="AJ32" i="79"/>
  <c r="AF33" i="95"/>
  <c r="AB33" i="95"/>
  <c r="AM32" i="45"/>
  <c r="AQ32" i="45" s="1"/>
  <c r="AJ32" i="45"/>
  <c r="AJ32" i="58"/>
  <c r="AM32" i="58"/>
  <c r="AQ32" i="58" s="1"/>
  <c r="AF33" i="90"/>
  <c r="AB33" i="90"/>
  <c r="T34" i="84"/>
  <c r="X34" i="84"/>
  <c r="T34" i="53"/>
  <c r="X34" i="53"/>
  <c r="X34" i="96"/>
  <c r="T34" i="96"/>
  <c r="AJ32" i="48"/>
  <c r="AM32" i="48"/>
  <c r="AQ32" i="48" s="1"/>
  <c r="AF33" i="58"/>
  <c r="AB33" i="58"/>
  <c r="AF33" i="49"/>
  <c r="AB33" i="49"/>
  <c r="AJ32" i="53"/>
  <c r="AM32" i="53"/>
  <c r="AQ32" i="53" s="1"/>
  <c r="AF33" i="72"/>
  <c r="AB33" i="72"/>
  <c r="AM32" i="82"/>
  <c r="AJ32" i="82"/>
  <c r="AM32" i="69"/>
  <c r="AJ32" i="69"/>
  <c r="B42" i="2"/>
  <c r="X34" i="85"/>
  <c r="T34" i="85"/>
  <c r="T34" i="77"/>
  <c r="X34" i="77"/>
  <c r="AF33" i="55"/>
  <c r="AB33" i="55"/>
  <c r="AB33" i="85"/>
  <c r="AF33" i="85"/>
  <c r="AF33" i="73"/>
  <c r="AB33" i="73"/>
  <c r="AM32" i="54"/>
  <c r="AQ32" i="54" s="1"/>
  <c r="AJ32" i="54"/>
  <c r="AF33" i="81"/>
  <c r="AB33" i="81"/>
  <c r="AJ32" i="46"/>
  <c r="AM32" i="46"/>
  <c r="AQ32" i="46" s="1"/>
  <c r="AB33" i="84"/>
  <c r="AF33" i="84"/>
  <c r="AJ32" i="85"/>
  <c r="AM32" i="85"/>
  <c r="AQ32" i="85" s="1"/>
  <c r="X34" i="41"/>
  <c r="T34" i="41"/>
  <c r="X34" i="72"/>
  <c r="T34" i="72"/>
  <c r="X34" i="81"/>
  <c r="T34" i="81"/>
  <c r="X34" i="45"/>
  <c r="T34" i="45"/>
  <c r="AJ32" i="77"/>
  <c r="AM32" i="77"/>
  <c r="AQ32" i="77" s="1"/>
  <c r="AM34" i="101" l="1"/>
  <c r="AQ34" i="101" s="1"/>
  <c r="AJ34" i="101"/>
  <c r="AQ32" i="90"/>
  <c r="AM33" i="100"/>
  <c r="AQ33" i="100" s="1"/>
  <c r="AJ33" i="100"/>
  <c r="AF34" i="100"/>
  <c r="AB34" i="100"/>
  <c r="AQ32" i="95"/>
  <c r="AQ32" i="41"/>
  <c r="AQ32" i="82"/>
  <c r="AQ32" i="69"/>
  <c r="AM34" i="99"/>
  <c r="AQ34" i="99" s="1"/>
  <c r="AJ34" i="99"/>
  <c r="AM33" i="84"/>
  <c r="AQ33" i="84" s="1"/>
  <c r="AJ33" i="84"/>
  <c r="AJ33" i="58"/>
  <c r="AM33" i="58"/>
  <c r="AQ33" i="58" s="1"/>
  <c r="AF34" i="96"/>
  <c r="AB34" i="96"/>
  <c r="AJ33" i="88"/>
  <c r="AM33" i="88"/>
  <c r="AQ33" i="88" s="1"/>
  <c r="AM33" i="41"/>
  <c r="AJ33" i="41"/>
  <c r="AB34" i="88"/>
  <c r="AF34" i="88"/>
  <c r="AF34" i="49"/>
  <c r="AB34" i="49"/>
  <c r="AB34" i="90"/>
  <c r="AF34" i="90"/>
  <c r="AF34" i="48"/>
  <c r="AB34" i="48"/>
  <c r="AF34" i="55"/>
  <c r="AB34" i="55"/>
  <c r="AF34" i="81"/>
  <c r="AB34" i="81"/>
  <c r="AF34" i="41"/>
  <c r="AB34" i="41"/>
  <c r="AM33" i="81"/>
  <c r="AQ33" i="81" s="1"/>
  <c r="AJ33" i="81"/>
  <c r="AJ33" i="73"/>
  <c r="AM33" i="73"/>
  <c r="AQ33" i="73" s="1"/>
  <c r="AJ33" i="55"/>
  <c r="AM33" i="55"/>
  <c r="AQ33" i="55" s="1"/>
  <c r="AF34" i="85"/>
  <c r="AB34" i="85"/>
  <c r="AF34" i="53"/>
  <c r="AB34" i="53"/>
  <c r="AM33" i="95"/>
  <c r="AJ33" i="95"/>
  <c r="AM33" i="82"/>
  <c r="AJ33" i="82"/>
  <c r="AB34" i="56"/>
  <c r="AF34" i="56"/>
  <c r="AB34" i="69"/>
  <c r="AF34" i="69"/>
  <c r="AM33" i="45"/>
  <c r="AQ33" i="45" s="1"/>
  <c r="AJ33" i="45"/>
  <c r="AJ33" i="77"/>
  <c r="AM33" i="77"/>
  <c r="AQ33" i="77" s="1"/>
  <c r="AM33" i="50"/>
  <c r="AQ33" i="50" s="1"/>
  <c r="AJ33" i="50"/>
  <c r="AB34" i="52"/>
  <c r="AF34" i="52"/>
  <c r="AJ33" i="96"/>
  <c r="AM33" i="96"/>
  <c r="AQ33" i="96" s="1"/>
  <c r="AF34" i="83"/>
  <c r="AB34" i="83"/>
  <c r="AJ33" i="51"/>
  <c r="AM33" i="51"/>
  <c r="AQ33" i="51" s="1"/>
  <c r="AM33" i="64"/>
  <c r="AQ33" i="64" s="1"/>
  <c r="AJ33" i="64"/>
  <c r="AF34" i="87"/>
  <c r="AB34" i="87"/>
  <c r="AF34" i="47"/>
  <c r="AB34" i="47"/>
  <c r="AJ33" i="54"/>
  <c r="AM33" i="54"/>
  <c r="AQ33" i="54" s="1"/>
  <c r="AJ33" i="85"/>
  <c r="AM33" i="85"/>
  <c r="AQ33" i="85" s="1"/>
  <c r="AF34" i="77"/>
  <c r="AB34" i="77"/>
  <c r="AM33" i="72"/>
  <c r="AQ33" i="72" s="1"/>
  <c r="AJ33" i="72"/>
  <c r="AM33" i="49"/>
  <c r="AQ33" i="49" s="1"/>
  <c r="AJ33" i="49"/>
  <c r="AJ33" i="90"/>
  <c r="AM33" i="90"/>
  <c r="AB34" i="46"/>
  <c r="AF34" i="46"/>
  <c r="AB34" i="95"/>
  <c r="AF34" i="95"/>
  <c r="AB34" i="79"/>
  <c r="AF34" i="79"/>
  <c r="AM33" i="47"/>
  <c r="AQ33" i="47" s="1"/>
  <c r="AJ33" i="47"/>
  <c r="AB34" i="51"/>
  <c r="AF34" i="51"/>
  <c r="AF34" i="64"/>
  <c r="AB34" i="64"/>
  <c r="AF34" i="73"/>
  <c r="AB34" i="73"/>
  <c r="AF34" i="45"/>
  <c r="AB34" i="45"/>
  <c r="AB34" i="72"/>
  <c r="AF34" i="72"/>
  <c r="B43" i="2"/>
  <c r="E38" i="101" s="1"/>
  <c r="AF34" i="84"/>
  <c r="AB34" i="84"/>
  <c r="AJ33" i="83"/>
  <c r="AM33" i="83"/>
  <c r="AQ33" i="83" s="1"/>
  <c r="AM33" i="56"/>
  <c r="AQ33" i="56" s="1"/>
  <c r="AJ33" i="56"/>
  <c r="AJ33" i="87"/>
  <c r="AM33" i="87"/>
  <c r="AQ33" i="87" s="1"/>
  <c r="AF34" i="54"/>
  <c r="AB34" i="54"/>
  <c r="AF34" i="58"/>
  <c r="AB34" i="58"/>
  <c r="AM33" i="48"/>
  <c r="AQ33" i="48" s="1"/>
  <c r="AJ33" i="48"/>
  <c r="AM33" i="46"/>
  <c r="AQ33" i="46" s="1"/>
  <c r="AJ33" i="46"/>
  <c r="AF34" i="50"/>
  <c r="AB34" i="50"/>
  <c r="AM33" i="79"/>
  <c r="AQ33" i="79" s="1"/>
  <c r="AJ33" i="79"/>
  <c r="AM33" i="53"/>
  <c r="AQ33" i="53" s="1"/>
  <c r="AJ33" i="53"/>
  <c r="AB34" i="82"/>
  <c r="AF34" i="82"/>
  <c r="AM33" i="52"/>
  <c r="AQ33" i="52" s="1"/>
  <c r="AJ33" i="52"/>
  <c r="AM33" i="69"/>
  <c r="AJ33" i="69"/>
  <c r="I38" i="101" l="1"/>
  <c r="AQ33" i="90"/>
  <c r="AM34" i="100"/>
  <c r="AQ34" i="100" s="1"/>
  <c r="AJ34" i="100"/>
  <c r="E38" i="99"/>
  <c r="I38" i="99" s="1"/>
  <c r="E38" i="100"/>
  <c r="AQ33" i="95"/>
  <c r="AQ33" i="41"/>
  <c r="AQ33" i="82"/>
  <c r="AQ33" i="69"/>
  <c r="AJ34" i="50"/>
  <c r="AM34" i="50"/>
  <c r="AQ34" i="50" s="1"/>
  <c r="AJ34" i="58"/>
  <c r="AM34" i="58"/>
  <c r="AQ34" i="58" s="1"/>
  <c r="AM34" i="79"/>
  <c r="AQ34" i="79" s="1"/>
  <c r="AJ34" i="79"/>
  <c r="AM34" i="46"/>
  <c r="AQ34" i="46" s="1"/>
  <c r="AJ34" i="46"/>
  <c r="AJ34" i="56"/>
  <c r="AM34" i="56"/>
  <c r="AQ34" i="56" s="1"/>
  <c r="AJ34" i="90"/>
  <c r="AM34" i="90"/>
  <c r="AJ34" i="88"/>
  <c r="AM34" i="88"/>
  <c r="AQ34" i="88" s="1"/>
  <c r="AJ34" i="82"/>
  <c r="AM34" i="82"/>
  <c r="AM34" i="45"/>
  <c r="AQ34" i="45" s="1"/>
  <c r="AJ34" i="45"/>
  <c r="AM34" i="64"/>
  <c r="AQ34" i="64" s="1"/>
  <c r="AJ34" i="64"/>
  <c r="AJ34" i="77"/>
  <c r="AM34" i="77"/>
  <c r="AQ34" i="77" s="1"/>
  <c r="AM34" i="87"/>
  <c r="AQ34" i="87" s="1"/>
  <c r="AJ34" i="87"/>
  <c r="AM34" i="85"/>
  <c r="AQ34" i="85" s="1"/>
  <c r="AJ34" i="85"/>
  <c r="AM34" i="41"/>
  <c r="AJ34" i="41"/>
  <c r="AJ34" i="55"/>
  <c r="AM34" i="55"/>
  <c r="AQ34" i="55" s="1"/>
  <c r="AJ34" i="54"/>
  <c r="AM34" i="54"/>
  <c r="AQ34" i="54" s="1"/>
  <c r="AM34" i="84"/>
  <c r="AQ34" i="84" s="1"/>
  <c r="AJ34" i="84"/>
  <c r="AJ34" i="72"/>
  <c r="AM34" i="72"/>
  <c r="AQ34" i="72" s="1"/>
  <c r="AM34" i="51"/>
  <c r="AQ34" i="51" s="1"/>
  <c r="AJ34" i="51"/>
  <c r="AJ34" i="95"/>
  <c r="AM34" i="95"/>
  <c r="AM34" i="52"/>
  <c r="AQ34" i="52" s="1"/>
  <c r="AJ34" i="52"/>
  <c r="AJ34" i="69"/>
  <c r="AM34" i="69"/>
  <c r="B44" i="2"/>
  <c r="E39" i="101" s="1"/>
  <c r="E38" i="73"/>
  <c r="E38" i="55"/>
  <c r="E38" i="96"/>
  <c r="E38" i="69"/>
  <c r="E38" i="45"/>
  <c r="E38" i="88"/>
  <c r="E38" i="64"/>
  <c r="E38" i="46"/>
  <c r="E38" i="85"/>
  <c r="E38" i="58"/>
  <c r="E38" i="81"/>
  <c r="E38" i="72"/>
  <c r="E38" i="49"/>
  <c r="E38" i="82"/>
  <c r="E38" i="90"/>
  <c r="E38" i="41"/>
  <c r="E38" i="79"/>
  <c r="E38" i="47"/>
  <c r="E38" i="84"/>
  <c r="E38" i="54"/>
  <c r="E38" i="48"/>
  <c r="E38" i="83"/>
  <c r="E38" i="95"/>
  <c r="E38" i="50"/>
  <c r="E38" i="53"/>
  <c r="E38" i="87"/>
  <c r="E38" i="77"/>
  <c r="E38" i="52"/>
  <c r="E38" i="51"/>
  <c r="E38" i="56"/>
  <c r="AJ34" i="73"/>
  <c r="AM34" i="73"/>
  <c r="AQ34" i="73" s="1"/>
  <c r="AM34" i="47"/>
  <c r="AQ34" i="47" s="1"/>
  <c r="AJ34" i="47"/>
  <c r="AJ34" i="83"/>
  <c r="AM34" i="83"/>
  <c r="AQ34" i="83" s="1"/>
  <c r="AJ34" i="53"/>
  <c r="AM34" i="53"/>
  <c r="AQ34" i="53" s="1"/>
  <c r="AM34" i="81"/>
  <c r="AQ34" i="81" s="1"/>
  <c r="AJ34" i="81"/>
  <c r="AJ34" i="48"/>
  <c r="AM34" i="48"/>
  <c r="AQ34" i="48" s="1"/>
  <c r="AM34" i="49"/>
  <c r="AQ34" i="49" s="1"/>
  <c r="AJ34" i="49"/>
  <c r="AJ34" i="96"/>
  <c r="AM34" i="96"/>
  <c r="AQ34" i="96" s="1"/>
  <c r="I39" i="101" l="1"/>
  <c r="P39" i="101"/>
  <c r="AQ34" i="90"/>
  <c r="I38" i="100"/>
  <c r="E39" i="99"/>
  <c r="P39" i="99" s="1"/>
  <c r="E39" i="100"/>
  <c r="AQ34" i="95"/>
  <c r="AQ34" i="41"/>
  <c r="AQ34" i="82"/>
  <c r="AQ34" i="69"/>
  <c r="I38" i="51"/>
  <c r="I38" i="53"/>
  <c r="I38" i="48"/>
  <c r="I38" i="79"/>
  <c r="I38" i="49"/>
  <c r="I38" i="85"/>
  <c r="I38" i="45"/>
  <c r="I38" i="73"/>
  <c r="I38" i="52"/>
  <c r="I38" i="50"/>
  <c r="I38" i="54"/>
  <c r="I38" i="41"/>
  <c r="I38" i="72"/>
  <c r="I38" i="46"/>
  <c r="I38" i="69"/>
  <c r="E39" i="96"/>
  <c r="E39" i="72"/>
  <c r="B45" i="2"/>
  <c r="E40" i="101" s="1"/>
  <c r="E39" i="41"/>
  <c r="E39" i="85"/>
  <c r="E39" i="56"/>
  <c r="E39" i="81"/>
  <c r="E39" i="54"/>
  <c r="E39" i="87"/>
  <c r="E39" i="82"/>
  <c r="E39" i="90"/>
  <c r="E39" i="52"/>
  <c r="E39" i="95"/>
  <c r="E39" i="53"/>
  <c r="E39" i="88"/>
  <c r="E39" i="58"/>
  <c r="E39" i="83"/>
  <c r="E39" i="49"/>
  <c r="E39" i="48"/>
  <c r="E39" i="55"/>
  <c r="E39" i="51"/>
  <c r="E39" i="69"/>
  <c r="E39" i="50"/>
  <c r="E39" i="64"/>
  <c r="E39" i="84"/>
  <c r="E39" i="46"/>
  <c r="E39" i="73"/>
  <c r="E39" i="45"/>
  <c r="E39" i="47"/>
  <c r="E39" i="79"/>
  <c r="E39" i="77"/>
  <c r="I38" i="77"/>
  <c r="I38" i="95"/>
  <c r="I38" i="84"/>
  <c r="I38" i="90"/>
  <c r="I38" i="81"/>
  <c r="I38" i="64"/>
  <c r="I38" i="96"/>
  <c r="I38" i="56"/>
  <c r="I38" i="87"/>
  <c r="I38" i="83"/>
  <c r="I38" i="47"/>
  <c r="I38" i="82"/>
  <c r="I38" i="58"/>
  <c r="I38" i="88"/>
  <c r="I38" i="55"/>
  <c r="P40" i="101" l="1"/>
  <c r="I40" i="101"/>
  <c r="T39" i="101"/>
  <c r="X39" i="101"/>
  <c r="I39" i="99"/>
  <c r="I39" i="100"/>
  <c r="P39" i="100"/>
  <c r="E40" i="99"/>
  <c r="I40" i="99" s="1"/>
  <c r="E40" i="100"/>
  <c r="T39" i="99"/>
  <c r="X39" i="99"/>
  <c r="I39" i="79"/>
  <c r="P39" i="79"/>
  <c r="I39" i="46"/>
  <c r="P39" i="46"/>
  <c r="I39" i="69"/>
  <c r="P39" i="69"/>
  <c r="I39" i="49"/>
  <c r="P39" i="49"/>
  <c r="I39" i="53"/>
  <c r="P39" i="53"/>
  <c r="I39" i="82"/>
  <c r="P39" i="82"/>
  <c r="I39" i="56"/>
  <c r="P39" i="56"/>
  <c r="I39" i="72"/>
  <c r="P39" i="72"/>
  <c r="I39" i="47"/>
  <c r="P39" i="47"/>
  <c r="I39" i="84"/>
  <c r="P39" i="84"/>
  <c r="I39" i="51"/>
  <c r="P39" i="51"/>
  <c r="I39" i="83"/>
  <c r="P39" i="83"/>
  <c r="I39" i="95"/>
  <c r="P39" i="95"/>
  <c r="I39" i="87"/>
  <c r="P39" i="87"/>
  <c r="I39" i="85"/>
  <c r="P39" i="85"/>
  <c r="I39" i="96"/>
  <c r="P39" i="96"/>
  <c r="I39" i="45"/>
  <c r="P39" i="45"/>
  <c r="I39" i="64"/>
  <c r="P39" i="64"/>
  <c r="I39" i="55"/>
  <c r="P39" i="55"/>
  <c r="I39" i="58"/>
  <c r="P39" i="58"/>
  <c r="I39" i="52"/>
  <c r="P39" i="52"/>
  <c r="I39" i="54"/>
  <c r="P39" i="54"/>
  <c r="I39" i="41"/>
  <c r="P39" i="41"/>
  <c r="I39" i="77"/>
  <c r="P39" i="77"/>
  <c r="I39" i="73"/>
  <c r="P39" i="73"/>
  <c r="I39" i="50"/>
  <c r="P39" i="50"/>
  <c r="I39" i="48"/>
  <c r="P39" i="48"/>
  <c r="I39" i="88"/>
  <c r="P39" i="88"/>
  <c r="I39" i="90"/>
  <c r="P39" i="90"/>
  <c r="I39" i="81"/>
  <c r="P39" i="81"/>
  <c r="E40" i="96"/>
  <c r="E40" i="58"/>
  <c r="E40" i="64"/>
  <c r="E40" i="82"/>
  <c r="E40" i="47"/>
  <c r="E40" i="90"/>
  <c r="E40" i="95"/>
  <c r="E40" i="83"/>
  <c r="E40" i="77"/>
  <c r="E40" i="51"/>
  <c r="E40" i="45"/>
  <c r="E40" i="73"/>
  <c r="E40" i="54"/>
  <c r="E40" i="53"/>
  <c r="E40" i="69"/>
  <c r="E40" i="79"/>
  <c r="E40" i="85"/>
  <c r="B46" i="2"/>
  <c r="E41" i="101" s="1"/>
  <c r="E40" i="48"/>
  <c r="E40" i="41"/>
  <c r="E40" i="72"/>
  <c r="E40" i="52"/>
  <c r="E40" i="84"/>
  <c r="E40" i="50"/>
  <c r="E40" i="87"/>
  <c r="E40" i="55"/>
  <c r="E40" i="56"/>
  <c r="E40" i="49"/>
  <c r="E40" i="81"/>
  <c r="E40" i="88"/>
  <c r="E40" i="46"/>
  <c r="AF39" i="101" l="1"/>
  <c r="AB39" i="101"/>
  <c r="I41" i="101"/>
  <c r="P41" i="101"/>
  <c r="T40" i="101"/>
  <c r="X40" i="101"/>
  <c r="T39" i="100"/>
  <c r="X39" i="100"/>
  <c r="P40" i="99"/>
  <c r="X40" i="99" s="1"/>
  <c r="P40" i="100"/>
  <c r="I40" i="100"/>
  <c r="E41" i="99"/>
  <c r="I41" i="99" s="1"/>
  <c r="E41" i="100"/>
  <c r="AF39" i="99"/>
  <c r="AB39" i="99"/>
  <c r="P40" i="88"/>
  <c r="I40" i="88"/>
  <c r="P40" i="55"/>
  <c r="I40" i="55"/>
  <c r="I40" i="52"/>
  <c r="P40" i="52"/>
  <c r="E41" i="96"/>
  <c r="E41" i="84"/>
  <c r="E41" i="69"/>
  <c r="E41" i="58"/>
  <c r="E41" i="55"/>
  <c r="E41" i="79"/>
  <c r="E41" i="53"/>
  <c r="E41" i="95"/>
  <c r="E41" i="45"/>
  <c r="E41" i="73"/>
  <c r="E41" i="90"/>
  <c r="E41" i="85"/>
  <c r="E41" i="51"/>
  <c r="E41" i="54"/>
  <c r="E41" i="77"/>
  <c r="E41" i="87"/>
  <c r="E41" i="48"/>
  <c r="E41" i="88"/>
  <c r="E41" i="46"/>
  <c r="B47" i="2"/>
  <c r="B48" i="2" s="1"/>
  <c r="F14" i="101" s="1"/>
  <c r="E41" i="41"/>
  <c r="E41" i="50"/>
  <c r="E41" i="52"/>
  <c r="E41" i="64"/>
  <c r="E41" i="49"/>
  <c r="E41" i="56"/>
  <c r="E41" i="81"/>
  <c r="E41" i="72"/>
  <c r="E41" i="47"/>
  <c r="E41" i="83"/>
  <c r="E41" i="82"/>
  <c r="P40" i="53"/>
  <c r="I40" i="53"/>
  <c r="I40" i="51"/>
  <c r="P40" i="51"/>
  <c r="P40" i="90"/>
  <c r="I40" i="90"/>
  <c r="P40" i="58"/>
  <c r="I40" i="58"/>
  <c r="T39" i="90"/>
  <c r="X39" i="90"/>
  <c r="X39" i="48"/>
  <c r="T39" i="48"/>
  <c r="T39" i="73"/>
  <c r="X39" i="73"/>
  <c r="T39" i="54"/>
  <c r="X39" i="54"/>
  <c r="X39" i="58"/>
  <c r="T39" i="58"/>
  <c r="T39" i="64"/>
  <c r="X39" i="64"/>
  <c r="X39" i="96"/>
  <c r="T39" i="96"/>
  <c r="X39" i="87"/>
  <c r="T39" i="87"/>
  <c r="X39" i="83"/>
  <c r="T39" i="83"/>
  <c r="X39" i="84"/>
  <c r="T39" i="84"/>
  <c r="X39" i="72"/>
  <c r="T39" i="72"/>
  <c r="X39" i="82"/>
  <c r="T39" i="82"/>
  <c r="X39" i="49"/>
  <c r="T39" i="49"/>
  <c r="X39" i="46"/>
  <c r="T39" i="46"/>
  <c r="I40" i="81"/>
  <c r="P40" i="81"/>
  <c r="I40" i="87"/>
  <c r="P40" i="87"/>
  <c r="P40" i="72"/>
  <c r="I40" i="72"/>
  <c r="I40" i="85"/>
  <c r="P40" i="85"/>
  <c r="I40" i="54"/>
  <c r="P40" i="54"/>
  <c r="I40" i="77"/>
  <c r="P40" i="77"/>
  <c r="I40" i="47"/>
  <c r="P40" i="47"/>
  <c r="I40" i="96"/>
  <c r="P40" i="96"/>
  <c r="I40" i="49"/>
  <c r="P40" i="49"/>
  <c r="P40" i="50"/>
  <c r="I40" i="50"/>
  <c r="I40" i="41"/>
  <c r="P40" i="41"/>
  <c r="P40" i="79"/>
  <c r="I40" i="79"/>
  <c r="P40" i="73"/>
  <c r="I40" i="73"/>
  <c r="P40" i="83"/>
  <c r="I40" i="83"/>
  <c r="I40" i="82"/>
  <c r="P40" i="82"/>
  <c r="T39" i="81"/>
  <c r="X39" i="81"/>
  <c r="X39" i="88"/>
  <c r="T39" i="88"/>
  <c r="T39" i="50"/>
  <c r="X39" i="50"/>
  <c r="T39" i="77"/>
  <c r="X39" i="77"/>
  <c r="T39" i="41"/>
  <c r="X39" i="41"/>
  <c r="X39" i="52"/>
  <c r="T39" i="52"/>
  <c r="T39" i="55"/>
  <c r="X39" i="55"/>
  <c r="X39" i="45"/>
  <c r="T39" i="45"/>
  <c r="T39" i="85"/>
  <c r="X39" i="85"/>
  <c r="T39" i="95"/>
  <c r="X39" i="95"/>
  <c r="X39" i="51"/>
  <c r="T39" i="51"/>
  <c r="X39" i="47"/>
  <c r="T39" i="47"/>
  <c r="T39" i="56"/>
  <c r="X39" i="56"/>
  <c r="X39" i="53"/>
  <c r="T39" i="53"/>
  <c r="X39" i="69"/>
  <c r="T39" i="69"/>
  <c r="T39" i="79"/>
  <c r="X39" i="79"/>
  <c r="P40" i="46"/>
  <c r="I40" i="46"/>
  <c r="I40" i="56"/>
  <c r="P40" i="56"/>
  <c r="I40" i="84"/>
  <c r="P40" i="84"/>
  <c r="P40" i="48"/>
  <c r="I40" i="48"/>
  <c r="I40" i="69"/>
  <c r="P40" i="69"/>
  <c r="I40" i="45"/>
  <c r="P40" i="45"/>
  <c r="I40" i="95"/>
  <c r="P40" i="95"/>
  <c r="P40" i="64"/>
  <c r="I40" i="64"/>
  <c r="I14" i="101" l="1"/>
  <c r="Q14" i="101"/>
  <c r="F8" i="101"/>
  <c r="X41" i="101"/>
  <c r="T41" i="101"/>
  <c r="AF40" i="101"/>
  <c r="AB40" i="101"/>
  <c r="AM39" i="101"/>
  <c r="AQ39" i="101" s="1"/>
  <c r="AJ39" i="101"/>
  <c r="X40" i="100"/>
  <c r="T40" i="100"/>
  <c r="P41" i="99"/>
  <c r="X41" i="99" s="1"/>
  <c r="AF39" i="100"/>
  <c r="AB39" i="100"/>
  <c r="F14" i="99"/>
  <c r="I14" i="99" s="1"/>
  <c r="F14" i="100"/>
  <c r="T40" i="99"/>
  <c r="I41" i="100"/>
  <c r="P41" i="100"/>
  <c r="AM39" i="99"/>
  <c r="AQ39" i="99" s="1"/>
  <c r="AJ39" i="99"/>
  <c r="AF40" i="99"/>
  <c r="AB40" i="99"/>
  <c r="T40" i="45"/>
  <c r="X40" i="45"/>
  <c r="T40" i="56"/>
  <c r="X40" i="56"/>
  <c r="AF39" i="69"/>
  <c r="AB39" i="69"/>
  <c r="AF39" i="47"/>
  <c r="AB39" i="47"/>
  <c r="AB39" i="45"/>
  <c r="AF39" i="45"/>
  <c r="AB39" i="52"/>
  <c r="AF39" i="52"/>
  <c r="T40" i="83"/>
  <c r="X40" i="83"/>
  <c r="X40" i="79"/>
  <c r="T40" i="79"/>
  <c r="T40" i="50"/>
  <c r="X40" i="50"/>
  <c r="AF39" i="49"/>
  <c r="AB39" i="49"/>
  <c r="AB39" i="72"/>
  <c r="AF39" i="72"/>
  <c r="AB39" i="83"/>
  <c r="AF39" i="83"/>
  <c r="AF39" i="96"/>
  <c r="AB39" i="96"/>
  <c r="AB39" i="58"/>
  <c r="AF39" i="58"/>
  <c r="AB39" i="48"/>
  <c r="AF39" i="48"/>
  <c r="T40" i="58"/>
  <c r="X40" i="58"/>
  <c r="I41" i="83"/>
  <c r="P41" i="83"/>
  <c r="I41" i="56"/>
  <c r="P41" i="56"/>
  <c r="I41" i="50"/>
  <c r="P41" i="50"/>
  <c r="I41" i="88"/>
  <c r="P41" i="88"/>
  <c r="I41" i="54"/>
  <c r="P41" i="54"/>
  <c r="I41" i="73"/>
  <c r="P41" i="73"/>
  <c r="I41" i="79"/>
  <c r="P41" i="79"/>
  <c r="I41" i="84"/>
  <c r="P41" i="84"/>
  <c r="X40" i="64"/>
  <c r="T40" i="64"/>
  <c r="T40" i="48"/>
  <c r="X40" i="48"/>
  <c r="AB39" i="79"/>
  <c r="AF39" i="79"/>
  <c r="AB39" i="85"/>
  <c r="AF39" i="85"/>
  <c r="AB39" i="55"/>
  <c r="AF39" i="55"/>
  <c r="AB39" i="41"/>
  <c r="AF39" i="41"/>
  <c r="AB39" i="77"/>
  <c r="AF39" i="77"/>
  <c r="T40" i="82"/>
  <c r="X40" i="82"/>
  <c r="T40" i="41"/>
  <c r="X40" i="41"/>
  <c r="T40" i="49"/>
  <c r="X40" i="49"/>
  <c r="X40" i="47"/>
  <c r="T40" i="47"/>
  <c r="X40" i="54"/>
  <c r="T40" i="54"/>
  <c r="X40" i="81"/>
  <c r="T40" i="81"/>
  <c r="AB39" i="64"/>
  <c r="AF39" i="64"/>
  <c r="AF39" i="54"/>
  <c r="AB39" i="54"/>
  <c r="AF39" i="73"/>
  <c r="AB39" i="73"/>
  <c r="AB39" i="90"/>
  <c r="AF39" i="90"/>
  <c r="I41" i="47"/>
  <c r="P41" i="47"/>
  <c r="I41" i="49"/>
  <c r="P41" i="49"/>
  <c r="I41" i="41"/>
  <c r="P41" i="41"/>
  <c r="I41" i="48"/>
  <c r="P41" i="48"/>
  <c r="P41" i="51"/>
  <c r="I41" i="51"/>
  <c r="I41" i="45"/>
  <c r="P41" i="45"/>
  <c r="I41" i="55"/>
  <c r="P41" i="55"/>
  <c r="I41" i="96"/>
  <c r="P41" i="96"/>
  <c r="T40" i="55"/>
  <c r="X40" i="55"/>
  <c r="T40" i="95"/>
  <c r="X40" i="95"/>
  <c r="T40" i="69"/>
  <c r="X40" i="69"/>
  <c r="T40" i="84"/>
  <c r="X40" i="84"/>
  <c r="AF39" i="53"/>
  <c r="AB39" i="53"/>
  <c r="AF39" i="51"/>
  <c r="AB39" i="51"/>
  <c r="AB39" i="88"/>
  <c r="AF39" i="88"/>
  <c r="X40" i="73"/>
  <c r="T40" i="73"/>
  <c r="T40" i="72"/>
  <c r="X40" i="72"/>
  <c r="AF39" i="46"/>
  <c r="AB39" i="46"/>
  <c r="AB39" i="82"/>
  <c r="AF39" i="82"/>
  <c r="AF39" i="84"/>
  <c r="AB39" i="84"/>
  <c r="AF39" i="87"/>
  <c r="AB39" i="87"/>
  <c r="X40" i="90"/>
  <c r="T40" i="90"/>
  <c r="T40" i="53"/>
  <c r="X40" i="53"/>
  <c r="I41" i="72"/>
  <c r="P41" i="72"/>
  <c r="I41" i="64"/>
  <c r="P41" i="64"/>
  <c r="F14" i="83"/>
  <c r="F14" i="49"/>
  <c r="F14" i="55"/>
  <c r="F14" i="82"/>
  <c r="F14" i="90"/>
  <c r="F14" i="72"/>
  <c r="F14" i="50"/>
  <c r="F14" i="95"/>
  <c r="F14" i="52"/>
  <c r="F14" i="79"/>
  <c r="F14" i="47"/>
  <c r="B49" i="2"/>
  <c r="F14" i="64"/>
  <c r="F14" i="54"/>
  <c r="F14" i="51"/>
  <c r="F14" i="81"/>
  <c r="F14" i="41"/>
  <c r="F14" i="53"/>
  <c r="F14" i="87"/>
  <c r="F14" i="73"/>
  <c r="F14" i="85"/>
  <c r="F14" i="88"/>
  <c r="F14" i="46"/>
  <c r="F14" i="45"/>
  <c r="F14" i="56"/>
  <c r="F14" i="58"/>
  <c r="F14" i="96"/>
  <c r="F14" i="84"/>
  <c r="F14" i="77"/>
  <c r="F14" i="48"/>
  <c r="F14" i="69"/>
  <c r="I41" i="87"/>
  <c r="P41" i="87"/>
  <c r="I41" i="85"/>
  <c r="P41" i="85"/>
  <c r="I41" i="95"/>
  <c r="P41" i="95"/>
  <c r="I41" i="58"/>
  <c r="P41" i="58"/>
  <c r="T40" i="52"/>
  <c r="X40" i="52"/>
  <c r="T40" i="46"/>
  <c r="X40" i="46"/>
  <c r="AB39" i="56"/>
  <c r="AF39" i="56"/>
  <c r="AF39" i="95"/>
  <c r="AB39" i="95"/>
  <c r="AB39" i="50"/>
  <c r="AF39" i="50"/>
  <c r="AB39" i="81"/>
  <c r="AF39" i="81"/>
  <c r="T40" i="96"/>
  <c r="X40" i="96"/>
  <c r="X40" i="77"/>
  <c r="T40" i="77"/>
  <c r="X40" i="85"/>
  <c r="T40" i="85"/>
  <c r="T40" i="87"/>
  <c r="X40" i="87"/>
  <c r="X40" i="51"/>
  <c r="T40" i="51"/>
  <c r="I41" i="82"/>
  <c r="P41" i="82"/>
  <c r="I41" i="81"/>
  <c r="P41" i="81"/>
  <c r="I41" i="52"/>
  <c r="P41" i="52"/>
  <c r="I41" i="46"/>
  <c r="P41" i="46"/>
  <c r="I41" i="77"/>
  <c r="P41" i="77"/>
  <c r="P41" i="90"/>
  <c r="I41" i="90"/>
  <c r="I41" i="53"/>
  <c r="P41" i="53"/>
  <c r="I41" i="69"/>
  <c r="P41" i="69"/>
  <c r="T40" i="88"/>
  <c r="X40" i="88"/>
  <c r="AF41" i="101" l="1"/>
  <c r="AB41" i="101"/>
  <c r="AM40" i="101"/>
  <c r="AQ40" i="101" s="1"/>
  <c r="AJ40" i="101"/>
  <c r="T14" i="101"/>
  <c r="Y14" i="101"/>
  <c r="Q8" i="101"/>
  <c r="T41" i="99"/>
  <c r="Q14" i="100"/>
  <c r="I14" i="100"/>
  <c r="F8" i="100"/>
  <c r="AM39" i="100"/>
  <c r="AQ39" i="100" s="1"/>
  <c r="AJ39" i="100"/>
  <c r="Q14" i="99"/>
  <c r="Y14" i="99" s="1"/>
  <c r="F8" i="99"/>
  <c r="T41" i="100"/>
  <c r="X41" i="100"/>
  <c r="AB40" i="100"/>
  <c r="AF40" i="100"/>
  <c r="AM40" i="99"/>
  <c r="AQ40" i="99" s="1"/>
  <c r="AJ40" i="99"/>
  <c r="AF41" i="99"/>
  <c r="AB41" i="99"/>
  <c r="AF40" i="88"/>
  <c r="AB40" i="88"/>
  <c r="X41" i="53"/>
  <c r="T41" i="53"/>
  <c r="T41" i="77"/>
  <c r="X41" i="77"/>
  <c r="X41" i="52"/>
  <c r="T41" i="52"/>
  <c r="X41" i="82"/>
  <c r="T41" i="82"/>
  <c r="AF40" i="96"/>
  <c r="AB40" i="96"/>
  <c r="AM39" i="50"/>
  <c r="AQ39" i="50" s="1"/>
  <c r="AJ39" i="50"/>
  <c r="F8" i="48"/>
  <c r="I14" i="48"/>
  <c r="Q14" i="48"/>
  <c r="Q14" i="58"/>
  <c r="F8" i="58"/>
  <c r="I14" i="58"/>
  <c r="Q14" i="88"/>
  <c r="I14" i="88"/>
  <c r="F8" i="88"/>
  <c r="Q14" i="53"/>
  <c r="I14" i="53"/>
  <c r="F8" i="53"/>
  <c r="F8" i="54"/>
  <c r="Q14" i="54"/>
  <c r="I14" i="54"/>
  <c r="F8" i="79"/>
  <c r="Q14" i="79"/>
  <c r="I14" i="79"/>
  <c r="Q14" i="72"/>
  <c r="I14" i="72"/>
  <c r="F8" i="72"/>
  <c r="Q14" i="49"/>
  <c r="I14" i="49"/>
  <c r="F8" i="49"/>
  <c r="T41" i="72"/>
  <c r="X41" i="72"/>
  <c r="AM39" i="82"/>
  <c r="AJ39" i="82"/>
  <c r="AF40" i="72"/>
  <c r="AB40" i="72"/>
  <c r="AF40" i="73"/>
  <c r="AB40" i="73"/>
  <c r="AM39" i="51"/>
  <c r="AQ39" i="51" s="1"/>
  <c r="AJ39" i="51"/>
  <c r="T41" i="51"/>
  <c r="X41" i="51"/>
  <c r="AM39" i="73"/>
  <c r="AQ39" i="73" s="1"/>
  <c r="AJ39" i="73"/>
  <c r="AB40" i="81"/>
  <c r="AF40" i="81"/>
  <c r="AF40" i="47"/>
  <c r="AB40" i="47"/>
  <c r="AB40" i="41"/>
  <c r="AF40" i="41"/>
  <c r="AJ39" i="77"/>
  <c r="AM39" i="77"/>
  <c r="AQ39" i="77" s="1"/>
  <c r="AM39" i="41"/>
  <c r="AJ39" i="41"/>
  <c r="AM39" i="85"/>
  <c r="AQ39" i="85" s="1"/>
  <c r="AJ39" i="85"/>
  <c r="AJ39" i="79"/>
  <c r="AM39" i="79"/>
  <c r="AQ39" i="79" s="1"/>
  <c r="T41" i="79"/>
  <c r="X41" i="79"/>
  <c r="T41" i="54"/>
  <c r="X41" i="54"/>
  <c r="X41" i="50"/>
  <c r="T41" i="50"/>
  <c r="X41" i="83"/>
  <c r="T41" i="83"/>
  <c r="AM39" i="48"/>
  <c r="AQ39" i="48" s="1"/>
  <c r="AJ39" i="48"/>
  <c r="AM39" i="58"/>
  <c r="AQ39" i="58" s="1"/>
  <c r="AJ39" i="58"/>
  <c r="AM39" i="83"/>
  <c r="AQ39" i="83" s="1"/>
  <c r="AJ39" i="83"/>
  <c r="AF40" i="50"/>
  <c r="AB40" i="50"/>
  <c r="AF40" i="83"/>
  <c r="AB40" i="83"/>
  <c r="AJ39" i="45"/>
  <c r="AM39" i="45"/>
  <c r="AQ39" i="45" s="1"/>
  <c r="AB40" i="45"/>
  <c r="AF40" i="45"/>
  <c r="AF40" i="85"/>
  <c r="AB40" i="85"/>
  <c r="AF40" i="46"/>
  <c r="AB40" i="46"/>
  <c r="AB40" i="52"/>
  <c r="AF40" i="52"/>
  <c r="T41" i="95"/>
  <c r="X41" i="95"/>
  <c r="X41" i="87"/>
  <c r="T41" i="87"/>
  <c r="Q14" i="77"/>
  <c r="I14" i="77"/>
  <c r="F8" i="77"/>
  <c r="I14" i="56"/>
  <c r="F8" i="56"/>
  <c r="Q14" i="56"/>
  <c r="F8" i="85"/>
  <c r="Q14" i="85"/>
  <c r="I14" i="85"/>
  <c r="Q14" i="41"/>
  <c r="I14" i="41"/>
  <c r="F8" i="41"/>
  <c r="Q14" i="64"/>
  <c r="I14" i="64"/>
  <c r="F8" i="64"/>
  <c r="Q14" i="52"/>
  <c r="I14" i="52"/>
  <c r="F8" i="52"/>
  <c r="F8" i="90"/>
  <c r="I14" i="90"/>
  <c r="Q14" i="90"/>
  <c r="Q14" i="83"/>
  <c r="F8" i="83"/>
  <c r="I14" i="83"/>
  <c r="AF40" i="90"/>
  <c r="AB40" i="90"/>
  <c r="AJ39" i="84"/>
  <c r="AM39" i="84"/>
  <c r="AQ39" i="84" s="1"/>
  <c r="AJ39" i="88"/>
  <c r="AM39" i="88"/>
  <c r="AQ39" i="88" s="1"/>
  <c r="AF40" i="69"/>
  <c r="AB40" i="69"/>
  <c r="X41" i="96"/>
  <c r="T41" i="96"/>
  <c r="T41" i="45"/>
  <c r="X41" i="45"/>
  <c r="X41" i="48"/>
  <c r="T41" i="48"/>
  <c r="T41" i="49"/>
  <c r="X41" i="49"/>
  <c r="AM39" i="90"/>
  <c r="AJ39" i="90"/>
  <c r="AB40" i="64"/>
  <c r="AF40" i="64"/>
  <c r="AJ39" i="49"/>
  <c r="AM39" i="49"/>
  <c r="AQ39" i="49" s="1"/>
  <c r="AM39" i="69"/>
  <c r="AJ39" i="69"/>
  <c r="T41" i="69"/>
  <c r="X41" i="69"/>
  <c r="T41" i="46"/>
  <c r="X41" i="46"/>
  <c r="T41" i="81"/>
  <c r="X41" i="81"/>
  <c r="AF40" i="87"/>
  <c r="AB40" i="87"/>
  <c r="AJ39" i="81"/>
  <c r="AM39" i="81"/>
  <c r="AQ39" i="81" s="1"/>
  <c r="AJ39" i="95"/>
  <c r="AM39" i="95"/>
  <c r="Q14" i="84"/>
  <c r="F8" i="84"/>
  <c r="I14" i="84"/>
  <c r="Q14" i="45"/>
  <c r="I14" i="45"/>
  <c r="F8" i="45"/>
  <c r="Q14" i="73"/>
  <c r="I14" i="73"/>
  <c r="F8" i="73"/>
  <c r="F8" i="81"/>
  <c r="I14" i="81"/>
  <c r="Q14" i="81"/>
  <c r="B50" i="2"/>
  <c r="F8" i="95"/>
  <c r="Q14" i="95"/>
  <c r="I14" i="95"/>
  <c r="I14" i="82"/>
  <c r="F8" i="82"/>
  <c r="Q14" i="82"/>
  <c r="X41" i="64"/>
  <c r="T41" i="64"/>
  <c r="AF40" i="53"/>
  <c r="AB40" i="53"/>
  <c r="AM39" i="53"/>
  <c r="AQ39" i="53" s="1"/>
  <c r="AJ39" i="53"/>
  <c r="AJ39" i="54"/>
  <c r="AM39" i="54"/>
  <c r="AQ39" i="54" s="1"/>
  <c r="AF40" i="54"/>
  <c r="AB40" i="54"/>
  <c r="AF40" i="49"/>
  <c r="AB40" i="49"/>
  <c r="AF40" i="82"/>
  <c r="AB40" i="82"/>
  <c r="AJ39" i="55"/>
  <c r="AM39" i="55"/>
  <c r="AQ39" i="55" s="1"/>
  <c r="AB40" i="48"/>
  <c r="AF40" i="48"/>
  <c r="X41" i="84"/>
  <c r="T41" i="84"/>
  <c r="T41" i="73"/>
  <c r="X41" i="73"/>
  <c r="T41" i="88"/>
  <c r="X41" i="88"/>
  <c r="T41" i="56"/>
  <c r="X41" i="56"/>
  <c r="AF40" i="58"/>
  <c r="AB40" i="58"/>
  <c r="AM39" i="72"/>
  <c r="AQ39" i="72" s="1"/>
  <c r="AJ39" i="72"/>
  <c r="AJ39" i="52"/>
  <c r="AM39" i="52"/>
  <c r="AQ39" i="52" s="1"/>
  <c r="AB40" i="56"/>
  <c r="AF40" i="56"/>
  <c r="X41" i="90"/>
  <c r="T41" i="90"/>
  <c r="AF40" i="51"/>
  <c r="AB40" i="51"/>
  <c r="AF40" i="77"/>
  <c r="AB40" i="77"/>
  <c r="AM39" i="56"/>
  <c r="AQ39" i="56" s="1"/>
  <c r="AJ39" i="56"/>
  <c r="X41" i="58"/>
  <c r="T41" i="58"/>
  <c r="X41" i="85"/>
  <c r="T41" i="85"/>
  <c r="I14" i="69"/>
  <c r="F8" i="69"/>
  <c r="Q14" i="69"/>
  <c r="F8" i="96"/>
  <c r="Q14" i="96"/>
  <c r="I14" i="96"/>
  <c r="I14" i="46"/>
  <c r="Q14" i="46"/>
  <c r="F8" i="46"/>
  <c r="Q14" i="87"/>
  <c r="F8" i="87"/>
  <c r="F8" i="51"/>
  <c r="I14" i="51"/>
  <c r="Q14" i="51"/>
  <c r="Q14" i="47"/>
  <c r="I14" i="47"/>
  <c r="F8" i="47"/>
  <c r="Q14" i="50"/>
  <c r="I14" i="50"/>
  <c r="F8" i="50"/>
  <c r="I14" i="55"/>
  <c r="F8" i="55"/>
  <c r="Q14" i="55"/>
  <c r="AJ39" i="87"/>
  <c r="AM39" i="87"/>
  <c r="AQ39" i="87" s="1"/>
  <c r="AJ39" i="46"/>
  <c r="AM39" i="46"/>
  <c r="AQ39" i="46" s="1"/>
  <c r="AF40" i="84"/>
  <c r="AB40" i="84"/>
  <c r="AB40" i="95"/>
  <c r="AF40" i="95"/>
  <c r="AF40" i="55"/>
  <c r="AB40" i="55"/>
  <c r="T41" i="55"/>
  <c r="X41" i="55"/>
  <c r="T41" i="41"/>
  <c r="X41" i="41"/>
  <c r="X41" i="47"/>
  <c r="T41" i="47"/>
  <c r="AJ39" i="64"/>
  <c r="AM39" i="64"/>
  <c r="AQ39" i="64" s="1"/>
  <c r="AJ39" i="96"/>
  <c r="AM39" i="96"/>
  <c r="AQ39" i="96" s="1"/>
  <c r="AF40" i="79"/>
  <c r="AB40" i="79"/>
  <c r="AM39" i="47"/>
  <c r="AQ39" i="47" s="1"/>
  <c r="AJ39" i="47"/>
  <c r="AG14" i="101" l="1"/>
  <c r="AB14" i="101"/>
  <c r="Y8" i="101"/>
  <c r="AJ41" i="101"/>
  <c r="AM41" i="101"/>
  <c r="AQ41" i="101" s="1"/>
  <c r="AQ39" i="90"/>
  <c r="Q8" i="99"/>
  <c r="T14" i="99"/>
  <c r="AM40" i="100"/>
  <c r="AQ40" i="100" s="1"/>
  <c r="AJ40" i="100"/>
  <c r="AF41" i="100"/>
  <c r="AB41" i="100"/>
  <c r="T14" i="100"/>
  <c r="Q8" i="100"/>
  <c r="Y14" i="100"/>
  <c r="AQ39" i="95"/>
  <c r="AQ39" i="41"/>
  <c r="AQ39" i="82"/>
  <c r="AQ39" i="69"/>
  <c r="AM41" i="99"/>
  <c r="AQ41" i="99" s="1"/>
  <c r="AJ41" i="99"/>
  <c r="AG14" i="99"/>
  <c r="AB14" i="99"/>
  <c r="Y8" i="99"/>
  <c r="AB41" i="55"/>
  <c r="AF41" i="55"/>
  <c r="AM40" i="95"/>
  <c r="AJ40" i="95"/>
  <c r="T14" i="55"/>
  <c r="Q8" i="55"/>
  <c r="Y14" i="55"/>
  <c r="AG14" i="55" s="1"/>
  <c r="Q8" i="47"/>
  <c r="Y14" i="47"/>
  <c r="AG14" i="47" s="1"/>
  <c r="T14" i="47"/>
  <c r="Q8" i="69"/>
  <c r="T14" i="69"/>
  <c r="Y14" i="69"/>
  <c r="AG14" i="69" s="1"/>
  <c r="AB41" i="85"/>
  <c r="AF41" i="85"/>
  <c r="AM40" i="51"/>
  <c r="AQ40" i="51" s="1"/>
  <c r="AJ40" i="51"/>
  <c r="AM40" i="82"/>
  <c r="AJ40" i="82"/>
  <c r="AM40" i="54"/>
  <c r="AQ40" i="54" s="1"/>
  <c r="AJ40" i="54"/>
  <c r="AB41" i="64"/>
  <c r="AF41" i="64"/>
  <c r="AF41" i="81"/>
  <c r="AB41" i="81"/>
  <c r="AF41" i="69"/>
  <c r="AB41" i="69"/>
  <c r="Y14" i="83"/>
  <c r="AG14" i="83" s="1"/>
  <c r="Q8" i="83"/>
  <c r="T14" i="83"/>
  <c r="Y14" i="41"/>
  <c r="AG14" i="41" s="1"/>
  <c r="T14" i="41"/>
  <c r="Q8" i="41"/>
  <c r="Q8" i="56"/>
  <c r="Y14" i="56"/>
  <c r="AG14" i="56" s="1"/>
  <c r="T14" i="56"/>
  <c r="AF41" i="95"/>
  <c r="AB41" i="95"/>
  <c r="AJ40" i="45"/>
  <c r="AM40" i="45"/>
  <c r="AQ40" i="45" s="1"/>
  <c r="AF41" i="79"/>
  <c r="AB41" i="79"/>
  <c r="AB41" i="72"/>
  <c r="AF41" i="72"/>
  <c r="T14" i="49"/>
  <c r="Y14" i="49"/>
  <c r="AG14" i="49" s="1"/>
  <c r="Q8" i="49"/>
  <c r="T14" i="54"/>
  <c r="Y14" i="54"/>
  <c r="AG14" i="54" s="1"/>
  <c r="Q8" i="54"/>
  <c r="T14" i="53"/>
  <c r="Q8" i="53"/>
  <c r="Y14" i="53"/>
  <c r="AG14" i="53" s="1"/>
  <c r="AF41" i="47"/>
  <c r="AB41" i="47"/>
  <c r="Q8" i="50"/>
  <c r="Y14" i="50"/>
  <c r="AG14" i="50" s="1"/>
  <c r="T14" i="50"/>
  <c r="Y14" i="51"/>
  <c r="AG14" i="51" s="1"/>
  <c r="T14" i="51"/>
  <c r="Q8" i="51"/>
  <c r="Y14" i="87"/>
  <c r="Q8" i="87"/>
  <c r="T14" i="87"/>
  <c r="AF41" i="88"/>
  <c r="AB41" i="88"/>
  <c r="T14" i="82"/>
  <c r="Q8" i="82"/>
  <c r="Y14" i="82"/>
  <c r="AG14" i="82" s="1"/>
  <c r="Y14" i="95"/>
  <c r="T14" i="95"/>
  <c r="Q8" i="95"/>
  <c r="T14" i="84"/>
  <c r="Q8" i="84"/>
  <c r="Y14" i="84"/>
  <c r="AG14" i="84" s="1"/>
  <c r="AB41" i="48"/>
  <c r="AF41" i="48"/>
  <c r="AF41" i="96"/>
  <c r="AB41" i="96"/>
  <c r="AM40" i="90"/>
  <c r="AJ40" i="90"/>
  <c r="Q8" i="90"/>
  <c r="T14" i="90"/>
  <c r="Y14" i="90"/>
  <c r="Q8" i="64"/>
  <c r="T14" i="64"/>
  <c r="Y14" i="64"/>
  <c r="AG14" i="64" s="1"/>
  <c r="Q8" i="77"/>
  <c r="Y14" i="77"/>
  <c r="AG14" i="77" s="1"/>
  <c r="T14" i="77"/>
  <c r="AM40" i="46"/>
  <c r="AQ40" i="46" s="1"/>
  <c r="AJ40" i="46"/>
  <c r="AM40" i="83"/>
  <c r="AQ40" i="83" s="1"/>
  <c r="AJ40" i="83"/>
  <c r="AF41" i="50"/>
  <c r="AB41" i="50"/>
  <c r="AJ40" i="47"/>
  <c r="AM40" i="47"/>
  <c r="AQ40" i="47" s="1"/>
  <c r="AJ40" i="72"/>
  <c r="AM40" i="72"/>
  <c r="AQ40" i="72" s="1"/>
  <c r="Q8" i="79"/>
  <c r="T14" i="79"/>
  <c r="Y14" i="79"/>
  <c r="AG14" i="79" s="1"/>
  <c r="AM40" i="96"/>
  <c r="AQ40" i="96" s="1"/>
  <c r="AJ40" i="96"/>
  <c r="AF41" i="52"/>
  <c r="AB41" i="52"/>
  <c r="AB41" i="53"/>
  <c r="AF41" i="53"/>
  <c r="AF41" i="41"/>
  <c r="AB41" i="41"/>
  <c r="Q8" i="96"/>
  <c r="T14" i="96"/>
  <c r="Y14" i="96"/>
  <c r="AB41" i="58"/>
  <c r="AF41" i="58"/>
  <c r="AM40" i="77"/>
  <c r="AQ40" i="77" s="1"/>
  <c r="AJ40" i="77"/>
  <c r="AF41" i="90"/>
  <c r="AB41" i="90"/>
  <c r="AM40" i="58"/>
  <c r="AQ40" i="58" s="1"/>
  <c r="AJ40" i="58"/>
  <c r="AB41" i="84"/>
  <c r="AF41" i="84"/>
  <c r="AM40" i="49"/>
  <c r="AQ40" i="49" s="1"/>
  <c r="AJ40" i="49"/>
  <c r="AM40" i="53"/>
  <c r="AQ40" i="53" s="1"/>
  <c r="AJ40" i="53"/>
  <c r="B51" i="2"/>
  <c r="Y14" i="81"/>
  <c r="AG14" i="81" s="1"/>
  <c r="Q8" i="81"/>
  <c r="T14" i="81"/>
  <c r="T14" i="45"/>
  <c r="Q8" i="45"/>
  <c r="Y14" i="45"/>
  <c r="AG14" i="45" s="1"/>
  <c r="AF41" i="46"/>
  <c r="AB41" i="46"/>
  <c r="AJ40" i="64"/>
  <c r="AM40" i="64"/>
  <c r="AQ40" i="64" s="1"/>
  <c r="AB41" i="49"/>
  <c r="AF41" i="49"/>
  <c r="AB41" i="45"/>
  <c r="AF41" i="45"/>
  <c r="T14" i="52"/>
  <c r="Q8" i="52"/>
  <c r="Y14" i="52"/>
  <c r="AG14" i="52" s="1"/>
  <c r="Q8" i="85"/>
  <c r="T14" i="85"/>
  <c r="Y14" i="85"/>
  <c r="AG14" i="85" s="1"/>
  <c r="AM40" i="52"/>
  <c r="AQ40" i="52" s="1"/>
  <c r="AJ40" i="52"/>
  <c r="AF41" i="54"/>
  <c r="AB41" i="54"/>
  <c r="AM40" i="41"/>
  <c r="AJ40" i="41"/>
  <c r="AM40" i="81"/>
  <c r="AQ40" i="81" s="1"/>
  <c r="AJ40" i="81"/>
  <c r="AB41" i="51"/>
  <c r="AF41" i="51"/>
  <c r="Y14" i="58"/>
  <c r="AG14" i="58" s="1"/>
  <c r="Q8" i="58"/>
  <c r="T14" i="58"/>
  <c r="AB41" i="77"/>
  <c r="AF41" i="77"/>
  <c r="AJ40" i="79"/>
  <c r="AM40" i="79"/>
  <c r="AQ40" i="79" s="1"/>
  <c r="AM40" i="55"/>
  <c r="AQ40" i="55" s="1"/>
  <c r="AJ40" i="55"/>
  <c r="AM40" i="84"/>
  <c r="AQ40" i="84" s="1"/>
  <c r="AJ40" i="84"/>
  <c r="Y14" i="46"/>
  <c r="AG14" i="46" s="1"/>
  <c r="Q8" i="46"/>
  <c r="T14" i="46"/>
  <c r="AJ40" i="56"/>
  <c r="AM40" i="56"/>
  <c r="AQ40" i="56" s="1"/>
  <c r="AB41" i="56"/>
  <c r="AF41" i="56"/>
  <c r="AB41" i="73"/>
  <c r="AF41" i="73"/>
  <c r="AM40" i="48"/>
  <c r="AQ40" i="48" s="1"/>
  <c r="AJ40" i="48"/>
  <c r="Y14" i="73"/>
  <c r="AG14" i="73" s="1"/>
  <c r="T14" i="73"/>
  <c r="Q8" i="73"/>
  <c r="AM40" i="87"/>
  <c r="AQ40" i="87" s="1"/>
  <c r="AJ40" i="87"/>
  <c r="AM40" i="69"/>
  <c r="AJ40" i="69"/>
  <c r="AF41" i="87"/>
  <c r="AB41" i="87"/>
  <c r="AJ40" i="85"/>
  <c r="AM40" i="85"/>
  <c r="AQ40" i="85" s="1"/>
  <c r="AM40" i="50"/>
  <c r="AQ40" i="50" s="1"/>
  <c r="AJ40" i="50"/>
  <c r="AF41" i="83"/>
  <c r="AB41" i="83"/>
  <c r="AM40" i="73"/>
  <c r="AQ40" i="73" s="1"/>
  <c r="AJ40" i="73"/>
  <c r="T14" i="72"/>
  <c r="Y14" i="72"/>
  <c r="AG14" i="72" s="1"/>
  <c r="Q8" i="72"/>
  <c r="Q8" i="88"/>
  <c r="T14" i="88"/>
  <c r="Y14" i="88"/>
  <c r="AG14" i="88" s="1"/>
  <c r="T14" i="48"/>
  <c r="Q8" i="48"/>
  <c r="Y14" i="48"/>
  <c r="AG14" i="48" s="1"/>
  <c r="AF41" i="82"/>
  <c r="AB41" i="82"/>
  <c r="AM40" i="88"/>
  <c r="AQ40" i="88" s="1"/>
  <c r="AJ40" i="88"/>
  <c r="AN14" i="101" l="1"/>
  <c r="AJ14" i="101"/>
  <c r="AQ40" i="90"/>
  <c r="AG14" i="100"/>
  <c r="AB14" i="100"/>
  <c r="Y8" i="100"/>
  <c r="AM41" i="100"/>
  <c r="AQ41" i="100" s="1"/>
  <c r="AJ41" i="100"/>
  <c r="AQ40" i="95"/>
  <c r="AQ40" i="41"/>
  <c r="AQ40" i="82"/>
  <c r="AQ40" i="69"/>
  <c r="AN14" i="99"/>
  <c r="AJ14" i="99"/>
  <c r="AJ41" i="87"/>
  <c r="AM41" i="87"/>
  <c r="AQ41" i="87" s="1"/>
  <c r="AJ41" i="56"/>
  <c r="AM41" i="56"/>
  <c r="AQ41" i="56" s="1"/>
  <c r="AJ14" i="85"/>
  <c r="AN14" i="85"/>
  <c r="AJ41" i="49"/>
  <c r="AM41" i="49"/>
  <c r="AQ41" i="49" s="1"/>
  <c r="AM41" i="53"/>
  <c r="AQ41" i="53" s="1"/>
  <c r="AJ41" i="53"/>
  <c r="AN14" i="77"/>
  <c r="AJ14" i="77"/>
  <c r="AJ41" i="48"/>
  <c r="AM41" i="48"/>
  <c r="AQ41" i="48" s="1"/>
  <c r="AJ14" i="82"/>
  <c r="AN14" i="82"/>
  <c r="AM41" i="88"/>
  <c r="AQ41" i="88" s="1"/>
  <c r="AJ41" i="88"/>
  <c r="AJ14" i="50"/>
  <c r="AN14" i="50"/>
  <c r="AJ14" i="49"/>
  <c r="AN14" i="49"/>
  <c r="AJ41" i="69"/>
  <c r="AM41" i="69"/>
  <c r="AM41" i="55"/>
  <c r="AQ41" i="55" s="1"/>
  <c r="AJ41" i="55"/>
  <c r="AJ41" i="82"/>
  <c r="AM41" i="82"/>
  <c r="AN14" i="88"/>
  <c r="AJ14" i="88"/>
  <c r="AJ14" i="72"/>
  <c r="AN14" i="72"/>
  <c r="AM41" i="77"/>
  <c r="AQ41" i="77" s="1"/>
  <c r="AJ41" i="77"/>
  <c r="AJ14" i="58"/>
  <c r="AN14" i="58"/>
  <c r="AJ41" i="54"/>
  <c r="AM41" i="54"/>
  <c r="AQ41" i="54" s="1"/>
  <c r="AJ41" i="46"/>
  <c r="AM41" i="46"/>
  <c r="AQ41" i="46" s="1"/>
  <c r="AM41" i="84"/>
  <c r="AQ41" i="84" s="1"/>
  <c r="AJ41" i="84"/>
  <c r="AJ41" i="58"/>
  <c r="AM41" i="58"/>
  <c r="AQ41" i="58" s="1"/>
  <c r="AG14" i="90"/>
  <c r="Y8" i="90"/>
  <c r="AB14" i="90"/>
  <c r="AN14" i="53"/>
  <c r="AJ14" i="53"/>
  <c r="AN14" i="54"/>
  <c r="AJ14" i="54"/>
  <c r="AM41" i="79"/>
  <c r="AQ41" i="79" s="1"/>
  <c r="AJ41" i="79"/>
  <c r="AM41" i="95"/>
  <c r="AJ41" i="95"/>
  <c r="AJ14" i="69"/>
  <c r="AN14" i="69"/>
  <c r="AN14" i="47"/>
  <c r="AJ14" i="47"/>
  <c r="AJ14" i="48"/>
  <c r="AN14" i="48"/>
  <c r="AJ41" i="83"/>
  <c r="AM41" i="83"/>
  <c r="AQ41" i="83" s="1"/>
  <c r="AM41" i="73"/>
  <c r="AQ41" i="73" s="1"/>
  <c r="AJ41" i="73"/>
  <c r="AJ14" i="46"/>
  <c r="AN14" i="46"/>
  <c r="AM41" i="51"/>
  <c r="AQ41" i="51" s="1"/>
  <c r="AJ41" i="51"/>
  <c r="AM41" i="45"/>
  <c r="AQ41" i="45" s="1"/>
  <c r="AJ41" i="45"/>
  <c r="AJ14" i="45"/>
  <c r="AN14" i="45"/>
  <c r="B52" i="2"/>
  <c r="AJ41" i="90"/>
  <c r="AM41" i="90"/>
  <c r="AN14" i="79"/>
  <c r="AJ14" i="79"/>
  <c r="AJ41" i="50"/>
  <c r="AM41" i="50"/>
  <c r="AQ41" i="50" s="1"/>
  <c r="AN14" i="64"/>
  <c r="AJ14" i="64"/>
  <c r="AJ14" i="84"/>
  <c r="AN14" i="84"/>
  <c r="AN14" i="51"/>
  <c r="AJ14" i="51"/>
  <c r="AJ41" i="72"/>
  <c r="AM41" i="72"/>
  <c r="AQ41" i="72" s="1"/>
  <c r="AN14" i="83"/>
  <c r="AJ14" i="83"/>
  <c r="AM41" i="81"/>
  <c r="AQ41" i="81" s="1"/>
  <c r="AJ41" i="81"/>
  <c r="AN14" i="73"/>
  <c r="AJ14" i="73"/>
  <c r="AN14" i="52"/>
  <c r="AJ14" i="52"/>
  <c r="AN14" i="81"/>
  <c r="AJ14" i="81"/>
  <c r="Y8" i="96"/>
  <c r="AG14" i="96"/>
  <c r="AB14" i="96"/>
  <c r="AM41" i="41"/>
  <c r="AJ41" i="41"/>
  <c r="AM41" i="52"/>
  <c r="AQ41" i="52" s="1"/>
  <c r="AJ41" i="52"/>
  <c r="AJ41" i="96"/>
  <c r="AM41" i="96"/>
  <c r="AQ41" i="96" s="1"/>
  <c r="AB14" i="95"/>
  <c r="Y8" i="95"/>
  <c r="AG14" i="95"/>
  <c r="AB14" i="87"/>
  <c r="AG14" i="87"/>
  <c r="Y8" i="87"/>
  <c r="AJ41" i="47"/>
  <c r="AM41" i="47"/>
  <c r="AQ41" i="47" s="1"/>
  <c r="AN14" i="56"/>
  <c r="AJ14" i="56"/>
  <c r="AN14" i="41"/>
  <c r="AJ14" i="41"/>
  <c r="AJ41" i="64"/>
  <c r="AM41" i="64"/>
  <c r="AQ41" i="64" s="1"/>
  <c r="AJ41" i="85"/>
  <c r="AM41" i="85"/>
  <c r="AQ41" i="85" s="1"/>
  <c r="AJ14" i="55"/>
  <c r="AN14" i="55"/>
  <c r="AN8" i="101" l="1"/>
  <c r="AQ14" i="101"/>
  <c r="AQ41" i="90"/>
  <c r="AN14" i="100"/>
  <c r="AJ14" i="100"/>
  <c r="AQ41" i="95"/>
  <c r="AQ41" i="41"/>
  <c r="AQ41" i="82"/>
  <c r="AQ41" i="69"/>
  <c r="AN8" i="99"/>
  <c r="AQ14" i="99"/>
  <c r="AQ14" i="56"/>
  <c r="AN8" i="56"/>
  <c r="AN14" i="87"/>
  <c r="AJ14" i="87"/>
  <c r="AQ14" i="84"/>
  <c r="AN8" i="84"/>
  <c r="AQ14" i="45"/>
  <c r="AN8" i="45"/>
  <c r="AQ14" i="69"/>
  <c r="AN8" i="69"/>
  <c r="AN14" i="90"/>
  <c r="AJ14" i="90"/>
  <c r="AQ14" i="88"/>
  <c r="AN8" i="88"/>
  <c r="AQ14" i="55"/>
  <c r="AN8" i="55"/>
  <c r="AJ14" i="96"/>
  <c r="AN14" i="96"/>
  <c r="AQ14" i="52"/>
  <c r="AN8" i="52"/>
  <c r="AQ14" i="73"/>
  <c r="AN8" i="73"/>
  <c r="AQ14" i="53"/>
  <c r="AN8" i="53"/>
  <c r="AQ14" i="72"/>
  <c r="AN8" i="72"/>
  <c r="AN8" i="50"/>
  <c r="AQ14" i="50"/>
  <c r="AQ14" i="82"/>
  <c r="AN8" i="82"/>
  <c r="AQ14" i="85"/>
  <c r="AN8" i="85"/>
  <c r="AQ14" i="41"/>
  <c r="AN8" i="41"/>
  <c r="AN14" i="95"/>
  <c r="AJ14" i="95"/>
  <c r="B53" i="2"/>
  <c r="AQ14" i="46"/>
  <c r="AN8" i="46"/>
  <c r="AQ14" i="48"/>
  <c r="AN8" i="48"/>
  <c r="AQ14" i="77"/>
  <c r="AN8" i="77"/>
  <c r="AN8" i="81"/>
  <c r="AQ14" i="81"/>
  <c r="AQ14" i="83"/>
  <c r="AN8" i="83"/>
  <c r="AQ14" i="51"/>
  <c r="AN8" i="51"/>
  <c r="AQ14" i="64"/>
  <c r="AN8" i="64"/>
  <c r="AQ14" i="79"/>
  <c r="AN8" i="79"/>
  <c r="AN8" i="47"/>
  <c r="AQ14" i="47"/>
  <c r="AQ14" i="54"/>
  <c r="AN8" i="54"/>
  <c r="AQ14" i="58"/>
  <c r="AN8" i="58"/>
  <c r="AQ14" i="49"/>
  <c r="AN8" i="49"/>
  <c r="AN8" i="100" l="1"/>
  <c r="AQ14" i="100"/>
  <c r="AQ14" i="95"/>
  <c r="AN8" i="95"/>
  <c r="B54" i="2"/>
  <c r="AQ14" i="96"/>
  <c r="AN8" i="96"/>
  <c r="AQ14" i="90"/>
  <c r="AN8" i="90"/>
  <c r="AN8" i="87"/>
  <c r="AQ14" i="87"/>
  <c r="B55" i="2" l="1"/>
  <c r="B56" i="2" l="1"/>
  <c r="B57" i="2" l="1"/>
  <c r="B58" i="2" s="1"/>
  <c r="B59" i="2" l="1"/>
  <c r="B60" i="2" l="1"/>
  <c r="B61" i="2" l="1"/>
  <c r="B62" i="2" l="1"/>
  <c r="B63" i="2" s="1"/>
  <c r="B64" i="2" l="1"/>
  <c r="B65" i="2" s="1"/>
  <c r="B66" i="2" s="1"/>
  <c r="B67" i="2" s="1"/>
  <c r="B68" i="2" s="1"/>
  <c r="B69" i="2" s="1"/>
  <c r="B70" i="2" s="1"/>
  <c r="B71" i="2" s="1"/>
  <c r="B72" i="2" s="1"/>
  <c r="B73" i="2" s="1"/>
  <c r="B74" i="2" s="1"/>
  <c r="B75" i="2" s="1"/>
  <c r="B76" i="2" s="1"/>
  <c r="B77" i="2" s="1"/>
  <c r="B78" i="2" s="1"/>
  <c r="B79" i="2" s="1"/>
  <c r="B80" i="2" s="1"/>
  <c r="B81" i="2" s="1"/>
  <c r="B82" i="2" s="1"/>
  <c r="K17" i="41" l="1"/>
  <c r="BB9" i="70"/>
  <c r="BN9" i="70"/>
  <c r="K17" i="56"/>
  <c r="BZ9" i="70"/>
  <c r="K17" i="85"/>
  <c r="K17" i="53"/>
  <c r="BE9" i="70"/>
  <c r="K17" i="49"/>
  <c r="BI9" i="70"/>
  <c r="K17" i="55"/>
  <c r="BM9" i="70"/>
  <c r="BQ9" i="70"/>
  <c r="K17" i="69"/>
  <c r="BU9" i="70"/>
  <c r="K17" i="79"/>
  <c r="BY9" i="70"/>
  <c r="K17" i="84"/>
  <c r="CC9" i="70"/>
  <c r="K17" i="90"/>
  <c r="BF9" i="70"/>
  <c r="K17" i="52"/>
  <c r="K17" i="72"/>
  <c r="BR9" i="70"/>
  <c r="BC9" i="70"/>
  <c r="K17" i="45"/>
  <c r="BG9" i="70"/>
  <c r="K17" i="51"/>
  <c r="K17" i="47"/>
  <c r="BK9" i="70"/>
  <c r="BO9" i="70"/>
  <c r="K17" i="58"/>
  <c r="BS9" i="70"/>
  <c r="K17" i="73"/>
  <c r="K17" i="82"/>
  <c r="BW9" i="70"/>
  <c r="CA9" i="70"/>
  <c r="K17" i="87"/>
  <c r="K17" i="48"/>
  <c r="BJ9" i="70"/>
  <c r="K17" i="81"/>
  <c r="BV9" i="70"/>
  <c r="BD9" i="70"/>
  <c r="K17" i="54"/>
  <c r="K17" i="50"/>
  <c r="BH9" i="70"/>
  <c r="K17" i="46"/>
  <c r="BL9" i="70"/>
  <c r="K17" i="64"/>
  <c r="BP9" i="70"/>
  <c r="K17" i="77"/>
  <c r="BT9" i="70"/>
  <c r="K17" i="83"/>
  <c r="BX9" i="70"/>
  <c r="K17" i="88"/>
  <c r="CB9" i="70"/>
  <c r="K17" i="96" l="1"/>
  <c r="K17" i="95"/>
  <c r="CD9" i="70"/>
  <c r="AH102" i="2" l="1"/>
  <c r="G8" i="44" l="1"/>
  <c r="I8" i="44"/>
  <c r="O8" i="44" l="1"/>
  <c r="Y8" i="44"/>
  <c r="K12" i="52"/>
  <c r="BF8" i="70"/>
  <c r="I76" i="44"/>
  <c r="U8" i="44"/>
  <c r="Q8" i="44"/>
  <c r="V8" i="44"/>
  <c r="W8" i="44"/>
  <c r="H8" i="44"/>
  <c r="F8" i="44"/>
  <c r="G76" i="44"/>
  <c r="K12" i="54"/>
  <c r="BD8" i="70"/>
  <c r="J8" i="44"/>
  <c r="M8" i="44"/>
  <c r="R8" i="44"/>
  <c r="N8" i="44"/>
  <c r="T8" i="44" l="1"/>
  <c r="BG8" i="70"/>
  <c r="J76" i="44"/>
  <c r="K12" i="51"/>
  <c r="S8" i="44"/>
  <c r="K12" i="53"/>
  <c r="H76" i="44"/>
  <c r="BE8" i="70"/>
  <c r="K12" i="73"/>
  <c r="BS8" i="70"/>
  <c r="V76" i="44"/>
  <c r="J759" i="97"/>
  <c r="I103" i="44"/>
  <c r="P8" i="44"/>
  <c r="BJ8" i="70"/>
  <c r="M76" i="44"/>
  <c r="K12" i="48"/>
  <c r="BT8" i="70"/>
  <c r="K12" i="77"/>
  <c r="W76" i="44"/>
  <c r="K12" i="56"/>
  <c r="Q76" i="44"/>
  <c r="BN8" i="70"/>
  <c r="K8" i="44"/>
  <c r="X8" i="44"/>
  <c r="Y76" i="44"/>
  <c r="BV8" i="70"/>
  <c r="K12" i="81"/>
  <c r="K12" i="72"/>
  <c r="BR8" i="70"/>
  <c r="U76" i="44"/>
  <c r="L8" i="44"/>
  <c r="R76" i="44"/>
  <c r="BO8" i="70"/>
  <c r="K12" i="58"/>
  <c r="H759" i="97"/>
  <c r="G103" i="44"/>
  <c r="O76" i="44"/>
  <c r="BL8" i="70"/>
  <c r="K12" i="46"/>
  <c r="E8" i="44"/>
  <c r="Z8" i="44"/>
  <c r="K12" i="47"/>
  <c r="N76" i="44"/>
  <c r="BK8" i="70"/>
  <c r="K12" i="45"/>
  <c r="BC8" i="70"/>
  <c r="F76" i="44"/>
  <c r="K12" i="41" l="1"/>
  <c r="BB8" i="70"/>
  <c r="E76" i="44"/>
  <c r="R759" i="97"/>
  <c r="Q103" i="44"/>
  <c r="K759" i="97"/>
  <c r="J103" i="44"/>
  <c r="K76" i="44"/>
  <c r="BH8" i="70"/>
  <c r="K12" i="50"/>
  <c r="M103" i="44"/>
  <c r="N759" i="97"/>
  <c r="Y103" i="44"/>
  <c r="Z759" i="97"/>
  <c r="AA8" i="44"/>
  <c r="I759" i="97"/>
  <c r="H103" i="44"/>
  <c r="BP8" i="70"/>
  <c r="K12" i="64"/>
  <c r="S76" i="44"/>
  <c r="S759" i="97"/>
  <c r="R103" i="44"/>
  <c r="X759" i="97"/>
  <c r="W103" i="44"/>
  <c r="O759" i="97"/>
  <c r="N103" i="44"/>
  <c r="BI8" i="70"/>
  <c r="K12" i="49"/>
  <c r="L76" i="44"/>
  <c r="BM8" i="70"/>
  <c r="P76" i="44"/>
  <c r="K12" i="55"/>
  <c r="W759" i="97"/>
  <c r="V103" i="44"/>
  <c r="G759" i="97"/>
  <c r="F103" i="44"/>
  <c r="K12" i="82"/>
  <c r="Z76" i="44"/>
  <c r="BW8" i="70"/>
  <c r="O103" i="44"/>
  <c r="P759" i="97"/>
  <c r="V759" i="97"/>
  <c r="U103" i="44"/>
  <c r="K12" i="69"/>
  <c r="BQ8" i="70"/>
  <c r="T76" i="44"/>
  <c r="X76" i="44"/>
  <c r="BU8" i="70"/>
  <c r="K12" i="79"/>
  <c r="Y759" i="97" l="1"/>
  <c r="X103" i="44"/>
  <c r="T103" i="44"/>
  <c r="U759" i="97"/>
  <c r="P103" i="44"/>
  <c r="Q759" i="97"/>
  <c r="L103" i="44"/>
  <c r="M759" i="97"/>
  <c r="T759" i="97"/>
  <c r="S103" i="44"/>
  <c r="K12" i="83"/>
  <c r="AA76" i="44"/>
  <c r="BX8" i="70"/>
  <c r="AB8" i="44"/>
  <c r="L759" i="97"/>
  <c r="K103" i="44"/>
  <c r="AA759" i="97"/>
  <c r="Z103" i="44"/>
  <c r="F759" i="97"/>
  <c r="E103" i="44"/>
  <c r="AB76" i="44" l="1"/>
  <c r="BY8" i="70"/>
  <c r="K12" i="84"/>
  <c r="AB759" i="97"/>
  <c r="AA103" i="44"/>
  <c r="AC8" i="44"/>
  <c r="AD8" i="44" l="1"/>
  <c r="AC759" i="97"/>
  <c r="AB103" i="44"/>
  <c r="AC76" i="44"/>
  <c r="BZ8" i="70"/>
  <c r="K12" i="85"/>
  <c r="AH8" i="44" l="1"/>
  <c r="AD76" i="44"/>
  <c r="K12" i="87"/>
  <c r="CA8" i="70"/>
  <c r="AE8" i="44"/>
  <c r="AC103" i="44"/>
  <c r="AD759" i="97"/>
  <c r="AF8" i="44" l="1"/>
  <c r="AD103" i="44"/>
  <c r="AE759" i="97"/>
  <c r="CE8" i="70"/>
  <c r="K12" i="96"/>
  <c r="AH76" i="44"/>
  <c r="AE76" i="44"/>
  <c r="CB8" i="70"/>
  <c r="K12" i="88"/>
  <c r="AE103" i="44" l="1"/>
  <c r="AF759" i="97"/>
  <c r="AF76" i="44"/>
  <c r="CC8" i="70"/>
  <c r="K12" i="90"/>
  <c r="AG8" i="44"/>
  <c r="AI8" i="44"/>
  <c r="CF8" i="70" s="1"/>
  <c r="AI759" i="97"/>
  <c r="AH103" i="44"/>
  <c r="AG76" i="44" l="1"/>
  <c r="K12" i="95"/>
  <c r="CD8" i="70"/>
  <c r="AI76" i="44"/>
  <c r="K12" i="99"/>
  <c r="AF103" i="44"/>
  <c r="AG759" i="97"/>
  <c r="AI103" i="44" l="1"/>
  <c r="AJ759" i="97"/>
  <c r="AG103" i="44"/>
  <c r="AH759" i="97"/>
  <c r="N102" i="2" l="1"/>
  <c r="R102" i="2"/>
  <c r="AD102" i="2"/>
  <c r="AI102" i="2"/>
  <c r="X102" i="2"/>
  <c r="AB102" i="2"/>
  <c r="Q102" i="2"/>
  <c r="AG102" i="2"/>
  <c r="AA102" i="2" l="1"/>
  <c r="M102" i="2"/>
  <c r="AF102" i="2"/>
  <c r="E102" i="2"/>
  <c r="T102" i="2"/>
  <c r="K102" i="2"/>
  <c r="U102" i="2"/>
  <c r="O102" i="2"/>
  <c r="H102" i="2"/>
  <c r="V102" i="2"/>
  <c r="S102" i="2"/>
  <c r="G102" i="2"/>
  <c r="F102" i="2"/>
  <c r="I102" i="2"/>
  <c r="Y102" i="2"/>
  <c r="W102" i="2"/>
  <c r="Z102" i="2"/>
  <c r="P102" i="2"/>
  <c r="J102" i="2"/>
  <c r="L102" i="2"/>
  <c r="AC102" i="2"/>
  <c r="AE102" i="2"/>
  <c r="AH123" i="2" l="1"/>
  <c r="AH103" i="2" l="1"/>
  <c r="AW106" i="70" s="1"/>
  <c r="AH96" i="2"/>
  <c r="AH106" i="70" l="1"/>
  <c r="AF123" i="2"/>
  <c r="AE123" i="2"/>
  <c r="AD123" i="2"/>
  <c r="AC123" i="2"/>
  <c r="W123" i="2"/>
  <c r="F123" i="2"/>
  <c r="G123" i="2"/>
  <c r="H123" i="2"/>
  <c r="I123" i="2"/>
  <c r="J123" i="2"/>
  <c r="K123" i="2"/>
  <c r="L123" i="2"/>
  <c r="M123" i="2"/>
  <c r="N123" i="2"/>
  <c r="O123" i="2"/>
  <c r="P123" i="2"/>
  <c r="Q123" i="2"/>
  <c r="R123" i="2"/>
  <c r="S123" i="2"/>
  <c r="T123" i="2"/>
  <c r="U123" i="2"/>
  <c r="V123" i="2"/>
  <c r="E123" i="2"/>
  <c r="X123" i="2"/>
  <c r="Y123" i="2"/>
  <c r="Z123" i="2"/>
  <c r="AA123" i="2"/>
  <c r="AB123" i="2"/>
  <c r="AG123" i="2"/>
  <c r="Z96" i="2" l="1"/>
  <c r="K96" i="2"/>
  <c r="W96" i="2"/>
  <c r="R96" i="2"/>
  <c r="I96" i="2"/>
  <c r="AC96" i="2"/>
  <c r="T96" i="2"/>
  <c r="Y96" i="2"/>
  <c r="X96" i="2"/>
  <c r="Q96" i="2"/>
  <c r="H96" i="2"/>
  <c r="G96" i="2"/>
  <c r="AD96" i="2"/>
  <c r="AB96" i="2"/>
  <c r="O96" i="2"/>
  <c r="F96" i="2"/>
  <c r="L96" i="2"/>
  <c r="AE96" i="2"/>
  <c r="E96" i="2"/>
  <c r="V96" i="2"/>
  <c r="N96" i="2"/>
  <c r="S96" i="2"/>
  <c r="P96" i="2"/>
  <c r="AA96" i="2"/>
  <c r="U96" i="2"/>
  <c r="M96" i="2"/>
  <c r="AI123" i="2"/>
  <c r="AF96" i="2" l="1"/>
  <c r="AG96" i="2"/>
  <c r="J96" i="2"/>
  <c r="AI96" i="2"/>
  <c r="AH91" i="2" l="1"/>
  <c r="W91" i="2" l="1"/>
  <c r="S91" i="2"/>
  <c r="O91" i="2"/>
  <c r="K91" i="2"/>
  <c r="G91" i="2"/>
  <c r="AB91" i="2"/>
  <c r="V91" i="2"/>
  <c r="R91" i="2"/>
  <c r="N91" i="2"/>
  <c r="J91" i="2"/>
  <c r="F91" i="2"/>
  <c r="AA91" i="2"/>
  <c r="Y91" i="2"/>
  <c r="U91" i="2"/>
  <c r="Q91" i="2"/>
  <c r="I91" i="2"/>
  <c r="Z91" i="2"/>
  <c r="X91" i="2"/>
  <c r="T91" i="2"/>
  <c r="P91" i="2"/>
  <c r="L91" i="2"/>
  <c r="H91" i="2"/>
  <c r="M91" i="2"/>
  <c r="AC91" i="2" l="1"/>
  <c r="AI91" i="2"/>
  <c r="AE91" i="2"/>
  <c r="AD91" i="2"/>
  <c r="AG91" i="2" l="1"/>
  <c r="E91" i="2"/>
  <c r="AF91" i="2" l="1"/>
  <c r="I103" i="2" l="1"/>
  <c r="I106" i="70" s="1"/>
  <c r="J103" i="2"/>
  <c r="J106" i="70" s="1"/>
  <c r="R103" i="2"/>
  <c r="R106" i="70" s="1"/>
  <c r="Z103" i="2"/>
  <c r="Z106" i="70" s="1"/>
  <c r="AI103" i="2"/>
  <c r="AX106" i="70" s="1"/>
  <c r="H103" i="2"/>
  <c r="H106" i="70" s="1"/>
  <c r="K103" i="2"/>
  <c r="K106" i="70" s="1"/>
  <c r="S103" i="2"/>
  <c r="S106" i="70" s="1"/>
  <c r="AA103" i="2"/>
  <c r="AP106" i="70" s="1"/>
  <c r="AB103" i="2"/>
  <c r="AQ106" i="70" s="1"/>
  <c r="E106" i="70"/>
  <c r="M103" i="2"/>
  <c r="M106" i="70" s="1"/>
  <c r="U103" i="2"/>
  <c r="U106" i="70" s="1"/>
  <c r="AC103" i="2"/>
  <c r="AC106" i="70" s="1"/>
  <c r="F103" i="2"/>
  <c r="F106" i="70" s="1"/>
  <c r="N103" i="2"/>
  <c r="N106" i="70" s="1"/>
  <c r="V103" i="2"/>
  <c r="AK106" i="70" s="1"/>
  <c r="AD103" i="2"/>
  <c r="AS106" i="70" s="1"/>
  <c r="G103" i="2"/>
  <c r="G106" i="70" s="1"/>
  <c r="O103" i="2"/>
  <c r="O106" i="70" s="1"/>
  <c r="W103" i="2"/>
  <c r="AL106" i="70" s="1"/>
  <c r="AE103" i="2"/>
  <c r="AE106" i="70" s="1"/>
  <c r="L103" i="2"/>
  <c r="L106" i="70" s="1"/>
  <c r="P103" i="2"/>
  <c r="X103" i="2"/>
  <c r="AM106" i="70" s="1"/>
  <c r="AF103" i="2"/>
  <c r="AF106" i="70" s="1"/>
  <c r="T103" i="2"/>
  <c r="T106" i="70" s="1"/>
  <c r="Q103" i="2"/>
  <c r="Q106" i="70" s="1"/>
  <c r="Y103" i="2"/>
  <c r="Y106" i="70" s="1"/>
  <c r="AG103" i="2"/>
  <c r="AV106" i="70" s="1"/>
  <c r="AD106" i="70" l="1"/>
  <c r="AU106" i="70"/>
  <c r="W106" i="70"/>
  <c r="AN106" i="70"/>
  <c r="AO106" i="70"/>
  <c r="AB106" i="70"/>
  <c r="AR106" i="70"/>
  <c r="AA106" i="70"/>
  <c r="X106" i="70"/>
  <c r="V106" i="70"/>
  <c r="AI106" i="70"/>
  <c r="AT106" i="70"/>
  <c r="AG106" i="70"/>
  <c r="P106" i="70"/>
  <c r="AK34" i="32" l="1"/>
  <c r="AG5" i="71" l="1"/>
  <c r="AG60" i="71"/>
  <c r="AL82" i="70" l="1"/>
  <c r="W82" i="70"/>
  <c r="U11" i="13"/>
  <c r="Q11" i="13"/>
  <c r="S82" i="70"/>
  <c r="K11" i="13"/>
  <c r="K13" i="13" s="1"/>
  <c r="M82" i="70"/>
  <c r="V82" i="70"/>
  <c r="AK82" i="70"/>
  <c r="T11" i="13"/>
  <c r="L82" i="70"/>
  <c r="J11" i="13"/>
  <c r="J13" i="13" s="1"/>
  <c r="U82" i="70"/>
  <c r="S11" i="13"/>
  <c r="X82" i="70"/>
  <c r="AM82" i="70"/>
  <c r="V11" i="13"/>
  <c r="N82" i="70"/>
  <c r="L11" i="13"/>
  <c r="L13" i="13" s="1"/>
  <c r="Q82" i="70"/>
  <c r="O11" i="13"/>
  <c r="I11" i="13"/>
  <c r="I13" i="13" s="1"/>
  <c r="K82" i="70"/>
  <c r="R82" i="70"/>
  <c r="P11" i="13"/>
  <c r="R11" i="13"/>
  <c r="T82" i="70"/>
  <c r="M11" i="13"/>
  <c r="M13" i="13" s="1"/>
  <c r="O82" i="70"/>
  <c r="N11" i="13"/>
  <c r="N13" i="13" s="1"/>
  <c r="P82" i="70"/>
  <c r="I27" i="13" l="1"/>
  <c r="I24" i="13"/>
  <c r="I25" i="13"/>
  <c r="I26" i="13"/>
  <c r="D11" i="13"/>
  <c r="D13" i="13" s="1"/>
  <c r="F82" i="70"/>
  <c r="F11" i="13"/>
  <c r="F13" i="13" s="1"/>
  <c r="H82" i="70"/>
  <c r="U13" i="13"/>
  <c r="I91" i="13"/>
  <c r="N27" i="13"/>
  <c r="N26" i="13"/>
  <c r="N25" i="13"/>
  <c r="N18" i="13"/>
  <c r="N19" i="13" s="1"/>
  <c r="N24" i="13"/>
  <c r="O13" i="13"/>
  <c r="L27" i="13"/>
  <c r="L24" i="13"/>
  <c r="L25" i="13"/>
  <c r="L26" i="13"/>
  <c r="L18" i="13"/>
  <c r="L19" i="13" s="1"/>
  <c r="J27" i="13"/>
  <c r="J18" i="13"/>
  <c r="J19" i="13" s="1"/>
  <c r="J24" i="13"/>
  <c r="J26" i="13"/>
  <c r="J25" i="13"/>
  <c r="M27" i="13"/>
  <c r="M18" i="13"/>
  <c r="M19" i="13" s="1"/>
  <c r="M26" i="13"/>
  <c r="M24" i="13"/>
  <c r="M25" i="13"/>
  <c r="I82" i="70"/>
  <c r="G11" i="13"/>
  <c r="C11" i="13"/>
  <c r="C91" i="13" s="1"/>
  <c r="E82" i="70"/>
  <c r="J91" i="13"/>
  <c r="V13" i="13"/>
  <c r="R13" i="13"/>
  <c r="J82" i="70"/>
  <c r="H11" i="13"/>
  <c r="H13" i="13" s="1"/>
  <c r="T13" i="13"/>
  <c r="H91" i="13"/>
  <c r="K27" i="13"/>
  <c r="K24" i="13"/>
  <c r="K26" i="13"/>
  <c r="K25" i="13"/>
  <c r="K18" i="13"/>
  <c r="K19" i="13" s="1"/>
  <c r="E91" i="13"/>
  <c r="P13" i="13"/>
  <c r="G82" i="70"/>
  <c r="E11" i="13"/>
  <c r="E13" i="13" s="1"/>
  <c r="G91" i="13"/>
  <c r="S13" i="13"/>
  <c r="Q13" i="13"/>
  <c r="F91" i="13"/>
  <c r="V27" i="13" l="1"/>
  <c r="T27" i="13"/>
  <c r="U27" i="13"/>
  <c r="P27" i="13"/>
  <c r="I18" i="13"/>
  <c r="I19" i="13" s="1"/>
  <c r="O27" i="13"/>
  <c r="R27" i="13"/>
  <c r="T26" i="13"/>
  <c r="T18" i="13"/>
  <c r="T19" i="13" s="1"/>
  <c r="T25" i="13"/>
  <c r="T24" i="13"/>
  <c r="V26" i="13"/>
  <c r="V24" i="13"/>
  <c r="V25" i="13"/>
  <c r="V18" i="13"/>
  <c r="V19" i="13" s="1"/>
  <c r="S27" i="13"/>
  <c r="S18" i="13"/>
  <c r="S19" i="13" s="1"/>
  <c r="S26" i="13"/>
  <c r="S25" i="13"/>
  <c r="S24" i="13"/>
  <c r="E27" i="13"/>
  <c r="E25" i="13"/>
  <c r="E18" i="13"/>
  <c r="E19" i="13" s="1"/>
  <c r="E26" i="13"/>
  <c r="E24" i="13"/>
  <c r="K29" i="13"/>
  <c r="H27" i="13"/>
  <c r="H24" i="13"/>
  <c r="H26" i="13"/>
  <c r="H25" i="13"/>
  <c r="G13" i="13"/>
  <c r="L29" i="13"/>
  <c r="I29" i="13"/>
  <c r="C13" i="13"/>
  <c r="U25" i="13"/>
  <c r="U24" i="13"/>
  <c r="U26" i="13"/>
  <c r="U18" i="13"/>
  <c r="U19" i="13" s="1"/>
  <c r="P18" i="13"/>
  <c r="P19" i="13" s="1"/>
  <c r="P24" i="13"/>
  <c r="P26" i="13"/>
  <c r="P25" i="13"/>
  <c r="J29" i="13"/>
  <c r="F27" i="13"/>
  <c r="F25" i="13"/>
  <c r="F18" i="13"/>
  <c r="F19" i="13" s="1"/>
  <c r="F26" i="13"/>
  <c r="F24" i="13"/>
  <c r="N29" i="13"/>
  <c r="M29" i="13"/>
  <c r="D27" i="13"/>
  <c r="D25" i="13"/>
  <c r="D26" i="13"/>
  <c r="D24" i="13"/>
  <c r="Q27" i="13"/>
  <c r="Q24" i="13"/>
  <c r="Q25" i="13"/>
  <c r="Q26" i="13"/>
  <c r="Q18" i="13"/>
  <c r="Q19" i="13" s="1"/>
  <c r="R18" i="13"/>
  <c r="R19" i="13" s="1"/>
  <c r="R26" i="13"/>
  <c r="R25" i="13"/>
  <c r="R24" i="13"/>
  <c r="O24" i="13"/>
  <c r="O25" i="13"/>
  <c r="O26" i="13"/>
  <c r="O18" i="13"/>
  <c r="O19" i="13" s="1"/>
  <c r="C27" i="13" l="1"/>
  <c r="D18" i="13"/>
  <c r="D19" i="13" s="1"/>
  <c r="G25" i="13"/>
  <c r="G26" i="13"/>
  <c r="G24" i="13"/>
  <c r="G18" i="13"/>
  <c r="G19" i="13" s="1"/>
  <c r="E29" i="13"/>
  <c r="O29" i="13"/>
  <c r="R29" i="13"/>
  <c r="P29" i="13"/>
  <c r="T29" i="13"/>
  <c r="F29" i="13"/>
  <c r="H29" i="13"/>
  <c r="Q29" i="13"/>
  <c r="H18" i="13"/>
  <c r="H19" i="13" s="1"/>
  <c r="U29" i="13"/>
  <c r="C24" i="13"/>
  <c r="C26" i="13"/>
  <c r="C25" i="13"/>
  <c r="S29" i="13"/>
  <c r="D29" i="13"/>
  <c r="G27" i="13"/>
  <c r="V29" i="13"/>
  <c r="C29" i="13" l="1"/>
  <c r="G29" i="13"/>
  <c r="U25" i="100" l="1"/>
  <c r="AA25" i="100" l="1"/>
  <c r="AA18" i="100" l="1"/>
  <c r="AA43" i="100" s="1"/>
  <c r="AI25" i="100"/>
  <c r="U25" i="99"/>
  <c r="U25" i="81"/>
  <c r="AA25" i="81" l="1"/>
  <c r="AA25" i="99"/>
  <c r="AP25" i="100"/>
  <c r="AI18" i="100"/>
  <c r="U25" i="82"/>
  <c r="U25" i="83"/>
  <c r="U25" i="88"/>
  <c r="U25" i="85"/>
  <c r="U25" i="96"/>
  <c r="U25" i="95"/>
  <c r="U25" i="90"/>
  <c r="U25" i="84"/>
  <c r="U25" i="87"/>
  <c r="AA25" i="84" l="1"/>
  <c r="AA25" i="85"/>
  <c r="AA25" i="88"/>
  <c r="AA25" i="90"/>
  <c r="AH78" i="10"/>
  <c r="AP18" i="100"/>
  <c r="AP43" i="100" s="1"/>
  <c r="AI43" i="100"/>
  <c r="AA25" i="95"/>
  <c r="AA25" i="83"/>
  <c r="AA25" i="87"/>
  <c r="AI25" i="99"/>
  <c r="AA18" i="99"/>
  <c r="AA43" i="99" s="1"/>
  <c r="AA25" i="96"/>
  <c r="AA25" i="82"/>
  <c r="AA18" i="81"/>
  <c r="AA43" i="81" s="1"/>
  <c r="AI25" i="81"/>
  <c r="AI27" i="10" l="1"/>
  <c r="AJ78" i="10"/>
  <c r="AI25" i="90"/>
  <c r="AA18" i="90"/>
  <c r="AA43" i="90" s="1"/>
  <c r="AI25" i="83"/>
  <c r="AA18" i="83"/>
  <c r="AA43" i="83" s="1"/>
  <c r="AA18" i="88"/>
  <c r="AA43" i="88" s="1"/>
  <c r="AI25" i="88"/>
  <c r="AI18" i="81"/>
  <c r="AP25" i="81"/>
  <c r="AI25" i="96"/>
  <c r="AA18" i="96"/>
  <c r="AA43" i="96" s="1"/>
  <c r="AA18" i="95"/>
  <c r="AA43" i="95" s="1"/>
  <c r="AI25" i="95"/>
  <c r="AI25" i="87"/>
  <c r="AA18" i="87"/>
  <c r="AA43" i="87" s="1"/>
  <c r="AI25" i="85"/>
  <c r="AA18" i="85"/>
  <c r="AA43" i="85" s="1"/>
  <c r="AA18" i="82"/>
  <c r="AA43" i="82" s="1"/>
  <c r="AI25" i="82"/>
  <c r="AP25" i="99"/>
  <c r="AI18" i="99"/>
  <c r="AH162" i="10"/>
  <c r="AH27" i="10"/>
  <c r="AI25" i="84"/>
  <c r="AA18" i="84"/>
  <c r="AA43" i="84" s="1"/>
  <c r="AZ35" i="103" l="1"/>
  <c r="BS24" i="104"/>
  <c r="BT24" i="98"/>
  <c r="AI24" i="98" s="1"/>
  <c r="BT24" i="104"/>
  <c r="AI58" i="13"/>
  <c r="AI68" i="13" s="1"/>
  <c r="BA35" i="103"/>
  <c r="AP35" i="89"/>
  <c r="AL27" i="32"/>
  <c r="AL53" i="32" s="1"/>
  <c r="AI127" i="10"/>
  <c r="BR24" i="71"/>
  <c r="AL27" i="10"/>
  <c r="AH159" i="10"/>
  <c r="AP25" i="85"/>
  <c r="AI18" i="85"/>
  <c r="AP25" i="96"/>
  <c r="AI18" i="96"/>
  <c r="AP25" i="83"/>
  <c r="AI18" i="83"/>
  <c r="AP25" i="87"/>
  <c r="AI18" i="87"/>
  <c r="AP25" i="95"/>
  <c r="AI18" i="95"/>
  <c r="AP18" i="81"/>
  <c r="AP43" i="81" s="1"/>
  <c r="W78" i="10"/>
  <c r="AI43" i="81"/>
  <c r="AG78" i="10"/>
  <c r="AP18" i="99"/>
  <c r="AP43" i="99" s="1"/>
  <c r="AI43" i="99"/>
  <c r="AP25" i="84"/>
  <c r="AI18" i="84"/>
  <c r="AI18" i="90"/>
  <c r="AP25" i="90"/>
  <c r="AI18" i="82"/>
  <c r="AP25" i="82"/>
  <c r="AP25" i="88"/>
  <c r="AI18" i="88"/>
  <c r="AO35" i="89"/>
  <c r="BS24" i="98"/>
  <c r="AH58" i="13"/>
  <c r="AH127" i="10"/>
  <c r="AI79" i="98" l="1"/>
  <c r="AI79" i="104"/>
  <c r="AI24" i="104"/>
  <c r="AH79" i="104"/>
  <c r="AH24" i="104"/>
  <c r="AR134" i="33"/>
  <c r="BG111" i="32"/>
  <c r="BH111" i="32" s="1"/>
  <c r="AK127" i="10"/>
  <c r="AI124" i="10"/>
  <c r="AH24" i="71"/>
  <c r="AH79" i="71"/>
  <c r="AH68" i="13"/>
  <c r="AP18" i="82"/>
  <c r="AP43" i="82" s="1"/>
  <c r="X78" i="10"/>
  <c r="AI43" i="82"/>
  <c r="AQ134" i="33"/>
  <c r="AH124" i="10"/>
  <c r="AI43" i="95"/>
  <c r="AP18" i="95"/>
  <c r="AE78" i="10"/>
  <c r="AP18" i="96"/>
  <c r="AP43" i="96" s="1"/>
  <c r="AF78" i="10"/>
  <c r="AI43" i="96"/>
  <c r="AD78" i="10"/>
  <c r="AP18" i="90"/>
  <c r="AI43" i="90"/>
  <c r="AI43" i="84"/>
  <c r="Z78" i="10"/>
  <c r="AP18" i="84"/>
  <c r="AP43" i="84" s="1"/>
  <c r="AB78" i="10"/>
  <c r="AP18" i="87"/>
  <c r="AP43" i="87" s="1"/>
  <c r="AI43" i="87"/>
  <c r="AH24" i="98"/>
  <c r="AH79" i="98"/>
  <c r="AA78" i="10"/>
  <c r="AP18" i="85"/>
  <c r="AP43" i="85" s="1"/>
  <c r="AI43" i="85"/>
  <c r="AC78" i="10"/>
  <c r="AP18" i="88"/>
  <c r="AP43" i="88" s="1"/>
  <c r="AI43" i="88"/>
  <c r="AG27" i="10"/>
  <c r="BR24" i="104" s="1"/>
  <c r="AG162" i="10"/>
  <c r="AG159" i="10" s="1"/>
  <c r="W27" i="10"/>
  <c r="W162" i="10"/>
  <c r="W159" i="10" s="1"/>
  <c r="AI43" i="83"/>
  <c r="Y78" i="10"/>
  <c r="AP18" i="83"/>
  <c r="AP43" i="83" s="1"/>
  <c r="AO35" i="103" l="1"/>
  <c r="BH24" i="104"/>
  <c r="AG79" i="104"/>
  <c r="AG24" i="104"/>
  <c r="AK27" i="10"/>
  <c r="AY35" i="103"/>
  <c r="AP43" i="90"/>
  <c r="AR131" i="33"/>
  <c r="AR19" i="33"/>
  <c r="BG108" i="32"/>
  <c r="BH108" i="32" s="1"/>
  <c r="AK124" i="10"/>
  <c r="AP43" i="95"/>
  <c r="BQ24" i="71"/>
  <c r="BR24" i="98"/>
  <c r="AN35" i="89"/>
  <c r="AG58" i="13"/>
  <c r="AG68" i="13" s="1"/>
  <c r="AG127" i="10"/>
  <c r="AK27" i="32"/>
  <c r="AB162" i="10"/>
  <c r="AB159" i="10" s="1"/>
  <c r="AB27" i="10"/>
  <c r="AQ131" i="33"/>
  <c r="AQ19" i="33"/>
  <c r="AA27" i="10"/>
  <c r="AA162" i="10"/>
  <c r="AA159" i="10" s="1"/>
  <c r="AC27" i="10"/>
  <c r="AC162" i="10"/>
  <c r="AC159" i="10" s="1"/>
  <c r="AD27" i="10"/>
  <c r="AD162" i="10"/>
  <c r="AD159" i="10" s="1"/>
  <c r="AE27" i="10"/>
  <c r="AE162" i="10"/>
  <c r="AE159" i="10" s="1"/>
  <c r="Y27" i="10"/>
  <c r="Y162" i="10"/>
  <c r="Y159" i="10" s="1"/>
  <c r="AF162" i="10"/>
  <c r="AF159" i="10" s="1"/>
  <c r="AF27" i="10"/>
  <c r="X27" i="10"/>
  <c r="X162" i="10"/>
  <c r="X159" i="10" s="1"/>
  <c r="BH24" i="98"/>
  <c r="W127" i="10"/>
  <c r="AD35" i="89"/>
  <c r="BG24" i="71"/>
  <c r="W58" i="13"/>
  <c r="W68" i="13" s="1"/>
  <c r="Z162" i="10"/>
  <c r="Z159" i="10" s="1"/>
  <c r="Z27" i="10"/>
  <c r="AH79" i="75" l="1"/>
  <c r="AH26" i="75"/>
  <c r="AI79" i="75"/>
  <c r="AI26" i="75"/>
  <c r="AQ35" i="103"/>
  <c r="BJ24" i="104"/>
  <c r="AS35" i="103"/>
  <c r="BL24" i="104"/>
  <c r="AT35" i="103"/>
  <c r="BM24" i="104"/>
  <c r="AW35" i="103"/>
  <c r="BP24" i="104"/>
  <c r="AR35" i="103"/>
  <c r="BK24" i="104"/>
  <c r="AP35" i="103"/>
  <c r="BI24" i="104"/>
  <c r="AV35" i="103"/>
  <c r="BO24" i="104"/>
  <c r="AX35" i="103"/>
  <c r="BQ24" i="104"/>
  <c r="W24" i="104"/>
  <c r="W79" i="104"/>
  <c r="AU35" i="103"/>
  <c r="BN24" i="104"/>
  <c r="AT19" i="33"/>
  <c r="AK53" i="32"/>
  <c r="AJ27" i="32"/>
  <c r="BQ24" i="98"/>
  <c r="BP24" i="71"/>
  <c r="AI27" i="32"/>
  <c r="AM35" i="89"/>
  <c r="AF127" i="10"/>
  <c r="BC111" i="32" s="1"/>
  <c r="BD111" i="32" s="1"/>
  <c r="AF58" i="13"/>
  <c r="AF68" i="13" s="1"/>
  <c r="AF134" i="33"/>
  <c r="W124" i="10"/>
  <c r="W79" i="98"/>
  <c r="W24" i="98"/>
  <c r="AE127" i="10"/>
  <c r="AH27" i="32"/>
  <c r="AL35" i="89"/>
  <c r="BO24" i="71"/>
  <c r="AE58" i="13"/>
  <c r="AE68" i="13" s="1"/>
  <c r="BP24" i="98"/>
  <c r="AG124" i="10"/>
  <c r="AP134" i="33"/>
  <c r="BE111" i="32"/>
  <c r="BF111" i="32" s="1"/>
  <c r="AB27" i="32"/>
  <c r="BI24" i="71"/>
  <c r="AF35" i="89"/>
  <c r="Y58" i="13"/>
  <c r="Y68" i="13" s="1"/>
  <c r="BJ24" i="98"/>
  <c r="Y127" i="10"/>
  <c r="BN24" i="98"/>
  <c r="AC127" i="10"/>
  <c r="AF27" i="32"/>
  <c r="BM24" i="71"/>
  <c r="AJ35" i="89"/>
  <c r="AC58" i="13"/>
  <c r="AC68" i="13" s="1"/>
  <c r="BI24" i="98"/>
  <c r="AA27" i="32"/>
  <c r="AE35" i="89"/>
  <c r="BH24" i="71"/>
  <c r="X127" i="10"/>
  <c r="X58" i="13"/>
  <c r="X68" i="13" s="1"/>
  <c r="BN24" i="71"/>
  <c r="AK35" i="89"/>
  <c r="AD127" i="10"/>
  <c r="AG27" i="32"/>
  <c r="AD58" i="13"/>
  <c r="AD68" i="13" s="1"/>
  <c r="BO24" i="98"/>
  <c r="BM24" i="98"/>
  <c r="BL24" i="71"/>
  <c r="AB127" i="10"/>
  <c r="AE27" i="32"/>
  <c r="AI35" i="89"/>
  <c r="AB58" i="13"/>
  <c r="AB68" i="13" s="1"/>
  <c r="AA58" i="13"/>
  <c r="AA68" i="13" s="1"/>
  <c r="AA127" i="10"/>
  <c r="BL24" i="98"/>
  <c r="AH35" i="89"/>
  <c r="AD27" i="32"/>
  <c r="BK24" i="71"/>
  <c r="AG79" i="98"/>
  <c r="AG24" i="98"/>
  <c r="Z58" i="13"/>
  <c r="Z68" i="13" s="1"/>
  <c r="BK24" i="98"/>
  <c r="BJ24" i="71"/>
  <c r="Z127" i="10"/>
  <c r="AG35" i="89"/>
  <c r="AC27" i="32"/>
  <c r="W79" i="71"/>
  <c r="W24" i="71"/>
  <c r="AG79" i="71"/>
  <c r="AG24" i="71"/>
  <c r="AF79" i="104" l="1"/>
  <c r="AF24" i="104"/>
  <c r="AE79" i="104"/>
  <c r="AE24" i="104"/>
  <c r="AB79" i="104"/>
  <c r="AB24" i="104"/>
  <c r="AC79" i="104"/>
  <c r="AC24" i="104"/>
  <c r="X24" i="104"/>
  <c r="X79" i="104"/>
  <c r="AA79" i="104"/>
  <c r="AA24" i="104"/>
  <c r="Y79" i="104"/>
  <c r="Y24" i="104"/>
  <c r="AD79" i="104"/>
  <c r="AD24" i="104"/>
  <c r="Z79" i="104"/>
  <c r="Z24" i="104"/>
  <c r="AE53" i="32"/>
  <c r="AW111" i="32"/>
  <c r="AX111" i="32" s="1"/>
  <c r="AM134" i="33"/>
  <c r="AD124" i="10"/>
  <c r="X24" i="71"/>
  <c r="X79" i="71"/>
  <c r="Y124" i="10"/>
  <c r="AH134" i="33"/>
  <c r="AM111" i="32"/>
  <c r="AN111" i="32" s="1"/>
  <c r="AF24" i="98"/>
  <c r="AF79" i="98"/>
  <c r="AI134" i="33"/>
  <c r="AO111" i="32"/>
  <c r="AP111" i="32" s="1"/>
  <c r="Z124" i="10"/>
  <c r="AA24" i="98"/>
  <c r="AA79" i="98"/>
  <c r="AK134" i="33"/>
  <c r="AS111" i="32"/>
  <c r="AT111" i="32" s="1"/>
  <c r="AB124" i="10"/>
  <c r="Y24" i="98"/>
  <c r="Y79" i="98"/>
  <c r="AJ53" i="32"/>
  <c r="Z79" i="71"/>
  <c r="Z24" i="71"/>
  <c r="AA124" i="10"/>
  <c r="AQ111" i="32"/>
  <c r="AR111" i="32" s="1"/>
  <c r="AJ134" i="33"/>
  <c r="AB24" i="71"/>
  <c r="AB79" i="71"/>
  <c r="AD79" i="71"/>
  <c r="AD24" i="71"/>
  <c r="AA53" i="32"/>
  <c r="AE24" i="71"/>
  <c r="AE79" i="71"/>
  <c r="Z24" i="98"/>
  <c r="Z79" i="98"/>
  <c r="AB24" i="98"/>
  <c r="AB79" i="98"/>
  <c r="X79" i="98"/>
  <c r="X24" i="98"/>
  <c r="AF131" i="33"/>
  <c r="AF19" i="33"/>
  <c r="AO134" i="33"/>
  <c r="BA111" i="32"/>
  <c r="BB111" i="32" s="1"/>
  <c r="AF124" i="10"/>
  <c r="AD79" i="98"/>
  <c r="AD24" i="98"/>
  <c r="AC24" i="71"/>
  <c r="AC79" i="71"/>
  <c r="AH53" i="32"/>
  <c r="AF53" i="32"/>
  <c r="Y24" i="71"/>
  <c r="Y79" i="71"/>
  <c r="AN134" i="33"/>
  <c r="AY111" i="32"/>
  <c r="AZ111" i="32" s="1"/>
  <c r="AE124" i="10"/>
  <c r="AA79" i="71"/>
  <c r="AA24" i="71"/>
  <c r="AU111" i="32"/>
  <c r="AV111" i="32" s="1"/>
  <c r="AL134" i="33"/>
  <c r="AC124" i="10"/>
  <c r="AB53" i="32"/>
  <c r="AP19" i="33"/>
  <c r="AP131" i="33"/>
  <c r="BE108" i="32"/>
  <c r="BF108" i="32" s="1"/>
  <c r="AI53" i="32"/>
  <c r="AC53" i="32"/>
  <c r="AD53" i="32"/>
  <c r="AG53" i="32"/>
  <c r="AG134" i="33"/>
  <c r="AK111" i="32"/>
  <c r="AL111" i="32" s="1"/>
  <c r="X124" i="10"/>
  <c r="AC79" i="98"/>
  <c r="AC24" i="98"/>
  <c r="AE24" i="98"/>
  <c r="AE79" i="98"/>
  <c r="AF79" i="71"/>
  <c r="AF24" i="71"/>
  <c r="U25" i="69"/>
  <c r="U25" i="72"/>
  <c r="U25" i="46"/>
  <c r="U25" i="77"/>
  <c r="U25" i="58"/>
  <c r="U25" i="79"/>
  <c r="U25" i="56"/>
  <c r="U25" i="64"/>
  <c r="U25" i="73"/>
  <c r="U25" i="55"/>
  <c r="W26" i="75" l="1"/>
  <c r="W79" i="75"/>
  <c r="AG79" i="75"/>
  <c r="AG26" i="75"/>
  <c r="AK24" i="98"/>
  <c r="AK24" i="104"/>
  <c r="AK79" i="104"/>
  <c r="AK79" i="98"/>
  <c r="BC108" i="32"/>
  <c r="BD108" i="32" s="1"/>
  <c r="AA25" i="64"/>
  <c r="AA25" i="69"/>
  <c r="AJ19" i="33"/>
  <c r="AJ131" i="33"/>
  <c r="AQ108" i="32"/>
  <c r="AR108" i="32" s="1"/>
  <c r="AH19" i="33"/>
  <c r="AM108" i="32"/>
  <c r="AN108" i="32" s="1"/>
  <c r="AH131" i="33"/>
  <c r="AW108" i="32"/>
  <c r="AX108" i="32" s="1"/>
  <c r="AM19" i="33"/>
  <c r="AM131" i="33"/>
  <c r="AA25" i="77"/>
  <c r="AA25" i="58"/>
  <c r="AA25" i="72"/>
  <c r="AG19" i="33"/>
  <c r="AG131" i="33"/>
  <c r="AK108" i="32"/>
  <c r="AL108" i="32" s="1"/>
  <c r="AA25" i="46"/>
  <c r="AA25" i="73"/>
  <c r="AA25" i="56"/>
  <c r="AU108" i="32"/>
  <c r="AV108" i="32" s="1"/>
  <c r="AL131" i="33"/>
  <c r="AL19" i="33"/>
  <c r="BA108" i="32"/>
  <c r="BB108" i="32" s="1"/>
  <c r="AO19" i="33"/>
  <c r="AO131" i="33"/>
  <c r="AK19" i="33"/>
  <c r="AS108" i="32"/>
  <c r="AT108" i="32" s="1"/>
  <c r="AK131" i="33"/>
  <c r="AA25" i="79"/>
  <c r="AN19" i="33"/>
  <c r="AY108" i="32"/>
  <c r="AZ108" i="32" s="1"/>
  <c r="AN131" i="33"/>
  <c r="AA25" i="55"/>
  <c r="AI19" i="33"/>
  <c r="AO108" i="32"/>
  <c r="AP108" i="32" s="1"/>
  <c r="AI131" i="33"/>
  <c r="X79" i="75" l="1"/>
  <c r="X26" i="75"/>
  <c r="AE26" i="75"/>
  <c r="AE79" i="75"/>
  <c r="Y26" i="75"/>
  <c r="Y79" i="75"/>
  <c r="Z79" i="75"/>
  <c r="Z26" i="75"/>
  <c r="AA79" i="75"/>
  <c r="AA26" i="75"/>
  <c r="AB79" i="75"/>
  <c r="AB26" i="75"/>
  <c r="AD79" i="75"/>
  <c r="AD26" i="75"/>
  <c r="AC79" i="75"/>
  <c r="AC26" i="75"/>
  <c r="AF79" i="75"/>
  <c r="AF26" i="75"/>
  <c r="AI25" i="56"/>
  <c r="AA18" i="56"/>
  <c r="AA43" i="56" s="1"/>
  <c r="AI25" i="69"/>
  <c r="AA18" i="69"/>
  <c r="AA43" i="69" s="1"/>
  <c r="AI25" i="79"/>
  <c r="AA18" i="79"/>
  <c r="AA43" i="79" s="1"/>
  <c r="AI25" i="58"/>
  <c r="AA18" i="58"/>
  <c r="AA43" i="58" s="1"/>
  <c r="AA18" i="55"/>
  <c r="AA43" i="55" s="1"/>
  <c r="AI25" i="55"/>
  <c r="AI25" i="72"/>
  <c r="AA18" i="72"/>
  <c r="AA43" i="72" s="1"/>
  <c r="AI25" i="77"/>
  <c r="AA18" i="77"/>
  <c r="AA43" i="77" s="1"/>
  <c r="AA18" i="64"/>
  <c r="AA43" i="64" s="1"/>
  <c r="AI25" i="64"/>
  <c r="AI25" i="46"/>
  <c r="AA18" i="46"/>
  <c r="AA43" i="46" s="1"/>
  <c r="AI25" i="73"/>
  <c r="AA18" i="73"/>
  <c r="AA43" i="73" s="1"/>
  <c r="AI18" i="58" l="1"/>
  <c r="AP25" i="58"/>
  <c r="AP25" i="56"/>
  <c r="AI18" i="56"/>
  <c r="AP25" i="79"/>
  <c r="AI18" i="79"/>
  <c r="AP25" i="69"/>
  <c r="AI18" i="69"/>
  <c r="AP25" i="46"/>
  <c r="AI18" i="46"/>
  <c r="AI18" i="64"/>
  <c r="AP25" i="64"/>
  <c r="AP25" i="55"/>
  <c r="AI18" i="55"/>
  <c r="AP25" i="73"/>
  <c r="AI18" i="73"/>
  <c r="AP25" i="77"/>
  <c r="AI18" i="77"/>
  <c r="AI18" i="72"/>
  <c r="AP25" i="72"/>
  <c r="N78" i="10" l="1"/>
  <c r="AP18" i="55"/>
  <c r="AP43" i="55" s="1"/>
  <c r="AI43" i="55"/>
  <c r="V78" i="10"/>
  <c r="AI43" i="79"/>
  <c r="AP18" i="79"/>
  <c r="AP43" i="79" s="1"/>
  <c r="AP18" i="64"/>
  <c r="AP43" i="64" s="1"/>
  <c r="Q78" i="10"/>
  <c r="AI43" i="64"/>
  <c r="AI43" i="46"/>
  <c r="M78" i="10"/>
  <c r="AP18" i="46"/>
  <c r="AP43" i="46" s="1"/>
  <c r="P78" i="10"/>
  <c r="AP18" i="58"/>
  <c r="AP43" i="58" s="1"/>
  <c r="AI43" i="58"/>
  <c r="AP18" i="73"/>
  <c r="AP43" i="73" s="1"/>
  <c r="T78" i="10"/>
  <c r="AI43" i="73"/>
  <c r="AP18" i="72"/>
  <c r="AP43" i="72" s="1"/>
  <c r="S78" i="10"/>
  <c r="AI43" i="72"/>
  <c r="AI43" i="69"/>
  <c r="AP18" i="69"/>
  <c r="AP43" i="69" s="1"/>
  <c r="R78" i="10"/>
  <c r="U78" i="10"/>
  <c r="AI43" i="77"/>
  <c r="AP18" i="77"/>
  <c r="AP43" i="77" s="1"/>
  <c r="O78" i="10"/>
  <c r="AP18" i="56"/>
  <c r="AP43" i="56" s="1"/>
  <c r="AI43" i="56"/>
  <c r="O27" i="10" l="1"/>
  <c r="O162" i="10"/>
  <c r="O159" i="10" s="1"/>
  <c r="R27" i="10"/>
  <c r="R162" i="10"/>
  <c r="R159" i="10" s="1"/>
  <c r="P27" i="10"/>
  <c r="P162" i="10"/>
  <c r="P159" i="10" s="1"/>
  <c r="S162" i="10"/>
  <c r="S159" i="10" s="1"/>
  <c r="S27" i="10"/>
  <c r="Q162" i="10"/>
  <c r="Q159" i="10" s="1"/>
  <c r="Q27" i="10"/>
  <c r="U27" i="10"/>
  <c r="U162" i="10"/>
  <c r="U159" i="10" s="1"/>
  <c r="T27" i="10"/>
  <c r="T162" i="10"/>
  <c r="T159" i="10" s="1"/>
  <c r="M162" i="10"/>
  <c r="M159" i="10" s="1"/>
  <c r="M27" i="10"/>
  <c r="V162" i="10"/>
  <c r="V159" i="10" s="1"/>
  <c r="V27" i="10"/>
  <c r="N162" i="10"/>
  <c r="N159" i="10" s="1"/>
  <c r="N27" i="10"/>
  <c r="AL35" i="103" l="1"/>
  <c r="BE24" i="104"/>
  <c r="AH35" i="103"/>
  <c r="BA24" i="104"/>
  <c r="AE35" i="103"/>
  <c r="AX24" i="104"/>
  <c r="AF35" i="103"/>
  <c r="AY24" i="104"/>
  <c r="AM35" i="103"/>
  <c r="BF24" i="104"/>
  <c r="AJ35" i="103"/>
  <c r="BC24" i="104"/>
  <c r="AI35" i="103"/>
  <c r="BB24" i="104"/>
  <c r="AK35" i="103"/>
  <c r="BD24" i="104"/>
  <c r="AN35" i="103"/>
  <c r="BG24" i="104"/>
  <c r="AG35" i="103"/>
  <c r="AZ24" i="104"/>
  <c r="T27" i="32"/>
  <c r="Q25" i="59"/>
  <c r="X35" i="89"/>
  <c r="Q58" i="13"/>
  <c r="Q68" i="13" s="1"/>
  <c r="BB24" i="98"/>
  <c r="BA24" i="71"/>
  <c r="Q127" i="10"/>
  <c r="Y27" i="32"/>
  <c r="V127" i="10"/>
  <c r="V58" i="13"/>
  <c r="V68" i="13" s="1"/>
  <c r="BG24" i="98"/>
  <c r="BF24" i="71"/>
  <c r="AC35" i="89"/>
  <c r="Z27" i="32"/>
  <c r="Y35" i="89"/>
  <c r="R58" i="13"/>
  <c r="R68" i="13" s="1"/>
  <c r="BC24" i="98"/>
  <c r="U27" i="32"/>
  <c r="R127" i="10"/>
  <c r="BB24" i="71"/>
  <c r="BA24" i="98"/>
  <c r="W35" i="89"/>
  <c r="AZ24" i="71"/>
  <c r="P25" i="59"/>
  <c r="P127" i="10"/>
  <c r="S27" i="32"/>
  <c r="P58" i="13"/>
  <c r="P68" i="13" s="1"/>
  <c r="T127" i="10"/>
  <c r="BD24" i="71"/>
  <c r="AA35" i="89"/>
  <c r="T58" i="13"/>
  <c r="T68" i="13" s="1"/>
  <c r="BE24" i="98"/>
  <c r="W27" i="32"/>
  <c r="U35" i="89"/>
  <c r="N25" i="59"/>
  <c r="N127" i="10"/>
  <c r="N58" i="13"/>
  <c r="N68" i="13" s="1"/>
  <c r="AY24" i="98"/>
  <c r="Q27" i="32"/>
  <c r="AX24" i="71"/>
  <c r="T35" i="89"/>
  <c r="AW24" i="71"/>
  <c r="M25" i="59"/>
  <c r="M127" i="10"/>
  <c r="M58" i="13"/>
  <c r="M68" i="13" s="1"/>
  <c r="AX24" i="98"/>
  <c r="BF24" i="98"/>
  <c r="X27" i="32"/>
  <c r="U127" i="10"/>
  <c r="BE24" i="71"/>
  <c r="AB35" i="89"/>
  <c r="U58" i="13"/>
  <c r="U68" i="13" s="1"/>
  <c r="S127" i="10"/>
  <c r="BC24" i="71"/>
  <c r="S58" i="13"/>
  <c r="S68" i="13" s="1"/>
  <c r="BD24" i="98"/>
  <c r="V27" i="32"/>
  <c r="Z35" i="89"/>
  <c r="O25" i="59"/>
  <c r="O58" i="13"/>
  <c r="O68" i="13" s="1"/>
  <c r="AZ24" i="98"/>
  <c r="V35" i="89"/>
  <c r="AY24" i="71"/>
  <c r="R27" i="32"/>
  <c r="O127" i="10"/>
  <c r="M79" i="104" l="1"/>
  <c r="M24" i="104"/>
  <c r="O24" i="104"/>
  <c r="O79" i="104"/>
  <c r="R79" i="104"/>
  <c r="R24" i="104"/>
  <c r="P79" i="104"/>
  <c r="P24" i="104"/>
  <c r="S24" i="104"/>
  <c r="S79" i="104"/>
  <c r="Q79" i="104"/>
  <c r="Q24" i="104"/>
  <c r="V79" i="104"/>
  <c r="V24" i="104"/>
  <c r="U79" i="104"/>
  <c r="U24" i="104"/>
  <c r="T79" i="104"/>
  <c r="T24" i="104"/>
  <c r="N79" i="104"/>
  <c r="N24" i="104"/>
  <c r="U24" i="71"/>
  <c r="U79" i="71"/>
  <c r="N24" i="71"/>
  <c r="N79" i="71"/>
  <c r="V24" i="98"/>
  <c r="V79" i="98"/>
  <c r="Q24" i="98"/>
  <c r="Q79" i="98"/>
  <c r="O79" i="98"/>
  <c r="O24" i="98"/>
  <c r="V53" i="32"/>
  <c r="AE111" i="32"/>
  <c r="AF111" i="32" s="1"/>
  <c r="AD134" i="33"/>
  <c r="U124" i="10"/>
  <c r="V134" i="33"/>
  <c r="M124" i="10"/>
  <c r="Q53" i="32"/>
  <c r="T79" i="71"/>
  <c r="T24" i="71"/>
  <c r="S53" i="32"/>
  <c r="S24" i="98"/>
  <c r="S79" i="98"/>
  <c r="X53" i="32"/>
  <c r="N79" i="98"/>
  <c r="N24" i="98"/>
  <c r="AC134" i="33"/>
  <c r="AC111" i="32"/>
  <c r="AD111" i="32" s="1"/>
  <c r="T124" i="10"/>
  <c r="U111" i="32"/>
  <c r="V111" i="32" s="1"/>
  <c r="Y134" i="33"/>
  <c r="P124" i="10"/>
  <c r="O24" i="71"/>
  <c r="O79" i="71"/>
  <c r="V24" i="71"/>
  <c r="V79" i="71"/>
  <c r="U24" i="98"/>
  <c r="U79" i="98"/>
  <c r="M24" i="71"/>
  <c r="M79" i="71"/>
  <c r="R79" i="71"/>
  <c r="R24" i="71"/>
  <c r="AE134" i="33"/>
  <c r="AG111" i="32"/>
  <c r="AH111" i="32" s="1"/>
  <c r="V124" i="10"/>
  <c r="AI111" i="32"/>
  <c r="AJ111" i="32" s="1"/>
  <c r="J111" i="32"/>
  <c r="Q24" i="71"/>
  <c r="Q79" i="71"/>
  <c r="W53" i="32"/>
  <c r="P24" i="71"/>
  <c r="P79" i="71"/>
  <c r="Y111" i="32"/>
  <c r="Z111" i="32" s="1"/>
  <c r="AA134" i="33"/>
  <c r="R124" i="10"/>
  <c r="Y53" i="32"/>
  <c r="S111" i="32"/>
  <c r="T111" i="32" s="1"/>
  <c r="O124" i="10"/>
  <c r="X134" i="33"/>
  <c r="S24" i="71"/>
  <c r="S79" i="71"/>
  <c r="Q111" i="32"/>
  <c r="R111" i="32" s="1"/>
  <c r="W134" i="33"/>
  <c r="N124" i="10"/>
  <c r="T79" i="98"/>
  <c r="T24" i="98"/>
  <c r="U53" i="32"/>
  <c r="Z53" i="32"/>
  <c r="T53" i="32"/>
  <c r="R53" i="32"/>
  <c r="S124" i="10"/>
  <c r="AB134" i="33"/>
  <c r="AA111" i="32"/>
  <c r="AB111" i="32" s="1"/>
  <c r="M79" i="98"/>
  <c r="M24" i="98"/>
  <c r="P79" i="98"/>
  <c r="P24" i="98"/>
  <c r="R24" i="98"/>
  <c r="R79" i="98"/>
  <c r="W111" i="32"/>
  <c r="X111" i="32" s="1"/>
  <c r="Q124" i="10"/>
  <c r="Z134" i="33"/>
  <c r="Z131" i="33" l="1"/>
  <c r="Z19" i="33"/>
  <c r="W108" i="32"/>
  <c r="X108" i="32" s="1"/>
  <c r="K111" i="32"/>
  <c r="AD131" i="33"/>
  <c r="AE108" i="32"/>
  <c r="AF108" i="32" s="1"/>
  <c r="AD19" i="33"/>
  <c r="AA19" i="33"/>
  <c r="Y108" i="32"/>
  <c r="Z108" i="32" s="1"/>
  <c r="AA131" i="33"/>
  <c r="V19" i="33"/>
  <c r="V131" i="33"/>
  <c r="AC108" i="32"/>
  <c r="AD108" i="32" s="1"/>
  <c r="AC131" i="33"/>
  <c r="AC19" i="33"/>
  <c r="W19" i="33"/>
  <c r="W131" i="33"/>
  <c r="Q108" i="32"/>
  <c r="R108" i="32" s="1"/>
  <c r="X131" i="33"/>
  <c r="X19" i="33"/>
  <c r="S108" i="32"/>
  <c r="T108" i="32" s="1"/>
  <c r="AE131" i="33"/>
  <c r="AE19" i="33"/>
  <c r="AG108" i="32"/>
  <c r="AH108" i="32" s="1"/>
  <c r="J108" i="32"/>
  <c r="AI108" i="32"/>
  <c r="AJ108" i="32" s="1"/>
  <c r="AA108" i="32"/>
  <c r="AB108" i="32" s="1"/>
  <c r="AB131" i="33"/>
  <c r="AB19" i="33"/>
  <c r="Y19" i="33"/>
  <c r="U108" i="32"/>
  <c r="V108" i="32" s="1"/>
  <c r="Y131" i="33"/>
  <c r="N79" i="75" l="1"/>
  <c r="N26" i="75"/>
  <c r="R79" i="75"/>
  <c r="R26" i="75"/>
  <c r="U79" i="75"/>
  <c r="U26" i="75"/>
  <c r="P79" i="75"/>
  <c r="P26" i="75"/>
  <c r="S79" i="75"/>
  <c r="S26" i="75"/>
  <c r="O26" i="75"/>
  <c r="O79" i="75"/>
  <c r="M79" i="75"/>
  <c r="M26" i="75"/>
  <c r="T79" i="75"/>
  <c r="T26" i="75"/>
  <c r="Q26" i="75"/>
  <c r="Q79" i="75"/>
  <c r="V79" i="75"/>
  <c r="V26" i="75"/>
  <c r="K108" i="32"/>
  <c r="U25" i="54" l="1"/>
  <c r="AA25" i="54" l="1"/>
  <c r="U25" i="50"/>
  <c r="U25" i="53"/>
  <c r="U25" i="48"/>
  <c r="U25" i="49"/>
  <c r="U25" i="45"/>
  <c r="AA25" i="53" l="1"/>
  <c r="AA25" i="50"/>
  <c r="AA25" i="48"/>
  <c r="AA25" i="49"/>
  <c r="AA25" i="45"/>
  <c r="AI25" i="54"/>
  <c r="AA18" i="54"/>
  <c r="AA43" i="54" s="1"/>
  <c r="U25" i="41"/>
  <c r="AA18" i="49" l="1"/>
  <c r="AA43" i="49" s="1"/>
  <c r="AI25" i="49"/>
  <c r="AP25" i="54"/>
  <c r="AI18" i="54"/>
  <c r="AI25" i="45"/>
  <c r="AA18" i="45"/>
  <c r="AA43" i="45" s="1"/>
  <c r="AA18" i="48"/>
  <c r="AA43" i="48" s="1"/>
  <c r="AI25" i="48"/>
  <c r="AA25" i="41"/>
  <c r="AI25" i="50"/>
  <c r="AA18" i="50"/>
  <c r="AA43" i="50" s="1"/>
  <c r="AA18" i="53"/>
  <c r="AA43" i="53" s="1"/>
  <c r="AI25" i="53"/>
  <c r="U25" i="47"/>
  <c r="U25" i="52"/>
  <c r="U25" i="51"/>
  <c r="AA25" i="52" l="1"/>
  <c r="AP25" i="53"/>
  <c r="AI18" i="53"/>
  <c r="AI25" i="41"/>
  <c r="AA18" i="41"/>
  <c r="AA43" i="41" s="1"/>
  <c r="AP18" i="54"/>
  <c r="AP43" i="54" s="1"/>
  <c r="AI43" i="54"/>
  <c r="E78" i="10"/>
  <c r="AI18" i="48"/>
  <c r="AP25" i="48"/>
  <c r="AA25" i="51"/>
  <c r="AP25" i="45"/>
  <c r="AI18" i="45"/>
  <c r="AA25" i="47"/>
  <c r="AP25" i="49"/>
  <c r="AI18" i="49"/>
  <c r="AP25" i="50"/>
  <c r="AI18" i="50"/>
  <c r="AP25" i="41" l="1"/>
  <c r="AI18" i="41"/>
  <c r="AP18" i="45"/>
  <c r="AP43" i="45" s="1"/>
  <c r="D78" i="10"/>
  <c r="AI43" i="45"/>
  <c r="AP18" i="48"/>
  <c r="AP43" i="48" s="1"/>
  <c r="K78" i="10"/>
  <c r="AI43" i="48"/>
  <c r="AP18" i="53"/>
  <c r="AP43" i="53" s="1"/>
  <c r="F78" i="10"/>
  <c r="AI43" i="53"/>
  <c r="J78" i="10"/>
  <c r="AP18" i="49"/>
  <c r="AP43" i="49" s="1"/>
  <c r="AI43" i="49"/>
  <c r="E27" i="10"/>
  <c r="E162" i="10"/>
  <c r="E159" i="10" s="1"/>
  <c r="AA18" i="47"/>
  <c r="AA43" i="47" s="1"/>
  <c r="AI25" i="47"/>
  <c r="AP18" i="50"/>
  <c r="AP43" i="50" s="1"/>
  <c r="I78" i="10"/>
  <c r="AI43" i="50"/>
  <c r="AA18" i="51"/>
  <c r="AA43" i="51" s="1"/>
  <c r="AI25" i="51"/>
  <c r="AI25" i="52"/>
  <c r="AA18" i="52"/>
  <c r="AA43" i="52" s="1"/>
  <c r="W35" i="103" l="1"/>
  <c r="AP24" i="104"/>
  <c r="K162" i="10"/>
  <c r="K159" i="10" s="1"/>
  <c r="K27" i="10"/>
  <c r="AI43" i="41"/>
  <c r="C78" i="10"/>
  <c r="AP18" i="41"/>
  <c r="I27" i="10"/>
  <c r="I162" i="10"/>
  <c r="I159" i="10" s="1"/>
  <c r="AI18" i="47"/>
  <c r="AP25" i="47"/>
  <c r="AP25" i="51"/>
  <c r="AI18" i="51"/>
  <c r="F162" i="10"/>
  <c r="F159" i="10" s="1"/>
  <c r="F27" i="10"/>
  <c r="AP24" i="98"/>
  <c r="E25" i="59"/>
  <c r="E58" i="13"/>
  <c r="E68" i="13" s="1"/>
  <c r="AO24" i="71"/>
  <c r="L35" i="89"/>
  <c r="E127" i="10"/>
  <c r="J162" i="10"/>
  <c r="J159" i="10" s="1"/>
  <c r="J27" i="10"/>
  <c r="AP25" i="52"/>
  <c r="AI18" i="52"/>
  <c r="D162" i="10"/>
  <c r="D159" i="10" s="1"/>
  <c r="D27" i="10"/>
  <c r="AC35" i="103" l="1"/>
  <c r="AV24" i="104"/>
  <c r="AB35" i="103"/>
  <c r="AU24" i="104"/>
  <c r="X35" i="103"/>
  <c r="AQ24" i="104"/>
  <c r="AA35" i="103"/>
  <c r="AT24" i="104"/>
  <c r="V35" i="103"/>
  <c r="AO24" i="104"/>
  <c r="E79" i="104"/>
  <c r="E24" i="104"/>
  <c r="AP43" i="41"/>
  <c r="AP18" i="52"/>
  <c r="AP43" i="52" s="1"/>
  <c r="G78" i="10"/>
  <c r="AI43" i="52"/>
  <c r="H27" i="32"/>
  <c r="AN24" i="71"/>
  <c r="D25" i="59"/>
  <c r="D127" i="10"/>
  <c r="D58" i="13"/>
  <c r="D68" i="13" s="1"/>
  <c r="AO24" i="98"/>
  <c r="K35" i="89"/>
  <c r="E24" i="71"/>
  <c r="E79" i="71"/>
  <c r="F58" i="13"/>
  <c r="F68" i="13" s="1"/>
  <c r="AQ24" i="98"/>
  <c r="F25" i="59"/>
  <c r="AP24" i="71"/>
  <c r="F127" i="10"/>
  <c r="I27" i="32"/>
  <c r="M35" i="89"/>
  <c r="L78" i="10"/>
  <c r="AP18" i="47"/>
  <c r="AP43" i="47" s="1"/>
  <c r="AI43" i="47"/>
  <c r="C162" i="10"/>
  <c r="C159" i="10" s="1"/>
  <c r="C27" i="10"/>
  <c r="J25" i="59"/>
  <c r="M27" i="32"/>
  <c r="J127" i="10"/>
  <c r="J58" i="13"/>
  <c r="J68" i="13" s="1"/>
  <c r="AU24" i="98"/>
  <c r="Q35" i="89"/>
  <c r="AT24" i="71"/>
  <c r="E24" i="98"/>
  <c r="E79" i="98"/>
  <c r="P35" i="89"/>
  <c r="I58" i="13"/>
  <c r="I68" i="13" s="1"/>
  <c r="AT24" i="98"/>
  <c r="I25" i="59"/>
  <c r="I127" i="10"/>
  <c r="AS24" i="71"/>
  <c r="AP18" i="51"/>
  <c r="AP43" i="51" s="1"/>
  <c r="AI43" i="51"/>
  <c r="H78" i="10"/>
  <c r="N134" i="33"/>
  <c r="E124" i="10"/>
  <c r="N27" i="32"/>
  <c r="R35" i="89"/>
  <c r="K58" i="13"/>
  <c r="K68" i="13" s="1"/>
  <c r="AV24" i="98"/>
  <c r="K127" i="10"/>
  <c r="K25" i="59"/>
  <c r="AU24" i="71"/>
  <c r="I79" i="104" l="1"/>
  <c r="I24" i="104"/>
  <c r="U35" i="103"/>
  <c r="AN24" i="104"/>
  <c r="J79" i="104"/>
  <c r="J24" i="104"/>
  <c r="F79" i="104"/>
  <c r="F24" i="104"/>
  <c r="D79" i="104"/>
  <c r="D24" i="104"/>
  <c r="K24" i="104"/>
  <c r="K79" i="104"/>
  <c r="AJ27" i="10"/>
  <c r="C27" i="32"/>
  <c r="H162" i="10"/>
  <c r="H159" i="10" s="1"/>
  <c r="H27" i="10"/>
  <c r="L162" i="10"/>
  <c r="L159" i="10" s="1"/>
  <c r="L27" i="10"/>
  <c r="N131" i="33"/>
  <c r="N19" i="33"/>
  <c r="I79" i="98"/>
  <c r="I24" i="98"/>
  <c r="J79" i="98"/>
  <c r="J24" i="98"/>
  <c r="D24" i="98"/>
  <c r="D79" i="98"/>
  <c r="N53" i="32"/>
  <c r="I53" i="32"/>
  <c r="K79" i="71"/>
  <c r="K24" i="71"/>
  <c r="C25" i="59"/>
  <c r="C127" i="10"/>
  <c r="J35" i="89"/>
  <c r="AM24" i="71"/>
  <c r="C58" i="13"/>
  <c r="C68" i="13" s="1"/>
  <c r="AN24" i="98"/>
  <c r="O134" i="33"/>
  <c r="F124" i="10"/>
  <c r="S134" i="33"/>
  <c r="J124" i="10"/>
  <c r="F24" i="71"/>
  <c r="F79" i="71"/>
  <c r="M134" i="33"/>
  <c r="D124" i="10"/>
  <c r="T134" i="33"/>
  <c r="K124" i="10"/>
  <c r="M53" i="32"/>
  <c r="K24" i="98"/>
  <c r="K79" i="98"/>
  <c r="I24" i="71"/>
  <c r="I79" i="71"/>
  <c r="F24" i="98"/>
  <c r="F79" i="98"/>
  <c r="D24" i="71"/>
  <c r="D79" i="71"/>
  <c r="G27" i="10"/>
  <c r="G162" i="10"/>
  <c r="G159" i="10" s="1"/>
  <c r="I124" i="10"/>
  <c r="R134" i="33"/>
  <c r="J79" i="71"/>
  <c r="J24" i="71"/>
  <c r="G27" i="32"/>
  <c r="H53" i="32"/>
  <c r="E79" i="75" l="1"/>
  <c r="E26" i="75"/>
  <c r="Y35" i="103"/>
  <c r="AR24" i="104"/>
  <c r="C24" i="104"/>
  <c r="C79" i="104"/>
  <c r="AD35" i="103"/>
  <c r="AW24" i="104"/>
  <c r="Z35" i="103"/>
  <c r="AS24" i="104"/>
  <c r="AR95" i="33"/>
  <c r="AR49" i="33"/>
  <c r="M49" i="33"/>
  <c r="AJ127" i="10"/>
  <c r="T95" i="33"/>
  <c r="S95" i="33"/>
  <c r="T49" i="33"/>
  <c r="S49" i="33"/>
  <c r="R49" i="33"/>
  <c r="R95" i="33"/>
  <c r="O49" i="33"/>
  <c r="M95" i="33"/>
  <c r="G58" i="13"/>
  <c r="G68" i="13" s="1"/>
  <c r="AR24" i="98"/>
  <c r="G127" i="10"/>
  <c r="J27" i="32"/>
  <c r="G25" i="59"/>
  <c r="N35" i="89"/>
  <c r="AQ24" i="71"/>
  <c r="T131" i="33"/>
  <c r="T19" i="33"/>
  <c r="M19" i="33"/>
  <c r="M131" i="33"/>
  <c r="D27" i="32"/>
  <c r="C79" i="98"/>
  <c r="C24" i="98"/>
  <c r="O131" i="33"/>
  <c r="O19" i="33"/>
  <c r="O35" i="89"/>
  <c r="K27" i="32"/>
  <c r="AR24" i="71"/>
  <c r="H58" i="13"/>
  <c r="H68" i="13" s="1"/>
  <c r="AS24" i="98"/>
  <c r="H25" i="59"/>
  <c r="H127" i="10"/>
  <c r="L27" i="32"/>
  <c r="G53" i="32"/>
  <c r="C24" i="71"/>
  <c r="C79" i="71"/>
  <c r="L127" i="10"/>
  <c r="AV24" i="71"/>
  <c r="L25" i="59"/>
  <c r="S35" i="89"/>
  <c r="L58" i="13"/>
  <c r="L68" i="13" s="1"/>
  <c r="AW24" i="98"/>
  <c r="O27" i="32"/>
  <c r="P27" i="32"/>
  <c r="S19" i="33"/>
  <c r="S131" i="33"/>
  <c r="R19" i="33"/>
  <c r="R131" i="33"/>
  <c r="O95" i="33"/>
  <c r="L134" i="33"/>
  <c r="L95" i="33"/>
  <c r="C124" i="10"/>
  <c r="L49" i="33"/>
  <c r="AQ49" i="33"/>
  <c r="AQ95" i="33"/>
  <c r="AF95" i="33"/>
  <c r="AF49" i="33"/>
  <c r="AP95" i="33"/>
  <c r="AP49" i="33"/>
  <c r="G111" i="32"/>
  <c r="AM95" i="33"/>
  <c r="AG95" i="33"/>
  <c r="AH49" i="33"/>
  <c r="AI95" i="33"/>
  <c r="AJ95" i="33"/>
  <c r="AG49" i="33"/>
  <c r="AH95" i="33"/>
  <c r="AI49" i="33"/>
  <c r="AJ49" i="33"/>
  <c r="AN95" i="33"/>
  <c r="AK95" i="33"/>
  <c r="AO95" i="33"/>
  <c r="AN49" i="33"/>
  <c r="AL49" i="33"/>
  <c r="AM49" i="33"/>
  <c r="AK49" i="33"/>
  <c r="AO49" i="33"/>
  <c r="AL95" i="33"/>
  <c r="AD49" i="33"/>
  <c r="Z49" i="33"/>
  <c r="Y95" i="33"/>
  <c r="Z95" i="33"/>
  <c r="AD95" i="33"/>
  <c r="Y49" i="33"/>
  <c r="AE95" i="33"/>
  <c r="W49" i="33"/>
  <c r="AC49" i="33"/>
  <c r="AE49" i="33"/>
  <c r="X49" i="33"/>
  <c r="W95" i="33"/>
  <c r="AB95" i="33"/>
  <c r="V95" i="33"/>
  <c r="AC95" i="33"/>
  <c r="AA49" i="33"/>
  <c r="X95" i="33"/>
  <c r="AB49" i="33"/>
  <c r="V49" i="33"/>
  <c r="AA95" i="33"/>
  <c r="N95" i="33"/>
  <c r="N49" i="33"/>
  <c r="J79" i="75" l="1"/>
  <c r="J26" i="75"/>
  <c r="D79" i="75"/>
  <c r="D26" i="75"/>
  <c r="K79" i="75"/>
  <c r="K26" i="75"/>
  <c r="F79" i="75"/>
  <c r="F26" i="75"/>
  <c r="I26" i="75"/>
  <c r="I79" i="75"/>
  <c r="H79" i="104"/>
  <c r="H24" i="104"/>
  <c r="G79" i="104"/>
  <c r="G24" i="104"/>
  <c r="L79" i="104"/>
  <c r="L24" i="104"/>
  <c r="AR92" i="33"/>
  <c r="AR46" i="33"/>
  <c r="O46" i="33"/>
  <c r="AJ124" i="10"/>
  <c r="S46" i="33"/>
  <c r="L79" i="98"/>
  <c r="L24" i="98"/>
  <c r="K53" i="32"/>
  <c r="O92" i="33"/>
  <c r="M46" i="33"/>
  <c r="J53" i="32"/>
  <c r="H111" i="32"/>
  <c r="S92" i="33"/>
  <c r="L53" i="32"/>
  <c r="G124" i="10"/>
  <c r="P134" i="33"/>
  <c r="P95" i="33"/>
  <c r="P49" i="33"/>
  <c r="M92" i="33"/>
  <c r="L19" i="33"/>
  <c r="L92" i="33"/>
  <c r="L46" i="33"/>
  <c r="L131" i="33"/>
  <c r="AQ46" i="33"/>
  <c r="AQ92" i="33"/>
  <c r="AF46" i="33"/>
  <c r="AF92" i="33"/>
  <c r="AP46" i="33"/>
  <c r="G108" i="32"/>
  <c r="AP92" i="33"/>
  <c r="AJ46" i="33"/>
  <c r="AO92" i="33"/>
  <c r="AN92" i="33"/>
  <c r="AN46" i="33"/>
  <c r="AI46" i="33"/>
  <c r="AJ92" i="33"/>
  <c r="AO46" i="33"/>
  <c r="AM46" i="33"/>
  <c r="AI92" i="33"/>
  <c r="AG46" i="33"/>
  <c r="AM92" i="33"/>
  <c r="AK92" i="33"/>
  <c r="AL46" i="33"/>
  <c r="AK46" i="33"/>
  <c r="AH92" i="33"/>
  <c r="AL92" i="33"/>
  <c r="AH46" i="33"/>
  <c r="AG92" i="33"/>
  <c r="Z46" i="33"/>
  <c r="AC92" i="33"/>
  <c r="AC46" i="33"/>
  <c r="W92" i="33"/>
  <c r="V92" i="33"/>
  <c r="X46" i="33"/>
  <c r="AE46" i="33"/>
  <c r="AB46" i="33"/>
  <c r="Y92" i="33"/>
  <c r="AD92" i="33"/>
  <c r="AA92" i="33"/>
  <c r="AD46" i="33"/>
  <c r="AA46" i="33"/>
  <c r="V46" i="33"/>
  <c r="W46" i="33"/>
  <c r="X92" i="33"/>
  <c r="AE92" i="33"/>
  <c r="AB92" i="33"/>
  <c r="Y46" i="33"/>
  <c r="Z92" i="33"/>
  <c r="N46" i="33"/>
  <c r="N92" i="33"/>
  <c r="Q95" i="33"/>
  <c r="Q134" i="33"/>
  <c r="H124" i="10"/>
  <c r="Q49" i="33"/>
  <c r="G24" i="98"/>
  <c r="G79" i="98"/>
  <c r="R92" i="33"/>
  <c r="R46" i="33"/>
  <c r="H24" i="98"/>
  <c r="H79" i="98"/>
  <c r="T46" i="33"/>
  <c r="L79" i="71"/>
  <c r="L24" i="71"/>
  <c r="G24" i="71"/>
  <c r="G79" i="71"/>
  <c r="P53" i="32"/>
  <c r="U134" i="33"/>
  <c r="U95" i="33"/>
  <c r="U49" i="33"/>
  <c r="L124" i="10"/>
  <c r="O53" i="32"/>
  <c r="H79" i="71"/>
  <c r="H24" i="71"/>
  <c r="T92" i="33"/>
  <c r="C79" i="75" l="1"/>
  <c r="C26" i="75"/>
  <c r="AJ79" i="98"/>
  <c r="AJ24" i="98"/>
  <c r="AJ24" i="104"/>
  <c r="AJ79" i="104"/>
  <c r="AS19" i="33"/>
  <c r="AI24" i="71"/>
  <c r="AI79" i="71"/>
  <c r="P19" i="33"/>
  <c r="P46" i="33"/>
  <c r="P92" i="33"/>
  <c r="P131" i="33"/>
  <c r="U92" i="33"/>
  <c r="U131" i="33"/>
  <c r="U19" i="33"/>
  <c r="U46" i="33"/>
  <c r="H108" i="32"/>
  <c r="Q46" i="33"/>
  <c r="Q19" i="33"/>
  <c r="Q92" i="33"/>
  <c r="Q131" i="33"/>
  <c r="H79" i="75" l="1"/>
  <c r="H26" i="75"/>
  <c r="L79" i="75"/>
  <c r="L26" i="75"/>
  <c r="G26" i="75"/>
  <c r="G79" i="75"/>
  <c r="B145" i="44"/>
  <c r="AK145" i="44" s="1"/>
  <c r="B134" i="44"/>
  <c r="AK172" i="44" l="1"/>
  <c r="AK199" i="44"/>
  <c r="G20" i="33"/>
  <c r="F10" i="33"/>
  <c r="F20" i="33"/>
  <c r="AB145" i="44"/>
  <c r="E145" i="44"/>
  <c r="AE145" i="44"/>
  <c r="Z145" i="44"/>
  <c r="AI145" i="44"/>
  <c r="AJ145" i="44"/>
  <c r="K145" i="44"/>
  <c r="AA145" i="44"/>
  <c r="AH145" i="44"/>
  <c r="I145" i="44"/>
  <c r="F145" i="44"/>
  <c r="L145" i="44"/>
  <c r="N145" i="44"/>
  <c r="O145" i="44"/>
  <c r="Y145" i="44"/>
  <c r="X145" i="44"/>
  <c r="AG145" i="44"/>
  <c r="H145" i="44"/>
  <c r="AD145" i="44"/>
  <c r="T145" i="44"/>
  <c r="AC145" i="44"/>
  <c r="S145" i="44"/>
  <c r="J145" i="44"/>
  <c r="W145" i="44"/>
  <c r="P145" i="44"/>
  <c r="M145" i="44"/>
  <c r="R145" i="44"/>
  <c r="V145" i="44"/>
  <c r="G145" i="44"/>
  <c r="U145" i="44"/>
  <c r="AF145" i="44"/>
  <c r="Q145" i="44"/>
  <c r="AL885" i="97" l="1"/>
  <c r="AS161" i="44"/>
  <c r="AR78" i="44"/>
  <c r="H20" i="33"/>
  <c r="I20" i="33"/>
  <c r="H885" i="97"/>
  <c r="G199" i="44"/>
  <c r="G172" i="44"/>
  <c r="AC172" i="44"/>
  <c r="AC199" i="44"/>
  <c r="AD885" i="97"/>
  <c r="N199" i="44"/>
  <c r="O885" i="97"/>
  <c r="N172" i="44"/>
  <c r="AI172" i="44"/>
  <c r="AJ885" i="97"/>
  <c r="AI199" i="44"/>
  <c r="T885" i="97"/>
  <c r="S172" i="44"/>
  <c r="S199" i="44"/>
  <c r="V199" i="44"/>
  <c r="W885" i="97"/>
  <c r="V172" i="44"/>
  <c r="T199" i="44"/>
  <c r="T172" i="44"/>
  <c r="U885" i="97"/>
  <c r="L172" i="44"/>
  <c r="L199" i="44"/>
  <c r="M885" i="97"/>
  <c r="Z199" i="44"/>
  <c r="AA885" i="97"/>
  <c r="Z172" i="44"/>
  <c r="Y199" i="44"/>
  <c r="Y172" i="44"/>
  <c r="Z885" i="97"/>
  <c r="U199" i="44"/>
  <c r="U172" i="44"/>
  <c r="V885" i="97"/>
  <c r="S885" i="97"/>
  <c r="R199" i="44"/>
  <c r="R172" i="44"/>
  <c r="AD172" i="44"/>
  <c r="AD199" i="44"/>
  <c r="AE885" i="97"/>
  <c r="F172" i="44"/>
  <c r="G885" i="97"/>
  <c r="F199" i="44"/>
  <c r="AE199" i="44"/>
  <c r="AE172" i="44"/>
  <c r="AF885" i="97"/>
  <c r="L885" i="97"/>
  <c r="K172" i="44"/>
  <c r="K199" i="44"/>
  <c r="N885" i="97"/>
  <c r="M172" i="44"/>
  <c r="M199" i="44"/>
  <c r="I885" i="97"/>
  <c r="H172" i="44"/>
  <c r="H199" i="44"/>
  <c r="I199" i="44"/>
  <c r="J885" i="97"/>
  <c r="I172" i="44"/>
  <c r="E172" i="44"/>
  <c r="E199" i="44"/>
  <c r="F885" i="97"/>
  <c r="AJ199" i="44"/>
  <c r="AK885" i="97"/>
  <c r="AJ172" i="44"/>
  <c r="P199" i="44"/>
  <c r="P172" i="44"/>
  <c r="Q885" i="97"/>
  <c r="AG172" i="44"/>
  <c r="AH885" i="97"/>
  <c r="AG199" i="44"/>
  <c r="AI885" i="97"/>
  <c r="AH172" i="44"/>
  <c r="AH199" i="44"/>
  <c r="AB199" i="44"/>
  <c r="AB172" i="44"/>
  <c r="AC885" i="97"/>
  <c r="AG885" i="97"/>
  <c r="AF199" i="44"/>
  <c r="AF172" i="44"/>
  <c r="P885" i="97"/>
  <c r="O172" i="44"/>
  <c r="O199" i="44"/>
  <c r="Q199" i="44"/>
  <c r="R885" i="97"/>
  <c r="Q172" i="44"/>
  <c r="W172" i="44"/>
  <c r="W199" i="44"/>
  <c r="X885" i="97"/>
  <c r="X172" i="44"/>
  <c r="Y885" i="97"/>
  <c r="X199" i="44"/>
  <c r="AA199" i="44"/>
  <c r="AB885" i="97"/>
  <c r="AA172" i="44"/>
  <c r="J199" i="44"/>
  <c r="J172" i="44"/>
  <c r="K885" i="97"/>
  <c r="AN172" i="44" l="1"/>
  <c r="AM172" i="44"/>
  <c r="AO172" i="44"/>
  <c r="AL172" i="44"/>
  <c r="B150" i="44"/>
  <c r="AK150" i="44" s="1"/>
  <c r="B148" i="44"/>
  <c r="B136" i="44"/>
  <c r="AK177" i="44" l="1"/>
  <c r="G25" i="33"/>
  <c r="AK204" i="44"/>
  <c r="AK203" i="44" s="1"/>
  <c r="AR58" i="33" s="1"/>
  <c r="AK149" i="44"/>
  <c r="F12" i="33"/>
  <c r="F23" i="33"/>
  <c r="E150" i="44"/>
  <c r="AB150" i="44"/>
  <c r="S150" i="44"/>
  <c r="AE150" i="44"/>
  <c r="G150" i="44"/>
  <c r="V150" i="44"/>
  <c r="AC150" i="44"/>
  <c r="R150" i="44"/>
  <c r="L150" i="44"/>
  <c r="K150" i="44"/>
  <c r="AJ150" i="44"/>
  <c r="F25" i="33"/>
  <c r="H150" i="44"/>
  <c r="AF150" i="44"/>
  <c r="W150" i="44"/>
  <c r="Q150" i="44"/>
  <c r="AH150" i="44"/>
  <c r="P150" i="44"/>
  <c r="N150" i="44"/>
  <c r="AG150" i="44"/>
  <c r="J150" i="44"/>
  <c r="I150" i="44"/>
  <c r="AA150" i="44"/>
  <c r="AI150" i="44"/>
  <c r="T150" i="44"/>
  <c r="M150" i="44"/>
  <c r="U150" i="44"/>
  <c r="Z150" i="44"/>
  <c r="Y150" i="44"/>
  <c r="AD150" i="44"/>
  <c r="X150" i="44"/>
  <c r="F150" i="44"/>
  <c r="O150" i="44"/>
  <c r="G24" i="33" l="1"/>
  <c r="I25" i="33"/>
  <c r="H25" i="33"/>
  <c r="AK176" i="44"/>
  <c r="AD149" i="44"/>
  <c r="AB93" i="10" s="1"/>
  <c r="AB47" i="10" s="1"/>
  <c r="AD177" i="44"/>
  <c r="AD204" i="44"/>
  <c r="AD203" i="44" s="1"/>
  <c r="AK58" i="33" s="1"/>
  <c r="I149" i="44"/>
  <c r="G93" i="10" s="1"/>
  <c r="G47" i="10" s="1"/>
  <c r="I177" i="44"/>
  <c r="I204" i="44"/>
  <c r="I203" i="44" s="1"/>
  <c r="P58" i="33" s="1"/>
  <c r="AF149" i="44"/>
  <c r="AD93" i="10" s="1"/>
  <c r="AD47" i="10" s="1"/>
  <c r="AF177" i="44"/>
  <c r="AF204" i="44"/>
  <c r="AF203" i="44" s="1"/>
  <c r="AM58" i="33" s="1"/>
  <c r="V177" i="44"/>
  <c r="V149" i="44"/>
  <c r="T93" i="10" s="1"/>
  <c r="T47" i="10" s="1"/>
  <c r="V204" i="44"/>
  <c r="V203" i="44" s="1"/>
  <c r="AC58" i="33" s="1"/>
  <c r="Y149" i="44"/>
  <c r="W93" i="10" s="1"/>
  <c r="W47" i="10" s="1"/>
  <c r="Y204" i="44"/>
  <c r="Y203" i="44" s="1"/>
  <c r="AF58" i="33" s="1"/>
  <c r="Y177" i="44"/>
  <c r="J177" i="44"/>
  <c r="J149" i="44"/>
  <c r="H93" i="10" s="1"/>
  <c r="H47" i="10" s="1"/>
  <c r="J204" i="44"/>
  <c r="J203" i="44" s="1"/>
  <c r="Q58" i="33" s="1"/>
  <c r="H177" i="44"/>
  <c r="H204" i="44"/>
  <c r="H203" i="44" s="1"/>
  <c r="O58" i="33" s="1"/>
  <c r="H149" i="44"/>
  <c r="F93" i="10" s="1"/>
  <c r="F47" i="10" s="1"/>
  <c r="G149" i="44"/>
  <c r="E93" i="10" s="1"/>
  <c r="E47" i="10" s="1"/>
  <c r="G177" i="44"/>
  <c r="G204" i="44"/>
  <c r="G203" i="44" s="1"/>
  <c r="N58" i="33" s="1"/>
  <c r="Z149" i="44"/>
  <c r="X93" i="10" s="1"/>
  <c r="X47" i="10" s="1"/>
  <c r="Z177" i="44"/>
  <c r="Z204" i="44"/>
  <c r="Z203" i="44" s="1"/>
  <c r="AG58" i="33" s="1"/>
  <c r="AG149" i="44"/>
  <c r="AE93" i="10" s="1"/>
  <c r="AE47" i="10" s="1"/>
  <c r="AG204" i="44"/>
  <c r="AG203" i="44" s="1"/>
  <c r="AN58" i="33" s="1"/>
  <c r="AG177" i="44"/>
  <c r="AE204" i="44"/>
  <c r="AE203" i="44" s="1"/>
  <c r="AL58" i="33" s="1"/>
  <c r="AE149" i="44"/>
  <c r="AC93" i="10" s="1"/>
  <c r="AC47" i="10" s="1"/>
  <c r="AE177" i="44"/>
  <c r="U149" i="44"/>
  <c r="S93" i="10" s="1"/>
  <c r="S47" i="10" s="1"/>
  <c r="U177" i="44"/>
  <c r="U204" i="44"/>
  <c r="U203" i="44" s="1"/>
  <c r="AB58" i="33" s="1"/>
  <c r="N149" i="44"/>
  <c r="L93" i="10" s="1"/>
  <c r="L47" i="10" s="1"/>
  <c r="N204" i="44"/>
  <c r="N203" i="44" s="1"/>
  <c r="U58" i="33" s="1"/>
  <c r="N177" i="44"/>
  <c r="AJ204" i="44"/>
  <c r="AJ177" i="44"/>
  <c r="AJ149" i="44"/>
  <c r="S149" i="44"/>
  <c r="Q93" i="10" s="1"/>
  <c r="Q47" i="10" s="1"/>
  <c r="S177" i="44"/>
  <c r="S204" i="44"/>
  <c r="S203" i="44" s="1"/>
  <c r="Z58" i="33" s="1"/>
  <c r="M177" i="44"/>
  <c r="M204" i="44"/>
  <c r="M203" i="44" s="1"/>
  <c r="T58" i="33" s="1"/>
  <c r="M149" i="44"/>
  <c r="K93" i="10" s="1"/>
  <c r="K47" i="10" s="1"/>
  <c r="P177" i="44"/>
  <c r="P149" i="44"/>
  <c r="N93" i="10" s="1"/>
  <c r="N47" i="10" s="1"/>
  <c r="P204" i="44"/>
  <c r="P203" i="44" s="1"/>
  <c r="W58" i="33" s="1"/>
  <c r="K204" i="44"/>
  <c r="K203" i="44" s="1"/>
  <c r="R58" i="33" s="1"/>
  <c r="K177" i="44"/>
  <c r="K149" i="44"/>
  <c r="I93" i="10" s="1"/>
  <c r="I47" i="10" s="1"/>
  <c r="AB177" i="44"/>
  <c r="AB204" i="44"/>
  <c r="AB203" i="44" s="1"/>
  <c r="AI58" i="33" s="1"/>
  <c r="AB149" i="44"/>
  <c r="Z93" i="10" s="1"/>
  <c r="Z47" i="10" s="1"/>
  <c r="O149" i="44"/>
  <c r="M93" i="10" s="1"/>
  <c r="M47" i="10" s="1"/>
  <c r="O204" i="44"/>
  <c r="O203" i="44" s="1"/>
  <c r="V58" i="33" s="1"/>
  <c r="O177" i="44"/>
  <c r="T149" i="44"/>
  <c r="R93" i="10" s="1"/>
  <c r="R47" i="10" s="1"/>
  <c r="T204" i="44"/>
  <c r="T203" i="44" s="1"/>
  <c r="AA58" i="33" s="1"/>
  <c r="T177" i="44"/>
  <c r="AH149" i="44"/>
  <c r="AF93" i="10" s="1"/>
  <c r="AF47" i="10" s="1"/>
  <c r="AH177" i="44"/>
  <c r="AH204" i="44"/>
  <c r="AH203" i="44" s="1"/>
  <c r="AO58" i="33" s="1"/>
  <c r="L204" i="44"/>
  <c r="L203" i="44" s="1"/>
  <c r="S58" i="33" s="1"/>
  <c r="L149" i="44"/>
  <c r="J93" i="10" s="1"/>
  <c r="J47" i="10" s="1"/>
  <c r="L177" i="44"/>
  <c r="E149" i="44"/>
  <c r="C93" i="10" s="1"/>
  <c r="C47" i="10" s="1"/>
  <c r="E177" i="44"/>
  <c r="E204" i="44"/>
  <c r="E203" i="44" s="1"/>
  <c r="L58" i="33" s="1"/>
  <c r="F149" i="44"/>
  <c r="D93" i="10" s="1"/>
  <c r="D47" i="10" s="1"/>
  <c r="F177" i="44"/>
  <c r="F204" i="44"/>
  <c r="F203" i="44" s="1"/>
  <c r="M58" i="33" s="1"/>
  <c r="AI149" i="44"/>
  <c r="AG93" i="10" s="1"/>
  <c r="AG47" i="10" s="1"/>
  <c r="AI177" i="44"/>
  <c r="AI204" i="44"/>
  <c r="AI203" i="44" s="1"/>
  <c r="AP58" i="33" s="1"/>
  <c r="Q149" i="44"/>
  <c r="O93" i="10" s="1"/>
  <c r="O47" i="10" s="1"/>
  <c r="Q177" i="44"/>
  <c r="Q204" i="44"/>
  <c r="Q203" i="44" s="1"/>
  <c r="X58" i="33" s="1"/>
  <c r="R149" i="44"/>
  <c r="P93" i="10" s="1"/>
  <c r="P47" i="10" s="1"/>
  <c r="R204" i="44"/>
  <c r="R203" i="44" s="1"/>
  <c r="Y58" i="33" s="1"/>
  <c r="R177" i="44"/>
  <c r="X204" i="44"/>
  <c r="X203" i="44" s="1"/>
  <c r="AE58" i="33" s="1"/>
  <c r="X149" i="44"/>
  <c r="V93" i="10" s="1"/>
  <c r="V47" i="10" s="1"/>
  <c r="X177" i="44"/>
  <c r="AA149" i="44"/>
  <c r="Y93" i="10" s="1"/>
  <c r="Y47" i="10" s="1"/>
  <c r="AA204" i="44"/>
  <c r="AA203" i="44" s="1"/>
  <c r="AH58" i="33" s="1"/>
  <c r="AA177" i="44"/>
  <c r="W204" i="44"/>
  <c r="W203" i="44" s="1"/>
  <c r="AD58" i="33" s="1"/>
  <c r="W177" i="44"/>
  <c r="W149" i="44"/>
  <c r="U93" i="10" s="1"/>
  <c r="U47" i="10" s="1"/>
  <c r="AC149" i="44"/>
  <c r="AA93" i="10" s="1"/>
  <c r="AA47" i="10" s="1"/>
  <c r="AC204" i="44"/>
  <c r="AC203" i="44" s="1"/>
  <c r="AJ58" i="33" s="1"/>
  <c r="AC177" i="44"/>
  <c r="BA38" i="103" l="1"/>
  <c r="AO177" i="44"/>
  <c r="AL177" i="44"/>
  <c r="AM177" i="44"/>
  <c r="H24" i="33"/>
  <c r="I24" i="33"/>
  <c r="AI93" i="10"/>
  <c r="AN177" i="44"/>
  <c r="AJ203" i="44"/>
  <c r="W176" i="44"/>
  <c r="E176" i="44"/>
  <c r="T176" i="44"/>
  <c r="P176" i="44"/>
  <c r="AH93" i="10"/>
  <c r="U176" i="44"/>
  <c r="AG176" i="44"/>
  <c r="AF176" i="44"/>
  <c r="AJ176" i="44"/>
  <c r="AA176" i="44"/>
  <c r="AI176" i="44"/>
  <c r="L176" i="44"/>
  <c r="AB176" i="44"/>
  <c r="AE176" i="44"/>
  <c r="R176" i="44"/>
  <c r="O176" i="44"/>
  <c r="M176" i="44"/>
  <c r="H176" i="44"/>
  <c r="I176" i="44"/>
  <c r="AC176" i="44"/>
  <c r="K176" i="44"/>
  <c r="N176" i="44"/>
  <c r="Z176" i="44"/>
  <c r="X176" i="44"/>
  <c r="F176" i="44"/>
  <c r="S176" i="44"/>
  <c r="AH176" i="44"/>
  <c r="J176" i="44"/>
  <c r="V176" i="44"/>
  <c r="AD176" i="44"/>
  <c r="Q176" i="44"/>
  <c r="G176" i="44"/>
  <c r="Y176" i="44"/>
  <c r="AA38" i="103" l="1"/>
  <c r="AU38" i="103"/>
  <c r="V38" i="103"/>
  <c r="AQ38" i="103"/>
  <c r="W38" i="103"/>
  <c r="AL38" i="103"/>
  <c r="AD38" i="103"/>
  <c r="X38" i="103"/>
  <c r="AB38" i="103"/>
  <c r="AW38" i="103"/>
  <c r="AC38" i="103"/>
  <c r="AX38" i="103"/>
  <c r="AK38" i="103"/>
  <c r="AY38" i="103"/>
  <c r="AO38" i="103"/>
  <c r="AS38" i="103"/>
  <c r="AN38" i="103"/>
  <c r="AE38" i="103"/>
  <c r="AZ38" i="103"/>
  <c r="Y38" i="103"/>
  <c r="AR38" i="103"/>
  <c r="AJ38" i="103"/>
  <c r="Z38" i="103"/>
  <c r="AM38" i="103"/>
  <c r="AF38" i="103"/>
  <c r="AG38" i="103"/>
  <c r="AH38" i="103"/>
  <c r="AT38" i="103"/>
  <c r="AI38" i="103"/>
  <c r="AP38" i="103"/>
  <c r="AV38" i="103"/>
  <c r="U38" i="103"/>
  <c r="AL176" i="44"/>
  <c r="AI47" i="10"/>
  <c r="AJ47" i="10" s="1"/>
  <c r="AM176" i="44"/>
  <c r="AO176" i="44"/>
  <c r="AN176" i="44"/>
  <c r="AP38" i="89"/>
  <c r="AI41" i="10"/>
  <c r="AJ93" i="10"/>
  <c r="AQ58" i="33"/>
  <c r="AI38" i="89"/>
  <c r="AB41" i="10"/>
  <c r="X38" i="89"/>
  <c r="Q41" i="10"/>
  <c r="K38" i="89"/>
  <c r="D41" i="10"/>
  <c r="X41" i="10"/>
  <c r="AE38" i="89"/>
  <c r="AH38" i="89"/>
  <c r="AA41" i="10"/>
  <c r="AC41" i="10"/>
  <c r="AJ38" i="89"/>
  <c r="AG38" i="89"/>
  <c r="Z41" i="10"/>
  <c r="AN38" i="89"/>
  <c r="AG41" i="10"/>
  <c r="AO38" i="89"/>
  <c r="AH41" i="10"/>
  <c r="AH47" i="10"/>
  <c r="AK47" i="10" s="1"/>
  <c r="E41" i="10"/>
  <c r="L38" i="89"/>
  <c r="S38" i="89"/>
  <c r="L41" i="10"/>
  <c r="F41" i="10"/>
  <c r="M38" i="89"/>
  <c r="Y41" i="10"/>
  <c r="AF38" i="89"/>
  <c r="AK38" i="89"/>
  <c r="AD41" i="10"/>
  <c r="U38" i="89"/>
  <c r="N41" i="10"/>
  <c r="U41" i="10"/>
  <c r="AB38" i="89"/>
  <c r="AC38" i="89"/>
  <c r="V41" i="10"/>
  <c r="I41" i="10"/>
  <c r="P38" i="89"/>
  <c r="T38" i="89"/>
  <c r="M41" i="10"/>
  <c r="J41" i="10"/>
  <c r="Q38" i="89"/>
  <c r="R41" i="10"/>
  <c r="Y38" i="89"/>
  <c r="AA38" i="89"/>
  <c r="T41" i="10"/>
  <c r="V38" i="89"/>
  <c r="O41" i="10"/>
  <c r="Z38" i="89"/>
  <c r="S41" i="10"/>
  <c r="H41" i="10"/>
  <c r="O38" i="89"/>
  <c r="N38" i="89"/>
  <c r="G41" i="10"/>
  <c r="K41" i="10"/>
  <c r="R38" i="89"/>
  <c r="W38" i="89"/>
  <c r="P41" i="10"/>
  <c r="C41" i="10"/>
  <c r="J38" i="89"/>
  <c r="AD38" i="89"/>
  <c r="W41" i="10"/>
  <c r="AF41" i="10"/>
  <c r="AM38" i="89"/>
  <c r="AL38" i="89"/>
  <c r="AE41" i="10"/>
  <c r="AK41" i="10" l="1"/>
  <c r="AL47" i="10"/>
  <c r="AL41" i="10"/>
  <c r="AI88" i="10"/>
  <c r="AJ41" i="10"/>
  <c r="AL611" i="97"/>
  <c r="AL931" i="97" s="1"/>
  <c r="K88" i="10"/>
  <c r="N611" i="97"/>
  <c r="N931" i="97" s="1"/>
  <c r="O88" i="10"/>
  <c r="R611" i="97"/>
  <c r="R931" i="97" s="1"/>
  <c r="AD88" i="10"/>
  <c r="AG611" i="97"/>
  <c r="AG931" i="97" s="1"/>
  <c r="AH88" i="10"/>
  <c r="AK611" i="97"/>
  <c r="AK931" i="97" s="1"/>
  <c r="AC88" i="10"/>
  <c r="AF611" i="97"/>
  <c r="AF931" i="97" s="1"/>
  <c r="AD611" i="97"/>
  <c r="AD931" i="97" s="1"/>
  <c r="AA88" i="10"/>
  <c r="AF88" i="10"/>
  <c r="AI611" i="97"/>
  <c r="AI931" i="97" s="1"/>
  <c r="W88" i="10"/>
  <c r="Z611" i="97"/>
  <c r="Z931" i="97" s="1"/>
  <c r="G88" i="10"/>
  <c r="J611" i="97"/>
  <c r="J931" i="97" s="1"/>
  <c r="H88" i="10"/>
  <c r="K611" i="97"/>
  <c r="K931" i="97" s="1"/>
  <c r="AG88" i="10"/>
  <c r="AJ611" i="97"/>
  <c r="AJ931" i="97" s="1"/>
  <c r="Q88" i="10"/>
  <c r="T611" i="97"/>
  <c r="T931" i="97" s="1"/>
  <c r="J88" i="10"/>
  <c r="M611" i="97"/>
  <c r="M931" i="97" s="1"/>
  <c r="M88" i="10"/>
  <c r="P611" i="97"/>
  <c r="P931" i="97" s="1"/>
  <c r="U88" i="10"/>
  <c r="X611" i="97"/>
  <c r="X931" i="97" s="1"/>
  <c r="O611" i="97"/>
  <c r="O931" i="97" s="1"/>
  <c r="L88" i="10"/>
  <c r="AH611" i="97"/>
  <c r="AH931" i="97" s="1"/>
  <c r="AE88" i="10"/>
  <c r="C88" i="10"/>
  <c r="F611" i="97"/>
  <c r="F931" i="97" s="1"/>
  <c r="P88" i="10"/>
  <c r="S611" i="97"/>
  <c r="S931" i="97" s="1"/>
  <c r="AB611" i="97"/>
  <c r="AB931" i="97" s="1"/>
  <c r="Y88" i="10"/>
  <c r="R88" i="10"/>
  <c r="U611" i="97"/>
  <c r="U931" i="97" s="1"/>
  <c r="I88" i="10"/>
  <c r="L611" i="97"/>
  <c r="L931" i="97" s="1"/>
  <c r="N88" i="10"/>
  <c r="Q611" i="97"/>
  <c r="Q931" i="97" s="1"/>
  <c r="E88" i="10"/>
  <c r="H611" i="97"/>
  <c r="H931" i="97" s="1"/>
  <c r="Z88" i="10"/>
  <c r="AC611" i="97"/>
  <c r="AC931" i="97" s="1"/>
  <c r="X88" i="10"/>
  <c r="AA611" i="97"/>
  <c r="AA931" i="97" s="1"/>
  <c r="AB88" i="10"/>
  <c r="AE611" i="97"/>
  <c r="AE931" i="97" s="1"/>
  <c r="T88" i="10"/>
  <c r="W611" i="97"/>
  <c r="W931" i="97" s="1"/>
  <c r="F88" i="10"/>
  <c r="I611" i="97"/>
  <c r="I931" i="97" s="1"/>
  <c r="S88" i="10"/>
  <c r="V611" i="97"/>
  <c r="V931" i="97" s="1"/>
  <c r="Y611" i="97"/>
  <c r="Y931" i="97" s="1"/>
  <c r="V88" i="10"/>
  <c r="G611" i="97"/>
  <c r="G931" i="97" s="1"/>
  <c r="D88" i="10"/>
  <c r="AJ88" i="10" l="1"/>
  <c r="AV82" i="70"/>
  <c r="AE11" i="13"/>
  <c r="AG82" i="70"/>
  <c r="AB11" i="13"/>
  <c r="AB13" i="13" s="1"/>
  <c r="AS82" i="70"/>
  <c r="AD82" i="70"/>
  <c r="AW82" i="70"/>
  <c r="AH82" i="70"/>
  <c r="AF11" i="13"/>
  <c r="AT82" i="70"/>
  <c r="AC11" i="13"/>
  <c r="AE82" i="70"/>
  <c r="AU82" i="70"/>
  <c r="AD11" i="13"/>
  <c r="AF82" i="70"/>
  <c r="AI82" i="70"/>
  <c r="AG11" i="13"/>
  <c r="AX82" i="70"/>
  <c r="R91" i="13" l="1"/>
  <c r="AD13" i="13"/>
  <c r="AA82" i="70"/>
  <c r="Y11" i="13"/>
  <c r="AP82" i="70"/>
  <c r="AH11" i="13"/>
  <c r="AN82" i="70"/>
  <c r="Y82" i="70"/>
  <c r="W11" i="13"/>
  <c r="AB27" i="13"/>
  <c r="AB24" i="13"/>
  <c r="AB25" i="13"/>
  <c r="AB26" i="13"/>
  <c r="AO82" i="70"/>
  <c r="Z82" i="70"/>
  <c r="X11" i="13"/>
  <c r="AC82" i="70"/>
  <c r="AA11" i="13"/>
  <c r="AR82" i="70"/>
  <c r="Q91" i="13"/>
  <c r="AC13" i="13"/>
  <c r="S91" i="13"/>
  <c r="AE13" i="13"/>
  <c r="AQ82" i="70"/>
  <c r="Z11" i="13"/>
  <c r="AB82" i="70"/>
  <c r="AG13" i="13"/>
  <c r="U91" i="13"/>
  <c r="AF13" i="13"/>
  <c r="T91" i="13"/>
  <c r="AG27" i="13" l="1"/>
  <c r="AF27" i="13"/>
  <c r="AE27" i="13"/>
  <c r="AJ11" i="13"/>
  <c r="W91" i="13"/>
  <c r="AC27" i="13"/>
  <c r="AC26" i="13"/>
  <c r="AC18" i="13"/>
  <c r="AC19" i="13" s="1"/>
  <c r="AC25" i="13"/>
  <c r="AC24" i="13"/>
  <c r="AG26" i="13"/>
  <c r="AG24" i="13"/>
  <c r="AG18" i="13"/>
  <c r="AG19" i="13" s="1"/>
  <c r="AG25" i="13"/>
  <c r="V91" i="13"/>
  <c r="AH13" i="13"/>
  <c r="N91" i="13"/>
  <c r="Z13" i="13"/>
  <c r="P91" i="13"/>
  <c r="O91" i="13"/>
  <c r="AA13" i="13"/>
  <c r="AB29" i="13"/>
  <c r="Y13" i="13"/>
  <c r="M91" i="13"/>
  <c r="X13" i="13"/>
  <c r="L91" i="13"/>
  <c r="K91" i="13"/>
  <c r="W13" i="13"/>
  <c r="D91" i="13"/>
  <c r="AD27" i="13"/>
  <c r="AD26" i="13"/>
  <c r="AD25" i="13"/>
  <c r="AD18" i="13"/>
  <c r="AD19" i="13" s="1"/>
  <c r="AD24" i="13"/>
  <c r="AF18" i="13"/>
  <c r="AF19" i="13" s="1"/>
  <c r="AF25" i="13"/>
  <c r="AF26" i="13"/>
  <c r="AF24" i="13"/>
  <c r="AE26" i="13"/>
  <c r="AE24" i="13"/>
  <c r="AE18" i="13"/>
  <c r="AE19" i="13" s="1"/>
  <c r="AE25" i="13"/>
  <c r="W27" i="13" l="1"/>
  <c r="AA27" i="13"/>
  <c r="Y27" i="13"/>
  <c r="Z27" i="13"/>
  <c r="AI18" i="13"/>
  <c r="AI19" i="13" s="1"/>
  <c r="AJ13" i="13"/>
  <c r="AH27" i="13"/>
  <c r="AG29" i="13"/>
  <c r="AF29" i="13"/>
  <c r="AA18" i="13"/>
  <c r="AA19" i="13" s="1"/>
  <c r="AA26" i="13"/>
  <c r="AA24" i="13"/>
  <c r="AA25" i="13"/>
  <c r="AB18" i="13"/>
  <c r="AB19" i="13" s="1"/>
  <c r="AC29" i="13"/>
  <c r="AE29" i="13"/>
  <c r="X27" i="13"/>
  <c r="X24" i="13"/>
  <c r="X26" i="13"/>
  <c r="X18" i="13"/>
  <c r="X19" i="13" s="1"/>
  <c r="X25" i="13"/>
  <c r="AH24" i="13"/>
  <c r="AH25" i="13"/>
  <c r="AH26" i="13"/>
  <c r="AH18" i="13"/>
  <c r="W18" i="13"/>
  <c r="W19" i="13" s="1"/>
  <c r="W26" i="13"/>
  <c r="W25" i="13"/>
  <c r="W24" i="13"/>
  <c r="AD29" i="13"/>
  <c r="Y24" i="13"/>
  <c r="Y18" i="13"/>
  <c r="Y19" i="13" s="1"/>
  <c r="Y26" i="13"/>
  <c r="Y25" i="13"/>
  <c r="Z18" i="13"/>
  <c r="Z19" i="13" s="1"/>
  <c r="Z26" i="13"/>
  <c r="Z25" i="13"/>
  <c r="Z24" i="13"/>
  <c r="AH19" i="13" l="1"/>
  <c r="W29" i="13"/>
  <c r="AH29" i="13"/>
  <c r="Z29" i="13"/>
  <c r="X29" i="13"/>
  <c r="AA29" i="13"/>
  <c r="Y29" i="13"/>
  <c r="J21" i="101" l="1"/>
  <c r="E69" i="70" l="1"/>
  <c r="J21" i="41"/>
  <c r="J28" i="69" l="1"/>
  <c r="J28" i="101"/>
  <c r="J28" i="96"/>
  <c r="J28" i="58" l="1"/>
  <c r="J28" i="90"/>
  <c r="J28" i="50"/>
  <c r="J28" i="49"/>
  <c r="J28" i="47"/>
  <c r="J28" i="45"/>
  <c r="J28" i="79"/>
  <c r="AW68" i="70"/>
  <c r="AH68" i="70"/>
  <c r="J28" i="56"/>
  <c r="J28" i="87"/>
  <c r="J28" i="41"/>
  <c r="J28" i="51"/>
  <c r="J28" i="46"/>
  <c r="J28" i="55"/>
  <c r="J28" i="54"/>
  <c r="J28" i="48"/>
  <c r="J28" i="64"/>
  <c r="J28" i="53"/>
  <c r="J28" i="72"/>
  <c r="AJ25" i="21"/>
  <c r="AI97" i="10" s="1"/>
  <c r="T68" i="70"/>
  <c r="J28" i="52"/>
  <c r="S25" i="21"/>
  <c r="R97" i="10" s="1"/>
  <c r="R51" i="10" s="1"/>
  <c r="J28" i="84"/>
  <c r="AG25" i="21"/>
  <c r="AF97" i="10" s="1"/>
  <c r="AF51" i="10" s="1"/>
  <c r="J28" i="77" l="1"/>
  <c r="J28" i="73"/>
  <c r="U69" i="70"/>
  <c r="J21" i="72"/>
  <c r="R25" i="21"/>
  <c r="Q97" i="10" s="1"/>
  <c r="Q51" i="10" s="1"/>
  <c r="J21" i="81"/>
  <c r="N69" i="70"/>
  <c r="J21" i="47"/>
  <c r="J21" i="53"/>
  <c r="H69" i="70"/>
  <c r="J21" i="69"/>
  <c r="H68" i="70"/>
  <c r="G68" i="70"/>
  <c r="AD68" i="70"/>
  <c r="AS68" i="70"/>
  <c r="AU68" i="70"/>
  <c r="AF68" i="70"/>
  <c r="J28" i="83"/>
  <c r="J21" i="51"/>
  <c r="J69" i="70"/>
  <c r="N25" i="21"/>
  <c r="M97" i="10" s="1"/>
  <c r="M51" i="10" s="1"/>
  <c r="I25" i="21"/>
  <c r="H97" i="10" s="1"/>
  <c r="H51" i="10" s="1"/>
  <c r="F25" i="21"/>
  <c r="E97" i="10" s="1"/>
  <c r="E51" i="10" s="1"/>
  <c r="J21" i="73"/>
  <c r="P25" i="21"/>
  <c r="O97" i="10" s="1"/>
  <c r="O51" i="10" s="1"/>
  <c r="S68" i="70"/>
  <c r="P68" i="70"/>
  <c r="F68" i="70"/>
  <c r="W25" i="21"/>
  <c r="V97" i="10" s="1"/>
  <c r="V51" i="10" s="1"/>
  <c r="J21" i="95"/>
  <c r="AE25" i="21"/>
  <c r="AD97" i="10" s="1"/>
  <c r="AD51" i="10" s="1"/>
  <c r="F69" i="70"/>
  <c r="J21" i="45"/>
  <c r="J21" i="88"/>
  <c r="J28" i="88"/>
  <c r="J28" i="100"/>
  <c r="AB68" i="70"/>
  <c r="AQ68" i="70"/>
  <c r="R68" i="70"/>
  <c r="Q68" i="70"/>
  <c r="J28" i="85"/>
  <c r="K25" i="21"/>
  <c r="J97" i="10" s="1"/>
  <c r="J51" i="10" s="1"/>
  <c r="M69" i="70"/>
  <c r="J21" i="48"/>
  <c r="J21" i="77"/>
  <c r="J21" i="84"/>
  <c r="J21" i="82"/>
  <c r="J21" i="79"/>
  <c r="E68" i="70"/>
  <c r="N68" i="70"/>
  <c r="J25" i="21"/>
  <c r="I97" i="10" s="1"/>
  <c r="I51" i="10" s="1"/>
  <c r="J21" i="85"/>
  <c r="AC25" i="21"/>
  <c r="AB97" i="10" s="1"/>
  <c r="AB51" i="10" s="1"/>
  <c r="J28" i="82"/>
  <c r="Q25" i="21"/>
  <c r="P97" i="10" s="1"/>
  <c r="P51" i="10" s="1"/>
  <c r="G25" i="21"/>
  <c r="F97" i="10" s="1"/>
  <c r="F51" i="10" s="1"/>
  <c r="AA25" i="21"/>
  <c r="Z97" i="10" s="1"/>
  <c r="Z51" i="10" s="1"/>
  <c r="J21" i="52"/>
  <c r="I69" i="70"/>
  <c r="J21" i="55"/>
  <c r="P69" i="70"/>
  <c r="AI51" i="10"/>
  <c r="O68" i="70"/>
  <c r="L68" i="70"/>
  <c r="R69" i="70"/>
  <c r="J21" i="58"/>
  <c r="D25" i="21"/>
  <c r="C97" i="10" s="1"/>
  <c r="C51" i="10" s="1"/>
  <c r="L25" i="21"/>
  <c r="K97" i="10" s="1"/>
  <c r="K51" i="10" s="1"/>
  <c r="J21" i="50"/>
  <c r="K69" i="70"/>
  <c r="J21" i="56"/>
  <c r="Q69" i="70"/>
  <c r="J21" i="83"/>
  <c r="J21" i="49"/>
  <c r="L69" i="70"/>
  <c r="E25" i="21"/>
  <c r="D97" i="10" s="1"/>
  <c r="D51" i="10" s="1"/>
  <c r="J21" i="100"/>
  <c r="M68" i="70"/>
  <c r="J68" i="70"/>
  <c r="J28" i="81"/>
  <c r="O25" i="21"/>
  <c r="N97" i="10" s="1"/>
  <c r="N51" i="10" s="1"/>
  <c r="M25" i="21"/>
  <c r="L97" i="10" s="1"/>
  <c r="L51" i="10" s="1"/>
  <c r="T25" i="21"/>
  <c r="S97" i="10" s="1"/>
  <c r="S51" i="10" s="1"/>
  <c r="J21" i="46"/>
  <c r="O69" i="70"/>
  <c r="H25" i="21"/>
  <c r="G97" i="10" s="1"/>
  <c r="G51" i="10" s="1"/>
  <c r="J21" i="90"/>
  <c r="J21" i="87"/>
  <c r="J21" i="54"/>
  <c r="G69" i="70"/>
  <c r="J21" i="64"/>
  <c r="S69" i="70"/>
  <c r="J28" i="99"/>
  <c r="I68" i="70"/>
  <c r="U68" i="70"/>
  <c r="X68" i="70"/>
  <c r="AM68" i="70"/>
  <c r="K68" i="70"/>
  <c r="J28" i="95" l="1"/>
  <c r="J21" i="96"/>
  <c r="AD25" i="21"/>
  <c r="AC97" i="10" s="1"/>
  <c r="AC51" i="10" s="1"/>
  <c r="AR69" i="70"/>
  <c r="AC69" i="70"/>
  <c r="V25" i="21"/>
  <c r="U97" i="10" s="1"/>
  <c r="U51" i="10" s="1"/>
  <c r="AT68" i="70"/>
  <c r="AE68" i="70"/>
  <c r="Y68" i="70"/>
  <c r="AN68" i="70"/>
  <c r="AB69" i="70"/>
  <c r="AQ69" i="70"/>
  <c r="AC68" i="70"/>
  <c r="AR68" i="70"/>
  <c r="AT69" i="70"/>
  <c r="AE69" i="70"/>
  <c r="AK68" i="70"/>
  <c r="V68" i="70"/>
  <c r="AB25" i="21"/>
  <c r="AA97" i="10" s="1"/>
  <c r="AA51" i="10" s="1"/>
  <c r="AI25" i="21"/>
  <c r="AH97" i="10" s="1"/>
  <c r="AN69" i="70"/>
  <c r="Y69" i="70"/>
  <c r="AL68" i="70"/>
  <c r="W68" i="70"/>
  <c r="Z25" i="21"/>
  <c r="Y97" i="10" s="1"/>
  <c r="Y51" i="10" s="1"/>
  <c r="AD69" i="70"/>
  <c r="AS69" i="70"/>
  <c r="AJ51" i="10"/>
  <c r="W69" i="70"/>
  <c r="AL69" i="70"/>
  <c r="AK69" i="70"/>
  <c r="V69" i="70"/>
  <c r="Y25" i="21"/>
  <c r="X97" i="10" s="1"/>
  <c r="X51" i="10" s="1"/>
  <c r="Z69" i="70"/>
  <c r="AO69" i="70"/>
  <c r="X25" i="21"/>
  <c r="W97" i="10" s="1"/>
  <c r="W51" i="10" s="1"/>
  <c r="J21" i="99"/>
  <c r="AH25" i="21"/>
  <c r="AG97" i="10" s="1"/>
  <c r="AG51" i="10" s="1"/>
  <c r="AP69" i="70"/>
  <c r="AA69" i="70"/>
  <c r="T69" i="70"/>
  <c r="Z68" i="70"/>
  <c r="AO68" i="70"/>
  <c r="AV69" i="70"/>
  <c r="AG69" i="70"/>
  <c r="U25" i="21"/>
  <c r="T97" i="10" s="1"/>
  <c r="T51" i="10" s="1"/>
  <c r="AI68" i="70"/>
  <c r="AX68" i="70"/>
  <c r="AU69" i="70"/>
  <c r="AF69" i="70"/>
  <c r="AY69" i="70"/>
  <c r="AJ69" i="70"/>
  <c r="AL70" i="2"/>
  <c r="X69" i="70"/>
  <c r="AM69" i="70"/>
  <c r="AY68" i="70"/>
  <c r="AJ68" i="70"/>
  <c r="AL69" i="2"/>
  <c r="AP68" i="70"/>
  <c r="AA68" i="70"/>
  <c r="AH69" i="70" l="1"/>
  <c r="AW69" i="70"/>
  <c r="AV68" i="70"/>
  <c r="AG68" i="70"/>
  <c r="AF25" i="21"/>
  <c r="AE97" i="10" s="1"/>
  <c r="AE51" i="10" s="1"/>
  <c r="AI69" i="70"/>
  <c r="AX69" i="70"/>
  <c r="AH51" i="10"/>
  <c r="AJ97" i="10"/>
  <c r="AK51" i="10" l="1"/>
  <c r="AL51" i="10"/>
  <c r="S24" i="21" l="1"/>
  <c r="AA63" i="33"/>
  <c r="V63" i="33"/>
  <c r="N24" i="21"/>
  <c r="J22" i="41"/>
  <c r="D11" i="21"/>
  <c r="W10" i="60"/>
  <c r="AO70" i="70"/>
  <c r="Z70" i="70"/>
  <c r="P24" i="21"/>
  <c r="X63" i="33"/>
  <c r="E70" i="70"/>
  <c r="B10" i="60"/>
  <c r="Y11" i="21"/>
  <c r="J22" i="82"/>
  <c r="AC63" i="33"/>
  <c r="U24" i="21"/>
  <c r="AU70" i="70"/>
  <c r="AC10" i="60"/>
  <c r="AF70" i="70"/>
  <c r="AJ24" i="21"/>
  <c r="AR63" i="33"/>
  <c r="J22" i="90"/>
  <c r="AE11" i="21"/>
  <c r="AB63" i="33"/>
  <c r="T24" i="21"/>
  <c r="R24" i="21"/>
  <c r="Z63" i="33"/>
  <c r="O24" i="21"/>
  <c r="W63" i="33"/>
  <c r="AD63" i="33"/>
  <c r="V24" i="21"/>
  <c r="Q24" i="21"/>
  <c r="Y63" i="33"/>
  <c r="N96" i="10" l="1"/>
  <c r="AE70" i="70"/>
  <c r="AT70" i="70"/>
  <c r="AB10" i="60"/>
  <c r="Q11" i="21"/>
  <c r="J22" i="58"/>
  <c r="S11" i="21"/>
  <c r="J22" i="69"/>
  <c r="V70" i="70"/>
  <c r="AK70" i="70"/>
  <c r="S10" i="60"/>
  <c r="X11" i="21"/>
  <c r="J22" i="81"/>
  <c r="AF11" i="21"/>
  <c r="J22" i="95"/>
  <c r="AB11" i="21"/>
  <c r="J22" i="85"/>
  <c r="O10" i="60"/>
  <c r="R70" i="70"/>
  <c r="U96" i="10"/>
  <c r="J22" i="88"/>
  <c r="AD11" i="21"/>
  <c r="U10" i="60"/>
  <c r="X70" i="70"/>
  <c r="AM70" i="70"/>
  <c r="Q10" i="60"/>
  <c r="T70" i="70"/>
  <c r="J22" i="73"/>
  <c r="U11" i="21"/>
  <c r="AG70" i="70"/>
  <c r="AD10" i="60"/>
  <c r="AV70" i="70"/>
  <c r="M10" i="60"/>
  <c r="P70" i="70"/>
  <c r="S70" i="70"/>
  <c r="P10" i="60"/>
  <c r="J22" i="79"/>
  <c r="W11" i="21"/>
  <c r="N10" i="60"/>
  <c r="Q70" i="70"/>
  <c r="AH10" i="60"/>
  <c r="AL71" i="2"/>
  <c r="AQ70" i="70"/>
  <c r="Y10" i="60"/>
  <c r="AB70" i="70"/>
  <c r="AN70" i="70"/>
  <c r="Y70" i="70"/>
  <c r="V10" i="60"/>
  <c r="O11" i="21"/>
  <c r="J22" i="55"/>
  <c r="J22" i="64"/>
  <c r="R11" i="21"/>
  <c r="X10" i="60"/>
  <c r="AP70" i="70"/>
  <c r="AA70" i="70"/>
  <c r="J18" i="90"/>
  <c r="J43" i="90" s="1"/>
  <c r="P11" i="21"/>
  <c r="J22" i="56"/>
  <c r="O70" i="70"/>
  <c r="L10" i="60"/>
  <c r="T11" i="21"/>
  <c r="J22" i="72"/>
  <c r="O96" i="10"/>
  <c r="J18" i="41"/>
  <c r="J43" i="41" s="1"/>
  <c r="J22" i="101"/>
  <c r="AJ11" i="21"/>
  <c r="R96" i="10"/>
  <c r="AH24" i="21"/>
  <c r="AP63" i="33"/>
  <c r="AI24" i="21"/>
  <c r="AQ63" i="33"/>
  <c r="Z11" i="21"/>
  <c r="J22" i="83"/>
  <c r="T10" i="60"/>
  <c r="W70" i="70"/>
  <c r="AL70" i="70"/>
  <c r="N11" i="21"/>
  <c r="J22" i="46"/>
  <c r="U70" i="70"/>
  <c r="R10" i="60"/>
  <c r="AY70" i="70"/>
  <c r="AJ70" i="70"/>
  <c r="AG10" i="60"/>
  <c r="L63" i="33"/>
  <c r="D24" i="21"/>
  <c r="P96" i="10"/>
  <c r="J22" i="77"/>
  <c r="V11" i="21"/>
  <c r="J18" i="82"/>
  <c r="J43" i="82" s="1"/>
  <c r="AS70" i="70"/>
  <c r="AD70" i="70"/>
  <c r="AA10" i="60"/>
  <c r="M96" i="10"/>
  <c r="AH11" i="21"/>
  <c r="J22" i="99"/>
  <c r="Z10" i="60"/>
  <c r="AC70" i="70"/>
  <c r="AR70" i="70"/>
  <c r="J22" i="100"/>
  <c r="AI11" i="21"/>
  <c r="Q96" i="10"/>
  <c r="S96" i="10"/>
  <c r="AX70" i="70"/>
  <c r="AI70" i="70"/>
  <c r="AF10" i="60"/>
  <c r="J22" i="84"/>
  <c r="AA11" i="21"/>
  <c r="T96" i="10"/>
  <c r="J22" i="87"/>
  <c r="AC11" i="21"/>
  <c r="J18" i="72" l="1"/>
  <c r="J43" i="72" s="1"/>
  <c r="J18" i="56"/>
  <c r="J43" i="56" s="1"/>
  <c r="J18" i="79"/>
  <c r="J43" i="79" s="1"/>
  <c r="J18" i="81"/>
  <c r="J43" i="81" s="1"/>
  <c r="J18" i="88"/>
  <c r="J43" i="88" s="1"/>
  <c r="Q50" i="10"/>
  <c r="J18" i="99"/>
  <c r="J43" i="99" s="1"/>
  <c r="P50" i="10"/>
  <c r="J18" i="83"/>
  <c r="J43" i="83" s="1"/>
  <c r="AI96" i="10"/>
  <c r="AH96" i="10"/>
  <c r="J18" i="85"/>
  <c r="J43" i="85" s="1"/>
  <c r="J18" i="87"/>
  <c r="J43" i="87" s="1"/>
  <c r="J18" i="46"/>
  <c r="J43" i="46" s="1"/>
  <c r="U50" i="10"/>
  <c r="J18" i="69"/>
  <c r="J43" i="69" s="1"/>
  <c r="J18" i="100"/>
  <c r="J43" i="100" s="1"/>
  <c r="J18" i="77"/>
  <c r="J43" i="77" s="1"/>
  <c r="C96" i="10"/>
  <c r="J18" i="64"/>
  <c r="J43" i="64" s="1"/>
  <c r="AW70" i="70"/>
  <c r="AE10" i="60"/>
  <c r="AH70" i="70"/>
  <c r="J18" i="95"/>
  <c r="J43" i="95" s="1"/>
  <c r="T50" i="10"/>
  <c r="M50" i="10"/>
  <c r="AG96" i="10"/>
  <c r="J18" i="55"/>
  <c r="J43" i="55" s="1"/>
  <c r="J18" i="73"/>
  <c r="J43" i="73" s="1"/>
  <c r="J22" i="96"/>
  <c r="AG11" i="21"/>
  <c r="J18" i="58"/>
  <c r="J43" i="58" s="1"/>
  <c r="J18" i="101"/>
  <c r="J43" i="101" s="1"/>
  <c r="S50" i="10"/>
  <c r="J18" i="84"/>
  <c r="J43" i="84" s="1"/>
  <c r="R50" i="10"/>
  <c r="O50" i="10"/>
  <c r="N50" i="10"/>
  <c r="AI50" i="10" l="1"/>
  <c r="AH50" i="10"/>
  <c r="AJ96" i="10"/>
  <c r="C50" i="10"/>
  <c r="J18" i="96"/>
  <c r="J43" i="96" s="1"/>
  <c r="AG50" i="10"/>
  <c r="AJ50" i="10" l="1"/>
  <c r="AK50" i="10"/>
  <c r="AL50" i="10"/>
  <c r="W24" i="21" l="1"/>
  <c r="AE63" i="33"/>
  <c r="AF63" i="33"/>
  <c r="X24" i="21"/>
  <c r="C102" i="75" l="1"/>
  <c r="C12" i="75"/>
  <c r="C85" i="75" s="1"/>
  <c r="X12" i="75"/>
  <c r="X85" i="75" s="1"/>
  <c r="X102" i="75"/>
  <c r="AD102" i="75"/>
  <c r="AD12" i="75"/>
  <c r="AD85" i="75" s="1"/>
  <c r="AG63" i="33"/>
  <c r="Y24" i="21"/>
  <c r="V96" i="10"/>
  <c r="W96" i="10"/>
  <c r="AE102" i="75" l="1"/>
  <c r="AE12" i="75"/>
  <c r="AE85" i="75" s="1"/>
  <c r="Q12" i="75"/>
  <c r="Q85" i="75" s="1"/>
  <c r="Q102" i="75"/>
  <c r="AD13" i="75"/>
  <c r="AD86" i="75" s="1"/>
  <c r="AD105" i="75"/>
  <c r="O12" i="75"/>
  <c r="O85" i="75" s="1"/>
  <c r="O102" i="75"/>
  <c r="R102" i="75"/>
  <c r="R12" i="75"/>
  <c r="R85" i="75" s="1"/>
  <c r="AE13" i="75"/>
  <c r="AE86" i="75" s="1"/>
  <c r="AE105" i="75"/>
  <c r="V102" i="75"/>
  <c r="V12" i="75"/>
  <c r="V85" i="75" s="1"/>
  <c r="AC102" i="75"/>
  <c r="AC12" i="75"/>
  <c r="AC85" i="75" s="1"/>
  <c r="M102" i="75"/>
  <c r="M12" i="75"/>
  <c r="M85" i="75" s="1"/>
  <c r="Y102" i="75"/>
  <c r="Y12" i="75"/>
  <c r="Y85" i="75" s="1"/>
  <c r="AB102" i="75"/>
  <c r="AB12" i="75"/>
  <c r="AB85" i="75" s="1"/>
  <c r="AG12" i="75"/>
  <c r="AG85" i="75" s="1"/>
  <c r="AG102" i="75"/>
  <c r="AI102" i="75"/>
  <c r="AI12" i="75"/>
  <c r="AI85" i="75" s="1"/>
  <c r="W12" i="75"/>
  <c r="W85" i="75" s="1"/>
  <c r="W102" i="75"/>
  <c r="Z102" i="75"/>
  <c r="Z12" i="75"/>
  <c r="Z85" i="75" s="1"/>
  <c r="N102" i="75"/>
  <c r="N12" i="75"/>
  <c r="N85" i="75" s="1"/>
  <c r="AI105" i="75"/>
  <c r="AI13" i="75"/>
  <c r="AI86" i="75" s="1"/>
  <c r="AG105" i="75"/>
  <c r="AG13" i="75"/>
  <c r="AG86" i="75" s="1"/>
  <c r="X105" i="75"/>
  <c r="X13" i="75"/>
  <c r="X86" i="75" s="1"/>
  <c r="U102" i="75"/>
  <c r="U12" i="75"/>
  <c r="U85" i="75" s="1"/>
  <c r="S102" i="75"/>
  <c r="S12" i="75"/>
  <c r="S85" i="75" s="1"/>
  <c r="P12" i="75"/>
  <c r="P85" i="75" s="1"/>
  <c r="P102" i="75"/>
  <c r="C105" i="75"/>
  <c r="C13" i="75"/>
  <c r="C86" i="75" s="1"/>
  <c r="AA102" i="75"/>
  <c r="AA12" i="75"/>
  <c r="AA85" i="75" s="1"/>
  <c r="T102" i="75"/>
  <c r="T12" i="75"/>
  <c r="T85" i="75" s="1"/>
  <c r="W50" i="10"/>
  <c r="V50" i="10"/>
  <c r="X96" i="10"/>
  <c r="AH63" i="33"/>
  <c r="Z24" i="21"/>
  <c r="Q105" i="75" l="1"/>
  <c r="Q13" i="75"/>
  <c r="Q86" i="75" s="1"/>
  <c r="AF105" i="75"/>
  <c r="AF13" i="75"/>
  <c r="AF86" i="75" s="1"/>
  <c r="W13" i="75"/>
  <c r="W86" i="75" s="1"/>
  <c r="W105" i="75"/>
  <c r="AB105" i="75"/>
  <c r="AB13" i="75"/>
  <c r="AB86" i="75" s="1"/>
  <c r="U105" i="75"/>
  <c r="U13" i="75"/>
  <c r="U86" i="75" s="1"/>
  <c r="AH105" i="75"/>
  <c r="AH13" i="75"/>
  <c r="AH86" i="75" s="1"/>
  <c r="Y105" i="75"/>
  <c r="Y13" i="75"/>
  <c r="Y86" i="75" s="1"/>
  <c r="R105" i="75"/>
  <c r="R13" i="75"/>
  <c r="R86" i="75" s="1"/>
  <c r="V13" i="75"/>
  <c r="V86" i="75" s="1"/>
  <c r="V105" i="75"/>
  <c r="O13" i="75"/>
  <c r="O86" i="75" s="1"/>
  <c r="O105" i="75"/>
  <c r="AA105" i="75"/>
  <c r="AA13" i="75"/>
  <c r="AA86" i="75" s="1"/>
  <c r="AC105" i="75"/>
  <c r="AC13" i="75"/>
  <c r="AC86" i="75" s="1"/>
  <c r="N13" i="75"/>
  <c r="N86" i="75" s="1"/>
  <c r="N105" i="75"/>
  <c r="M105" i="75"/>
  <c r="M13" i="75"/>
  <c r="M86" i="75" s="1"/>
  <c r="Z105" i="75"/>
  <c r="Z13" i="75"/>
  <c r="Z86" i="75" s="1"/>
  <c r="AF12" i="75"/>
  <c r="AF85" i="75" s="1"/>
  <c r="AF102" i="75"/>
  <c r="P13" i="75"/>
  <c r="P86" i="75" s="1"/>
  <c r="P105" i="75"/>
  <c r="T105" i="75"/>
  <c r="T13" i="75"/>
  <c r="T86" i="75" s="1"/>
  <c r="S105" i="75"/>
  <c r="S13" i="75"/>
  <c r="S86" i="75" s="1"/>
  <c r="Y96" i="10"/>
  <c r="X50" i="10"/>
  <c r="AI63" i="33"/>
  <c r="AA24" i="21"/>
  <c r="AH102" i="75" l="1"/>
  <c r="AH12" i="75"/>
  <c r="AH85" i="75" s="1"/>
  <c r="Z96" i="10"/>
  <c r="Y50" i="10"/>
  <c r="AB24" i="21"/>
  <c r="AJ63" i="33"/>
  <c r="Z50" i="10" l="1"/>
  <c r="AA96" i="10"/>
  <c r="AK63" i="33"/>
  <c r="AC24" i="21"/>
  <c r="AL63" i="33" l="1"/>
  <c r="AD24" i="21"/>
  <c r="AB96" i="10"/>
  <c r="AA50" i="10"/>
  <c r="AE24" i="21" l="1"/>
  <c r="AM63" i="33"/>
  <c r="AC96" i="10"/>
  <c r="AB50" i="10"/>
  <c r="AD96" i="10" l="1"/>
  <c r="AC50" i="10"/>
  <c r="AN63" i="33"/>
  <c r="AF24" i="21"/>
  <c r="AG24" i="21" l="1"/>
  <c r="AO63" i="33"/>
  <c r="AE96" i="10"/>
  <c r="AD50" i="10"/>
  <c r="AE50" i="10" l="1"/>
  <c r="AF96" i="10"/>
  <c r="AF50" i="10" l="1"/>
  <c r="F70" i="70" l="1"/>
  <c r="C10" i="60"/>
  <c r="E11" i="21"/>
  <c r="J22" i="45"/>
  <c r="J18" i="45" l="1"/>
  <c r="J43" i="45" s="1"/>
  <c r="H70" i="70"/>
  <c r="E10" i="60"/>
  <c r="G10" i="60"/>
  <c r="J70" i="70"/>
  <c r="L11" i="21"/>
  <c r="J22" i="48"/>
  <c r="J22" i="53"/>
  <c r="G11" i="21"/>
  <c r="I11" i="21"/>
  <c r="J22" i="51"/>
  <c r="F10" i="60"/>
  <c r="I70" i="70"/>
  <c r="J22" i="49"/>
  <c r="K11" i="21"/>
  <c r="J22" i="54"/>
  <c r="F11" i="21"/>
  <c r="H11" i="21"/>
  <c r="J22" i="52"/>
  <c r="L70" i="70"/>
  <c r="I10" i="60"/>
  <c r="J10" i="60"/>
  <c r="M70" i="70"/>
  <c r="K70" i="70"/>
  <c r="H10" i="60"/>
  <c r="K10" i="60"/>
  <c r="N70" i="70"/>
  <c r="G70" i="70"/>
  <c r="D10" i="60"/>
  <c r="J11" i="21"/>
  <c r="J22" i="50"/>
  <c r="J22" i="47"/>
  <c r="M11" i="21"/>
  <c r="J18" i="51" l="1"/>
  <c r="J43" i="51" s="1"/>
  <c r="J18" i="49"/>
  <c r="J43" i="49" s="1"/>
  <c r="J18" i="53"/>
  <c r="J43" i="53" s="1"/>
  <c r="J18" i="52"/>
  <c r="J43" i="52" s="1"/>
  <c r="J18" i="48"/>
  <c r="J43" i="48" s="1"/>
  <c r="J18" i="47"/>
  <c r="J43" i="47" s="1"/>
  <c r="J18" i="50"/>
  <c r="J43" i="50" s="1"/>
  <c r="J18" i="54"/>
  <c r="J43" i="54" s="1"/>
  <c r="J24" i="21" l="1"/>
  <c r="R63" i="33"/>
  <c r="P63" i="33"/>
  <c r="H24" i="21"/>
  <c r="L24" i="21"/>
  <c r="T63" i="33"/>
  <c r="O63" i="33"/>
  <c r="G24" i="21"/>
  <c r="I24" i="21"/>
  <c r="Q63" i="33"/>
  <c r="M24" i="21"/>
  <c r="U63" i="33"/>
  <c r="K24" i="21"/>
  <c r="S63" i="33"/>
  <c r="N63" i="33"/>
  <c r="F24" i="21"/>
  <c r="F96" i="10" l="1"/>
  <c r="J96" i="10"/>
  <c r="G96" i="10"/>
  <c r="H96" i="10"/>
  <c r="K96" i="10"/>
  <c r="E24" i="21"/>
  <c r="M63" i="33"/>
  <c r="E96" i="10"/>
  <c r="L96" i="10"/>
  <c r="I96" i="10"/>
  <c r="E50" i="10" l="1"/>
  <c r="J50" i="10"/>
  <c r="F50" i="10"/>
  <c r="K50" i="10"/>
  <c r="I50" i="10"/>
  <c r="D96" i="10"/>
  <c r="L50" i="10"/>
  <c r="H50" i="10"/>
  <c r="G50" i="10"/>
  <c r="D102" i="75" l="1"/>
  <c r="D12" i="75"/>
  <c r="D85" i="75" s="1"/>
  <c r="D50" i="10"/>
  <c r="I12" i="75" l="1"/>
  <c r="I85" i="75" s="1"/>
  <c r="I102" i="75"/>
  <c r="K102" i="75"/>
  <c r="K12" i="75"/>
  <c r="K85" i="75" s="1"/>
  <c r="G12" i="75"/>
  <c r="G85" i="75" s="1"/>
  <c r="G102" i="75"/>
  <c r="L102" i="75"/>
  <c r="L12" i="75"/>
  <c r="L85" i="75" s="1"/>
  <c r="D105" i="75"/>
  <c r="D13" i="75"/>
  <c r="D86" i="75" s="1"/>
  <c r="F102" i="75"/>
  <c r="F12" i="75"/>
  <c r="F85" i="75" s="1"/>
  <c r="J102" i="75"/>
  <c r="J12" i="75"/>
  <c r="J85" i="75" s="1"/>
  <c r="E102" i="75"/>
  <c r="E12" i="75"/>
  <c r="E85" i="75" s="1"/>
  <c r="H12" i="75"/>
  <c r="H85" i="75" s="1"/>
  <c r="H102" i="75"/>
  <c r="AJ26" i="21"/>
  <c r="AJ23" i="21" s="1"/>
  <c r="AR64" i="33"/>
  <c r="AR65" i="33" s="1"/>
  <c r="AJ15" i="21"/>
  <c r="J105" i="75" l="1"/>
  <c r="J13" i="75"/>
  <c r="J86" i="75" s="1"/>
  <c r="I105" i="75"/>
  <c r="I13" i="75"/>
  <c r="I86" i="75" s="1"/>
  <c r="E105" i="75"/>
  <c r="E13" i="75"/>
  <c r="E86" i="75" s="1"/>
  <c r="G13" i="75"/>
  <c r="G86" i="75" s="1"/>
  <c r="G105" i="75"/>
  <c r="K105" i="75"/>
  <c r="K13" i="75"/>
  <c r="K86" i="75" s="1"/>
  <c r="L105" i="75"/>
  <c r="L13" i="75"/>
  <c r="L86" i="75" s="1"/>
  <c r="F13" i="75"/>
  <c r="F86" i="75" s="1"/>
  <c r="F105" i="75"/>
  <c r="H105" i="75"/>
  <c r="H13" i="75"/>
  <c r="H86" i="75" s="1"/>
  <c r="K26" i="21"/>
  <c r="S64" i="33"/>
  <c r="S65" i="33" s="1"/>
  <c r="K15" i="21"/>
  <c r="F26" i="21"/>
  <c r="N64" i="33"/>
  <c r="N65" i="33" s="1"/>
  <c r="F15" i="21"/>
  <c r="W26" i="21"/>
  <c r="AE64" i="33"/>
  <c r="AE65" i="33" s="1"/>
  <c r="W15" i="21"/>
  <c r="AI26" i="21"/>
  <c r="AQ64" i="33"/>
  <c r="AQ65" i="33" s="1"/>
  <c r="AI15" i="21"/>
  <c r="AH26" i="21"/>
  <c r="AP64" i="33"/>
  <c r="AP65" i="33" s="1"/>
  <c r="AH15" i="21"/>
  <c r="J26" i="21"/>
  <c r="R64" i="33"/>
  <c r="R65" i="33" s="1"/>
  <c r="J15" i="21"/>
  <c r="Y26" i="21"/>
  <c r="AG64" i="33"/>
  <c r="AG65" i="33" s="1"/>
  <c r="Y15" i="21"/>
  <c r="AF26" i="21"/>
  <c r="AN64" i="33"/>
  <c r="AN65" i="33" s="1"/>
  <c r="AF15" i="21"/>
  <c r="T26" i="21"/>
  <c r="AB64" i="33"/>
  <c r="AB65" i="33" s="1"/>
  <c r="T15" i="21"/>
  <c r="N26" i="21"/>
  <c r="V64" i="33"/>
  <c r="V65" i="33" s="1"/>
  <c r="N15" i="21"/>
  <c r="L26" i="21"/>
  <c r="T64" i="33"/>
  <c r="T65" i="33" s="1"/>
  <c r="L15" i="21"/>
  <c r="Q26" i="21"/>
  <c r="Y64" i="33"/>
  <c r="Y65" i="33" s="1"/>
  <c r="Q15" i="21"/>
  <c r="X26" i="21"/>
  <c r="AF64" i="33"/>
  <c r="AF65" i="33" s="1"/>
  <c r="X15" i="21"/>
  <c r="AC26" i="21"/>
  <c r="AK64" i="33"/>
  <c r="AK65" i="33" s="1"/>
  <c r="AC15" i="21"/>
  <c r="O26" i="21"/>
  <c r="W64" i="33"/>
  <c r="W65" i="33" s="1"/>
  <c r="O15" i="21"/>
  <c r="AA26" i="21"/>
  <c r="AI64" i="33"/>
  <c r="AI65" i="33" s="1"/>
  <c r="AA15" i="21"/>
  <c r="Z26" i="21"/>
  <c r="AH64" i="33"/>
  <c r="AH65" i="33" s="1"/>
  <c r="Z15" i="21"/>
  <c r="U26" i="21"/>
  <c r="AC64" i="33"/>
  <c r="AC65" i="33" s="1"/>
  <c r="U15" i="21"/>
  <c r="I26" i="21"/>
  <c r="Q64" i="33"/>
  <c r="Q65" i="33" s="1"/>
  <c r="I15" i="21"/>
  <c r="P26" i="21"/>
  <c r="X64" i="33"/>
  <c r="X65" i="33" s="1"/>
  <c r="P15" i="21"/>
  <c r="G26" i="21"/>
  <c r="O64" i="33"/>
  <c r="O65" i="33" s="1"/>
  <c r="G15" i="21"/>
  <c r="D26" i="21"/>
  <c r="L64" i="33"/>
  <c r="L65" i="33" s="1"/>
  <c r="D15" i="21"/>
  <c r="M26" i="21"/>
  <c r="U64" i="33"/>
  <c r="U65" i="33" s="1"/>
  <c r="M15" i="21"/>
  <c r="S26" i="21"/>
  <c r="AA64" i="33"/>
  <c r="AA65" i="33" s="1"/>
  <c r="S15" i="21"/>
  <c r="V26" i="21"/>
  <c r="AD64" i="33"/>
  <c r="AD65" i="33" s="1"/>
  <c r="V15" i="21"/>
  <c r="H26" i="21"/>
  <c r="P64" i="33"/>
  <c r="P65" i="33" s="1"/>
  <c r="H15" i="21"/>
  <c r="AB26" i="21"/>
  <c r="AJ64" i="33"/>
  <c r="AJ65" i="33" s="1"/>
  <c r="AB15" i="21"/>
  <c r="E26" i="21"/>
  <c r="M64" i="33"/>
  <c r="M65" i="33" s="1"/>
  <c r="E15" i="21"/>
  <c r="R26" i="21"/>
  <c r="Z64" i="33"/>
  <c r="Z65" i="33" s="1"/>
  <c r="R15" i="21"/>
  <c r="AG26" i="21"/>
  <c r="AO64" i="33"/>
  <c r="AO65" i="33" s="1"/>
  <c r="AG15" i="21"/>
  <c r="AE26" i="21"/>
  <c r="AM64" i="33"/>
  <c r="AM65" i="33" s="1"/>
  <c r="AE15" i="21"/>
  <c r="AD26" i="21"/>
  <c r="AL64" i="33"/>
  <c r="AL65" i="33" s="1"/>
  <c r="AD15" i="21"/>
  <c r="AF98" i="10" l="1"/>
  <c r="AG23" i="21"/>
  <c r="C98" i="10"/>
  <c r="D23" i="21"/>
  <c r="AB98" i="10"/>
  <c r="AC23" i="21"/>
  <c r="I98" i="10"/>
  <c r="J23" i="21"/>
  <c r="AA98" i="10"/>
  <c r="AB23" i="21"/>
  <c r="H98" i="10"/>
  <c r="I23" i="21"/>
  <c r="K98" i="10"/>
  <c r="L23" i="21"/>
  <c r="V98" i="10"/>
  <c r="W23" i="21"/>
  <c r="AC98" i="10"/>
  <c r="AD23" i="21"/>
  <c r="R98" i="10"/>
  <c r="S23" i="21"/>
  <c r="Z98" i="10"/>
  <c r="AA23" i="21"/>
  <c r="AE98" i="10"/>
  <c r="AF23" i="21"/>
  <c r="Q98" i="10"/>
  <c r="R23" i="21"/>
  <c r="F98" i="10"/>
  <c r="G23" i="21"/>
  <c r="W98" i="10"/>
  <c r="X23" i="21"/>
  <c r="AG98" i="10"/>
  <c r="AH23" i="21"/>
  <c r="G98" i="10"/>
  <c r="H23" i="21"/>
  <c r="T98" i="10"/>
  <c r="U23" i="21"/>
  <c r="M98" i="10"/>
  <c r="N23" i="21"/>
  <c r="E98" i="10"/>
  <c r="F23" i="21"/>
  <c r="AD98" i="10"/>
  <c r="AE23" i="21"/>
  <c r="L98" i="10"/>
  <c r="M23" i="21"/>
  <c r="N98" i="10"/>
  <c r="O23" i="21"/>
  <c r="X98" i="10"/>
  <c r="Y23" i="21"/>
  <c r="D98" i="10"/>
  <c r="E23" i="21"/>
  <c r="O98" i="10"/>
  <c r="P23" i="21"/>
  <c r="P98" i="10"/>
  <c r="Q23" i="21"/>
  <c r="AI98" i="10"/>
  <c r="AH98" i="10"/>
  <c r="AI23" i="21"/>
  <c r="U98" i="10"/>
  <c r="V23" i="21"/>
  <c r="Y98" i="10"/>
  <c r="Z23" i="21"/>
  <c r="S98" i="10"/>
  <c r="T23" i="21"/>
  <c r="J98" i="10"/>
  <c r="K23" i="21"/>
  <c r="J52" i="10" l="1"/>
  <c r="J49" i="10" s="1"/>
  <c r="J95" i="10"/>
  <c r="AI52" i="10"/>
  <c r="AH52" i="10"/>
  <c r="AH95" i="10"/>
  <c r="AJ98" i="10"/>
  <c r="AI95" i="10"/>
  <c r="X52" i="10"/>
  <c r="X49" i="10" s="1"/>
  <c r="X95" i="10"/>
  <c r="E52" i="10"/>
  <c r="E49" i="10" s="1"/>
  <c r="E95" i="10"/>
  <c r="AG52" i="10"/>
  <c r="AG49" i="10" s="1"/>
  <c r="AG95" i="10"/>
  <c r="AE52" i="10"/>
  <c r="AE49" i="10" s="1"/>
  <c r="AE95" i="10"/>
  <c r="V52" i="10"/>
  <c r="V49" i="10" s="1"/>
  <c r="V95" i="10"/>
  <c r="I52" i="10"/>
  <c r="I49" i="10" s="1"/>
  <c r="I95" i="10"/>
  <c r="S52" i="10"/>
  <c r="S49" i="10" s="1"/>
  <c r="S95" i="10"/>
  <c r="P52" i="10"/>
  <c r="P49" i="10" s="1"/>
  <c r="P95" i="10"/>
  <c r="N52" i="10"/>
  <c r="N49" i="10" s="1"/>
  <c r="N95" i="10"/>
  <c r="M52" i="10"/>
  <c r="M49" i="10" s="1"/>
  <c r="M95" i="10"/>
  <c r="W52" i="10"/>
  <c r="W49" i="10" s="1"/>
  <c r="W95" i="10"/>
  <c r="Z52" i="10"/>
  <c r="Z49" i="10" s="1"/>
  <c r="Z95" i="10"/>
  <c r="K52" i="10"/>
  <c r="K49" i="10" s="1"/>
  <c r="K95" i="10"/>
  <c r="AB52" i="10"/>
  <c r="AB49" i="10" s="1"/>
  <c r="AB95" i="10"/>
  <c r="Y52" i="10"/>
  <c r="Y49" i="10" s="1"/>
  <c r="Y95" i="10"/>
  <c r="O52" i="10"/>
  <c r="O49" i="10" s="1"/>
  <c r="O95" i="10"/>
  <c r="L52" i="10"/>
  <c r="L49" i="10" s="1"/>
  <c r="L95" i="10"/>
  <c r="T52" i="10"/>
  <c r="T49" i="10" s="1"/>
  <c r="T95" i="10"/>
  <c r="F52" i="10"/>
  <c r="F49" i="10" s="1"/>
  <c r="F95" i="10"/>
  <c r="R52" i="10"/>
  <c r="R49" i="10" s="1"/>
  <c r="R95" i="10"/>
  <c r="H52" i="10"/>
  <c r="H49" i="10" s="1"/>
  <c r="H95" i="10"/>
  <c r="C52" i="10"/>
  <c r="C49" i="10" s="1"/>
  <c r="C95" i="10"/>
  <c r="U52" i="10"/>
  <c r="U49" i="10" s="1"/>
  <c r="U95" i="10"/>
  <c r="D52" i="10"/>
  <c r="D49" i="10" s="1"/>
  <c r="D95" i="10"/>
  <c r="AD52" i="10"/>
  <c r="AD49" i="10" s="1"/>
  <c r="AD95" i="10"/>
  <c r="G52" i="10"/>
  <c r="G49" i="10" s="1"/>
  <c r="G95" i="10"/>
  <c r="Q52" i="10"/>
  <c r="Q49" i="10" s="1"/>
  <c r="Q95" i="10"/>
  <c r="AC52" i="10"/>
  <c r="AC49" i="10" s="1"/>
  <c r="AC95" i="10"/>
  <c r="AA52" i="10"/>
  <c r="AA49" i="10" s="1"/>
  <c r="AA95" i="10"/>
  <c r="AF52" i="10"/>
  <c r="AF49" i="10" s="1"/>
  <c r="AF95" i="10"/>
  <c r="AJ95" i="10" l="1"/>
  <c r="AK52" i="10"/>
  <c r="AH49" i="10"/>
  <c r="AK49" i="10" s="1"/>
  <c r="AL52" i="10"/>
  <c r="AJ52" i="10"/>
  <c r="AI49" i="10"/>
  <c r="AJ49" i="10" l="1"/>
  <c r="AL49" i="10"/>
  <c r="AI51" i="75" l="1"/>
  <c r="AH51" i="75" l="1"/>
  <c r="AK51" i="75" s="1"/>
  <c r="AK26" i="75"/>
  <c r="AG51" i="75" l="1"/>
  <c r="P51" i="75" l="1"/>
  <c r="Q51" i="75"/>
  <c r="M51" i="75"/>
  <c r="D51" i="75"/>
  <c r="O51" i="75"/>
  <c r="I51" i="75"/>
  <c r="AC51" i="75"/>
  <c r="L51" i="75"/>
  <c r="H51" i="75"/>
  <c r="X51" i="75"/>
  <c r="Z51" i="75"/>
  <c r="E51" i="75"/>
  <c r="N51" i="75"/>
  <c r="V51" i="75"/>
  <c r="F51" i="75"/>
  <c r="Y51" i="75"/>
  <c r="U51" i="75"/>
  <c r="W51" i="75"/>
  <c r="AB51" i="75"/>
  <c r="T51" i="75"/>
  <c r="AD51" i="75" l="1"/>
  <c r="AE51" i="75"/>
  <c r="G51" i="75"/>
  <c r="AA51" i="75"/>
  <c r="J51" i="75"/>
  <c r="K51" i="75"/>
  <c r="S51" i="75"/>
  <c r="AF51" i="75" l="1"/>
  <c r="C51" i="75"/>
  <c r="R51" i="75"/>
  <c r="T50" i="70" l="1"/>
  <c r="F21" i="69"/>
  <c r="F21" i="50"/>
  <c r="K50" i="70"/>
  <c r="H50" i="70"/>
  <c r="F21" i="53"/>
  <c r="Q50" i="70" l="1"/>
  <c r="F21" i="56"/>
  <c r="J50" i="70"/>
  <c r="F21" i="51"/>
  <c r="F21" i="48"/>
  <c r="M50" i="70"/>
  <c r="G50" i="70"/>
  <c r="F21" i="54"/>
  <c r="Q21" i="53"/>
  <c r="Q21" i="50"/>
  <c r="R50" i="70"/>
  <c r="F21" i="58"/>
  <c r="Q21" i="69"/>
  <c r="L50" i="70" l="1"/>
  <c r="F21" i="49"/>
  <c r="Q21" i="58"/>
  <c r="Q21" i="51"/>
  <c r="F21" i="52"/>
  <c r="I50" i="70"/>
  <c r="Q21" i="54"/>
  <c r="Q21" i="56"/>
  <c r="Y21" i="53"/>
  <c r="W50" i="70"/>
  <c r="F21" i="77"/>
  <c r="AL50" i="70"/>
  <c r="Y21" i="69"/>
  <c r="Q21" i="48"/>
  <c r="Y21" i="50"/>
  <c r="P50" i="70"/>
  <c r="F21" i="55"/>
  <c r="Y21" i="48" l="1"/>
  <c r="AG21" i="50"/>
  <c r="V50" i="70"/>
  <c r="AK50" i="70"/>
  <c r="F21" i="73"/>
  <c r="Q21" i="77"/>
  <c r="Y21" i="51"/>
  <c r="Q21" i="52"/>
  <c r="Y21" i="58"/>
  <c r="AG21" i="53"/>
  <c r="Q21" i="55"/>
  <c r="Y21" i="56"/>
  <c r="Q21" i="49"/>
  <c r="F21" i="46"/>
  <c r="O50" i="70"/>
  <c r="AG21" i="69"/>
  <c r="Y21" i="54"/>
  <c r="Y21" i="49" l="1"/>
  <c r="AG21" i="51"/>
  <c r="AN21" i="50"/>
  <c r="H14" i="60" s="1"/>
  <c r="H26" i="60" s="1"/>
  <c r="Y21" i="52"/>
  <c r="AG21" i="48"/>
  <c r="F21" i="47"/>
  <c r="N50" i="70"/>
  <c r="F21" i="45"/>
  <c r="F50" i="70"/>
  <c r="AG21" i="58"/>
  <c r="Q21" i="46"/>
  <c r="AG21" i="56"/>
  <c r="Y21" i="77"/>
  <c r="Q21" i="73"/>
  <c r="S50" i="70"/>
  <c r="F21" i="64"/>
  <c r="AG21" i="54"/>
  <c r="F21" i="41"/>
  <c r="E50" i="70"/>
  <c r="AN21" i="69"/>
  <c r="Q14" i="60" s="1"/>
  <c r="Q26" i="60" s="1"/>
  <c r="Y21" i="55"/>
  <c r="AN21" i="53"/>
  <c r="E14" i="60" s="1"/>
  <c r="E26" i="60" s="1"/>
  <c r="F21" i="72"/>
  <c r="U50" i="70"/>
  <c r="AG21" i="52" l="1"/>
  <c r="Y21" i="46"/>
  <c r="Q21" i="72"/>
  <c r="AG21" i="77"/>
  <c r="AN21" i="58"/>
  <c r="O14" i="60" s="1"/>
  <c r="O26" i="60" s="1"/>
  <c r="AN21" i="51"/>
  <c r="G14" i="60" s="1"/>
  <c r="G26" i="60" s="1"/>
  <c r="AG21" i="49"/>
  <c r="Q21" i="41"/>
  <c r="Q21" i="45"/>
  <c r="Q21" i="64"/>
  <c r="AG21" i="55"/>
  <c r="AN21" i="48"/>
  <c r="J14" i="60" s="1"/>
  <c r="J26" i="60" s="1"/>
  <c r="AN21" i="56"/>
  <c r="N14" i="60" s="1"/>
  <c r="N26" i="60" s="1"/>
  <c r="AN21" i="54"/>
  <c r="D14" i="60" s="1"/>
  <c r="D26" i="60" s="1"/>
  <c r="Y21" i="73"/>
  <c r="Q21" i="47"/>
  <c r="AN21" i="49" l="1"/>
  <c r="I14" i="60" s="1"/>
  <c r="I26" i="60" s="1"/>
  <c r="AN21" i="77"/>
  <c r="T14" i="60" s="1"/>
  <c r="T26" i="60" s="1"/>
  <c r="AN21" i="55"/>
  <c r="M14" i="60" s="1"/>
  <c r="M26" i="60" s="1"/>
  <c r="Y21" i="64"/>
  <c r="Y21" i="45"/>
  <c r="AG21" i="46"/>
  <c r="Y21" i="41"/>
  <c r="Y21" i="72"/>
  <c r="Y21" i="47"/>
  <c r="AG21" i="73"/>
  <c r="AN21" i="52"/>
  <c r="F14" i="60" s="1"/>
  <c r="F26" i="60" s="1"/>
  <c r="AN21" i="46" l="1"/>
  <c r="L14" i="60" s="1"/>
  <c r="L26" i="60" s="1"/>
  <c r="AG21" i="72"/>
  <c r="AG21" i="41"/>
  <c r="AN21" i="73"/>
  <c r="S14" i="60" s="1"/>
  <c r="S26" i="60" s="1"/>
  <c r="AG21" i="64"/>
  <c r="AG21" i="45"/>
  <c r="AG21" i="47"/>
  <c r="AN21" i="47" l="1"/>
  <c r="K14" i="60" s="1"/>
  <c r="K26" i="60" s="1"/>
  <c r="AN21" i="45"/>
  <c r="C14" i="60" s="1"/>
  <c r="C26" i="60" s="1"/>
  <c r="AN21" i="41"/>
  <c r="B14" i="60" s="1"/>
  <c r="B26" i="60" s="1"/>
  <c r="AN21" i="72"/>
  <c r="R14" i="60" s="1"/>
  <c r="R26" i="60" s="1"/>
  <c r="AN21" i="64"/>
  <c r="P14" i="60" s="1"/>
  <c r="P26" i="60" s="1"/>
  <c r="AI38" i="75" l="1"/>
  <c r="AI66" i="75"/>
  <c r="AI65" i="75"/>
  <c r="AI37" i="75"/>
  <c r="E36" i="82" l="1"/>
  <c r="I36" i="82" s="1"/>
  <c r="E36" i="77" l="1"/>
  <c r="I36" i="77" s="1"/>
  <c r="E36" i="56"/>
  <c r="I36" i="56" s="1"/>
  <c r="E36" i="64"/>
  <c r="I36" i="64" s="1"/>
  <c r="E36" i="81"/>
  <c r="I36" i="81" s="1"/>
  <c r="E36" i="54"/>
  <c r="I36" i="54" s="1"/>
  <c r="E36" i="101"/>
  <c r="I36" i="101" s="1"/>
  <c r="E36" i="47"/>
  <c r="I36" i="47" s="1"/>
  <c r="E36" i="79"/>
  <c r="I36" i="79" s="1"/>
  <c r="E36" i="69"/>
  <c r="I36" i="69" s="1"/>
  <c r="E36" i="84"/>
  <c r="I36" i="84" s="1"/>
  <c r="E36" i="50"/>
  <c r="E36" i="72"/>
  <c r="I36" i="72" s="1"/>
  <c r="E36" i="95"/>
  <c r="I36" i="95" s="1"/>
  <c r="E36" i="49"/>
  <c r="I36" i="49" s="1"/>
  <c r="E36" i="45"/>
  <c r="I36" i="45" s="1"/>
  <c r="E36" i="73"/>
  <c r="I36" i="73" s="1"/>
  <c r="E36" i="53"/>
  <c r="I36" i="53" s="1"/>
  <c r="E36" i="52"/>
  <c r="I36" i="52" s="1"/>
  <c r="E36" i="48"/>
  <c r="I36" i="48" s="1"/>
  <c r="E36" i="55"/>
  <c r="I36" i="55" s="1"/>
  <c r="E36" i="83"/>
  <c r="E36" i="58"/>
  <c r="I36" i="58" s="1"/>
  <c r="E36" i="51"/>
  <c r="I36" i="51" s="1"/>
  <c r="E36" i="96"/>
  <c r="I36" i="96" s="1"/>
  <c r="E36" i="46"/>
  <c r="I36" i="46" s="1"/>
  <c r="E36" i="99"/>
  <c r="AY50" i="70"/>
  <c r="AJ50" i="70"/>
  <c r="F21" i="100"/>
  <c r="AF50" i="70"/>
  <c r="AU50" i="70"/>
  <c r="F21" i="90"/>
  <c r="F21" i="87"/>
  <c r="AS50" i="70"/>
  <c r="AD50" i="70"/>
  <c r="T121" i="2"/>
  <c r="T28" i="2" s="1"/>
  <c r="E35" i="52"/>
  <c r="L121" i="2"/>
  <c r="L28" i="2" s="1"/>
  <c r="X121" i="2"/>
  <c r="X28" i="2" s="1"/>
  <c r="E35" i="47"/>
  <c r="E121" i="2"/>
  <c r="E28" i="2" s="1"/>
  <c r="S121" i="2"/>
  <c r="S28" i="2" s="1"/>
  <c r="W121" i="2"/>
  <c r="W28" i="2" s="1"/>
  <c r="U121" i="2"/>
  <c r="U28" i="2" s="1"/>
  <c r="AI50" i="70"/>
  <c r="F21" i="99"/>
  <c r="AX50" i="70"/>
  <c r="AD121" i="2"/>
  <c r="AD28" i="2" s="1"/>
  <c r="F21" i="79"/>
  <c r="X50" i="70"/>
  <c r="AM50" i="70"/>
  <c r="AP50" i="70"/>
  <c r="AA50" i="70"/>
  <c r="F21" i="83"/>
  <c r="F121" i="2"/>
  <c r="F28" i="2" s="1"/>
  <c r="F21" i="95"/>
  <c r="AV50" i="70"/>
  <c r="AG50" i="70"/>
  <c r="H121" i="2"/>
  <c r="H28" i="2" s="1"/>
  <c r="P121" i="2"/>
  <c r="P28" i="2" s="1"/>
  <c r="E35" i="45"/>
  <c r="AC121" i="2"/>
  <c r="AC28" i="2" s="1"/>
  <c r="AE50" i="70"/>
  <c r="F21" i="88"/>
  <c r="AT50" i="70"/>
  <c r="F21" i="101"/>
  <c r="AL51" i="2"/>
  <c r="Z50" i="70"/>
  <c r="AO50" i="70"/>
  <c r="F21" i="82"/>
  <c r="O121" i="2"/>
  <c r="O28" i="2" s="1"/>
  <c r="E35" i="79"/>
  <c r="AR50" i="70"/>
  <c r="AC50" i="70"/>
  <c r="F21" i="85"/>
  <c r="K121" i="2"/>
  <c r="K28" i="2" s="1"/>
  <c r="AQ50" i="70"/>
  <c r="F21" i="84"/>
  <c r="AB50" i="70"/>
  <c r="AN50" i="70"/>
  <c r="F21" i="81"/>
  <c r="Y50" i="70"/>
  <c r="AH50" i="70"/>
  <c r="AW50" i="70"/>
  <c r="F21" i="96"/>
  <c r="G121" i="2"/>
  <c r="G28" i="2" s="1"/>
  <c r="V121" i="2"/>
  <c r="V28" i="2" s="1"/>
  <c r="M121" i="2"/>
  <c r="M28" i="2" s="1"/>
  <c r="I36" i="50" l="1"/>
  <c r="I36" i="83"/>
  <c r="I35" i="79"/>
  <c r="P35" i="79"/>
  <c r="P35" i="45"/>
  <c r="I35" i="45"/>
  <c r="P35" i="52"/>
  <c r="I35" i="52"/>
  <c r="I35" i="47"/>
  <c r="P35" i="47"/>
  <c r="I36" i="99"/>
  <c r="H8" i="70"/>
  <c r="C21" i="53"/>
  <c r="D21" i="45"/>
  <c r="F14" i="70"/>
  <c r="Q21" i="85"/>
  <c r="Q21" i="96"/>
  <c r="E35" i="88"/>
  <c r="Q21" i="84"/>
  <c r="AH121" i="2"/>
  <c r="AH28" i="2" s="1"/>
  <c r="U14" i="70"/>
  <c r="D21" i="72"/>
  <c r="D21" i="50"/>
  <c r="K14" i="70"/>
  <c r="AL14" i="70"/>
  <c r="D21" i="77"/>
  <c r="W14" i="70"/>
  <c r="AE121" i="2"/>
  <c r="AE28" i="2" s="1"/>
  <c r="D21" i="46"/>
  <c r="O14" i="70"/>
  <c r="E21" i="87"/>
  <c r="AS27" i="70"/>
  <c r="AD27" i="70"/>
  <c r="U8" i="70"/>
  <c r="C21" i="72"/>
  <c r="E21" i="69"/>
  <c r="T27" i="70"/>
  <c r="AG121" i="2"/>
  <c r="AG28" i="2" s="1"/>
  <c r="D21" i="73"/>
  <c r="V14" i="70"/>
  <c r="AK14" i="70"/>
  <c r="Y121" i="2"/>
  <c r="Y28" i="2" s="1"/>
  <c r="Q21" i="100"/>
  <c r="C21" i="79"/>
  <c r="X8" i="70"/>
  <c r="AM8" i="70"/>
  <c r="E14" i="70"/>
  <c r="D21" i="41"/>
  <c r="Q21" i="101"/>
  <c r="E21" i="77"/>
  <c r="W27" i="70"/>
  <c r="AL27" i="70"/>
  <c r="G27" i="70"/>
  <c r="E21" i="54"/>
  <c r="E35" i="99"/>
  <c r="M27" i="70"/>
  <c r="E21" i="48"/>
  <c r="Z121" i="2"/>
  <c r="Z28" i="2" s="1"/>
  <c r="C21" i="69"/>
  <c r="T8" i="70"/>
  <c r="R121" i="2"/>
  <c r="R28" i="2" s="1"/>
  <c r="J121" i="2"/>
  <c r="J28" i="2" s="1"/>
  <c r="H14" i="70"/>
  <c r="D21" i="53"/>
  <c r="S14" i="70"/>
  <c r="D21" i="64"/>
  <c r="AS14" i="70"/>
  <c r="D21" i="87"/>
  <c r="AD14" i="70"/>
  <c r="E35" i="53"/>
  <c r="E35" i="83"/>
  <c r="E21" i="72"/>
  <c r="U27" i="70"/>
  <c r="P14" i="70"/>
  <c r="D21" i="55"/>
  <c r="E35" i="100"/>
  <c r="L8" i="70"/>
  <c r="C21" i="49"/>
  <c r="Q21" i="82"/>
  <c r="AC8" i="70"/>
  <c r="AR8" i="70"/>
  <c r="C21" i="85"/>
  <c r="Q21" i="88"/>
  <c r="E35" i="96"/>
  <c r="AI121" i="2"/>
  <c r="AI28" i="2" s="1"/>
  <c r="E21" i="55"/>
  <c r="P27" i="70"/>
  <c r="E21" i="53"/>
  <c r="H27" i="70"/>
  <c r="Q21" i="95"/>
  <c r="G8" i="70"/>
  <c r="C21" i="54"/>
  <c r="C21" i="41"/>
  <c r="E8" i="70"/>
  <c r="C21" i="87"/>
  <c r="AS8" i="70"/>
  <c r="AD8" i="70"/>
  <c r="AA121" i="2"/>
  <c r="AA28" i="2" s="1"/>
  <c r="E21" i="49"/>
  <c r="L27" i="70"/>
  <c r="C21" i="45"/>
  <c r="F8" i="70"/>
  <c r="AB121" i="2"/>
  <c r="AB28" i="2" s="1"/>
  <c r="C21" i="46"/>
  <c r="O8" i="70"/>
  <c r="S8" i="70"/>
  <c r="C21" i="64"/>
  <c r="Q21" i="79"/>
  <c r="D21" i="85"/>
  <c r="AC14" i="70"/>
  <c r="AR14" i="70"/>
  <c r="E35" i="69"/>
  <c r="E21" i="41"/>
  <c r="E27" i="70"/>
  <c r="AF121" i="2"/>
  <c r="AF28" i="2" s="1"/>
  <c r="AM27" i="70"/>
  <c r="E21" i="79"/>
  <c r="X27" i="70"/>
  <c r="C21" i="48"/>
  <c r="M8" i="70"/>
  <c r="Q21" i="87"/>
  <c r="AJ121" i="2"/>
  <c r="AJ28" i="2" s="1"/>
  <c r="E21" i="45"/>
  <c r="F27" i="70"/>
  <c r="C21" i="77"/>
  <c r="AL8" i="70"/>
  <c r="W8" i="70"/>
  <c r="Q21" i="81"/>
  <c r="E35" i="82"/>
  <c r="E35" i="81"/>
  <c r="AR27" i="70"/>
  <c r="E21" i="85"/>
  <c r="AC27" i="70"/>
  <c r="Q121" i="2"/>
  <c r="Q28" i="2" s="1"/>
  <c r="Q21" i="99"/>
  <c r="N121" i="2"/>
  <c r="N28" i="2" s="1"/>
  <c r="AK8" i="70"/>
  <c r="V8" i="70"/>
  <c r="C21" i="73"/>
  <c r="D21" i="49"/>
  <c r="L14" i="70"/>
  <c r="D21" i="54"/>
  <c r="G14" i="70"/>
  <c r="I121" i="2"/>
  <c r="I28" i="2" s="1"/>
  <c r="V27" i="70"/>
  <c r="AK27" i="70"/>
  <c r="E21" i="73"/>
  <c r="C21" i="55"/>
  <c r="P8" i="70"/>
  <c r="D21" i="69"/>
  <c r="T14" i="70"/>
  <c r="E21" i="50"/>
  <c r="K27" i="70"/>
  <c r="E21" i="46"/>
  <c r="O27" i="70"/>
  <c r="K8" i="70"/>
  <c r="C21" i="50"/>
  <c r="D21" i="79"/>
  <c r="X14" i="70"/>
  <c r="AM14" i="70"/>
  <c r="Q21" i="83"/>
  <c r="E35" i="90"/>
  <c r="E35" i="49"/>
  <c r="S27" i="70"/>
  <c r="E21" i="64"/>
  <c r="M14" i="70"/>
  <c r="D21" i="48"/>
  <c r="Q21" i="90"/>
  <c r="Y21" i="87" l="1"/>
  <c r="AG21" i="87" s="1"/>
  <c r="P35" i="69"/>
  <c r="I35" i="69"/>
  <c r="P35" i="100"/>
  <c r="I35" i="100"/>
  <c r="E35" i="55"/>
  <c r="I35" i="81"/>
  <c r="P35" i="81"/>
  <c r="T35" i="52"/>
  <c r="X35" i="52"/>
  <c r="T35" i="79"/>
  <c r="X35" i="79"/>
  <c r="E36" i="100"/>
  <c r="P35" i="96"/>
  <c r="I35" i="96"/>
  <c r="E35" i="54"/>
  <c r="I35" i="99"/>
  <c r="P35" i="99"/>
  <c r="X35" i="47"/>
  <c r="T35" i="47"/>
  <c r="I35" i="49"/>
  <c r="P35" i="49"/>
  <c r="I35" i="82"/>
  <c r="P35" i="82"/>
  <c r="I35" i="53"/>
  <c r="P35" i="53"/>
  <c r="P35" i="88"/>
  <c r="I35" i="88"/>
  <c r="I35" i="90"/>
  <c r="P35" i="90"/>
  <c r="I35" i="83"/>
  <c r="P35" i="83"/>
  <c r="X35" i="45"/>
  <c r="T35" i="45"/>
  <c r="O21" i="79"/>
  <c r="O21" i="69"/>
  <c r="C21" i="56"/>
  <c r="Q8" i="70"/>
  <c r="N27" i="70"/>
  <c r="E21" i="47"/>
  <c r="Q27" i="70"/>
  <c r="E21" i="56"/>
  <c r="C21" i="83"/>
  <c r="AP8" i="70"/>
  <c r="AA8" i="70"/>
  <c r="AP14" i="70"/>
  <c r="D21" i="83"/>
  <c r="AA14" i="70"/>
  <c r="D21" i="99"/>
  <c r="AX14" i="70"/>
  <c r="AI14" i="70"/>
  <c r="C21" i="84"/>
  <c r="AQ8" i="70"/>
  <c r="AB8" i="70"/>
  <c r="O21" i="41"/>
  <c r="C21" i="99"/>
  <c r="AI8" i="70"/>
  <c r="AX8" i="70"/>
  <c r="O21" i="72"/>
  <c r="O21" i="45"/>
  <c r="O21" i="48"/>
  <c r="N21" i="50"/>
  <c r="E35" i="51"/>
  <c r="O21" i="49"/>
  <c r="C21" i="96"/>
  <c r="AW8" i="70"/>
  <c r="AH8" i="70"/>
  <c r="D21" i="101"/>
  <c r="AL15" i="2"/>
  <c r="N21" i="48"/>
  <c r="O21" i="85"/>
  <c r="N21" i="64"/>
  <c r="AL9" i="2"/>
  <c r="C21" i="101"/>
  <c r="N21" i="41"/>
  <c r="Y21" i="95"/>
  <c r="AG14" i="70"/>
  <c r="D21" i="95"/>
  <c r="AV14" i="70"/>
  <c r="Z27" i="70"/>
  <c r="E21" i="82"/>
  <c r="AO27" i="70"/>
  <c r="D21" i="96"/>
  <c r="AW14" i="70"/>
  <c r="AH14" i="70"/>
  <c r="Y21" i="101"/>
  <c r="AL122" i="2"/>
  <c r="AK121" i="2"/>
  <c r="E21" i="95"/>
  <c r="AG27" i="70"/>
  <c r="AV27" i="70"/>
  <c r="O21" i="46"/>
  <c r="AW27" i="70"/>
  <c r="AH27" i="70"/>
  <c r="E21" i="96"/>
  <c r="Y21" i="84"/>
  <c r="Y21" i="85"/>
  <c r="N21" i="53"/>
  <c r="I27" i="70"/>
  <c r="E21" i="52"/>
  <c r="Y8" i="70"/>
  <c r="AN8" i="70"/>
  <c r="C21" i="81"/>
  <c r="N21" i="55"/>
  <c r="E35" i="56"/>
  <c r="D21" i="88"/>
  <c r="AE14" i="70"/>
  <c r="AT14" i="70"/>
  <c r="AV8" i="70"/>
  <c r="C21" i="95"/>
  <c r="AG8" i="70"/>
  <c r="AB27" i="70"/>
  <c r="E21" i="84"/>
  <c r="AQ27" i="70"/>
  <c r="Y21" i="82"/>
  <c r="R14" i="70"/>
  <c r="D21" i="58"/>
  <c r="O21" i="87"/>
  <c r="O21" i="53"/>
  <c r="I8" i="70"/>
  <c r="C21" i="52"/>
  <c r="J14" i="70"/>
  <c r="D21" i="51"/>
  <c r="O21" i="73"/>
  <c r="AT27" i="70"/>
  <c r="E21" i="88"/>
  <c r="AE27" i="70"/>
  <c r="Z14" i="70"/>
  <c r="D21" i="82"/>
  <c r="AO14" i="70"/>
  <c r="Y21" i="83"/>
  <c r="N21" i="73"/>
  <c r="Q14" i="70"/>
  <c r="D21" i="56"/>
  <c r="E21" i="90"/>
  <c r="AF27" i="70"/>
  <c r="AU27" i="70"/>
  <c r="N21" i="87"/>
  <c r="Y21" i="88"/>
  <c r="AE8" i="70"/>
  <c r="AT8" i="70"/>
  <c r="C21" i="88"/>
  <c r="E21" i="58"/>
  <c r="R27" i="70"/>
  <c r="N21" i="72"/>
  <c r="N21" i="45"/>
  <c r="N21" i="79"/>
  <c r="Y21" i="81"/>
  <c r="N21" i="54"/>
  <c r="N21" i="49"/>
  <c r="O21" i="55"/>
  <c r="AQ14" i="70"/>
  <c r="AB14" i="70"/>
  <c r="D21" i="84"/>
  <c r="J27" i="70"/>
  <c r="E21" i="51"/>
  <c r="N21" i="69"/>
  <c r="Y27" i="70"/>
  <c r="E21" i="81"/>
  <c r="AN27" i="70"/>
  <c r="C21" i="51"/>
  <c r="J8" i="70"/>
  <c r="O21" i="50"/>
  <c r="D21" i="90"/>
  <c r="AU14" i="70"/>
  <c r="AF14" i="70"/>
  <c r="AY8" i="70"/>
  <c r="AJ8" i="70"/>
  <c r="C21" i="100"/>
  <c r="C21" i="47"/>
  <c r="N8" i="70"/>
  <c r="D21" i="100"/>
  <c r="AJ14" i="70"/>
  <c r="AY14" i="70"/>
  <c r="N21" i="77"/>
  <c r="Y21" i="90"/>
  <c r="O21" i="54"/>
  <c r="Y21" i="99"/>
  <c r="AY27" i="70"/>
  <c r="E21" i="100"/>
  <c r="AJ27" i="70"/>
  <c r="Y21" i="79"/>
  <c r="R8" i="70"/>
  <c r="C21" i="58"/>
  <c r="D21" i="52"/>
  <c r="I14" i="70"/>
  <c r="AP27" i="70"/>
  <c r="AA27" i="70"/>
  <c r="E21" i="83"/>
  <c r="N21" i="85"/>
  <c r="N14" i="70"/>
  <c r="D21" i="47"/>
  <c r="AN14" i="70"/>
  <c r="Y14" i="70"/>
  <c r="D21" i="81"/>
  <c r="O21" i="77"/>
  <c r="Y21" i="96"/>
  <c r="N21" i="46"/>
  <c r="AO8" i="70"/>
  <c r="Z8" i="70"/>
  <c r="C21" i="82"/>
  <c r="C21" i="90"/>
  <c r="AF8" i="70"/>
  <c r="AU8" i="70"/>
  <c r="AX27" i="70"/>
  <c r="AI27" i="70"/>
  <c r="E21" i="99"/>
  <c r="O21" i="64"/>
  <c r="Y21" i="100"/>
  <c r="E35" i="41" l="1"/>
  <c r="I35" i="51"/>
  <c r="P35" i="51"/>
  <c r="E35" i="77"/>
  <c r="E35" i="73"/>
  <c r="T35" i="49"/>
  <c r="X35" i="49"/>
  <c r="T35" i="96"/>
  <c r="X35" i="96"/>
  <c r="AF35" i="52"/>
  <c r="AB35" i="52"/>
  <c r="I35" i="55"/>
  <c r="P35" i="55"/>
  <c r="T35" i="99"/>
  <c r="X35" i="99"/>
  <c r="T35" i="88"/>
  <c r="X35" i="88"/>
  <c r="X35" i="83"/>
  <c r="T35" i="83"/>
  <c r="T35" i="53"/>
  <c r="X35" i="53"/>
  <c r="I35" i="54"/>
  <c r="P35" i="54"/>
  <c r="I36" i="100"/>
  <c r="T35" i="100"/>
  <c r="X35" i="100"/>
  <c r="E35" i="72"/>
  <c r="AF35" i="79"/>
  <c r="AB35" i="79"/>
  <c r="E35" i="87"/>
  <c r="E35" i="85"/>
  <c r="E35" i="50"/>
  <c r="E35" i="95"/>
  <c r="AF35" i="45"/>
  <c r="AB35" i="45"/>
  <c r="X35" i="90"/>
  <c r="T35" i="90"/>
  <c r="AB35" i="47"/>
  <c r="AF35" i="47"/>
  <c r="X35" i="69"/>
  <c r="T35" i="69"/>
  <c r="I35" i="56"/>
  <c r="P35" i="56"/>
  <c r="E35" i="48"/>
  <c r="E35" i="84"/>
  <c r="X35" i="82"/>
  <c r="T35" i="82"/>
  <c r="X35" i="81"/>
  <c r="T35" i="81"/>
  <c r="E35" i="101"/>
  <c r="V21" i="55"/>
  <c r="AG21" i="85"/>
  <c r="AL121" i="2"/>
  <c r="AK28" i="2"/>
  <c r="W21" i="85"/>
  <c r="W21" i="49"/>
  <c r="N21" i="83"/>
  <c r="V21" i="77"/>
  <c r="V21" i="73"/>
  <c r="O21" i="51"/>
  <c r="N21" i="52"/>
  <c r="N21" i="99"/>
  <c r="O21" i="81"/>
  <c r="AG21" i="79"/>
  <c r="V21" i="69"/>
  <c r="V21" i="54"/>
  <c r="V21" i="79"/>
  <c r="V21" i="45"/>
  <c r="V21" i="87"/>
  <c r="O21" i="90"/>
  <c r="AG21" i="81"/>
  <c r="W21" i="87"/>
  <c r="AG21" i="84"/>
  <c r="AG21" i="101"/>
  <c r="AG21" i="95"/>
  <c r="W21" i="48"/>
  <c r="N21" i="51"/>
  <c r="AG21" i="96"/>
  <c r="AG21" i="99"/>
  <c r="W21" i="54"/>
  <c r="W21" i="50"/>
  <c r="W21" i="55"/>
  <c r="N21" i="88"/>
  <c r="AN21" i="87"/>
  <c r="AA14" i="60" s="1"/>
  <c r="AA26" i="60" s="1"/>
  <c r="AG21" i="83"/>
  <c r="W21" i="46"/>
  <c r="N21" i="96"/>
  <c r="W21" i="41"/>
  <c r="O21" i="83"/>
  <c r="W21" i="79"/>
  <c r="V21" i="85"/>
  <c r="N21" i="58"/>
  <c r="O21" i="82"/>
  <c r="O21" i="58"/>
  <c r="V21" i="53"/>
  <c r="N21" i="101"/>
  <c r="V21" i="64"/>
  <c r="W21" i="72"/>
  <c r="N21" i="56"/>
  <c r="N21" i="90"/>
  <c r="V21" i="46"/>
  <c r="N21" i="82"/>
  <c r="O21" i="47"/>
  <c r="AG21" i="90"/>
  <c r="O21" i="100"/>
  <c r="N21" i="100"/>
  <c r="O21" i="84"/>
  <c r="V21" i="49"/>
  <c r="V21" i="72"/>
  <c r="W21" i="73"/>
  <c r="O21" i="96"/>
  <c r="O21" i="95"/>
  <c r="V21" i="48"/>
  <c r="O21" i="101"/>
  <c r="AG21" i="100"/>
  <c r="W21" i="64"/>
  <c r="N21" i="47"/>
  <c r="AG21" i="88"/>
  <c r="W21" i="53"/>
  <c r="W21" i="45"/>
  <c r="N21" i="84"/>
  <c r="O21" i="99"/>
  <c r="W21" i="77"/>
  <c r="O21" i="52"/>
  <c r="O21" i="56"/>
  <c r="AG21" i="82"/>
  <c r="N21" i="95"/>
  <c r="O21" i="88"/>
  <c r="N21" i="81"/>
  <c r="V21" i="41"/>
  <c r="V21" i="50"/>
  <c r="W21" i="69"/>
  <c r="I35" i="41" l="1"/>
  <c r="P35" i="41"/>
  <c r="X35" i="41" s="1"/>
  <c r="E35" i="58"/>
  <c r="E35" i="46"/>
  <c r="T35" i="56"/>
  <c r="X35" i="56"/>
  <c r="AJ35" i="47"/>
  <c r="AM35" i="47"/>
  <c r="AQ35" i="47" s="1"/>
  <c r="I35" i="95"/>
  <c r="P35" i="95"/>
  <c r="AF35" i="88"/>
  <c r="AB35" i="88"/>
  <c r="AF35" i="96"/>
  <c r="AB35" i="96"/>
  <c r="T35" i="51"/>
  <c r="X35" i="51"/>
  <c r="E35" i="64"/>
  <c r="I35" i="72"/>
  <c r="P35" i="72"/>
  <c r="AF35" i="83"/>
  <c r="AB35" i="83"/>
  <c r="X35" i="55"/>
  <c r="T35" i="55"/>
  <c r="AB35" i="82"/>
  <c r="AF35" i="82"/>
  <c r="AB35" i="69"/>
  <c r="AF35" i="69"/>
  <c r="P35" i="50"/>
  <c r="I35" i="50"/>
  <c r="AF35" i="100"/>
  <c r="AB35" i="100"/>
  <c r="X35" i="54"/>
  <c r="T35" i="54"/>
  <c r="I35" i="84"/>
  <c r="P35" i="84"/>
  <c r="AF35" i="99"/>
  <c r="AB35" i="99"/>
  <c r="AF35" i="49"/>
  <c r="AB35" i="49"/>
  <c r="AB35" i="90"/>
  <c r="AF35" i="90"/>
  <c r="I35" i="85"/>
  <c r="P35" i="85"/>
  <c r="I35" i="73"/>
  <c r="P35" i="73"/>
  <c r="I35" i="101"/>
  <c r="P35" i="101"/>
  <c r="AB35" i="81"/>
  <c r="AF35" i="81"/>
  <c r="AM35" i="79"/>
  <c r="AQ35" i="79" s="1"/>
  <c r="AJ35" i="79"/>
  <c r="P35" i="48"/>
  <c r="I35" i="48"/>
  <c r="AJ35" i="45"/>
  <c r="AM35" i="45"/>
  <c r="AQ35" i="45" s="1"/>
  <c r="P35" i="87"/>
  <c r="I35" i="87"/>
  <c r="AF35" i="53"/>
  <c r="AB35" i="53"/>
  <c r="AJ35" i="52"/>
  <c r="AM35" i="52"/>
  <c r="AQ35" i="52" s="1"/>
  <c r="P35" i="77"/>
  <c r="I35" i="77"/>
  <c r="AD21" i="72"/>
  <c r="AE21" i="46"/>
  <c r="AN21" i="99"/>
  <c r="AF14" i="60" s="1"/>
  <c r="AF26" i="60" s="1"/>
  <c r="AD21" i="54"/>
  <c r="V21" i="52"/>
  <c r="AE21" i="49"/>
  <c r="AE21" i="77"/>
  <c r="W21" i="52"/>
  <c r="V21" i="47"/>
  <c r="W21" i="95"/>
  <c r="AD21" i="49"/>
  <c r="W21" i="83"/>
  <c r="AN21" i="96"/>
  <c r="AE14" i="60" s="1"/>
  <c r="AE26" i="60" s="1"/>
  <c r="W21" i="90"/>
  <c r="AD21" i="45"/>
  <c r="AD21" i="55"/>
  <c r="AD21" i="50"/>
  <c r="AE21" i="69"/>
  <c r="W21" i="88"/>
  <c r="AE21" i="73"/>
  <c r="AE21" i="72"/>
  <c r="AN21" i="101"/>
  <c r="AH14" i="60" s="1"/>
  <c r="AH26" i="60" s="1"/>
  <c r="AN21" i="81"/>
  <c r="V14" i="60" s="1"/>
  <c r="V26" i="60" s="1"/>
  <c r="AD21" i="77"/>
  <c r="AN21" i="82"/>
  <c r="W14" i="60" s="1"/>
  <c r="W26" i="60" s="1"/>
  <c r="W21" i="96"/>
  <c r="V21" i="100"/>
  <c r="V21" i="56"/>
  <c r="AD21" i="64"/>
  <c r="AE21" i="79"/>
  <c r="V21" i="99"/>
  <c r="W21" i="51"/>
  <c r="AE21" i="45"/>
  <c r="AE21" i="64"/>
  <c r="W21" i="56"/>
  <c r="W21" i="101"/>
  <c r="W21" i="84"/>
  <c r="AN21" i="90"/>
  <c r="AC14" i="60" s="1"/>
  <c r="AC26" i="60" s="1"/>
  <c r="W21" i="47"/>
  <c r="AD21" i="46"/>
  <c r="AN21" i="83"/>
  <c r="X14" i="60" s="1"/>
  <c r="X26" i="60" s="1"/>
  <c r="AE21" i="55"/>
  <c r="AD21" i="79"/>
  <c r="AN21" i="85"/>
  <c r="Z14" i="60" s="1"/>
  <c r="Z26" i="60" s="1"/>
  <c r="AD21" i="48"/>
  <c r="W21" i="99"/>
  <c r="AE21" i="53"/>
  <c r="AN21" i="88"/>
  <c r="AB14" i="60" s="1"/>
  <c r="AB26" i="60" s="1"/>
  <c r="V21" i="95"/>
  <c r="AN21" i="100"/>
  <c r="AG14" i="60" s="1"/>
  <c r="AG26" i="60" s="1"/>
  <c r="W21" i="100"/>
  <c r="V21" i="82"/>
  <c r="AD21" i="53"/>
  <c r="AD21" i="85"/>
  <c r="AE21" i="41"/>
  <c r="V21" i="96"/>
  <c r="V21" i="88"/>
  <c r="AE21" i="48"/>
  <c r="AN21" i="95"/>
  <c r="AD14" i="60" s="1"/>
  <c r="AD26" i="60" s="1"/>
  <c r="AD21" i="87"/>
  <c r="AD21" i="69"/>
  <c r="W21" i="81"/>
  <c r="AD21" i="41"/>
  <c r="V21" i="84"/>
  <c r="V21" i="81"/>
  <c r="W21" i="82"/>
  <c r="V21" i="58"/>
  <c r="AE21" i="54"/>
  <c r="AN21" i="84"/>
  <c r="Y14" i="60" s="1"/>
  <c r="Y26" i="60" s="1"/>
  <c r="AE21" i="85"/>
  <c r="V21" i="90"/>
  <c r="V21" i="101"/>
  <c r="W21" i="58"/>
  <c r="AE21" i="50"/>
  <c r="V21" i="51"/>
  <c r="AE21" i="87"/>
  <c r="AN21" i="79"/>
  <c r="U14" i="60" s="1"/>
  <c r="U26" i="60" s="1"/>
  <c r="AD21" i="73"/>
  <c r="V21" i="83"/>
  <c r="AL28" i="2"/>
  <c r="E21" i="101"/>
  <c r="T35" i="41" l="1"/>
  <c r="AF35" i="51"/>
  <c r="AB35" i="51"/>
  <c r="AB35" i="54"/>
  <c r="AF35" i="54"/>
  <c r="AM35" i="90"/>
  <c r="AQ35" i="90" s="1"/>
  <c r="AJ35" i="90"/>
  <c r="X35" i="48"/>
  <c r="T35" i="48"/>
  <c r="X35" i="101"/>
  <c r="T35" i="101"/>
  <c r="AF35" i="56"/>
  <c r="AB35" i="56"/>
  <c r="T35" i="77"/>
  <c r="X35" i="77"/>
  <c r="AF35" i="41"/>
  <c r="AB35" i="41"/>
  <c r="AJ35" i="49"/>
  <c r="AM35" i="49"/>
  <c r="AQ35" i="49" s="1"/>
  <c r="AM35" i="100"/>
  <c r="AQ35" i="100" s="1"/>
  <c r="AJ35" i="100"/>
  <c r="I35" i="64"/>
  <c r="P35" i="64"/>
  <c r="AJ35" i="96"/>
  <c r="AM35" i="96"/>
  <c r="AQ35" i="96" s="1"/>
  <c r="AJ35" i="82"/>
  <c r="AM35" i="82"/>
  <c r="AQ35" i="82" s="1"/>
  <c r="AJ35" i="53"/>
  <c r="AM35" i="53"/>
  <c r="AQ35" i="53" s="1"/>
  <c r="X35" i="73"/>
  <c r="T35" i="73"/>
  <c r="X35" i="72"/>
  <c r="T35" i="72"/>
  <c r="AJ35" i="99"/>
  <c r="AM35" i="99"/>
  <c r="AQ35" i="99" s="1"/>
  <c r="T35" i="50"/>
  <c r="X35" i="50"/>
  <c r="AB35" i="55"/>
  <c r="AF35" i="55"/>
  <c r="AJ35" i="88"/>
  <c r="AM35" i="88"/>
  <c r="AQ35" i="88" s="1"/>
  <c r="I35" i="46"/>
  <c r="P35" i="46"/>
  <c r="T35" i="87"/>
  <c r="X35" i="87"/>
  <c r="X35" i="85"/>
  <c r="T35" i="85"/>
  <c r="X35" i="84"/>
  <c r="T35" i="84"/>
  <c r="AM35" i="69"/>
  <c r="AQ35" i="69" s="1"/>
  <c r="AJ35" i="69"/>
  <c r="X35" i="95"/>
  <c r="T35" i="95"/>
  <c r="AJ35" i="81"/>
  <c r="AM35" i="81"/>
  <c r="AQ35" i="81" s="1"/>
  <c r="AJ35" i="83"/>
  <c r="AM35" i="83"/>
  <c r="AQ35" i="83" s="1"/>
  <c r="I35" i="58"/>
  <c r="P35" i="58"/>
  <c r="AL21" i="85"/>
  <c r="AD21" i="88"/>
  <c r="AK21" i="85"/>
  <c r="AD21" i="96"/>
  <c r="AK21" i="53"/>
  <c r="AL21" i="53"/>
  <c r="AE21" i="83"/>
  <c r="AK21" i="49"/>
  <c r="AD21" i="47"/>
  <c r="AD21" i="58"/>
  <c r="AD21" i="81"/>
  <c r="AL21" i="87"/>
  <c r="AE21" i="82"/>
  <c r="AD21" i="51"/>
  <c r="AD21" i="90"/>
  <c r="AL21" i="54"/>
  <c r="AL21" i="64"/>
  <c r="AD21" i="56"/>
  <c r="AE21" i="88"/>
  <c r="AL21" i="69"/>
  <c r="AE21" i="90"/>
  <c r="AK21" i="69"/>
  <c r="AD21" i="82"/>
  <c r="AE21" i="99"/>
  <c r="AK21" i="46"/>
  <c r="AE21" i="84"/>
  <c r="AE21" i="101"/>
  <c r="AE21" i="51"/>
  <c r="AK21" i="64"/>
  <c r="AK21" i="77"/>
  <c r="AK21" i="55"/>
  <c r="AD21" i="84"/>
  <c r="AK21" i="41"/>
  <c r="AL21" i="41"/>
  <c r="AK21" i="48"/>
  <c r="AL21" i="45"/>
  <c r="AL21" i="72"/>
  <c r="AL21" i="73"/>
  <c r="AK21" i="45"/>
  <c r="AL21" i="49"/>
  <c r="AK21" i="72"/>
  <c r="AL21" i="77"/>
  <c r="AK21" i="54"/>
  <c r="AL21" i="46"/>
  <c r="AD21" i="101"/>
  <c r="AL21" i="48"/>
  <c r="AE21" i="100"/>
  <c r="AD21" i="95"/>
  <c r="AE21" i="47"/>
  <c r="AE21" i="56"/>
  <c r="AD21" i="100"/>
  <c r="AE21" i="96"/>
  <c r="AE21" i="52"/>
  <c r="AD21" i="99"/>
  <c r="AK21" i="50"/>
  <c r="AE21" i="95"/>
  <c r="AK21" i="73"/>
  <c r="AK21" i="79"/>
  <c r="AL21" i="50"/>
  <c r="AD21" i="83"/>
  <c r="AE21" i="58"/>
  <c r="AE21" i="81"/>
  <c r="AK21" i="87"/>
  <c r="AL21" i="55"/>
  <c r="AL21" i="79"/>
  <c r="AD21" i="52"/>
  <c r="AB35" i="95" l="1"/>
  <c r="AF35" i="95"/>
  <c r="X35" i="58"/>
  <c r="T35" i="58"/>
  <c r="AF35" i="87"/>
  <c r="AB35" i="87"/>
  <c r="AB35" i="50"/>
  <c r="AF35" i="50"/>
  <c r="AJ35" i="41"/>
  <c r="AM35" i="41"/>
  <c r="AQ35" i="41" s="1"/>
  <c r="AB35" i="48"/>
  <c r="AF35" i="48"/>
  <c r="T35" i="64"/>
  <c r="X35" i="64"/>
  <c r="AB35" i="77"/>
  <c r="AF35" i="77"/>
  <c r="AB35" i="85"/>
  <c r="AF35" i="85"/>
  <c r="X35" i="46"/>
  <c r="T35" i="46"/>
  <c r="AB35" i="73"/>
  <c r="AF35" i="73"/>
  <c r="AJ35" i="54"/>
  <c r="AM35" i="54"/>
  <c r="AQ35" i="54" s="1"/>
  <c r="AM35" i="56"/>
  <c r="AQ35" i="56" s="1"/>
  <c r="AJ35" i="56"/>
  <c r="AB35" i="84"/>
  <c r="AF35" i="84"/>
  <c r="AB35" i="72"/>
  <c r="AF35" i="72"/>
  <c r="AJ35" i="55"/>
  <c r="AM35" i="55"/>
  <c r="AQ35" i="55" s="1"/>
  <c r="AF35" i="101"/>
  <c r="AB35" i="101"/>
  <c r="AM35" i="51"/>
  <c r="AQ35" i="51" s="1"/>
  <c r="AJ35" i="51"/>
  <c r="AL21" i="90"/>
  <c r="AL21" i="88"/>
  <c r="AK21" i="56"/>
  <c r="AK21" i="51"/>
  <c r="AK21" i="84"/>
  <c r="AK21" i="99"/>
  <c r="AL21" i="96"/>
  <c r="AL21" i="56"/>
  <c r="AL21" i="100"/>
  <c r="AL21" i="84"/>
  <c r="AK21" i="96"/>
  <c r="AL21" i="51"/>
  <c r="AK21" i="90"/>
  <c r="AL21" i="82"/>
  <c r="AK21" i="81"/>
  <c r="AL21" i="58"/>
  <c r="AL21" i="52"/>
  <c r="AL21" i="47"/>
  <c r="AK21" i="47"/>
  <c r="AL21" i="83"/>
  <c r="AK21" i="58"/>
  <c r="AL21" i="81"/>
  <c r="AK21" i="100"/>
  <c r="AK21" i="83"/>
  <c r="AL21" i="95"/>
  <c r="AK21" i="95"/>
  <c r="AL21" i="99"/>
  <c r="AK21" i="101"/>
  <c r="AK21" i="82"/>
  <c r="AK21" i="88"/>
  <c r="AK21" i="52"/>
  <c r="AL21" i="101"/>
  <c r="AM35" i="50" l="1"/>
  <c r="AQ35" i="50" s="1"/>
  <c r="AJ35" i="50"/>
  <c r="AJ35" i="101"/>
  <c r="AM35" i="101"/>
  <c r="AQ35" i="101" s="1"/>
  <c r="AJ35" i="85"/>
  <c r="AM35" i="85"/>
  <c r="AQ35" i="85" s="1"/>
  <c r="AM35" i="77"/>
  <c r="AQ35" i="77" s="1"/>
  <c r="AJ35" i="77"/>
  <c r="AJ35" i="87"/>
  <c r="AM35" i="87"/>
  <c r="AQ35" i="87" s="1"/>
  <c r="AJ35" i="72"/>
  <c r="AM35" i="72"/>
  <c r="AQ35" i="72" s="1"/>
  <c r="AJ35" i="73"/>
  <c r="AM35" i="73"/>
  <c r="AQ35" i="73" s="1"/>
  <c r="AM35" i="48"/>
  <c r="AQ35" i="48" s="1"/>
  <c r="AJ35" i="48"/>
  <c r="AB35" i="64"/>
  <c r="AF35" i="64"/>
  <c r="AF35" i="58"/>
  <c r="AB35" i="58"/>
  <c r="AM35" i="84"/>
  <c r="AQ35" i="84" s="1"/>
  <c r="AJ35" i="84"/>
  <c r="AJ35" i="95"/>
  <c r="AM35" i="95"/>
  <c r="AQ35" i="95" s="1"/>
  <c r="AB35" i="46"/>
  <c r="AF35" i="46"/>
  <c r="AJ35" i="58" l="1"/>
  <c r="AM35" i="58"/>
  <c r="AQ35" i="58" s="1"/>
  <c r="AM35" i="46"/>
  <c r="AQ35" i="46" s="1"/>
  <c r="AJ35" i="46"/>
  <c r="AM35" i="64"/>
  <c r="AQ35" i="64" s="1"/>
  <c r="AJ35" i="64"/>
  <c r="F136" i="2" l="1"/>
  <c r="G136" i="2"/>
  <c r="H136" i="2"/>
  <c r="I136" i="2"/>
  <c r="J136" i="2"/>
  <c r="K136" i="2"/>
  <c r="L136" i="2"/>
  <c r="M136" i="2"/>
  <c r="N136" i="2"/>
  <c r="O136" i="2"/>
  <c r="P136" i="2"/>
  <c r="Q136" i="2"/>
  <c r="R136" i="2"/>
  <c r="S136" i="2"/>
  <c r="T136" i="2"/>
  <c r="U136" i="2"/>
  <c r="V136" i="2"/>
  <c r="W136" i="2"/>
  <c r="X136" i="2"/>
  <c r="Y136" i="2"/>
  <c r="Z136" i="2"/>
  <c r="AA136" i="2"/>
  <c r="AB136" i="2"/>
  <c r="AC136" i="2"/>
  <c r="AD136" i="2"/>
  <c r="AE136" i="2"/>
  <c r="AF136" i="2"/>
  <c r="AG136" i="2"/>
  <c r="AH136" i="2"/>
  <c r="AI136" i="2"/>
  <c r="AJ136" i="2"/>
  <c r="AK136" i="2"/>
  <c r="F137" i="2"/>
  <c r="G137" i="2"/>
  <c r="H137" i="2"/>
  <c r="I137" i="2"/>
  <c r="J137" i="2"/>
  <c r="K137" i="2"/>
  <c r="L137" i="2"/>
  <c r="M137" i="2"/>
  <c r="N137" i="2"/>
  <c r="O137" i="2"/>
  <c r="P137" i="2"/>
  <c r="Q137" i="2"/>
  <c r="R137" i="2"/>
  <c r="S137" i="2"/>
  <c r="T137" i="2"/>
  <c r="U137" i="2"/>
  <c r="V137" i="2"/>
  <c r="W137" i="2"/>
  <c r="X137" i="2"/>
  <c r="Y137" i="2"/>
  <c r="Z137" i="2"/>
  <c r="AA137" i="2"/>
  <c r="AB137" i="2"/>
  <c r="AC137" i="2"/>
  <c r="AD137" i="2"/>
  <c r="AE137" i="2"/>
  <c r="AF137" i="2"/>
  <c r="AG137" i="2"/>
  <c r="AH137" i="2"/>
  <c r="AI137" i="2"/>
  <c r="AJ137" i="2"/>
  <c r="AK137" i="2"/>
  <c r="F138" i="2"/>
  <c r="G138" i="2"/>
  <c r="H138" i="2"/>
  <c r="I138" i="2"/>
  <c r="J138" i="2"/>
  <c r="K138" i="2"/>
  <c r="L138" i="2"/>
  <c r="M138" i="2"/>
  <c r="N138" i="2"/>
  <c r="O138" i="2"/>
  <c r="P138" i="2"/>
  <c r="Q138" i="2"/>
  <c r="R138" i="2"/>
  <c r="S138" i="2"/>
  <c r="T138" i="2"/>
  <c r="U138" i="2"/>
  <c r="V138" i="2"/>
  <c r="W138" i="2"/>
  <c r="X138" i="2"/>
  <c r="Y138" i="2"/>
  <c r="Z138" i="2"/>
  <c r="AA138" i="2"/>
  <c r="AB138" i="2"/>
  <c r="AC138" i="2"/>
  <c r="AD138" i="2"/>
  <c r="AE138" i="2"/>
  <c r="AF138" i="2"/>
  <c r="AG138" i="2"/>
  <c r="AH138" i="2"/>
  <c r="AI138" i="2"/>
  <c r="AJ138" i="2"/>
  <c r="AK138" i="2"/>
  <c r="F139" i="2"/>
  <c r="G139" i="2"/>
  <c r="H139" i="2"/>
  <c r="I139" i="2"/>
  <c r="J139" i="2"/>
  <c r="K139" i="2"/>
  <c r="L139" i="2"/>
  <c r="M139" i="2"/>
  <c r="N139" i="2"/>
  <c r="O139" i="2"/>
  <c r="P139" i="2"/>
  <c r="Q139" i="2"/>
  <c r="R139" i="2"/>
  <c r="S139" i="2"/>
  <c r="T139" i="2"/>
  <c r="U139" i="2"/>
  <c r="V139" i="2"/>
  <c r="W139" i="2"/>
  <c r="X139" i="2"/>
  <c r="Y139" i="2"/>
  <c r="Z139" i="2"/>
  <c r="AA139" i="2"/>
  <c r="AB139" i="2"/>
  <c r="AC139" i="2"/>
  <c r="AD139" i="2"/>
  <c r="AE139" i="2"/>
  <c r="AF139" i="2"/>
  <c r="AG139" i="2"/>
  <c r="AH139" i="2"/>
  <c r="AI139" i="2"/>
  <c r="AJ139" i="2"/>
  <c r="AK139" i="2"/>
  <c r="F140" i="2"/>
  <c r="G140" i="2"/>
  <c r="H140" i="2"/>
  <c r="I140" i="2"/>
  <c r="J140" i="2"/>
  <c r="K140" i="2"/>
  <c r="L140" i="2"/>
  <c r="M140" i="2"/>
  <c r="N140" i="2"/>
  <c r="O140" i="2"/>
  <c r="P140" i="2"/>
  <c r="Q140" i="2"/>
  <c r="R140" i="2"/>
  <c r="S140" i="2"/>
  <c r="T140" i="2"/>
  <c r="U140" i="2"/>
  <c r="V140" i="2"/>
  <c r="W140" i="2"/>
  <c r="X140" i="2"/>
  <c r="Y140" i="2"/>
  <c r="Z140" i="2"/>
  <c r="AA140" i="2"/>
  <c r="AB140" i="2"/>
  <c r="AC140" i="2"/>
  <c r="AD140" i="2"/>
  <c r="AE140" i="2"/>
  <c r="AF140" i="2"/>
  <c r="AG140" i="2"/>
  <c r="AH140" i="2"/>
  <c r="AI140" i="2"/>
  <c r="AJ140" i="2"/>
  <c r="AK140" i="2"/>
  <c r="F141" i="2"/>
  <c r="G141" i="2"/>
  <c r="H141" i="2"/>
  <c r="I141" i="2"/>
  <c r="J141" i="2"/>
  <c r="K141" i="2"/>
  <c r="L141" i="2"/>
  <c r="M141" i="2"/>
  <c r="N141" i="2"/>
  <c r="O141" i="2"/>
  <c r="P141" i="2"/>
  <c r="Q141" i="2"/>
  <c r="R141" i="2"/>
  <c r="S141" i="2"/>
  <c r="T141" i="2"/>
  <c r="U141" i="2"/>
  <c r="V141" i="2"/>
  <c r="W141" i="2"/>
  <c r="X141" i="2"/>
  <c r="Y141" i="2"/>
  <c r="Z141" i="2"/>
  <c r="AA141" i="2"/>
  <c r="AB141" i="2"/>
  <c r="AC141" i="2"/>
  <c r="AD141" i="2"/>
  <c r="AE141" i="2"/>
  <c r="AF141" i="2"/>
  <c r="AG141" i="2"/>
  <c r="AH141" i="2"/>
  <c r="AI141" i="2"/>
  <c r="AJ141" i="2"/>
  <c r="AK141" i="2"/>
  <c r="F142" i="2"/>
  <c r="G142" i="2"/>
  <c r="H142" i="2"/>
  <c r="I142" i="2"/>
  <c r="J142" i="2"/>
  <c r="K142" i="2"/>
  <c r="L142" i="2"/>
  <c r="M142" i="2"/>
  <c r="N142" i="2"/>
  <c r="O142" i="2"/>
  <c r="P142" i="2"/>
  <c r="Q142" i="2"/>
  <c r="R142" i="2"/>
  <c r="S142" i="2"/>
  <c r="T142" i="2"/>
  <c r="U142" i="2"/>
  <c r="V142" i="2"/>
  <c r="W142" i="2"/>
  <c r="X142" i="2"/>
  <c r="Y142" i="2"/>
  <c r="Z142" i="2"/>
  <c r="AA142" i="2"/>
  <c r="AB142" i="2"/>
  <c r="AC142" i="2"/>
  <c r="AD142" i="2"/>
  <c r="AE142" i="2"/>
  <c r="AF142" i="2"/>
  <c r="AG142" i="2"/>
  <c r="AH142" i="2"/>
  <c r="AI142" i="2"/>
  <c r="AJ142" i="2"/>
  <c r="AK142" i="2"/>
  <c r="F143" i="2"/>
  <c r="G143" i="2"/>
  <c r="H143" i="2"/>
  <c r="I143" i="2"/>
  <c r="J143" i="2"/>
  <c r="K143" i="2"/>
  <c r="L143" i="2"/>
  <c r="M143" i="2"/>
  <c r="N143" i="2"/>
  <c r="O143" i="2"/>
  <c r="P143" i="2"/>
  <c r="Q143" i="2"/>
  <c r="R143" i="2"/>
  <c r="S143" i="2"/>
  <c r="T143" i="2"/>
  <c r="U143" i="2"/>
  <c r="V143" i="2"/>
  <c r="W143" i="2"/>
  <c r="X143" i="2"/>
  <c r="Y143" i="2"/>
  <c r="Z143" i="2"/>
  <c r="AA143" i="2"/>
  <c r="AB143" i="2"/>
  <c r="AC143" i="2"/>
  <c r="AD143" i="2"/>
  <c r="AE143" i="2"/>
  <c r="AF143" i="2"/>
  <c r="AG143" i="2"/>
  <c r="AH143" i="2"/>
  <c r="AI143" i="2"/>
  <c r="AJ143" i="2"/>
  <c r="AK143" i="2"/>
  <c r="E137" i="2"/>
  <c r="E138" i="2"/>
  <c r="E139" i="2"/>
  <c r="E140" i="2"/>
  <c r="E141" i="2"/>
  <c r="E142" i="2"/>
  <c r="E143" i="2"/>
  <c r="E136" i="2"/>
  <c r="AI93" i="2"/>
  <c r="AI90" i="2"/>
  <c r="AE93" i="2"/>
  <c r="AB93" i="2"/>
  <c r="AB90" i="2"/>
  <c r="X93" i="2"/>
  <c r="W90" i="2"/>
  <c r="U90" i="2"/>
  <c r="T90" i="2"/>
  <c r="S93" i="2"/>
  <c r="S96" i="70" s="1"/>
  <c r="R93" i="2"/>
  <c r="R96" i="70" s="1"/>
  <c r="R90" i="2"/>
  <c r="P90" i="2"/>
  <c r="O93" i="2"/>
  <c r="O96" i="70" s="1"/>
  <c r="O90" i="2"/>
  <c r="L90" i="2"/>
  <c r="K93" i="2"/>
  <c r="K96" i="70" s="1"/>
  <c r="G93" i="2"/>
  <c r="G96" i="70" s="1"/>
  <c r="AH93" i="2"/>
  <c r="AF93" i="2"/>
  <c r="T93" i="2"/>
  <c r="T96" i="70" s="1"/>
  <c r="S90" i="2"/>
  <c r="H93" i="2"/>
  <c r="H96" i="70" s="1"/>
  <c r="H90" i="2"/>
  <c r="Y90" i="2"/>
  <c r="AJ93" i="2"/>
  <c r="V90" i="2"/>
  <c r="AH90" i="2"/>
  <c r="AK93" i="2"/>
  <c r="AG93" i="2"/>
  <c r="AD93" i="2"/>
  <c r="AC93" i="2"/>
  <c r="AA93" i="2"/>
  <c r="Z93" i="2"/>
  <c r="Y93" i="2"/>
  <c r="W93" i="2"/>
  <c r="V93" i="2"/>
  <c r="U93" i="2"/>
  <c r="U96" i="70" s="1"/>
  <c r="Q93" i="2"/>
  <c r="Q96" i="70" s="1"/>
  <c r="P93" i="2"/>
  <c r="P96" i="70" s="1"/>
  <c r="N93" i="2"/>
  <c r="N96" i="70" s="1"/>
  <c r="M93" i="2"/>
  <c r="M96" i="70" s="1"/>
  <c r="L93" i="2"/>
  <c r="L96" i="70" s="1"/>
  <c r="J93" i="2"/>
  <c r="J96" i="70" s="1"/>
  <c r="I93" i="2"/>
  <c r="I96" i="70" s="1"/>
  <c r="F93" i="2"/>
  <c r="F96" i="70" s="1"/>
  <c r="E93" i="2"/>
  <c r="E96" i="70" s="1"/>
  <c r="AK90" i="2"/>
  <c r="AJ90" i="2"/>
  <c r="AG90" i="2"/>
  <c r="AF90" i="2"/>
  <c r="AE90" i="2"/>
  <c r="AD90" i="2"/>
  <c r="AC90" i="2"/>
  <c r="AA90" i="2"/>
  <c r="Z90" i="2"/>
  <c r="X90" i="2"/>
  <c r="Q90" i="2"/>
  <c r="N90" i="2"/>
  <c r="M90" i="2"/>
  <c r="K90" i="2"/>
  <c r="J90" i="2"/>
  <c r="I90" i="2"/>
  <c r="G90" i="2"/>
  <c r="F90" i="2"/>
  <c r="E90"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G58" i="2"/>
  <c r="F58" i="2"/>
  <c r="E58"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AK61" i="2"/>
  <c r="AJ61" i="2"/>
  <c r="AI61" i="2"/>
  <c r="AH61" i="2"/>
  <c r="AG61" i="2"/>
  <c r="AF61" i="2"/>
  <c r="AE61" i="2"/>
  <c r="AD61" i="2"/>
  <c r="AC61" i="2"/>
  <c r="AB61" i="2"/>
  <c r="AA61" i="2"/>
  <c r="Z61" i="2"/>
  <c r="Y61" i="2"/>
  <c r="X61" i="2"/>
  <c r="W61" i="2"/>
  <c r="V61" i="2"/>
  <c r="U61" i="2"/>
  <c r="T61" i="2"/>
  <c r="S61" i="2"/>
  <c r="R61" i="2"/>
  <c r="Q61" i="2"/>
  <c r="P61" i="2"/>
  <c r="O61" i="2"/>
  <c r="N61" i="2"/>
  <c r="M61" i="2"/>
  <c r="L61" i="2"/>
  <c r="K61" i="2"/>
  <c r="J61" i="2"/>
  <c r="I61" i="2"/>
  <c r="H61" i="2"/>
  <c r="G61" i="2"/>
  <c r="F61" i="2"/>
  <c r="E61"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AK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AK53" i="2"/>
  <c r="AJ53" i="2"/>
  <c r="AI53" i="2"/>
  <c r="AH53"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AK31" i="2"/>
  <c r="AJ31"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F31" i="2"/>
  <c r="E31"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AK27" i="2"/>
  <c r="AJ27"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H27" i="2"/>
  <c r="G27" i="2"/>
  <c r="F27" i="2"/>
  <c r="E27" i="2"/>
  <c r="AK98" i="2"/>
  <c r="AI98" i="2"/>
  <c r="AI97" i="2" s="1"/>
  <c r="AH98" i="2"/>
  <c r="AH97" i="2" s="1"/>
  <c r="AG98" i="2"/>
  <c r="AG97" i="2" s="1"/>
  <c r="AF98" i="2"/>
  <c r="AF97" i="2" s="1"/>
  <c r="AE98" i="2"/>
  <c r="AE97" i="2" s="1"/>
  <c r="AC98" i="2"/>
  <c r="AC97" i="2" s="1"/>
  <c r="AA98" i="2"/>
  <c r="AA97" i="2" s="1"/>
  <c r="Z98" i="2"/>
  <c r="Z97" i="2" s="1"/>
  <c r="Y98" i="2"/>
  <c r="Y97" i="2" s="1"/>
  <c r="X98" i="2"/>
  <c r="X97" i="2" s="1"/>
  <c r="V98" i="2"/>
  <c r="V97" i="2" s="1"/>
  <c r="U98" i="2"/>
  <c r="U97" i="2" s="1"/>
  <c r="S98" i="2"/>
  <c r="S97" i="2" s="1"/>
  <c r="R98" i="2"/>
  <c r="R97" i="2" s="1"/>
  <c r="Q98" i="2"/>
  <c r="Q97" i="2" s="1"/>
  <c r="P98" i="2"/>
  <c r="P97" i="2" s="1"/>
  <c r="N98" i="2"/>
  <c r="N97" i="2" s="1"/>
  <c r="M98" i="2"/>
  <c r="M97" i="2" s="1"/>
  <c r="K98" i="2"/>
  <c r="K97" i="2" s="1"/>
  <c r="J98" i="2"/>
  <c r="J97" i="2" s="1"/>
  <c r="I98" i="2"/>
  <c r="I97" i="2" s="1"/>
  <c r="H98" i="2"/>
  <c r="H97" i="2" s="1"/>
  <c r="E98" i="2"/>
  <c r="E97" i="2" s="1"/>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AK17" i="2"/>
  <c r="AJ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AK11" i="2"/>
  <c r="AJ11"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AK10"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AK8" i="2"/>
  <c r="AJ8" i="2"/>
  <c r="AI8" i="2"/>
  <c r="AH8" i="2"/>
  <c r="AG8" i="2"/>
  <c r="AF8" i="2"/>
  <c r="AE8" i="2"/>
  <c r="AD8" i="2"/>
  <c r="AC8" i="2"/>
  <c r="AB8" i="2"/>
  <c r="AA8" i="2"/>
  <c r="Z8" i="2"/>
  <c r="Y8" i="2"/>
  <c r="X8" i="2"/>
  <c r="W8" i="2"/>
  <c r="V8" i="2"/>
  <c r="U8" i="2"/>
  <c r="T8" i="2"/>
  <c r="S8" i="2"/>
  <c r="R8" i="2"/>
  <c r="Q8" i="2"/>
  <c r="P8" i="2"/>
  <c r="O8" i="2"/>
  <c r="N8" i="2"/>
  <c r="M8" i="2"/>
  <c r="L8" i="2"/>
  <c r="K8" i="2"/>
  <c r="J8" i="2"/>
  <c r="I8" i="2"/>
  <c r="H8" i="2"/>
  <c r="G8" i="2"/>
  <c r="F8" i="2"/>
  <c r="E8" i="2"/>
  <c r="V7" i="2"/>
  <c r="U7" i="2"/>
  <c r="T7" i="2"/>
  <c r="S7" i="2"/>
  <c r="R7" i="2"/>
  <c r="Q7" i="2"/>
  <c r="P7" i="2"/>
  <c r="O7" i="2"/>
  <c r="N7" i="2"/>
  <c r="M7" i="2"/>
  <c r="L7" i="2"/>
  <c r="K7" i="2"/>
  <c r="J7" i="2"/>
  <c r="I7" i="2"/>
  <c r="H7" i="2"/>
  <c r="G7" i="2"/>
  <c r="F7" i="2"/>
  <c r="E7" i="2"/>
  <c r="AL143" i="2" l="1"/>
  <c r="AL142" i="2"/>
  <c r="AL141" i="2"/>
  <c r="AL140" i="2"/>
  <c r="AL139" i="2"/>
  <c r="AL138" i="2"/>
  <c r="AL137" i="2"/>
  <c r="AL136" i="2"/>
  <c r="H60" i="2"/>
  <c r="H59" i="70" s="1"/>
  <c r="P60" i="2"/>
  <c r="P59" i="70" s="1"/>
  <c r="X60" i="2"/>
  <c r="AM59" i="70" s="1"/>
  <c r="AF60" i="2"/>
  <c r="W60" i="2"/>
  <c r="U24" i="37" s="1"/>
  <c r="U24" i="16" s="1"/>
  <c r="I60" i="2"/>
  <c r="G21" i="52" s="1"/>
  <c r="Q60" i="2"/>
  <c r="Q59" i="70" s="1"/>
  <c r="Y60" i="2"/>
  <c r="Y57" i="2" s="1"/>
  <c r="AG60" i="2"/>
  <c r="AG59" i="70" s="1"/>
  <c r="G60" i="2"/>
  <c r="G21" i="54" s="1"/>
  <c r="J60" i="2"/>
  <c r="R60" i="2"/>
  <c r="Z60" i="2"/>
  <c r="Z59" i="70" s="1"/>
  <c r="AH60" i="2"/>
  <c r="AH57" i="2" s="1"/>
  <c r="O60" i="2"/>
  <c r="O57" i="2" s="1"/>
  <c r="AL105" i="2"/>
  <c r="K60" i="2"/>
  <c r="K59" i="70" s="1"/>
  <c r="S60" i="2"/>
  <c r="S57" i="2" s="1"/>
  <c r="AA60" i="2"/>
  <c r="AI60" i="2"/>
  <c r="AG24" i="37" s="1"/>
  <c r="AG24" i="16" s="1"/>
  <c r="AE60" i="2"/>
  <c r="AE59" i="70" s="1"/>
  <c r="L60" i="2"/>
  <c r="L59" i="70" s="1"/>
  <c r="T60" i="2"/>
  <c r="T57" i="2" s="1"/>
  <c r="AB60" i="2"/>
  <c r="AB57" i="2" s="1"/>
  <c r="AJ60" i="2"/>
  <c r="G21" i="100" s="1"/>
  <c r="E60" i="2"/>
  <c r="E57" i="2" s="1"/>
  <c r="M60" i="2"/>
  <c r="U60" i="2"/>
  <c r="G21" i="72" s="1"/>
  <c r="AC60" i="2"/>
  <c r="AC57" i="2" s="1"/>
  <c r="AK60" i="2"/>
  <c r="AK57" i="2" s="1"/>
  <c r="F60" i="2"/>
  <c r="D24" i="37" s="1"/>
  <c r="D24" i="16" s="1"/>
  <c r="N60" i="2"/>
  <c r="N59" i="70" s="1"/>
  <c r="V60" i="2"/>
  <c r="T24" i="37" s="1"/>
  <c r="T24" i="16" s="1"/>
  <c r="AD60" i="2"/>
  <c r="AD59" i="70" s="1"/>
  <c r="Z93" i="70"/>
  <c r="AO93" i="70"/>
  <c r="Z89" i="2"/>
  <c r="Z23" i="2" s="1"/>
  <c r="Z95" i="2"/>
  <c r="Z92" i="2" s="1"/>
  <c r="Z24" i="2" s="1"/>
  <c r="E12" i="82" s="1"/>
  <c r="H113" i="2"/>
  <c r="H112" i="2" s="1"/>
  <c r="AY96" i="70"/>
  <c r="AJ96" i="70"/>
  <c r="AF96" i="70"/>
  <c r="AU96" i="70"/>
  <c r="AM96" i="70"/>
  <c r="X96" i="70"/>
  <c r="G30" i="2"/>
  <c r="P30" i="2"/>
  <c r="AY93" i="70"/>
  <c r="AJ93" i="70"/>
  <c r="AJ89" i="2"/>
  <c r="AJ95" i="2"/>
  <c r="AA113" i="2"/>
  <c r="AA112" i="2" s="1"/>
  <c r="AA109" i="2"/>
  <c r="AA108" i="2" s="1"/>
  <c r="G93" i="70"/>
  <c r="G95" i="2"/>
  <c r="G92" i="2" s="1"/>
  <c r="G24" i="2" s="1"/>
  <c r="E12" i="54" s="1"/>
  <c r="G89" i="2"/>
  <c r="G23" i="2" s="1"/>
  <c r="AK89" i="2"/>
  <c r="AK23" i="2" s="1"/>
  <c r="AL90" i="2"/>
  <c r="AK95" i="2"/>
  <c r="AK92" i="2" s="1"/>
  <c r="AK24" i="2" s="1"/>
  <c r="E12" i="101" s="1"/>
  <c r="AA96" i="70"/>
  <c r="AP96" i="70"/>
  <c r="K30" i="2"/>
  <c r="M113" i="2"/>
  <c r="M112" i="2" s="1"/>
  <c r="F117" i="2"/>
  <c r="AD117" i="2"/>
  <c r="AD116" i="2" s="1"/>
  <c r="E113" i="2"/>
  <c r="AC113" i="2"/>
  <c r="AC112" i="2" s="1"/>
  <c r="E109" i="2"/>
  <c r="AC109" i="2"/>
  <c r="AC108" i="2" s="1"/>
  <c r="I93" i="70"/>
  <c r="I95" i="2"/>
  <c r="I92" i="2" s="1"/>
  <c r="I24" i="2" s="1"/>
  <c r="E12" i="52" s="1"/>
  <c r="I89" i="2"/>
  <c r="I23" i="2" s="1"/>
  <c r="AP93" i="70"/>
  <c r="AA93" i="70"/>
  <c r="AA89" i="2"/>
  <c r="AA23" i="2" s="1"/>
  <c r="AA95" i="2"/>
  <c r="AA92" i="2" s="1"/>
  <c r="AA24" i="2" s="1"/>
  <c r="E12" i="83" s="1"/>
  <c r="AC96" i="70"/>
  <c r="AR96" i="70"/>
  <c r="S30" i="2"/>
  <c r="O109" i="2"/>
  <c r="O108" i="2" s="1"/>
  <c r="AG117" i="2"/>
  <c r="AG116" i="2" s="1"/>
  <c r="AH96" i="70"/>
  <c r="AW96" i="70"/>
  <c r="P93" i="70"/>
  <c r="P89" i="2"/>
  <c r="P23" i="2" s="1"/>
  <c r="P95" i="2"/>
  <c r="P92" i="2" s="1"/>
  <c r="P24" i="2" s="1"/>
  <c r="E12" i="55" s="1"/>
  <c r="AQ93" i="70"/>
  <c r="AB93" i="70"/>
  <c r="AB89" i="2"/>
  <c r="AB23" i="2" s="1"/>
  <c r="AB95" i="2"/>
  <c r="AB92" i="2" s="1"/>
  <c r="AB24" i="2" s="1"/>
  <c r="E12" i="84" s="1"/>
  <c r="H30" i="2"/>
  <c r="Q30" i="2"/>
  <c r="X93" i="70"/>
  <c r="AM93" i="70"/>
  <c r="X95" i="2"/>
  <c r="X92" i="2" s="1"/>
  <c r="X24" i="2" s="1"/>
  <c r="E12" i="79" s="1"/>
  <c r="X89" i="2"/>
  <c r="X23" i="2" s="1"/>
  <c r="G117" i="2"/>
  <c r="AE117" i="2"/>
  <c r="AE116" i="2" s="1"/>
  <c r="F113" i="2"/>
  <c r="AD113" i="2"/>
  <c r="AD112" i="2" s="1"/>
  <c r="G109" i="2"/>
  <c r="AE109" i="2"/>
  <c r="AE108" i="2" s="1"/>
  <c r="J93" i="70"/>
  <c r="J89" i="2"/>
  <c r="J23" i="2" s="1"/>
  <c r="J95" i="2"/>
  <c r="J92" i="2" s="1"/>
  <c r="J24" i="2" s="1"/>
  <c r="E12" i="51" s="1"/>
  <c r="AC93" i="70"/>
  <c r="AR93" i="70"/>
  <c r="AC89" i="2"/>
  <c r="AC23" i="2" s="1"/>
  <c r="AC95" i="2"/>
  <c r="AC92" i="2" s="1"/>
  <c r="AC24" i="2" s="1"/>
  <c r="E12" i="85" s="1"/>
  <c r="AD96" i="70"/>
  <c r="AS96" i="70"/>
  <c r="AA30" i="2"/>
  <c r="E117" i="2"/>
  <c r="AB113" i="2"/>
  <c r="AB112" i="2" s="1"/>
  <c r="AN93" i="70"/>
  <c r="Y93" i="70"/>
  <c r="Y95" i="2"/>
  <c r="Y92" i="2" s="1"/>
  <c r="Y24" i="2" s="1"/>
  <c r="E12" i="81" s="1"/>
  <c r="Y89" i="2"/>
  <c r="Y23" i="2" s="1"/>
  <c r="S109" i="2"/>
  <c r="S108" i="2" s="1"/>
  <c r="R93" i="70"/>
  <c r="R95" i="2"/>
  <c r="R92" i="2" s="1"/>
  <c r="R24" i="2" s="1"/>
  <c r="E12" i="58" s="1"/>
  <c r="R89" i="2"/>
  <c r="R23" i="2" s="1"/>
  <c r="AQ96" i="70"/>
  <c r="AB96" i="70"/>
  <c r="I30" i="2"/>
  <c r="R30" i="2"/>
  <c r="AK117" i="2"/>
  <c r="AK113" i="2"/>
  <c r="W109" i="2"/>
  <c r="W108" i="2" s="1"/>
  <c r="AI30" i="2"/>
  <c r="AT96" i="70"/>
  <c r="AE96" i="70"/>
  <c r="Z96" i="70"/>
  <c r="AO96" i="70"/>
  <c r="AC117" i="2"/>
  <c r="AC116" i="2" s="1"/>
  <c r="AW93" i="70"/>
  <c r="AH93" i="70"/>
  <c r="AH95" i="2"/>
  <c r="AH92" i="2" s="1"/>
  <c r="AH24" i="2" s="1"/>
  <c r="E12" i="96" s="1"/>
  <c r="AH89" i="2"/>
  <c r="AH23" i="2" s="1"/>
  <c r="AI113" i="2"/>
  <c r="AI112" i="2" s="1"/>
  <c r="AJ113" i="2"/>
  <c r="AJ112" i="2" s="1"/>
  <c r="T30" i="2"/>
  <c r="X117" i="2"/>
  <c r="X116" i="2" s="1"/>
  <c r="AH117" i="2"/>
  <c r="AH116" i="2" s="1"/>
  <c r="N113" i="2"/>
  <c r="N112" i="2" s="1"/>
  <c r="AF113" i="2"/>
  <c r="AF112" i="2" s="1"/>
  <c r="AK109" i="2"/>
  <c r="V96" i="70"/>
  <c r="AK96" i="70"/>
  <c r="U109" i="2"/>
  <c r="U108" i="2" s="1"/>
  <c r="AF109" i="2"/>
  <c r="AF108" i="2" s="1"/>
  <c r="H93" i="70"/>
  <c r="H89" i="2"/>
  <c r="H23" i="2" s="1"/>
  <c r="H95" i="2"/>
  <c r="H92" i="2" s="1"/>
  <c r="H24" i="2" s="1"/>
  <c r="E12" i="53" s="1"/>
  <c r="Q113" i="2"/>
  <c r="Q112" i="2" s="1"/>
  <c r="AX93" i="70"/>
  <c r="AI93" i="70"/>
  <c r="AI95" i="2"/>
  <c r="AI92" i="2" s="1"/>
  <c r="AI24" i="2" s="1"/>
  <c r="E12" i="99" s="1"/>
  <c r="AI89" i="2"/>
  <c r="AI23" i="2" s="1"/>
  <c r="L30" i="2"/>
  <c r="U30" i="2"/>
  <c r="F93" i="70"/>
  <c r="F95" i="2"/>
  <c r="F92" i="2" s="1"/>
  <c r="F24" i="2" s="1"/>
  <c r="E12" i="45" s="1"/>
  <c r="F89" i="2"/>
  <c r="F23" i="2" s="1"/>
  <c r="M117" i="2"/>
  <c r="M116" i="2" s="1"/>
  <c r="AF117" i="2"/>
  <c r="AF116" i="2" s="1"/>
  <c r="G113" i="2"/>
  <c r="AE113" i="2"/>
  <c r="AE112" i="2" s="1"/>
  <c r="H109" i="2"/>
  <c r="H108" i="2" s="1"/>
  <c r="AI109" i="2"/>
  <c r="AI108" i="2" s="1"/>
  <c r="AD93" i="70"/>
  <c r="AS93" i="70"/>
  <c r="AD89" i="2"/>
  <c r="AD23" i="2" s="1"/>
  <c r="AD95" i="2"/>
  <c r="AD92" i="2" s="1"/>
  <c r="AD24" i="2" s="1"/>
  <c r="E12" i="87" s="1"/>
  <c r="AE93" i="70"/>
  <c r="AT93" i="70"/>
  <c r="AE89" i="2"/>
  <c r="AE23" i="2" s="1"/>
  <c r="AE95" i="2"/>
  <c r="AE92" i="2" s="1"/>
  <c r="AE24" i="2" s="1"/>
  <c r="E12" i="88" s="1"/>
  <c r="Z117" i="2"/>
  <c r="Z116" i="2" s="1"/>
  <c r="AI117" i="2"/>
  <c r="AI116" i="2" s="1"/>
  <c r="X113" i="2"/>
  <c r="X112" i="2" s="1"/>
  <c r="AG113" i="2"/>
  <c r="AG112" i="2" s="1"/>
  <c r="X109" i="2"/>
  <c r="X108" i="2" s="1"/>
  <c r="N93" i="70"/>
  <c r="N89" i="2"/>
  <c r="N23" i="2" s="1"/>
  <c r="N95" i="2"/>
  <c r="N92" i="2" s="1"/>
  <c r="N24" i="2" s="1"/>
  <c r="E12" i="47" s="1"/>
  <c r="AF93" i="70"/>
  <c r="AU93" i="70"/>
  <c r="AF95" i="2"/>
  <c r="AF92" i="2" s="1"/>
  <c r="AF24" i="2" s="1"/>
  <c r="E12" i="90" s="1"/>
  <c r="AF89" i="2"/>
  <c r="AF23" i="2" s="1"/>
  <c r="W96" i="70"/>
  <c r="AL96" i="70"/>
  <c r="O117" i="2"/>
  <c r="O116" i="2" s="1"/>
  <c r="V117" i="2"/>
  <c r="V116" i="2" s="1"/>
  <c r="AG109" i="2"/>
  <c r="AG108" i="2" s="1"/>
  <c r="AB109" i="2"/>
  <c r="AB108" i="2" s="1"/>
  <c r="T93" i="70"/>
  <c r="T95" i="2"/>
  <c r="T92" i="2" s="1"/>
  <c r="T24" i="2" s="1"/>
  <c r="E12" i="69" s="1"/>
  <c r="T89" i="2"/>
  <c r="T23" i="2" s="1"/>
  <c r="AX96" i="70"/>
  <c r="AI96" i="70"/>
  <c r="M30" i="2"/>
  <c r="V30" i="2"/>
  <c r="AB117" i="2"/>
  <c r="AB116" i="2" s="1"/>
  <c r="Z113" i="2"/>
  <c r="Z112" i="2" s="1"/>
  <c r="Z109" i="2"/>
  <c r="Z108" i="2" s="1"/>
  <c r="N117" i="2"/>
  <c r="N116" i="2" s="1"/>
  <c r="K93" i="70"/>
  <c r="K89" i="2"/>
  <c r="K23" i="2" s="1"/>
  <c r="K95" i="2"/>
  <c r="K92" i="2" s="1"/>
  <c r="K24" i="2" s="1"/>
  <c r="E12" i="50" s="1"/>
  <c r="AV96" i="70"/>
  <c r="AG96" i="70"/>
  <c r="U113" i="2"/>
  <c r="U112" i="2" s="1"/>
  <c r="J30" i="2"/>
  <c r="M109" i="2"/>
  <c r="M108" i="2" s="1"/>
  <c r="M93" i="70"/>
  <c r="M89" i="2"/>
  <c r="M23" i="2" s="1"/>
  <c r="M95" i="2"/>
  <c r="M92" i="2" s="1"/>
  <c r="M24" i="2" s="1"/>
  <c r="E12" i="48" s="1"/>
  <c r="AL93" i="2"/>
  <c r="AA117" i="2"/>
  <c r="AA116" i="2" s="1"/>
  <c r="AJ117" i="2"/>
  <c r="AJ116" i="2" s="1"/>
  <c r="Y113" i="2"/>
  <c r="Y112" i="2" s="1"/>
  <c r="AH113" i="2"/>
  <c r="AH112" i="2" s="1"/>
  <c r="Y109" i="2"/>
  <c r="Y108" i="2" s="1"/>
  <c r="E93" i="70"/>
  <c r="E89" i="2"/>
  <c r="E23" i="2" s="1"/>
  <c r="E95" i="2"/>
  <c r="E92" i="2" s="1"/>
  <c r="E24" i="2" s="1"/>
  <c r="E12" i="41" s="1"/>
  <c r="Q93" i="70"/>
  <c r="Q89" i="2"/>
  <c r="Q23" i="2" s="1"/>
  <c r="Q95" i="2"/>
  <c r="Q92" i="2" s="1"/>
  <c r="Q24" i="2" s="1"/>
  <c r="E12" i="56" s="1"/>
  <c r="AG93" i="70"/>
  <c r="AV93" i="70"/>
  <c r="AG95" i="2"/>
  <c r="AG92" i="2" s="1"/>
  <c r="AG24" i="2" s="1"/>
  <c r="E12" i="95" s="1"/>
  <c r="AG89" i="2"/>
  <c r="AG23" i="2" s="1"/>
  <c r="AN96" i="70"/>
  <c r="Y96" i="70"/>
  <c r="O113" i="2"/>
  <c r="O112" i="2" s="1"/>
  <c r="AH109" i="2"/>
  <c r="AH108" i="2" s="1"/>
  <c r="S93" i="70"/>
  <c r="S95" i="2"/>
  <c r="S92" i="2" s="1"/>
  <c r="S24" i="2" s="1"/>
  <c r="E12" i="64" s="1"/>
  <c r="S89" i="2"/>
  <c r="S23" i="2" s="1"/>
  <c r="AD109" i="2"/>
  <c r="AD108" i="2" s="1"/>
  <c r="L93" i="70"/>
  <c r="L95" i="2"/>
  <c r="L92" i="2" s="1"/>
  <c r="L24" i="2" s="1"/>
  <c r="E12" i="49" s="1"/>
  <c r="L89" i="2"/>
  <c r="L23" i="2" s="1"/>
  <c r="U93" i="70"/>
  <c r="U89" i="2"/>
  <c r="U23" i="2" s="1"/>
  <c r="U95" i="2"/>
  <c r="U92" i="2" s="1"/>
  <c r="U24" i="2" s="1"/>
  <c r="E12" i="72" s="1"/>
  <c r="E30" i="2"/>
  <c r="N30" i="2"/>
  <c r="W30" i="2"/>
  <c r="AK93" i="70"/>
  <c r="V93" i="70"/>
  <c r="V89" i="2"/>
  <c r="V23" i="2" s="1"/>
  <c r="V95" i="2"/>
  <c r="V92" i="2" s="1"/>
  <c r="V24" i="2" s="1"/>
  <c r="E12" i="73" s="1"/>
  <c r="AJ109" i="2"/>
  <c r="AJ108" i="2" s="1"/>
  <c r="O93" i="70"/>
  <c r="O89" i="2"/>
  <c r="O23" i="2" s="1"/>
  <c r="O95" i="2"/>
  <c r="O92" i="2" s="1"/>
  <c r="O24" i="2" s="1"/>
  <c r="E12" i="46" s="1"/>
  <c r="W93" i="70"/>
  <c r="AL93" i="70"/>
  <c r="W89" i="2"/>
  <c r="W23" i="2" s="1"/>
  <c r="W95" i="2"/>
  <c r="W92" i="2" s="1"/>
  <c r="W24" i="2" s="1"/>
  <c r="E12" i="77" s="1"/>
  <c r="F30" i="2"/>
  <c r="O30" i="2"/>
  <c r="X30" i="2"/>
  <c r="C17" i="56"/>
  <c r="Q7" i="70"/>
  <c r="O7" i="37"/>
  <c r="C23" i="77"/>
  <c r="W9" i="70"/>
  <c r="AL9" i="70"/>
  <c r="U8" i="37"/>
  <c r="AE9" i="70"/>
  <c r="AT9" i="70"/>
  <c r="C23" i="88"/>
  <c r="AC8" i="37"/>
  <c r="AD10" i="70"/>
  <c r="AS10" i="70"/>
  <c r="C24" i="87"/>
  <c r="K16" i="70"/>
  <c r="D24" i="50"/>
  <c r="O24" i="50" s="1"/>
  <c r="W24" i="50" s="1"/>
  <c r="AE24" i="50" s="1"/>
  <c r="AL24" i="50" s="1"/>
  <c r="J18" i="70"/>
  <c r="D28" i="51"/>
  <c r="D28" i="82"/>
  <c r="Z18" i="70"/>
  <c r="AO18" i="70"/>
  <c r="AN20" i="70"/>
  <c r="Y20" i="70"/>
  <c r="D37" i="81"/>
  <c r="AD12" i="70"/>
  <c r="AS12" i="70"/>
  <c r="D10" i="87"/>
  <c r="AB10" i="37"/>
  <c r="Z7" i="70"/>
  <c r="X7" i="37"/>
  <c r="AO7" i="70"/>
  <c r="C17" i="82"/>
  <c r="Z6" i="2"/>
  <c r="AW7" i="70"/>
  <c r="C17" i="96"/>
  <c r="AF7" i="37"/>
  <c r="AH7" i="70"/>
  <c r="AH6" i="2"/>
  <c r="H9" i="70"/>
  <c r="C23" i="53"/>
  <c r="F8" i="37"/>
  <c r="C23" i="55"/>
  <c r="P9" i="70"/>
  <c r="N8" i="37"/>
  <c r="C23" i="79"/>
  <c r="AM9" i="70"/>
  <c r="X9" i="70"/>
  <c r="V8" i="37"/>
  <c r="C23" i="90"/>
  <c r="AF9" i="70"/>
  <c r="AU9" i="70"/>
  <c r="AD8" i="37"/>
  <c r="C24" i="54"/>
  <c r="G10" i="70"/>
  <c r="O10" i="70"/>
  <c r="C24" i="46"/>
  <c r="AL10" i="70"/>
  <c r="W10" i="70"/>
  <c r="C24" i="77"/>
  <c r="AE10" i="70"/>
  <c r="C24" i="88"/>
  <c r="AT10" i="70"/>
  <c r="E15" i="70"/>
  <c r="D23" i="41"/>
  <c r="M15" i="70"/>
  <c r="D23" i="48"/>
  <c r="D23" i="72"/>
  <c r="U15" i="70"/>
  <c r="D23" i="85"/>
  <c r="AR15" i="70"/>
  <c r="AC15" i="70"/>
  <c r="AL16" i="2"/>
  <c r="D23" i="101"/>
  <c r="L16" i="70"/>
  <c r="D24" i="49"/>
  <c r="O24" i="49" s="1"/>
  <c r="W24" i="49" s="1"/>
  <c r="AE24" i="49" s="1"/>
  <c r="AL24" i="49" s="1"/>
  <c r="D24" i="69"/>
  <c r="O24" i="69" s="1"/>
  <c r="W24" i="69" s="1"/>
  <c r="AE24" i="69" s="1"/>
  <c r="AL24" i="69" s="1"/>
  <c r="T16" i="70"/>
  <c r="D24" i="84"/>
  <c r="O24" i="84" s="1"/>
  <c r="W24" i="84" s="1"/>
  <c r="AE24" i="84" s="1"/>
  <c r="AL24" i="84" s="1"/>
  <c r="AB16" i="70"/>
  <c r="AQ16" i="70"/>
  <c r="AY16" i="70"/>
  <c r="AJ16" i="70"/>
  <c r="D24" i="100"/>
  <c r="O24" i="100" s="1"/>
  <c r="W24" i="100" s="1"/>
  <c r="AE24" i="100" s="1"/>
  <c r="AL24" i="100" s="1"/>
  <c r="K18" i="70"/>
  <c r="D28" i="50"/>
  <c r="D28" i="64"/>
  <c r="S18" i="70"/>
  <c r="AA18" i="70"/>
  <c r="D28" i="83"/>
  <c r="AP18" i="70"/>
  <c r="D28" i="99"/>
  <c r="AX18" i="70"/>
  <c r="AI18" i="70"/>
  <c r="D37" i="51"/>
  <c r="J20" i="70"/>
  <c r="R20" i="70"/>
  <c r="D37" i="58"/>
  <c r="AO20" i="70"/>
  <c r="D37" i="82"/>
  <c r="Z20" i="70"/>
  <c r="AH20" i="70"/>
  <c r="D37" i="96"/>
  <c r="AW20" i="70"/>
  <c r="E10" i="37"/>
  <c r="D10" i="54"/>
  <c r="G12" i="70"/>
  <c r="M10" i="37"/>
  <c r="D10" i="46"/>
  <c r="O12" i="70"/>
  <c r="D10" i="77"/>
  <c r="W12" i="70"/>
  <c r="U10" i="37"/>
  <c r="AL12" i="70"/>
  <c r="AT12" i="70"/>
  <c r="AE12" i="70"/>
  <c r="AC10" i="37"/>
  <c r="D10" i="88"/>
  <c r="D17" i="45"/>
  <c r="O17" i="45" s="1"/>
  <c r="F13" i="70"/>
  <c r="D11" i="37"/>
  <c r="D11" i="16" s="1"/>
  <c r="L11" i="37"/>
  <c r="L11" i="16" s="1"/>
  <c r="D17" i="47"/>
  <c r="O17" i="47" s="1"/>
  <c r="N13" i="70"/>
  <c r="V13" i="70"/>
  <c r="AK13" i="70"/>
  <c r="D17" i="73"/>
  <c r="O17" i="73" s="1"/>
  <c r="T11" i="37"/>
  <c r="T11" i="16" s="1"/>
  <c r="D17" i="87"/>
  <c r="O17" i="87" s="1"/>
  <c r="AB11" i="37"/>
  <c r="AB11" i="16" s="1"/>
  <c r="AD13" i="70"/>
  <c r="AS13" i="70"/>
  <c r="L98" i="2"/>
  <c r="L97" i="2" s="1"/>
  <c r="T98" i="2"/>
  <c r="T97" i="2" s="1"/>
  <c r="AB98" i="2"/>
  <c r="AB97" i="2" s="1"/>
  <c r="AJ98" i="2"/>
  <c r="AJ97" i="2" s="1"/>
  <c r="E10" i="44"/>
  <c r="E19" i="41"/>
  <c r="E26" i="70"/>
  <c r="M10" i="44"/>
  <c r="M26" i="70"/>
  <c r="E19" i="48"/>
  <c r="U26" i="70"/>
  <c r="E19" i="72"/>
  <c r="U10" i="44"/>
  <c r="E19" i="85"/>
  <c r="AC26" i="70"/>
  <c r="AC10" i="44"/>
  <c r="AR26" i="70"/>
  <c r="AL27" i="2"/>
  <c r="E19" i="101"/>
  <c r="AK10" i="44"/>
  <c r="E23" i="50"/>
  <c r="P23" i="50" s="1"/>
  <c r="X23" i="50" s="1"/>
  <c r="AF23" i="50" s="1"/>
  <c r="AM23" i="50" s="1"/>
  <c r="K28" i="70"/>
  <c r="S28" i="70"/>
  <c r="E23" i="64"/>
  <c r="P23" i="64" s="1"/>
  <c r="X23" i="64" s="1"/>
  <c r="AF23" i="64" s="1"/>
  <c r="AM23" i="64" s="1"/>
  <c r="E23" i="83"/>
  <c r="P23" i="83" s="1"/>
  <c r="X23" i="83" s="1"/>
  <c r="AF23" i="83" s="1"/>
  <c r="AM23" i="83" s="1"/>
  <c r="AA28" i="70"/>
  <c r="AP28" i="70"/>
  <c r="E23" i="99"/>
  <c r="P23" i="99" s="1"/>
  <c r="X23" i="99" s="1"/>
  <c r="AF23" i="99" s="1"/>
  <c r="AM23" i="99" s="1"/>
  <c r="AX28" i="70"/>
  <c r="AI28" i="70"/>
  <c r="E26" i="51"/>
  <c r="J30" i="70"/>
  <c r="J12" i="44"/>
  <c r="R12" i="44"/>
  <c r="E26" i="58"/>
  <c r="R30" i="70"/>
  <c r="E26" i="82"/>
  <c r="Z30" i="70"/>
  <c r="AO30" i="70"/>
  <c r="Z12" i="44"/>
  <c r="AH12" i="44"/>
  <c r="E26" i="96"/>
  <c r="AH30" i="70"/>
  <c r="AW30" i="70"/>
  <c r="E37" i="53"/>
  <c r="H41" i="70"/>
  <c r="P41" i="70"/>
  <c r="E37" i="55"/>
  <c r="E37" i="79"/>
  <c r="AM41" i="70"/>
  <c r="X41" i="70"/>
  <c r="E37" i="90"/>
  <c r="AU41" i="70"/>
  <c r="AF41" i="70"/>
  <c r="C19" i="37"/>
  <c r="E48" i="70"/>
  <c r="F17" i="41"/>
  <c r="M48" i="70"/>
  <c r="K19" i="37"/>
  <c r="F17" i="48"/>
  <c r="Q17" i="48" s="1"/>
  <c r="S19" i="37"/>
  <c r="F17" i="72"/>
  <c r="Q17" i="72" s="1"/>
  <c r="U48" i="70"/>
  <c r="AR48" i="70"/>
  <c r="F17" i="85"/>
  <c r="Q17" i="85" s="1"/>
  <c r="AC48" i="70"/>
  <c r="AA19" i="37"/>
  <c r="AL49" i="2"/>
  <c r="F17" i="101"/>
  <c r="Q17" i="101" s="1"/>
  <c r="AI19" i="37"/>
  <c r="I7" i="60"/>
  <c r="L49" i="70"/>
  <c r="F20" i="49"/>
  <c r="F20" i="69"/>
  <c r="Q7" i="60"/>
  <c r="T49" i="70"/>
  <c r="AB49" i="70"/>
  <c r="F20" i="84"/>
  <c r="Y7" i="60"/>
  <c r="AQ49" i="70"/>
  <c r="AY49" i="70"/>
  <c r="F20" i="100"/>
  <c r="AG7" i="60"/>
  <c r="AJ49" i="70"/>
  <c r="F22" i="50"/>
  <c r="K51" i="70"/>
  <c r="H6" i="60"/>
  <c r="P6" i="60"/>
  <c r="F22" i="64"/>
  <c r="S51" i="70"/>
  <c r="F22" i="83"/>
  <c r="AA51" i="70"/>
  <c r="X6" i="60"/>
  <c r="AP51" i="70"/>
  <c r="AF6" i="60"/>
  <c r="AX51" i="70"/>
  <c r="AI51" i="70"/>
  <c r="F22" i="99"/>
  <c r="J52" i="70"/>
  <c r="F24" i="51"/>
  <c r="Q24" i="51" s="1"/>
  <c r="F24" i="58"/>
  <c r="Q24" i="58" s="1"/>
  <c r="R52" i="70"/>
  <c r="Z52" i="70"/>
  <c r="AO52" i="70"/>
  <c r="F24" i="82"/>
  <c r="Q24" i="82" s="1"/>
  <c r="F24" i="96"/>
  <c r="Q24" i="96" s="1"/>
  <c r="AH52" i="70"/>
  <c r="AW52" i="70"/>
  <c r="I24" i="44"/>
  <c r="F8" i="60"/>
  <c r="I53" i="70"/>
  <c r="F26" i="52"/>
  <c r="Q24" i="44"/>
  <c r="F26" i="56"/>
  <c r="N8" i="60"/>
  <c r="Q53" i="70"/>
  <c r="Y24" i="44"/>
  <c r="Y53" i="70"/>
  <c r="V8" i="60"/>
  <c r="F26" i="81"/>
  <c r="AN53" i="70"/>
  <c r="AV53" i="70"/>
  <c r="AG53" i="70"/>
  <c r="AD8" i="60"/>
  <c r="F26" i="95"/>
  <c r="AG24" i="44"/>
  <c r="E9" i="60"/>
  <c r="H55" i="70"/>
  <c r="F28" i="53"/>
  <c r="Q28" i="53" s="1"/>
  <c r="F28" i="55"/>
  <c r="Q28" i="55" s="1"/>
  <c r="P55" i="70"/>
  <c r="M9" i="60"/>
  <c r="U9" i="60"/>
  <c r="X55" i="70"/>
  <c r="AM55" i="70"/>
  <c r="F28" i="79"/>
  <c r="Q28" i="79" s="1"/>
  <c r="F28" i="90"/>
  <c r="Q28" i="90" s="1"/>
  <c r="AU55" i="70"/>
  <c r="AC9" i="60"/>
  <c r="AF55" i="70"/>
  <c r="G28" i="45"/>
  <c r="R28" i="45" s="1"/>
  <c r="Z28" i="45" s="1"/>
  <c r="AH28" i="45" s="1"/>
  <c r="AO28" i="45" s="1"/>
  <c r="F60" i="70"/>
  <c r="N60" i="70"/>
  <c r="G28" i="47"/>
  <c r="R28" i="47" s="1"/>
  <c r="Z28" i="47" s="1"/>
  <c r="AH28" i="47" s="1"/>
  <c r="AO28" i="47" s="1"/>
  <c r="V60" i="70"/>
  <c r="AK60" i="70"/>
  <c r="G28" i="73"/>
  <c r="R28" i="73" s="1"/>
  <c r="Z28" i="73" s="1"/>
  <c r="AH28" i="73" s="1"/>
  <c r="AO28" i="73" s="1"/>
  <c r="AS60" i="70"/>
  <c r="G28" i="87"/>
  <c r="R28" i="87" s="1"/>
  <c r="Z28" i="87" s="1"/>
  <c r="AH28" i="87" s="1"/>
  <c r="AO28" i="87" s="1"/>
  <c r="AD60" i="70"/>
  <c r="E62" i="70"/>
  <c r="G37" i="41"/>
  <c r="G37" i="48"/>
  <c r="R37" i="48" s="1"/>
  <c r="Z37" i="48" s="1"/>
  <c r="AH37" i="48" s="1"/>
  <c r="AO37" i="48" s="1"/>
  <c r="M62" i="70"/>
  <c r="U62" i="70"/>
  <c r="G37" i="72"/>
  <c r="R37" i="72" s="1"/>
  <c r="Z37" i="72" s="1"/>
  <c r="AH37" i="72" s="1"/>
  <c r="AO37" i="72" s="1"/>
  <c r="AC62" i="70"/>
  <c r="G37" i="85"/>
  <c r="R37" i="85" s="1"/>
  <c r="Z37" i="85" s="1"/>
  <c r="AH37" i="85" s="1"/>
  <c r="AO37" i="85" s="1"/>
  <c r="AR62" i="70"/>
  <c r="AL63" i="2"/>
  <c r="G37" i="101"/>
  <c r="R37" i="101" s="1"/>
  <c r="Z37" i="101" s="1"/>
  <c r="AH37" i="101" s="1"/>
  <c r="AO37" i="101" s="1"/>
  <c r="I57" i="70"/>
  <c r="G15" i="52"/>
  <c r="G22" i="37"/>
  <c r="G15" i="56"/>
  <c r="O22" i="37"/>
  <c r="Q57" i="70"/>
  <c r="W22" i="37"/>
  <c r="G15" i="81"/>
  <c r="Y57" i="70"/>
  <c r="AN57" i="70"/>
  <c r="AV57" i="70"/>
  <c r="G15" i="95"/>
  <c r="AG57" i="70"/>
  <c r="AE22" i="37"/>
  <c r="H58" i="70"/>
  <c r="F23" i="37"/>
  <c r="F23" i="16" s="1"/>
  <c r="G17" i="53"/>
  <c r="R17" i="53" s="1"/>
  <c r="G17" i="55"/>
  <c r="R17" i="55" s="1"/>
  <c r="N23" i="37"/>
  <c r="N23" i="16" s="1"/>
  <c r="P58" i="70"/>
  <c r="AM58" i="70"/>
  <c r="G17" i="79"/>
  <c r="R17" i="79" s="1"/>
  <c r="X58" i="70"/>
  <c r="V23" i="37"/>
  <c r="V23" i="16" s="1"/>
  <c r="AF58" i="70"/>
  <c r="AU58" i="70"/>
  <c r="G17" i="90"/>
  <c r="R17" i="90" s="1"/>
  <c r="AD23" i="37"/>
  <c r="AD23" i="16" s="1"/>
  <c r="C9" i="64"/>
  <c r="S6" i="70"/>
  <c r="Q6" i="37"/>
  <c r="S6" i="2"/>
  <c r="W7" i="37"/>
  <c r="C17" i="81"/>
  <c r="Y7" i="70"/>
  <c r="AN7" i="70"/>
  <c r="Y6" i="2"/>
  <c r="G9" i="70"/>
  <c r="C23" i="54"/>
  <c r="E8" i="37"/>
  <c r="O9" i="70"/>
  <c r="C23" i="46"/>
  <c r="M8" i="37"/>
  <c r="C24" i="47"/>
  <c r="N10" i="70"/>
  <c r="T15" i="70"/>
  <c r="D23" i="69"/>
  <c r="F20" i="50"/>
  <c r="K49" i="70"/>
  <c r="H7" i="60"/>
  <c r="I52" i="70"/>
  <c r="F24" i="52"/>
  <c r="Q24" i="52" s="1"/>
  <c r="L6" i="70"/>
  <c r="J6" i="37"/>
  <c r="C9" i="49"/>
  <c r="L6" i="2"/>
  <c r="K7" i="70"/>
  <c r="C17" i="50"/>
  <c r="I7" i="37"/>
  <c r="I7" i="16" s="1"/>
  <c r="C23" i="56"/>
  <c r="Q9" i="70"/>
  <c r="O8" i="37"/>
  <c r="C24" i="79"/>
  <c r="X10" i="70"/>
  <c r="AM10" i="70"/>
  <c r="N15" i="70"/>
  <c r="D23" i="47"/>
  <c r="D23" i="87"/>
  <c r="AS15" i="70"/>
  <c r="AD15" i="70"/>
  <c r="AJ18" i="70"/>
  <c r="D28" i="100"/>
  <c r="AY18" i="70"/>
  <c r="D37" i="50"/>
  <c r="K20" i="70"/>
  <c r="AA20" i="70"/>
  <c r="AP20" i="70"/>
  <c r="D37" i="83"/>
  <c r="AX20" i="70"/>
  <c r="AI20" i="70"/>
  <c r="D37" i="99"/>
  <c r="AM12" i="70"/>
  <c r="V10" i="37"/>
  <c r="X12" i="70"/>
  <c r="D10" i="79"/>
  <c r="E11" i="37"/>
  <c r="E11" i="16" s="1"/>
  <c r="D17" i="54"/>
  <c r="O17" i="54" s="1"/>
  <c r="G13" i="70"/>
  <c r="AT13" i="70"/>
  <c r="AE13" i="70"/>
  <c r="D17" i="88"/>
  <c r="O17" i="88" s="1"/>
  <c r="AC11" i="37"/>
  <c r="AC11" i="16" s="1"/>
  <c r="E26" i="2"/>
  <c r="E100" i="70"/>
  <c r="U100" i="70"/>
  <c r="U26" i="2"/>
  <c r="AC100" i="70"/>
  <c r="AR100" i="70"/>
  <c r="AC26" i="2"/>
  <c r="AK97" i="2"/>
  <c r="F26" i="70"/>
  <c r="E19" i="45"/>
  <c r="F10" i="44"/>
  <c r="E19" i="47"/>
  <c r="N26" i="70"/>
  <c r="N10" i="44"/>
  <c r="E19" i="73"/>
  <c r="V26" i="70"/>
  <c r="AK26" i="70"/>
  <c r="V10" i="44"/>
  <c r="AD26" i="70"/>
  <c r="E19" i="87"/>
  <c r="AD10" i="44"/>
  <c r="AS26" i="70"/>
  <c r="L28" i="70"/>
  <c r="E23" i="49"/>
  <c r="P23" i="49" s="1"/>
  <c r="X23" i="49" s="1"/>
  <c r="AF23" i="49" s="1"/>
  <c r="AM23" i="49" s="1"/>
  <c r="T28" i="70"/>
  <c r="E23" i="69"/>
  <c r="P23" i="69" s="1"/>
  <c r="X23" i="69" s="1"/>
  <c r="AF23" i="69" s="1"/>
  <c r="AM23" i="69" s="1"/>
  <c r="AB28" i="70"/>
  <c r="E23" i="84"/>
  <c r="P23" i="84" s="1"/>
  <c r="X23" i="84" s="1"/>
  <c r="AF23" i="84" s="1"/>
  <c r="AM23" i="84" s="1"/>
  <c r="AQ28" i="70"/>
  <c r="AY28" i="70"/>
  <c r="AJ28" i="70"/>
  <c r="E23" i="100"/>
  <c r="P23" i="100" s="1"/>
  <c r="X23" i="100" s="1"/>
  <c r="AF23" i="100" s="1"/>
  <c r="AM23" i="100" s="1"/>
  <c r="K12" i="44"/>
  <c r="K30" i="70"/>
  <c r="E26" i="50"/>
  <c r="S30" i="70"/>
  <c r="E26" i="64"/>
  <c r="S12" i="44"/>
  <c r="AP30" i="70"/>
  <c r="E26" i="83"/>
  <c r="AA12" i="44"/>
  <c r="AA30" i="70"/>
  <c r="AI30" i="70"/>
  <c r="AI12" i="44"/>
  <c r="AX30" i="70"/>
  <c r="E26" i="99"/>
  <c r="I41" i="70"/>
  <c r="E37" i="52"/>
  <c r="E37" i="56"/>
  <c r="Q41" i="70"/>
  <c r="E37" i="81"/>
  <c r="Y41" i="70"/>
  <c r="AN41" i="70"/>
  <c r="E37" i="95"/>
  <c r="AG41" i="70"/>
  <c r="AV41" i="70"/>
  <c r="F48" i="70"/>
  <c r="F17" i="45"/>
  <c r="Q17" i="45" s="1"/>
  <c r="D19" i="37"/>
  <c r="L19" i="37"/>
  <c r="N48" i="70"/>
  <c r="F17" i="47"/>
  <c r="Q17" i="47" s="1"/>
  <c r="V48" i="70"/>
  <c r="F17" i="73"/>
  <c r="Q17" i="73" s="1"/>
  <c r="T19" i="37"/>
  <c r="AK48" i="70"/>
  <c r="F17" i="87"/>
  <c r="Q17" i="87" s="1"/>
  <c r="AB19" i="37"/>
  <c r="AS48" i="70"/>
  <c r="AD48" i="70"/>
  <c r="B7" i="60"/>
  <c r="E49" i="70"/>
  <c r="F20" i="41"/>
  <c r="F20" i="48"/>
  <c r="J7" i="60"/>
  <c r="M49" i="70"/>
  <c r="F20" i="72"/>
  <c r="U49" i="70"/>
  <c r="R7" i="60"/>
  <c r="F20" i="85"/>
  <c r="AR49" i="70"/>
  <c r="AC49" i="70"/>
  <c r="Z7" i="60"/>
  <c r="AL50" i="2"/>
  <c r="F20" i="101"/>
  <c r="AH7" i="60"/>
  <c r="L51" i="70"/>
  <c r="F22" i="49"/>
  <c r="I6" i="60"/>
  <c r="F22" i="69"/>
  <c r="T51" i="70"/>
  <c r="Q6" i="60"/>
  <c r="AQ51" i="70"/>
  <c r="AB51" i="70"/>
  <c r="Y6" i="60"/>
  <c r="F22" i="84"/>
  <c r="AG6" i="60"/>
  <c r="F22" i="100"/>
  <c r="AY51" i="70"/>
  <c r="AJ51" i="70"/>
  <c r="K52" i="70"/>
  <c r="F24" i="50"/>
  <c r="Q24" i="50" s="1"/>
  <c r="S52" i="70"/>
  <c r="F24" i="64"/>
  <c r="Q24" i="64" s="1"/>
  <c r="AA52" i="70"/>
  <c r="AP52" i="70"/>
  <c r="F24" i="83"/>
  <c r="Q24" i="83" s="1"/>
  <c r="AX52" i="70"/>
  <c r="F24" i="99"/>
  <c r="Q24" i="99" s="1"/>
  <c r="AI52" i="70"/>
  <c r="J24" i="44"/>
  <c r="G8" i="60"/>
  <c r="F26" i="51"/>
  <c r="J53" i="70"/>
  <c r="R53" i="70"/>
  <c r="O8" i="60"/>
  <c r="F26" i="58"/>
  <c r="R24" i="44"/>
  <c r="AO53" i="70"/>
  <c r="F26" i="82"/>
  <c r="Z53" i="70"/>
  <c r="W8" i="60"/>
  <c r="Z24" i="44"/>
  <c r="AW53" i="70"/>
  <c r="AE8" i="60"/>
  <c r="AH24" i="44"/>
  <c r="AH53" i="70"/>
  <c r="F26" i="96"/>
  <c r="I55" i="70"/>
  <c r="F9" i="60"/>
  <c r="F28" i="52"/>
  <c r="Q28" i="52" s="1"/>
  <c r="Q55" i="70"/>
  <c r="F28" i="56"/>
  <c r="Q28" i="56" s="1"/>
  <c r="N9" i="60"/>
  <c r="F28" i="81"/>
  <c r="Q28" i="81" s="1"/>
  <c r="V9" i="60"/>
  <c r="AN55" i="70"/>
  <c r="Y55" i="70"/>
  <c r="AD9" i="60"/>
  <c r="AG55" i="70"/>
  <c r="F28" i="95"/>
  <c r="Q28" i="95" s="1"/>
  <c r="AV55" i="70"/>
  <c r="N24" i="37"/>
  <c r="N24" i="16" s="1"/>
  <c r="G21" i="79"/>
  <c r="G21" i="90"/>
  <c r="AF59" i="70"/>
  <c r="AU59" i="70"/>
  <c r="AD24" i="37"/>
  <c r="AD24" i="16" s="1"/>
  <c r="G28" i="54"/>
  <c r="R28" i="54" s="1"/>
  <c r="Z28" i="54" s="1"/>
  <c r="AH28" i="54" s="1"/>
  <c r="AO28" i="54" s="1"/>
  <c r="G60" i="70"/>
  <c r="G28" i="46"/>
  <c r="R28" i="46" s="1"/>
  <c r="Z28" i="46" s="1"/>
  <c r="AH28" i="46" s="1"/>
  <c r="AO28" i="46" s="1"/>
  <c r="O60" i="70"/>
  <c r="W60" i="70"/>
  <c r="G28" i="77"/>
  <c r="R28" i="77" s="1"/>
  <c r="Z28" i="77" s="1"/>
  <c r="AH28" i="77" s="1"/>
  <c r="AO28" i="77" s="1"/>
  <c r="AL60" i="70"/>
  <c r="AE60" i="70"/>
  <c r="G28" i="88"/>
  <c r="R28" i="88" s="1"/>
  <c r="Z28" i="88" s="1"/>
  <c r="AH28" i="88" s="1"/>
  <c r="AO28" i="88" s="1"/>
  <c r="AT60" i="70"/>
  <c r="F62" i="70"/>
  <c r="G37" i="45"/>
  <c r="R37" i="45" s="1"/>
  <c r="Z37" i="45" s="1"/>
  <c r="AH37" i="45" s="1"/>
  <c r="AO37" i="45" s="1"/>
  <c r="N62" i="70"/>
  <c r="G37" i="47"/>
  <c r="R37" i="47" s="1"/>
  <c r="Z37" i="47" s="1"/>
  <c r="AH37" i="47" s="1"/>
  <c r="AO37" i="47" s="1"/>
  <c r="G37" i="73"/>
  <c r="R37" i="73" s="1"/>
  <c r="Z37" i="73" s="1"/>
  <c r="AH37" i="73" s="1"/>
  <c r="AO37" i="73" s="1"/>
  <c r="AK62" i="70"/>
  <c r="V62" i="70"/>
  <c r="G37" i="87"/>
  <c r="R37" i="87" s="1"/>
  <c r="Z37" i="87" s="1"/>
  <c r="AH37" i="87" s="1"/>
  <c r="AO37" i="87" s="1"/>
  <c r="AS62" i="70"/>
  <c r="AD62" i="70"/>
  <c r="J57" i="70"/>
  <c r="H22" i="37"/>
  <c r="G15" i="51"/>
  <c r="J57" i="2"/>
  <c r="G15" i="58"/>
  <c r="R57" i="70"/>
  <c r="P22" i="37"/>
  <c r="R57" i="2"/>
  <c r="Z57" i="70"/>
  <c r="X22" i="37"/>
  <c r="G15" i="82"/>
  <c r="AO57" i="70"/>
  <c r="G15" i="96"/>
  <c r="AH57" i="70"/>
  <c r="AW57" i="70"/>
  <c r="AF22" i="37"/>
  <c r="I58" i="70"/>
  <c r="G23" i="37"/>
  <c r="G23" i="16" s="1"/>
  <c r="G17" i="52"/>
  <c r="R17" i="52" s="1"/>
  <c r="G17" i="56"/>
  <c r="R17" i="56" s="1"/>
  <c r="Q58" i="70"/>
  <c r="O23" i="37"/>
  <c r="O23" i="16" s="1"/>
  <c r="Y58" i="70"/>
  <c r="W23" i="37"/>
  <c r="W23" i="16" s="1"/>
  <c r="AN58" i="70"/>
  <c r="G17" i="81"/>
  <c r="R17" i="81" s="1"/>
  <c r="G17" i="95"/>
  <c r="R17" i="95" s="1"/>
  <c r="AV58" i="70"/>
  <c r="AG58" i="70"/>
  <c r="AE23" i="37"/>
  <c r="AE23" i="16" s="1"/>
  <c r="I6" i="37"/>
  <c r="K6" i="70"/>
  <c r="C9" i="50"/>
  <c r="K6" i="2"/>
  <c r="C17" i="95"/>
  <c r="AV7" i="70"/>
  <c r="AG7" i="70"/>
  <c r="AE7" i="37"/>
  <c r="AG6" i="2"/>
  <c r="C24" i="45"/>
  <c r="F10" i="70"/>
  <c r="AB15" i="70"/>
  <c r="AQ15" i="70"/>
  <c r="D23" i="84"/>
  <c r="AH18" i="70"/>
  <c r="AW18" i="70"/>
  <c r="D28" i="96"/>
  <c r="D10" i="37"/>
  <c r="D10" i="45"/>
  <c r="F12" i="70"/>
  <c r="D17" i="41"/>
  <c r="O17" i="41" s="1"/>
  <c r="E13" i="70"/>
  <c r="C11" i="37"/>
  <c r="C11" i="16" s="1"/>
  <c r="D17" i="85"/>
  <c r="O17" i="85" s="1"/>
  <c r="AR13" i="70"/>
  <c r="AA11" i="37"/>
  <c r="AA11" i="16" s="1"/>
  <c r="AC13" i="70"/>
  <c r="L26" i="70"/>
  <c r="L10" i="44"/>
  <c r="E19" i="49"/>
  <c r="E23" i="51"/>
  <c r="P23" i="51" s="1"/>
  <c r="X23" i="51" s="1"/>
  <c r="AF23" i="51" s="1"/>
  <c r="AM23" i="51" s="1"/>
  <c r="J28" i="70"/>
  <c r="E26" i="52"/>
  <c r="I30" i="70"/>
  <c r="I12" i="44"/>
  <c r="AT41" i="70"/>
  <c r="AE41" i="70"/>
  <c r="E37" i="88"/>
  <c r="J19" i="37"/>
  <c r="F17" i="49"/>
  <c r="Q17" i="49" s="1"/>
  <c r="L48" i="70"/>
  <c r="AY48" i="70"/>
  <c r="AJ48" i="70"/>
  <c r="AH19" i="37"/>
  <c r="F17" i="100"/>
  <c r="Q17" i="100" s="1"/>
  <c r="Q52" i="70"/>
  <c r="F24" i="56"/>
  <c r="Q24" i="56" s="1"/>
  <c r="T6" i="70"/>
  <c r="R6" i="37"/>
  <c r="C9" i="69"/>
  <c r="T6" i="2"/>
  <c r="K6" i="37"/>
  <c r="M6" i="70"/>
  <c r="C9" i="48"/>
  <c r="M6" i="2"/>
  <c r="Q7" i="37"/>
  <c r="Q7" i="16" s="1"/>
  <c r="S7" i="70"/>
  <c r="C17" i="64"/>
  <c r="C23" i="81"/>
  <c r="AN9" i="70"/>
  <c r="Y9" i="70"/>
  <c r="W8" i="37"/>
  <c r="H10" i="70"/>
  <c r="C24" i="53"/>
  <c r="F15" i="70"/>
  <c r="D23" i="45"/>
  <c r="M16" i="70"/>
  <c r="D24" i="48"/>
  <c r="O24" i="48" s="1"/>
  <c r="W24" i="48" s="1"/>
  <c r="AE24" i="48" s="1"/>
  <c r="AL24" i="48" s="1"/>
  <c r="D24" i="85"/>
  <c r="O24" i="85" s="1"/>
  <c r="W24" i="85" s="1"/>
  <c r="AE24" i="85" s="1"/>
  <c r="AL24" i="85" s="1"/>
  <c r="AC16" i="70"/>
  <c r="AR16" i="70"/>
  <c r="D28" i="49"/>
  <c r="L18" i="70"/>
  <c r="D28" i="84"/>
  <c r="AB18" i="70"/>
  <c r="AQ18" i="70"/>
  <c r="S20" i="70"/>
  <c r="D37" i="64"/>
  <c r="D10" i="53"/>
  <c r="F10" i="37"/>
  <c r="F10" i="16" s="1"/>
  <c r="H12" i="70"/>
  <c r="D10" i="55"/>
  <c r="N10" i="37"/>
  <c r="P12" i="70"/>
  <c r="AU12" i="70"/>
  <c r="AD10" i="37"/>
  <c r="AF12" i="70"/>
  <c r="D10" i="90"/>
  <c r="O13" i="70"/>
  <c r="D17" i="46"/>
  <c r="O17" i="46" s="1"/>
  <c r="M11" i="37"/>
  <c r="M11" i="16" s="1"/>
  <c r="AL13" i="70"/>
  <c r="D17" i="77"/>
  <c r="O17" i="77" s="1"/>
  <c r="W13" i="70"/>
  <c r="U11" i="37"/>
  <c r="U11" i="16" s="1"/>
  <c r="M100" i="70"/>
  <c r="M26" i="2"/>
  <c r="V6" i="70"/>
  <c r="C9" i="73"/>
  <c r="AK6" i="70"/>
  <c r="T6" i="37"/>
  <c r="V6" i="2"/>
  <c r="C17" i="49"/>
  <c r="J7" i="37"/>
  <c r="L7" i="70"/>
  <c r="T7" i="70"/>
  <c r="C17" i="69"/>
  <c r="R7" i="37"/>
  <c r="C17" i="84"/>
  <c r="Z7" i="37"/>
  <c r="AQ7" i="70"/>
  <c r="AB7" i="70"/>
  <c r="AB6" i="2"/>
  <c r="AJ7" i="70"/>
  <c r="AY7" i="70"/>
  <c r="AH7" i="37"/>
  <c r="C17" i="100"/>
  <c r="AJ6" i="2"/>
  <c r="J9" i="70"/>
  <c r="C23" i="51"/>
  <c r="H8" i="37"/>
  <c r="R9" i="70"/>
  <c r="C23" i="58"/>
  <c r="P8" i="37"/>
  <c r="C23" i="82"/>
  <c r="Z9" i="70"/>
  <c r="AO9" i="70"/>
  <c r="X8" i="37"/>
  <c r="AH9" i="70"/>
  <c r="C23" i="96"/>
  <c r="AW9" i="70"/>
  <c r="AF8" i="37"/>
  <c r="C24" i="52"/>
  <c r="I10" i="70"/>
  <c r="Q10" i="70"/>
  <c r="C24" i="56"/>
  <c r="C24" i="81"/>
  <c r="AN10" i="70"/>
  <c r="Y10" i="70"/>
  <c r="AG10" i="70"/>
  <c r="AV10" i="70"/>
  <c r="C24" i="95"/>
  <c r="D23" i="54"/>
  <c r="G15" i="70"/>
  <c r="D23" i="46"/>
  <c r="O15" i="70"/>
  <c r="D23" i="77"/>
  <c r="W15" i="70"/>
  <c r="AL15" i="70"/>
  <c r="AE15" i="70"/>
  <c r="D23" i="88"/>
  <c r="AT15" i="70"/>
  <c r="D24" i="45"/>
  <c r="O24" i="45" s="1"/>
  <c r="W24" i="45" s="1"/>
  <c r="AE24" i="45" s="1"/>
  <c r="AL24" i="45" s="1"/>
  <c r="F16" i="70"/>
  <c r="D24" i="47"/>
  <c r="O24" i="47" s="1"/>
  <c r="W24" i="47" s="1"/>
  <c r="AE24" i="47" s="1"/>
  <c r="AL24" i="47" s="1"/>
  <c r="N16" i="70"/>
  <c r="V16" i="70"/>
  <c r="AK16" i="70"/>
  <c r="D24" i="73"/>
  <c r="O24" i="73" s="1"/>
  <c r="W24" i="73" s="1"/>
  <c r="AE24" i="73" s="1"/>
  <c r="AL24" i="73" s="1"/>
  <c r="AD16" i="70"/>
  <c r="D24" i="87"/>
  <c r="O24" i="87" s="1"/>
  <c r="W24" i="87" s="1"/>
  <c r="AE24" i="87" s="1"/>
  <c r="AL24" i="87" s="1"/>
  <c r="AS16" i="70"/>
  <c r="E18" i="70"/>
  <c r="D28" i="41"/>
  <c r="D28" i="48"/>
  <c r="M18" i="70"/>
  <c r="D28" i="72"/>
  <c r="U18" i="70"/>
  <c r="D28" i="85"/>
  <c r="AR18" i="70"/>
  <c r="AC18" i="70"/>
  <c r="AL19" i="2"/>
  <c r="D28" i="101"/>
  <c r="L20" i="70"/>
  <c r="D37" i="49"/>
  <c r="D37" i="69"/>
  <c r="T20" i="70"/>
  <c r="D37" i="84"/>
  <c r="AB20" i="70"/>
  <c r="AQ20" i="70"/>
  <c r="D37" i="100"/>
  <c r="AY20" i="70"/>
  <c r="AJ20" i="70"/>
  <c r="I12" i="70"/>
  <c r="D10" i="52"/>
  <c r="G10" i="37"/>
  <c r="O10" i="37"/>
  <c r="D10" i="56"/>
  <c r="Q12" i="70"/>
  <c r="Y12" i="70"/>
  <c r="W10" i="37"/>
  <c r="D10" i="81"/>
  <c r="AN12" i="70"/>
  <c r="D10" i="95"/>
  <c r="AG12" i="70"/>
  <c r="AE10" i="37"/>
  <c r="AV12" i="70"/>
  <c r="F11" i="37"/>
  <c r="F11" i="16" s="1"/>
  <c r="H13" i="70"/>
  <c r="D17" i="53"/>
  <c r="O17" i="53" s="1"/>
  <c r="D17" i="55"/>
  <c r="O17" i="55" s="1"/>
  <c r="N11" i="37"/>
  <c r="N11" i="16" s="1"/>
  <c r="P13" i="70"/>
  <c r="AM13" i="70"/>
  <c r="X13" i="70"/>
  <c r="V11" i="37"/>
  <c r="V11" i="16" s="1"/>
  <c r="D17" i="79"/>
  <c r="O17" i="79" s="1"/>
  <c r="AD11" i="37"/>
  <c r="AD11" i="16" s="1"/>
  <c r="AF13" i="70"/>
  <c r="D17" i="90"/>
  <c r="O17" i="90" s="1"/>
  <c r="AU13" i="70"/>
  <c r="F98" i="2"/>
  <c r="F97" i="2" s="1"/>
  <c r="N100" i="70"/>
  <c r="N26" i="2"/>
  <c r="V100" i="70"/>
  <c r="AK100" i="70"/>
  <c r="V26" i="2"/>
  <c r="AD98" i="2"/>
  <c r="AD97" i="2" s="1"/>
  <c r="G10" i="44"/>
  <c r="G26" i="70"/>
  <c r="E19" i="54"/>
  <c r="O10" i="44"/>
  <c r="E19" i="46"/>
  <c r="O26" i="70"/>
  <c r="W26" i="70"/>
  <c r="W10" i="44"/>
  <c r="E19" i="77"/>
  <c r="AL26" i="70"/>
  <c r="E19" i="88"/>
  <c r="AE26" i="70"/>
  <c r="AT26" i="70"/>
  <c r="AE10" i="44"/>
  <c r="E28" i="70"/>
  <c r="E23" i="41"/>
  <c r="E23" i="48"/>
  <c r="P23" i="48" s="1"/>
  <c r="X23" i="48" s="1"/>
  <c r="AF23" i="48" s="1"/>
  <c r="AM23" i="48" s="1"/>
  <c r="M28" i="70"/>
  <c r="E23" i="72"/>
  <c r="P23" i="72" s="1"/>
  <c r="X23" i="72" s="1"/>
  <c r="AF23" i="72" s="1"/>
  <c r="AM23" i="72" s="1"/>
  <c r="U28" i="70"/>
  <c r="AC28" i="70"/>
  <c r="E23" i="85"/>
  <c r="P23" i="85" s="1"/>
  <c r="X23" i="85" s="1"/>
  <c r="AF23" i="85" s="1"/>
  <c r="AM23" i="85" s="1"/>
  <c r="AR28" i="70"/>
  <c r="AL29" i="2"/>
  <c r="E23" i="101"/>
  <c r="P23" i="101" s="1"/>
  <c r="X23" i="101" s="1"/>
  <c r="AF23" i="101" s="1"/>
  <c r="AM23" i="101" s="1"/>
  <c r="L12" i="44"/>
  <c r="E26" i="49"/>
  <c r="L30" i="70"/>
  <c r="T30" i="70"/>
  <c r="E26" i="69"/>
  <c r="T12" i="44"/>
  <c r="AB30" i="70"/>
  <c r="AQ30" i="70"/>
  <c r="AB12" i="44"/>
  <c r="E26" i="84"/>
  <c r="AY30" i="70"/>
  <c r="E26" i="100"/>
  <c r="AJ12" i="44"/>
  <c r="AJ30" i="70"/>
  <c r="E37" i="51"/>
  <c r="J41" i="70"/>
  <c r="E37" i="58"/>
  <c r="R41" i="70"/>
  <c r="E37" i="82"/>
  <c r="Z41" i="70"/>
  <c r="AO41" i="70"/>
  <c r="AH41" i="70"/>
  <c r="AW41" i="70"/>
  <c r="E37" i="96"/>
  <c r="G48" i="70"/>
  <c r="E19" i="37"/>
  <c r="F17" i="54"/>
  <c r="Q17" i="54" s="1"/>
  <c r="F17" i="46"/>
  <c r="Q17" i="46" s="1"/>
  <c r="M19" i="37"/>
  <c r="O48" i="70"/>
  <c r="F17" i="77"/>
  <c r="Q17" i="77" s="1"/>
  <c r="U19" i="37"/>
  <c r="W48" i="70"/>
  <c r="AL48" i="70"/>
  <c r="AT48" i="70"/>
  <c r="AE48" i="70"/>
  <c r="AC19" i="37"/>
  <c r="F17" i="88"/>
  <c r="Q17" i="88" s="1"/>
  <c r="F20" i="45"/>
  <c r="C7" i="60"/>
  <c r="F49" i="70"/>
  <c r="K7" i="60"/>
  <c r="F20" i="47"/>
  <c r="N49" i="70"/>
  <c r="AK49" i="70"/>
  <c r="S7" i="60"/>
  <c r="V49" i="70"/>
  <c r="F20" i="73"/>
  <c r="AD49" i="70"/>
  <c r="F20" i="87"/>
  <c r="AA7" i="60"/>
  <c r="AS49" i="70"/>
  <c r="F22" i="41"/>
  <c r="E51" i="70"/>
  <c r="B6" i="60"/>
  <c r="M51" i="70"/>
  <c r="F22" i="48"/>
  <c r="J6" i="60"/>
  <c r="F22" i="72"/>
  <c r="U51" i="70"/>
  <c r="R6" i="60"/>
  <c r="AR51" i="70"/>
  <c r="AC51" i="70"/>
  <c r="F22" i="85"/>
  <c r="Z6" i="60"/>
  <c r="AH6" i="60"/>
  <c r="AL52" i="2"/>
  <c r="F22" i="101"/>
  <c r="F24" i="49"/>
  <c r="Q24" i="49" s="1"/>
  <c r="L52" i="70"/>
  <c r="F24" i="69"/>
  <c r="Q24" i="69" s="1"/>
  <c r="T52" i="70"/>
  <c r="F24" i="84"/>
  <c r="Q24" i="84" s="1"/>
  <c r="AQ52" i="70"/>
  <c r="AB52" i="70"/>
  <c r="AY52" i="70"/>
  <c r="F24" i="100"/>
  <c r="Q24" i="100" s="1"/>
  <c r="AJ52" i="70"/>
  <c r="H8" i="60"/>
  <c r="F26" i="50"/>
  <c r="K53" i="70"/>
  <c r="K24" i="44"/>
  <c r="S24" i="44"/>
  <c r="S53" i="70"/>
  <c r="P8" i="60"/>
  <c r="F26" i="64"/>
  <c r="AA53" i="70"/>
  <c r="X8" i="60"/>
  <c r="AP53" i="70"/>
  <c r="AA24" i="44"/>
  <c r="F26" i="83"/>
  <c r="F26" i="99"/>
  <c r="AI53" i="70"/>
  <c r="AX53" i="70"/>
  <c r="AF8" i="60"/>
  <c r="AI24" i="44"/>
  <c r="F28" i="51"/>
  <c r="Q28" i="51" s="1"/>
  <c r="G9" i="60"/>
  <c r="J55" i="70"/>
  <c r="R55" i="70"/>
  <c r="F28" i="58"/>
  <c r="Q28" i="58" s="1"/>
  <c r="O9" i="60"/>
  <c r="F28" i="82"/>
  <c r="Q28" i="82" s="1"/>
  <c r="W9" i="60"/>
  <c r="Z55" i="70"/>
  <c r="AO55" i="70"/>
  <c r="AH55" i="70"/>
  <c r="AE9" i="60"/>
  <c r="F28" i="96"/>
  <c r="Q28" i="96" s="1"/>
  <c r="AW55" i="70"/>
  <c r="G28" i="53"/>
  <c r="R28" i="53" s="1"/>
  <c r="Z28" i="53" s="1"/>
  <c r="AH28" i="53" s="1"/>
  <c r="AO28" i="53" s="1"/>
  <c r="H60" i="70"/>
  <c r="G28" i="55"/>
  <c r="R28" i="55" s="1"/>
  <c r="Z28" i="55" s="1"/>
  <c r="AH28" i="55" s="1"/>
  <c r="AO28" i="55" s="1"/>
  <c r="P60" i="70"/>
  <c r="AM60" i="70"/>
  <c r="X60" i="70"/>
  <c r="G28" i="79"/>
  <c r="R28" i="79" s="1"/>
  <c r="Z28" i="79" s="1"/>
  <c r="AH28" i="79" s="1"/>
  <c r="AO28" i="79" s="1"/>
  <c r="G28" i="90"/>
  <c r="R28" i="90" s="1"/>
  <c r="Z28" i="90" s="1"/>
  <c r="AH28" i="90" s="1"/>
  <c r="AO28" i="90" s="1"/>
  <c r="AU60" i="70"/>
  <c r="AF60" i="70"/>
  <c r="G37" i="54"/>
  <c r="R37" i="54" s="1"/>
  <c r="Z37" i="54" s="1"/>
  <c r="AH37" i="54" s="1"/>
  <c r="AO37" i="54" s="1"/>
  <c r="G62" i="70"/>
  <c r="G37" i="46"/>
  <c r="R37" i="46" s="1"/>
  <c r="Z37" i="46" s="1"/>
  <c r="AH37" i="46" s="1"/>
  <c r="AO37" i="46" s="1"/>
  <c r="O62" i="70"/>
  <c r="W62" i="70"/>
  <c r="G37" i="77"/>
  <c r="R37" i="77" s="1"/>
  <c r="Z37" i="77" s="1"/>
  <c r="AH37" i="77" s="1"/>
  <c r="AO37" i="77" s="1"/>
  <c r="AL62" i="70"/>
  <c r="AT62" i="70"/>
  <c r="G37" i="88"/>
  <c r="R37" i="88" s="1"/>
  <c r="Z37" i="88" s="1"/>
  <c r="AH37" i="88" s="1"/>
  <c r="AO37" i="88" s="1"/>
  <c r="AE62" i="70"/>
  <c r="I22" i="37"/>
  <c r="K57" i="70"/>
  <c r="G15" i="50"/>
  <c r="Q22" i="37"/>
  <c r="G15" i="64"/>
  <c r="S57" i="70"/>
  <c r="AP57" i="70"/>
  <c r="G15" i="83"/>
  <c r="AA57" i="70"/>
  <c r="Y22" i="37"/>
  <c r="AA57" i="2"/>
  <c r="AX57" i="70"/>
  <c r="AI57" i="70"/>
  <c r="AG22" i="37"/>
  <c r="G15" i="99"/>
  <c r="J58" i="70"/>
  <c r="H23" i="37"/>
  <c r="H23" i="16" s="1"/>
  <c r="G17" i="51"/>
  <c r="R17" i="51" s="1"/>
  <c r="P23" i="37"/>
  <c r="P23" i="16" s="1"/>
  <c r="G17" i="58"/>
  <c r="R17" i="58" s="1"/>
  <c r="R58" i="70"/>
  <c r="Z58" i="70"/>
  <c r="G17" i="82"/>
  <c r="R17" i="82" s="1"/>
  <c r="X23" i="37"/>
  <c r="X23" i="16" s="1"/>
  <c r="AO58" i="70"/>
  <c r="AH58" i="70"/>
  <c r="AF23" i="37"/>
  <c r="AF23" i="16" s="1"/>
  <c r="AW58" i="70"/>
  <c r="G17" i="96"/>
  <c r="R17" i="96" s="1"/>
  <c r="AA16" i="70"/>
  <c r="AP16" i="70"/>
  <c r="D24" i="83"/>
  <c r="O24" i="83" s="1"/>
  <c r="W24" i="83" s="1"/>
  <c r="AE24" i="83" s="1"/>
  <c r="AL24" i="83" s="1"/>
  <c r="Q20" i="70"/>
  <c r="D37" i="56"/>
  <c r="N12" i="70"/>
  <c r="D10" i="47"/>
  <c r="L10" i="37"/>
  <c r="S11" i="37"/>
  <c r="S11" i="16" s="1"/>
  <c r="D17" i="72"/>
  <c r="O17" i="72" s="1"/>
  <c r="U13" i="70"/>
  <c r="K26" i="2"/>
  <c r="K100" i="70"/>
  <c r="AX100" i="70"/>
  <c r="AI100" i="70"/>
  <c r="AI26" i="2"/>
  <c r="AQ26" i="70"/>
  <c r="E19" i="84"/>
  <c r="AB10" i="44"/>
  <c r="AB26" i="70"/>
  <c r="AH28" i="70"/>
  <c r="E23" i="96"/>
  <c r="P23" i="96" s="1"/>
  <c r="X23" i="96" s="1"/>
  <c r="AF23" i="96" s="1"/>
  <c r="AM23" i="96" s="1"/>
  <c r="AW28" i="70"/>
  <c r="P7" i="60"/>
  <c r="F20" i="64"/>
  <c r="S49" i="70"/>
  <c r="AX49" i="70"/>
  <c r="F20" i="99"/>
  <c r="AF7" i="60"/>
  <c r="AI49" i="70"/>
  <c r="Z51" i="70"/>
  <c r="AO51" i="70"/>
  <c r="W6" i="60"/>
  <c r="F22" i="82"/>
  <c r="F26" i="53"/>
  <c r="H24" i="44"/>
  <c r="H53" i="70"/>
  <c r="E8" i="60"/>
  <c r="C9" i="72"/>
  <c r="U6" i="70"/>
  <c r="S6" i="37"/>
  <c r="U6" i="2"/>
  <c r="AX7" i="70"/>
  <c r="C17" i="99"/>
  <c r="AI7" i="70"/>
  <c r="AG7" i="37"/>
  <c r="AI6" i="2"/>
  <c r="F6" i="70"/>
  <c r="C9" i="45"/>
  <c r="D6" i="37"/>
  <c r="F6" i="2"/>
  <c r="L6" i="37"/>
  <c r="C9" i="47"/>
  <c r="N6" i="70"/>
  <c r="N6" i="2"/>
  <c r="E6" i="37"/>
  <c r="G6" i="70"/>
  <c r="C9" i="54"/>
  <c r="G6" i="2"/>
  <c r="C9" i="46"/>
  <c r="M6" i="37"/>
  <c r="O6" i="70"/>
  <c r="O6" i="2"/>
  <c r="C7" i="37"/>
  <c r="C7" i="16" s="1"/>
  <c r="C17" i="41"/>
  <c r="E7" i="70"/>
  <c r="C17" i="48"/>
  <c r="M7" i="70"/>
  <c r="K7" i="37"/>
  <c r="C17" i="72"/>
  <c r="S7" i="37"/>
  <c r="S7" i="16" s="1"/>
  <c r="U7" i="70"/>
  <c r="AR7" i="70"/>
  <c r="AC7" i="70"/>
  <c r="C17" i="85"/>
  <c r="AA7" i="37"/>
  <c r="AC6" i="2"/>
  <c r="C17" i="101"/>
  <c r="AI7" i="37"/>
  <c r="AL8" i="2"/>
  <c r="AK6" i="2"/>
  <c r="K9" i="70"/>
  <c r="C23" i="50"/>
  <c r="I8" i="37"/>
  <c r="S9" i="70"/>
  <c r="C23" i="64"/>
  <c r="Q8" i="37"/>
  <c r="C23" i="83"/>
  <c r="AA9" i="70"/>
  <c r="AP9" i="70"/>
  <c r="Y8" i="37"/>
  <c r="AX9" i="70"/>
  <c r="AI9" i="70"/>
  <c r="C23" i="99"/>
  <c r="AG8" i="37"/>
  <c r="C24" i="51"/>
  <c r="J10" i="70"/>
  <c r="C24" i="58"/>
  <c r="R10" i="70"/>
  <c r="Z10" i="70"/>
  <c r="C24" i="82"/>
  <c r="AO10" i="70"/>
  <c r="C24" i="96"/>
  <c r="AW10" i="70"/>
  <c r="AH10" i="70"/>
  <c r="D23" i="53"/>
  <c r="H15" i="70"/>
  <c r="D23" i="55"/>
  <c r="P15" i="70"/>
  <c r="AM15" i="70"/>
  <c r="X15" i="70"/>
  <c r="D23" i="79"/>
  <c r="AF15" i="70"/>
  <c r="D23" i="90"/>
  <c r="AU15" i="70"/>
  <c r="G16" i="70"/>
  <c r="D24" i="54"/>
  <c r="O24" i="54" s="1"/>
  <c r="W24" i="54" s="1"/>
  <c r="AE24" i="54" s="1"/>
  <c r="AL24" i="54" s="1"/>
  <c r="D24" i="46"/>
  <c r="O24" i="46" s="1"/>
  <c r="W24" i="46" s="1"/>
  <c r="AE24" i="46" s="1"/>
  <c r="AL24" i="46" s="1"/>
  <c r="O16" i="70"/>
  <c r="D24" i="77"/>
  <c r="O24" i="77" s="1"/>
  <c r="W24" i="77" s="1"/>
  <c r="AE24" i="77" s="1"/>
  <c r="AL24" i="77" s="1"/>
  <c r="AL16" i="70"/>
  <c r="W16" i="70"/>
  <c r="AT16" i="70"/>
  <c r="AE16" i="70"/>
  <c r="D24" i="88"/>
  <c r="O24" i="88" s="1"/>
  <c r="W24" i="88" s="1"/>
  <c r="AE24" i="88" s="1"/>
  <c r="AL24" i="88" s="1"/>
  <c r="F18" i="70"/>
  <c r="D28" i="45"/>
  <c r="N18" i="70"/>
  <c r="D28" i="47"/>
  <c r="AK18" i="70"/>
  <c r="D28" i="73"/>
  <c r="V18" i="70"/>
  <c r="AD18" i="70"/>
  <c r="AS18" i="70"/>
  <c r="D28" i="87"/>
  <c r="E20" i="70"/>
  <c r="D37" i="41"/>
  <c r="M20" i="70"/>
  <c r="D37" i="48"/>
  <c r="U20" i="70"/>
  <c r="D37" i="72"/>
  <c r="D37" i="85"/>
  <c r="AR20" i="70"/>
  <c r="AC20" i="70"/>
  <c r="D37" i="101"/>
  <c r="AL21" i="2"/>
  <c r="H10" i="37"/>
  <c r="J12" i="70"/>
  <c r="D10" i="51"/>
  <c r="R12" i="70"/>
  <c r="D10" i="58"/>
  <c r="P10" i="37"/>
  <c r="X10" i="37"/>
  <c r="Z12" i="70"/>
  <c r="AO12" i="70"/>
  <c r="D10" i="82"/>
  <c r="D10" i="96"/>
  <c r="AW12" i="70"/>
  <c r="AH12" i="70"/>
  <c r="AF10" i="37"/>
  <c r="G11" i="37"/>
  <c r="G11" i="16" s="1"/>
  <c r="D17" i="52"/>
  <c r="O17" i="52" s="1"/>
  <c r="I13" i="70"/>
  <c r="D17" i="56"/>
  <c r="O17" i="56" s="1"/>
  <c r="Q13" i="70"/>
  <c r="O11" i="37"/>
  <c r="O11" i="16" s="1"/>
  <c r="AN13" i="70"/>
  <c r="W11" i="37"/>
  <c r="W11" i="16" s="1"/>
  <c r="D17" i="81"/>
  <c r="O17" i="81" s="1"/>
  <c r="Y13" i="70"/>
  <c r="AG13" i="70"/>
  <c r="AV13" i="70"/>
  <c r="D17" i="95"/>
  <c r="O17" i="95" s="1"/>
  <c r="AE11" i="37"/>
  <c r="AE11" i="16" s="1"/>
  <c r="G98" i="2"/>
  <c r="G97" i="2" s="1"/>
  <c r="O98" i="2"/>
  <c r="O97" i="2" s="1"/>
  <c r="W98" i="2"/>
  <c r="W97" i="2" s="1"/>
  <c r="AE100" i="70"/>
  <c r="AT100" i="70"/>
  <c r="AE26" i="2"/>
  <c r="H10" i="44"/>
  <c r="E19" i="53"/>
  <c r="H26" i="70"/>
  <c r="P10" i="44"/>
  <c r="E19" i="55"/>
  <c r="P26" i="70"/>
  <c r="X10" i="44"/>
  <c r="X26" i="70"/>
  <c r="E19" i="79"/>
  <c r="AM26" i="70"/>
  <c r="AF10" i="44"/>
  <c r="AF26" i="70"/>
  <c r="E19" i="90"/>
  <c r="AU26" i="70"/>
  <c r="F28" i="70"/>
  <c r="E23" i="45"/>
  <c r="P23" i="45" s="1"/>
  <c r="X23" i="45" s="1"/>
  <c r="AF23" i="45" s="1"/>
  <c r="AM23" i="45" s="1"/>
  <c r="N28" i="70"/>
  <c r="E23" i="47"/>
  <c r="P23" i="47" s="1"/>
  <c r="X23" i="47" s="1"/>
  <c r="AF23" i="47" s="1"/>
  <c r="AM23" i="47" s="1"/>
  <c r="E23" i="73"/>
  <c r="P23" i="73" s="1"/>
  <c r="X23" i="73" s="1"/>
  <c r="AF23" i="73" s="1"/>
  <c r="AM23" i="73" s="1"/>
  <c r="V28" i="70"/>
  <c r="AK28" i="70"/>
  <c r="AS28" i="70"/>
  <c r="E23" i="87"/>
  <c r="P23" i="87" s="1"/>
  <c r="X23" i="87" s="1"/>
  <c r="AF23" i="87" s="1"/>
  <c r="AM23" i="87" s="1"/>
  <c r="AD28" i="70"/>
  <c r="E12" i="44"/>
  <c r="E26" i="41"/>
  <c r="E30" i="70"/>
  <c r="E26" i="48"/>
  <c r="M30" i="70"/>
  <c r="M12" i="44"/>
  <c r="E26" i="72"/>
  <c r="U30" i="70"/>
  <c r="U12" i="44"/>
  <c r="AR30" i="70"/>
  <c r="AC12" i="44"/>
  <c r="AC30" i="70"/>
  <c r="E26" i="85"/>
  <c r="AK12" i="44"/>
  <c r="AL31" i="2"/>
  <c r="E26" i="101"/>
  <c r="E37" i="50"/>
  <c r="K41" i="70"/>
  <c r="S41" i="70"/>
  <c r="E37" i="64"/>
  <c r="AP41" i="70"/>
  <c r="E37" i="83"/>
  <c r="AA41" i="70"/>
  <c r="AI41" i="70"/>
  <c r="AX41" i="70"/>
  <c r="E37" i="99"/>
  <c r="F19" i="37"/>
  <c r="F17" i="53"/>
  <c r="Q17" i="53" s="1"/>
  <c r="H48" i="70"/>
  <c r="P48" i="70"/>
  <c r="N19" i="37"/>
  <c r="F17" i="55"/>
  <c r="Q17" i="55" s="1"/>
  <c r="V19" i="37"/>
  <c r="X48" i="70"/>
  <c r="AM48" i="70"/>
  <c r="F17" i="79"/>
  <c r="Q17" i="79" s="1"/>
  <c r="AU48" i="70"/>
  <c r="F17" i="90"/>
  <c r="Q17" i="90" s="1"/>
  <c r="AF48" i="70"/>
  <c r="AD19" i="37"/>
  <c r="D7" i="60"/>
  <c r="F20" i="54"/>
  <c r="G49" i="70"/>
  <c r="F20" i="46"/>
  <c r="O49" i="70"/>
  <c r="L7" i="60"/>
  <c r="AL49" i="70"/>
  <c r="F20" i="77"/>
  <c r="T7" i="60"/>
  <c r="W49" i="70"/>
  <c r="AE49" i="70"/>
  <c r="AT49" i="70"/>
  <c r="AB7" i="60"/>
  <c r="F20" i="88"/>
  <c r="F51" i="70"/>
  <c r="C6" i="60"/>
  <c r="F22" i="45"/>
  <c r="K6" i="60"/>
  <c r="N51" i="70"/>
  <c r="F22" i="47"/>
  <c r="V51" i="70"/>
  <c r="S6" i="60"/>
  <c r="F22" i="73"/>
  <c r="AK51" i="70"/>
  <c r="AS51" i="70"/>
  <c r="AD51" i="70"/>
  <c r="AA6" i="60"/>
  <c r="F22" i="87"/>
  <c r="E52" i="70"/>
  <c r="F24" i="41"/>
  <c r="F24" i="48"/>
  <c r="Q24" i="48" s="1"/>
  <c r="M52" i="70"/>
  <c r="U52" i="70"/>
  <c r="F24" i="72"/>
  <c r="Q24" i="72" s="1"/>
  <c r="AC52" i="70"/>
  <c r="F24" i="85"/>
  <c r="Q24" i="85" s="1"/>
  <c r="AR52" i="70"/>
  <c r="AL53" i="2"/>
  <c r="F24" i="101"/>
  <c r="Q24" i="101" s="1"/>
  <c r="I8" i="60"/>
  <c r="L53" i="70"/>
  <c r="L24" i="44"/>
  <c r="F26" i="49"/>
  <c r="Q8" i="60"/>
  <c r="T24" i="44"/>
  <c r="T53" i="70"/>
  <c r="F26" i="69"/>
  <c r="AB24" i="44"/>
  <c r="AB53" i="70"/>
  <c r="AQ53" i="70"/>
  <c r="Y8" i="60"/>
  <c r="F26" i="84"/>
  <c r="AY53" i="70"/>
  <c r="AJ53" i="70"/>
  <c r="AJ24" i="44"/>
  <c r="AG8" i="60"/>
  <c r="F26" i="100"/>
  <c r="K55" i="70"/>
  <c r="F28" i="50"/>
  <c r="Q28" i="50" s="1"/>
  <c r="H9" i="60"/>
  <c r="P9" i="60"/>
  <c r="F28" i="64"/>
  <c r="Q28" i="64" s="1"/>
  <c r="S55" i="70"/>
  <c r="F28" i="83"/>
  <c r="Q28" i="83" s="1"/>
  <c r="AP55" i="70"/>
  <c r="AA55" i="70"/>
  <c r="X9" i="60"/>
  <c r="F28" i="99"/>
  <c r="Q28" i="99" s="1"/>
  <c r="AF9" i="60"/>
  <c r="AX55" i="70"/>
  <c r="AI55" i="70"/>
  <c r="H24" i="37"/>
  <c r="H24" i="16" s="1"/>
  <c r="G21" i="51"/>
  <c r="J59" i="70"/>
  <c r="G21" i="58"/>
  <c r="P24" i="37"/>
  <c r="P24" i="16" s="1"/>
  <c r="R59" i="70"/>
  <c r="AO59" i="70"/>
  <c r="X24" i="37"/>
  <c r="X24" i="16" s="1"/>
  <c r="G28" i="52"/>
  <c r="R28" i="52" s="1"/>
  <c r="Z28" i="52" s="1"/>
  <c r="AH28" i="52" s="1"/>
  <c r="AO28" i="52" s="1"/>
  <c r="I60" i="70"/>
  <c r="Q60" i="70"/>
  <c r="G28" i="56"/>
  <c r="R28" i="56" s="1"/>
  <c r="Z28" i="56" s="1"/>
  <c r="AH28" i="56" s="1"/>
  <c r="AO28" i="56" s="1"/>
  <c r="G28" i="81"/>
  <c r="R28" i="81" s="1"/>
  <c r="Z28" i="81" s="1"/>
  <c r="AH28" i="81" s="1"/>
  <c r="AO28" i="81" s="1"/>
  <c r="Y60" i="70"/>
  <c r="AN60" i="70"/>
  <c r="G28" i="95"/>
  <c r="R28" i="95" s="1"/>
  <c r="Z28" i="95" s="1"/>
  <c r="AH28" i="95" s="1"/>
  <c r="AO28" i="95" s="1"/>
  <c r="AV60" i="70"/>
  <c r="AG60" i="70"/>
  <c r="G37" i="53"/>
  <c r="R37" i="53" s="1"/>
  <c r="Z37" i="53" s="1"/>
  <c r="AH37" i="53" s="1"/>
  <c r="AO37" i="53" s="1"/>
  <c r="H62" i="70"/>
  <c r="G37" i="55"/>
  <c r="R37" i="55" s="1"/>
  <c r="Z37" i="55" s="1"/>
  <c r="AH37" i="55" s="1"/>
  <c r="AO37" i="55" s="1"/>
  <c r="P62" i="70"/>
  <c r="X62" i="70"/>
  <c r="G37" i="79"/>
  <c r="R37" i="79" s="1"/>
  <c r="Z37" i="79" s="1"/>
  <c r="AH37" i="79" s="1"/>
  <c r="AO37" i="79" s="1"/>
  <c r="AM62" i="70"/>
  <c r="AF62" i="70"/>
  <c r="G37" i="90"/>
  <c r="R37" i="90" s="1"/>
  <c r="Z37" i="90" s="1"/>
  <c r="AH37" i="90" s="1"/>
  <c r="AO37" i="90" s="1"/>
  <c r="AU62" i="70"/>
  <c r="G15" i="49"/>
  <c r="J22" i="37"/>
  <c r="L57" i="70"/>
  <c r="R22" i="37"/>
  <c r="G15" i="69"/>
  <c r="T57" i="70"/>
  <c r="AB57" i="70"/>
  <c r="Z22" i="37"/>
  <c r="AQ57" i="70"/>
  <c r="G15" i="84"/>
  <c r="AY57" i="70"/>
  <c r="G15" i="100"/>
  <c r="AJ57" i="70"/>
  <c r="AH22" i="37"/>
  <c r="AH22" i="16" s="1"/>
  <c r="I23" i="37"/>
  <c r="I23" i="16" s="1"/>
  <c r="G17" i="50"/>
  <c r="R17" i="50" s="1"/>
  <c r="K58" i="70"/>
  <c r="Q23" i="37"/>
  <c r="Q23" i="16" s="1"/>
  <c r="G17" i="64"/>
  <c r="R17" i="64" s="1"/>
  <c r="S58" i="70"/>
  <c r="G17" i="83"/>
  <c r="R17" i="83" s="1"/>
  <c r="AP58" i="70"/>
  <c r="Y23" i="37"/>
  <c r="Y23" i="16" s="1"/>
  <c r="AA58" i="70"/>
  <c r="AI58" i="70"/>
  <c r="AG23" i="37"/>
  <c r="AG23" i="16" s="1"/>
  <c r="AX58" i="70"/>
  <c r="G17" i="99"/>
  <c r="R17" i="99" s="1"/>
  <c r="AK10" i="70"/>
  <c r="V10" i="70"/>
  <c r="C24" i="73"/>
  <c r="AJ15" i="70"/>
  <c r="AY15" i="70"/>
  <c r="D23" i="100"/>
  <c r="D24" i="99"/>
  <c r="O24" i="99" s="1"/>
  <c r="W24" i="99" s="1"/>
  <c r="AE24" i="99" s="1"/>
  <c r="AL24" i="99" s="1"/>
  <c r="AX16" i="70"/>
  <c r="AI16" i="70"/>
  <c r="AG20" i="70"/>
  <c r="AV20" i="70"/>
  <c r="D37" i="95"/>
  <c r="M13" i="70"/>
  <c r="K11" i="37"/>
  <c r="K11" i="16" s="1"/>
  <c r="D17" i="48"/>
  <c r="O17" i="48" s="1"/>
  <c r="S100" i="70"/>
  <c r="S26" i="2"/>
  <c r="AY26" i="70"/>
  <c r="AJ26" i="70"/>
  <c r="AJ10" i="44"/>
  <c r="E19" i="100"/>
  <c r="AO28" i="70"/>
  <c r="Z28" i="70"/>
  <c r="E23" i="82"/>
  <c r="P23" i="82" s="1"/>
  <c r="X23" i="82" s="1"/>
  <c r="AF23" i="82" s="1"/>
  <c r="AM23" i="82" s="1"/>
  <c r="Y30" i="70"/>
  <c r="E26" i="81"/>
  <c r="AN30" i="70"/>
  <c r="Y12" i="44"/>
  <c r="W41" i="70"/>
  <c r="AL41" i="70"/>
  <c r="E37" i="77"/>
  <c r="AB48" i="70"/>
  <c r="Z19" i="37"/>
  <c r="AQ48" i="70"/>
  <c r="F17" i="84"/>
  <c r="Q17" i="84" s="1"/>
  <c r="AA49" i="70"/>
  <c r="X7" i="60"/>
  <c r="F20" i="83"/>
  <c r="AP49" i="70"/>
  <c r="AE6" i="60"/>
  <c r="F22" i="96"/>
  <c r="AW51" i="70"/>
  <c r="AH51" i="70"/>
  <c r="J7" i="70"/>
  <c r="H7" i="37"/>
  <c r="C17" i="51"/>
  <c r="AP7" i="70"/>
  <c r="Y7" i="37"/>
  <c r="AA7" i="70"/>
  <c r="C17" i="83"/>
  <c r="AA6" i="2"/>
  <c r="C23" i="95"/>
  <c r="AG9" i="70"/>
  <c r="AV9" i="70"/>
  <c r="AE8" i="37"/>
  <c r="U16" i="70"/>
  <c r="D24" i="72"/>
  <c r="O24" i="72" s="1"/>
  <c r="W24" i="72" s="1"/>
  <c r="AE24" i="72" s="1"/>
  <c r="AL24" i="72" s="1"/>
  <c r="C24" i="50"/>
  <c r="K10" i="70"/>
  <c r="AA10" i="70"/>
  <c r="AP10" i="70"/>
  <c r="C24" i="83"/>
  <c r="D23" i="56"/>
  <c r="Q15" i="70"/>
  <c r="D23" i="95"/>
  <c r="AV15" i="70"/>
  <c r="AG15" i="70"/>
  <c r="P16" i="70"/>
  <c r="D24" i="55"/>
  <c r="O24" i="55" s="1"/>
  <c r="W24" i="55" s="1"/>
  <c r="AE24" i="55" s="1"/>
  <c r="AL24" i="55" s="1"/>
  <c r="AE18" i="70"/>
  <c r="AT18" i="70"/>
  <c r="D28" i="88"/>
  <c r="V20" i="70"/>
  <c r="D37" i="73"/>
  <c r="AK20" i="70"/>
  <c r="I10" i="37"/>
  <c r="K12" i="70"/>
  <c r="D10" i="50"/>
  <c r="AP12" i="70"/>
  <c r="Y10" i="37"/>
  <c r="AA12" i="70"/>
  <c r="D10" i="83"/>
  <c r="D10" i="99"/>
  <c r="AG10" i="37"/>
  <c r="AI12" i="70"/>
  <c r="AX12" i="70"/>
  <c r="D17" i="51"/>
  <c r="O17" i="51" s="1"/>
  <c r="J13" i="70"/>
  <c r="H11" i="37"/>
  <c r="H11" i="16" s="1"/>
  <c r="D17" i="58"/>
  <c r="O17" i="58" s="1"/>
  <c r="P11" i="37"/>
  <c r="P11" i="16" s="1"/>
  <c r="R13" i="70"/>
  <c r="X11" i="37"/>
  <c r="X11" i="16" s="1"/>
  <c r="AO13" i="70"/>
  <c r="D17" i="82"/>
  <c r="O17" i="82" s="1"/>
  <c r="Z13" i="70"/>
  <c r="AF11" i="37"/>
  <c r="AF11" i="16" s="1"/>
  <c r="D17" i="96"/>
  <c r="O17" i="96" s="1"/>
  <c r="AW13" i="70"/>
  <c r="AH13" i="70"/>
  <c r="H100" i="70"/>
  <c r="H26" i="2"/>
  <c r="P100" i="70"/>
  <c r="P26" i="2"/>
  <c r="AM100" i="70"/>
  <c r="X26" i="2"/>
  <c r="X100" i="70"/>
  <c r="AF26" i="2"/>
  <c r="AU100" i="70"/>
  <c r="AF100" i="70"/>
  <c r="E19" i="52"/>
  <c r="I26" i="70"/>
  <c r="I10" i="44"/>
  <c r="Q10" i="44"/>
  <c r="Q26" i="70"/>
  <c r="E19" i="56"/>
  <c r="Y10" i="44"/>
  <c r="AN26" i="70"/>
  <c r="Y26" i="70"/>
  <c r="E19" i="81"/>
  <c r="AV26" i="70"/>
  <c r="AG10" i="44"/>
  <c r="AG26" i="70"/>
  <c r="E19" i="95"/>
  <c r="G28" i="70"/>
  <c r="E23" i="54"/>
  <c r="P23" i="54" s="1"/>
  <c r="X23" i="54" s="1"/>
  <c r="AF23" i="54" s="1"/>
  <c r="AM23" i="54" s="1"/>
  <c r="E23" i="46"/>
  <c r="P23" i="46" s="1"/>
  <c r="X23" i="46" s="1"/>
  <c r="AF23" i="46" s="1"/>
  <c r="AM23" i="46" s="1"/>
  <c r="O28" i="70"/>
  <c r="AL28" i="70"/>
  <c r="W28" i="70"/>
  <c r="E23" i="77"/>
  <c r="P23" i="77" s="1"/>
  <c r="X23" i="77" s="1"/>
  <c r="AF23" i="77" s="1"/>
  <c r="AM23" i="77" s="1"/>
  <c r="AT28" i="70"/>
  <c r="AE28" i="70"/>
  <c r="E23" i="88"/>
  <c r="P23" i="88" s="1"/>
  <c r="X23" i="88" s="1"/>
  <c r="AF23" i="88" s="1"/>
  <c r="AM23" i="88" s="1"/>
  <c r="F30" i="70"/>
  <c r="E26" i="45"/>
  <c r="F12" i="44"/>
  <c r="E26" i="47"/>
  <c r="N12" i="44"/>
  <c r="N30" i="70"/>
  <c r="V30" i="70"/>
  <c r="AK30" i="70"/>
  <c r="E26" i="73"/>
  <c r="V12" i="44"/>
  <c r="E26" i="87"/>
  <c r="AD30" i="70"/>
  <c r="AS30" i="70"/>
  <c r="AD12" i="44"/>
  <c r="L41" i="70"/>
  <c r="E37" i="49"/>
  <c r="T41" i="70"/>
  <c r="E37" i="69"/>
  <c r="E37" i="84"/>
  <c r="AQ41" i="70"/>
  <c r="AB41" i="70"/>
  <c r="AJ41" i="70"/>
  <c r="E37" i="100"/>
  <c r="AY41" i="70"/>
  <c r="G19" i="37"/>
  <c r="I48" i="70"/>
  <c r="F17" i="52"/>
  <c r="Q17" i="52" s="1"/>
  <c r="O19" i="37"/>
  <c r="Q48" i="70"/>
  <c r="F17" i="56"/>
  <c r="Q17" i="56" s="1"/>
  <c r="W19" i="37"/>
  <c r="AN48" i="70"/>
  <c r="Y48" i="70"/>
  <c r="F17" i="81"/>
  <c r="Q17" i="81" s="1"/>
  <c r="AE19" i="37"/>
  <c r="AG48" i="70"/>
  <c r="AV48" i="70"/>
  <c r="F17" i="95"/>
  <c r="Q17" i="95" s="1"/>
  <c r="H49" i="70"/>
  <c r="E7" i="60"/>
  <c r="F20" i="53"/>
  <c r="M7" i="60"/>
  <c r="P49" i="70"/>
  <c r="F20" i="55"/>
  <c r="F20" i="79"/>
  <c r="AM49" i="70"/>
  <c r="X49" i="70"/>
  <c r="U7" i="60"/>
  <c r="AU49" i="70"/>
  <c r="AF49" i="70"/>
  <c r="F20" i="90"/>
  <c r="AC7" i="60"/>
  <c r="F22" i="54"/>
  <c r="D6" i="60"/>
  <c r="G51" i="70"/>
  <c r="O51" i="70"/>
  <c r="F22" i="46"/>
  <c r="L6" i="60"/>
  <c r="AL51" i="70"/>
  <c r="T6" i="60"/>
  <c r="W51" i="70"/>
  <c r="F22" i="77"/>
  <c r="F22" i="88"/>
  <c r="AT51" i="70"/>
  <c r="AE51" i="70"/>
  <c r="AB6" i="60"/>
  <c r="F52" i="70"/>
  <c r="F24" i="45"/>
  <c r="Q24" i="45" s="1"/>
  <c r="F24" i="47"/>
  <c r="Q24" i="47" s="1"/>
  <c r="N52" i="70"/>
  <c r="F24" i="73"/>
  <c r="Q24" i="73" s="1"/>
  <c r="AK52" i="70"/>
  <c r="V52" i="70"/>
  <c r="AS52" i="70"/>
  <c r="AD52" i="70"/>
  <c r="F24" i="87"/>
  <c r="Q24" i="87" s="1"/>
  <c r="E53" i="70"/>
  <c r="E24" i="44"/>
  <c r="F26" i="41"/>
  <c r="B8" i="60"/>
  <c r="J8" i="60"/>
  <c r="F26" i="48"/>
  <c r="M53" i="70"/>
  <c r="M24" i="44"/>
  <c r="U53" i="70"/>
  <c r="R8" i="60"/>
  <c r="F26" i="72"/>
  <c r="U24" i="44"/>
  <c r="AC24" i="44"/>
  <c r="AC53" i="70"/>
  <c r="Z8" i="60"/>
  <c r="AR53" i="70"/>
  <c r="F26" i="85"/>
  <c r="AL54" i="2"/>
  <c r="AH8" i="60"/>
  <c r="AK24" i="44"/>
  <c r="F26" i="101"/>
  <c r="L55" i="70"/>
  <c r="I9" i="60"/>
  <c r="F28" i="49"/>
  <c r="Q28" i="49" s="1"/>
  <c r="Q9" i="60"/>
  <c r="T55" i="70"/>
  <c r="F28" i="69"/>
  <c r="Q28" i="69" s="1"/>
  <c r="AB55" i="70"/>
  <c r="F28" i="84"/>
  <c r="Q28" i="84" s="1"/>
  <c r="Y9" i="60"/>
  <c r="AQ55" i="70"/>
  <c r="AY55" i="70"/>
  <c r="AG9" i="60"/>
  <c r="AJ55" i="70"/>
  <c r="F28" i="100"/>
  <c r="Q28" i="100" s="1"/>
  <c r="Q24" i="37"/>
  <c r="Q24" i="16" s="1"/>
  <c r="Y24" i="37"/>
  <c r="Y24" i="16" s="1"/>
  <c r="AA59" i="70"/>
  <c r="AP59" i="70"/>
  <c r="G21" i="83"/>
  <c r="G28" i="51"/>
  <c r="R28" i="51" s="1"/>
  <c r="Z28" i="51" s="1"/>
  <c r="AH28" i="51" s="1"/>
  <c r="AO28" i="51" s="1"/>
  <c r="J60" i="70"/>
  <c r="R60" i="70"/>
  <c r="G28" i="58"/>
  <c r="R28" i="58" s="1"/>
  <c r="Z28" i="58" s="1"/>
  <c r="AH28" i="58" s="1"/>
  <c r="AO28" i="58" s="1"/>
  <c r="AO60" i="70"/>
  <c r="G28" i="82"/>
  <c r="R28" i="82" s="1"/>
  <c r="Z28" i="82" s="1"/>
  <c r="AH28" i="82" s="1"/>
  <c r="AO28" i="82" s="1"/>
  <c r="Z60" i="70"/>
  <c r="AW60" i="70"/>
  <c r="G28" i="96"/>
  <c r="R28" i="96" s="1"/>
  <c r="Z28" i="96" s="1"/>
  <c r="AH28" i="96" s="1"/>
  <c r="AO28" i="96" s="1"/>
  <c r="AH60" i="70"/>
  <c r="G37" i="52"/>
  <c r="R37" i="52" s="1"/>
  <c r="Z37" i="52" s="1"/>
  <c r="AH37" i="52" s="1"/>
  <c r="AO37" i="52" s="1"/>
  <c r="I62" i="70"/>
  <c r="Q62" i="70"/>
  <c r="G37" i="56"/>
  <c r="R37" i="56" s="1"/>
  <c r="Z37" i="56" s="1"/>
  <c r="AH37" i="56" s="1"/>
  <c r="AO37" i="56" s="1"/>
  <c r="Y62" i="70"/>
  <c r="G37" i="81"/>
  <c r="R37" i="81" s="1"/>
  <c r="Z37" i="81" s="1"/>
  <c r="AH37" i="81" s="1"/>
  <c r="AO37" i="81" s="1"/>
  <c r="AN62" i="70"/>
  <c r="AG62" i="70"/>
  <c r="AV62" i="70"/>
  <c r="G37" i="95"/>
  <c r="R37" i="95" s="1"/>
  <c r="Z37" i="95" s="1"/>
  <c r="AH37" i="95" s="1"/>
  <c r="AO37" i="95" s="1"/>
  <c r="G15" i="41"/>
  <c r="C22" i="37"/>
  <c r="E57" i="70"/>
  <c r="M57" i="70"/>
  <c r="G15" i="48"/>
  <c r="M57" i="2"/>
  <c r="K22" i="37"/>
  <c r="G15" i="72"/>
  <c r="U57" i="70"/>
  <c r="S22" i="37"/>
  <c r="AR57" i="70"/>
  <c r="AA22" i="37"/>
  <c r="G15" i="85"/>
  <c r="AC57" i="70"/>
  <c r="AI22" i="37"/>
  <c r="AL58" i="2"/>
  <c r="G15" i="101"/>
  <c r="L58" i="70"/>
  <c r="G17" i="49"/>
  <c r="R17" i="49" s="1"/>
  <c r="J23" i="37"/>
  <c r="J23" i="16" s="1"/>
  <c r="T58" i="70"/>
  <c r="G17" i="69"/>
  <c r="R17" i="69" s="1"/>
  <c r="R23" i="37"/>
  <c r="R23" i="16" s="1"/>
  <c r="Z23" i="37"/>
  <c r="Z23" i="16" s="1"/>
  <c r="G17" i="84"/>
  <c r="R17" i="84" s="1"/>
  <c r="AB58" i="70"/>
  <c r="AQ58" i="70"/>
  <c r="AH23" i="37"/>
  <c r="AH23" i="16" s="1"/>
  <c r="G17" i="100"/>
  <c r="R17" i="100" s="1"/>
  <c r="AY58" i="70"/>
  <c r="AJ58" i="70"/>
  <c r="E23" i="58"/>
  <c r="P23" i="58" s="1"/>
  <c r="X23" i="58" s="1"/>
  <c r="AF23" i="58" s="1"/>
  <c r="AM23" i="58" s="1"/>
  <c r="R28" i="70"/>
  <c r="G41" i="70"/>
  <c r="E37" i="54"/>
  <c r="F22" i="58"/>
  <c r="O6" i="60"/>
  <c r="R51" i="70"/>
  <c r="F24" i="95"/>
  <c r="Q24" i="95" s="1"/>
  <c r="AV52" i="70"/>
  <c r="AG52" i="70"/>
  <c r="C6" i="37"/>
  <c r="C9" i="41"/>
  <c r="E6" i="70"/>
  <c r="E6" i="2"/>
  <c r="I9" i="70"/>
  <c r="C23" i="52"/>
  <c r="G8" i="37"/>
  <c r="C24" i="55"/>
  <c r="P10" i="70"/>
  <c r="AU10" i="70"/>
  <c r="AF10" i="70"/>
  <c r="C24" i="90"/>
  <c r="D23" i="73"/>
  <c r="V15" i="70"/>
  <c r="AK15" i="70"/>
  <c r="T18" i="70"/>
  <c r="D28" i="69"/>
  <c r="P6" i="70"/>
  <c r="N6" i="37"/>
  <c r="C9" i="55"/>
  <c r="P6" i="2"/>
  <c r="L7" i="37"/>
  <c r="L7" i="16" s="1"/>
  <c r="C17" i="47"/>
  <c r="N7" i="70"/>
  <c r="AB7" i="37"/>
  <c r="AS7" i="70"/>
  <c r="AD7" i="70"/>
  <c r="C17" i="87"/>
  <c r="AD6" i="2"/>
  <c r="C23" i="49"/>
  <c r="L9" i="70"/>
  <c r="J8" i="37"/>
  <c r="C23" i="69"/>
  <c r="T9" i="70"/>
  <c r="R8" i="37"/>
  <c r="AJ9" i="70"/>
  <c r="C23" i="100"/>
  <c r="AY9" i="70"/>
  <c r="AH8" i="37"/>
  <c r="C24" i="64"/>
  <c r="S10" i="70"/>
  <c r="AX10" i="70"/>
  <c r="AI10" i="70"/>
  <c r="C24" i="99"/>
  <c r="I15" i="70"/>
  <c r="D23" i="52"/>
  <c r="D23" i="81"/>
  <c r="AN15" i="70"/>
  <c r="Y15" i="70"/>
  <c r="H16" i="70"/>
  <c r="D24" i="53"/>
  <c r="O24" i="53" s="1"/>
  <c r="W24" i="53" s="1"/>
  <c r="AE24" i="53" s="1"/>
  <c r="AL24" i="53" s="1"/>
  <c r="D24" i="79"/>
  <c r="O24" i="79" s="1"/>
  <c r="W24" i="79" s="1"/>
  <c r="AE24" i="79" s="1"/>
  <c r="AL24" i="79" s="1"/>
  <c r="X16" i="70"/>
  <c r="AM16" i="70"/>
  <c r="G18" i="70"/>
  <c r="D28" i="54"/>
  <c r="D28" i="77"/>
  <c r="AL18" i="70"/>
  <c r="W18" i="70"/>
  <c r="F20" i="70"/>
  <c r="D37" i="45"/>
  <c r="D37" i="47"/>
  <c r="N20" i="70"/>
  <c r="D10" i="64"/>
  <c r="Q10" i="37"/>
  <c r="S12" i="70"/>
  <c r="I6" i="70"/>
  <c r="C9" i="52"/>
  <c r="G6" i="37"/>
  <c r="I6" i="2"/>
  <c r="M7" i="37"/>
  <c r="C17" i="46"/>
  <c r="O7" i="70"/>
  <c r="C24" i="69"/>
  <c r="T10" i="70"/>
  <c r="I16" i="70"/>
  <c r="D24" i="52"/>
  <c r="O24" i="52" s="1"/>
  <c r="W24" i="52" s="1"/>
  <c r="AE24" i="52" s="1"/>
  <c r="AL24" i="52" s="1"/>
  <c r="AN16" i="70"/>
  <c r="D24" i="81"/>
  <c r="O24" i="81" s="1"/>
  <c r="W24" i="81" s="1"/>
  <c r="AE24" i="81" s="1"/>
  <c r="AL24" i="81" s="1"/>
  <c r="Y16" i="70"/>
  <c r="P18" i="70"/>
  <c r="D28" i="55"/>
  <c r="AU18" i="70"/>
  <c r="AF18" i="70"/>
  <c r="D28" i="90"/>
  <c r="G20" i="70"/>
  <c r="D37" i="54"/>
  <c r="D37" i="46"/>
  <c r="O20" i="70"/>
  <c r="Z10" i="37"/>
  <c r="AQ12" i="70"/>
  <c r="D10" i="84"/>
  <c r="AB12" i="70"/>
  <c r="I11" i="37"/>
  <c r="I11" i="16" s="1"/>
  <c r="K13" i="70"/>
  <c r="D17" i="50"/>
  <c r="O17" i="50" s="1"/>
  <c r="S13" i="70"/>
  <c r="D17" i="64"/>
  <c r="O17" i="64" s="1"/>
  <c r="Q11" i="37"/>
  <c r="Q11" i="16" s="1"/>
  <c r="AA13" i="70"/>
  <c r="AP13" i="70"/>
  <c r="Y11" i="37"/>
  <c r="Y11" i="16" s="1"/>
  <c r="D17" i="83"/>
  <c r="O17" i="83" s="1"/>
  <c r="AI13" i="70"/>
  <c r="AX13" i="70"/>
  <c r="AG11" i="37"/>
  <c r="AG11" i="16" s="1"/>
  <c r="D17" i="99"/>
  <c r="O17" i="99" s="1"/>
  <c r="Q100" i="70"/>
  <c r="Q26" i="2"/>
  <c r="AG26" i="2"/>
  <c r="AG100" i="70"/>
  <c r="AV100" i="70"/>
  <c r="E19" i="51"/>
  <c r="J26" i="70"/>
  <c r="J10" i="44"/>
  <c r="R26" i="70"/>
  <c r="E19" i="58"/>
  <c r="R10" i="44"/>
  <c r="E23" i="53"/>
  <c r="P23" i="53" s="1"/>
  <c r="X23" i="53" s="1"/>
  <c r="AF23" i="53" s="1"/>
  <c r="AM23" i="53" s="1"/>
  <c r="H28" i="70"/>
  <c r="E23" i="79"/>
  <c r="P23" i="79" s="1"/>
  <c r="X23" i="79" s="1"/>
  <c r="AF23" i="79" s="1"/>
  <c r="AM23" i="79" s="1"/>
  <c r="X28" i="70"/>
  <c r="AM28" i="70"/>
  <c r="AU28" i="70"/>
  <c r="E23" i="90"/>
  <c r="P23" i="90" s="1"/>
  <c r="X23" i="90" s="1"/>
  <c r="AF23" i="90" s="1"/>
  <c r="AM23" i="90" s="1"/>
  <c r="AF28" i="70"/>
  <c r="O12" i="44"/>
  <c r="O30" i="70"/>
  <c r="E26" i="46"/>
  <c r="AT30" i="70"/>
  <c r="AE12" i="44"/>
  <c r="E26" i="88"/>
  <c r="AE30" i="70"/>
  <c r="E37" i="41"/>
  <c r="E41" i="70"/>
  <c r="E37" i="48"/>
  <c r="M41" i="70"/>
  <c r="U41" i="70"/>
  <c r="E37" i="72"/>
  <c r="E37" i="85"/>
  <c r="AC41" i="70"/>
  <c r="AR41" i="70"/>
  <c r="AL42" i="2"/>
  <c r="E37" i="101"/>
  <c r="J48" i="70"/>
  <c r="F17" i="51"/>
  <c r="Q17" i="51" s="1"/>
  <c r="H19" i="37"/>
  <c r="P19" i="37"/>
  <c r="F17" i="58"/>
  <c r="Q17" i="58" s="1"/>
  <c r="R48" i="70"/>
  <c r="AO48" i="70"/>
  <c r="Z48" i="70"/>
  <c r="F17" i="82"/>
  <c r="Q17" i="82" s="1"/>
  <c r="X19" i="37"/>
  <c r="AW48" i="70"/>
  <c r="F17" i="96"/>
  <c r="Q17" i="96" s="1"/>
  <c r="AF19" i="37"/>
  <c r="AH48" i="70"/>
  <c r="F20" i="52"/>
  <c r="F7" i="60"/>
  <c r="I49" i="70"/>
  <c r="N7" i="60"/>
  <c r="F20" i="56"/>
  <c r="Q49" i="70"/>
  <c r="Y49" i="70"/>
  <c r="AN49" i="70"/>
  <c r="V7" i="60"/>
  <c r="F20" i="81"/>
  <c r="AG49" i="70"/>
  <c r="AD7" i="60"/>
  <c r="F20" i="95"/>
  <c r="AV49" i="70"/>
  <c r="H51" i="70"/>
  <c r="F22" i="53"/>
  <c r="E6" i="60"/>
  <c r="M6" i="60"/>
  <c r="F22" i="55"/>
  <c r="P51" i="70"/>
  <c r="AM51" i="70"/>
  <c r="X51" i="70"/>
  <c r="U6" i="60"/>
  <c r="F22" i="79"/>
  <c r="AF51" i="70"/>
  <c r="AU51" i="70"/>
  <c r="AC6" i="60"/>
  <c r="F22" i="90"/>
  <c r="F24" i="54"/>
  <c r="Q24" i="54" s="1"/>
  <c r="G52" i="70"/>
  <c r="O52" i="70"/>
  <c r="F24" i="46"/>
  <c r="Q24" i="46" s="1"/>
  <c r="F24" i="77"/>
  <c r="Q24" i="77" s="1"/>
  <c r="W52" i="70"/>
  <c r="AL52" i="70"/>
  <c r="AE52" i="70"/>
  <c r="F24" i="88"/>
  <c r="Q24" i="88" s="1"/>
  <c r="AT52" i="70"/>
  <c r="F53" i="70"/>
  <c r="F26" i="45"/>
  <c r="F24" i="44"/>
  <c r="C8" i="60"/>
  <c r="F26" i="47"/>
  <c r="N53" i="70"/>
  <c r="K8" i="60"/>
  <c r="N24" i="44"/>
  <c r="V53" i="70"/>
  <c r="S8" i="60"/>
  <c r="AK53" i="70"/>
  <c r="V24" i="44"/>
  <c r="F26" i="73"/>
  <c r="F26" i="87"/>
  <c r="AS53" i="70"/>
  <c r="AD53" i="70"/>
  <c r="AD24" i="44"/>
  <c r="AA8" i="60"/>
  <c r="E55" i="70"/>
  <c r="F28" i="41"/>
  <c r="B9" i="60"/>
  <c r="J9" i="60"/>
  <c r="F28" i="48"/>
  <c r="Q28" i="48" s="1"/>
  <c r="M55" i="70"/>
  <c r="R9" i="60"/>
  <c r="F28" i="72"/>
  <c r="Q28" i="72" s="1"/>
  <c r="U55" i="70"/>
  <c r="AC55" i="70"/>
  <c r="Z9" i="60"/>
  <c r="F28" i="85"/>
  <c r="Q28" i="85" s="1"/>
  <c r="AR55" i="70"/>
  <c r="AL56" i="2"/>
  <c r="AH9" i="60"/>
  <c r="F28" i="101"/>
  <c r="Q28" i="101" s="1"/>
  <c r="G28" i="50"/>
  <c r="R28" i="50" s="1"/>
  <c r="Z28" i="50" s="1"/>
  <c r="AH28" i="50" s="1"/>
  <c r="AO28" i="50" s="1"/>
  <c r="K60" i="70"/>
  <c r="S60" i="70"/>
  <c r="G28" i="64"/>
  <c r="R28" i="64" s="1"/>
  <c r="Z28" i="64" s="1"/>
  <c r="AH28" i="64" s="1"/>
  <c r="AO28" i="64" s="1"/>
  <c r="AA60" i="70"/>
  <c r="G28" i="83"/>
  <c r="R28" i="83" s="1"/>
  <c r="Z28" i="83" s="1"/>
  <c r="AH28" i="83" s="1"/>
  <c r="AO28" i="83" s="1"/>
  <c r="AP60" i="70"/>
  <c r="AX60" i="70"/>
  <c r="G28" i="99"/>
  <c r="R28" i="99" s="1"/>
  <c r="Z28" i="99" s="1"/>
  <c r="AH28" i="99" s="1"/>
  <c r="AO28" i="99" s="1"/>
  <c r="AI60" i="70"/>
  <c r="J62" i="70"/>
  <c r="G37" i="51"/>
  <c r="R37" i="51" s="1"/>
  <c r="Z37" i="51" s="1"/>
  <c r="AH37" i="51" s="1"/>
  <c r="AO37" i="51" s="1"/>
  <c r="R62" i="70"/>
  <c r="G37" i="58"/>
  <c r="R37" i="58" s="1"/>
  <c r="Z37" i="58" s="1"/>
  <c r="AH37" i="58" s="1"/>
  <c r="AO37" i="58" s="1"/>
  <c r="Z62" i="70"/>
  <c r="G37" i="82"/>
  <c r="R37" i="82" s="1"/>
  <c r="Z37" i="82" s="1"/>
  <c r="AH37" i="82" s="1"/>
  <c r="AO37" i="82" s="1"/>
  <c r="AO62" i="70"/>
  <c r="AH62" i="70"/>
  <c r="AW62" i="70"/>
  <c r="G37" i="96"/>
  <c r="R37" i="96" s="1"/>
  <c r="Z37" i="96" s="1"/>
  <c r="AH37" i="96" s="1"/>
  <c r="AO37" i="96" s="1"/>
  <c r="G15" i="45"/>
  <c r="F57" i="70"/>
  <c r="D22" i="37"/>
  <c r="N57" i="70"/>
  <c r="G15" i="47"/>
  <c r="L22" i="37"/>
  <c r="AK57" i="70"/>
  <c r="G15" i="73"/>
  <c r="V57" i="70"/>
  <c r="T22" i="37"/>
  <c r="G15" i="87"/>
  <c r="AS57" i="70"/>
  <c r="AB22" i="37"/>
  <c r="AD57" i="70"/>
  <c r="AD57" i="2"/>
  <c r="C23" i="37"/>
  <c r="C23" i="16" s="1"/>
  <c r="E58" i="70"/>
  <c r="G17" i="41"/>
  <c r="R17" i="41" s="1"/>
  <c r="G17" i="48"/>
  <c r="R17" i="48" s="1"/>
  <c r="M58" i="70"/>
  <c r="K23" i="37"/>
  <c r="K23" i="16" s="1"/>
  <c r="U58" i="70"/>
  <c r="S23" i="37"/>
  <c r="S23" i="16" s="1"/>
  <c r="G17" i="72"/>
  <c r="R17" i="72" s="1"/>
  <c r="G17" i="85"/>
  <c r="R17" i="85" s="1"/>
  <c r="AR58" i="70"/>
  <c r="AC58" i="70"/>
  <c r="AA23" i="37"/>
  <c r="AA23" i="16" s="1"/>
  <c r="AI23" i="37"/>
  <c r="AL59" i="2"/>
  <c r="G17" i="101"/>
  <c r="R17" i="101" s="1"/>
  <c r="G7" i="37"/>
  <c r="I7" i="70"/>
  <c r="C17" i="52"/>
  <c r="D23" i="49"/>
  <c r="L15" i="70"/>
  <c r="S16" i="70"/>
  <c r="D24" i="64"/>
  <c r="O24" i="64" s="1"/>
  <c r="W24" i="64" s="1"/>
  <c r="AE24" i="64" s="1"/>
  <c r="AL24" i="64" s="1"/>
  <c r="R18" i="70"/>
  <c r="D28" i="58"/>
  <c r="D37" i="52"/>
  <c r="I20" i="70"/>
  <c r="AK12" i="70"/>
  <c r="V12" i="70"/>
  <c r="T10" i="37"/>
  <c r="D10" i="73"/>
  <c r="AI11" i="37"/>
  <c r="AI11" i="16" s="1"/>
  <c r="AL14" i="2"/>
  <c r="D17" i="101"/>
  <c r="O17" i="101" s="1"/>
  <c r="AP100" i="70"/>
  <c r="AA100" i="70"/>
  <c r="AA26" i="2"/>
  <c r="T10" i="44"/>
  <c r="T26" i="70"/>
  <c r="E19" i="69"/>
  <c r="Q30" i="70"/>
  <c r="E26" i="56"/>
  <c r="Q12" i="44"/>
  <c r="AV30" i="70"/>
  <c r="E26" i="95"/>
  <c r="I26" i="95" s="1"/>
  <c r="AG30" i="70"/>
  <c r="AG12" i="44"/>
  <c r="E37" i="46"/>
  <c r="O41" i="70"/>
  <c r="R19" i="37"/>
  <c r="T48" i="70"/>
  <c r="F17" i="69"/>
  <c r="Q17" i="69" s="1"/>
  <c r="F22" i="51"/>
  <c r="G6" i="60"/>
  <c r="J51" i="70"/>
  <c r="F24" i="81"/>
  <c r="Q24" i="81" s="1"/>
  <c r="AN52" i="70"/>
  <c r="Y52" i="70"/>
  <c r="P7" i="37"/>
  <c r="P7" i="16" s="1"/>
  <c r="C17" i="58"/>
  <c r="R7" i="70"/>
  <c r="E16" i="70"/>
  <c r="D24" i="41"/>
  <c r="AL17" i="2"/>
  <c r="D24" i="101"/>
  <c r="O24" i="101" s="1"/>
  <c r="W24" i="101" s="1"/>
  <c r="AE24" i="101" s="1"/>
  <c r="AL24" i="101" s="1"/>
  <c r="F6" i="37"/>
  <c r="C9" i="53"/>
  <c r="H6" i="70"/>
  <c r="H6" i="2"/>
  <c r="F7" i="70"/>
  <c r="D7" i="37"/>
  <c r="D7" i="16" s="1"/>
  <c r="C17" i="45"/>
  <c r="AK7" i="70"/>
  <c r="T7" i="37"/>
  <c r="V7" i="70"/>
  <c r="C17" i="73"/>
  <c r="AQ9" i="70"/>
  <c r="C23" i="84"/>
  <c r="AB9" i="70"/>
  <c r="Z8" i="37"/>
  <c r="D24" i="90"/>
  <c r="O24" i="90" s="1"/>
  <c r="W24" i="90" s="1"/>
  <c r="AE24" i="90" s="1"/>
  <c r="AL24" i="90" s="1"/>
  <c r="AU16" i="70"/>
  <c r="AF16" i="70"/>
  <c r="O18" i="70"/>
  <c r="D28" i="46"/>
  <c r="D37" i="87"/>
  <c r="AS20" i="70"/>
  <c r="AD20" i="70"/>
  <c r="C9" i="56"/>
  <c r="Q6" i="70"/>
  <c r="O6" i="37"/>
  <c r="Q6" i="2"/>
  <c r="G7" i="70"/>
  <c r="E7" i="37"/>
  <c r="C17" i="54"/>
  <c r="AL7" i="70"/>
  <c r="U7" i="37"/>
  <c r="C17" i="77"/>
  <c r="W7" i="70"/>
  <c r="W6" i="2"/>
  <c r="AC7" i="37"/>
  <c r="C17" i="88"/>
  <c r="AE7" i="70"/>
  <c r="AT7" i="70"/>
  <c r="AE6" i="2"/>
  <c r="E9" i="70"/>
  <c r="C23" i="41"/>
  <c r="C8" i="37"/>
  <c r="C23" i="48"/>
  <c r="M9" i="70"/>
  <c r="K8" i="37"/>
  <c r="U9" i="70"/>
  <c r="C23" i="72"/>
  <c r="S8" i="37"/>
  <c r="C23" i="85"/>
  <c r="AR9" i="70"/>
  <c r="AC9" i="70"/>
  <c r="AA8" i="37"/>
  <c r="C23" i="101"/>
  <c r="AL10" i="2"/>
  <c r="AI8" i="37"/>
  <c r="L10" i="70"/>
  <c r="C24" i="49"/>
  <c r="AB10" i="70"/>
  <c r="C24" i="84"/>
  <c r="AQ10" i="70"/>
  <c r="C24" i="100"/>
  <c r="AY10" i="70"/>
  <c r="AJ10" i="70"/>
  <c r="J15" i="70"/>
  <c r="D23" i="51"/>
  <c r="R15" i="70"/>
  <c r="D23" i="58"/>
  <c r="D23" i="82"/>
  <c r="Z15" i="70"/>
  <c r="AO15" i="70"/>
  <c r="AH15" i="70"/>
  <c r="D23" i="96"/>
  <c r="AW15" i="70"/>
  <c r="D24" i="56"/>
  <c r="O24" i="56" s="1"/>
  <c r="W24" i="56" s="1"/>
  <c r="AE24" i="56" s="1"/>
  <c r="AL24" i="56" s="1"/>
  <c r="Q16" i="70"/>
  <c r="AV16" i="70"/>
  <c r="D24" i="95"/>
  <c r="O24" i="95" s="1"/>
  <c r="W24" i="95" s="1"/>
  <c r="AE24" i="95" s="1"/>
  <c r="AL24" i="95" s="1"/>
  <c r="AG16" i="70"/>
  <c r="H18" i="70"/>
  <c r="D28" i="53"/>
  <c r="AM18" i="70"/>
  <c r="X18" i="70"/>
  <c r="D28" i="79"/>
  <c r="AL20" i="70"/>
  <c r="W20" i="70"/>
  <c r="D37" i="77"/>
  <c r="AT20" i="70"/>
  <c r="D37" i="88"/>
  <c r="AE20" i="70"/>
  <c r="L12" i="70"/>
  <c r="D10" i="49"/>
  <c r="J10" i="37"/>
  <c r="D10" i="69"/>
  <c r="T12" i="70"/>
  <c r="R10" i="37"/>
  <c r="AY12" i="70"/>
  <c r="AJ12" i="70"/>
  <c r="D10" i="100"/>
  <c r="AH10" i="37"/>
  <c r="I26" i="2"/>
  <c r="I100" i="70"/>
  <c r="Y26" i="2"/>
  <c r="AN100" i="70"/>
  <c r="Y100" i="70"/>
  <c r="Z26" i="70"/>
  <c r="E19" i="82"/>
  <c r="AO26" i="70"/>
  <c r="Z10" i="44"/>
  <c r="AW26" i="70"/>
  <c r="AH10" i="44"/>
  <c r="AH26" i="70"/>
  <c r="E19" i="96"/>
  <c r="P28" i="70"/>
  <c r="E23" i="55"/>
  <c r="P23" i="55" s="1"/>
  <c r="X23" i="55" s="1"/>
  <c r="AF23" i="55" s="1"/>
  <c r="AM23" i="55" s="1"/>
  <c r="G12" i="44"/>
  <c r="G30" i="70"/>
  <c r="E26" i="54"/>
  <c r="W30" i="70"/>
  <c r="W12" i="44"/>
  <c r="E26" i="77"/>
  <c r="AL30" i="70"/>
  <c r="H6" i="37"/>
  <c r="C9" i="51"/>
  <c r="J6" i="70"/>
  <c r="J6" i="2"/>
  <c r="C9" i="58"/>
  <c r="P6" i="37"/>
  <c r="R6" i="70"/>
  <c r="R6" i="2"/>
  <c r="H7" i="70"/>
  <c r="F7" i="37"/>
  <c r="C17" i="53"/>
  <c r="C17" i="55"/>
  <c r="N7" i="37"/>
  <c r="P7" i="70"/>
  <c r="V7" i="37"/>
  <c r="AM7" i="70"/>
  <c r="X7" i="70"/>
  <c r="C17" i="79"/>
  <c r="X6" i="2"/>
  <c r="AU7" i="70"/>
  <c r="AF7" i="70"/>
  <c r="C17" i="90"/>
  <c r="AD7" i="37"/>
  <c r="AF6" i="2"/>
  <c r="F9" i="70"/>
  <c r="C23" i="45"/>
  <c r="D8" i="37"/>
  <c r="C23" i="47"/>
  <c r="N9" i="70"/>
  <c r="L8" i="37"/>
  <c r="C23" i="73"/>
  <c r="AK9" i="70"/>
  <c r="V9" i="70"/>
  <c r="T8" i="37"/>
  <c r="AS9" i="70"/>
  <c r="C23" i="87"/>
  <c r="AD9" i="70"/>
  <c r="AB8" i="37"/>
  <c r="C24" i="41"/>
  <c r="E10" i="70"/>
  <c r="C24" i="48"/>
  <c r="M10" i="70"/>
  <c r="U10" i="70"/>
  <c r="C24" i="72"/>
  <c r="C24" i="85"/>
  <c r="AC10" i="70"/>
  <c r="AR10" i="70"/>
  <c r="AL11" i="2"/>
  <c r="C24" i="101"/>
  <c r="D23" i="50"/>
  <c r="K15" i="70"/>
  <c r="S15" i="70"/>
  <c r="D23" i="64"/>
  <c r="AP15" i="70"/>
  <c r="D23" i="83"/>
  <c r="AA15" i="70"/>
  <c r="AX15" i="70"/>
  <c r="AI15" i="70"/>
  <c r="D23" i="99"/>
  <c r="D24" i="51"/>
  <c r="O24" i="51" s="1"/>
  <c r="W24" i="51" s="1"/>
  <c r="AE24" i="51" s="1"/>
  <c r="AL24" i="51" s="1"/>
  <c r="J16" i="70"/>
  <c r="D24" i="58"/>
  <c r="O24" i="58" s="1"/>
  <c r="W24" i="58" s="1"/>
  <c r="AE24" i="58" s="1"/>
  <c r="AL24" i="58" s="1"/>
  <c r="R16" i="70"/>
  <c r="Z16" i="70"/>
  <c r="AO16" i="70"/>
  <c r="D24" i="82"/>
  <c r="O24" i="82" s="1"/>
  <c r="W24" i="82" s="1"/>
  <c r="AE24" i="82" s="1"/>
  <c r="AL24" i="82" s="1"/>
  <c r="AH16" i="70"/>
  <c r="AW16" i="70"/>
  <c r="D24" i="96"/>
  <c r="O24" i="96" s="1"/>
  <c r="W24" i="96" s="1"/>
  <c r="AE24" i="96" s="1"/>
  <c r="AL24" i="96" s="1"/>
  <c r="I18" i="70"/>
  <c r="D28" i="52"/>
  <c r="D28" i="56"/>
  <c r="Q18" i="70"/>
  <c r="Y18" i="70"/>
  <c r="D28" i="81"/>
  <c r="AN18" i="70"/>
  <c r="D28" i="95"/>
  <c r="AG18" i="70"/>
  <c r="AV18" i="70"/>
  <c r="H20" i="70"/>
  <c r="D37" i="53"/>
  <c r="D37" i="55"/>
  <c r="P20" i="70"/>
  <c r="X20" i="70"/>
  <c r="AM20" i="70"/>
  <c r="D37" i="79"/>
  <c r="D37" i="90"/>
  <c r="AF20" i="70"/>
  <c r="AU20" i="70"/>
  <c r="C10" i="37"/>
  <c r="E12" i="70"/>
  <c r="D10" i="41"/>
  <c r="M12" i="70"/>
  <c r="K10" i="37"/>
  <c r="D10" i="48"/>
  <c r="D10" i="72"/>
  <c r="U12" i="70"/>
  <c r="S10" i="37"/>
  <c r="AA10" i="37"/>
  <c r="D10" i="85"/>
  <c r="AR12" i="70"/>
  <c r="AC12" i="70"/>
  <c r="AI10" i="37"/>
  <c r="AL13" i="2"/>
  <c r="D10" i="101"/>
  <c r="J11" i="37"/>
  <c r="J11" i="16" s="1"/>
  <c r="D17" i="49"/>
  <c r="O17" i="49" s="1"/>
  <c r="L13" i="70"/>
  <c r="D17" i="69"/>
  <c r="O17" i="69" s="1"/>
  <c r="T13" i="70"/>
  <c r="R11" i="37"/>
  <c r="R11" i="16" s="1"/>
  <c r="D17" i="84"/>
  <c r="O17" i="84" s="1"/>
  <c r="AQ13" i="70"/>
  <c r="AB13" i="70"/>
  <c r="Z11" i="37"/>
  <c r="Z11" i="16" s="1"/>
  <c r="AJ13" i="70"/>
  <c r="AH11" i="37"/>
  <c r="AH11" i="16" s="1"/>
  <c r="D17" i="100"/>
  <c r="O17" i="100" s="1"/>
  <c r="AY13" i="70"/>
  <c r="J100" i="70"/>
  <c r="J26" i="2"/>
  <c r="R100" i="70"/>
  <c r="R26" i="2"/>
  <c r="AO100" i="70"/>
  <c r="Z26" i="2"/>
  <c r="Z100" i="70"/>
  <c r="AH26" i="2"/>
  <c r="AH100" i="70"/>
  <c r="AW100" i="70"/>
  <c r="E19" i="50"/>
  <c r="K10" i="44"/>
  <c r="K26" i="70"/>
  <c r="S10" i="44"/>
  <c r="S26" i="70"/>
  <c r="E19" i="64"/>
  <c r="AA10" i="44"/>
  <c r="E19" i="83"/>
  <c r="AA26" i="70"/>
  <c r="AP26" i="70"/>
  <c r="AI26" i="70"/>
  <c r="AI10" i="44"/>
  <c r="E19" i="99"/>
  <c r="AX26" i="70"/>
  <c r="I28" i="70"/>
  <c r="E23" i="52"/>
  <c r="P23" i="52" s="1"/>
  <c r="X23" i="52" s="1"/>
  <c r="AF23" i="52" s="1"/>
  <c r="AM23" i="52" s="1"/>
  <c r="E23" i="56"/>
  <c r="P23" i="56" s="1"/>
  <c r="X23" i="56" s="1"/>
  <c r="AF23" i="56" s="1"/>
  <c r="AM23" i="56" s="1"/>
  <c r="Q28" i="70"/>
  <c r="AN28" i="70"/>
  <c r="E23" i="81"/>
  <c r="P23" i="81" s="1"/>
  <c r="X23" i="81" s="1"/>
  <c r="AF23" i="81" s="1"/>
  <c r="AM23" i="81" s="1"/>
  <c r="Y28" i="70"/>
  <c r="E23" i="95"/>
  <c r="P23" i="95" s="1"/>
  <c r="X23" i="95" s="1"/>
  <c r="AF23" i="95" s="1"/>
  <c r="AM23" i="95" s="1"/>
  <c r="AV28" i="70"/>
  <c r="AG28" i="70"/>
  <c r="E26" i="53"/>
  <c r="H30" i="70"/>
  <c r="H12" i="44"/>
  <c r="P12" i="44"/>
  <c r="E26" i="55"/>
  <c r="P30" i="70"/>
  <c r="X12" i="44"/>
  <c r="AM30" i="70"/>
  <c r="X30" i="70"/>
  <c r="E26" i="79"/>
  <c r="E26" i="90"/>
  <c r="AU30" i="70"/>
  <c r="AF30" i="70"/>
  <c r="AF12" i="44"/>
  <c r="E37" i="45"/>
  <c r="F41" i="70"/>
  <c r="N41" i="70"/>
  <c r="E37" i="47"/>
  <c r="E37" i="73"/>
  <c r="V41" i="70"/>
  <c r="AK41" i="70"/>
  <c r="AS41" i="70"/>
  <c r="E37" i="87"/>
  <c r="AD41" i="70"/>
  <c r="F17" i="50"/>
  <c r="Q17" i="50" s="1"/>
  <c r="I19" i="37"/>
  <c r="K48" i="70"/>
  <c r="S48" i="70"/>
  <c r="F17" i="64"/>
  <c r="Q17" i="64" s="1"/>
  <c r="Q19" i="37"/>
  <c r="AA48" i="70"/>
  <c r="AP48" i="70"/>
  <c r="F17" i="83"/>
  <c r="Q17" i="83" s="1"/>
  <c r="Y19" i="37"/>
  <c r="AG19" i="37"/>
  <c r="AI48" i="70"/>
  <c r="AX48" i="70"/>
  <c r="F17" i="99"/>
  <c r="Q17" i="99" s="1"/>
  <c r="J49" i="70"/>
  <c r="F20" i="51"/>
  <c r="G7" i="60"/>
  <c r="R49" i="70"/>
  <c r="F20" i="58"/>
  <c r="O7" i="60"/>
  <c r="Z49" i="70"/>
  <c r="W7" i="60"/>
  <c r="F20" i="82"/>
  <c r="AO49" i="70"/>
  <c r="AH49" i="70"/>
  <c r="AE7" i="60"/>
  <c r="F20" i="96"/>
  <c r="AW49" i="70"/>
  <c r="F22" i="52"/>
  <c r="F6" i="60"/>
  <c r="I51" i="70"/>
  <c r="N6" i="60"/>
  <c r="Q51" i="70"/>
  <c r="F22" i="56"/>
  <c r="Y51" i="70"/>
  <c r="F22" i="81"/>
  <c r="V6" i="60"/>
  <c r="AN51" i="70"/>
  <c r="AV51" i="70"/>
  <c r="AD6" i="60"/>
  <c r="F22" i="95"/>
  <c r="AG51" i="70"/>
  <c r="H52" i="70"/>
  <c r="F24" i="53"/>
  <c r="Q24" i="53" s="1"/>
  <c r="F24" i="55"/>
  <c r="Q24" i="55" s="1"/>
  <c r="P52" i="70"/>
  <c r="AM52" i="70"/>
  <c r="X52" i="70"/>
  <c r="F24" i="79"/>
  <c r="Q24" i="79" s="1"/>
  <c r="F24" i="90"/>
  <c r="Q24" i="90" s="1"/>
  <c r="AU52" i="70"/>
  <c r="AF52" i="70"/>
  <c r="G53" i="70"/>
  <c r="F26" i="54"/>
  <c r="G24" i="44"/>
  <c r="D8" i="60"/>
  <c r="O24" i="44"/>
  <c r="O53" i="70"/>
  <c r="F26" i="46"/>
  <c r="L8" i="60"/>
  <c r="W53" i="70"/>
  <c r="W24" i="44"/>
  <c r="F26" i="77"/>
  <c r="T8" i="60"/>
  <c r="AL53" i="70"/>
  <c r="AE24" i="44"/>
  <c r="AT53" i="70"/>
  <c r="AE53" i="70"/>
  <c r="AB8" i="60"/>
  <c r="F26" i="88"/>
  <c r="F55" i="70"/>
  <c r="C9" i="60"/>
  <c r="F28" i="45"/>
  <c r="Q28" i="45" s="1"/>
  <c r="K9" i="60"/>
  <c r="N55" i="70"/>
  <c r="F28" i="47"/>
  <c r="Q28" i="47" s="1"/>
  <c r="S9" i="60"/>
  <c r="V55" i="70"/>
  <c r="AK55" i="70"/>
  <c r="F28" i="73"/>
  <c r="Q28" i="73" s="1"/>
  <c r="AD55" i="70"/>
  <c r="AS55" i="70"/>
  <c r="AA9" i="60"/>
  <c r="F28" i="87"/>
  <c r="Q28" i="87" s="1"/>
  <c r="E59" i="70"/>
  <c r="G21" i="48"/>
  <c r="M59" i="70"/>
  <c r="K24" i="37"/>
  <c r="K24" i="16" s="1"/>
  <c r="S24" i="37"/>
  <c r="S24" i="16" s="1"/>
  <c r="G21" i="85"/>
  <c r="G28" i="49"/>
  <c r="R28" i="49" s="1"/>
  <c r="Z28" i="49" s="1"/>
  <c r="AH28" i="49" s="1"/>
  <c r="AO28" i="49" s="1"/>
  <c r="L60" i="70"/>
  <c r="G28" i="69"/>
  <c r="R28" i="69" s="1"/>
  <c r="Z28" i="69" s="1"/>
  <c r="AH28" i="69" s="1"/>
  <c r="AO28" i="69" s="1"/>
  <c r="T60" i="70"/>
  <c r="AQ60" i="70"/>
  <c r="AB60" i="70"/>
  <c r="G28" i="84"/>
  <c r="R28" i="84" s="1"/>
  <c r="Z28" i="84" s="1"/>
  <c r="AH28" i="84" s="1"/>
  <c r="AO28" i="84" s="1"/>
  <c r="AY60" i="70"/>
  <c r="AJ60" i="70"/>
  <c r="G28" i="100"/>
  <c r="R28" i="100" s="1"/>
  <c r="Z28" i="100" s="1"/>
  <c r="AH28" i="100" s="1"/>
  <c r="AO28" i="100" s="1"/>
  <c r="K62" i="70"/>
  <c r="G37" i="50"/>
  <c r="R37" i="50" s="1"/>
  <c r="Z37" i="50" s="1"/>
  <c r="AH37" i="50" s="1"/>
  <c r="AO37" i="50" s="1"/>
  <c r="G37" i="64"/>
  <c r="R37" i="64" s="1"/>
  <c r="Z37" i="64" s="1"/>
  <c r="AH37" i="64" s="1"/>
  <c r="AO37" i="64" s="1"/>
  <c r="S62" i="70"/>
  <c r="G37" i="83"/>
  <c r="R37" i="83" s="1"/>
  <c r="Z37" i="83" s="1"/>
  <c r="AH37" i="83" s="1"/>
  <c r="AO37" i="83" s="1"/>
  <c r="AP62" i="70"/>
  <c r="AA62" i="70"/>
  <c r="G37" i="99"/>
  <c r="R37" i="99" s="1"/>
  <c r="Z37" i="99" s="1"/>
  <c r="AH37" i="99" s="1"/>
  <c r="AO37" i="99" s="1"/>
  <c r="AX62" i="70"/>
  <c r="AI62" i="70"/>
  <c r="G57" i="70"/>
  <c r="G15" i="54"/>
  <c r="G57" i="2"/>
  <c r="E22" i="37"/>
  <c r="M22" i="37"/>
  <c r="O57" i="70"/>
  <c r="G15" i="46"/>
  <c r="G15" i="77"/>
  <c r="U22" i="37"/>
  <c r="W57" i="2"/>
  <c r="W57" i="70"/>
  <c r="AL57" i="70"/>
  <c r="AC22" i="37"/>
  <c r="AE57" i="70"/>
  <c r="G15" i="88"/>
  <c r="AT57" i="70"/>
  <c r="F58" i="70"/>
  <c r="G17" i="45"/>
  <c r="R17" i="45" s="1"/>
  <c r="D23" i="37"/>
  <c r="D23" i="16" s="1"/>
  <c r="G17" i="47"/>
  <c r="R17" i="47" s="1"/>
  <c r="L23" i="37"/>
  <c r="L23" i="16" s="1"/>
  <c r="N58" i="70"/>
  <c r="V58" i="70"/>
  <c r="T23" i="37"/>
  <c r="T23" i="16" s="1"/>
  <c r="AK58" i="70"/>
  <c r="G17" i="73"/>
  <c r="R17" i="73" s="1"/>
  <c r="AS58" i="70"/>
  <c r="G17" i="87"/>
  <c r="R17" i="87" s="1"/>
  <c r="AB23" i="37"/>
  <c r="AB23" i="16" s="1"/>
  <c r="AD58" i="70"/>
  <c r="F26" i="55"/>
  <c r="P53" i="70"/>
  <c r="P24" i="44"/>
  <c r="M8" i="60"/>
  <c r="X53" i="70"/>
  <c r="F26" i="79"/>
  <c r="X24" i="44"/>
  <c r="AM53" i="70"/>
  <c r="U8" i="60"/>
  <c r="F26" i="90"/>
  <c r="AU53" i="70"/>
  <c r="AF53" i="70"/>
  <c r="AF24" i="44"/>
  <c r="AC8" i="60"/>
  <c r="G55" i="70"/>
  <c r="F28" i="54"/>
  <c r="Q28" i="54" s="1"/>
  <c r="D9" i="60"/>
  <c r="O55" i="70"/>
  <c r="F28" i="46"/>
  <c r="Q28" i="46" s="1"/>
  <c r="L9" i="60"/>
  <c r="F28" i="77"/>
  <c r="Q28" i="77" s="1"/>
  <c r="AL55" i="70"/>
  <c r="W55" i="70"/>
  <c r="T9" i="60"/>
  <c r="F28" i="88"/>
  <c r="Q28" i="88" s="1"/>
  <c r="AB9" i="60"/>
  <c r="AT55" i="70"/>
  <c r="AE55" i="70"/>
  <c r="AB24" i="37"/>
  <c r="AB24" i="16" s="1"/>
  <c r="AS59" i="70"/>
  <c r="G28" i="41"/>
  <c r="E60" i="70"/>
  <c r="M60" i="70"/>
  <c r="G28" i="48"/>
  <c r="R28" i="48" s="1"/>
  <c r="Z28" i="48" s="1"/>
  <c r="AH28" i="48" s="1"/>
  <c r="AO28" i="48" s="1"/>
  <c r="U60" i="70"/>
  <c r="G28" i="72"/>
  <c r="R28" i="72" s="1"/>
  <c r="Z28" i="72" s="1"/>
  <c r="AH28" i="72" s="1"/>
  <c r="AO28" i="72" s="1"/>
  <c r="G28" i="85"/>
  <c r="R28" i="85" s="1"/>
  <c r="Z28" i="85" s="1"/>
  <c r="AH28" i="85" s="1"/>
  <c r="AO28" i="85" s="1"/>
  <c r="AC60" i="70"/>
  <c r="AR60" i="70"/>
  <c r="AL61" i="2"/>
  <c r="G28" i="101"/>
  <c r="R28" i="101" s="1"/>
  <c r="Z28" i="101" s="1"/>
  <c r="AH28" i="101" s="1"/>
  <c r="AO28" i="101" s="1"/>
  <c r="L62" i="70"/>
  <c r="G37" i="49"/>
  <c r="R37" i="49" s="1"/>
  <c r="Z37" i="49" s="1"/>
  <c r="AH37" i="49" s="1"/>
  <c r="AO37" i="49" s="1"/>
  <c r="G37" i="69"/>
  <c r="R37" i="69" s="1"/>
  <c r="Z37" i="69" s="1"/>
  <c r="AH37" i="69" s="1"/>
  <c r="AO37" i="69" s="1"/>
  <c r="T62" i="70"/>
  <c r="AB62" i="70"/>
  <c r="G37" i="84"/>
  <c r="R37" i="84" s="1"/>
  <c r="Z37" i="84" s="1"/>
  <c r="AH37" i="84" s="1"/>
  <c r="AO37" i="84" s="1"/>
  <c r="AQ62" i="70"/>
  <c r="G37" i="100"/>
  <c r="R37" i="100" s="1"/>
  <c r="Z37" i="100" s="1"/>
  <c r="AH37" i="100" s="1"/>
  <c r="AO37" i="100" s="1"/>
  <c r="AY62" i="70"/>
  <c r="AJ62" i="70"/>
  <c r="G15" i="53"/>
  <c r="H57" i="70"/>
  <c r="F22" i="37"/>
  <c r="P57" i="70"/>
  <c r="P57" i="2"/>
  <c r="G15" i="55"/>
  <c r="N22" i="37"/>
  <c r="G15" i="79"/>
  <c r="V22" i="37"/>
  <c r="X57" i="70"/>
  <c r="X57" i="2"/>
  <c r="AM57" i="70"/>
  <c r="AF57" i="2"/>
  <c r="AF57" i="70"/>
  <c r="G15" i="90"/>
  <c r="AD22" i="37"/>
  <c r="AU57" i="70"/>
  <c r="G17" i="54"/>
  <c r="R17" i="54" s="1"/>
  <c r="G58" i="70"/>
  <c r="E23" i="37"/>
  <c r="E23" i="16" s="1"/>
  <c r="O58" i="70"/>
  <c r="M23" i="37"/>
  <c r="M23" i="16" s="1"/>
  <c r="G17" i="46"/>
  <c r="R17" i="46" s="1"/>
  <c r="G17" i="77"/>
  <c r="R17" i="77" s="1"/>
  <c r="AL58" i="70"/>
  <c r="U23" i="37"/>
  <c r="U23" i="16" s="1"/>
  <c r="W58" i="70"/>
  <c r="AT58" i="70"/>
  <c r="G17" i="88"/>
  <c r="R17" i="88" s="1"/>
  <c r="AE58" i="70"/>
  <c r="AC23" i="37"/>
  <c r="AC23" i="16" s="1"/>
  <c r="U57" i="2" l="1"/>
  <c r="U59" i="70"/>
  <c r="Y24" i="101"/>
  <c r="AG24" i="101" s="1"/>
  <c r="AN24" i="101" s="1"/>
  <c r="AH19" i="60" s="1"/>
  <c r="AH31" i="60" s="1"/>
  <c r="Y28" i="101"/>
  <c r="AG28" i="101" s="1"/>
  <c r="AN28" i="101" s="1"/>
  <c r="AH17" i="60" s="1"/>
  <c r="AH29" i="60" s="1"/>
  <c r="Y17" i="101"/>
  <c r="AG17" i="101" s="1"/>
  <c r="AI69" i="10" s="1"/>
  <c r="AE57" i="2"/>
  <c r="AC59" i="70"/>
  <c r="Z57" i="2"/>
  <c r="G21" i="101"/>
  <c r="R21" i="101" s="1"/>
  <c r="AI24" i="37"/>
  <c r="AI24" i="16" s="1"/>
  <c r="L24" i="37"/>
  <c r="L24" i="16" s="1"/>
  <c r="Y59" i="70"/>
  <c r="AF24" i="37"/>
  <c r="AF24" i="16" s="1"/>
  <c r="I57" i="2"/>
  <c r="G21" i="96"/>
  <c r="R21" i="96" s="1"/>
  <c r="G21" i="88"/>
  <c r="G18" i="88" s="1"/>
  <c r="W24" i="37"/>
  <c r="W24" i="16" s="1"/>
  <c r="AR59" i="70"/>
  <c r="AQ59" i="70"/>
  <c r="G21" i="82"/>
  <c r="G18" i="82" s="1"/>
  <c r="G24" i="37"/>
  <c r="G24" i="16" s="1"/>
  <c r="AT59" i="70"/>
  <c r="G21" i="84"/>
  <c r="I21" i="84" s="1"/>
  <c r="Z24" i="37"/>
  <c r="Z24" i="16" s="1"/>
  <c r="AA24" i="37"/>
  <c r="AA24" i="16" s="1"/>
  <c r="I59" i="70"/>
  <c r="AC24" i="37"/>
  <c r="AC24" i="16" s="1"/>
  <c r="AN59" i="70"/>
  <c r="G21" i="47"/>
  <c r="R21" i="47" s="1"/>
  <c r="N57" i="2"/>
  <c r="AW59" i="70"/>
  <c r="AB59" i="70"/>
  <c r="G21" i="81"/>
  <c r="R21" i="81" s="1"/>
  <c r="AH59" i="70"/>
  <c r="I26" i="81"/>
  <c r="G21" i="87"/>
  <c r="I21" i="87" s="1"/>
  <c r="S59" i="70"/>
  <c r="G21" i="55"/>
  <c r="R21" i="55" s="1"/>
  <c r="C24" i="37"/>
  <c r="C24" i="16" s="1"/>
  <c r="G21" i="64"/>
  <c r="G18" i="64" s="1"/>
  <c r="G21" i="41"/>
  <c r="I21" i="41" s="1"/>
  <c r="I26" i="56"/>
  <c r="I26" i="52"/>
  <c r="AJ59" i="70"/>
  <c r="AJ57" i="2"/>
  <c r="AL57" i="2" s="1"/>
  <c r="AL60" i="2"/>
  <c r="V57" i="2"/>
  <c r="AY59" i="70"/>
  <c r="G21" i="73"/>
  <c r="R21" i="73" s="1"/>
  <c r="AH24" i="37"/>
  <c r="AH21" i="37" s="1"/>
  <c r="AG57" i="2"/>
  <c r="V59" i="70"/>
  <c r="G21" i="50"/>
  <c r="G18" i="50" s="1"/>
  <c r="G59" i="70"/>
  <c r="I24" i="37"/>
  <c r="I24" i="16" s="1"/>
  <c r="K57" i="2"/>
  <c r="AE24" i="37"/>
  <c r="AE24" i="16" s="1"/>
  <c r="G21" i="53"/>
  <c r="R21" i="53" s="1"/>
  <c r="E24" i="37"/>
  <c r="E24" i="16" s="1"/>
  <c r="AK59" i="70"/>
  <c r="G21" i="95"/>
  <c r="G18" i="95" s="1"/>
  <c r="F24" i="37"/>
  <c r="F24" i="16" s="1"/>
  <c r="H57" i="2"/>
  <c r="AV59" i="70"/>
  <c r="AD11" i="60"/>
  <c r="G11" i="60"/>
  <c r="F11" i="60"/>
  <c r="D11" i="60"/>
  <c r="J11" i="60"/>
  <c r="AE11" i="60"/>
  <c r="AF11" i="60"/>
  <c r="P11" i="60"/>
  <c r="W11" i="60"/>
  <c r="V11" i="60"/>
  <c r="O11" i="60"/>
  <c r="Y28" i="45"/>
  <c r="AG28" i="45" s="1"/>
  <c r="AN28" i="45" s="1"/>
  <c r="C17" i="60" s="1"/>
  <c r="C29" i="60" s="1"/>
  <c r="Y28" i="48"/>
  <c r="AG28" i="48" s="1"/>
  <c r="AN28" i="48" s="1"/>
  <c r="J17" i="60" s="1"/>
  <c r="J29" i="60" s="1"/>
  <c r="Y28" i="73"/>
  <c r="AG28" i="73" s="1"/>
  <c r="AN28" i="73" s="1"/>
  <c r="S17" i="60" s="1"/>
  <c r="S29" i="60" s="1"/>
  <c r="Y28" i="85"/>
  <c r="AG28" i="85" s="1"/>
  <c r="AN28" i="85" s="1"/>
  <c r="Z17" i="60" s="1"/>
  <c r="Z29" i="60" s="1"/>
  <c r="Y17" i="51"/>
  <c r="AG17" i="51" s="1"/>
  <c r="H69" i="10" s="1"/>
  <c r="Y28" i="84"/>
  <c r="AG28" i="84" s="1"/>
  <c r="AN28" i="84" s="1"/>
  <c r="Y17" i="60" s="1"/>
  <c r="Y29" i="60" s="1"/>
  <c r="Y17" i="95"/>
  <c r="AG17" i="95" s="1"/>
  <c r="AN17" i="95" s="1"/>
  <c r="AD18" i="60" s="1"/>
  <c r="AD30" i="60" s="1"/>
  <c r="Y28" i="64"/>
  <c r="AG28" i="64" s="1"/>
  <c r="AN28" i="64" s="1"/>
  <c r="P17" i="60" s="1"/>
  <c r="P29" i="60" s="1"/>
  <c r="Y17" i="79"/>
  <c r="AG17" i="79" s="1"/>
  <c r="V69" i="10" s="1"/>
  <c r="Y28" i="51"/>
  <c r="AG28" i="51" s="1"/>
  <c r="AN28" i="51" s="1"/>
  <c r="G17" i="60" s="1"/>
  <c r="G29" i="60" s="1"/>
  <c r="Y24" i="84"/>
  <c r="AG24" i="84" s="1"/>
  <c r="AN24" i="84" s="1"/>
  <c r="Y19" i="60" s="1"/>
  <c r="Y31" i="60" s="1"/>
  <c r="Y17" i="88"/>
  <c r="AG17" i="88" s="1"/>
  <c r="AN17" i="88" s="1"/>
  <c r="AB18" i="60" s="1"/>
  <c r="AB30" i="60" s="1"/>
  <c r="Y17" i="77"/>
  <c r="AG17" i="77" s="1"/>
  <c r="U69" i="10" s="1"/>
  <c r="Y17" i="73"/>
  <c r="AG17" i="73" s="1"/>
  <c r="T69" i="10" s="1"/>
  <c r="Y17" i="45"/>
  <c r="AG17" i="45" s="1"/>
  <c r="D69" i="10" s="1"/>
  <c r="Y28" i="54"/>
  <c r="AG28" i="54" s="1"/>
  <c r="AN28" i="54" s="1"/>
  <c r="D17" i="60" s="1"/>
  <c r="D29" i="60" s="1"/>
  <c r="Y17" i="69"/>
  <c r="AG17" i="69" s="1"/>
  <c r="AN17" i="69" s="1"/>
  <c r="Q18" i="60" s="1"/>
  <c r="Q30" i="60" s="1"/>
  <c r="Y24" i="95"/>
  <c r="AG24" i="95" s="1"/>
  <c r="AN24" i="95" s="1"/>
  <c r="AD19" i="60" s="1"/>
  <c r="AD31" i="60" s="1"/>
  <c r="Y24" i="56"/>
  <c r="AG24" i="56" s="1"/>
  <c r="AN24" i="56" s="1"/>
  <c r="N19" i="60" s="1"/>
  <c r="N31" i="60" s="1"/>
  <c r="Y24" i="64"/>
  <c r="AG24" i="64" s="1"/>
  <c r="AN24" i="64" s="1"/>
  <c r="P19" i="60" s="1"/>
  <c r="P31" i="60" s="1"/>
  <c r="Y24" i="58"/>
  <c r="AG24" i="58" s="1"/>
  <c r="AN24" i="58" s="1"/>
  <c r="O19" i="60" s="1"/>
  <c r="O31" i="60" s="1"/>
  <c r="Y24" i="53"/>
  <c r="AG24" i="53" s="1"/>
  <c r="AN24" i="53" s="1"/>
  <c r="E19" i="60" s="1"/>
  <c r="E31" i="60" s="1"/>
  <c r="Y17" i="99"/>
  <c r="AG17" i="99" s="1"/>
  <c r="AN17" i="99" s="1"/>
  <c r="AF18" i="60" s="1"/>
  <c r="AF30" i="60" s="1"/>
  <c r="Y17" i="50"/>
  <c r="AG17" i="50" s="1"/>
  <c r="I69" i="10" s="1"/>
  <c r="Y28" i="88"/>
  <c r="AG28" i="88" s="1"/>
  <c r="AN28" i="88" s="1"/>
  <c r="AB17" i="60" s="1"/>
  <c r="AB29" i="60" s="1"/>
  <c r="Y17" i="64"/>
  <c r="AG17" i="64" s="1"/>
  <c r="Q69" i="10" s="1"/>
  <c r="Y28" i="100"/>
  <c r="AG28" i="100" s="1"/>
  <c r="AN28" i="100" s="1"/>
  <c r="AG17" i="60" s="1"/>
  <c r="AG29" i="60" s="1"/>
  <c r="Y28" i="69"/>
  <c r="AG28" i="69" s="1"/>
  <c r="AN28" i="69" s="1"/>
  <c r="Q17" i="60" s="1"/>
  <c r="Q29" i="60" s="1"/>
  <c r="Y24" i="73"/>
  <c r="AG24" i="73" s="1"/>
  <c r="AN24" i="73" s="1"/>
  <c r="S19" i="60" s="1"/>
  <c r="S31" i="60" s="1"/>
  <c r="Y17" i="56"/>
  <c r="AG17" i="56" s="1"/>
  <c r="AN17" i="56" s="1"/>
  <c r="N18" i="60" s="1"/>
  <c r="N30" i="60" s="1"/>
  <c r="Y28" i="99"/>
  <c r="AG28" i="99" s="1"/>
  <c r="AN28" i="99" s="1"/>
  <c r="AF17" i="60" s="1"/>
  <c r="AF29" i="60" s="1"/>
  <c r="Y24" i="85"/>
  <c r="AG24" i="85" s="1"/>
  <c r="AN24" i="85" s="1"/>
  <c r="Z19" i="60" s="1"/>
  <c r="Z31" i="60" s="1"/>
  <c r="Y17" i="53"/>
  <c r="AG17" i="53" s="1"/>
  <c r="AN17" i="53" s="1"/>
  <c r="E18" i="60" s="1"/>
  <c r="E30" i="60" s="1"/>
  <c r="Y28" i="82"/>
  <c r="AG28" i="82" s="1"/>
  <c r="AN28" i="82" s="1"/>
  <c r="W17" i="60" s="1"/>
  <c r="W29" i="60" s="1"/>
  <c r="Y24" i="69"/>
  <c r="AG24" i="69" s="1"/>
  <c r="AN24" i="69" s="1"/>
  <c r="Q19" i="60" s="1"/>
  <c r="Q31" i="60" s="1"/>
  <c r="Y17" i="49"/>
  <c r="AG17" i="49" s="1"/>
  <c r="AN17" i="49" s="1"/>
  <c r="I18" i="60" s="1"/>
  <c r="I30" i="60" s="1"/>
  <c r="Y28" i="81"/>
  <c r="AG28" i="81" s="1"/>
  <c r="AN28" i="81" s="1"/>
  <c r="V17" i="60" s="1"/>
  <c r="V29" i="60" s="1"/>
  <c r="Y24" i="51"/>
  <c r="AG24" i="51" s="1"/>
  <c r="AN24" i="51" s="1"/>
  <c r="G19" i="60" s="1"/>
  <c r="G31" i="60" s="1"/>
  <c r="Y17" i="48"/>
  <c r="AG17" i="48" s="1"/>
  <c r="K69" i="10" s="1"/>
  <c r="Y24" i="55"/>
  <c r="AG24" i="55" s="1"/>
  <c r="AN24" i="55" s="1"/>
  <c r="M19" i="60" s="1"/>
  <c r="M31" i="60" s="1"/>
  <c r="Y24" i="77"/>
  <c r="AG24" i="77" s="1"/>
  <c r="AN24" i="77" s="1"/>
  <c r="T19" i="60" s="1"/>
  <c r="T31" i="60" s="1"/>
  <c r="Y17" i="96"/>
  <c r="AG17" i="96" s="1"/>
  <c r="AF69" i="10" s="1"/>
  <c r="Y17" i="84"/>
  <c r="AG17" i="84" s="1"/>
  <c r="Z69" i="10" s="1"/>
  <c r="Y28" i="50"/>
  <c r="AG28" i="50" s="1"/>
  <c r="AN28" i="50" s="1"/>
  <c r="H17" i="60" s="1"/>
  <c r="H29" i="60" s="1"/>
  <c r="Y24" i="50"/>
  <c r="AG24" i="50" s="1"/>
  <c r="AN24" i="50" s="1"/>
  <c r="H19" i="60" s="1"/>
  <c r="H31" i="60" s="1"/>
  <c r="Y17" i="47"/>
  <c r="AG17" i="47" s="1"/>
  <c r="L69" i="10" s="1"/>
  <c r="Y17" i="85"/>
  <c r="AG17" i="85" s="1"/>
  <c r="AN17" i="85" s="1"/>
  <c r="Z18" i="60" s="1"/>
  <c r="Z30" i="60" s="1"/>
  <c r="Y24" i="47"/>
  <c r="AG24" i="47" s="1"/>
  <c r="AN24" i="47" s="1"/>
  <c r="K19" i="60" s="1"/>
  <c r="K31" i="60" s="1"/>
  <c r="Y24" i="72"/>
  <c r="AG24" i="72" s="1"/>
  <c r="AN24" i="72" s="1"/>
  <c r="R19" i="60" s="1"/>
  <c r="R31" i="60" s="1"/>
  <c r="Y28" i="96"/>
  <c r="AG28" i="96" s="1"/>
  <c r="AN28" i="96" s="1"/>
  <c r="AE17" i="60" s="1"/>
  <c r="AE29" i="60" s="1"/>
  <c r="Y28" i="58"/>
  <c r="AG28" i="58" s="1"/>
  <c r="AN28" i="58" s="1"/>
  <c r="O17" i="60" s="1"/>
  <c r="O29" i="60" s="1"/>
  <c r="Y24" i="100"/>
  <c r="AG24" i="100" s="1"/>
  <c r="AN24" i="100" s="1"/>
  <c r="AG19" i="60" s="1"/>
  <c r="AG31" i="60" s="1"/>
  <c r="Y24" i="49"/>
  <c r="AG24" i="49" s="1"/>
  <c r="AN24" i="49" s="1"/>
  <c r="I19" i="60" s="1"/>
  <c r="I31" i="60" s="1"/>
  <c r="Y17" i="46"/>
  <c r="AG17" i="46" s="1"/>
  <c r="M69" i="10" s="1"/>
  <c r="Y17" i="100"/>
  <c r="AG17" i="100" s="1"/>
  <c r="AN17" i="100" s="1"/>
  <c r="AG18" i="60" s="1"/>
  <c r="AG30" i="60" s="1"/>
  <c r="Y28" i="95"/>
  <c r="AG28" i="95" s="1"/>
  <c r="AN28" i="95" s="1"/>
  <c r="AD17" i="60" s="1"/>
  <c r="AD29" i="60" s="1"/>
  <c r="Y28" i="56"/>
  <c r="AG28" i="56" s="1"/>
  <c r="AN28" i="56" s="1"/>
  <c r="N17" i="60" s="1"/>
  <c r="N29" i="60" s="1"/>
  <c r="Y24" i="99"/>
  <c r="AG24" i="99" s="1"/>
  <c r="AN24" i="99" s="1"/>
  <c r="AF19" i="60" s="1"/>
  <c r="AF31" i="60" s="1"/>
  <c r="Y17" i="87"/>
  <c r="AG17" i="87" s="1"/>
  <c r="AB69" i="10" s="1"/>
  <c r="Y28" i="55"/>
  <c r="AG28" i="55" s="1"/>
  <c r="AN28" i="55" s="1"/>
  <c r="M17" i="60" s="1"/>
  <c r="M29" i="60" s="1"/>
  <c r="Y24" i="96"/>
  <c r="AG24" i="96" s="1"/>
  <c r="AN24" i="96" s="1"/>
  <c r="AE19" i="60" s="1"/>
  <c r="AE31" i="60" s="1"/>
  <c r="Y28" i="47"/>
  <c r="AG28" i="47" s="1"/>
  <c r="AN28" i="47" s="1"/>
  <c r="K17" i="60" s="1"/>
  <c r="K29" i="60" s="1"/>
  <c r="Y24" i="81"/>
  <c r="AG24" i="81" s="1"/>
  <c r="AN24" i="81" s="1"/>
  <c r="V19" i="60" s="1"/>
  <c r="V31" i="60" s="1"/>
  <c r="Y28" i="72"/>
  <c r="AG28" i="72" s="1"/>
  <c r="AN28" i="72" s="1"/>
  <c r="R17" i="60" s="1"/>
  <c r="R29" i="60" s="1"/>
  <c r="Y24" i="46"/>
  <c r="AG24" i="46" s="1"/>
  <c r="AN24" i="46" s="1"/>
  <c r="L19" i="60" s="1"/>
  <c r="L31" i="60" s="1"/>
  <c r="Y17" i="58"/>
  <c r="AG17" i="58" s="1"/>
  <c r="P69" i="10" s="1"/>
  <c r="Y17" i="83"/>
  <c r="AG17" i="83" s="1"/>
  <c r="AN17" i="83" s="1"/>
  <c r="X18" i="60" s="1"/>
  <c r="X30" i="60" s="1"/>
  <c r="Y28" i="49"/>
  <c r="AG28" i="49" s="1"/>
  <c r="AN28" i="49" s="1"/>
  <c r="I17" i="60" s="1"/>
  <c r="I29" i="60" s="1"/>
  <c r="Y24" i="87"/>
  <c r="AG24" i="87" s="1"/>
  <c r="AN24" i="87" s="1"/>
  <c r="AA19" i="60" s="1"/>
  <c r="AA31" i="60" s="1"/>
  <c r="Y24" i="45"/>
  <c r="AG24" i="45" s="1"/>
  <c r="AN24" i="45" s="1"/>
  <c r="C19" i="60" s="1"/>
  <c r="C31" i="60" s="1"/>
  <c r="Y17" i="81"/>
  <c r="AG17" i="81" s="1"/>
  <c r="AN17" i="81" s="1"/>
  <c r="V18" i="60" s="1"/>
  <c r="V30" i="60" s="1"/>
  <c r="Y17" i="90"/>
  <c r="AG17" i="90" s="1"/>
  <c r="AN17" i="90" s="1"/>
  <c r="AC18" i="60" s="1"/>
  <c r="AC30" i="60" s="1"/>
  <c r="Y17" i="55"/>
  <c r="AG17" i="55" s="1"/>
  <c r="N69" i="10" s="1"/>
  <c r="Y24" i="52"/>
  <c r="AG24" i="52" s="1"/>
  <c r="AN24" i="52" s="1"/>
  <c r="F19" i="60" s="1"/>
  <c r="F31" i="60" s="1"/>
  <c r="Y28" i="90"/>
  <c r="AG28" i="90" s="1"/>
  <c r="AN28" i="90" s="1"/>
  <c r="AC17" i="60" s="1"/>
  <c r="AC29" i="60" s="1"/>
  <c r="Y28" i="53"/>
  <c r="AG28" i="53" s="1"/>
  <c r="AN28" i="53" s="1"/>
  <c r="E17" i="60" s="1"/>
  <c r="E29" i="60" s="1"/>
  <c r="Y24" i="82"/>
  <c r="AG24" i="82" s="1"/>
  <c r="AN24" i="82" s="1"/>
  <c r="W19" i="60" s="1"/>
  <c r="W31" i="60" s="1"/>
  <c r="Y28" i="87"/>
  <c r="AG28" i="87" s="1"/>
  <c r="AN28" i="87" s="1"/>
  <c r="AA17" i="60" s="1"/>
  <c r="AA29" i="60" s="1"/>
  <c r="Y28" i="46"/>
  <c r="AG28" i="46" s="1"/>
  <c r="AN28" i="46" s="1"/>
  <c r="L17" i="60" s="1"/>
  <c r="L29" i="60" s="1"/>
  <c r="Y24" i="90"/>
  <c r="AG24" i="90" s="1"/>
  <c r="AN24" i="90" s="1"/>
  <c r="AC19" i="60" s="1"/>
  <c r="AC31" i="60" s="1"/>
  <c r="Y17" i="52"/>
  <c r="AG17" i="52" s="1"/>
  <c r="G69" i="10" s="1"/>
  <c r="Y28" i="83"/>
  <c r="AG28" i="83" s="1"/>
  <c r="AN28" i="83" s="1"/>
  <c r="X17" i="60" s="1"/>
  <c r="X29" i="60" s="1"/>
  <c r="Y17" i="54"/>
  <c r="AG17" i="54" s="1"/>
  <c r="E69" i="10" s="1"/>
  <c r="Y28" i="52"/>
  <c r="AG28" i="52" s="1"/>
  <c r="AN28" i="52" s="1"/>
  <c r="F17" i="60" s="1"/>
  <c r="F29" i="60" s="1"/>
  <c r="Y24" i="83"/>
  <c r="AG24" i="83" s="1"/>
  <c r="AN24" i="83" s="1"/>
  <c r="X19" i="60" s="1"/>
  <c r="X31" i="60" s="1"/>
  <c r="Y28" i="79"/>
  <c r="AG28" i="79" s="1"/>
  <c r="AN28" i="79" s="1"/>
  <c r="U17" i="60" s="1"/>
  <c r="U29" i="60" s="1"/>
  <c r="Y28" i="77"/>
  <c r="AG28" i="77" s="1"/>
  <c r="AN28" i="77" s="1"/>
  <c r="T17" i="60" s="1"/>
  <c r="T29" i="60" s="1"/>
  <c r="Y24" i="79"/>
  <c r="AG24" i="79" s="1"/>
  <c r="AN24" i="79" s="1"/>
  <c r="U19" i="60" s="1"/>
  <c r="U31" i="60" s="1"/>
  <c r="Y24" i="88"/>
  <c r="AG24" i="88" s="1"/>
  <c r="AN24" i="88" s="1"/>
  <c r="AB19" i="60" s="1"/>
  <c r="AB31" i="60" s="1"/>
  <c r="Y24" i="54"/>
  <c r="AG24" i="54" s="1"/>
  <c r="AN24" i="54" s="1"/>
  <c r="D19" i="60" s="1"/>
  <c r="D31" i="60" s="1"/>
  <c r="Y17" i="82"/>
  <c r="AG17" i="82" s="1"/>
  <c r="X69" i="10" s="1"/>
  <c r="Y24" i="48"/>
  <c r="AG24" i="48" s="1"/>
  <c r="AN24" i="48" s="1"/>
  <c r="J19" i="60" s="1"/>
  <c r="J31" i="60" s="1"/>
  <c r="Y17" i="72"/>
  <c r="AG17" i="72" s="1"/>
  <c r="S69" i="10" s="1"/>
  <c r="G21" i="45"/>
  <c r="R21" i="45" s="1"/>
  <c r="R24" i="37"/>
  <c r="R24" i="16" s="1"/>
  <c r="T59" i="70"/>
  <c r="K11" i="60"/>
  <c r="I26" i="53"/>
  <c r="L11" i="60"/>
  <c r="G21" i="69"/>
  <c r="R21" i="69" s="1"/>
  <c r="N11" i="60"/>
  <c r="X11" i="60"/>
  <c r="I11" i="60"/>
  <c r="O59" i="70"/>
  <c r="S11" i="60"/>
  <c r="AI57" i="2"/>
  <c r="O24" i="37"/>
  <c r="O24" i="16" s="1"/>
  <c r="X59" i="70"/>
  <c r="AL59" i="70"/>
  <c r="AJ11" i="16"/>
  <c r="F57" i="2"/>
  <c r="G21" i="46"/>
  <c r="R21" i="46" s="1"/>
  <c r="L57" i="2"/>
  <c r="M24" i="37"/>
  <c r="M24" i="16" s="1"/>
  <c r="AB11" i="60"/>
  <c r="AX59" i="70"/>
  <c r="Q57" i="2"/>
  <c r="T11" i="60"/>
  <c r="J24" i="37"/>
  <c r="J24" i="16" s="1"/>
  <c r="Z11" i="60"/>
  <c r="AI59" i="70"/>
  <c r="W59" i="70"/>
  <c r="F59" i="70"/>
  <c r="G21" i="49"/>
  <c r="G18" i="49" s="1"/>
  <c r="G21" i="99"/>
  <c r="G18" i="99" s="1"/>
  <c r="AL6" i="2"/>
  <c r="G21" i="56"/>
  <c r="I21" i="56" s="1"/>
  <c r="V24" i="37"/>
  <c r="V24" i="16" s="1"/>
  <c r="G21" i="77"/>
  <c r="R21" i="77" s="1"/>
  <c r="I26" i="88"/>
  <c r="AD30" i="2"/>
  <c r="U117" i="2"/>
  <c r="U116" i="2" s="1"/>
  <c r="I26" i="46"/>
  <c r="I26" i="69"/>
  <c r="U14" i="37"/>
  <c r="U47" i="37" s="1"/>
  <c r="E11" i="77"/>
  <c r="W7" i="44"/>
  <c r="E11" i="64"/>
  <c r="S7" i="44"/>
  <c r="Q14" i="37"/>
  <c r="Q47" i="37" s="1"/>
  <c r="I12" i="41"/>
  <c r="P12" i="41"/>
  <c r="K14" i="37"/>
  <c r="K47" i="37" s="1"/>
  <c r="M7" i="44"/>
  <c r="E11" i="48"/>
  <c r="V135" i="2"/>
  <c r="V29" i="70"/>
  <c r="E25" i="73"/>
  <c r="I25" i="73" s="1"/>
  <c r="AK29" i="70"/>
  <c r="I12" i="90"/>
  <c r="P12" i="90"/>
  <c r="I12" i="88"/>
  <c r="P12" i="88"/>
  <c r="X7" i="44"/>
  <c r="E11" i="79"/>
  <c r="V14" i="37"/>
  <c r="V47" i="37" s="1"/>
  <c r="P12" i="84"/>
  <c r="I12" i="84"/>
  <c r="E11" i="83"/>
  <c r="Y14" i="37"/>
  <c r="Y47" i="37" s="1"/>
  <c r="AA7" i="44"/>
  <c r="P12" i="48"/>
  <c r="I12" i="48"/>
  <c r="AG30" i="2"/>
  <c r="I26" i="51"/>
  <c r="W135" i="2"/>
  <c r="AL29" i="70"/>
  <c r="E25" i="77"/>
  <c r="I25" i="77" s="1"/>
  <c r="W29" i="70"/>
  <c r="E11" i="49"/>
  <c r="L7" i="44"/>
  <c r="J14" i="37"/>
  <c r="J47" i="37" s="1"/>
  <c r="I12" i="64"/>
  <c r="P12" i="64"/>
  <c r="AG7" i="44"/>
  <c r="E11" i="95"/>
  <c r="AE14" i="37"/>
  <c r="AE47" i="37" s="1"/>
  <c r="E7" i="44"/>
  <c r="E11" i="41"/>
  <c r="C14" i="37"/>
  <c r="AE7" i="44"/>
  <c r="E11" i="88"/>
  <c r="AC14" i="37"/>
  <c r="AC47" i="37" s="1"/>
  <c r="T135" i="2"/>
  <c r="E25" i="69"/>
  <c r="I25" i="69" s="1"/>
  <c r="T29" i="70"/>
  <c r="I135" i="2"/>
  <c r="E25" i="52"/>
  <c r="I25" i="52" s="1"/>
  <c r="I29" i="70"/>
  <c r="I12" i="51"/>
  <c r="P12" i="51"/>
  <c r="I12" i="79"/>
  <c r="P12" i="79"/>
  <c r="Z14" i="37"/>
  <c r="Z47" i="37" s="1"/>
  <c r="AB7" i="44"/>
  <c r="E11" i="84"/>
  <c r="P135" i="2"/>
  <c r="E25" i="55"/>
  <c r="I25" i="55" s="1"/>
  <c r="P29" i="70"/>
  <c r="Y117" i="2"/>
  <c r="Y116" i="2" s="1"/>
  <c r="I12" i="69"/>
  <c r="P12" i="69"/>
  <c r="I12" i="45"/>
  <c r="P12" i="45"/>
  <c r="T117" i="2"/>
  <c r="T116" i="2" s="1"/>
  <c r="Z30" i="2"/>
  <c r="R117" i="2"/>
  <c r="R116" i="2" s="1"/>
  <c r="H117" i="2"/>
  <c r="H116" i="2" s="1"/>
  <c r="Y30" i="2"/>
  <c r="AK30" i="2"/>
  <c r="R113" i="2"/>
  <c r="R112" i="2" s="1"/>
  <c r="P113" i="2"/>
  <c r="P112" i="2" s="1"/>
  <c r="X135" i="2"/>
  <c r="E25" i="79"/>
  <c r="I25" i="79" s="1"/>
  <c r="AM29" i="70"/>
  <c r="X29" i="70"/>
  <c r="I12" i="49"/>
  <c r="P12" i="49"/>
  <c r="I12" i="95"/>
  <c r="P12" i="95"/>
  <c r="M135" i="2"/>
  <c r="M29" i="70"/>
  <c r="E25" i="48"/>
  <c r="I25" i="48" s="1"/>
  <c r="U135" i="2"/>
  <c r="U29" i="70"/>
  <c r="E25" i="72"/>
  <c r="I25" i="72" s="1"/>
  <c r="AL113" i="2"/>
  <c r="AK112" i="2"/>
  <c r="AA135" i="2"/>
  <c r="AP29" i="70"/>
  <c r="E25" i="83"/>
  <c r="I25" i="83" s="1"/>
  <c r="AA29" i="70"/>
  <c r="E11" i="51"/>
  <c r="J7" i="44"/>
  <c r="H14" i="37"/>
  <c r="H47" i="37" s="1"/>
  <c r="E11" i="72"/>
  <c r="U7" i="44"/>
  <c r="S14" i="37"/>
  <c r="S47" i="37" s="1"/>
  <c r="AD14" i="37"/>
  <c r="AD47" i="37" s="1"/>
  <c r="E11" i="90"/>
  <c r="AF7" i="44"/>
  <c r="R135" i="2"/>
  <c r="E25" i="58"/>
  <c r="I25" i="58" s="1"/>
  <c r="R29" i="70"/>
  <c r="I109" i="2"/>
  <c r="I108" i="2" s="1"/>
  <c r="AC30" i="2"/>
  <c r="S113" i="2"/>
  <c r="S112" i="2" s="1"/>
  <c r="I26" i="84"/>
  <c r="I26" i="49"/>
  <c r="I12" i="46"/>
  <c r="P12" i="46"/>
  <c r="N135" i="2"/>
  <c r="N29" i="70"/>
  <c r="E25" i="47"/>
  <c r="I25" i="47" s="1"/>
  <c r="I12" i="99"/>
  <c r="P12" i="99"/>
  <c r="I12" i="47"/>
  <c r="P12" i="47"/>
  <c r="Y7" i="44"/>
  <c r="E11" i="81"/>
  <c r="W14" i="37"/>
  <c r="W47" i="37" s="1"/>
  <c r="G14" i="37"/>
  <c r="G47" i="37" s="1"/>
  <c r="I7" i="44"/>
  <c r="E11" i="52"/>
  <c r="G135" i="2"/>
  <c r="G29" i="70"/>
  <c r="E25" i="54"/>
  <c r="I25" i="54" s="1"/>
  <c r="P12" i="82"/>
  <c r="I12" i="82"/>
  <c r="P117" i="2"/>
  <c r="P116" i="2" s="1"/>
  <c r="AI135" i="2"/>
  <c r="AX29" i="70"/>
  <c r="E25" i="99"/>
  <c r="I25" i="99" s="1"/>
  <c r="AI29" i="70"/>
  <c r="H135" i="2"/>
  <c r="E25" i="53"/>
  <c r="I25" i="53" s="1"/>
  <c r="H29" i="70"/>
  <c r="R109" i="2"/>
  <c r="R108" i="2" s="1"/>
  <c r="S117" i="2"/>
  <c r="S116" i="2" s="1"/>
  <c r="AH30" i="2"/>
  <c r="J109" i="2"/>
  <c r="J108" i="2" s="1"/>
  <c r="T109" i="2"/>
  <c r="T108" i="2" s="1"/>
  <c r="I26" i="77"/>
  <c r="AF30" i="2"/>
  <c r="J117" i="2"/>
  <c r="J116" i="2" s="1"/>
  <c r="Q117" i="2"/>
  <c r="Q116" i="2" s="1"/>
  <c r="K113" i="2"/>
  <c r="K112" i="2" s="1"/>
  <c r="T113" i="2"/>
  <c r="T112" i="2" s="1"/>
  <c r="O135" i="2"/>
  <c r="O29" i="70"/>
  <c r="E25" i="46"/>
  <c r="I25" i="46" s="1"/>
  <c r="O7" i="44"/>
  <c r="M14" i="37"/>
  <c r="M47" i="37" s="1"/>
  <c r="E11" i="46"/>
  <c r="I12" i="73"/>
  <c r="P12" i="73"/>
  <c r="I12" i="50"/>
  <c r="P12" i="50"/>
  <c r="E11" i="47"/>
  <c r="L14" i="37"/>
  <c r="L47" i="37" s="1"/>
  <c r="N7" i="44"/>
  <c r="I12" i="87"/>
  <c r="P12" i="87"/>
  <c r="L135" i="2"/>
  <c r="E25" i="49"/>
  <c r="I25" i="49" s="1"/>
  <c r="L29" i="70"/>
  <c r="E11" i="96"/>
  <c r="AH7" i="44"/>
  <c r="AF14" i="37"/>
  <c r="AF47" i="37" s="1"/>
  <c r="AK116" i="2"/>
  <c r="AL117" i="2"/>
  <c r="E11" i="58"/>
  <c r="R7" i="44"/>
  <c r="P14" i="37"/>
  <c r="P47" i="37" s="1"/>
  <c r="P12" i="81"/>
  <c r="I12" i="81"/>
  <c r="I12" i="55"/>
  <c r="P12" i="55"/>
  <c r="S135" i="2"/>
  <c r="E25" i="64"/>
  <c r="I25" i="64" s="1"/>
  <c r="S29" i="70"/>
  <c r="I12" i="52"/>
  <c r="P12" i="52"/>
  <c r="AK7" i="44"/>
  <c r="AI14" i="37"/>
  <c r="AI47" i="37" s="1"/>
  <c r="E11" i="101"/>
  <c r="AL95" i="2"/>
  <c r="AJ92" i="2"/>
  <c r="X14" i="37"/>
  <c r="X47" i="37" s="1"/>
  <c r="Z7" i="44"/>
  <c r="E11" i="82"/>
  <c r="P12" i="77"/>
  <c r="I12" i="77"/>
  <c r="I12" i="83"/>
  <c r="P12" i="83"/>
  <c r="K135" i="2"/>
  <c r="E25" i="50"/>
  <c r="I25" i="50" s="1"/>
  <c r="K29" i="70"/>
  <c r="AJ30" i="2"/>
  <c r="AE30" i="2"/>
  <c r="J113" i="2"/>
  <c r="J112" i="2" s="1"/>
  <c r="N109" i="2"/>
  <c r="N108" i="2" s="1"/>
  <c r="W113" i="2"/>
  <c r="W112" i="2" s="1"/>
  <c r="Q109" i="2"/>
  <c r="Q108" i="2" s="1"/>
  <c r="V7" i="44"/>
  <c r="T14" i="37"/>
  <c r="T47" i="37" s="1"/>
  <c r="E11" i="73"/>
  <c r="E135" i="2"/>
  <c r="E25" i="41"/>
  <c r="E29" i="70"/>
  <c r="I12" i="56"/>
  <c r="P12" i="56"/>
  <c r="I12" i="101"/>
  <c r="P12" i="101"/>
  <c r="J135" i="2"/>
  <c r="E25" i="51"/>
  <c r="I25" i="51" s="1"/>
  <c r="J29" i="70"/>
  <c r="E11" i="50"/>
  <c r="I14" i="37"/>
  <c r="I47" i="37" s="1"/>
  <c r="K7" i="44"/>
  <c r="AB14" i="37"/>
  <c r="AB47" i="37" s="1"/>
  <c r="E11" i="87"/>
  <c r="AD7" i="44"/>
  <c r="AI7" i="44"/>
  <c r="E11" i="99"/>
  <c r="AG14" i="37"/>
  <c r="AG47" i="37" s="1"/>
  <c r="I12" i="53"/>
  <c r="P12" i="53"/>
  <c r="I12" i="96"/>
  <c r="P12" i="96"/>
  <c r="P12" i="58"/>
  <c r="I12" i="58"/>
  <c r="I12" i="85"/>
  <c r="P12" i="85"/>
  <c r="Q135" i="2"/>
  <c r="E25" i="56"/>
  <c r="I25" i="56" s="1"/>
  <c r="Q29" i="70"/>
  <c r="N14" i="37"/>
  <c r="N47" i="37" s="1"/>
  <c r="P7" i="44"/>
  <c r="E11" i="55"/>
  <c r="E11" i="54"/>
  <c r="E14" i="37"/>
  <c r="E47" i="37" s="1"/>
  <c r="G7" i="44"/>
  <c r="AL89" i="2"/>
  <c r="AJ23" i="2"/>
  <c r="AL23" i="2" s="1"/>
  <c r="F109" i="2"/>
  <c r="AB30" i="2"/>
  <c r="P109" i="2"/>
  <c r="P108" i="2" s="1"/>
  <c r="V113" i="2"/>
  <c r="V112" i="2" s="1"/>
  <c r="W117" i="2"/>
  <c r="W116" i="2" s="1"/>
  <c r="V109" i="2"/>
  <c r="V108" i="2" s="1"/>
  <c r="I26" i="64"/>
  <c r="F135" i="2"/>
  <c r="F29" i="70"/>
  <c r="E25" i="45"/>
  <c r="I25" i="45" s="1"/>
  <c r="I12" i="72"/>
  <c r="P12" i="72"/>
  <c r="E11" i="56"/>
  <c r="O14" i="37"/>
  <c r="O47" i="37" s="1"/>
  <c r="Q7" i="44"/>
  <c r="E11" i="69"/>
  <c r="T7" i="44"/>
  <c r="R14" i="37"/>
  <c r="R47" i="37" s="1"/>
  <c r="D14" i="37"/>
  <c r="E11" i="45"/>
  <c r="F7" i="44"/>
  <c r="H7" i="44"/>
  <c r="F14" i="37"/>
  <c r="F47" i="37" s="1"/>
  <c r="E11" i="53"/>
  <c r="AK108" i="2"/>
  <c r="AL109" i="2"/>
  <c r="AC7" i="44"/>
  <c r="AA14" i="37"/>
  <c r="AA47" i="37" s="1"/>
  <c r="E11" i="85"/>
  <c r="P12" i="54"/>
  <c r="I12" i="54"/>
  <c r="P22" i="16"/>
  <c r="P21" i="16" s="1"/>
  <c r="P21" i="37"/>
  <c r="J23" i="44"/>
  <c r="BG24" i="70"/>
  <c r="J92" i="44"/>
  <c r="L26" i="51"/>
  <c r="L18" i="51" s="1"/>
  <c r="L43" i="51" s="1"/>
  <c r="I26" i="83"/>
  <c r="K19" i="45"/>
  <c r="P19" i="45" s="1"/>
  <c r="F78" i="44"/>
  <c r="BC10" i="70"/>
  <c r="O37" i="50"/>
  <c r="I37" i="50"/>
  <c r="I23" i="56"/>
  <c r="N23" i="56"/>
  <c r="C18" i="56"/>
  <c r="Z17" i="79"/>
  <c r="AH17" i="79" s="1"/>
  <c r="Y29" i="97"/>
  <c r="AE22" i="16"/>
  <c r="I15" i="81"/>
  <c r="R15" i="81"/>
  <c r="G8" i="81"/>
  <c r="G8" i="52"/>
  <c r="R15" i="52"/>
  <c r="I15" i="52"/>
  <c r="Q92" i="44"/>
  <c r="L26" i="56"/>
  <c r="L18" i="56" s="1"/>
  <c r="L43" i="56" s="1"/>
  <c r="Q23" i="44"/>
  <c r="BN23" i="70" s="1"/>
  <c r="BN24" i="70"/>
  <c r="I22" i="64"/>
  <c r="Q22" i="64"/>
  <c r="I20" i="100"/>
  <c r="Q20" i="100"/>
  <c r="AI19" i="16"/>
  <c r="I26" i="96"/>
  <c r="K26" i="58"/>
  <c r="P26" i="58" s="1"/>
  <c r="R80" i="44"/>
  <c r="BO12" i="70"/>
  <c r="I19" i="72"/>
  <c r="I19" i="41"/>
  <c r="W464" i="97"/>
  <c r="W17" i="73"/>
  <c r="AE17" i="73" s="1"/>
  <c r="G464" i="97"/>
  <c r="W17" i="45"/>
  <c r="AE17" i="45" s="1"/>
  <c r="U10" i="16"/>
  <c r="O37" i="81"/>
  <c r="I37" i="81"/>
  <c r="G29" i="97"/>
  <c r="Z17" i="45"/>
  <c r="AH17" i="45" s="1"/>
  <c r="I22" i="81"/>
  <c r="Q22" i="81"/>
  <c r="CF10" i="70"/>
  <c r="AI78" i="44"/>
  <c r="K19" i="99"/>
  <c r="O23" i="50"/>
  <c r="F7" i="16"/>
  <c r="C8" i="51"/>
  <c r="N9" i="51"/>
  <c r="I9" i="51"/>
  <c r="BW10" i="70"/>
  <c r="K19" i="82"/>
  <c r="P19" i="82" s="1"/>
  <c r="Z78" i="44"/>
  <c r="O37" i="88"/>
  <c r="I37" i="88"/>
  <c r="O28" i="53"/>
  <c r="O23" i="58"/>
  <c r="N17" i="88"/>
  <c r="E7" i="16"/>
  <c r="O37" i="87"/>
  <c r="I37" i="87"/>
  <c r="N23" i="84"/>
  <c r="I23" i="84"/>
  <c r="C18" i="84"/>
  <c r="C43" i="84" s="1"/>
  <c r="K26" i="95"/>
  <c r="P26" i="95" s="1"/>
  <c r="CD12" i="70"/>
  <c r="AG80" i="44"/>
  <c r="O28" i="58"/>
  <c r="T22" i="16"/>
  <c r="T21" i="16" s="1"/>
  <c r="T21" i="37"/>
  <c r="AE15" i="37"/>
  <c r="AE48" i="37" s="1"/>
  <c r="E17" i="95"/>
  <c r="P17" i="95" s="1"/>
  <c r="X17" i="95" s="1"/>
  <c r="AF17" i="95" s="1"/>
  <c r="M7" i="16"/>
  <c r="O28" i="54"/>
  <c r="I22" i="58"/>
  <c r="Q22" i="58"/>
  <c r="G18" i="83"/>
  <c r="R21" i="83"/>
  <c r="I21" i="83"/>
  <c r="W19" i="16"/>
  <c r="G19" i="16"/>
  <c r="I26" i="73"/>
  <c r="I19" i="81"/>
  <c r="AG10" i="16"/>
  <c r="Y7" i="16"/>
  <c r="Y5" i="37"/>
  <c r="L29" i="97"/>
  <c r="Z17" i="50"/>
  <c r="AH17" i="50" s="1"/>
  <c r="Q20" i="88"/>
  <c r="I20" i="88"/>
  <c r="AK80" i="44"/>
  <c r="K26" i="101"/>
  <c r="P26" i="101" s="1"/>
  <c r="BJ12" i="70"/>
  <c r="K26" i="48"/>
  <c r="P26" i="48" s="1"/>
  <c r="M80" i="44"/>
  <c r="H78" i="44"/>
  <c r="K19" i="53"/>
  <c r="P19" i="53" s="1"/>
  <c r="BE10" i="70"/>
  <c r="W17" i="81"/>
  <c r="AE17" i="81" s="1"/>
  <c r="Z464" i="97"/>
  <c r="I10" i="51"/>
  <c r="D8" i="51"/>
  <c r="O10" i="51"/>
  <c r="N17" i="41"/>
  <c r="N9" i="45"/>
  <c r="C8" i="45"/>
  <c r="I9" i="45"/>
  <c r="S6" i="16"/>
  <c r="S5" i="37"/>
  <c r="I15" i="37"/>
  <c r="E17" i="50"/>
  <c r="P17" i="50" s="1"/>
  <c r="X17" i="50" s="1"/>
  <c r="AF17" i="50" s="1"/>
  <c r="Q22" i="16"/>
  <c r="Q21" i="16" s="1"/>
  <c r="Q21" i="37"/>
  <c r="I22" i="41"/>
  <c r="Q22" i="41"/>
  <c r="K26" i="100"/>
  <c r="P26" i="100" s="1"/>
  <c r="CG12" i="70"/>
  <c r="AJ80" i="44"/>
  <c r="AE78" i="44"/>
  <c r="CB10" i="70"/>
  <c r="K19" i="88"/>
  <c r="P19" i="88" s="1"/>
  <c r="K19" i="54"/>
  <c r="P19" i="54" s="1"/>
  <c r="G78" i="44"/>
  <c r="BD10" i="70"/>
  <c r="D8" i="81"/>
  <c r="O10" i="81"/>
  <c r="I10" i="81"/>
  <c r="G10" i="16"/>
  <c r="O37" i="84"/>
  <c r="I37" i="84"/>
  <c r="N24" i="95"/>
  <c r="I24" i="95"/>
  <c r="Z7" i="16"/>
  <c r="Z5" i="37"/>
  <c r="O23" i="45"/>
  <c r="N17" i="64"/>
  <c r="C8" i="69"/>
  <c r="I9" i="69"/>
  <c r="N9" i="69"/>
  <c r="F464" i="97"/>
  <c r="W17" i="41"/>
  <c r="AE17" i="41" s="1"/>
  <c r="F22" i="16"/>
  <c r="F21" i="16" s="1"/>
  <c r="R28" i="41"/>
  <c r="Z28" i="41" s="1"/>
  <c r="AH28" i="41" s="1"/>
  <c r="AO28" i="41" s="1"/>
  <c r="L26" i="55"/>
  <c r="L18" i="55" s="1"/>
  <c r="L43" i="55" s="1"/>
  <c r="P23" i="44"/>
  <c r="BM23" i="70" s="1"/>
  <c r="BM24" i="70"/>
  <c r="P92" i="44"/>
  <c r="R21" i="72"/>
  <c r="G18" i="72"/>
  <c r="I21" i="72"/>
  <c r="AA11" i="60"/>
  <c r="I26" i="90"/>
  <c r="BE12" i="70"/>
  <c r="H80" i="44"/>
  <c r="K26" i="53"/>
  <c r="P26" i="53" s="1"/>
  <c r="AC464" i="97"/>
  <c r="W17" i="84"/>
  <c r="AE17" i="84" s="1"/>
  <c r="D8" i="101"/>
  <c r="I10" i="101"/>
  <c r="O10" i="101"/>
  <c r="O28" i="95"/>
  <c r="O23" i="83"/>
  <c r="I24" i="101"/>
  <c r="N24" i="101"/>
  <c r="I24" i="48"/>
  <c r="N24" i="48"/>
  <c r="H6" i="16"/>
  <c r="H5" i="37"/>
  <c r="E17" i="52"/>
  <c r="P17" i="52" s="1"/>
  <c r="X17" i="52" s="1"/>
  <c r="AF17" i="52" s="1"/>
  <c r="G15" i="37"/>
  <c r="G48" i="37" s="1"/>
  <c r="O23" i="96"/>
  <c r="N24" i="84"/>
  <c r="I24" i="84"/>
  <c r="I23" i="48"/>
  <c r="N23" i="48"/>
  <c r="C18" i="48"/>
  <c r="AC7" i="16"/>
  <c r="AC5" i="37"/>
  <c r="O28" i="46"/>
  <c r="I22" i="51"/>
  <c r="Q22" i="51"/>
  <c r="T78" i="44"/>
  <c r="K19" i="69"/>
  <c r="P19" i="69" s="1"/>
  <c r="BQ10" i="70"/>
  <c r="G7" i="16"/>
  <c r="Z17" i="72"/>
  <c r="AH17" i="72" s="1"/>
  <c r="V29" i="97"/>
  <c r="D22" i="16"/>
  <c r="D21" i="16" s="1"/>
  <c r="D21" i="37"/>
  <c r="I20" i="52"/>
  <c r="Q20" i="52"/>
  <c r="H19" i="16"/>
  <c r="K26" i="88"/>
  <c r="P26" i="88" s="1"/>
  <c r="CB12" i="70"/>
  <c r="AE80" i="44"/>
  <c r="E17" i="56"/>
  <c r="P17" i="56" s="1"/>
  <c r="X17" i="56" s="1"/>
  <c r="AF17" i="56" s="1"/>
  <c r="O15" i="37"/>
  <c r="O48" i="37" s="1"/>
  <c r="I23" i="69"/>
  <c r="N23" i="69"/>
  <c r="C18" i="69"/>
  <c r="AB7" i="16"/>
  <c r="AB5" i="37"/>
  <c r="O28" i="69"/>
  <c r="I9" i="41"/>
  <c r="C8" i="41"/>
  <c r="N9" i="41"/>
  <c r="Z17" i="49"/>
  <c r="AH17" i="49" s="1"/>
  <c r="M29" i="97"/>
  <c r="R15" i="85"/>
  <c r="I15" i="85"/>
  <c r="G8" i="85"/>
  <c r="AK92" i="44"/>
  <c r="AK23" i="44"/>
  <c r="L26" i="101"/>
  <c r="L18" i="101" s="1"/>
  <c r="L43" i="101" s="1"/>
  <c r="U23" i="44"/>
  <c r="BR23" i="70" s="1"/>
  <c r="L26" i="72"/>
  <c r="L18" i="72" s="1"/>
  <c r="L43" i="72" s="1"/>
  <c r="BR24" i="70"/>
  <c r="U92" i="44"/>
  <c r="I78" i="44"/>
  <c r="BF10" i="70"/>
  <c r="K19" i="52"/>
  <c r="V15" i="37"/>
  <c r="V48" i="37" s="1"/>
  <c r="E17" i="79"/>
  <c r="P17" i="79" s="1"/>
  <c r="X17" i="79" s="1"/>
  <c r="AF17" i="79" s="1"/>
  <c r="AI464" i="97"/>
  <c r="W17" i="96"/>
  <c r="AE17" i="96" s="1"/>
  <c r="W17" i="58"/>
  <c r="AE17" i="58" s="1"/>
  <c r="S464" i="97"/>
  <c r="D8" i="99"/>
  <c r="O10" i="99"/>
  <c r="I10" i="99"/>
  <c r="O23" i="56"/>
  <c r="AE8" i="16"/>
  <c r="Z19" i="16"/>
  <c r="I24" i="73"/>
  <c r="N24" i="73"/>
  <c r="H11" i="60"/>
  <c r="I22" i="87"/>
  <c r="Q22" i="87"/>
  <c r="I22" i="47"/>
  <c r="Q22" i="47"/>
  <c r="I26" i="85"/>
  <c r="I19" i="90"/>
  <c r="G100" i="70"/>
  <c r="G26" i="2"/>
  <c r="N24" i="51"/>
  <c r="I24" i="51"/>
  <c r="I23" i="83"/>
  <c r="N23" i="83"/>
  <c r="C18" i="83"/>
  <c r="C43" i="83" s="1"/>
  <c r="E6" i="16"/>
  <c r="E5" i="37"/>
  <c r="I19" i="84"/>
  <c r="Y21" i="37"/>
  <c r="Y22" i="16"/>
  <c r="Y21" i="16" s="1"/>
  <c r="I22" i="101"/>
  <c r="Q22" i="101"/>
  <c r="I26" i="100"/>
  <c r="F100" i="70"/>
  <c r="F26" i="2"/>
  <c r="W10" i="16"/>
  <c r="I10" i="52"/>
  <c r="O10" i="52"/>
  <c r="D8" i="52"/>
  <c r="O28" i="85"/>
  <c r="O23" i="77"/>
  <c r="N24" i="52"/>
  <c r="I24" i="52"/>
  <c r="N23" i="82"/>
  <c r="I23" i="82"/>
  <c r="C18" i="82"/>
  <c r="C43" i="82" s="1"/>
  <c r="N17" i="100"/>
  <c r="N17" i="84"/>
  <c r="T6" i="16"/>
  <c r="T5" i="37"/>
  <c r="X464" i="97"/>
  <c r="W17" i="77"/>
  <c r="AE17" i="77" s="1"/>
  <c r="AD10" i="16"/>
  <c r="O28" i="49"/>
  <c r="R6" i="16"/>
  <c r="R5" i="37"/>
  <c r="I80" i="44"/>
  <c r="BF12" i="70"/>
  <c r="K26" i="52"/>
  <c r="P26" i="52" s="1"/>
  <c r="O23" i="84"/>
  <c r="R29" i="97"/>
  <c r="Z17" i="56"/>
  <c r="AH17" i="56" s="1"/>
  <c r="G8" i="96"/>
  <c r="R15" i="96"/>
  <c r="I15" i="96"/>
  <c r="L26" i="96"/>
  <c r="L18" i="96" s="1"/>
  <c r="L43" i="96" s="1"/>
  <c r="CE24" i="70"/>
  <c r="AH92" i="44"/>
  <c r="AH23" i="44"/>
  <c r="CE23" i="70" s="1"/>
  <c r="R92" i="44"/>
  <c r="R23" i="44"/>
  <c r="BO23" i="70" s="1"/>
  <c r="BO24" i="70"/>
  <c r="L26" i="58"/>
  <c r="L18" i="58" s="1"/>
  <c r="L43" i="58" s="1"/>
  <c r="I20" i="85"/>
  <c r="Q20" i="85"/>
  <c r="I20" i="48"/>
  <c r="Q20" i="48"/>
  <c r="AB19" i="16"/>
  <c r="I19" i="45"/>
  <c r="S15" i="37"/>
  <c r="E17" i="72"/>
  <c r="P17" i="72" s="1"/>
  <c r="X17" i="72" s="1"/>
  <c r="AF17" i="72" s="1"/>
  <c r="I37" i="99"/>
  <c r="O37" i="99"/>
  <c r="O23" i="47"/>
  <c r="C8" i="64"/>
  <c r="N9" i="64"/>
  <c r="I9" i="64"/>
  <c r="W22" i="16"/>
  <c r="AN17" i="101"/>
  <c r="AH18" i="60" s="1"/>
  <c r="AH30" i="60" s="1"/>
  <c r="Q17" i="41"/>
  <c r="AH80" i="44"/>
  <c r="K26" i="96"/>
  <c r="P26" i="96" s="1"/>
  <c r="CE12" i="70"/>
  <c r="BG12" i="70"/>
  <c r="K26" i="51"/>
  <c r="P26" i="51" s="1"/>
  <c r="J80" i="44"/>
  <c r="BB10" i="70"/>
  <c r="E78" i="44"/>
  <c r="K19" i="41"/>
  <c r="L26" i="2"/>
  <c r="L100" i="70"/>
  <c r="D8" i="54"/>
  <c r="I10" i="54"/>
  <c r="O10" i="54"/>
  <c r="I37" i="58"/>
  <c r="O37" i="58"/>
  <c r="O28" i="83"/>
  <c r="X7" i="16"/>
  <c r="X5" i="37"/>
  <c r="U8" i="16"/>
  <c r="I19" i="64"/>
  <c r="I37" i="79"/>
  <c r="O37" i="79"/>
  <c r="G80" i="44"/>
  <c r="K26" i="54"/>
  <c r="P26" i="54" s="1"/>
  <c r="BD12" i="70"/>
  <c r="R10" i="16"/>
  <c r="AA8" i="16"/>
  <c r="AD29" i="97"/>
  <c r="Z17" i="85"/>
  <c r="AH17" i="85" s="1"/>
  <c r="L26" i="47"/>
  <c r="L18" i="47" s="1"/>
  <c r="L43" i="47" s="1"/>
  <c r="N92" i="44"/>
  <c r="BK24" i="70"/>
  <c r="N23" i="44"/>
  <c r="X19" i="16"/>
  <c r="O37" i="54"/>
  <c r="I37" i="54"/>
  <c r="D8" i="64"/>
  <c r="O10" i="64"/>
  <c r="I10" i="64"/>
  <c r="K22" i="16"/>
  <c r="K21" i="16" s="1"/>
  <c r="K21" i="37"/>
  <c r="L26" i="85"/>
  <c r="L18" i="85" s="1"/>
  <c r="L43" i="85" s="1"/>
  <c r="BZ24" i="70"/>
  <c r="AC23" i="44"/>
  <c r="BZ23" i="70" s="1"/>
  <c r="AC92" i="44"/>
  <c r="Q22" i="46"/>
  <c r="I22" i="46"/>
  <c r="I20" i="55"/>
  <c r="Q20" i="55"/>
  <c r="O10" i="50"/>
  <c r="I10" i="50"/>
  <c r="D8" i="50"/>
  <c r="R15" i="84"/>
  <c r="G8" i="84"/>
  <c r="I15" i="84"/>
  <c r="BQ24" i="70"/>
  <c r="L26" i="69"/>
  <c r="L18" i="69" s="1"/>
  <c r="L43" i="69" s="1"/>
  <c r="T23" i="44"/>
  <c r="BQ23" i="70" s="1"/>
  <c r="T92" i="44"/>
  <c r="X78" i="44"/>
  <c r="BU10" i="70"/>
  <c r="K19" i="79"/>
  <c r="O37" i="72"/>
  <c r="I37" i="72"/>
  <c r="K19" i="84"/>
  <c r="BY10" i="70"/>
  <c r="AB78" i="44"/>
  <c r="O37" i="56"/>
  <c r="I37" i="56"/>
  <c r="K29" i="97"/>
  <c r="Z17" i="51"/>
  <c r="AH17" i="51" s="1"/>
  <c r="H29" i="97"/>
  <c r="Z17" i="54"/>
  <c r="AH17" i="54" s="1"/>
  <c r="U22" i="16"/>
  <c r="U21" i="16" s="1"/>
  <c r="U21" i="37"/>
  <c r="R15" i="54"/>
  <c r="G8" i="54"/>
  <c r="I15" i="54"/>
  <c r="AE92" i="44"/>
  <c r="L26" i="88"/>
  <c r="L18" i="88" s="1"/>
  <c r="L43" i="88" s="1"/>
  <c r="CB24" i="70"/>
  <c r="AE23" i="44"/>
  <c r="CB23" i="70" s="1"/>
  <c r="Q22" i="56"/>
  <c r="I22" i="56"/>
  <c r="I20" i="96"/>
  <c r="Q20" i="96"/>
  <c r="I19" i="16"/>
  <c r="I26" i="79"/>
  <c r="S78" i="44"/>
  <c r="BP10" i="70"/>
  <c r="K19" i="64"/>
  <c r="AF15" i="37"/>
  <c r="E17" i="96"/>
  <c r="P17" i="96" s="1"/>
  <c r="X17" i="96" s="1"/>
  <c r="AF17" i="96" s="1"/>
  <c r="S10" i="16"/>
  <c r="O10" i="41"/>
  <c r="I10" i="41"/>
  <c r="D8" i="41"/>
  <c r="I19" i="82"/>
  <c r="D8" i="69"/>
  <c r="O10" i="69"/>
  <c r="I10" i="69"/>
  <c r="O37" i="77"/>
  <c r="I37" i="77"/>
  <c r="C8" i="16"/>
  <c r="N17" i="73"/>
  <c r="N17" i="58"/>
  <c r="I10" i="73"/>
  <c r="O10" i="73"/>
  <c r="D8" i="73"/>
  <c r="Z17" i="101"/>
  <c r="AH17" i="101" s="1"/>
  <c r="AL29" i="97"/>
  <c r="G8" i="73"/>
  <c r="R15" i="73"/>
  <c r="I15" i="73"/>
  <c r="I22" i="90"/>
  <c r="Q22" i="90"/>
  <c r="I20" i="95"/>
  <c r="Q20" i="95"/>
  <c r="K19" i="51"/>
  <c r="J78" i="44"/>
  <c r="BG10" i="70"/>
  <c r="O28" i="90"/>
  <c r="G6" i="16"/>
  <c r="G5" i="37"/>
  <c r="O37" i="47"/>
  <c r="I37" i="47"/>
  <c r="O23" i="81"/>
  <c r="I24" i="64"/>
  <c r="N24" i="64"/>
  <c r="J8" i="16"/>
  <c r="C6" i="16"/>
  <c r="C47" i="37"/>
  <c r="C5" i="37"/>
  <c r="AA22" i="16"/>
  <c r="R15" i="48"/>
  <c r="G8" i="48"/>
  <c r="I15" i="48"/>
  <c r="Q22" i="88"/>
  <c r="I22" i="88"/>
  <c r="I10" i="16"/>
  <c r="N24" i="83"/>
  <c r="I24" i="83"/>
  <c r="N17" i="51"/>
  <c r="Q15" i="37"/>
  <c r="E17" i="64"/>
  <c r="P17" i="64" s="1"/>
  <c r="X17" i="64" s="1"/>
  <c r="AF17" i="64" s="1"/>
  <c r="Z22" i="16"/>
  <c r="J22" i="16"/>
  <c r="G18" i="58"/>
  <c r="R21" i="58"/>
  <c r="I21" i="58"/>
  <c r="AD19" i="16"/>
  <c r="V19" i="16"/>
  <c r="F19" i="16"/>
  <c r="I26" i="48"/>
  <c r="AC15" i="37"/>
  <c r="E17" i="88"/>
  <c r="P17" i="88" s="1"/>
  <c r="X17" i="88" s="1"/>
  <c r="AF17" i="88" s="1"/>
  <c r="AF10" i="16"/>
  <c r="X10" i="16"/>
  <c r="H10" i="16"/>
  <c r="I37" i="48"/>
  <c r="O37" i="48"/>
  <c r="O28" i="73"/>
  <c r="N24" i="96"/>
  <c r="I24" i="96"/>
  <c r="AG8" i="16"/>
  <c r="Q8" i="16"/>
  <c r="AI7" i="16"/>
  <c r="AI5" i="37"/>
  <c r="I9" i="72"/>
  <c r="C8" i="72"/>
  <c r="N9" i="72"/>
  <c r="I20" i="64"/>
  <c r="Q20" i="64"/>
  <c r="V464" i="97"/>
  <c r="W17" i="72"/>
  <c r="AE17" i="72" s="1"/>
  <c r="G8" i="50"/>
  <c r="I15" i="50"/>
  <c r="R15" i="50"/>
  <c r="BP24" i="70"/>
  <c r="S23" i="44"/>
  <c r="BP23" i="70" s="1"/>
  <c r="S92" i="44"/>
  <c r="L26" i="64"/>
  <c r="L18" i="64" s="1"/>
  <c r="L43" i="64" s="1"/>
  <c r="I22" i="72"/>
  <c r="Q22" i="72"/>
  <c r="I20" i="45"/>
  <c r="Q20" i="45"/>
  <c r="AD100" i="70"/>
  <c r="AD26" i="2"/>
  <c r="AS100" i="70"/>
  <c r="O37" i="69"/>
  <c r="I37" i="69"/>
  <c r="AF8" i="16"/>
  <c r="P8" i="16"/>
  <c r="AH7" i="16"/>
  <c r="AH5" i="37"/>
  <c r="R7" i="16"/>
  <c r="O10" i="53"/>
  <c r="D8" i="53"/>
  <c r="I10" i="53"/>
  <c r="I24" i="53"/>
  <c r="N24" i="53"/>
  <c r="N17" i="95"/>
  <c r="AH29" i="97"/>
  <c r="Z17" i="95"/>
  <c r="AH17" i="95" s="1"/>
  <c r="Z17" i="52"/>
  <c r="AH17" i="52" s="1"/>
  <c r="J29" i="97"/>
  <c r="R15" i="58"/>
  <c r="G8" i="58"/>
  <c r="I15" i="58"/>
  <c r="R21" i="79"/>
  <c r="G18" i="79"/>
  <c r="I21" i="79"/>
  <c r="I26" i="99"/>
  <c r="BP12" i="70"/>
  <c r="K26" i="64"/>
  <c r="P26" i="64" s="1"/>
  <c r="S80" i="44"/>
  <c r="I19" i="73"/>
  <c r="W17" i="54"/>
  <c r="AE17" i="54" s="1"/>
  <c r="H464" i="97"/>
  <c r="O28" i="100"/>
  <c r="N17" i="50"/>
  <c r="I24" i="47"/>
  <c r="N24" i="47"/>
  <c r="E11" i="60"/>
  <c r="I20" i="69"/>
  <c r="Q20" i="69"/>
  <c r="K26" i="82"/>
  <c r="P26" i="82" s="1"/>
  <c r="Z80" i="44"/>
  <c r="BW12" i="70"/>
  <c r="I10" i="88"/>
  <c r="D8" i="88"/>
  <c r="O10" i="88"/>
  <c r="I10" i="77"/>
  <c r="D8" i="77"/>
  <c r="O10" i="77"/>
  <c r="E10" i="16"/>
  <c r="O23" i="101"/>
  <c r="O23" i="72"/>
  <c r="N24" i="88"/>
  <c r="I24" i="88"/>
  <c r="N24" i="54"/>
  <c r="I24" i="54"/>
  <c r="N23" i="79"/>
  <c r="I23" i="79"/>
  <c r="C18" i="79"/>
  <c r="C43" i="79" s="1"/>
  <c r="I24" i="87"/>
  <c r="N24" i="87"/>
  <c r="Y19" i="16"/>
  <c r="AA10" i="16"/>
  <c r="I23" i="73"/>
  <c r="N23" i="73"/>
  <c r="C18" i="73"/>
  <c r="V41" i="37"/>
  <c r="V7" i="16"/>
  <c r="V5" i="37"/>
  <c r="I19" i="96"/>
  <c r="O23" i="51"/>
  <c r="I23" i="41"/>
  <c r="N23" i="41"/>
  <c r="C18" i="41"/>
  <c r="I9" i="53"/>
  <c r="N9" i="53"/>
  <c r="C8" i="53"/>
  <c r="T10" i="16"/>
  <c r="G18" i="100"/>
  <c r="R21" i="100"/>
  <c r="I21" i="100"/>
  <c r="O10" i="84"/>
  <c r="I10" i="84"/>
  <c r="D8" i="84"/>
  <c r="O37" i="45"/>
  <c r="I37" i="45"/>
  <c r="AH8" i="16"/>
  <c r="I24" i="55"/>
  <c r="N24" i="55"/>
  <c r="I22" i="77"/>
  <c r="Q22" i="77"/>
  <c r="AE19" i="16"/>
  <c r="BV10" i="70"/>
  <c r="K19" i="81"/>
  <c r="Y78" i="44"/>
  <c r="I19" i="52"/>
  <c r="E17" i="55"/>
  <c r="P17" i="55" s="1"/>
  <c r="X17" i="55" s="1"/>
  <c r="AF17" i="55" s="1"/>
  <c r="N15" i="37"/>
  <c r="N48" i="37" s="1"/>
  <c r="I10" i="83"/>
  <c r="O10" i="83"/>
  <c r="D8" i="83"/>
  <c r="H7" i="16"/>
  <c r="I20" i="83"/>
  <c r="Q20" i="83"/>
  <c r="Z17" i="83"/>
  <c r="AH17" i="83" s="1"/>
  <c r="AB29" i="97"/>
  <c r="R15" i="49"/>
  <c r="G8" i="49"/>
  <c r="I15" i="49"/>
  <c r="I21" i="96"/>
  <c r="L92" i="44"/>
  <c r="L26" i="49"/>
  <c r="L18" i="49" s="1"/>
  <c r="L43" i="49" s="1"/>
  <c r="BI24" i="70"/>
  <c r="L23" i="44"/>
  <c r="BZ12" i="70"/>
  <c r="K26" i="85"/>
  <c r="P26" i="85" s="1"/>
  <c r="AC80" i="44"/>
  <c r="K19" i="90"/>
  <c r="CC10" i="70"/>
  <c r="AF78" i="44"/>
  <c r="I19" i="55"/>
  <c r="N23" i="99"/>
  <c r="I23" i="99"/>
  <c r="C18" i="99"/>
  <c r="C43" i="99" s="1"/>
  <c r="I23" i="64"/>
  <c r="N23" i="64"/>
  <c r="C18" i="64"/>
  <c r="N17" i="101"/>
  <c r="N17" i="72"/>
  <c r="AG7" i="16"/>
  <c r="AG5" i="37"/>
  <c r="Z17" i="82"/>
  <c r="AH17" i="82" s="1"/>
  <c r="AA29" i="97"/>
  <c r="R15" i="83"/>
  <c r="I15" i="83"/>
  <c r="G8" i="83"/>
  <c r="BX24" i="70"/>
  <c r="AA23" i="44"/>
  <c r="BX23" i="70" s="1"/>
  <c r="AA92" i="44"/>
  <c r="L26" i="83"/>
  <c r="L18" i="83" s="1"/>
  <c r="L43" i="83" s="1"/>
  <c r="BH24" i="70"/>
  <c r="K92" i="44"/>
  <c r="L26" i="50"/>
  <c r="L18" i="50" s="1"/>
  <c r="L43" i="50" s="1"/>
  <c r="K23" i="44"/>
  <c r="U19" i="16"/>
  <c r="E19" i="16"/>
  <c r="I19" i="88"/>
  <c r="I19" i="46"/>
  <c r="AE10" i="16"/>
  <c r="O37" i="49"/>
  <c r="I37" i="49"/>
  <c r="O28" i="72"/>
  <c r="N23" i="58"/>
  <c r="I23" i="58"/>
  <c r="C18" i="58"/>
  <c r="N17" i="69"/>
  <c r="I9" i="73"/>
  <c r="N9" i="73"/>
  <c r="C8" i="73"/>
  <c r="O37" i="64"/>
  <c r="I37" i="64"/>
  <c r="D8" i="45"/>
  <c r="O10" i="45"/>
  <c r="I10" i="45"/>
  <c r="Z17" i="81"/>
  <c r="AH17" i="81" s="1"/>
  <c r="Z29" i="97"/>
  <c r="Q20" i="101"/>
  <c r="I20" i="101"/>
  <c r="Q20" i="41"/>
  <c r="I20" i="41"/>
  <c r="L19" i="16"/>
  <c r="CA10" i="70"/>
  <c r="K19" i="87"/>
  <c r="AD78" i="44"/>
  <c r="M8" i="16"/>
  <c r="Z17" i="90"/>
  <c r="AH17" i="90" s="1"/>
  <c r="AG29" i="97"/>
  <c r="G8" i="95"/>
  <c r="R15" i="95"/>
  <c r="I15" i="95"/>
  <c r="R37" i="41"/>
  <c r="CD24" i="70"/>
  <c r="AG92" i="44"/>
  <c r="L26" i="95"/>
  <c r="L18" i="95" s="1"/>
  <c r="L43" i="95" s="1"/>
  <c r="AG23" i="44"/>
  <c r="CD23" i="70" s="1"/>
  <c r="S19" i="16"/>
  <c r="C19" i="16"/>
  <c r="K19" i="85"/>
  <c r="P19" i="85" s="1"/>
  <c r="BZ10" i="70"/>
  <c r="AC78" i="44"/>
  <c r="I19" i="48"/>
  <c r="AJ26" i="2"/>
  <c r="AY100" i="70"/>
  <c r="AJ100" i="70"/>
  <c r="AC10" i="16"/>
  <c r="AD8" i="16"/>
  <c r="N8" i="16"/>
  <c r="AF7" i="16"/>
  <c r="AF5" i="37"/>
  <c r="N17" i="79"/>
  <c r="AI10" i="16"/>
  <c r="Y15" i="37"/>
  <c r="E17" i="83"/>
  <c r="P17" i="83" s="1"/>
  <c r="X17" i="83" s="1"/>
  <c r="AF17" i="83" s="1"/>
  <c r="R15" i="45"/>
  <c r="G8" i="45"/>
  <c r="I15" i="45"/>
  <c r="I22" i="55"/>
  <c r="Q22" i="55"/>
  <c r="I15" i="101"/>
  <c r="G8" i="101"/>
  <c r="R15" i="101"/>
  <c r="E92" i="44"/>
  <c r="BB24" i="70"/>
  <c r="L26" i="41"/>
  <c r="L18" i="41" s="1"/>
  <c r="L43" i="41" s="1"/>
  <c r="E23" i="44"/>
  <c r="CA12" i="70"/>
  <c r="AD80" i="44"/>
  <c r="K26" i="87"/>
  <c r="P26" i="87" s="1"/>
  <c r="Z17" i="77"/>
  <c r="AH17" i="77" s="1"/>
  <c r="X29" i="97"/>
  <c r="AD21" i="37"/>
  <c r="AD22" i="16"/>
  <c r="AD21" i="16" s="1"/>
  <c r="I15" i="53"/>
  <c r="G8" i="53"/>
  <c r="R15" i="53"/>
  <c r="R21" i="48"/>
  <c r="G18" i="48"/>
  <c r="I21" i="48"/>
  <c r="C11" i="60"/>
  <c r="Q20" i="58"/>
  <c r="I20" i="58"/>
  <c r="E17" i="82"/>
  <c r="P17" i="82" s="1"/>
  <c r="X17" i="82" s="1"/>
  <c r="AF17" i="82" s="1"/>
  <c r="X15" i="37"/>
  <c r="X48" i="37" s="1"/>
  <c r="U464" i="97"/>
  <c r="W17" i="69"/>
  <c r="AE17" i="69" s="1"/>
  <c r="D8" i="72"/>
  <c r="I10" i="72"/>
  <c r="O10" i="72"/>
  <c r="C10" i="16"/>
  <c r="O37" i="55"/>
  <c r="I37" i="55"/>
  <c r="O23" i="99"/>
  <c r="O23" i="64"/>
  <c r="AB8" i="16"/>
  <c r="L8" i="16"/>
  <c r="N17" i="90"/>
  <c r="P6" i="16"/>
  <c r="P5" i="37"/>
  <c r="BT12" i="70"/>
  <c r="K26" i="77"/>
  <c r="P26" i="77" s="1"/>
  <c r="W80" i="44"/>
  <c r="D8" i="100"/>
  <c r="I10" i="100"/>
  <c r="O10" i="100"/>
  <c r="J10" i="16"/>
  <c r="S8" i="16"/>
  <c r="N17" i="77"/>
  <c r="T7" i="16"/>
  <c r="F6" i="16"/>
  <c r="F5" i="37"/>
  <c r="K26" i="56"/>
  <c r="P26" i="56" s="1"/>
  <c r="Q80" i="44"/>
  <c r="BN12" i="70"/>
  <c r="AI23" i="16"/>
  <c r="AJ23" i="16" s="1"/>
  <c r="AJ23" i="37"/>
  <c r="AB22" i="16"/>
  <c r="AB21" i="16" s="1"/>
  <c r="AB21" i="37"/>
  <c r="Q28" i="41"/>
  <c r="V92" i="44"/>
  <c r="V23" i="44"/>
  <c r="BS23" i="70" s="1"/>
  <c r="L26" i="73"/>
  <c r="L18" i="73" s="1"/>
  <c r="L43" i="73" s="1"/>
  <c r="BS24" i="70"/>
  <c r="Q20" i="56"/>
  <c r="I20" i="56"/>
  <c r="AF19" i="16"/>
  <c r="I19" i="51"/>
  <c r="T464" i="97"/>
  <c r="W17" i="64"/>
  <c r="AE17" i="64" s="1"/>
  <c r="O23" i="52"/>
  <c r="N23" i="49"/>
  <c r="I23" i="49"/>
  <c r="C18" i="49"/>
  <c r="G8" i="16"/>
  <c r="AG11" i="60"/>
  <c r="Q11" i="60"/>
  <c r="I22" i="54"/>
  <c r="Q22" i="54"/>
  <c r="Q20" i="53"/>
  <c r="I20" i="53"/>
  <c r="O19" i="16"/>
  <c r="K26" i="47"/>
  <c r="P26" i="47" s="1"/>
  <c r="N80" i="44"/>
  <c r="BK12" i="70"/>
  <c r="AA464" i="97"/>
  <c r="W17" i="82"/>
  <c r="AE17" i="82" s="1"/>
  <c r="W17" i="51"/>
  <c r="AE17" i="51" s="1"/>
  <c r="K464" i="97"/>
  <c r="O37" i="73"/>
  <c r="I37" i="73"/>
  <c r="N23" i="95"/>
  <c r="I23" i="95"/>
  <c r="C18" i="95"/>
  <c r="N464" i="97"/>
  <c r="W17" i="48"/>
  <c r="AE17" i="48" s="1"/>
  <c r="AJ29" i="97"/>
  <c r="Z17" i="99"/>
  <c r="AH17" i="99" s="1"/>
  <c r="R21" i="51"/>
  <c r="G18" i="51"/>
  <c r="I21" i="51"/>
  <c r="Q22" i="45"/>
  <c r="I22" i="45"/>
  <c r="I20" i="46"/>
  <c r="Q20" i="46"/>
  <c r="I26" i="41"/>
  <c r="BM10" i="70"/>
  <c r="P78" i="44"/>
  <c r="K19" i="55"/>
  <c r="W17" i="95"/>
  <c r="AE17" i="95" s="1"/>
  <c r="AH464" i="97"/>
  <c r="P10" i="16"/>
  <c r="I37" i="101"/>
  <c r="O37" i="101"/>
  <c r="O37" i="41"/>
  <c r="W37" i="41" s="1"/>
  <c r="AE37" i="41" s="1"/>
  <c r="AL37" i="41" s="1"/>
  <c r="I37" i="41"/>
  <c r="O28" i="47"/>
  <c r="O23" i="90"/>
  <c r="O23" i="55"/>
  <c r="I24" i="82"/>
  <c r="N24" i="82"/>
  <c r="K7" i="16"/>
  <c r="M6" i="16"/>
  <c r="M5" i="37"/>
  <c r="C8" i="47"/>
  <c r="N9" i="47"/>
  <c r="I9" i="47"/>
  <c r="AG15" i="37"/>
  <c r="E17" i="99"/>
  <c r="P17" i="99" s="1"/>
  <c r="X17" i="99" s="1"/>
  <c r="AF17" i="99" s="1"/>
  <c r="I15" i="99"/>
  <c r="G8" i="99"/>
  <c r="R15" i="99"/>
  <c r="I22" i="16"/>
  <c r="I22" i="48"/>
  <c r="Q22" i="48"/>
  <c r="Q20" i="87"/>
  <c r="I20" i="87"/>
  <c r="AB80" i="44"/>
  <c r="K26" i="84"/>
  <c r="P26" i="84" s="1"/>
  <c r="BY12" i="70"/>
  <c r="BI12" i="70"/>
  <c r="L80" i="44"/>
  <c r="K26" i="49"/>
  <c r="P26" i="49" s="1"/>
  <c r="BL10" i="70"/>
  <c r="K19" i="46"/>
  <c r="O78" i="44"/>
  <c r="T15" i="37"/>
  <c r="T48" i="37" s="1"/>
  <c r="E17" i="73"/>
  <c r="P17" i="73" s="1"/>
  <c r="X17" i="73" s="1"/>
  <c r="AF17" i="73" s="1"/>
  <c r="AG464" i="97"/>
  <c r="W17" i="90"/>
  <c r="AE17" i="90" s="1"/>
  <c r="O23" i="88"/>
  <c r="O23" i="46"/>
  <c r="I23" i="96"/>
  <c r="N23" i="96"/>
  <c r="C18" i="96"/>
  <c r="P464" i="97"/>
  <c r="W17" i="46"/>
  <c r="AE17" i="46" s="1"/>
  <c r="W8" i="16"/>
  <c r="N9" i="48"/>
  <c r="C8" i="48"/>
  <c r="I9" i="48"/>
  <c r="D10" i="16"/>
  <c r="C8" i="50"/>
  <c r="I9" i="50"/>
  <c r="N9" i="50"/>
  <c r="R15" i="82"/>
  <c r="G8" i="82"/>
  <c r="I15" i="82"/>
  <c r="G8" i="51"/>
  <c r="R15" i="51"/>
  <c r="I15" i="51"/>
  <c r="L26" i="82"/>
  <c r="L18" i="82" s="1"/>
  <c r="L43" i="82" s="1"/>
  <c r="Z92" i="44"/>
  <c r="BW24" i="70"/>
  <c r="Z23" i="44"/>
  <c r="BW23" i="70" s="1"/>
  <c r="CF12" i="70"/>
  <c r="K26" i="99"/>
  <c r="P26" i="99" s="1"/>
  <c r="AI80" i="44"/>
  <c r="I19" i="87"/>
  <c r="N78" i="44"/>
  <c r="BK10" i="70"/>
  <c r="K19" i="47"/>
  <c r="AK26" i="2"/>
  <c r="AL97" i="2"/>
  <c r="E17" i="41"/>
  <c r="I17" i="41" s="1"/>
  <c r="C15" i="37"/>
  <c r="O37" i="83"/>
  <c r="I37" i="83"/>
  <c r="N23" i="46"/>
  <c r="I23" i="46"/>
  <c r="C18" i="46"/>
  <c r="N17" i="81"/>
  <c r="Z17" i="55"/>
  <c r="AH17" i="55" s="1"/>
  <c r="Q29" i="97"/>
  <c r="O22" i="16"/>
  <c r="R21" i="54"/>
  <c r="G18" i="54"/>
  <c r="I21" i="54"/>
  <c r="U11" i="60"/>
  <c r="L26" i="81"/>
  <c r="L18" i="81" s="1"/>
  <c r="L43" i="81" s="1"/>
  <c r="Y23" i="44"/>
  <c r="BV23" i="70" s="1"/>
  <c r="BV24" i="70"/>
  <c r="Y92" i="44"/>
  <c r="I92" i="44"/>
  <c r="I23" i="44"/>
  <c r="L26" i="52"/>
  <c r="L18" i="52" s="1"/>
  <c r="L43" i="52" s="1"/>
  <c r="BF24" i="70"/>
  <c r="I22" i="50"/>
  <c r="Q22" i="50"/>
  <c r="I20" i="49"/>
  <c r="Q20" i="49"/>
  <c r="AA19" i="16"/>
  <c r="W17" i="47"/>
  <c r="AE17" i="47" s="1"/>
  <c r="O464" i="97"/>
  <c r="I37" i="96"/>
  <c r="O37" i="96"/>
  <c r="O37" i="51"/>
  <c r="I37" i="51"/>
  <c r="O28" i="64"/>
  <c r="O23" i="48"/>
  <c r="I24" i="77"/>
  <c r="N24" i="77"/>
  <c r="N17" i="96"/>
  <c r="AB10" i="16"/>
  <c r="I23" i="77"/>
  <c r="N23" i="77"/>
  <c r="C18" i="77"/>
  <c r="Z17" i="73"/>
  <c r="AH17" i="73" s="1"/>
  <c r="W29" i="97"/>
  <c r="E22" i="16"/>
  <c r="Q20" i="51"/>
  <c r="I20" i="51"/>
  <c r="I23" i="45"/>
  <c r="N23" i="45"/>
  <c r="C18" i="45"/>
  <c r="G8" i="77"/>
  <c r="I15" i="77"/>
  <c r="R15" i="77"/>
  <c r="N23" i="85"/>
  <c r="I23" i="85"/>
  <c r="C18" i="85"/>
  <c r="C43" i="85" s="1"/>
  <c r="I15" i="88"/>
  <c r="G8" i="88"/>
  <c r="R15" i="88"/>
  <c r="P29" i="97"/>
  <c r="Z17" i="46"/>
  <c r="AH17" i="46" s="1"/>
  <c r="I15" i="90"/>
  <c r="G8" i="90"/>
  <c r="R15" i="90"/>
  <c r="N22" i="16"/>
  <c r="N21" i="16" s="1"/>
  <c r="N21" i="37"/>
  <c r="L26" i="79"/>
  <c r="L18" i="79" s="1"/>
  <c r="L43" i="79" s="1"/>
  <c r="BU24" i="70"/>
  <c r="X92" i="44"/>
  <c r="X23" i="44"/>
  <c r="BU23" i="70" s="1"/>
  <c r="I15" i="46"/>
  <c r="G8" i="46"/>
  <c r="R15" i="46"/>
  <c r="G92" i="44"/>
  <c r="BD24" i="70"/>
  <c r="G23" i="44"/>
  <c r="L26" i="54"/>
  <c r="L18" i="54" s="1"/>
  <c r="L43" i="54" s="1"/>
  <c r="Q19" i="16"/>
  <c r="K26" i="79"/>
  <c r="P26" i="79" s="1"/>
  <c r="X80" i="44"/>
  <c r="BU12" i="70"/>
  <c r="I19" i="83"/>
  <c r="K78" i="44"/>
  <c r="BH10" i="70"/>
  <c r="K19" i="50"/>
  <c r="O37" i="53"/>
  <c r="I37" i="53"/>
  <c r="N24" i="85"/>
  <c r="I24" i="85"/>
  <c r="N7" i="16"/>
  <c r="N9" i="58"/>
  <c r="I9" i="58"/>
  <c r="C8" i="58"/>
  <c r="CE10" i="70"/>
  <c r="K19" i="96"/>
  <c r="AH78" i="44"/>
  <c r="D8" i="49"/>
  <c r="O10" i="49"/>
  <c r="I10" i="49"/>
  <c r="O28" i="79"/>
  <c r="AI8" i="16"/>
  <c r="N23" i="72"/>
  <c r="I23" i="72"/>
  <c r="C18" i="72"/>
  <c r="U7" i="16"/>
  <c r="U41" i="37"/>
  <c r="U5" i="37"/>
  <c r="C8" i="56"/>
  <c r="I9" i="56"/>
  <c r="N9" i="56"/>
  <c r="R19" i="16"/>
  <c r="L22" i="16"/>
  <c r="F92" i="44"/>
  <c r="F23" i="44"/>
  <c r="BC24" i="70"/>
  <c r="L26" i="45"/>
  <c r="L18" i="45" s="1"/>
  <c r="L43" i="45" s="1"/>
  <c r="O80" i="44"/>
  <c r="K26" i="46"/>
  <c r="P26" i="46" s="1"/>
  <c r="BL12" i="70"/>
  <c r="Z10" i="16"/>
  <c r="O28" i="55"/>
  <c r="I24" i="69"/>
  <c r="N24" i="69"/>
  <c r="I23" i="100"/>
  <c r="N23" i="100"/>
  <c r="C18" i="100"/>
  <c r="C43" i="100" s="1"/>
  <c r="N23" i="52"/>
  <c r="I23" i="52"/>
  <c r="C18" i="52"/>
  <c r="S22" i="16"/>
  <c r="S21" i="16" s="1"/>
  <c r="S21" i="37"/>
  <c r="BJ24" i="70"/>
  <c r="L26" i="48"/>
  <c r="L18" i="48" s="1"/>
  <c r="L43" i="48" s="1"/>
  <c r="M23" i="44"/>
  <c r="M92" i="44"/>
  <c r="I26" i="47"/>
  <c r="AG78" i="44"/>
  <c r="CD10" i="70"/>
  <c r="K19" i="95"/>
  <c r="P19" i="95" s="1"/>
  <c r="I19" i="56"/>
  <c r="E17" i="53"/>
  <c r="P17" i="53" s="1"/>
  <c r="X17" i="53" s="1"/>
  <c r="AF17" i="53" s="1"/>
  <c r="F15" i="37"/>
  <c r="F48" i="37" s="1"/>
  <c r="Y10" i="16"/>
  <c r="I19" i="100"/>
  <c r="T29" i="97"/>
  <c r="Z17" i="64"/>
  <c r="AH17" i="64" s="1"/>
  <c r="R15" i="100"/>
  <c r="G8" i="100"/>
  <c r="I15" i="100"/>
  <c r="AB92" i="44"/>
  <c r="AB23" i="44"/>
  <c r="BY23" i="70" s="1"/>
  <c r="BY24" i="70"/>
  <c r="L26" i="84"/>
  <c r="L18" i="84" s="1"/>
  <c r="L43" i="84" s="1"/>
  <c r="N19" i="16"/>
  <c r="U80" i="44"/>
  <c r="K26" i="72"/>
  <c r="P26" i="72" s="1"/>
  <c r="X26" i="72" s="1"/>
  <c r="BR12" i="70"/>
  <c r="BB12" i="70"/>
  <c r="E80" i="44"/>
  <c r="K26" i="41"/>
  <c r="P26" i="41" s="1"/>
  <c r="W100" i="70"/>
  <c r="W26" i="2"/>
  <c r="AL100" i="70"/>
  <c r="W17" i="56"/>
  <c r="AE17" i="56" s="1"/>
  <c r="R464" i="97"/>
  <c r="O10" i="96"/>
  <c r="I10" i="96"/>
  <c r="D8" i="96"/>
  <c r="D8" i="58"/>
  <c r="I10" i="58"/>
  <c r="O10" i="58"/>
  <c r="I8" i="16"/>
  <c r="AA7" i="16"/>
  <c r="AA5" i="37"/>
  <c r="N9" i="46"/>
  <c r="I9" i="46"/>
  <c r="C8" i="46"/>
  <c r="L6" i="16"/>
  <c r="L5" i="37"/>
  <c r="N17" i="99"/>
  <c r="L26" i="53"/>
  <c r="L18" i="53" s="1"/>
  <c r="L43" i="53" s="1"/>
  <c r="BE24" i="70"/>
  <c r="H92" i="44"/>
  <c r="H23" i="44"/>
  <c r="L10" i="16"/>
  <c r="AI29" i="97"/>
  <c r="Z17" i="96"/>
  <c r="AH17" i="96" s="1"/>
  <c r="AG22" i="16"/>
  <c r="AG21" i="16" s="1"/>
  <c r="AG21" i="37"/>
  <c r="CF24" i="70"/>
  <c r="AI23" i="44"/>
  <c r="CF23" i="70" s="1"/>
  <c r="L26" i="99"/>
  <c r="L18" i="99" s="1"/>
  <c r="L43" i="99" s="1"/>
  <c r="AI92" i="44"/>
  <c r="I22" i="85"/>
  <c r="Q22" i="85"/>
  <c r="I20" i="47"/>
  <c r="Q20" i="47"/>
  <c r="AC19" i="16"/>
  <c r="Q464" i="97"/>
  <c r="W17" i="55"/>
  <c r="AE17" i="55" s="1"/>
  <c r="I10" i="95"/>
  <c r="D8" i="95"/>
  <c r="O10" i="95"/>
  <c r="D8" i="56"/>
  <c r="O10" i="56"/>
  <c r="I10" i="56"/>
  <c r="O37" i="100"/>
  <c r="I37" i="100"/>
  <c r="O28" i="101"/>
  <c r="O28" i="48"/>
  <c r="N24" i="81"/>
  <c r="I24" i="81"/>
  <c r="H8" i="16"/>
  <c r="K15" i="37"/>
  <c r="K48" i="37" s="1"/>
  <c r="E17" i="48"/>
  <c r="P17" i="48" s="1"/>
  <c r="X17" i="48" s="1"/>
  <c r="AF17" i="48" s="1"/>
  <c r="N10" i="16"/>
  <c r="J19" i="16"/>
  <c r="W17" i="85"/>
  <c r="AE17" i="85" s="1"/>
  <c r="AD464" i="97"/>
  <c r="O28" i="96"/>
  <c r="N24" i="45"/>
  <c r="I24" i="45"/>
  <c r="AF22" i="16"/>
  <c r="AF21" i="16" s="1"/>
  <c r="X22" i="16"/>
  <c r="X21" i="16" s="1"/>
  <c r="X21" i="37"/>
  <c r="H22" i="16"/>
  <c r="H21" i="16" s="1"/>
  <c r="H21" i="37"/>
  <c r="I22" i="100"/>
  <c r="Q22" i="100"/>
  <c r="I22" i="69"/>
  <c r="Q22" i="69"/>
  <c r="Q20" i="72"/>
  <c r="I20" i="72"/>
  <c r="T19" i="16"/>
  <c r="D19" i="16"/>
  <c r="I26" i="50"/>
  <c r="AL98" i="2"/>
  <c r="O10" i="79"/>
  <c r="D8" i="79"/>
  <c r="I10" i="79"/>
  <c r="I24" i="79"/>
  <c r="N24" i="79"/>
  <c r="C8" i="49"/>
  <c r="N9" i="49"/>
  <c r="I9" i="49"/>
  <c r="Q20" i="50"/>
  <c r="I20" i="50"/>
  <c r="W7" i="16"/>
  <c r="W5" i="37"/>
  <c r="Z17" i="53"/>
  <c r="AH17" i="53" s="1"/>
  <c r="I29" i="97"/>
  <c r="I15" i="56"/>
  <c r="G8" i="56"/>
  <c r="R15" i="56"/>
  <c r="M11" i="60"/>
  <c r="Q20" i="84"/>
  <c r="I20" i="84"/>
  <c r="I26" i="82"/>
  <c r="I19" i="85"/>
  <c r="K19" i="48"/>
  <c r="M78" i="44"/>
  <c r="BJ10" i="70"/>
  <c r="AB26" i="2"/>
  <c r="AQ100" i="70"/>
  <c r="AB100" i="70"/>
  <c r="I10" i="46"/>
  <c r="O10" i="46"/>
  <c r="D8" i="46"/>
  <c r="O28" i="50"/>
  <c r="I23" i="55"/>
  <c r="N23" i="55"/>
  <c r="C18" i="55"/>
  <c r="D8" i="87"/>
  <c r="O10" i="87"/>
  <c r="I10" i="87"/>
  <c r="O28" i="82"/>
  <c r="AC8" i="16"/>
  <c r="O7" i="16"/>
  <c r="H15" i="37"/>
  <c r="E17" i="51"/>
  <c r="P17" i="51" s="1"/>
  <c r="X17" i="51" s="1"/>
  <c r="AF17" i="51" s="1"/>
  <c r="T8" i="16"/>
  <c r="V22" i="16"/>
  <c r="G18" i="85"/>
  <c r="R21" i="85"/>
  <c r="I21" i="85"/>
  <c r="Q22" i="95"/>
  <c r="I22" i="95"/>
  <c r="O28" i="81"/>
  <c r="I24" i="41"/>
  <c r="N24" i="41"/>
  <c r="AD7" i="16"/>
  <c r="AD5" i="37"/>
  <c r="O6" i="16"/>
  <c r="O5" i="37"/>
  <c r="W17" i="99"/>
  <c r="AE17" i="99" s="1"/>
  <c r="AJ464" i="97"/>
  <c r="N9" i="52"/>
  <c r="C8" i="52"/>
  <c r="I9" i="52"/>
  <c r="N17" i="47"/>
  <c r="Z17" i="84"/>
  <c r="AH17" i="84" s="1"/>
  <c r="AC29" i="97"/>
  <c r="I19" i="95"/>
  <c r="G8" i="79"/>
  <c r="R15" i="79"/>
  <c r="I15" i="79"/>
  <c r="G8" i="55"/>
  <c r="R15" i="55"/>
  <c r="I15" i="55"/>
  <c r="Z17" i="87"/>
  <c r="AH17" i="87" s="1"/>
  <c r="AE29" i="97"/>
  <c r="O29" i="97"/>
  <c r="Z17" i="47"/>
  <c r="AH17" i="47" s="1"/>
  <c r="AC22" i="16"/>
  <c r="W23" i="44"/>
  <c r="BT23" i="70" s="1"/>
  <c r="L26" i="77"/>
  <c r="L18" i="77" s="1"/>
  <c r="L43" i="77" s="1"/>
  <c r="W92" i="44"/>
  <c r="BT24" i="70"/>
  <c r="AG19" i="16"/>
  <c r="K26" i="90"/>
  <c r="P26" i="90" s="1"/>
  <c r="CC12" i="70"/>
  <c r="AF80" i="44"/>
  <c r="BX10" i="70"/>
  <c r="K19" i="83"/>
  <c r="AA78" i="44"/>
  <c r="I19" i="50"/>
  <c r="E17" i="58"/>
  <c r="P17" i="58" s="1"/>
  <c r="X17" i="58" s="1"/>
  <c r="AF17" i="58" s="1"/>
  <c r="P15" i="37"/>
  <c r="M464" i="97"/>
  <c r="W17" i="49"/>
  <c r="AE17" i="49" s="1"/>
  <c r="D8" i="48"/>
  <c r="I10" i="48"/>
  <c r="O10" i="48"/>
  <c r="O28" i="56"/>
  <c r="I24" i="72"/>
  <c r="N24" i="72"/>
  <c r="N23" i="87"/>
  <c r="I23" i="87"/>
  <c r="C18" i="87"/>
  <c r="C43" i="87" s="1"/>
  <c r="N23" i="47"/>
  <c r="I23" i="47"/>
  <c r="C18" i="47"/>
  <c r="N17" i="55"/>
  <c r="I26" i="54"/>
  <c r="O23" i="82"/>
  <c r="Z8" i="16"/>
  <c r="N17" i="45"/>
  <c r="AL464" i="97"/>
  <c r="W17" i="101"/>
  <c r="AE17" i="101" s="1"/>
  <c r="O23" i="49"/>
  <c r="Z17" i="48"/>
  <c r="AH17" i="48" s="1"/>
  <c r="N29" i="97"/>
  <c r="I15" i="87"/>
  <c r="G8" i="87"/>
  <c r="R15" i="87"/>
  <c r="G8" i="47"/>
  <c r="I15" i="47"/>
  <c r="R15" i="47"/>
  <c r="I22" i="79"/>
  <c r="Q22" i="79"/>
  <c r="I22" i="53"/>
  <c r="Q22" i="53"/>
  <c r="I20" i="81"/>
  <c r="Q20" i="81"/>
  <c r="R78" i="44"/>
  <c r="BO10" i="70"/>
  <c r="K19" i="58"/>
  <c r="W17" i="50"/>
  <c r="AE17" i="50" s="1"/>
  <c r="L464" i="97"/>
  <c r="I24" i="99"/>
  <c r="N24" i="99"/>
  <c r="N17" i="87"/>
  <c r="C8" i="55"/>
  <c r="N9" i="55"/>
  <c r="I9" i="55"/>
  <c r="O23" i="73"/>
  <c r="Z17" i="69"/>
  <c r="AH17" i="69" s="1"/>
  <c r="U29" i="97"/>
  <c r="AI21" i="37"/>
  <c r="AI22" i="16"/>
  <c r="AJ22" i="37"/>
  <c r="C22" i="16"/>
  <c r="I20" i="79"/>
  <c r="Q20" i="79"/>
  <c r="I26" i="87"/>
  <c r="BC12" i="70"/>
  <c r="K26" i="45"/>
  <c r="P26" i="45" s="1"/>
  <c r="F80" i="44"/>
  <c r="O28" i="88"/>
  <c r="O23" i="95"/>
  <c r="N24" i="50"/>
  <c r="I24" i="50"/>
  <c r="N17" i="83"/>
  <c r="K26" i="81"/>
  <c r="P26" i="81" s="1"/>
  <c r="Y80" i="44"/>
  <c r="BV12" i="70"/>
  <c r="CG10" i="70"/>
  <c r="AJ78" i="44"/>
  <c r="K19" i="100"/>
  <c r="O23" i="100"/>
  <c r="G8" i="69"/>
  <c r="R15" i="69"/>
  <c r="I15" i="69"/>
  <c r="CG24" i="70"/>
  <c r="AJ92" i="44"/>
  <c r="AJ23" i="44"/>
  <c r="CG23" i="70" s="1"/>
  <c r="L26" i="100"/>
  <c r="L18" i="100" s="1"/>
  <c r="L43" i="100" s="1"/>
  <c r="Q22" i="73"/>
  <c r="I22" i="73"/>
  <c r="I26" i="101"/>
  <c r="I19" i="79"/>
  <c r="O28" i="87"/>
  <c r="O28" i="45"/>
  <c r="Y8" i="16"/>
  <c r="N23" i="50"/>
  <c r="I23" i="50"/>
  <c r="C18" i="50"/>
  <c r="N17" i="85"/>
  <c r="N17" i="48"/>
  <c r="Q20" i="99"/>
  <c r="I20" i="99"/>
  <c r="D8" i="47"/>
  <c r="O10" i="47"/>
  <c r="I10" i="47"/>
  <c r="S29" i="97"/>
  <c r="Z17" i="58"/>
  <c r="AH17" i="58" s="1"/>
  <c r="G18" i="52"/>
  <c r="R21" i="52"/>
  <c r="I21" i="52"/>
  <c r="P23" i="41"/>
  <c r="X23" i="41" s="1"/>
  <c r="AF23" i="41" s="1"/>
  <c r="AM23" i="41" s="1"/>
  <c r="I19" i="77"/>
  <c r="I19" i="54"/>
  <c r="W17" i="53"/>
  <c r="AE17" i="53" s="1"/>
  <c r="I464" i="97"/>
  <c r="O10" i="16"/>
  <c r="O28" i="41"/>
  <c r="I24" i="56"/>
  <c r="N24" i="56"/>
  <c r="X8" i="16"/>
  <c r="I23" i="51"/>
  <c r="N23" i="51"/>
  <c r="C18" i="51"/>
  <c r="J7" i="16"/>
  <c r="O10" i="55"/>
  <c r="I10" i="55"/>
  <c r="D8" i="55"/>
  <c r="K6" i="16"/>
  <c r="K5" i="37"/>
  <c r="I19" i="49"/>
  <c r="I6" i="16"/>
  <c r="I5" i="37"/>
  <c r="G18" i="90"/>
  <c r="R21" i="90"/>
  <c r="I21" i="90"/>
  <c r="I19" i="47"/>
  <c r="E17" i="85"/>
  <c r="P17" i="85" s="1"/>
  <c r="X17" i="85" s="1"/>
  <c r="AF17" i="85" s="1"/>
  <c r="AA15" i="37"/>
  <c r="AF464" i="97"/>
  <c r="W17" i="88"/>
  <c r="AE17" i="88" s="1"/>
  <c r="O8" i="16"/>
  <c r="J6" i="16"/>
  <c r="J5" i="37"/>
  <c r="E8" i="16"/>
  <c r="AC11" i="60"/>
  <c r="I22" i="83"/>
  <c r="Q22" i="83"/>
  <c r="K19" i="16"/>
  <c r="AK78" i="44"/>
  <c r="K19" i="101"/>
  <c r="W17" i="87"/>
  <c r="AE17" i="87" s="1"/>
  <c r="AE464" i="97"/>
  <c r="M10" i="16"/>
  <c r="N23" i="90"/>
  <c r="I23" i="90"/>
  <c r="C18" i="90"/>
  <c r="C43" i="90" s="1"/>
  <c r="F8" i="16"/>
  <c r="O28" i="51"/>
  <c r="I23" i="88"/>
  <c r="N23" i="88"/>
  <c r="C18" i="88"/>
  <c r="K26" i="55"/>
  <c r="P26" i="55" s="1"/>
  <c r="BM12" i="70"/>
  <c r="P80" i="44"/>
  <c r="BL24" i="70"/>
  <c r="O23" i="44"/>
  <c r="BL23" i="70" s="1"/>
  <c r="O92" i="44"/>
  <c r="L26" i="46"/>
  <c r="L18" i="46" s="1"/>
  <c r="L43" i="46" s="1"/>
  <c r="AK464" i="97"/>
  <c r="W17" i="100"/>
  <c r="AE17" i="100" s="1"/>
  <c r="AH10" i="16"/>
  <c r="N24" i="49"/>
  <c r="I24" i="49"/>
  <c r="AF29" i="97"/>
  <c r="Z17" i="88"/>
  <c r="AH17" i="88" s="1"/>
  <c r="AF23" i="44"/>
  <c r="CC23" i="70" s="1"/>
  <c r="CC24" i="70"/>
  <c r="AF92" i="44"/>
  <c r="L26" i="90"/>
  <c r="L18" i="90" s="1"/>
  <c r="L43" i="90" s="1"/>
  <c r="M22" i="16"/>
  <c r="I22" i="52"/>
  <c r="Q22" i="52"/>
  <c r="Q20" i="82"/>
  <c r="I20" i="82"/>
  <c r="I26" i="55"/>
  <c r="I19" i="99"/>
  <c r="O10" i="85"/>
  <c r="I10" i="85"/>
  <c r="D8" i="85"/>
  <c r="K10" i="16"/>
  <c r="I37" i="90"/>
  <c r="O37" i="90"/>
  <c r="O28" i="52"/>
  <c r="D8" i="16"/>
  <c r="N17" i="53"/>
  <c r="E17" i="81"/>
  <c r="P17" i="81" s="1"/>
  <c r="X17" i="81" s="1"/>
  <c r="AF17" i="81" s="1"/>
  <c r="W15" i="37"/>
  <c r="I24" i="100"/>
  <c r="N24" i="100"/>
  <c r="N23" i="101"/>
  <c r="I23" i="101"/>
  <c r="C18" i="101"/>
  <c r="C43" i="101" s="1"/>
  <c r="K8" i="16"/>
  <c r="N17" i="54"/>
  <c r="O24" i="41"/>
  <c r="W24" i="41" s="1"/>
  <c r="AE24" i="41" s="1"/>
  <c r="AL24" i="41" s="1"/>
  <c r="I19" i="69"/>
  <c r="I37" i="52"/>
  <c r="O37" i="52"/>
  <c r="N17" i="52"/>
  <c r="F29" i="97"/>
  <c r="Z17" i="41"/>
  <c r="AH17" i="41" s="1"/>
  <c r="AH11" i="60"/>
  <c r="R11" i="60"/>
  <c r="CA24" i="70"/>
  <c r="AD92" i="44"/>
  <c r="AD23" i="44"/>
  <c r="CA23" i="70" s="1"/>
  <c r="L26" i="87"/>
  <c r="L18" i="87" s="1"/>
  <c r="L43" i="87" s="1"/>
  <c r="P19" i="16"/>
  <c r="I19" i="58"/>
  <c r="W17" i="83"/>
  <c r="AE17" i="83" s="1"/>
  <c r="AB464" i="97"/>
  <c r="I37" i="46"/>
  <c r="O37" i="46"/>
  <c r="N17" i="46"/>
  <c r="Q10" i="16"/>
  <c r="O28" i="77"/>
  <c r="R8" i="16"/>
  <c r="N6" i="16"/>
  <c r="N5" i="37"/>
  <c r="N24" i="90"/>
  <c r="I24" i="90"/>
  <c r="AK29" i="97"/>
  <c r="Z17" i="100"/>
  <c r="AH17" i="100" s="1"/>
  <c r="R15" i="72"/>
  <c r="I15" i="72"/>
  <c r="G8" i="72"/>
  <c r="R15" i="41"/>
  <c r="G8" i="41"/>
  <c r="I15" i="41"/>
  <c r="Y11" i="60"/>
  <c r="I20" i="90"/>
  <c r="Q20" i="90"/>
  <c r="K26" i="73"/>
  <c r="P26" i="73" s="1"/>
  <c r="V80" i="44"/>
  <c r="BS12" i="70"/>
  <c r="I26" i="45"/>
  <c r="Q78" i="44"/>
  <c r="K19" i="56"/>
  <c r="BN10" i="70"/>
  <c r="AD15" i="37"/>
  <c r="E17" i="90"/>
  <c r="P17" i="90" s="1"/>
  <c r="X17" i="90" s="1"/>
  <c r="AF17" i="90" s="1"/>
  <c r="Q22" i="96"/>
  <c r="I22" i="96"/>
  <c r="O37" i="95"/>
  <c r="I37" i="95"/>
  <c r="R22" i="16"/>
  <c r="Q24" i="41"/>
  <c r="I20" i="77"/>
  <c r="Q20" i="77"/>
  <c r="I20" i="54"/>
  <c r="Q20" i="54"/>
  <c r="I26" i="72"/>
  <c r="I19" i="53"/>
  <c r="O100" i="70"/>
  <c r="O26" i="2"/>
  <c r="J464" i="97"/>
  <c r="W17" i="52"/>
  <c r="AE17" i="52" s="1"/>
  <c r="O10" i="82"/>
  <c r="D8" i="82"/>
  <c r="I10" i="82"/>
  <c r="O37" i="85"/>
  <c r="I37" i="85"/>
  <c r="O23" i="79"/>
  <c r="O23" i="53"/>
  <c r="N24" i="58"/>
  <c r="I24" i="58"/>
  <c r="C8" i="54"/>
  <c r="I9" i="54"/>
  <c r="N9" i="54"/>
  <c r="D47" i="37"/>
  <c r="D6" i="16"/>
  <c r="D5" i="37"/>
  <c r="I22" i="82"/>
  <c r="Q22" i="82"/>
  <c r="R15" i="64"/>
  <c r="G8" i="64"/>
  <c r="I15" i="64"/>
  <c r="Q20" i="73"/>
  <c r="I20" i="73"/>
  <c r="M19" i="16"/>
  <c r="BQ12" i="70"/>
  <c r="K26" i="69"/>
  <c r="P26" i="69" s="1"/>
  <c r="T80" i="44"/>
  <c r="K19" i="77"/>
  <c r="W78" i="44"/>
  <c r="BT10" i="70"/>
  <c r="E17" i="47"/>
  <c r="P17" i="47" s="1"/>
  <c r="X17" i="47" s="1"/>
  <c r="AF17" i="47" s="1"/>
  <c r="L15" i="37"/>
  <c r="Y464" i="97"/>
  <c r="W17" i="79"/>
  <c r="AE17" i="79" s="1"/>
  <c r="O23" i="54"/>
  <c r="N17" i="49"/>
  <c r="O10" i="90"/>
  <c r="I10" i="90"/>
  <c r="D8" i="90"/>
  <c r="O28" i="84"/>
  <c r="I23" i="81"/>
  <c r="N23" i="81"/>
  <c r="C18" i="81"/>
  <c r="C43" i="81" s="1"/>
  <c r="AH19" i="16"/>
  <c r="BI10" i="70"/>
  <c r="K19" i="49"/>
  <c r="P19" i="49" s="1"/>
  <c r="L78" i="44"/>
  <c r="AE7" i="16"/>
  <c r="AE5" i="37"/>
  <c r="I22" i="84"/>
  <c r="Q22" i="84"/>
  <c r="I22" i="49"/>
  <c r="Q22" i="49"/>
  <c r="AA80" i="44"/>
  <c r="BX12" i="70"/>
  <c r="K26" i="83"/>
  <c r="P26" i="83" s="1"/>
  <c r="K80" i="44"/>
  <c r="BH12" i="70"/>
  <c r="K26" i="50"/>
  <c r="P26" i="50" s="1"/>
  <c r="BS10" i="70"/>
  <c r="K19" i="73"/>
  <c r="V78" i="44"/>
  <c r="V10" i="16"/>
  <c r="O23" i="87"/>
  <c r="O23" i="69"/>
  <c r="N23" i="54"/>
  <c r="I23" i="54"/>
  <c r="C18" i="54"/>
  <c r="Q6" i="16"/>
  <c r="Q5" i="37"/>
  <c r="G22" i="16"/>
  <c r="G21" i="16" s="1"/>
  <c r="I22" i="99"/>
  <c r="Q22" i="99"/>
  <c r="I26" i="58"/>
  <c r="I19" i="101"/>
  <c r="K19" i="72"/>
  <c r="BR10" i="70"/>
  <c r="U78" i="44"/>
  <c r="T100" i="70"/>
  <c r="T26" i="2"/>
  <c r="O37" i="82"/>
  <c r="I37" i="82"/>
  <c r="O28" i="99"/>
  <c r="O23" i="85"/>
  <c r="O23" i="41"/>
  <c r="N24" i="46"/>
  <c r="I24" i="46"/>
  <c r="V8" i="16"/>
  <c r="I23" i="53"/>
  <c r="N23" i="53"/>
  <c r="C18" i="53"/>
  <c r="N17" i="82"/>
  <c r="N17" i="56"/>
  <c r="L21" i="16" l="1"/>
  <c r="R21" i="87"/>
  <c r="R18" i="87" s="1"/>
  <c r="AE17" i="97" s="1"/>
  <c r="I21" i="82"/>
  <c r="R21" i="82"/>
  <c r="AC21" i="37"/>
  <c r="F21" i="37"/>
  <c r="I21" i="101"/>
  <c r="G18" i="101"/>
  <c r="G43" i="101" s="1"/>
  <c r="I21" i="88"/>
  <c r="R21" i="88"/>
  <c r="R18" i="88" s="1"/>
  <c r="AF17" i="97" s="1"/>
  <c r="R21" i="95"/>
  <c r="R18" i="95" s="1"/>
  <c r="AH17" i="97" s="1"/>
  <c r="L21" i="37"/>
  <c r="L43" i="37" s="1"/>
  <c r="I21" i="47"/>
  <c r="AN17" i="64"/>
  <c r="P18" i="60" s="1"/>
  <c r="P30" i="60" s="1"/>
  <c r="AN17" i="96"/>
  <c r="AE18" i="60" s="1"/>
  <c r="AE30" i="60" s="1"/>
  <c r="G18" i="47"/>
  <c r="G43" i="47" s="1"/>
  <c r="G21" i="37"/>
  <c r="G43" i="37" s="1"/>
  <c r="AF21" i="37"/>
  <c r="I21" i="95"/>
  <c r="R21" i="64"/>
  <c r="R18" i="64" s="1"/>
  <c r="T17" i="97" s="1"/>
  <c r="G18" i="96"/>
  <c r="G43" i="96" s="1"/>
  <c r="I21" i="81"/>
  <c r="G18" i="81"/>
  <c r="G43" i="81" s="1"/>
  <c r="W21" i="37"/>
  <c r="W43" i="37" s="1"/>
  <c r="AA21" i="37"/>
  <c r="W21" i="16"/>
  <c r="AA21" i="16"/>
  <c r="AC21" i="16"/>
  <c r="E21" i="37"/>
  <c r="E21" i="16"/>
  <c r="C21" i="37"/>
  <c r="C43" i="37" s="1"/>
  <c r="R21" i="84"/>
  <c r="R18" i="84" s="1"/>
  <c r="AC17" i="97" s="1"/>
  <c r="G18" i="84"/>
  <c r="G43" i="84" s="1"/>
  <c r="AN17" i="54"/>
  <c r="D18" i="60" s="1"/>
  <c r="D30" i="60" s="1"/>
  <c r="I21" i="37"/>
  <c r="I43" i="37" s="1"/>
  <c r="C21" i="16"/>
  <c r="M21" i="37"/>
  <c r="M43" i="37" s="1"/>
  <c r="Z21" i="37"/>
  <c r="Z43" i="37" s="1"/>
  <c r="Z21" i="16"/>
  <c r="AN17" i="73"/>
  <c r="S18" i="60" s="1"/>
  <c r="S30" i="60" s="1"/>
  <c r="R21" i="41"/>
  <c r="Z21" i="41" s="1"/>
  <c r="I21" i="77"/>
  <c r="G18" i="77"/>
  <c r="G43" i="77" s="1"/>
  <c r="Q26" i="51"/>
  <c r="AN17" i="52"/>
  <c r="F18" i="60" s="1"/>
  <c r="F30" i="60" s="1"/>
  <c r="R69" i="10"/>
  <c r="R18" i="10" s="1"/>
  <c r="O69" i="10"/>
  <c r="O18" i="10" s="1"/>
  <c r="AJ24" i="37"/>
  <c r="I21" i="53"/>
  <c r="G18" i="53"/>
  <c r="G43" i="53" s="1"/>
  <c r="AH69" i="10"/>
  <c r="AJ69" i="10" s="1"/>
  <c r="AH24" i="16"/>
  <c r="AH21" i="16" s="1"/>
  <c r="R21" i="37"/>
  <c r="R43" i="37" s="1"/>
  <c r="G18" i="87"/>
  <c r="G43" i="87" s="1"/>
  <c r="AD69" i="10"/>
  <c r="AD152" i="10" s="1"/>
  <c r="AN17" i="51"/>
  <c r="G18" i="60" s="1"/>
  <c r="G30" i="60" s="1"/>
  <c r="I21" i="64"/>
  <c r="Q26" i="88"/>
  <c r="AN17" i="77"/>
  <c r="T18" i="60" s="1"/>
  <c r="T30" i="60" s="1"/>
  <c r="R21" i="16"/>
  <c r="G18" i="41"/>
  <c r="G43" i="41" s="1"/>
  <c r="AN17" i="58"/>
  <c r="O18" i="60" s="1"/>
  <c r="O30" i="60" s="1"/>
  <c r="J21" i="37"/>
  <c r="J43" i="37" s="1"/>
  <c r="J21" i="16"/>
  <c r="AN17" i="84"/>
  <c r="Y18" i="60" s="1"/>
  <c r="Y30" i="60" s="1"/>
  <c r="I21" i="16"/>
  <c r="AN17" i="45"/>
  <c r="C18" i="60" s="1"/>
  <c r="C30" i="60" s="1"/>
  <c r="AN17" i="48"/>
  <c r="J18" i="60" s="1"/>
  <c r="J30" i="60" s="1"/>
  <c r="AN17" i="50"/>
  <c r="H18" i="60" s="1"/>
  <c r="H30" i="60" s="1"/>
  <c r="I21" i="55"/>
  <c r="R21" i="50"/>
  <c r="Z21" i="50" s="1"/>
  <c r="G18" i="55"/>
  <c r="G43" i="55" s="1"/>
  <c r="I21" i="50"/>
  <c r="I21" i="99"/>
  <c r="R21" i="99"/>
  <c r="Z21" i="99" s="1"/>
  <c r="AA69" i="10"/>
  <c r="AA18" i="10" s="1"/>
  <c r="AN17" i="87"/>
  <c r="AA18" i="60" s="1"/>
  <c r="AA30" i="60" s="1"/>
  <c r="I21" i="73"/>
  <c r="AN17" i="55"/>
  <c r="M18" i="60" s="1"/>
  <c r="M30" i="60" s="1"/>
  <c r="AN17" i="72"/>
  <c r="R18" i="60" s="1"/>
  <c r="R30" i="60" s="1"/>
  <c r="G43" i="54"/>
  <c r="AC69" i="10"/>
  <c r="AC152" i="10" s="1"/>
  <c r="J69" i="10"/>
  <c r="J152" i="10" s="1"/>
  <c r="AG69" i="10"/>
  <c r="AG18" i="10" s="1"/>
  <c r="I21" i="45"/>
  <c r="G18" i="45"/>
  <c r="G43" i="45" s="1"/>
  <c r="W69" i="10"/>
  <c r="W152" i="10" s="1"/>
  <c r="R21" i="49"/>
  <c r="Z21" i="49" s="1"/>
  <c r="Q26" i="96"/>
  <c r="AN17" i="82"/>
  <c r="W18" i="60" s="1"/>
  <c r="W30" i="60" s="1"/>
  <c r="AN17" i="79"/>
  <c r="U18" i="60" s="1"/>
  <c r="U30" i="60" s="1"/>
  <c r="G18" i="73"/>
  <c r="G43" i="73" s="1"/>
  <c r="AN17" i="46"/>
  <c r="L18" i="60" s="1"/>
  <c r="L30" i="60" s="1"/>
  <c r="AE21" i="37"/>
  <c r="AE21" i="16"/>
  <c r="AE69" i="10"/>
  <c r="AE152" i="10" s="1"/>
  <c r="AE5" i="16"/>
  <c r="AN17" i="47"/>
  <c r="K18" i="60" s="1"/>
  <c r="K30" i="60" s="1"/>
  <c r="Q26" i="73"/>
  <c r="V21" i="37"/>
  <c r="V43" i="37" s="1"/>
  <c r="U5" i="16"/>
  <c r="V21" i="16"/>
  <c r="F69" i="10"/>
  <c r="F18" i="10" s="1"/>
  <c r="Y69" i="10"/>
  <c r="Y18" i="10" s="1"/>
  <c r="AA5" i="16"/>
  <c r="G43" i="88"/>
  <c r="Y28" i="41"/>
  <c r="AG28" i="41" s="1"/>
  <c r="AN28" i="41" s="1"/>
  <c r="B17" i="60" s="1"/>
  <c r="B29" i="60" s="1"/>
  <c r="Y24" i="41"/>
  <c r="AG24" i="41" s="1"/>
  <c r="AN24" i="41" s="1"/>
  <c r="B19" i="60" s="1"/>
  <c r="B31" i="60" s="1"/>
  <c r="Y17" i="41"/>
  <c r="AG17" i="41" s="1"/>
  <c r="AN17" i="41" s="1"/>
  <c r="B18" i="60" s="1"/>
  <c r="B30" i="60" s="1"/>
  <c r="I14" i="16"/>
  <c r="G18" i="69"/>
  <c r="G43" i="69" s="1"/>
  <c r="I17" i="52"/>
  <c r="I17" i="72"/>
  <c r="I21" i="46"/>
  <c r="I17" i="56"/>
  <c r="I17" i="55"/>
  <c r="I21" i="69"/>
  <c r="O21" i="16"/>
  <c r="I17" i="82"/>
  <c r="Q26" i="55"/>
  <c r="I17" i="79"/>
  <c r="I17" i="95"/>
  <c r="I21" i="49"/>
  <c r="R21" i="56"/>
  <c r="R18" i="56" s="1"/>
  <c r="R17" i="97" s="1"/>
  <c r="G43" i="52"/>
  <c r="G43" i="50"/>
  <c r="G18" i="46"/>
  <c r="G43" i="46" s="1"/>
  <c r="I17" i="96"/>
  <c r="G18" i="56"/>
  <c r="G43" i="56" s="1"/>
  <c r="G43" i="85"/>
  <c r="AL108" i="2"/>
  <c r="AC14" i="16"/>
  <c r="Q26" i="69"/>
  <c r="M21" i="16"/>
  <c r="AL116" i="2"/>
  <c r="Q26" i="85"/>
  <c r="AL112" i="2"/>
  <c r="V14" i="16"/>
  <c r="C14" i="16"/>
  <c r="Q14" i="16"/>
  <c r="I17" i="53"/>
  <c r="G43" i="48"/>
  <c r="I17" i="48"/>
  <c r="E14" i="16"/>
  <c r="K14" i="16"/>
  <c r="U14" i="16"/>
  <c r="O21" i="37"/>
  <c r="O43" i="37" s="1"/>
  <c r="D14" i="16"/>
  <c r="Q26" i="79"/>
  <c r="Q26" i="56"/>
  <c r="Q26" i="47"/>
  <c r="Q26" i="82"/>
  <c r="AF5" i="16"/>
  <c r="G43" i="82"/>
  <c r="Q26" i="50"/>
  <c r="Q26" i="64"/>
  <c r="G43" i="90"/>
  <c r="I17" i="50"/>
  <c r="AB14" i="16"/>
  <c r="M14" i="16"/>
  <c r="Q26" i="41"/>
  <c r="H14" i="16"/>
  <c r="J14" i="16"/>
  <c r="O14" i="16"/>
  <c r="AD14" i="16"/>
  <c r="S14" i="16"/>
  <c r="G43" i="99"/>
  <c r="Q26" i="54"/>
  <c r="K109" i="2"/>
  <c r="K108" i="2" s="1"/>
  <c r="BZ7" i="70"/>
  <c r="K11" i="85"/>
  <c r="K8" i="85" s="1"/>
  <c r="AC75" i="44"/>
  <c r="BQ7" i="70"/>
  <c r="T75" i="44"/>
  <c r="K11" i="69"/>
  <c r="K8" i="69" s="1"/>
  <c r="T12" i="85"/>
  <c r="X12" i="85"/>
  <c r="CF7" i="70"/>
  <c r="AI75" i="44"/>
  <c r="K11" i="99"/>
  <c r="K8" i="99" s="1"/>
  <c r="T12" i="83"/>
  <c r="X12" i="83"/>
  <c r="CE7" i="70"/>
  <c r="AH75" i="44"/>
  <c r="K11" i="96"/>
  <c r="K8" i="96" s="1"/>
  <c r="N75" i="44"/>
  <c r="BK7" i="70"/>
  <c r="K11" i="47"/>
  <c r="K8" i="47" s="1"/>
  <c r="Y75" i="44"/>
  <c r="BV7" i="70"/>
  <c r="K11" i="81"/>
  <c r="K8" i="81" s="1"/>
  <c r="AC135" i="2"/>
  <c r="AR29" i="70"/>
  <c r="E25" i="85"/>
  <c r="I25" i="85" s="1"/>
  <c r="AC29" i="70"/>
  <c r="X12" i="95"/>
  <c r="T12" i="95"/>
  <c r="E8" i="95"/>
  <c r="I8" i="95" s="1"/>
  <c r="I11" i="95"/>
  <c r="AG135" i="2"/>
  <c r="AG29" i="70"/>
  <c r="E25" i="95"/>
  <c r="I25" i="95" s="1"/>
  <c r="AV29" i="70"/>
  <c r="X12" i="90"/>
  <c r="T12" i="90"/>
  <c r="I11" i="77"/>
  <c r="E8" i="77"/>
  <c r="I8" i="77" s="1"/>
  <c r="G43" i="49"/>
  <c r="E8" i="69"/>
  <c r="I8" i="69" s="1"/>
  <c r="I11" i="69"/>
  <c r="I11" i="54"/>
  <c r="E8" i="54"/>
  <c r="I8" i="54" s="1"/>
  <c r="I25" i="41"/>
  <c r="T12" i="77"/>
  <c r="X12" i="77"/>
  <c r="AI14" i="16"/>
  <c r="X12" i="81"/>
  <c r="T12" i="81"/>
  <c r="I11" i="96"/>
  <c r="E8" i="96"/>
  <c r="I8" i="96" s="1"/>
  <c r="L14" i="16"/>
  <c r="X12" i="50"/>
  <c r="T12" i="50"/>
  <c r="X12" i="73"/>
  <c r="T12" i="73"/>
  <c r="AH135" i="2"/>
  <c r="AW29" i="70"/>
  <c r="AH29" i="70"/>
  <c r="E25" i="96"/>
  <c r="I25" i="96" s="1"/>
  <c r="X12" i="46"/>
  <c r="T12" i="46"/>
  <c r="K11" i="90"/>
  <c r="K8" i="90" s="1"/>
  <c r="CC7" i="70"/>
  <c r="AF75" i="44"/>
  <c r="I11" i="88"/>
  <c r="E8" i="88"/>
  <c r="I8" i="88" s="1"/>
  <c r="CD7" i="70"/>
  <c r="AG75" i="44"/>
  <c r="K11" i="95"/>
  <c r="K8" i="95" s="1"/>
  <c r="I11" i="48"/>
  <c r="E8" i="48"/>
  <c r="I8" i="48" s="1"/>
  <c r="I117" i="2"/>
  <c r="I116" i="2" s="1"/>
  <c r="I113" i="2"/>
  <c r="I112" i="2" s="1"/>
  <c r="Q26" i="58"/>
  <c r="Q26" i="72"/>
  <c r="Q75" i="44"/>
  <c r="BN7" i="70"/>
  <c r="K11" i="56"/>
  <c r="K8" i="56" s="1"/>
  <c r="AB135" i="2"/>
  <c r="E25" i="84"/>
  <c r="I25" i="84" s="1"/>
  <c r="AQ29" i="70"/>
  <c r="AB29" i="70"/>
  <c r="I11" i="55"/>
  <c r="E8" i="55"/>
  <c r="I8" i="55" s="1"/>
  <c r="AE135" i="2"/>
  <c r="AE29" i="70"/>
  <c r="AT29" i="70"/>
  <c r="E25" i="88"/>
  <c r="I25" i="88" s="1"/>
  <c r="I11" i="82"/>
  <c r="E8" i="82"/>
  <c r="I8" i="82" s="1"/>
  <c r="AK75" i="44"/>
  <c r="K11" i="101"/>
  <c r="K8" i="101" s="1"/>
  <c r="P14" i="16"/>
  <c r="I11" i="47"/>
  <c r="E8" i="47"/>
  <c r="I8" i="47" s="1"/>
  <c r="AF135" i="2"/>
  <c r="AF29" i="70"/>
  <c r="E25" i="90"/>
  <c r="I25" i="90" s="1"/>
  <c r="AU29" i="70"/>
  <c r="E8" i="90"/>
  <c r="I8" i="90" s="1"/>
  <c r="I11" i="90"/>
  <c r="X12" i="49"/>
  <c r="T12" i="49"/>
  <c r="AK135" i="2"/>
  <c r="AL30" i="2"/>
  <c r="E25" i="101"/>
  <c r="Z135" i="2"/>
  <c r="AO29" i="70"/>
  <c r="E25" i="82"/>
  <c r="I25" i="82" s="1"/>
  <c r="Z29" i="70"/>
  <c r="I11" i="84"/>
  <c r="E8" i="84"/>
  <c r="I8" i="84" s="1"/>
  <c r="K11" i="88"/>
  <c r="K8" i="88" s="1"/>
  <c r="CB7" i="70"/>
  <c r="AE75" i="44"/>
  <c r="X12" i="64"/>
  <c r="T12" i="64"/>
  <c r="X12" i="48"/>
  <c r="T12" i="48"/>
  <c r="M75" i="44"/>
  <c r="K11" i="48"/>
  <c r="K8" i="48" s="1"/>
  <c r="BJ7" i="70"/>
  <c r="S75" i="44"/>
  <c r="BP7" i="70"/>
  <c r="K11" i="64"/>
  <c r="K8" i="64" s="1"/>
  <c r="I11" i="53"/>
  <c r="E8" i="53"/>
  <c r="I8" i="53" s="1"/>
  <c r="T12" i="72"/>
  <c r="X12" i="72"/>
  <c r="BM7" i="70"/>
  <c r="K11" i="55"/>
  <c r="K8" i="55" s="1"/>
  <c r="P75" i="44"/>
  <c r="X12" i="58"/>
  <c r="T12" i="58"/>
  <c r="X12" i="101"/>
  <c r="T12" i="101"/>
  <c r="E8" i="73"/>
  <c r="I8" i="73" s="1"/>
  <c r="I11" i="73"/>
  <c r="K11" i="82"/>
  <c r="K8" i="82" s="1"/>
  <c r="Z75" i="44"/>
  <c r="BW7" i="70"/>
  <c r="T12" i="52"/>
  <c r="X12" i="52"/>
  <c r="T12" i="55"/>
  <c r="X12" i="55"/>
  <c r="K11" i="58"/>
  <c r="K8" i="58" s="1"/>
  <c r="R75" i="44"/>
  <c r="BO7" i="70"/>
  <c r="I11" i="46"/>
  <c r="E8" i="46"/>
  <c r="I8" i="46" s="1"/>
  <c r="X12" i="82"/>
  <c r="T12" i="82"/>
  <c r="X12" i="45"/>
  <c r="T12" i="45"/>
  <c r="AB75" i="44"/>
  <c r="K11" i="84"/>
  <c r="K8" i="84" s="1"/>
  <c r="BY7" i="70"/>
  <c r="T12" i="84"/>
  <c r="X12" i="84"/>
  <c r="I11" i="64"/>
  <c r="E8" i="64"/>
  <c r="I8" i="64" s="1"/>
  <c r="L117" i="2"/>
  <c r="L116" i="2" s="1"/>
  <c r="F14" i="16"/>
  <c r="I11" i="56"/>
  <c r="E8" i="56"/>
  <c r="I8" i="56" s="1"/>
  <c r="N14" i="16"/>
  <c r="T12" i="96"/>
  <c r="X12" i="96"/>
  <c r="X12" i="53"/>
  <c r="T12" i="53"/>
  <c r="K11" i="87"/>
  <c r="K8" i="87" s="1"/>
  <c r="AD75" i="44"/>
  <c r="CA7" i="70"/>
  <c r="T14" i="16"/>
  <c r="AJ135" i="2"/>
  <c r="AY29" i="70"/>
  <c r="AJ29" i="70"/>
  <c r="E25" i="100"/>
  <c r="I25" i="100" s="1"/>
  <c r="X14" i="16"/>
  <c r="I11" i="58"/>
  <c r="E8" i="58"/>
  <c r="I8" i="58" s="1"/>
  <c r="J75" i="44"/>
  <c r="K11" i="51"/>
  <c r="K8" i="51" s="1"/>
  <c r="BG7" i="70"/>
  <c r="Y135" i="2"/>
  <c r="E25" i="81"/>
  <c r="I25" i="81" s="1"/>
  <c r="Y29" i="70"/>
  <c r="AN29" i="70"/>
  <c r="Z14" i="16"/>
  <c r="BX7" i="70"/>
  <c r="K11" i="83"/>
  <c r="K8" i="83" s="1"/>
  <c r="AA75" i="44"/>
  <c r="X12" i="41"/>
  <c r="T12" i="41"/>
  <c r="L113" i="2"/>
  <c r="L112" i="2" s="1"/>
  <c r="I17" i="83"/>
  <c r="T12" i="54"/>
  <c r="X12" i="54"/>
  <c r="K11" i="53"/>
  <c r="K8" i="53" s="1"/>
  <c r="BE7" i="70"/>
  <c r="H75" i="44"/>
  <c r="AJ7" i="44"/>
  <c r="E11" i="100"/>
  <c r="E8" i="87"/>
  <c r="I8" i="87" s="1"/>
  <c r="I11" i="87"/>
  <c r="BH7" i="70"/>
  <c r="K11" i="50"/>
  <c r="K8" i="50" s="1"/>
  <c r="K75" i="44"/>
  <c r="X12" i="56"/>
  <c r="T12" i="56"/>
  <c r="BS7" i="70"/>
  <c r="K11" i="73"/>
  <c r="K8" i="73" s="1"/>
  <c r="V75" i="44"/>
  <c r="AL92" i="2"/>
  <c r="AJ24" i="2"/>
  <c r="K11" i="46"/>
  <c r="K8" i="46" s="1"/>
  <c r="BL7" i="70"/>
  <c r="O75" i="44"/>
  <c r="I11" i="52"/>
  <c r="E8" i="52"/>
  <c r="I8" i="52" s="1"/>
  <c r="K11" i="72"/>
  <c r="K8" i="72" s="1"/>
  <c r="U75" i="44"/>
  <c r="BR7" i="70"/>
  <c r="E8" i="51"/>
  <c r="I8" i="51" s="1"/>
  <c r="I11" i="51"/>
  <c r="X12" i="69"/>
  <c r="T12" i="69"/>
  <c r="X12" i="79"/>
  <c r="T12" i="79"/>
  <c r="E8" i="41"/>
  <c r="I8" i="41" s="1"/>
  <c r="I11" i="41"/>
  <c r="L75" i="44"/>
  <c r="K11" i="49"/>
  <c r="K8" i="49" s="1"/>
  <c r="BI7" i="70"/>
  <c r="Y14" i="16"/>
  <c r="I11" i="79"/>
  <c r="E8" i="79"/>
  <c r="I8" i="79" s="1"/>
  <c r="L109" i="2"/>
  <c r="L108" i="2" s="1"/>
  <c r="K117" i="2"/>
  <c r="K116" i="2" s="1"/>
  <c r="I11" i="85"/>
  <c r="E8" i="85"/>
  <c r="I8" i="85" s="1"/>
  <c r="K11" i="45"/>
  <c r="K8" i="45" s="1"/>
  <c r="F75" i="44"/>
  <c r="BC7" i="70"/>
  <c r="AG14" i="16"/>
  <c r="T12" i="87"/>
  <c r="X12" i="87"/>
  <c r="I75" i="44"/>
  <c r="BF7" i="70"/>
  <c r="K11" i="52"/>
  <c r="K8" i="52" s="1"/>
  <c r="W14" i="16"/>
  <c r="X12" i="47"/>
  <c r="T12" i="47"/>
  <c r="X12" i="99"/>
  <c r="T12" i="99"/>
  <c r="E8" i="72"/>
  <c r="I8" i="72" s="1"/>
  <c r="I11" i="72"/>
  <c r="E75" i="44"/>
  <c r="BB7" i="70"/>
  <c r="K11" i="41"/>
  <c r="K8" i="41" s="1"/>
  <c r="I11" i="49"/>
  <c r="E8" i="49"/>
  <c r="I8" i="49" s="1"/>
  <c r="I11" i="83"/>
  <c r="E8" i="83"/>
  <c r="I8" i="83" s="1"/>
  <c r="BU7" i="70"/>
  <c r="K11" i="79"/>
  <c r="K8" i="79" s="1"/>
  <c r="X75" i="44"/>
  <c r="T12" i="88"/>
  <c r="X12" i="88"/>
  <c r="AA14" i="16"/>
  <c r="I11" i="45"/>
  <c r="E8" i="45"/>
  <c r="I8" i="45" s="1"/>
  <c r="R14" i="16"/>
  <c r="K11" i="54"/>
  <c r="K8" i="54" s="1"/>
  <c r="BD7" i="70"/>
  <c r="G75" i="44"/>
  <c r="I11" i="99"/>
  <c r="E8" i="99"/>
  <c r="I8" i="99" s="1"/>
  <c r="I11" i="50"/>
  <c r="E8" i="50"/>
  <c r="I8" i="50" s="1"/>
  <c r="I11" i="101"/>
  <c r="E8" i="101"/>
  <c r="I8" i="101" s="1"/>
  <c r="AF14" i="16"/>
  <c r="G14" i="16"/>
  <c r="I11" i="81"/>
  <c r="E8" i="81"/>
  <c r="I8" i="81" s="1"/>
  <c r="T12" i="51"/>
  <c r="X12" i="51"/>
  <c r="AE14" i="16"/>
  <c r="W75" i="44"/>
  <c r="BT7" i="70"/>
  <c r="K11" i="77"/>
  <c r="K8" i="77" s="1"/>
  <c r="AD135" i="2"/>
  <c r="AD29" i="70"/>
  <c r="AS29" i="70"/>
  <c r="E25" i="87"/>
  <c r="I25" i="87" s="1"/>
  <c r="F68" i="37"/>
  <c r="X68" i="37"/>
  <c r="W37" i="100"/>
  <c r="G91" i="44"/>
  <c r="G119" i="44"/>
  <c r="V17" i="96"/>
  <c r="AI495" i="97"/>
  <c r="T17" i="96"/>
  <c r="W37" i="51"/>
  <c r="V23" i="46"/>
  <c r="T23" i="46"/>
  <c r="N18" i="46"/>
  <c r="X26" i="99"/>
  <c r="T15" i="82"/>
  <c r="Z15" i="82"/>
  <c r="R8" i="82"/>
  <c r="X26" i="49"/>
  <c r="Y22" i="48"/>
  <c r="T22" i="48"/>
  <c r="AM17" i="99"/>
  <c r="AG68" i="10"/>
  <c r="K68" i="37"/>
  <c r="Y20" i="46"/>
  <c r="T20" i="46"/>
  <c r="R18" i="51"/>
  <c r="K17" i="97" s="1"/>
  <c r="Z21" i="51"/>
  <c r="X26" i="47"/>
  <c r="T20" i="53"/>
  <c r="Y20" i="53"/>
  <c r="Y20" i="56"/>
  <c r="T20" i="56"/>
  <c r="T68" i="37"/>
  <c r="P67" i="37"/>
  <c r="P51" i="37"/>
  <c r="AM17" i="82"/>
  <c r="X68" i="10"/>
  <c r="AO17" i="77"/>
  <c r="U70" i="10"/>
  <c r="AI51" i="37"/>
  <c r="AI67" i="37"/>
  <c r="AE67" i="37"/>
  <c r="AE51" i="37"/>
  <c r="K119" i="44"/>
  <c r="K91" i="44"/>
  <c r="Z15" i="83"/>
  <c r="R8" i="83"/>
  <c r="T15" i="83"/>
  <c r="V495" i="97"/>
  <c r="V17" i="72"/>
  <c r="T17" i="72"/>
  <c r="AD808" i="97"/>
  <c r="AC107" i="44"/>
  <c r="AC136" i="44" s="1"/>
  <c r="Y22" i="77"/>
  <c r="T22" i="77"/>
  <c r="AH495" i="97"/>
  <c r="T17" i="95"/>
  <c r="V17" i="95"/>
  <c r="E18" i="10"/>
  <c r="E152" i="10"/>
  <c r="V24" i="83"/>
  <c r="T24" i="83"/>
  <c r="Y22" i="88"/>
  <c r="T22" i="88"/>
  <c r="W28" i="90"/>
  <c r="AI70" i="10"/>
  <c r="AO17" i="101"/>
  <c r="I17" i="73"/>
  <c r="O8" i="69"/>
  <c r="T10" i="69"/>
  <c r="W10" i="69"/>
  <c r="S105" i="44"/>
  <c r="S134" i="44" s="1"/>
  <c r="T904" i="97"/>
  <c r="AE91" i="44"/>
  <c r="AE119" i="44"/>
  <c r="Q26" i="90"/>
  <c r="W37" i="72"/>
  <c r="Y20" i="55"/>
  <c r="T20" i="55"/>
  <c r="K43" i="37"/>
  <c r="AA70" i="10"/>
  <c r="AO17" i="85"/>
  <c r="X26" i="54"/>
  <c r="E105" i="44"/>
  <c r="E134" i="44" s="1"/>
  <c r="F904" i="97"/>
  <c r="X26" i="96"/>
  <c r="Q26" i="81"/>
  <c r="W23" i="47"/>
  <c r="R119" i="44"/>
  <c r="R91" i="44"/>
  <c r="O70" i="10"/>
  <c r="AO17" i="56"/>
  <c r="R39" i="37"/>
  <c r="AL17" i="77"/>
  <c r="U67" i="10"/>
  <c r="W51" i="37"/>
  <c r="W67" i="37"/>
  <c r="Q26" i="99"/>
  <c r="V24" i="51"/>
  <c r="T24" i="51"/>
  <c r="P67" i="10"/>
  <c r="AL17" i="58"/>
  <c r="AF808" i="97"/>
  <c r="AE107" i="44"/>
  <c r="Y22" i="51"/>
  <c r="T22" i="51"/>
  <c r="V23" i="48"/>
  <c r="T23" i="48"/>
  <c r="N18" i="48"/>
  <c r="G68" i="10"/>
  <c r="AM17" i="52"/>
  <c r="F43" i="37"/>
  <c r="T495" i="97"/>
  <c r="V17" i="64"/>
  <c r="T17" i="64"/>
  <c r="W37" i="84"/>
  <c r="H904" i="97"/>
  <c r="G105" i="44"/>
  <c r="AM17" i="50"/>
  <c r="I68" i="10"/>
  <c r="X26" i="101"/>
  <c r="V23" i="84"/>
  <c r="T23" i="84"/>
  <c r="N18" i="84"/>
  <c r="N43" i="84" s="1"/>
  <c r="W23" i="50"/>
  <c r="T67" i="10"/>
  <c r="AL17" i="73"/>
  <c r="T15" i="52"/>
  <c r="R8" i="52"/>
  <c r="Z15" i="52"/>
  <c r="AO17" i="79"/>
  <c r="V70" i="10"/>
  <c r="AG70" i="10"/>
  <c r="AO17" i="99"/>
  <c r="W37" i="73"/>
  <c r="Y22" i="54"/>
  <c r="T22" i="54"/>
  <c r="O8" i="100"/>
  <c r="W10" i="100"/>
  <c r="T10" i="100"/>
  <c r="P5" i="16"/>
  <c r="T10" i="72"/>
  <c r="O8" i="72"/>
  <c r="W10" i="72"/>
  <c r="R18" i="48"/>
  <c r="N17" i="97" s="1"/>
  <c r="Z21" i="48"/>
  <c r="X26" i="87"/>
  <c r="R8" i="101"/>
  <c r="T15" i="101"/>
  <c r="Z15" i="101"/>
  <c r="E17" i="100"/>
  <c r="AH15" i="37"/>
  <c r="AG91" i="44"/>
  <c r="AG119" i="44"/>
  <c r="AO17" i="90"/>
  <c r="AD70" i="10"/>
  <c r="W37" i="64"/>
  <c r="V23" i="58"/>
  <c r="T23" i="58"/>
  <c r="N18" i="58"/>
  <c r="T23" i="99"/>
  <c r="V23" i="99"/>
  <c r="N18" i="99"/>
  <c r="N43" i="99" s="1"/>
  <c r="X26" i="85"/>
  <c r="Y70" i="10"/>
  <c r="AO17" i="83"/>
  <c r="C43" i="53"/>
  <c r="W23" i="51"/>
  <c r="T23" i="73"/>
  <c r="V23" i="73"/>
  <c r="N18" i="73"/>
  <c r="T23" i="79"/>
  <c r="V23" i="79"/>
  <c r="N18" i="79"/>
  <c r="N43" i="79" s="1"/>
  <c r="W23" i="101"/>
  <c r="T20" i="69"/>
  <c r="Y20" i="69"/>
  <c r="L495" i="97"/>
  <c r="V17" i="50"/>
  <c r="T17" i="50"/>
  <c r="T808" i="97"/>
  <c r="S107" i="44"/>
  <c r="S136" i="44" s="1"/>
  <c r="Z15" i="58"/>
  <c r="R8" i="58"/>
  <c r="T15" i="58"/>
  <c r="AL17" i="72"/>
  <c r="S67" i="10"/>
  <c r="V24" i="96"/>
  <c r="T24" i="96"/>
  <c r="AC68" i="10"/>
  <c r="AM17" i="88"/>
  <c r="C39" i="37"/>
  <c r="W23" i="81"/>
  <c r="Q26" i="87"/>
  <c r="W495" i="97"/>
  <c r="V17" i="73"/>
  <c r="T17" i="73"/>
  <c r="T20" i="96"/>
  <c r="Y20" i="96"/>
  <c r="W37" i="56"/>
  <c r="H808" i="97"/>
  <c r="G107" i="44"/>
  <c r="X39" i="37"/>
  <c r="T10" i="54"/>
  <c r="W10" i="54"/>
  <c r="O8" i="54"/>
  <c r="AH107" i="44"/>
  <c r="AH136" i="44" s="1"/>
  <c r="AI808" i="97"/>
  <c r="W37" i="99"/>
  <c r="R5" i="16"/>
  <c r="W23" i="77"/>
  <c r="E39" i="37"/>
  <c r="E17" i="54"/>
  <c r="E15" i="37"/>
  <c r="Q26" i="84"/>
  <c r="AF67" i="10"/>
  <c r="AL17" i="96"/>
  <c r="I105" i="44"/>
  <c r="I134" i="44" s="1"/>
  <c r="J904" i="97"/>
  <c r="AO17" i="49"/>
  <c r="J70" i="10"/>
  <c r="AB5" i="16"/>
  <c r="T20" i="52"/>
  <c r="Y20" i="52"/>
  <c r="AO17" i="72"/>
  <c r="S70" i="10"/>
  <c r="H39" i="37"/>
  <c r="W23" i="83"/>
  <c r="X26" i="53"/>
  <c r="Z21" i="101"/>
  <c r="R18" i="101"/>
  <c r="AL17" i="97" s="1"/>
  <c r="X26" i="100"/>
  <c r="I48" i="37"/>
  <c r="I15" i="16"/>
  <c r="F495" i="97"/>
  <c r="V17" i="41"/>
  <c r="AK107" i="44"/>
  <c r="AL808" i="97"/>
  <c r="C12" i="33"/>
  <c r="Z21" i="83"/>
  <c r="R18" i="83"/>
  <c r="AB17" i="97" s="1"/>
  <c r="W23" i="58"/>
  <c r="S808" i="97"/>
  <c r="R107" i="44"/>
  <c r="R136" i="44" s="1"/>
  <c r="G904" i="97"/>
  <c r="F105" i="44"/>
  <c r="J119" i="44"/>
  <c r="J91" i="44"/>
  <c r="V17" i="87"/>
  <c r="AE495" i="97"/>
  <c r="S904" i="97"/>
  <c r="R105" i="44"/>
  <c r="R134" i="44" s="1"/>
  <c r="W23" i="82"/>
  <c r="I17" i="47"/>
  <c r="C43" i="46"/>
  <c r="F107" i="44"/>
  <c r="F136" i="44" s="1"/>
  <c r="G808" i="97"/>
  <c r="T24" i="99"/>
  <c r="V24" i="99"/>
  <c r="W10" i="79"/>
  <c r="T10" i="79"/>
  <c r="O8" i="79"/>
  <c r="AF70" i="10"/>
  <c r="AO17" i="96"/>
  <c r="W10" i="58"/>
  <c r="O8" i="58"/>
  <c r="T10" i="58"/>
  <c r="L904" i="97"/>
  <c r="K105" i="44"/>
  <c r="K134" i="44" s="1"/>
  <c r="T15" i="88"/>
  <c r="R8" i="88"/>
  <c r="Z15" i="88"/>
  <c r="V23" i="85"/>
  <c r="T23" i="85"/>
  <c r="N18" i="85"/>
  <c r="N43" i="85" s="1"/>
  <c r="V23" i="77"/>
  <c r="T23" i="77"/>
  <c r="N18" i="77"/>
  <c r="N43" i="77" s="1"/>
  <c r="T24" i="77"/>
  <c r="V24" i="77"/>
  <c r="W37" i="96"/>
  <c r="BF23" i="70"/>
  <c r="V9" i="50"/>
  <c r="N8" i="50"/>
  <c r="T9" i="50"/>
  <c r="V23" i="96"/>
  <c r="T23" i="96"/>
  <c r="N18" i="96"/>
  <c r="M808" i="97"/>
  <c r="L107" i="44"/>
  <c r="L136" i="44" s="1"/>
  <c r="U152" i="10"/>
  <c r="U18" i="10"/>
  <c r="AG15" i="16"/>
  <c r="W28" i="47"/>
  <c r="T17" i="82"/>
  <c r="AA495" i="97"/>
  <c r="V17" i="82"/>
  <c r="W37" i="82"/>
  <c r="Y22" i="82"/>
  <c r="T22" i="82"/>
  <c r="T19" i="53"/>
  <c r="X19" i="53"/>
  <c r="Z18" i="10"/>
  <c r="Z152" i="10"/>
  <c r="R8" i="72"/>
  <c r="Z15" i="72"/>
  <c r="T15" i="72"/>
  <c r="P495" i="97"/>
  <c r="V17" i="46"/>
  <c r="T19" i="69"/>
  <c r="X19" i="69"/>
  <c r="T10" i="85"/>
  <c r="O8" i="85"/>
  <c r="W10" i="85"/>
  <c r="T20" i="82"/>
  <c r="Y20" i="82"/>
  <c r="AO17" i="88"/>
  <c r="AC70" i="10"/>
  <c r="P107" i="44"/>
  <c r="P136" i="44" s="1"/>
  <c r="Q808" i="97"/>
  <c r="AL17" i="87"/>
  <c r="AB67" i="10"/>
  <c r="J39" i="37"/>
  <c r="AA48" i="37"/>
  <c r="AA15" i="16"/>
  <c r="K67" i="37"/>
  <c r="K51" i="37"/>
  <c r="AO17" i="58"/>
  <c r="P70" i="10"/>
  <c r="Q26" i="53"/>
  <c r="V23" i="50"/>
  <c r="T23" i="50"/>
  <c r="N18" i="50"/>
  <c r="T15" i="69"/>
  <c r="Z15" i="69"/>
  <c r="R8" i="69"/>
  <c r="X26" i="45"/>
  <c r="Y20" i="79"/>
  <c r="T20" i="79"/>
  <c r="W23" i="73"/>
  <c r="T22" i="53"/>
  <c r="Y22" i="53"/>
  <c r="R8" i="87"/>
  <c r="T15" i="87"/>
  <c r="Z15" i="87"/>
  <c r="V24" i="72"/>
  <c r="T24" i="72"/>
  <c r="P19" i="83"/>
  <c r="O5" i="16"/>
  <c r="W28" i="96"/>
  <c r="W10" i="56"/>
  <c r="T10" i="56"/>
  <c r="O8" i="56"/>
  <c r="V9" i="46"/>
  <c r="T9" i="46"/>
  <c r="N8" i="46"/>
  <c r="U15" i="37"/>
  <c r="E17" i="77"/>
  <c r="U107" i="44"/>
  <c r="U136" i="44" s="1"/>
  <c r="V808" i="97"/>
  <c r="S43" i="37"/>
  <c r="V24" i="69"/>
  <c r="T24" i="69"/>
  <c r="X26" i="46"/>
  <c r="BC23" i="70"/>
  <c r="AI904" i="97"/>
  <c r="AH105" i="44"/>
  <c r="AH134" i="44" s="1"/>
  <c r="Q26" i="77"/>
  <c r="N43" i="37"/>
  <c r="T20" i="49"/>
  <c r="Y20" i="49"/>
  <c r="I91" i="44"/>
  <c r="I119" i="44"/>
  <c r="N70" i="10"/>
  <c r="AO17" i="55"/>
  <c r="W37" i="83"/>
  <c r="R18" i="55"/>
  <c r="Q17" i="97" s="1"/>
  <c r="Z21" i="55"/>
  <c r="C43" i="48"/>
  <c r="T68" i="10"/>
  <c r="AM17" i="73"/>
  <c r="V24" i="82"/>
  <c r="T24" i="82"/>
  <c r="AE67" i="10"/>
  <c r="AL17" i="95"/>
  <c r="V23" i="49"/>
  <c r="T23" i="49"/>
  <c r="N18" i="49"/>
  <c r="C43" i="77"/>
  <c r="W23" i="64"/>
  <c r="R8" i="53"/>
  <c r="Z15" i="53"/>
  <c r="T15" i="53"/>
  <c r="AD107" i="44"/>
  <c r="AD136" i="44" s="1"/>
  <c r="AE808" i="97"/>
  <c r="R8" i="45"/>
  <c r="T15" i="45"/>
  <c r="Z15" i="45"/>
  <c r="Y20" i="101"/>
  <c r="T20" i="101"/>
  <c r="C43" i="73"/>
  <c r="AO17" i="82"/>
  <c r="X70" i="10"/>
  <c r="O8" i="83"/>
  <c r="W10" i="83"/>
  <c r="T10" i="83"/>
  <c r="Y105" i="44"/>
  <c r="Y134" i="44" s="1"/>
  <c r="Z904" i="97"/>
  <c r="V24" i="55"/>
  <c r="T24" i="55"/>
  <c r="W10" i="84"/>
  <c r="T10" i="84"/>
  <c r="O8" i="84"/>
  <c r="N8" i="53"/>
  <c r="T9" i="53"/>
  <c r="V9" i="53"/>
  <c r="AA67" i="37"/>
  <c r="AA51" i="37"/>
  <c r="X26" i="64"/>
  <c r="W37" i="69"/>
  <c r="T20" i="45"/>
  <c r="Y20" i="45"/>
  <c r="Q26" i="83"/>
  <c r="AC15" i="16"/>
  <c r="Q26" i="49"/>
  <c r="C67" i="37"/>
  <c r="C51" i="37"/>
  <c r="O8" i="73"/>
  <c r="T10" i="73"/>
  <c r="W10" i="73"/>
  <c r="P19" i="79"/>
  <c r="W37" i="79"/>
  <c r="L152" i="10"/>
  <c r="L18" i="10"/>
  <c r="T20" i="85"/>
  <c r="Y20" i="85"/>
  <c r="AH119" i="44"/>
  <c r="AH91" i="44"/>
  <c r="R51" i="37"/>
  <c r="R67" i="37"/>
  <c r="T39" i="37"/>
  <c r="AK495" i="97"/>
  <c r="V17" i="100"/>
  <c r="D15" i="37"/>
  <c r="E17" i="45"/>
  <c r="E5" i="16"/>
  <c r="V9" i="41"/>
  <c r="T9" i="41"/>
  <c r="N8" i="41"/>
  <c r="X26" i="88"/>
  <c r="G68" i="37"/>
  <c r="H67" i="37"/>
  <c r="H51" i="37"/>
  <c r="H107" i="44"/>
  <c r="H136" i="44" s="1"/>
  <c r="I808" i="97"/>
  <c r="Q26" i="46"/>
  <c r="P119" i="44"/>
  <c r="P91" i="44"/>
  <c r="AL17" i="41"/>
  <c r="C67" i="10"/>
  <c r="W23" i="45"/>
  <c r="S39" i="37"/>
  <c r="O8" i="51"/>
  <c r="T10" i="51"/>
  <c r="W10" i="51"/>
  <c r="H105" i="44"/>
  <c r="H134" i="44" s="1"/>
  <c r="I904" i="97"/>
  <c r="G43" i="83"/>
  <c r="AE68" i="10"/>
  <c r="AM17" i="95"/>
  <c r="W28" i="58"/>
  <c r="W37" i="87"/>
  <c r="P19" i="99"/>
  <c r="W37" i="81"/>
  <c r="X26" i="58"/>
  <c r="AJ19" i="16"/>
  <c r="V23" i="56"/>
  <c r="T23" i="56"/>
  <c r="N18" i="56"/>
  <c r="W28" i="99"/>
  <c r="Q67" i="37"/>
  <c r="Q51" i="37"/>
  <c r="V23" i="81"/>
  <c r="T23" i="81"/>
  <c r="N18" i="81"/>
  <c r="N43" i="81" s="1"/>
  <c r="D152" i="10"/>
  <c r="D18" i="10"/>
  <c r="Y20" i="81"/>
  <c r="T20" i="81"/>
  <c r="Z21" i="85"/>
  <c r="R18" i="85"/>
  <c r="AD17" i="97" s="1"/>
  <c r="V18" i="10"/>
  <c r="V152" i="10"/>
  <c r="V17" i="54"/>
  <c r="H495" i="97"/>
  <c r="AH67" i="10"/>
  <c r="AL17" i="100"/>
  <c r="W28" i="81"/>
  <c r="T24" i="58"/>
  <c r="V24" i="58"/>
  <c r="W15" i="16"/>
  <c r="T22" i="52"/>
  <c r="Y22" i="52"/>
  <c r="J5" i="16"/>
  <c r="AM17" i="85"/>
  <c r="AA68" i="10"/>
  <c r="T18" i="10"/>
  <c r="T152" i="10"/>
  <c r="Z21" i="53"/>
  <c r="R18" i="53"/>
  <c r="I17" i="97" s="1"/>
  <c r="T19" i="49"/>
  <c r="X19" i="49"/>
  <c r="Y107" i="44"/>
  <c r="Y136" i="44" s="1"/>
  <c r="Z808" i="97"/>
  <c r="V24" i="50"/>
  <c r="T24" i="50"/>
  <c r="Q495" i="97"/>
  <c r="T17" i="55"/>
  <c r="V17" i="55"/>
  <c r="AC43" i="37"/>
  <c r="C43" i="52"/>
  <c r="AD39" i="37"/>
  <c r="V23" i="55"/>
  <c r="T23" i="55"/>
  <c r="N18" i="55"/>
  <c r="T19" i="85"/>
  <c r="X19" i="85"/>
  <c r="F70" i="10"/>
  <c r="AO17" i="53"/>
  <c r="V9" i="49"/>
  <c r="T9" i="49"/>
  <c r="N8" i="49"/>
  <c r="Y20" i="72"/>
  <c r="T20" i="72"/>
  <c r="X43" i="37"/>
  <c r="AI119" i="44"/>
  <c r="AI91" i="44"/>
  <c r="I17" i="99"/>
  <c r="AA39" i="37"/>
  <c r="Y51" i="37"/>
  <c r="Y67" i="37"/>
  <c r="O107" i="44"/>
  <c r="O136" i="44" s="1"/>
  <c r="P808" i="97"/>
  <c r="C43" i="56"/>
  <c r="AJ8" i="16"/>
  <c r="P19" i="96"/>
  <c r="T24" i="85"/>
  <c r="V24" i="85"/>
  <c r="Z15" i="46"/>
  <c r="R8" i="46"/>
  <c r="T15" i="46"/>
  <c r="Z15" i="77"/>
  <c r="T15" i="77"/>
  <c r="R8" i="77"/>
  <c r="Y20" i="51"/>
  <c r="T20" i="51"/>
  <c r="Y91" i="44"/>
  <c r="Y119" i="44"/>
  <c r="R18" i="54"/>
  <c r="H17" i="97" s="1"/>
  <c r="Z21" i="54"/>
  <c r="N105" i="44"/>
  <c r="N134" i="44" s="1"/>
  <c r="O904" i="97"/>
  <c r="C43" i="50"/>
  <c r="N8" i="48"/>
  <c r="T9" i="48"/>
  <c r="V9" i="48"/>
  <c r="T15" i="16"/>
  <c r="T9" i="47"/>
  <c r="V9" i="47"/>
  <c r="N8" i="47"/>
  <c r="N18" i="10"/>
  <c r="N152" i="10"/>
  <c r="K67" i="10"/>
  <c r="AL17" i="48"/>
  <c r="AL17" i="51"/>
  <c r="H67" i="10"/>
  <c r="R808" i="97"/>
  <c r="Q107" i="44"/>
  <c r="Q136" i="44" s="1"/>
  <c r="I17" i="90"/>
  <c r="Y495" i="97"/>
  <c r="T17" i="79"/>
  <c r="V17" i="79"/>
  <c r="Z37" i="41"/>
  <c r="T9" i="73"/>
  <c r="N8" i="73"/>
  <c r="V9" i="73"/>
  <c r="W28" i="72"/>
  <c r="AA91" i="44"/>
  <c r="AA119" i="44"/>
  <c r="AL495" i="97"/>
  <c r="V17" i="101"/>
  <c r="Z21" i="96"/>
  <c r="R18" i="96"/>
  <c r="AI17" i="97" s="1"/>
  <c r="V24" i="54"/>
  <c r="T24" i="54"/>
  <c r="Z107" i="44"/>
  <c r="Z136" i="44" s="1"/>
  <c r="AA808" i="97"/>
  <c r="W28" i="100"/>
  <c r="G70" i="10"/>
  <c r="AO17" i="52"/>
  <c r="V24" i="53"/>
  <c r="T24" i="53"/>
  <c r="AH5" i="16"/>
  <c r="AJ7" i="16"/>
  <c r="AI5" i="16"/>
  <c r="X67" i="37"/>
  <c r="X51" i="37"/>
  <c r="Q68" i="10"/>
  <c r="AM17" i="64"/>
  <c r="C5" i="16"/>
  <c r="W37" i="47"/>
  <c r="J105" i="44"/>
  <c r="J134" i="44" s="1"/>
  <c r="K904" i="97"/>
  <c r="X19" i="82"/>
  <c r="T19" i="82"/>
  <c r="AF68" i="10"/>
  <c r="AM17" i="96"/>
  <c r="Z21" i="47"/>
  <c r="R18" i="47"/>
  <c r="O17" i="97" s="1"/>
  <c r="AB105" i="44"/>
  <c r="AB134" i="44" s="1"/>
  <c r="AC904" i="97"/>
  <c r="T15" i="84"/>
  <c r="R8" i="84"/>
  <c r="Z15" i="84"/>
  <c r="Y22" i="46"/>
  <c r="T22" i="46"/>
  <c r="BK23" i="70"/>
  <c r="X5" i="16"/>
  <c r="W23" i="84"/>
  <c r="T5" i="16"/>
  <c r="W28" i="85"/>
  <c r="E51" i="37"/>
  <c r="E67" i="37"/>
  <c r="V24" i="73"/>
  <c r="T24" i="73"/>
  <c r="W23" i="56"/>
  <c r="C43" i="41"/>
  <c r="V23" i="69"/>
  <c r="T23" i="69"/>
  <c r="N18" i="69"/>
  <c r="W28" i="46"/>
  <c r="V24" i="84"/>
  <c r="T24" i="84"/>
  <c r="H5" i="16"/>
  <c r="W28" i="95"/>
  <c r="Z39" i="37"/>
  <c r="S67" i="37"/>
  <c r="S51" i="37"/>
  <c r="AG67" i="37"/>
  <c r="AG51" i="37"/>
  <c r="Y22" i="58"/>
  <c r="T22" i="58"/>
  <c r="AE15" i="16"/>
  <c r="AG107" i="44"/>
  <c r="AG136" i="44" s="1"/>
  <c r="AH808" i="97"/>
  <c r="W28" i="53"/>
  <c r="N8" i="51"/>
  <c r="T9" i="51"/>
  <c r="V9" i="51"/>
  <c r="AJ904" i="97"/>
  <c r="AI105" i="44"/>
  <c r="AI134" i="44" s="1"/>
  <c r="Q91" i="44"/>
  <c r="Q119" i="44"/>
  <c r="R8" i="81"/>
  <c r="T15" i="81"/>
  <c r="Z15" i="81"/>
  <c r="W28" i="41"/>
  <c r="AJ105" i="44"/>
  <c r="AJ134" i="44" s="1"/>
  <c r="AK904" i="97"/>
  <c r="R70" i="10"/>
  <c r="AO17" i="69"/>
  <c r="O39" i="37"/>
  <c r="W10" i="87"/>
  <c r="T10" i="87"/>
  <c r="O8" i="87"/>
  <c r="T10" i="46"/>
  <c r="O8" i="46"/>
  <c r="W10" i="46"/>
  <c r="R8" i="64"/>
  <c r="T15" i="64"/>
  <c r="Z15" i="64"/>
  <c r="Z21" i="45"/>
  <c r="R18" i="45"/>
  <c r="G17" i="97" s="1"/>
  <c r="T23" i="51"/>
  <c r="V23" i="51"/>
  <c r="N18" i="51"/>
  <c r="AB904" i="97"/>
  <c r="AA105" i="44"/>
  <c r="AA134" i="44" s="1"/>
  <c r="T17" i="47"/>
  <c r="V17" i="47"/>
  <c r="O495" i="97"/>
  <c r="K152" i="10"/>
  <c r="K18" i="10"/>
  <c r="V9" i="56"/>
  <c r="T9" i="56"/>
  <c r="N8" i="56"/>
  <c r="T23" i="54"/>
  <c r="V23" i="54"/>
  <c r="N18" i="54"/>
  <c r="H483" i="97" s="1"/>
  <c r="W23" i="54"/>
  <c r="P19" i="56"/>
  <c r="V67" i="10"/>
  <c r="AL17" i="79"/>
  <c r="T22" i="96"/>
  <c r="Y22" i="96"/>
  <c r="Q105" i="44"/>
  <c r="Q134" i="44" s="1"/>
  <c r="R904" i="97"/>
  <c r="W68" i="10"/>
  <c r="AM17" i="81"/>
  <c r="W37" i="90"/>
  <c r="AF91" i="44"/>
  <c r="AF119" i="44"/>
  <c r="O91" i="44"/>
  <c r="O119" i="44"/>
  <c r="X26" i="55"/>
  <c r="P19" i="101"/>
  <c r="Y22" i="83"/>
  <c r="T22" i="83"/>
  <c r="J67" i="37"/>
  <c r="J51" i="37"/>
  <c r="N495" i="97"/>
  <c r="T17" i="48"/>
  <c r="V17" i="48"/>
  <c r="Y5" i="16"/>
  <c r="AJ91" i="44"/>
  <c r="AJ119" i="44"/>
  <c r="X26" i="81"/>
  <c r="T9" i="55"/>
  <c r="V9" i="55"/>
  <c r="N8" i="55"/>
  <c r="I67" i="10"/>
  <c r="AL17" i="50"/>
  <c r="T22" i="79"/>
  <c r="Y22" i="79"/>
  <c r="V17" i="45"/>
  <c r="G495" i="97"/>
  <c r="P48" i="37"/>
  <c r="P15" i="16"/>
  <c r="AF107" i="44"/>
  <c r="AF136" i="44" s="1"/>
  <c r="AG808" i="97"/>
  <c r="R18" i="73"/>
  <c r="W17" i="97" s="1"/>
  <c r="Z21" i="73"/>
  <c r="T19" i="95"/>
  <c r="X19" i="95"/>
  <c r="N8" i="52"/>
  <c r="T9" i="52"/>
  <c r="V9" i="52"/>
  <c r="AD5" i="16"/>
  <c r="I18" i="10"/>
  <c r="I152" i="10"/>
  <c r="Z15" i="37"/>
  <c r="E17" i="84"/>
  <c r="T20" i="84"/>
  <c r="Y20" i="84"/>
  <c r="W39" i="37"/>
  <c r="C43" i="49"/>
  <c r="AL17" i="85"/>
  <c r="AA67" i="10"/>
  <c r="K68" i="10"/>
  <c r="AM17" i="48"/>
  <c r="W28" i="48"/>
  <c r="W10" i="95"/>
  <c r="T10" i="95"/>
  <c r="O8" i="95"/>
  <c r="T17" i="99"/>
  <c r="V17" i="99"/>
  <c r="AJ495" i="97"/>
  <c r="X26" i="41"/>
  <c r="R8" i="100"/>
  <c r="Z15" i="100"/>
  <c r="T15" i="100"/>
  <c r="F91" i="44"/>
  <c r="F119" i="44"/>
  <c r="U39" i="37"/>
  <c r="Z15" i="90"/>
  <c r="T15" i="90"/>
  <c r="R8" i="90"/>
  <c r="E43" i="37"/>
  <c r="AB67" i="37"/>
  <c r="AB51" i="37"/>
  <c r="W23" i="48"/>
  <c r="L67" i="10"/>
  <c r="AL17" i="47"/>
  <c r="T22" i="50"/>
  <c r="Y22" i="50"/>
  <c r="I17" i="81"/>
  <c r="C48" i="37"/>
  <c r="T52" i="37" s="1"/>
  <c r="C15" i="16"/>
  <c r="T15" i="51"/>
  <c r="R8" i="51"/>
  <c r="Z15" i="51"/>
  <c r="W23" i="46"/>
  <c r="Z15" i="99"/>
  <c r="T15" i="99"/>
  <c r="R8" i="99"/>
  <c r="C43" i="47"/>
  <c r="P19" i="55"/>
  <c r="Y22" i="45"/>
  <c r="T22" i="45"/>
  <c r="AL17" i="82"/>
  <c r="X67" i="10"/>
  <c r="W23" i="52"/>
  <c r="V119" i="44"/>
  <c r="V91" i="44"/>
  <c r="X26" i="56"/>
  <c r="X495" i="97"/>
  <c r="V17" i="77"/>
  <c r="X808" i="97"/>
  <c r="W107" i="44"/>
  <c r="W136" i="44" s="1"/>
  <c r="AG495" i="97"/>
  <c r="V17" i="90"/>
  <c r="T17" i="90"/>
  <c r="W23" i="99"/>
  <c r="AL17" i="69"/>
  <c r="R67" i="10"/>
  <c r="BB23" i="70"/>
  <c r="Y68" i="10"/>
  <c r="AM17" i="83"/>
  <c r="AO17" i="81"/>
  <c r="W70" i="10"/>
  <c r="T19" i="88"/>
  <c r="X19" i="88"/>
  <c r="BI23" i="70"/>
  <c r="T20" i="83"/>
  <c r="Y20" i="83"/>
  <c r="Z21" i="100"/>
  <c r="R18" i="100"/>
  <c r="AK17" i="97" s="1"/>
  <c r="V39" i="37"/>
  <c r="W10" i="77"/>
  <c r="T10" i="77"/>
  <c r="O8" i="77"/>
  <c r="X26" i="82"/>
  <c r="AE70" i="10"/>
  <c r="AO17" i="95"/>
  <c r="AB15" i="37"/>
  <c r="E17" i="87"/>
  <c r="T22" i="72"/>
  <c r="Y22" i="72"/>
  <c r="Y20" i="64"/>
  <c r="T20" i="64"/>
  <c r="Z21" i="58"/>
  <c r="R18" i="58"/>
  <c r="S17" i="97" s="1"/>
  <c r="Q48" i="37"/>
  <c r="Q15" i="16"/>
  <c r="G39" i="37"/>
  <c r="P19" i="51"/>
  <c r="AF48" i="37"/>
  <c r="AF15" i="16"/>
  <c r="Y22" i="56"/>
  <c r="T22" i="56"/>
  <c r="E70" i="10"/>
  <c r="AO17" i="54"/>
  <c r="Y904" i="97"/>
  <c r="X105" i="44"/>
  <c r="X134" i="44" s="1"/>
  <c r="AC91" i="44"/>
  <c r="AC119" i="44"/>
  <c r="T10" i="64"/>
  <c r="W10" i="64"/>
  <c r="O8" i="64"/>
  <c r="J107" i="44"/>
  <c r="J136" i="44" s="1"/>
  <c r="K808" i="97"/>
  <c r="T9" i="64"/>
  <c r="V9" i="64"/>
  <c r="N8" i="64"/>
  <c r="S68" i="10"/>
  <c r="AM17" i="72"/>
  <c r="X26" i="52"/>
  <c r="W28" i="49"/>
  <c r="T51" i="37"/>
  <c r="T67" i="37"/>
  <c r="AM17" i="79"/>
  <c r="V68" i="10"/>
  <c r="AK91" i="44"/>
  <c r="C23" i="33"/>
  <c r="AK119" i="44"/>
  <c r="AC39" i="37"/>
  <c r="V24" i="48"/>
  <c r="T24" i="48"/>
  <c r="T10" i="101"/>
  <c r="W10" i="101"/>
  <c r="O8" i="101"/>
  <c r="T9" i="69"/>
  <c r="N8" i="69"/>
  <c r="V9" i="69"/>
  <c r="Z5" i="16"/>
  <c r="T10" i="81"/>
  <c r="W10" i="81"/>
  <c r="O8" i="81"/>
  <c r="M152" i="10"/>
  <c r="M18" i="10"/>
  <c r="R18" i="81"/>
  <c r="Z17" i="97" s="1"/>
  <c r="Z21" i="81"/>
  <c r="S5" i="16"/>
  <c r="N808" i="97"/>
  <c r="M107" i="44"/>
  <c r="M136" i="44" s="1"/>
  <c r="T20" i="88"/>
  <c r="Y20" i="88"/>
  <c r="C43" i="51"/>
  <c r="U67" i="37"/>
  <c r="U51" i="37"/>
  <c r="Y20" i="100"/>
  <c r="T20" i="100"/>
  <c r="BG23" i="70"/>
  <c r="L68" i="10"/>
  <c r="AM17" i="47"/>
  <c r="Z21" i="52"/>
  <c r="R18" i="52"/>
  <c r="J17" i="97" s="1"/>
  <c r="W23" i="49"/>
  <c r="AO17" i="87"/>
  <c r="AB70" i="10"/>
  <c r="AL17" i="56"/>
  <c r="O67" i="10"/>
  <c r="N68" i="37"/>
  <c r="K107" i="44"/>
  <c r="K136" i="44" s="1"/>
  <c r="L808" i="97"/>
  <c r="M495" i="97"/>
  <c r="V17" i="49"/>
  <c r="W37" i="85"/>
  <c r="Y20" i="50"/>
  <c r="T20" i="50"/>
  <c r="V24" i="81"/>
  <c r="T24" i="81"/>
  <c r="AF26" i="72"/>
  <c r="T23" i="72"/>
  <c r="V23" i="72"/>
  <c r="N18" i="72"/>
  <c r="W105" i="44"/>
  <c r="W134" i="44" s="1"/>
  <c r="X904" i="97"/>
  <c r="AO17" i="100"/>
  <c r="AH70" i="10"/>
  <c r="W37" i="46"/>
  <c r="T23" i="53"/>
  <c r="V23" i="53"/>
  <c r="N18" i="53"/>
  <c r="W10" i="82"/>
  <c r="O8" i="82"/>
  <c r="T10" i="82"/>
  <c r="T20" i="54"/>
  <c r="Y20" i="54"/>
  <c r="AA107" i="44"/>
  <c r="AA136" i="44" s="1"/>
  <c r="AB808" i="97"/>
  <c r="T20" i="73"/>
  <c r="Y20" i="73"/>
  <c r="D5" i="16"/>
  <c r="G67" i="10"/>
  <c r="AL17" i="52"/>
  <c r="T20" i="90"/>
  <c r="Y20" i="90"/>
  <c r="V24" i="49"/>
  <c r="T24" i="49"/>
  <c r="AK105" i="44"/>
  <c r="AL904" i="97"/>
  <c r="C10" i="33"/>
  <c r="P19" i="47"/>
  <c r="Z21" i="90"/>
  <c r="R18" i="90"/>
  <c r="AG17" i="97" s="1"/>
  <c r="T10" i="55"/>
  <c r="W10" i="55"/>
  <c r="O8" i="55"/>
  <c r="V24" i="56"/>
  <c r="T24" i="56"/>
  <c r="F67" i="10"/>
  <c r="AL17" i="53"/>
  <c r="T10" i="47"/>
  <c r="O8" i="47"/>
  <c r="W10" i="47"/>
  <c r="W23" i="100"/>
  <c r="W23" i="95"/>
  <c r="AI21" i="16"/>
  <c r="AJ22" i="16"/>
  <c r="C43" i="55"/>
  <c r="P18" i="10"/>
  <c r="P152" i="10"/>
  <c r="W28" i="56"/>
  <c r="AM17" i="58"/>
  <c r="P68" i="10"/>
  <c r="AO17" i="47"/>
  <c r="L70" i="10"/>
  <c r="T24" i="41"/>
  <c r="V24" i="41"/>
  <c r="W48" i="37"/>
  <c r="T24" i="79"/>
  <c r="V24" i="79"/>
  <c r="T22" i="69"/>
  <c r="Y22" i="69"/>
  <c r="K15" i="16"/>
  <c r="BE23" i="70"/>
  <c r="L39" i="37"/>
  <c r="E107" i="44"/>
  <c r="E136" i="44" s="1"/>
  <c r="F808" i="97"/>
  <c r="Q70" i="10"/>
  <c r="AO17" i="64"/>
  <c r="AG105" i="44"/>
  <c r="AG134" i="44" s="1"/>
  <c r="AH904" i="97"/>
  <c r="M119" i="44"/>
  <c r="M91" i="44"/>
  <c r="W28" i="55"/>
  <c r="AF18" i="10"/>
  <c r="AF152" i="10"/>
  <c r="W28" i="79"/>
  <c r="C43" i="58"/>
  <c r="W37" i="53"/>
  <c r="Z495" i="97"/>
  <c r="V17" i="81"/>
  <c r="T17" i="81"/>
  <c r="P17" i="41"/>
  <c r="T17" i="41" s="1"/>
  <c r="O105" i="44"/>
  <c r="O134" i="44" s="1"/>
  <c r="P904" i="97"/>
  <c r="X26" i="84"/>
  <c r="M39" i="37"/>
  <c r="W23" i="55"/>
  <c r="W37" i="101"/>
  <c r="P105" i="44"/>
  <c r="P134" i="44" s="1"/>
  <c r="Q904" i="97"/>
  <c r="Q26" i="100"/>
  <c r="AL17" i="64"/>
  <c r="Q67" i="10"/>
  <c r="AB43" i="37"/>
  <c r="F39" i="37"/>
  <c r="X26" i="77"/>
  <c r="Y20" i="58"/>
  <c r="T20" i="58"/>
  <c r="T22" i="55"/>
  <c r="Y22" i="55"/>
  <c r="Y48" i="37"/>
  <c r="Y15" i="16"/>
  <c r="AC67" i="37"/>
  <c r="AC51" i="37"/>
  <c r="AD904" i="97"/>
  <c r="AC105" i="44"/>
  <c r="AC134" i="44" s="1"/>
  <c r="AE904" i="97"/>
  <c r="AD105" i="44"/>
  <c r="AD134" i="44" s="1"/>
  <c r="W37" i="49"/>
  <c r="AG48" i="37"/>
  <c r="V23" i="64"/>
  <c r="T23" i="64"/>
  <c r="N18" i="64"/>
  <c r="AF105" i="44"/>
  <c r="AF134" i="44" s="1"/>
  <c r="AG904" i="97"/>
  <c r="N15" i="16"/>
  <c r="G43" i="100"/>
  <c r="T23" i="41"/>
  <c r="V23" i="41"/>
  <c r="N18" i="41"/>
  <c r="V68" i="37"/>
  <c r="T24" i="87"/>
  <c r="V24" i="87"/>
  <c r="T24" i="88"/>
  <c r="V24" i="88"/>
  <c r="T24" i="47"/>
  <c r="V24" i="47"/>
  <c r="E67" i="10"/>
  <c r="AL17" i="54"/>
  <c r="G43" i="79"/>
  <c r="G43" i="95"/>
  <c r="W28" i="73"/>
  <c r="G43" i="58"/>
  <c r="I17" i="51"/>
  <c r="G5" i="16"/>
  <c r="T20" i="95"/>
  <c r="Y20" i="95"/>
  <c r="Z15" i="73"/>
  <c r="T15" i="73"/>
  <c r="R8" i="73"/>
  <c r="R8" i="54"/>
  <c r="Z15" i="54"/>
  <c r="T15" i="54"/>
  <c r="T119" i="44"/>
  <c r="T91" i="44"/>
  <c r="N91" i="44"/>
  <c r="N119" i="44"/>
  <c r="J15" i="37"/>
  <c r="E17" i="49"/>
  <c r="X26" i="51"/>
  <c r="C43" i="64"/>
  <c r="S48" i="37"/>
  <c r="S15" i="16"/>
  <c r="T23" i="82"/>
  <c r="V23" i="82"/>
  <c r="N18" i="82"/>
  <c r="N43" i="82" s="1"/>
  <c r="T10" i="52"/>
  <c r="O8" i="52"/>
  <c r="W10" i="52"/>
  <c r="Y43" i="37"/>
  <c r="V23" i="83"/>
  <c r="T23" i="83"/>
  <c r="N18" i="83"/>
  <c r="N43" i="83" s="1"/>
  <c r="Y22" i="47"/>
  <c r="T22" i="47"/>
  <c r="O8" i="99"/>
  <c r="W10" i="99"/>
  <c r="T10" i="99"/>
  <c r="V15" i="16"/>
  <c r="R18" i="69"/>
  <c r="U17" i="97" s="1"/>
  <c r="Z21" i="69"/>
  <c r="AC48" i="37"/>
  <c r="W23" i="96"/>
  <c r="G43" i="72"/>
  <c r="Q43" i="37"/>
  <c r="X26" i="48"/>
  <c r="I70" i="10"/>
  <c r="AO17" i="50"/>
  <c r="P19" i="81"/>
  <c r="X26" i="95"/>
  <c r="C43" i="88"/>
  <c r="W37" i="88"/>
  <c r="Y22" i="81"/>
  <c r="T22" i="81"/>
  <c r="P43" i="37"/>
  <c r="AD48" i="37"/>
  <c r="AD15" i="16"/>
  <c r="N51" i="37"/>
  <c r="N67" i="37"/>
  <c r="K39" i="37"/>
  <c r="H15" i="16"/>
  <c r="T23" i="100"/>
  <c r="V23" i="100"/>
  <c r="N18" i="100"/>
  <c r="T24" i="46"/>
  <c r="V24" i="46"/>
  <c r="C43" i="54"/>
  <c r="W28" i="51"/>
  <c r="K5" i="16"/>
  <c r="T20" i="99"/>
  <c r="Y20" i="99"/>
  <c r="W28" i="87"/>
  <c r="T17" i="83"/>
  <c r="AB495" i="97"/>
  <c r="V17" i="83"/>
  <c r="AI67" i="10"/>
  <c r="AL17" i="101"/>
  <c r="T23" i="87"/>
  <c r="V23" i="87"/>
  <c r="N18" i="87"/>
  <c r="N43" i="87" s="1"/>
  <c r="Q18" i="10"/>
  <c r="Q152" i="10"/>
  <c r="O51" i="37"/>
  <c r="O67" i="37"/>
  <c r="P19" i="48"/>
  <c r="AB119" i="44"/>
  <c r="AB91" i="44"/>
  <c r="R15" i="37"/>
  <c r="E17" i="69"/>
  <c r="X26" i="83"/>
  <c r="C70" i="10"/>
  <c r="AO17" i="41"/>
  <c r="W28" i="52"/>
  <c r="W23" i="41"/>
  <c r="V105" i="44"/>
  <c r="V134" i="44" s="1"/>
  <c r="W904" i="97"/>
  <c r="W28" i="84"/>
  <c r="P19" i="77"/>
  <c r="D39" i="37"/>
  <c r="W23" i="69"/>
  <c r="U808" i="97"/>
  <c r="T107" i="44"/>
  <c r="W23" i="53"/>
  <c r="W23" i="85"/>
  <c r="V904" i="97"/>
  <c r="U105" i="44"/>
  <c r="U134" i="44" s="1"/>
  <c r="T22" i="99"/>
  <c r="Y22" i="99"/>
  <c r="Q39" i="37"/>
  <c r="AE68" i="37"/>
  <c r="X26" i="69"/>
  <c r="D51" i="37"/>
  <c r="D67" i="37"/>
  <c r="V24" i="90"/>
  <c r="T24" i="90"/>
  <c r="W28" i="77"/>
  <c r="AL17" i="83"/>
  <c r="Y67" i="10"/>
  <c r="V17" i="52"/>
  <c r="J495" i="97"/>
  <c r="T17" i="52"/>
  <c r="T23" i="101"/>
  <c r="V23" i="101"/>
  <c r="N18" i="101"/>
  <c r="N43" i="101" s="1"/>
  <c r="V17" i="53"/>
  <c r="I495" i="97"/>
  <c r="T17" i="53"/>
  <c r="V23" i="88"/>
  <c r="T23" i="88"/>
  <c r="N18" i="88"/>
  <c r="N43" i="88" s="1"/>
  <c r="T23" i="90"/>
  <c r="V23" i="90"/>
  <c r="N18" i="90"/>
  <c r="N43" i="90" s="1"/>
  <c r="I17" i="85"/>
  <c r="G43" i="64"/>
  <c r="P19" i="58"/>
  <c r="Q26" i="45"/>
  <c r="AO17" i="48"/>
  <c r="K70" i="10"/>
  <c r="T23" i="47"/>
  <c r="V23" i="47"/>
  <c r="N18" i="47"/>
  <c r="T10" i="48"/>
  <c r="O8" i="48"/>
  <c r="W10" i="48"/>
  <c r="X26" i="90"/>
  <c r="Z15" i="55"/>
  <c r="T15" i="55"/>
  <c r="R8" i="55"/>
  <c r="AG67" i="10"/>
  <c r="AL17" i="99"/>
  <c r="Y22" i="95"/>
  <c r="T22" i="95"/>
  <c r="W28" i="82"/>
  <c r="W28" i="50"/>
  <c r="W5" i="16"/>
  <c r="W28" i="101"/>
  <c r="T20" i="47"/>
  <c r="Y20" i="47"/>
  <c r="H119" i="44"/>
  <c r="H91" i="44"/>
  <c r="L5" i="16"/>
  <c r="O8" i="96"/>
  <c r="W10" i="96"/>
  <c r="T10" i="96"/>
  <c r="F15" i="16"/>
  <c r="V23" i="52"/>
  <c r="T23" i="52"/>
  <c r="N18" i="52"/>
  <c r="X107" i="44"/>
  <c r="X136" i="44" s="1"/>
  <c r="Y808" i="97"/>
  <c r="BD23" i="70"/>
  <c r="C43" i="96"/>
  <c r="W28" i="64"/>
  <c r="R18" i="77"/>
  <c r="X17" i="97" s="1"/>
  <c r="Z21" i="77"/>
  <c r="Z119" i="44"/>
  <c r="Z91" i="44"/>
  <c r="AL17" i="46"/>
  <c r="M67" i="10"/>
  <c r="W23" i="88"/>
  <c r="P19" i="46"/>
  <c r="AC808" i="97"/>
  <c r="AB107" i="44"/>
  <c r="AB136" i="44" s="1"/>
  <c r="M5" i="16"/>
  <c r="F67" i="37"/>
  <c r="F51" i="37"/>
  <c r="W37" i="55"/>
  <c r="AD43" i="37"/>
  <c r="R8" i="95"/>
  <c r="Z15" i="95"/>
  <c r="T15" i="95"/>
  <c r="P19" i="87"/>
  <c r="Y20" i="41"/>
  <c r="T20" i="41"/>
  <c r="W10" i="45"/>
  <c r="O8" i="45"/>
  <c r="T10" i="45"/>
  <c r="V17" i="69"/>
  <c r="U495" i="97"/>
  <c r="BH23" i="70"/>
  <c r="AG5" i="16"/>
  <c r="R8" i="49"/>
  <c r="T15" i="49"/>
  <c r="Z15" i="49"/>
  <c r="H48" i="37"/>
  <c r="AM17" i="55"/>
  <c r="N68" i="10"/>
  <c r="V5" i="16"/>
  <c r="R18" i="79"/>
  <c r="Y17" i="97" s="1"/>
  <c r="Z21" i="79"/>
  <c r="C43" i="95"/>
  <c r="R8" i="50"/>
  <c r="Z15" i="50"/>
  <c r="T15" i="50"/>
  <c r="N8" i="72"/>
  <c r="V9" i="72"/>
  <c r="T9" i="72"/>
  <c r="W37" i="48"/>
  <c r="K495" i="97"/>
  <c r="V17" i="51"/>
  <c r="T17" i="51"/>
  <c r="Z15" i="48"/>
  <c r="R8" i="48"/>
  <c r="T15" i="48"/>
  <c r="V24" i="64"/>
  <c r="T24" i="64"/>
  <c r="G51" i="37"/>
  <c r="G67" i="37"/>
  <c r="I17" i="58"/>
  <c r="W37" i="77"/>
  <c r="P19" i="64"/>
  <c r="U43" i="37"/>
  <c r="H70" i="10"/>
  <c r="AO17" i="51"/>
  <c r="T10" i="50"/>
  <c r="W10" i="50"/>
  <c r="O8" i="50"/>
  <c r="W28" i="83"/>
  <c r="AI152" i="10"/>
  <c r="AI18" i="10"/>
  <c r="R8" i="96"/>
  <c r="Z15" i="96"/>
  <c r="T15" i="96"/>
  <c r="J808" i="97"/>
  <c r="I107" i="44"/>
  <c r="T22" i="101"/>
  <c r="Y22" i="101"/>
  <c r="U119" i="44"/>
  <c r="U91" i="44"/>
  <c r="W28" i="69"/>
  <c r="O15" i="16"/>
  <c r="D43" i="37"/>
  <c r="AC5" i="16"/>
  <c r="T24" i="101"/>
  <c r="V24" i="101"/>
  <c r="Z21" i="72"/>
  <c r="R18" i="72"/>
  <c r="V17" i="97" s="1"/>
  <c r="C43" i="69"/>
  <c r="T24" i="95"/>
  <c r="V24" i="95"/>
  <c r="AF904" i="97"/>
  <c r="AE105" i="44"/>
  <c r="AE134" i="44" s="1"/>
  <c r="C43" i="45"/>
  <c r="W67" i="10"/>
  <c r="AL17" i="81"/>
  <c r="W28" i="54"/>
  <c r="I17" i="88"/>
  <c r="D67" i="10"/>
  <c r="AL17" i="45"/>
  <c r="P19" i="72"/>
  <c r="T22" i="64"/>
  <c r="Y22" i="64"/>
  <c r="Z21" i="46"/>
  <c r="R18" i="46"/>
  <c r="P17" i="97" s="1"/>
  <c r="W37" i="50"/>
  <c r="X26" i="73"/>
  <c r="I67" i="37"/>
  <c r="I51" i="37"/>
  <c r="Y22" i="73"/>
  <c r="T22" i="73"/>
  <c r="N904" i="97"/>
  <c r="M105" i="44"/>
  <c r="M134" i="44" s="1"/>
  <c r="V24" i="45"/>
  <c r="T24" i="45"/>
  <c r="T22" i="85"/>
  <c r="Y22" i="85"/>
  <c r="V67" i="37"/>
  <c r="V51" i="37"/>
  <c r="Y22" i="84"/>
  <c r="T22" i="84"/>
  <c r="L105" i="44"/>
  <c r="M904" i="97"/>
  <c r="N5" i="16"/>
  <c r="I5" i="16"/>
  <c r="J67" i="10"/>
  <c r="AL17" i="49"/>
  <c r="T15" i="79"/>
  <c r="Z15" i="79"/>
  <c r="R8" i="79"/>
  <c r="O68" i="37"/>
  <c r="H43" i="37"/>
  <c r="R495" i="97"/>
  <c r="V17" i="56"/>
  <c r="T17" i="56"/>
  <c r="Q5" i="16"/>
  <c r="W23" i="87"/>
  <c r="X26" i="50"/>
  <c r="T22" i="49"/>
  <c r="Y22" i="49"/>
  <c r="W10" i="90"/>
  <c r="O8" i="90"/>
  <c r="T10" i="90"/>
  <c r="L48" i="37"/>
  <c r="L15" i="16"/>
  <c r="V9" i="54"/>
  <c r="T9" i="54"/>
  <c r="N8" i="54"/>
  <c r="W23" i="79"/>
  <c r="M15" i="37"/>
  <c r="E17" i="46"/>
  <c r="Y20" i="77"/>
  <c r="T20" i="77"/>
  <c r="W37" i="95"/>
  <c r="AM17" i="90"/>
  <c r="AD68" i="10"/>
  <c r="V107" i="44"/>
  <c r="V136" i="44" s="1"/>
  <c r="W808" i="97"/>
  <c r="Q26" i="48"/>
  <c r="Z15" i="41"/>
  <c r="R8" i="41"/>
  <c r="T15" i="41"/>
  <c r="N39" i="37"/>
  <c r="AD119" i="44"/>
  <c r="AD91" i="44"/>
  <c r="W37" i="52"/>
  <c r="V24" i="100"/>
  <c r="T24" i="100"/>
  <c r="AL17" i="88"/>
  <c r="AC67" i="10"/>
  <c r="I39" i="37"/>
  <c r="T19" i="54"/>
  <c r="X19" i="54"/>
  <c r="V17" i="85"/>
  <c r="AD495" i="97"/>
  <c r="T17" i="85"/>
  <c r="W28" i="45"/>
  <c r="R18" i="82"/>
  <c r="AA17" i="97" s="1"/>
  <c r="Z21" i="82"/>
  <c r="P19" i="100"/>
  <c r="W28" i="88"/>
  <c r="G152" i="10"/>
  <c r="G18" i="10"/>
  <c r="R8" i="47"/>
  <c r="T15" i="47"/>
  <c r="Z15" i="47"/>
  <c r="W91" i="44"/>
  <c r="W119" i="44"/>
  <c r="Z70" i="10"/>
  <c r="AO17" i="84"/>
  <c r="H68" i="10"/>
  <c r="AM17" i="51"/>
  <c r="Z15" i="56"/>
  <c r="R8" i="56"/>
  <c r="T15" i="56"/>
  <c r="Y22" i="100"/>
  <c r="T22" i="100"/>
  <c r="N67" i="10"/>
  <c r="AL17" i="55"/>
  <c r="L67" i="37"/>
  <c r="L51" i="37"/>
  <c r="F68" i="10"/>
  <c r="AM17" i="53"/>
  <c r="BJ23" i="70"/>
  <c r="Z67" i="37"/>
  <c r="Z51" i="37"/>
  <c r="T10" i="49"/>
  <c r="O8" i="49"/>
  <c r="W10" i="49"/>
  <c r="T9" i="58"/>
  <c r="N8" i="58"/>
  <c r="V9" i="58"/>
  <c r="P19" i="50"/>
  <c r="X26" i="79"/>
  <c r="X119" i="44"/>
  <c r="X91" i="44"/>
  <c r="AO17" i="46"/>
  <c r="M70" i="10"/>
  <c r="T23" i="45"/>
  <c r="V23" i="45"/>
  <c r="N18" i="45"/>
  <c r="T70" i="10"/>
  <c r="AO17" i="73"/>
  <c r="Q26" i="95"/>
  <c r="AI15" i="37"/>
  <c r="E17" i="101"/>
  <c r="AL26" i="2"/>
  <c r="AI107" i="44"/>
  <c r="AI136" i="44" s="1"/>
  <c r="AJ808" i="97"/>
  <c r="AD67" i="10"/>
  <c r="AL17" i="90"/>
  <c r="Y20" i="87"/>
  <c r="T20" i="87"/>
  <c r="M67" i="37"/>
  <c r="M51" i="37"/>
  <c r="W23" i="90"/>
  <c r="G43" i="51"/>
  <c r="V23" i="95"/>
  <c r="T23" i="95"/>
  <c r="N18" i="95"/>
  <c r="N107" i="44"/>
  <c r="N136" i="44" s="1"/>
  <c r="O808" i="97"/>
  <c r="F5" i="16"/>
  <c r="P39" i="37"/>
  <c r="X15" i="16"/>
  <c r="E119" i="44"/>
  <c r="E91" i="44"/>
  <c r="AJ10" i="16"/>
  <c r="P19" i="90"/>
  <c r="L119" i="44"/>
  <c r="L91" i="44"/>
  <c r="W37" i="45"/>
  <c r="W23" i="72"/>
  <c r="W10" i="88"/>
  <c r="O8" i="88"/>
  <c r="T10" i="88"/>
  <c r="S152" i="10"/>
  <c r="S18" i="10"/>
  <c r="P19" i="73"/>
  <c r="AB18" i="10"/>
  <c r="AB152" i="10"/>
  <c r="W10" i="53"/>
  <c r="O8" i="53"/>
  <c r="T10" i="53"/>
  <c r="S119" i="44"/>
  <c r="S91" i="44"/>
  <c r="C43" i="72"/>
  <c r="AF67" i="37"/>
  <c r="AF51" i="37"/>
  <c r="AA43" i="37"/>
  <c r="H152" i="10"/>
  <c r="H18" i="10"/>
  <c r="T22" i="90"/>
  <c r="Y22" i="90"/>
  <c r="S495" i="97"/>
  <c r="V17" i="58"/>
  <c r="T17" i="58"/>
  <c r="O8" i="41"/>
  <c r="T10" i="41"/>
  <c r="W10" i="41"/>
  <c r="W37" i="54"/>
  <c r="W37" i="58"/>
  <c r="P19" i="41"/>
  <c r="Q26" i="52"/>
  <c r="T19" i="45"/>
  <c r="X19" i="45"/>
  <c r="T20" i="48"/>
  <c r="Y20" i="48"/>
  <c r="AD51" i="37"/>
  <c r="AD67" i="37"/>
  <c r="AC495" i="97"/>
  <c r="V17" i="84"/>
  <c r="T24" i="52"/>
  <c r="V24" i="52"/>
  <c r="P19" i="84"/>
  <c r="T22" i="87"/>
  <c r="Y22" i="87"/>
  <c r="P19" i="52"/>
  <c r="T15" i="85"/>
  <c r="Z15" i="85"/>
  <c r="R8" i="85"/>
  <c r="AB39" i="37"/>
  <c r="AM17" i="56"/>
  <c r="O68" i="10"/>
  <c r="X152" i="10"/>
  <c r="X18" i="10"/>
  <c r="T105" i="44"/>
  <c r="T134" i="44" s="1"/>
  <c r="U904" i="97"/>
  <c r="G15" i="16"/>
  <c r="AL17" i="84"/>
  <c r="Z67" i="10"/>
  <c r="I17" i="64"/>
  <c r="AJ107" i="44"/>
  <c r="AJ136" i="44" s="1"/>
  <c r="AK808" i="97"/>
  <c r="T22" i="41"/>
  <c r="Y22" i="41"/>
  <c r="N8" i="45"/>
  <c r="T9" i="45"/>
  <c r="V9" i="45"/>
  <c r="Y39" i="37"/>
  <c r="Q26" i="101"/>
  <c r="T43" i="37"/>
  <c r="V17" i="88"/>
  <c r="T17" i="88"/>
  <c r="AF495" i="97"/>
  <c r="Z105" i="44"/>
  <c r="Z134" i="44" s="1"/>
  <c r="AA904" i="97"/>
  <c r="AO17" i="45"/>
  <c r="D70" i="10"/>
  <c r="BK5" i="16" l="1"/>
  <c r="BG5" i="16"/>
  <c r="AO5" i="16"/>
  <c r="Z21" i="87"/>
  <c r="C22" i="33"/>
  <c r="I25" i="101"/>
  <c r="Z21" i="88"/>
  <c r="AH21" i="88" s="1"/>
  <c r="Z21" i="95"/>
  <c r="AH21" i="95" s="1"/>
  <c r="Z21" i="64"/>
  <c r="Z18" i="64" s="1"/>
  <c r="Y26" i="101"/>
  <c r="AG26" i="101" s="1"/>
  <c r="AN26" i="101" s="1"/>
  <c r="AH21" i="60" s="1"/>
  <c r="AD18" i="10"/>
  <c r="BO15" i="104" s="1"/>
  <c r="Z21" i="84"/>
  <c r="Z18" i="84" s="1"/>
  <c r="AH152" i="10"/>
  <c r="O152" i="10"/>
  <c r="R18" i="41"/>
  <c r="F17" i="97" s="1"/>
  <c r="AG152" i="10"/>
  <c r="Y26" i="88"/>
  <c r="AG26" i="88" s="1"/>
  <c r="AN26" i="88" s="1"/>
  <c r="AB21" i="60" s="1"/>
  <c r="T26" i="51"/>
  <c r="Y26" i="51"/>
  <c r="AG26" i="51" s="1"/>
  <c r="AN26" i="51" s="1"/>
  <c r="G21" i="60" s="1"/>
  <c r="T26" i="84"/>
  <c r="R152" i="10"/>
  <c r="AT5" i="16"/>
  <c r="R18" i="99"/>
  <c r="AJ17" i="97" s="1"/>
  <c r="BA5" i="16"/>
  <c r="AH18" i="10"/>
  <c r="AK18" i="10" s="1"/>
  <c r="BR5" i="16"/>
  <c r="AR5" i="16"/>
  <c r="W18" i="10"/>
  <c r="AA18" i="32" s="1"/>
  <c r="J18" i="10"/>
  <c r="J117" i="10" s="1"/>
  <c r="T26" i="88"/>
  <c r="AJ24" i="16"/>
  <c r="O52" i="37"/>
  <c r="Y26" i="73"/>
  <c r="AG26" i="73" s="1"/>
  <c r="AN26" i="73" s="1"/>
  <c r="S21" i="60" s="1"/>
  <c r="Y26" i="96"/>
  <c r="T26" i="82"/>
  <c r="Y152" i="10"/>
  <c r="AA152" i="10"/>
  <c r="T26" i="85"/>
  <c r="T26" i="96"/>
  <c r="R18" i="50"/>
  <c r="L17" i="97" s="1"/>
  <c r="AC18" i="10"/>
  <c r="AJ27" i="89" s="1"/>
  <c r="C69" i="10"/>
  <c r="R18" i="49"/>
  <c r="AE18" i="10"/>
  <c r="AW27" i="103" s="1"/>
  <c r="AU5" i="16"/>
  <c r="AW5" i="16"/>
  <c r="T26" i="73"/>
  <c r="T26" i="56"/>
  <c r="BB6" i="16"/>
  <c r="BL6" i="16"/>
  <c r="AR6" i="16"/>
  <c r="BH6" i="16"/>
  <c r="P11" i="85"/>
  <c r="T11" i="85" s="1"/>
  <c r="AT6" i="16"/>
  <c r="AW6" i="16"/>
  <c r="BM6" i="16"/>
  <c r="AL6" i="16"/>
  <c r="AL10" i="16" s="1"/>
  <c r="F152" i="10"/>
  <c r="AZ6" i="16"/>
  <c r="AY6" i="16"/>
  <c r="AP6" i="16"/>
  <c r="AX6" i="16"/>
  <c r="AO6" i="16"/>
  <c r="BO6" i="16"/>
  <c r="BN6" i="16"/>
  <c r="BP6" i="16"/>
  <c r="BO5" i="16"/>
  <c r="AQ6" i="16"/>
  <c r="Z21" i="56"/>
  <c r="AH21" i="56" s="1"/>
  <c r="BF6" i="16"/>
  <c r="BJ6" i="16"/>
  <c r="AU6" i="16"/>
  <c r="BG6" i="16"/>
  <c r="BE6" i="16"/>
  <c r="BC6" i="16"/>
  <c r="Y26" i="52"/>
  <c r="AG26" i="52" s="1"/>
  <c r="AN26" i="52" s="1"/>
  <c r="F21" i="60" s="1"/>
  <c r="Y26" i="95"/>
  <c r="AG26" i="95" s="1"/>
  <c r="AN26" i="95" s="1"/>
  <c r="AD21" i="60" s="1"/>
  <c r="Y26" i="100"/>
  <c r="Y26" i="58"/>
  <c r="AG26" i="58" s="1"/>
  <c r="AN26" i="58" s="1"/>
  <c r="O21" i="60" s="1"/>
  <c r="Y26" i="82"/>
  <c r="AG26" i="82" s="1"/>
  <c r="AN26" i="82" s="1"/>
  <c r="W21" i="60" s="1"/>
  <c r="Y26" i="46"/>
  <c r="AG26" i="46" s="1"/>
  <c r="AN26" i="46" s="1"/>
  <c r="L21" i="60" s="1"/>
  <c r="Y26" i="49"/>
  <c r="AG26" i="49" s="1"/>
  <c r="AN26" i="49" s="1"/>
  <c r="I21" i="60" s="1"/>
  <c r="Y26" i="99"/>
  <c r="AG26" i="99" s="1"/>
  <c r="AN26" i="99" s="1"/>
  <c r="AF21" i="60" s="1"/>
  <c r="Y26" i="90"/>
  <c r="AG26" i="90" s="1"/>
  <c r="AN26" i="90" s="1"/>
  <c r="AC21" i="60" s="1"/>
  <c r="Y26" i="64"/>
  <c r="AG26" i="64" s="1"/>
  <c r="AN26" i="64" s="1"/>
  <c r="P21" i="60" s="1"/>
  <c r="Y26" i="53"/>
  <c r="AG26" i="53" s="1"/>
  <c r="AN26" i="53" s="1"/>
  <c r="E21" i="60" s="1"/>
  <c r="Y26" i="87"/>
  <c r="AG26" i="87" s="1"/>
  <c r="AN26" i="87" s="1"/>
  <c r="AA21" i="60" s="1"/>
  <c r="Y26" i="41"/>
  <c r="AG26" i="41" s="1"/>
  <c r="AN26" i="41" s="1"/>
  <c r="B21" i="60" s="1"/>
  <c r="Y26" i="50"/>
  <c r="AG26" i="50" s="1"/>
  <c r="AN26" i="50" s="1"/>
  <c r="H21" i="60" s="1"/>
  <c r="Y26" i="47"/>
  <c r="AG26" i="47" s="1"/>
  <c r="AN26" i="47" s="1"/>
  <c r="K21" i="60" s="1"/>
  <c r="Y26" i="45"/>
  <c r="AG26" i="45" s="1"/>
  <c r="AN26" i="45" s="1"/>
  <c r="C21" i="60" s="1"/>
  <c r="Y26" i="83"/>
  <c r="AG26" i="83" s="1"/>
  <c r="AN26" i="83" s="1"/>
  <c r="X21" i="60" s="1"/>
  <c r="Y26" i="56"/>
  <c r="AB26" i="56" s="1"/>
  <c r="Y26" i="85"/>
  <c r="AG26" i="85" s="1"/>
  <c r="AN26" i="85" s="1"/>
  <c r="Z21" i="60" s="1"/>
  <c r="Y26" i="77"/>
  <c r="AG26" i="77" s="1"/>
  <c r="AN26" i="77" s="1"/>
  <c r="T21" i="60" s="1"/>
  <c r="Y26" i="79"/>
  <c r="AG26" i="79" s="1"/>
  <c r="AN26" i="79" s="1"/>
  <c r="U21" i="60" s="1"/>
  <c r="Y26" i="81"/>
  <c r="AG26" i="81" s="1"/>
  <c r="AN26" i="81" s="1"/>
  <c r="V21" i="60" s="1"/>
  <c r="Y26" i="69"/>
  <c r="AG26" i="69" s="1"/>
  <c r="AN26" i="69" s="1"/>
  <c r="Q21" i="60" s="1"/>
  <c r="Y26" i="48"/>
  <c r="AG26" i="48" s="1"/>
  <c r="AN26" i="48" s="1"/>
  <c r="J21" i="60" s="1"/>
  <c r="Y26" i="84"/>
  <c r="AG26" i="84" s="1"/>
  <c r="AN26" i="84" s="1"/>
  <c r="Y21" i="60" s="1"/>
  <c r="Y26" i="72"/>
  <c r="AG26" i="72" s="1"/>
  <c r="AN26" i="72" s="1"/>
  <c r="R21" i="60" s="1"/>
  <c r="Y26" i="54"/>
  <c r="AG26" i="54" s="1"/>
  <c r="AN26" i="54" s="1"/>
  <c r="D21" i="60" s="1"/>
  <c r="Y26" i="55"/>
  <c r="AG26" i="55" s="1"/>
  <c r="AN26" i="55" s="1"/>
  <c r="M21" i="60" s="1"/>
  <c r="T26" i="90"/>
  <c r="AP5" i="16"/>
  <c r="BI5" i="16"/>
  <c r="AN5" i="16"/>
  <c r="BF5" i="16"/>
  <c r="BB5" i="16"/>
  <c r="AV5" i="16"/>
  <c r="BH5" i="16"/>
  <c r="BN5" i="16"/>
  <c r="AY5" i="16"/>
  <c r="BM5" i="16"/>
  <c r="AX5" i="16"/>
  <c r="AM5" i="16"/>
  <c r="BJ5" i="16"/>
  <c r="AS5" i="16"/>
  <c r="BE5" i="16"/>
  <c r="BD5" i="16"/>
  <c r="AZ5" i="16"/>
  <c r="BL5" i="16"/>
  <c r="BP5" i="16"/>
  <c r="BC5" i="16"/>
  <c r="AQ5" i="16"/>
  <c r="AL5" i="16"/>
  <c r="AL9" i="16" s="1"/>
  <c r="T26" i="64"/>
  <c r="P11" i="50"/>
  <c r="X11" i="50" s="1"/>
  <c r="P11" i="81"/>
  <c r="X11" i="81" s="1"/>
  <c r="T26" i="55"/>
  <c r="T26" i="58"/>
  <c r="T26" i="79"/>
  <c r="T26" i="72"/>
  <c r="T26" i="69"/>
  <c r="T26" i="41"/>
  <c r="T26" i="50"/>
  <c r="AE52" i="37"/>
  <c r="P11" i="83"/>
  <c r="P8" i="83" s="1"/>
  <c r="P11" i="47"/>
  <c r="X11" i="47" s="1"/>
  <c r="T26" i="47"/>
  <c r="P11" i="99"/>
  <c r="X11" i="99" s="1"/>
  <c r="AL135" i="2"/>
  <c r="T26" i="54"/>
  <c r="T26" i="81"/>
  <c r="P11" i="90"/>
  <c r="X11" i="90" s="1"/>
  <c r="V52" i="37"/>
  <c r="P11" i="96"/>
  <c r="P8" i="96" s="1"/>
  <c r="AI427" i="97" s="1"/>
  <c r="P11" i="88"/>
  <c r="P8" i="88" s="1"/>
  <c r="AF427" i="97" s="1"/>
  <c r="T26" i="95"/>
  <c r="P11" i="45"/>
  <c r="T11" i="45" s="1"/>
  <c r="P11" i="56"/>
  <c r="P8" i="56" s="1"/>
  <c r="T26" i="83"/>
  <c r="P11" i="58"/>
  <c r="X11" i="58" s="1"/>
  <c r="P11" i="84"/>
  <c r="T11" i="84" s="1"/>
  <c r="P11" i="64"/>
  <c r="P8" i="64" s="1"/>
  <c r="H729" i="97"/>
  <c r="G102" i="44"/>
  <c r="G131" i="44" s="1"/>
  <c r="AF12" i="47"/>
  <c r="AB12" i="47"/>
  <c r="V729" i="97"/>
  <c r="U102" i="44"/>
  <c r="U131" i="44" s="1"/>
  <c r="AE646" i="97"/>
  <c r="AE729" i="97"/>
  <c r="AD102" i="44"/>
  <c r="AD131" i="44" s="1"/>
  <c r="AB12" i="72"/>
  <c r="AF12" i="72"/>
  <c r="N729" i="97"/>
  <c r="M102" i="44"/>
  <c r="M131" i="44" s="1"/>
  <c r="C7" i="33"/>
  <c r="AK102" i="44"/>
  <c r="AL646" i="97"/>
  <c r="AL729" i="97"/>
  <c r="N102" i="44"/>
  <c r="N131" i="44" s="1"/>
  <c r="O729" i="97"/>
  <c r="T102" i="44"/>
  <c r="T131" i="44" s="1"/>
  <c r="U729" i="97"/>
  <c r="F729" i="97"/>
  <c r="E102" i="44"/>
  <c r="E131" i="44" s="1"/>
  <c r="AB12" i="69"/>
  <c r="AF12" i="69"/>
  <c r="AL24" i="2"/>
  <c r="E12" i="100"/>
  <c r="E8" i="100" s="1"/>
  <c r="I8" i="100" s="1"/>
  <c r="AB12" i="56"/>
  <c r="AF12" i="56"/>
  <c r="I11" i="100"/>
  <c r="AB12" i="45"/>
  <c r="AF12" i="45"/>
  <c r="P11" i="46"/>
  <c r="AB12" i="55"/>
  <c r="AF12" i="55"/>
  <c r="AF12" i="64"/>
  <c r="AB12" i="64"/>
  <c r="AB12" i="49"/>
  <c r="AF12" i="49"/>
  <c r="P11" i="82"/>
  <c r="T26" i="77"/>
  <c r="AB12" i="88"/>
  <c r="AF12" i="88"/>
  <c r="P11" i="72"/>
  <c r="O102" i="44"/>
  <c r="O131" i="44" s="1"/>
  <c r="P729" i="97"/>
  <c r="K102" i="44"/>
  <c r="K131" i="44" s="1"/>
  <c r="L729" i="97"/>
  <c r="AH14" i="37"/>
  <c r="AF12" i="54"/>
  <c r="AB12" i="54"/>
  <c r="AB729" i="97"/>
  <c r="AB646" i="97"/>
  <c r="AA102" i="44"/>
  <c r="AA131" i="44" s="1"/>
  <c r="AB12" i="101"/>
  <c r="AF12" i="101"/>
  <c r="AF729" i="97"/>
  <c r="AE102" i="44"/>
  <c r="AE131" i="44" s="1"/>
  <c r="AF646" i="97"/>
  <c r="R729" i="97"/>
  <c r="Q102" i="44"/>
  <c r="Q131" i="44" s="1"/>
  <c r="AG646" i="97"/>
  <c r="AF102" i="44"/>
  <c r="AF131" i="44" s="1"/>
  <c r="AG729" i="97"/>
  <c r="AB12" i="73"/>
  <c r="AF12" i="73"/>
  <c r="AF12" i="81"/>
  <c r="AB12" i="81"/>
  <c r="AD646" i="97"/>
  <c r="AC102" i="44"/>
  <c r="AC131" i="44" s="1"/>
  <c r="AD729" i="97"/>
  <c r="G729" i="97"/>
  <c r="F102" i="44"/>
  <c r="F131" i="44" s="1"/>
  <c r="CG7" i="70"/>
  <c r="AJ75" i="44"/>
  <c r="K11" i="100"/>
  <c r="K8" i="100" s="1"/>
  <c r="AB12" i="41"/>
  <c r="AF12" i="41"/>
  <c r="J102" i="44"/>
  <c r="J131" i="44" s="1"/>
  <c r="K729" i="97"/>
  <c r="AB12" i="53"/>
  <c r="AF12" i="53"/>
  <c r="AB12" i="52"/>
  <c r="AF12" i="52"/>
  <c r="P11" i="73"/>
  <c r="P11" i="55"/>
  <c r="P11" i="48"/>
  <c r="P11" i="54"/>
  <c r="P11" i="95"/>
  <c r="AB12" i="95"/>
  <c r="AF12" i="95"/>
  <c r="AH102" i="44"/>
  <c r="AH131" i="44" s="1"/>
  <c r="AI729" i="97"/>
  <c r="AI646" i="97"/>
  <c r="AI102" i="44"/>
  <c r="AI131" i="44" s="1"/>
  <c r="AJ646" i="97"/>
  <c r="AJ729" i="97"/>
  <c r="AB12" i="85"/>
  <c r="AF12" i="85"/>
  <c r="X729" i="97"/>
  <c r="W102" i="44"/>
  <c r="W131" i="44" s="1"/>
  <c r="P11" i="101"/>
  <c r="P11" i="49"/>
  <c r="I102" i="44"/>
  <c r="I131" i="44" s="1"/>
  <c r="J729" i="97"/>
  <c r="AB12" i="87"/>
  <c r="AF12" i="87"/>
  <c r="P11" i="79"/>
  <c r="M729" i="97"/>
  <c r="M646" i="97"/>
  <c r="L102" i="44"/>
  <c r="L131" i="44" s="1"/>
  <c r="P11" i="51"/>
  <c r="AF12" i="96"/>
  <c r="AB12" i="96"/>
  <c r="AF12" i="58"/>
  <c r="AB12" i="58"/>
  <c r="AB12" i="50"/>
  <c r="AF12" i="50"/>
  <c r="Z729" i="97"/>
  <c r="Y102" i="44"/>
  <c r="Y131" i="44" s="1"/>
  <c r="Z646" i="97"/>
  <c r="P11" i="52"/>
  <c r="W729" i="97"/>
  <c r="V102" i="44"/>
  <c r="V131" i="44" s="1"/>
  <c r="AF12" i="84"/>
  <c r="AB12" i="84"/>
  <c r="AC646" i="97"/>
  <c r="AC729" i="97"/>
  <c r="AB102" i="44"/>
  <c r="AB131" i="44" s="1"/>
  <c r="P102" i="44"/>
  <c r="P131" i="44" s="1"/>
  <c r="Q729" i="97"/>
  <c r="P11" i="53"/>
  <c r="T729" i="97"/>
  <c r="S102" i="44"/>
  <c r="S131" i="44" s="1"/>
  <c r="AB12" i="83"/>
  <c r="AF12" i="83"/>
  <c r="AF12" i="51"/>
  <c r="AB12" i="51"/>
  <c r="X102" i="44"/>
  <c r="X131" i="44" s="1"/>
  <c r="Y729" i="97"/>
  <c r="AF12" i="99"/>
  <c r="AB12" i="99"/>
  <c r="P11" i="41"/>
  <c r="P11" i="87"/>
  <c r="I729" i="97"/>
  <c r="H102" i="44"/>
  <c r="H131" i="44" s="1"/>
  <c r="AB12" i="82"/>
  <c r="AF12" i="82"/>
  <c r="AA646" i="97"/>
  <c r="AA729" i="97"/>
  <c r="Z102" i="44"/>
  <c r="Z131" i="44" s="1"/>
  <c r="AH729" i="97"/>
  <c r="AH646" i="97"/>
  <c r="AG102" i="44"/>
  <c r="AG131" i="44" s="1"/>
  <c r="AB12" i="46"/>
  <c r="AF12" i="46"/>
  <c r="P11" i="69"/>
  <c r="P11" i="77"/>
  <c r="AF12" i="90"/>
  <c r="AB12" i="90"/>
  <c r="AF12" i="79"/>
  <c r="AB12" i="79"/>
  <c r="R102" i="44"/>
  <c r="R131" i="44" s="1"/>
  <c r="S729" i="97"/>
  <c r="AB12" i="48"/>
  <c r="AF12" i="48"/>
  <c r="AF12" i="77"/>
  <c r="AB12" i="77"/>
  <c r="T161" i="44"/>
  <c r="T188" i="44"/>
  <c r="U903" i="97"/>
  <c r="AB22" i="90"/>
  <c r="AG22" i="90"/>
  <c r="AE37" i="45"/>
  <c r="AD144" i="10"/>
  <c r="AD16" i="10"/>
  <c r="N16" i="10"/>
  <c r="N144" i="10"/>
  <c r="AH15" i="56"/>
  <c r="AB15" i="56"/>
  <c r="Z8" i="56"/>
  <c r="X19" i="72"/>
  <c r="T19" i="72"/>
  <c r="AE161" i="44"/>
  <c r="AF903" i="97"/>
  <c r="AE188" i="44"/>
  <c r="N148" i="10"/>
  <c r="N17" i="10"/>
  <c r="G458" i="97"/>
  <c r="AH15" i="95"/>
  <c r="Z8" i="95"/>
  <c r="AB15" i="95"/>
  <c r="AE37" i="55"/>
  <c r="X19" i="46"/>
  <c r="T19" i="46"/>
  <c r="Z18" i="77"/>
  <c r="AH21" i="77"/>
  <c r="AD9" i="45"/>
  <c r="AB9" i="45"/>
  <c r="V8" i="45"/>
  <c r="Z16" i="10"/>
  <c r="Z144" i="10"/>
  <c r="AD23" i="97"/>
  <c r="R43" i="85"/>
  <c r="X19" i="84"/>
  <c r="T19" i="84"/>
  <c r="AB10" i="53"/>
  <c r="W8" i="53"/>
  <c r="AE10" i="53"/>
  <c r="AF458" i="97"/>
  <c r="X19" i="50"/>
  <c r="T19" i="50"/>
  <c r="F17" i="10"/>
  <c r="F148" i="10"/>
  <c r="AE28" i="45"/>
  <c r="AD148" i="10"/>
  <c r="AD17" i="10"/>
  <c r="V8" i="54"/>
  <c r="AD9" i="54"/>
  <c r="AB9" i="54"/>
  <c r="AG22" i="85"/>
  <c r="AB22" i="85"/>
  <c r="AB22" i="73"/>
  <c r="AG22" i="73"/>
  <c r="W144" i="10"/>
  <c r="W16" i="10"/>
  <c r="BT15" i="98"/>
  <c r="BT15" i="104"/>
  <c r="AI117" i="10"/>
  <c r="AP27" i="89"/>
  <c r="BA27" i="103"/>
  <c r="H19" i="10"/>
  <c r="H156" i="10"/>
  <c r="AE37" i="77"/>
  <c r="N23" i="97"/>
  <c r="R43" i="48"/>
  <c r="Z8" i="50"/>
  <c r="AH15" i="50"/>
  <c r="AB15" i="50"/>
  <c r="AE10" i="45"/>
  <c r="W8" i="45"/>
  <c r="AB10" i="45"/>
  <c r="AH23" i="97"/>
  <c r="R43" i="95"/>
  <c r="H148" i="44"/>
  <c r="I807" i="97" s="1"/>
  <c r="H118" i="44"/>
  <c r="AG144" i="10"/>
  <c r="AG16" i="10"/>
  <c r="AF483" i="97"/>
  <c r="U161" i="44"/>
  <c r="U188" i="44"/>
  <c r="V903" i="97"/>
  <c r="T136" i="44"/>
  <c r="T163" i="44" s="1"/>
  <c r="AE23" i="41"/>
  <c r="T19" i="48"/>
  <c r="X19" i="48"/>
  <c r="AF26" i="95"/>
  <c r="T26" i="48"/>
  <c r="AH21" i="69"/>
  <c r="Z18" i="69"/>
  <c r="AJ458" i="97"/>
  <c r="AF26" i="51"/>
  <c r="T118" i="44"/>
  <c r="T148" i="44"/>
  <c r="W23" i="97"/>
  <c r="R43" i="73"/>
  <c r="AG68" i="37"/>
  <c r="AG52" i="37"/>
  <c r="AB20" i="58"/>
  <c r="AG20" i="58"/>
  <c r="U18" i="32"/>
  <c r="BB15" i="71"/>
  <c r="BC15" i="98"/>
  <c r="AJ27" i="103"/>
  <c r="Y27" i="89"/>
  <c r="BC15" i="104"/>
  <c r="R117" i="10"/>
  <c r="AB22" i="69"/>
  <c r="AG22" i="69"/>
  <c r="O458" i="97"/>
  <c r="E10" i="33"/>
  <c r="AK134" i="44"/>
  <c r="AR103" i="44"/>
  <c r="G16" i="10"/>
  <c r="G144" i="10"/>
  <c r="AA163" i="44"/>
  <c r="AA190" i="44"/>
  <c r="W8" i="82"/>
  <c r="AE10" i="82"/>
  <c r="AB10" i="82"/>
  <c r="AM26" i="72"/>
  <c r="AD17" i="49"/>
  <c r="N52" i="37"/>
  <c r="L148" i="10"/>
  <c r="L17" i="10"/>
  <c r="AB10" i="81"/>
  <c r="AE10" i="81"/>
  <c r="W8" i="81"/>
  <c r="Q52" i="37"/>
  <c r="Q68" i="37"/>
  <c r="AE23" i="99"/>
  <c r="AD17" i="77"/>
  <c r="AB15" i="51"/>
  <c r="AH15" i="51"/>
  <c r="Z8" i="51"/>
  <c r="F118" i="44"/>
  <c r="F148" i="44"/>
  <c r="G807" i="97" s="1"/>
  <c r="AK23" i="97"/>
  <c r="R43" i="100"/>
  <c r="AB20" i="84"/>
  <c r="AG20" i="84"/>
  <c r="Q489" i="97"/>
  <c r="N43" i="55"/>
  <c r="AE23" i="54"/>
  <c r="Z8" i="64"/>
  <c r="AB15" i="64"/>
  <c r="AH15" i="64"/>
  <c r="AE458" i="97"/>
  <c r="O489" i="97"/>
  <c r="N43" i="47"/>
  <c r="AB9" i="48"/>
  <c r="V8" i="48"/>
  <c r="AD9" i="48"/>
  <c r="AG20" i="51"/>
  <c r="AB20" i="51"/>
  <c r="AB24" i="85"/>
  <c r="AD24" i="85"/>
  <c r="AB9" i="49"/>
  <c r="AD9" i="49"/>
  <c r="V8" i="49"/>
  <c r="AD23" i="55"/>
  <c r="AB23" i="55"/>
  <c r="V18" i="55"/>
  <c r="Y163" i="44"/>
  <c r="Y190" i="44"/>
  <c r="Z18" i="85"/>
  <c r="AH21" i="85"/>
  <c r="AE37" i="87"/>
  <c r="P118" i="44"/>
  <c r="P148" i="44"/>
  <c r="Q807" i="97" s="1"/>
  <c r="G52" i="37"/>
  <c r="W8" i="84"/>
  <c r="AB10" i="84"/>
  <c r="AE10" i="84"/>
  <c r="AB458" i="97"/>
  <c r="Z8" i="53"/>
  <c r="AH15" i="53"/>
  <c r="AB15" i="53"/>
  <c r="AD24" i="82"/>
  <c r="AB24" i="82"/>
  <c r="AH21" i="55"/>
  <c r="Z18" i="55"/>
  <c r="AB24" i="69"/>
  <c r="AD24" i="69"/>
  <c r="P17" i="77"/>
  <c r="I17" i="77"/>
  <c r="R458" i="97"/>
  <c r="AB15" i="87"/>
  <c r="Z8" i="87"/>
  <c r="AH15" i="87"/>
  <c r="AD24" i="77"/>
  <c r="AB24" i="77"/>
  <c r="AH15" i="88"/>
  <c r="AB15" i="88"/>
  <c r="Z8" i="88"/>
  <c r="S458" i="97"/>
  <c r="T26" i="53"/>
  <c r="I161" i="44"/>
  <c r="J903" i="97"/>
  <c r="I188" i="44"/>
  <c r="AD17" i="50"/>
  <c r="AB17" i="50"/>
  <c r="AD23" i="79"/>
  <c r="AB23" i="79"/>
  <c r="V18" i="79"/>
  <c r="V43" i="79" s="1"/>
  <c r="AE23" i="51"/>
  <c r="AB23" i="99"/>
  <c r="AD23" i="99"/>
  <c r="V18" i="99"/>
  <c r="V43" i="99" s="1"/>
  <c r="AH15" i="101"/>
  <c r="Z8" i="101"/>
  <c r="AB15" i="101"/>
  <c r="V458" i="97"/>
  <c r="Z8" i="52"/>
  <c r="AH15" i="52"/>
  <c r="AB15" i="52"/>
  <c r="AE23" i="50"/>
  <c r="AB23" i="48"/>
  <c r="AD23" i="48"/>
  <c r="V18" i="48"/>
  <c r="F117" i="10"/>
  <c r="AP15" i="71"/>
  <c r="AQ15" i="98"/>
  <c r="F16" i="59"/>
  <c r="M27" i="89"/>
  <c r="AQ15" i="104"/>
  <c r="I18" i="32"/>
  <c r="X27" i="103"/>
  <c r="AE23" i="47"/>
  <c r="AB20" i="55"/>
  <c r="AG20" i="55"/>
  <c r="S161" i="44"/>
  <c r="T903" i="97"/>
  <c r="S188" i="44"/>
  <c r="AE28" i="90"/>
  <c r="AF26" i="47"/>
  <c r="K52" i="37"/>
  <c r="AF26" i="49"/>
  <c r="AF26" i="99"/>
  <c r="AE27" i="89"/>
  <c r="X117" i="10"/>
  <c r="BH15" i="71"/>
  <c r="AP27" i="103"/>
  <c r="BI15" i="104"/>
  <c r="BI15" i="98"/>
  <c r="Z8" i="85"/>
  <c r="AH15" i="85"/>
  <c r="AB15" i="85"/>
  <c r="AD24" i="52"/>
  <c r="AB24" i="52"/>
  <c r="W8" i="41"/>
  <c r="AE10" i="41"/>
  <c r="AB10" i="41"/>
  <c r="K18" i="32"/>
  <c r="Z27" i="103"/>
  <c r="AS15" i="104"/>
  <c r="AR15" i="71"/>
  <c r="O27" i="89"/>
  <c r="H16" i="59"/>
  <c r="AS15" i="98"/>
  <c r="H117" i="10"/>
  <c r="AB10" i="88"/>
  <c r="AE10" i="88"/>
  <c r="W8" i="88"/>
  <c r="E118" i="44"/>
  <c r="E148" i="44"/>
  <c r="F807" i="97" s="1"/>
  <c r="N163" i="44"/>
  <c r="N190" i="44"/>
  <c r="AI163" i="44"/>
  <c r="AI190" i="44"/>
  <c r="M19" i="10"/>
  <c r="M156" i="10"/>
  <c r="AB9" i="58"/>
  <c r="AD9" i="58"/>
  <c r="V8" i="58"/>
  <c r="AE28" i="88"/>
  <c r="AG22" i="49"/>
  <c r="AB22" i="49"/>
  <c r="AH21" i="87"/>
  <c r="Z18" i="87"/>
  <c r="AE37" i="50"/>
  <c r="D144" i="10"/>
  <c r="D16" i="10"/>
  <c r="AB24" i="95"/>
  <c r="AD24" i="95"/>
  <c r="AD24" i="101"/>
  <c r="AB24" i="101"/>
  <c r="AB15" i="48"/>
  <c r="Z8" i="48"/>
  <c r="AH15" i="48"/>
  <c r="L23" i="97"/>
  <c r="H68" i="37"/>
  <c r="H52" i="37"/>
  <c r="AE23" i="88"/>
  <c r="Q23" i="97"/>
  <c r="R43" i="55"/>
  <c r="O483" i="97"/>
  <c r="AB24" i="90"/>
  <c r="AD24" i="90"/>
  <c r="T19" i="77"/>
  <c r="X19" i="77"/>
  <c r="AF26" i="83"/>
  <c r="AI144" i="10"/>
  <c r="AI16" i="10"/>
  <c r="AJ67" i="10"/>
  <c r="AB20" i="99"/>
  <c r="AG20" i="99"/>
  <c r="AD24" i="46"/>
  <c r="AB24" i="46"/>
  <c r="AD52" i="37"/>
  <c r="AD68" i="37"/>
  <c r="AF26" i="48"/>
  <c r="AY15" i="71"/>
  <c r="R18" i="32"/>
  <c r="AG27" i="103"/>
  <c r="AZ15" i="98"/>
  <c r="AZ15" i="104"/>
  <c r="O16" i="59"/>
  <c r="V27" i="89"/>
  <c r="O117" i="10"/>
  <c r="AD24" i="88"/>
  <c r="AB24" i="88"/>
  <c r="AC161" i="44"/>
  <c r="AC188" i="44"/>
  <c r="AD903" i="97"/>
  <c r="AF26" i="77"/>
  <c r="AE37" i="101"/>
  <c r="AB17" i="81"/>
  <c r="AD17" i="81"/>
  <c r="AG161" i="44"/>
  <c r="AG188" i="44"/>
  <c r="AH903" i="97"/>
  <c r="AB24" i="41"/>
  <c r="AD24" i="41"/>
  <c r="AE28" i="56"/>
  <c r="I483" i="97"/>
  <c r="J163" i="44"/>
  <c r="J190" i="44"/>
  <c r="X161" i="44"/>
  <c r="X188" i="44"/>
  <c r="Y903" i="97"/>
  <c r="AF68" i="37"/>
  <c r="AF52" i="37"/>
  <c r="AG22" i="72"/>
  <c r="AB22" i="72"/>
  <c r="AF26" i="82"/>
  <c r="AE23" i="52"/>
  <c r="K23" i="97"/>
  <c r="R43" i="51"/>
  <c r="AF26" i="41"/>
  <c r="AB10" i="95"/>
  <c r="AE10" i="95"/>
  <c r="W8" i="95"/>
  <c r="AD9" i="52"/>
  <c r="AB9" i="52"/>
  <c r="V8" i="52"/>
  <c r="V8" i="55"/>
  <c r="AB9" i="55"/>
  <c r="AD9" i="55"/>
  <c r="AD17" i="48"/>
  <c r="AB17" i="48"/>
  <c r="AB22" i="83"/>
  <c r="AG22" i="83"/>
  <c r="AF118" i="44"/>
  <c r="AF148" i="44"/>
  <c r="AG807" i="97" s="1"/>
  <c r="K483" i="97"/>
  <c r="AJ161" i="44"/>
  <c r="AJ188" i="44"/>
  <c r="AK903" i="97"/>
  <c r="Z23" i="97"/>
  <c r="R43" i="81"/>
  <c r="K489" i="97"/>
  <c r="N43" i="51"/>
  <c r="AG22" i="58"/>
  <c r="AB22" i="58"/>
  <c r="AE28" i="46"/>
  <c r="J161" i="44"/>
  <c r="K903" i="97"/>
  <c r="J188" i="44"/>
  <c r="Z18" i="96"/>
  <c r="AH21" i="96"/>
  <c r="V8" i="47"/>
  <c r="AD9" i="47"/>
  <c r="AB9" i="47"/>
  <c r="N161" i="44"/>
  <c r="O903" i="97"/>
  <c r="N188" i="44"/>
  <c r="X23" i="97"/>
  <c r="R43" i="77"/>
  <c r="O163" i="44"/>
  <c r="O190" i="44"/>
  <c r="AD17" i="55"/>
  <c r="AB17" i="55"/>
  <c r="AA17" i="10"/>
  <c r="AA148" i="10"/>
  <c r="AH144" i="10"/>
  <c r="AH16" i="10"/>
  <c r="AE28" i="99"/>
  <c r="AD17" i="100"/>
  <c r="W458" i="97"/>
  <c r="AE37" i="69"/>
  <c r="X156" i="10"/>
  <c r="X19" i="10"/>
  <c r="I23" i="97"/>
  <c r="R43" i="53"/>
  <c r="AD23" i="49"/>
  <c r="AB23" i="49"/>
  <c r="V18" i="49"/>
  <c r="AG20" i="49"/>
  <c r="AB20" i="49"/>
  <c r="AH161" i="44"/>
  <c r="AI903" i="97"/>
  <c r="AH188" i="44"/>
  <c r="U48" i="37"/>
  <c r="U15" i="16"/>
  <c r="L483" i="97"/>
  <c r="AB144" i="10"/>
  <c r="AB16" i="10"/>
  <c r="AG20" i="82"/>
  <c r="AB20" i="82"/>
  <c r="AD17" i="82"/>
  <c r="AB17" i="82"/>
  <c r="AM27" i="103"/>
  <c r="BF15" i="104"/>
  <c r="BE15" i="71"/>
  <c r="BF15" i="98"/>
  <c r="AB27" i="89"/>
  <c r="U117" i="10"/>
  <c r="X18" i="32"/>
  <c r="L489" i="97"/>
  <c r="N43" i="50"/>
  <c r="AF23" i="97"/>
  <c r="R43" i="88"/>
  <c r="W8" i="58"/>
  <c r="AB10" i="58"/>
  <c r="AE10" i="58"/>
  <c r="R161" i="44"/>
  <c r="S903" i="97"/>
  <c r="R188" i="44"/>
  <c r="I68" i="37"/>
  <c r="I52" i="37"/>
  <c r="AF26" i="53"/>
  <c r="AB20" i="52"/>
  <c r="AG20" i="52"/>
  <c r="AE37" i="99"/>
  <c r="AE37" i="56"/>
  <c r="AG148" i="44"/>
  <c r="AH807" i="97" s="1"/>
  <c r="AG118" i="44"/>
  <c r="AB22" i="54"/>
  <c r="AG22" i="54"/>
  <c r="J23" i="97"/>
  <c r="R43" i="52"/>
  <c r="T26" i="101"/>
  <c r="BI15" i="71"/>
  <c r="BJ15" i="104"/>
  <c r="BJ15" i="98"/>
  <c r="AB18" i="32"/>
  <c r="AF27" i="89"/>
  <c r="Y117" i="10"/>
  <c r="AQ27" i="103"/>
  <c r="AF26" i="54"/>
  <c r="W8" i="69"/>
  <c r="AE10" i="69"/>
  <c r="AB10" i="69"/>
  <c r="AB23" i="97"/>
  <c r="R43" i="83"/>
  <c r="U156" i="10"/>
  <c r="U19" i="10"/>
  <c r="Z18" i="51"/>
  <c r="AH21" i="51"/>
  <c r="P483" i="97"/>
  <c r="D19" i="10"/>
  <c r="D156" i="10"/>
  <c r="AD17" i="88"/>
  <c r="AB17" i="88"/>
  <c r="G489" i="97"/>
  <c r="N43" i="45"/>
  <c r="BM15" i="104"/>
  <c r="AT27" i="103"/>
  <c r="BM15" i="98"/>
  <c r="BL15" i="71"/>
  <c r="AI27" i="89"/>
  <c r="AE18" i="32"/>
  <c r="AB117" i="10"/>
  <c r="AH483" i="97"/>
  <c r="S489" i="97"/>
  <c r="N43" i="58"/>
  <c r="AG22" i="100"/>
  <c r="AB22" i="100"/>
  <c r="AD24" i="100"/>
  <c r="AB24" i="100"/>
  <c r="F23" i="97"/>
  <c r="P17" i="46"/>
  <c r="I17" i="46"/>
  <c r="Y23" i="97"/>
  <c r="R43" i="79"/>
  <c r="L134" i="44"/>
  <c r="L161" i="44" s="1"/>
  <c r="I136" i="44"/>
  <c r="I163" i="44" s="1"/>
  <c r="AE37" i="48"/>
  <c r="AB15" i="49"/>
  <c r="AH15" i="49"/>
  <c r="Z8" i="49"/>
  <c r="M16" i="10"/>
  <c r="M144" i="10"/>
  <c r="X163" i="44"/>
  <c r="X190" i="44"/>
  <c r="AB10" i="96"/>
  <c r="W8" i="96"/>
  <c r="AE10" i="96"/>
  <c r="AB20" i="47"/>
  <c r="AG20" i="47"/>
  <c r="AE28" i="50"/>
  <c r="AD23" i="47"/>
  <c r="AB23" i="47"/>
  <c r="V18" i="47"/>
  <c r="T19" i="58"/>
  <c r="X19" i="58"/>
  <c r="AD23" i="88"/>
  <c r="AB23" i="88"/>
  <c r="V18" i="88"/>
  <c r="V43" i="88" s="1"/>
  <c r="AE28" i="52"/>
  <c r="P17" i="49"/>
  <c r="I17" i="49"/>
  <c r="AB15" i="73"/>
  <c r="Z8" i="73"/>
  <c r="AH15" i="73"/>
  <c r="F483" i="97"/>
  <c r="AE37" i="49"/>
  <c r="Y52" i="37"/>
  <c r="Y68" i="37"/>
  <c r="O161" i="44"/>
  <c r="P903" i="97"/>
  <c r="O188" i="44"/>
  <c r="AE37" i="53"/>
  <c r="BP15" i="71"/>
  <c r="AX27" i="103"/>
  <c r="AF117" i="10"/>
  <c r="BQ15" i="104"/>
  <c r="BQ15" i="98"/>
  <c r="AM27" i="89"/>
  <c r="AH21" i="90"/>
  <c r="Z18" i="90"/>
  <c r="AB23" i="53"/>
  <c r="AD23" i="53"/>
  <c r="V18" i="53"/>
  <c r="W161" i="44"/>
  <c r="X903" i="97"/>
  <c r="W188" i="44"/>
  <c r="AD24" i="81"/>
  <c r="AB24" i="81"/>
  <c r="AE23" i="49"/>
  <c r="Z18" i="81"/>
  <c r="AH21" i="81"/>
  <c r="AD24" i="48"/>
  <c r="AB24" i="48"/>
  <c r="T458" i="97"/>
  <c r="AH21" i="58"/>
  <c r="Z18" i="58"/>
  <c r="X458" i="97"/>
  <c r="AH21" i="100"/>
  <c r="Z18" i="100"/>
  <c r="Y17" i="10"/>
  <c r="Y148" i="10"/>
  <c r="X16" i="10"/>
  <c r="X144" i="10"/>
  <c r="L16" i="10"/>
  <c r="L144" i="10"/>
  <c r="AG23" i="97"/>
  <c r="R43" i="90"/>
  <c r="V16" i="10"/>
  <c r="V144" i="10"/>
  <c r="AB23" i="54"/>
  <c r="AD23" i="54"/>
  <c r="V18" i="54"/>
  <c r="AB23" i="51"/>
  <c r="AD23" i="51"/>
  <c r="V18" i="51"/>
  <c r="T23" i="97"/>
  <c r="R43" i="64"/>
  <c r="AE10" i="87"/>
  <c r="AB10" i="87"/>
  <c r="W8" i="87"/>
  <c r="Q118" i="44"/>
  <c r="Q148" i="44"/>
  <c r="AF148" i="10"/>
  <c r="AF17" i="10"/>
  <c r="Q148" i="10"/>
  <c r="Q17" i="10"/>
  <c r="Z163" i="44"/>
  <c r="Z190" i="44"/>
  <c r="AH37" i="41"/>
  <c r="H144" i="10"/>
  <c r="H16" i="10"/>
  <c r="N489" i="97"/>
  <c r="N43" i="48"/>
  <c r="Z18" i="54"/>
  <c r="AH21" i="54"/>
  <c r="F19" i="10"/>
  <c r="F156" i="10"/>
  <c r="AB19" i="49"/>
  <c r="AF19" i="49"/>
  <c r="Z483" i="97"/>
  <c r="AF26" i="58"/>
  <c r="AE28" i="58"/>
  <c r="AH148" i="44"/>
  <c r="AI807" i="97" s="1"/>
  <c r="AH118" i="44"/>
  <c r="AB24" i="55"/>
  <c r="AD24" i="55"/>
  <c r="Z8" i="45"/>
  <c r="AB15" i="45"/>
  <c r="AH15" i="45"/>
  <c r="P489" i="97"/>
  <c r="N43" i="46"/>
  <c r="AB10" i="56"/>
  <c r="AE10" i="56"/>
  <c r="W8" i="56"/>
  <c r="AE23" i="97"/>
  <c r="R43" i="87"/>
  <c r="AD17" i="46"/>
  <c r="BK15" i="104"/>
  <c r="BK15" i="98"/>
  <c r="Z117" i="10"/>
  <c r="AG27" i="89"/>
  <c r="AC18" i="32"/>
  <c r="AR27" i="103"/>
  <c r="BJ15" i="71"/>
  <c r="V8" i="50"/>
  <c r="AD9" i="50"/>
  <c r="AB9" i="50"/>
  <c r="X483" i="97"/>
  <c r="F163" i="44"/>
  <c r="F190" i="44"/>
  <c r="R163" i="44"/>
  <c r="R190" i="44"/>
  <c r="AK136" i="44"/>
  <c r="E12" i="33"/>
  <c r="AR104" i="44"/>
  <c r="T26" i="100"/>
  <c r="AF144" i="10"/>
  <c r="AF16" i="10"/>
  <c r="AC17" i="10"/>
  <c r="AC148" i="10"/>
  <c r="S23" i="97"/>
  <c r="R43" i="58"/>
  <c r="S483" i="97"/>
  <c r="R43" i="101"/>
  <c r="AL23" i="97"/>
  <c r="AC483" i="97"/>
  <c r="AF26" i="101"/>
  <c r="AE37" i="84"/>
  <c r="AB22" i="51"/>
  <c r="AG22" i="51"/>
  <c r="AB24" i="51"/>
  <c r="AD24" i="51"/>
  <c r="AE37" i="72"/>
  <c r="AG22" i="77"/>
  <c r="AB22" i="77"/>
  <c r="Z8" i="83"/>
  <c r="AH15" i="83"/>
  <c r="AB15" i="83"/>
  <c r="AB20" i="56"/>
  <c r="AG20" i="56"/>
  <c r="AB17" i="96"/>
  <c r="AD17" i="96"/>
  <c r="X52" i="37"/>
  <c r="F52" i="37"/>
  <c r="AG20" i="48"/>
  <c r="AB20" i="48"/>
  <c r="F458" i="97"/>
  <c r="T19" i="73"/>
  <c r="X19" i="73"/>
  <c r="H17" i="10"/>
  <c r="H148" i="10"/>
  <c r="AB15" i="47"/>
  <c r="Z8" i="47"/>
  <c r="AH15" i="47"/>
  <c r="Z8" i="41"/>
  <c r="AH15" i="41"/>
  <c r="AB15" i="41"/>
  <c r="AE37" i="95"/>
  <c r="M15" i="16"/>
  <c r="M48" i="37"/>
  <c r="L68" i="37"/>
  <c r="L52" i="37"/>
  <c r="AD17" i="56"/>
  <c r="AB17" i="56"/>
  <c r="AH15" i="79"/>
  <c r="Z8" i="79"/>
  <c r="AB15" i="79"/>
  <c r="AB24" i="45"/>
  <c r="AD24" i="45"/>
  <c r="AE28" i="69"/>
  <c r="AE28" i="83"/>
  <c r="AH21" i="79"/>
  <c r="Z18" i="79"/>
  <c r="AG20" i="41"/>
  <c r="AB20" i="41"/>
  <c r="AI458" i="97"/>
  <c r="AH15" i="55"/>
  <c r="AB15" i="55"/>
  <c r="Z8" i="55"/>
  <c r="AD17" i="52"/>
  <c r="AB17" i="52"/>
  <c r="AE23" i="85"/>
  <c r="AE28" i="84"/>
  <c r="P17" i="69"/>
  <c r="I17" i="69"/>
  <c r="AB17" i="83"/>
  <c r="AD17" i="83"/>
  <c r="AK483" i="97"/>
  <c r="AG22" i="81"/>
  <c r="AB22" i="81"/>
  <c r="W8" i="52"/>
  <c r="AB10" i="52"/>
  <c r="AE10" i="52"/>
  <c r="J15" i="16"/>
  <c r="J48" i="37"/>
  <c r="AH15" i="54"/>
  <c r="AB15" i="54"/>
  <c r="Z8" i="54"/>
  <c r="AB24" i="87"/>
  <c r="AD24" i="87"/>
  <c r="AB23" i="41"/>
  <c r="AD23" i="41"/>
  <c r="V18" i="41"/>
  <c r="AB22" i="55"/>
  <c r="AG22" i="55"/>
  <c r="AE23" i="55"/>
  <c r="Q19" i="10"/>
  <c r="Q156" i="10"/>
  <c r="L19" i="10"/>
  <c r="L156" i="10"/>
  <c r="W27" i="89"/>
  <c r="BA15" i="98"/>
  <c r="AZ15" i="71"/>
  <c r="S18" i="32"/>
  <c r="P16" i="59"/>
  <c r="AH27" i="103"/>
  <c r="P117" i="10"/>
  <c r="BA15" i="104"/>
  <c r="AE23" i="95"/>
  <c r="F16" i="10"/>
  <c r="F144" i="10"/>
  <c r="T19" i="47"/>
  <c r="X19" i="47"/>
  <c r="AB24" i="49"/>
  <c r="AD24" i="49"/>
  <c r="O144" i="10"/>
  <c r="O16" i="10"/>
  <c r="AB9" i="69"/>
  <c r="AD9" i="69"/>
  <c r="V8" i="69"/>
  <c r="V148" i="10"/>
  <c r="V17" i="10"/>
  <c r="W8" i="64"/>
  <c r="AE10" i="64"/>
  <c r="AB10" i="64"/>
  <c r="X19" i="51"/>
  <c r="T19" i="51"/>
  <c r="AD17" i="90"/>
  <c r="AB17" i="90"/>
  <c r="AJ23" i="97"/>
  <c r="AE28" i="48"/>
  <c r="P17" i="84"/>
  <c r="I17" i="84"/>
  <c r="J489" i="97"/>
  <c r="N43" i="52"/>
  <c r="AD17" i="45"/>
  <c r="T19" i="101"/>
  <c r="X19" i="101"/>
  <c r="AE28" i="53"/>
  <c r="AE28" i="95"/>
  <c r="AE23" i="56"/>
  <c r="AE23" i="84"/>
  <c r="AB161" i="44"/>
  <c r="AB188" i="44"/>
  <c r="AC903" i="97"/>
  <c r="AE37" i="47"/>
  <c r="AD24" i="53"/>
  <c r="AB24" i="53"/>
  <c r="AE28" i="72"/>
  <c r="AB15" i="77"/>
  <c r="Z8" i="77"/>
  <c r="AH15" i="77"/>
  <c r="T19" i="96"/>
  <c r="X19" i="96"/>
  <c r="H163" i="44"/>
  <c r="H190" i="44"/>
  <c r="AF26" i="88"/>
  <c r="AE37" i="79"/>
  <c r="V8" i="53"/>
  <c r="AD9" i="53"/>
  <c r="AB9" i="53"/>
  <c r="AE37" i="83"/>
  <c r="AG22" i="53"/>
  <c r="AB22" i="53"/>
  <c r="AB20" i="79"/>
  <c r="AG20" i="79"/>
  <c r="AB23" i="50"/>
  <c r="AD23" i="50"/>
  <c r="V18" i="50"/>
  <c r="AB10" i="85"/>
  <c r="AE10" i="85"/>
  <c r="W8" i="85"/>
  <c r="L163" i="44"/>
  <c r="L190" i="44"/>
  <c r="AF19" i="10"/>
  <c r="AF156" i="10"/>
  <c r="AF26" i="100"/>
  <c r="AE23" i="83"/>
  <c r="G136" i="44"/>
  <c r="G163" i="44" s="1"/>
  <c r="AB20" i="96"/>
  <c r="AG20" i="96"/>
  <c r="AB15" i="58"/>
  <c r="Z8" i="58"/>
  <c r="AH15" i="58"/>
  <c r="AB20" i="69"/>
  <c r="AG20" i="69"/>
  <c r="T26" i="87"/>
  <c r="AE37" i="73"/>
  <c r="AE136" i="44"/>
  <c r="AE163" i="44" s="1"/>
  <c r="AF26" i="96"/>
  <c r="AA156" i="10"/>
  <c r="AA19" i="10"/>
  <c r="U458" i="97"/>
  <c r="AG22" i="88"/>
  <c r="AB22" i="88"/>
  <c r="W27" i="103"/>
  <c r="E16" i="59"/>
  <c r="AP15" i="104"/>
  <c r="L27" i="89"/>
  <c r="AP15" i="98"/>
  <c r="E117" i="10"/>
  <c r="H18" i="32"/>
  <c r="AO15" i="71"/>
  <c r="AC163" i="44"/>
  <c r="AC190" i="44"/>
  <c r="AG17" i="10"/>
  <c r="AG148" i="10"/>
  <c r="AB23" i="46"/>
  <c r="AD23" i="46"/>
  <c r="V18" i="46"/>
  <c r="O148" i="10"/>
  <c r="O17" i="10"/>
  <c r="T19" i="52"/>
  <c r="X19" i="52"/>
  <c r="S118" i="44"/>
  <c r="S148" i="44"/>
  <c r="L118" i="44"/>
  <c r="L148" i="44"/>
  <c r="M807" i="97" s="1"/>
  <c r="AB23" i="95"/>
  <c r="AD23" i="95"/>
  <c r="V18" i="95"/>
  <c r="V43" i="95" s="1"/>
  <c r="P17" i="101"/>
  <c r="I17" i="101"/>
  <c r="T156" i="10"/>
  <c r="T19" i="10"/>
  <c r="X118" i="44"/>
  <c r="X148" i="44"/>
  <c r="X175" i="44" s="1"/>
  <c r="W8" i="49"/>
  <c r="AE10" i="49"/>
  <c r="AB10" i="49"/>
  <c r="X19" i="100"/>
  <c r="T19" i="100"/>
  <c r="AD17" i="85"/>
  <c r="AB17" i="85"/>
  <c r="AE37" i="52"/>
  <c r="AF26" i="50"/>
  <c r="AG22" i="84"/>
  <c r="AB22" i="84"/>
  <c r="AH21" i="46"/>
  <c r="Z18" i="46"/>
  <c r="L458" i="97"/>
  <c r="AD17" i="51"/>
  <c r="AB17" i="51"/>
  <c r="M23" i="97"/>
  <c r="AB163" i="44"/>
  <c r="AB190" i="44"/>
  <c r="AE28" i="64"/>
  <c r="J483" i="97"/>
  <c r="AE28" i="82"/>
  <c r="Y16" i="10"/>
  <c r="Y144" i="10"/>
  <c r="AE23" i="69"/>
  <c r="R15" i="16"/>
  <c r="R48" i="37"/>
  <c r="AI27" i="103"/>
  <c r="T18" i="32"/>
  <c r="BA15" i="71"/>
  <c r="BB15" i="104"/>
  <c r="Q16" i="59"/>
  <c r="Q117" i="10"/>
  <c r="BB15" i="98"/>
  <c r="X27" i="89"/>
  <c r="AD23" i="100"/>
  <c r="AB23" i="100"/>
  <c r="V18" i="100"/>
  <c r="V43" i="100" s="1"/>
  <c r="AB22" i="47"/>
  <c r="AG22" i="47"/>
  <c r="J458" i="97"/>
  <c r="S52" i="37"/>
  <c r="S68" i="37"/>
  <c r="N118" i="44"/>
  <c r="N148" i="44"/>
  <c r="O807" i="97" s="1"/>
  <c r="H23" i="97"/>
  <c r="R43" i="54"/>
  <c r="AG20" i="95"/>
  <c r="AB20" i="95"/>
  <c r="E16" i="10"/>
  <c r="E144" i="10"/>
  <c r="AF161" i="44"/>
  <c r="AG903" i="97"/>
  <c r="AF188" i="44"/>
  <c r="AD161" i="44"/>
  <c r="AE903" i="97"/>
  <c r="AD188" i="44"/>
  <c r="AE28" i="55"/>
  <c r="AD24" i="79"/>
  <c r="AB24" i="79"/>
  <c r="AG20" i="73"/>
  <c r="AB20" i="73"/>
  <c r="AB20" i="54"/>
  <c r="AG20" i="54"/>
  <c r="V483" i="97"/>
  <c r="K163" i="44"/>
  <c r="K190" i="44"/>
  <c r="Z18" i="52"/>
  <c r="AH21" i="52"/>
  <c r="AB20" i="88"/>
  <c r="AG20" i="88"/>
  <c r="P18" i="32"/>
  <c r="M16" i="59"/>
  <c r="AE27" i="103"/>
  <c r="AX15" i="98"/>
  <c r="AX15" i="104"/>
  <c r="T27" i="89"/>
  <c r="AW15" i="71"/>
  <c r="M117" i="10"/>
  <c r="U489" i="97"/>
  <c r="N43" i="69"/>
  <c r="AE28" i="49"/>
  <c r="S17" i="10"/>
  <c r="S148" i="10"/>
  <c r="E19" i="10"/>
  <c r="E156" i="10"/>
  <c r="P17" i="87"/>
  <c r="I17" i="87"/>
  <c r="W8" i="77"/>
  <c r="AE10" i="77"/>
  <c r="AB10" i="77"/>
  <c r="AB20" i="83"/>
  <c r="AG20" i="83"/>
  <c r="AB19" i="88"/>
  <c r="AF19" i="88"/>
  <c r="AF26" i="56"/>
  <c r="AE23" i="48"/>
  <c r="AB15" i="90"/>
  <c r="Z8" i="90"/>
  <c r="AH15" i="90"/>
  <c r="Z48" i="37"/>
  <c r="Z15" i="16"/>
  <c r="AF163" i="44"/>
  <c r="AF190" i="44"/>
  <c r="AB22" i="79"/>
  <c r="AG22" i="79"/>
  <c r="AF26" i="81"/>
  <c r="AE37" i="90"/>
  <c r="R489" i="97"/>
  <c r="N43" i="56"/>
  <c r="AD17" i="47"/>
  <c r="AB17" i="47"/>
  <c r="AE28" i="41"/>
  <c r="AB24" i="54"/>
  <c r="AD24" i="54"/>
  <c r="AD17" i="101"/>
  <c r="V8" i="73"/>
  <c r="AD9" i="73"/>
  <c r="AB9" i="73"/>
  <c r="Q163" i="44"/>
  <c r="Q190" i="44"/>
  <c r="Y148" i="44"/>
  <c r="Y118" i="44"/>
  <c r="AB19" i="85"/>
  <c r="AF19" i="85"/>
  <c r="AD24" i="58"/>
  <c r="AB24" i="58"/>
  <c r="AD17" i="54"/>
  <c r="AB20" i="81"/>
  <c r="AG20" i="81"/>
  <c r="AB23" i="81"/>
  <c r="AD23" i="81"/>
  <c r="V18" i="81"/>
  <c r="R483" i="97"/>
  <c r="AE37" i="81"/>
  <c r="H161" i="44"/>
  <c r="H188" i="44"/>
  <c r="I903" i="97"/>
  <c r="AE23" i="45"/>
  <c r="AB20" i="85"/>
  <c r="AG20" i="85"/>
  <c r="G23" i="97"/>
  <c r="R43" i="45"/>
  <c r="V8" i="46"/>
  <c r="AB9" i="46"/>
  <c r="AD9" i="46"/>
  <c r="AE28" i="96"/>
  <c r="T26" i="45"/>
  <c r="AA68" i="37"/>
  <c r="AA52" i="37"/>
  <c r="P163" i="44"/>
  <c r="P190" i="44"/>
  <c r="AD458" i="97"/>
  <c r="AB19" i="53"/>
  <c r="AF19" i="53"/>
  <c r="AB23" i="77"/>
  <c r="AD23" i="77"/>
  <c r="V18" i="77"/>
  <c r="K161" i="44"/>
  <c r="L903" i="97"/>
  <c r="K188" i="44"/>
  <c r="Y458" i="97"/>
  <c r="J118" i="44"/>
  <c r="J148" i="44"/>
  <c r="J19" i="10"/>
  <c r="J156" i="10"/>
  <c r="AE23" i="81"/>
  <c r="AB24" i="96"/>
  <c r="AD24" i="96"/>
  <c r="W483" i="97"/>
  <c r="Y19" i="10"/>
  <c r="Y156" i="10"/>
  <c r="AD23" i="58"/>
  <c r="AB23" i="58"/>
  <c r="V18" i="58"/>
  <c r="AH48" i="37"/>
  <c r="AH15" i="16"/>
  <c r="AF26" i="87"/>
  <c r="AD23" i="84"/>
  <c r="AB23" i="84"/>
  <c r="V18" i="84"/>
  <c r="V43" i="84" s="1"/>
  <c r="I148" i="10"/>
  <c r="I17" i="10"/>
  <c r="AD17" i="64"/>
  <c r="AB17" i="64"/>
  <c r="O19" i="10"/>
  <c r="O156" i="10"/>
  <c r="AE148" i="44"/>
  <c r="AE118" i="44"/>
  <c r="N43" i="95"/>
  <c r="K118" i="44"/>
  <c r="K148" i="44"/>
  <c r="X17" i="10"/>
  <c r="X148" i="10"/>
  <c r="AA23" i="97"/>
  <c r="R43" i="82"/>
  <c r="G148" i="44"/>
  <c r="G118" i="44"/>
  <c r="AB22" i="41"/>
  <c r="AG22" i="41"/>
  <c r="X19" i="41"/>
  <c r="T19" i="41"/>
  <c r="AE23" i="72"/>
  <c r="AD17" i="84"/>
  <c r="AE37" i="58"/>
  <c r="AD17" i="58"/>
  <c r="AB17" i="58"/>
  <c r="V18" i="32"/>
  <c r="S117" i="10"/>
  <c r="BC15" i="71"/>
  <c r="Z27" i="89"/>
  <c r="AK27" i="103"/>
  <c r="BD15" i="98"/>
  <c r="BD15" i="104"/>
  <c r="AB20" i="87"/>
  <c r="AG20" i="87"/>
  <c r="AI15" i="16"/>
  <c r="AI48" i="37"/>
  <c r="G483" i="97"/>
  <c r="M458" i="97"/>
  <c r="Z156" i="10"/>
  <c r="Z19" i="10"/>
  <c r="O23" i="97"/>
  <c r="R43" i="47"/>
  <c r="AH21" i="82"/>
  <c r="Z18" i="82"/>
  <c r="AC144" i="10"/>
  <c r="AC16" i="10"/>
  <c r="AH21" i="41"/>
  <c r="Z18" i="41"/>
  <c r="AE23" i="79"/>
  <c r="AG458" i="97"/>
  <c r="M161" i="44"/>
  <c r="M188" i="44"/>
  <c r="N903" i="97"/>
  <c r="AB22" i="64"/>
  <c r="AG22" i="64"/>
  <c r="U118" i="44"/>
  <c r="U148" i="44"/>
  <c r="V807" i="97" s="1"/>
  <c r="AB15" i="96"/>
  <c r="Z8" i="96"/>
  <c r="AH15" i="96"/>
  <c r="AE10" i="50"/>
  <c r="W8" i="50"/>
  <c r="AB10" i="50"/>
  <c r="V8" i="72"/>
  <c r="AD9" i="72"/>
  <c r="AB9" i="72"/>
  <c r="AD17" i="69"/>
  <c r="T19" i="87"/>
  <c r="X19" i="87"/>
  <c r="Z148" i="44"/>
  <c r="Z118" i="44"/>
  <c r="AE28" i="101"/>
  <c r="AF26" i="90"/>
  <c r="K156" i="10"/>
  <c r="K19" i="10"/>
  <c r="AG483" i="97"/>
  <c r="AD17" i="53"/>
  <c r="AB17" i="53"/>
  <c r="AG22" i="99"/>
  <c r="AB22" i="99"/>
  <c r="C156" i="10"/>
  <c r="C19" i="10"/>
  <c r="AE483" i="97"/>
  <c r="AE37" i="88"/>
  <c r="T19" i="81"/>
  <c r="X19" i="81"/>
  <c r="AB483" i="97"/>
  <c r="AD24" i="47"/>
  <c r="AB24" i="47"/>
  <c r="BQ15" i="71"/>
  <c r="AN27" i="89"/>
  <c r="AG117" i="10"/>
  <c r="BR15" i="98"/>
  <c r="AJ18" i="32"/>
  <c r="AY27" i="103"/>
  <c r="BR15" i="104"/>
  <c r="T483" i="97"/>
  <c r="AE23" i="100"/>
  <c r="AD24" i="56"/>
  <c r="AB24" i="56"/>
  <c r="AB20" i="90"/>
  <c r="AG20" i="90"/>
  <c r="AE37" i="46"/>
  <c r="AD23" i="72"/>
  <c r="AB23" i="72"/>
  <c r="V18" i="72"/>
  <c r="AG20" i="50"/>
  <c r="AB20" i="50"/>
  <c r="AB20" i="100"/>
  <c r="AG20" i="100"/>
  <c r="T26" i="52"/>
  <c r="T489" i="97"/>
  <c r="N43" i="64"/>
  <c r="AC118" i="44"/>
  <c r="AC148" i="44"/>
  <c r="AB15" i="16"/>
  <c r="AB48" i="37"/>
  <c r="R16" i="10"/>
  <c r="R144" i="10"/>
  <c r="W163" i="44"/>
  <c r="W190" i="44"/>
  <c r="AG22" i="45"/>
  <c r="AB22" i="45"/>
  <c r="Z8" i="99"/>
  <c r="AB15" i="99"/>
  <c r="AH15" i="99"/>
  <c r="C52" i="37"/>
  <c r="C68" i="37"/>
  <c r="AB17" i="99"/>
  <c r="AD17" i="99"/>
  <c r="AB19" i="95"/>
  <c r="AF19" i="95"/>
  <c r="AJ118" i="44"/>
  <c r="AJ148" i="44"/>
  <c r="AK807" i="97" s="1"/>
  <c r="Q161" i="44"/>
  <c r="Q188" i="44"/>
  <c r="R903" i="97"/>
  <c r="AH21" i="45"/>
  <c r="Z18" i="45"/>
  <c r="AB10" i="46"/>
  <c r="W8" i="46"/>
  <c r="AE10" i="46"/>
  <c r="AI161" i="44"/>
  <c r="AI188" i="44"/>
  <c r="AJ903" i="97"/>
  <c r="AG163" i="44"/>
  <c r="AG190" i="44"/>
  <c r="U483" i="97"/>
  <c r="AD24" i="73"/>
  <c r="AB24" i="73"/>
  <c r="AB22" i="46"/>
  <c r="AG22" i="46"/>
  <c r="Z18" i="47"/>
  <c r="AH21" i="47"/>
  <c r="AF19" i="82"/>
  <c r="AB19" i="82"/>
  <c r="G19" i="10"/>
  <c r="G156" i="10"/>
  <c r="W489" i="97"/>
  <c r="N43" i="73"/>
  <c r="K144" i="10"/>
  <c r="K16" i="10"/>
  <c r="AB20" i="72"/>
  <c r="AG20" i="72"/>
  <c r="AH21" i="53"/>
  <c r="Z18" i="53"/>
  <c r="AH21" i="99"/>
  <c r="Z18" i="99"/>
  <c r="AE17" i="10"/>
  <c r="AE148" i="10"/>
  <c r="AB10" i="51"/>
  <c r="AE10" i="51"/>
  <c r="W8" i="51"/>
  <c r="C16" i="10"/>
  <c r="C144" i="10"/>
  <c r="F489" i="97"/>
  <c r="N43" i="41"/>
  <c r="P17" i="45"/>
  <c r="I17" i="45"/>
  <c r="X19" i="79"/>
  <c r="T19" i="79"/>
  <c r="I489" i="97"/>
  <c r="N43" i="53"/>
  <c r="Y161" i="44"/>
  <c r="Y188" i="44"/>
  <c r="Z903" i="97"/>
  <c r="AE23" i="64"/>
  <c r="T17" i="10"/>
  <c r="T148" i="10"/>
  <c r="N19" i="10"/>
  <c r="N156" i="10"/>
  <c r="T26" i="46"/>
  <c r="X19" i="83"/>
  <c r="T19" i="83"/>
  <c r="AF26" i="45"/>
  <c r="P19" i="10"/>
  <c r="P156" i="10"/>
  <c r="AC156" i="10"/>
  <c r="AC19" i="10"/>
  <c r="AB15" i="72"/>
  <c r="Z8" i="72"/>
  <c r="AH15" i="72"/>
  <c r="AE28" i="47"/>
  <c r="AI483" i="97"/>
  <c r="AD483" i="97"/>
  <c r="AE23" i="58"/>
  <c r="AD17" i="41"/>
  <c r="AE23" i="77"/>
  <c r="AH163" i="44"/>
  <c r="AH190" i="44"/>
  <c r="S163" i="44"/>
  <c r="S190" i="44"/>
  <c r="AD23" i="73"/>
  <c r="AB23" i="73"/>
  <c r="V18" i="73"/>
  <c r="P17" i="100"/>
  <c r="I17" i="100"/>
  <c r="AH21" i="48"/>
  <c r="Z18" i="48"/>
  <c r="W8" i="100"/>
  <c r="AE10" i="100"/>
  <c r="AB10" i="100"/>
  <c r="AG156" i="10"/>
  <c r="AG19" i="10"/>
  <c r="G148" i="10"/>
  <c r="G17" i="10"/>
  <c r="AD24" i="83"/>
  <c r="AB24" i="83"/>
  <c r="AB17" i="95"/>
  <c r="AD17" i="95"/>
  <c r="AG20" i="53"/>
  <c r="AB20" i="53"/>
  <c r="AB20" i="46"/>
  <c r="AG20" i="46"/>
  <c r="AB15" i="82"/>
  <c r="AH15" i="82"/>
  <c r="Z8" i="82"/>
  <c r="Z161" i="44"/>
  <c r="Z188" i="44"/>
  <c r="AA903" i="97"/>
  <c r="AJ163" i="44"/>
  <c r="AJ190" i="44"/>
  <c r="AB22" i="87"/>
  <c r="AG22" i="87"/>
  <c r="AF19" i="45"/>
  <c r="AB19" i="45"/>
  <c r="T19" i="90"/>
  <c r="X19" i="90"/>
  <c r="AD23" i="45"/>
  <c r="AB23" i="45"/>
  <c r="V18" i="45"/>
  <c r="AF26" i="79"/>
  <c r="R23" i="97"/>
  <c r="R43" i="56"/>
  <c r="W118" i="44"/>
  <c r="W148" i="44"/>
  <c r="G117" i="10"/>
  <c r="N27" i="89"/>
  <c r="G16" i="59"/>
  <c r="AQ15" i="71"/>
  <c r="J18" i="32"/>
  <c r="AR15" i="98"/>
  <c r="AR15" i="104"/>
  <c r="Y27" i="103"/>
  <c r="AF19" i="54"/>
  <c r="AB19" i="54"/>
  <c r="AD118" i="44"/>
  <c r="AD148" i="44"/>
  <c r="AE807" i="97" s="1"/>
  <c r="V163" i="44"/>
  <c r="V190" i="44"/>
  <c r="AB20" i="77"/>
  <c r="AG20" i="77"/>
  <c r="H489" i="97"/>
  <c r="N43" i="54"/>
  <c r="AB10" i="90"/>
  <c r="AE10" i="90"/>
  <c r="W8" i="90"/>
  <c r="AE23" i="87"/>
  <c r="J144" i="10"/>
  <c r="J16" i="10"/>
  <c r="AF26" i="73"/>
  <c r="AE28" i="54"/>
  <c r="AH21" i="72"/>
  <c r="Z18" i="72"/>
  <c r="AI23" i="97"/>
  <c r="R43" i="96"/>
  <c r="T19" i="64"/>
  <c r="X19" i="64"/>
  <c r="AD24" i="64"/>
  <c r="AB24" i="64"/>
  <c r="V489" i="97"/>
  <c r="N43" i="72"/>
  <c r="AD23" i="52"/>
  <c r="AB23" i="52"/>
  <c r="V18" i="52"/>
  <c r="AB22" i="95"/>
  <c r="AG22" i="95"/>
  <c r="AB10" i="48"/>
  <c r="AE10" i="48"/>
  <c r="W8" i="48"/>
  <c r="AB23" i="90"/>
  <c r="AD23" i="90"/>
  <c r="V18" i="90"/>
  <c r="V43" i="90" s="1"/>
  <c r="AL483" i="97"/>
  <c r="V161" i="44"/>
  <c r="V188" i="44"/>
  <c r="W903" i="97"/>
  <c r="AB118" i="44"/>
  <c r="AB148" i="44"/>
  <c r="AD23" i="87"/>
  <c r="AB23" i="87"/>
  <c r="V18" i="87"/>
  <c r="V43" i="87" s="1"/>
  <c r="AE28" i="51"/>
  <c r="AE23" i="96"/>
  <c r="AA483" i="97"/>
  <c r="AE28" i="73"/>
  <c r="X17" i="41"/>
  <c r="AF17" i="41" s="1"/>
  <c r="AE28" i="79"/>
  <c r="M118" i="44"/>
  <c r="M148" i="44"/>
  <c r="N807" i="97" s="1"/>
  <c r="E163" i="44"/>
  <c r="E190" i="44"/>
  <c r="W68" i="37"/>
  <c r="W52" i="37"/>
  <c r="P148" i="10"/>
  <c r="P17" i="10"/>
  <c r="Q458" i="97"/>
  <c r="AH156" i="10"/>
  <c r="AH19" i="10"/>
  <c r="M163" i="44"/>
  <c r="M190" i="44"/>
  <c r="AL458" i="97"/>
  <c r="AF26" i="52"/>
  <c r="AD9" i="64"/>
  <c r="AB9" i="64"/>
  <c r="V8" i="64"/>
  <c r="AG22" i="56"/>
  <c r="AB22" i="56"/>
  <c r="AB20" i="64"/>
  <c r="AG20" i="64"/>
  <c r="W19" i="10"/>
  <c r="W156" i="10"/>
  <c r="V118" i="44"/>
  <c r="V148" i="44"/>
  <c r="W807" i="97" s="1"/>
  <c r="K17" i="10"/>
  <c r="K148" i="10"/>
  <c r="I117" i="10"/>
  <c r="I16" i="59"/>
  <c r="AT15" i="104"/>
  <c r="L18" i="32"/>
  <c r="AS15" i="71"/>
  <c r="AT15" i="98"/>
  <c r="P27" i="89"/>
  <c r="AA27" i="103"/>
  <c r="AF26" i="55"/>
  <c r="AB22" i="96"/>
  <c r="AG22" i="96"/>
  <c r="T19" i="56"/>
  <c r="X19" i="56"/>
  <c r="V8" i="56"/>
  <c r="AD9" i="56"/>
  <c r="AB9" i="56"/>
  <c r="P458" i="97"/>
  <c r="R19" i="10"/>
  <c r="R156" i="10"/>
  <c r="AE28" i="85"/>
  <c r="AH15" i="84"/>
  <c r="AB15" i="84"/>
  <c r="Z8" i="84"/>
  <c r="AJ5" i="16"/>
  <c r="AA118" i="44"/>
  <c r="AA148" i="44"/>
  <c r="AB807" i="97" s="1"/>
  <c r="AB17" i="79"/>
  <c r="AD17" i="79"/>
  <c r="P23" i="97"/>
  <c r="R43" i="46"/>
  <c r="AI118" i="44"/>
  <c r="AI148" i="44"/>
  <c r="M489" i="97"/>
  <c r="N43" i="49"/>
  <c r="Q483" i="97"/>
  <c r="AD24" i="50"/>
  <c r="AB24" i="50"/>
  <c r="AB22" i="52"/>
  <c r="AG22" i="52"/>
  <c r="V117" i="10"/>
  <c r="AN27" i="103"/>
  <c r="BF15" i="71"/>
  <c r="BG15" i="104"/>
  <c r="BG15" i="98"/>
  <c r="AC27" i="89"/>
  <c r="Y18" i="32"/>
  <c r="AB23" i="56"/>
  <c r="AD23" i="56"/>
  <c r="V18" i="56"/>
  <c r="X19" i="99"/>
  <c r="T19" i="99"/>
  <c r="D48" i="37"/>
  <c r="D15" i="16"/>
  <c r="AV15" i="71"/>
  <c r="S27" i="89"/>
  <c r="L117" i="10"/>
  <c r="L16" i="59"/>
  <c r="AW15" i="104"/>
  <c r="AW15" i="98"/>
  <c r="O18" i="32"/>
  <c r="AD27" i="103"/>
  <c r="AG20" i="45"/>
  <c r="AB20" i="45"/>
  <c r="AC458" i="97"/>
  <c r="AD163" i="44"/>
  <c r="AD190" i="44"/>
  <c r="AE144" i="10"/>
  <c r="AE16" i="10"/>
  <c r="I118" i="44"/>
  <c r="I148" i="44"/>
  <c r="AF26" i="46"/>
  <c r="U163" i="44"/>
  <c r="U190" i="44"/>
  <c r="AE23" i="73"/>
  <c r="U23" i="97"/>
  <c r="R43" i="69"/>
  <c r="V23" i="97"/>
  <c r="R43" i="72"/>
  <c r="AE10" i="79"/>
  <c r="AB10" i="79"/>
  <c r="W8" i="79"/>
  <c r="AD17" i="87"/>
  <c r="F134" i="44"/>
  <c r="F161" i="44" s="1"/>
  <c r="S19" i="10"/>
  <c r="S156" i="10"/>
  <c r="E15" i="16"/>
  <c r="E48" i="37"/>
  <c r="H458" i="97"/>
  <c r="S144" i="10"/>
  <c r="S16" i="10"/>
  <c r="AE23" i="101"/>
  <c r="AF26" i="85"/>
  <c r="AE37" i="64"/>
  <c r="AK458" i="97"/>
  <c r="V156" i="10"/>
  <c r="V19" i="10"/>
  <c r="T16" i="10"/>
  <c r="T144" i="10"/>
  <c r="N483" i="97"/>
  <c r="P16" i="10"/>
  <c r="P144" i="10"/>
  <c r="R118" i="44"/>
  <c r="R148" i="44"/>
  <c r="S807" i="97" s="1"/>
  <c r="E161" i="44"/>
  <c r="E188" i="44"/>
  <c r="F903" i="97"/>
  <c r="AI156" i="10"/>
  <c r="AI19" i="10"/>
  <c r="AJ70" i="10"/>
  <c r="AD17" i="72"/>
  <c r="AB17" i="72"/>
  <c r="AH21" i="49"/>
  <c r="Z18" i="49"/>
  <c r="AB22" i="48"/>
  <c r="AG22" i="48"/>
  <c r="AE37" i="51"/>
  <c r="AE37" i="54"/>
  <c r="I458" i="97"/>
  <c r="AE23" i="90"/>
  <c r="AG22" i="101"/>
  <c r="AB22" i="101"/>
  <c r="AK27" i="89"/>
  <c r="AD117" i="10"/>
  <c r="N458" i="97"/>
  <c r="AD23" i="101"/>
  <c r="AB23" i="101"/>
  <c r="V18" i="101"/>
  <c r="V43" i="101" s="1"/>
  <c r="AE28" i="77"/>
  <c r="AF26" i="69"/>
  <c r="AE23" i="53"/>
  <c r="AH21" i="50"/>
  <c r="Z18" i="50"/>
  <c r="AE28" i="87"/>
  <c r="I19" i="10"/>
  <c r="I156" i="10"/>
  <c r="AC68" i="37"/>
  <c r="AC52" i="37"/>
  <c r="W8" i="99"/>
  <c r="AB10" i="99"/>
  <c r="AE10" i="99"/>
  <c r="AB23" i="83"/>
  <c r="AD23" i="83"/>
  <c r="V18" i="83"/>
  <c r="V43" i="83" s="1"/>
  <c r="AD23" i="82"/>
  <c r="AB23" i="82"/>
  <c r="V18" i="82"/>
  <c r="AB23" i="64"/>
  <c r="AD23" i="64"/>
  <c r="V18" i="64"/>
  <c r="Q144" i="10"/>
  <c r="Q16" i="10"/>
  <c r="P161" i="44"/>
  <c r="P188" i="44"/>
  <c r="Q903" i="97"/>
  <c r="AF26" i="84"/>
  <c r="AJ21" i="16"/>
  <c r="W8" i="47"/>
  <c r="AE10" i="47"/>
  <c r="AB10" i="47"/>
  <c r="AB10" i="55"/>
  <c r="W8" i="55"/>
  <c r="AE10" i="55"/>
  <c r="AA458" i="97"/>
  <c r="AE37" i="85"/>
  <c r="AB19" i="10"/>
  <c r="AB156" i="10"/>
  <c r="Z458" i="97"/>
  <c r="W8" i="101"/>
  <c r="AE10" i="101"/>
  <c r="AB10" i="101"/>
  <c r="E23" i="33"/>
  <c r="AK118" i="44"/>
  <c r="AK148" i="44"/>
  <c r="AE156" i="10"/>
  <c r="AE19" i="10"/>
  <c r="X19" i="55"/>
  <c r="T19" i="55"/>
  <c r="AE23" i="46"/>
  <c r="AG22" i="50"/>
  <c r="AB22" i="50"/>
  <c r="AB15" i="100"/>
  <c r="Z8" i="100"/>
  <c r="AH15" i="100"/>
  <c r="AH458" i="97"/>
  <c r="AA144" i="10"/>
  <c r="AA16" i="10"/>
  <c r="Z18" i="73"/>
  <c r="AH21" i="73"/>
  <c r="P68" i="37"/>
  <c r="P52" i="37"/>
  <c r="I144" i="10"/>
  <c r="I16" i="10"/>
  <c r="O118" i="44"/>
  <c r="O148" i="44"/>
  <c r="W17" i="10"/>
  <c r="W148" i="10"/>
  <c r="K117" i="10"/>
  <c r="AU15" i="71"/>
  <c r="AC27" i="103"/>
  <c r="AV15" i="104"/>
  <c r="R27" i="89"/>
  <c r="K16" i="59"/>
  <c r="AV15" i="98"/>
  <c r="AA161" i="44"/>
  <c r="AA188" i="44"/>
  <c r="AB903" i="97"/>
  <c r="Z8" i="81"/>
  <c r="AH15" i="81"/>
  <c r="AB15" i="81"/>
  <c r="V8" i="51"/>
  <c r="AD9" i="51"/>
  <c r="AB9" i="51"/>
  <c r="AB24" i="84"/>
  <c r="AD24" i="84"/>
  <c r="AB23" i="69"/>
  <c r="AD23" i="69"/>
  <c r="V18" i="69"/>
  <c r="AC23" i="97"/>
  <c r="R43" i="84"/>
  <c r="AE28" i="100"/>
  <c r="Q18" i="32"/>
  <c r="AX15" i="71"/>
  <c r="AY15" i="104"/>
  <c r="N117" i="10"/>
  <c r="U27" i="89"/>
  <c r="AF27" i="103"/>
  <c r="N16" i="59"/>
  <c r="AY15" i="98"/>
  <c r="AB15" i="46"/>
  <c r="Z8" i="46"/>
  <c r="AH15" i="46"/>
  <c r="W18" i="32"/>
  <c r="AA27" i="89"/>
  <c r="BE15" i="104"/>
  <c r="BE15" i="98"/>
  <c r="BD15" i="71"/>
  <c r="AL27" i="103"/>
  <c r="T117" i="10"/>
  <c r="AE28" i="81"/>
  <c r="K27" i="89"/>
  <c r="AO15" i="104"/>
  <c r="D117" i="10"/>
  <c r="V27" i="103"/>
  <c r="AN15" i="71"/>
  <c r="AO15" i="98"/>
  <c r="D16" i="59"/>
  <c r="K458" i="97"/>
  <c r="AD9" i="41"/>
  <c r="V8" i="41"/>
  <c r="AB9" i="41"/>
  <c r="N43" i="100"/>
  <c r="AE10" i="73"/>
  <c r="AB10" i="73"/>
  <c r="W8" i="73"/>
  <c r="AF26" i="64"/>
  <c r="W8" i="83"/>
  <c r="AE10" i="83"/>
  <c r="AB10" i="83"/>
  <c r="AG20" i="101"/>
  <c r="AB20" i="101"/>
  <c r="M483" i="97"/>
  <c r="AD24" i="72"/>
  <c r="AB24" i="72"/>
  <c r="Z8" i="69"/>
  <c r="AH15" i="69"/>
  <c r="AB15" i="69"/>
  <c r="BL15" i="98"/>
  <c r="AH27" i="89"/>
  <c r="BL15" i="104"/>
  <c r="BK15" i="71"/>
  <c r="AA117" i="10"/>
  <c r="AS27" i="103"/>
  <c r="AD18" i="32"/>
  <c r="AF19" i="69"/>
  <c r="AB19" i="69"/>
  <c r="AG22" i="82"/>
  <c r="AB22" i="82"/>
  <c r="AE37" i="82"/>
  <c r="AB23" i="96"/>
  <c r="AD23" i="96"/>
  <c r="V18" i="96"/>
  <c r="V43" i="96" s="1"/>
  <c r="AE37" i="96"/>
  <c r="AB23" i="85"/>
  <c r="AD23" i="85"/>
  <c r="V18" i="85"/>
  <c r="V43" i="85" s="1"/>
  <c r="AB24" i="99"/>
  <c r="AD24" i="99"/>
  <c r="AE23" i="82"/>
  <c r="Z18" i="83"/>
  <c r="AH21" i="83"/>
  <c r="AH21" i="101"/>
  <c r="Z18" i="101"/>
  <c r="P17" i="54"/>
  <c r="I17" i="54"/>
  <c r="W8" i="54"/>
  <c r="AB10" i="54"/>
  <c r="AE10" i="54"/>
  <c r="AD17" i="73"/>
  <c r="AB17" i="73"/>
  <c r="Y483" i="97"/>
  <c r="AJ483" i="97"/>
  <c r="AD19" i="10"/>
  <c r="AD156" i="10"/>
  <c r="AE10" i="72"/>
  <c r="W8" i="72"/>
  <c r="AB10" i="72"/>
  <c r="G134" i="44"/>
  <c r="G161" i="44" s="1"/>
  <c r="U144" i="10"/>
  <c r="U16" i="10"/>
  <c r="T26" i="49"/>
  <c r="T26" i="99"/>
  <c r="N43" i="96"/>
  <c r="AE37" i="100"/>
  <c r="C152" i="10" l="1"/>
  <c r="C18" i="10"/>
  <c r="BH15" i="98"/>
  <c r="E22" i="33"/>
  <c r="AH21" i="84"/>
  <c r="AH18" i="84" s="1"/>
  <c r="Z18" i="88"/>
  <c r="AB26" i="101"/>
  <c r="BN15" i="71"/>
  <c r="AV27" i="103"/>
  <c r="BO15" i="98"/>
  <c r="AD15" i="98" s="1"/>
  <c r="AH21" i="64"/>
  <c r="Z18" i="95"/>
  <c r="Z43" i="95" s="1"/>
  <c r="AU9" i="16"/>
  <c r="AW9" i="16"/>
  <c r="AX9" i="16"/>
  <c r="AF18" i="32"/>
  <c r="AF44" i="32" s="1"/>
  <c r="AZ27" i="103"/>
  <c r="AH117" i="10"/>
  <c r="AK117" i="10" s="1"/>
  <c r="BB10" i="16"/>
  <c r="AB26" i="51"/>
  <c r="BG10" i="16"/>
  <c r="BN10" i="16"/>
  <c r="AB26" i="88"/>
  <c r="AO27" i="89"/>
  <c r="AL18" i="10"/>
  <c r="BR15" i="71"/>
  <c r="AH15" i="71" s="1"/>
  <c r="AB27" i="103"/>
  <c r="AL18" i="32"/>
  <c r="AL44" i="32" s="1"/>
  <c r="BS15" i="98"/>
  <c r="AH15" i="98" s="1"/>
  <c r="R43" i="41"/>
  <c r="AK18" i="32"/>
  <c r="AK44" i="32" s="1"/>
  <c r="BS15" i="104"/>
  <c r="AH15" i="104" s="1"/>
  <c r="BN15" i="104"/>
  <c r="AC15" i="104" s="1"/>
  <c r="BN15" i="98"/>
  <c r="AC70" i="98" s="1"/>
  <c r="BM15" i="71"/>
  <c r="AC70" i="71" s="1"/>
  <c r="AU27" i="103"/>
  <c r="AG18" i="32"/>
  <c r="AG44" i="32" s="1"/>
  <c r="AB26" i="87"/>
  <c r="AC117" i="10"/>
  <c r="AW101" i="32" s="1"/>
  <c r="AX101" i="32" s="1"/>
  <c r="AO27" i="103"/>
  <c r="AB26" i="45"/>
  <c r="BH15" i="104"/>
  <c r="W15" i="104" s="1"/>
  <c r="Z18" i="32"/>
  <c r="Z44" i="32" s="1"/>
  <c r="AD27" i="89"/>
  <c r="BG15" i="71"/>
  <c r="W70" i="71" s="1"/>
  <c r="W117" i="10"/>
  <c r="AI101" i="32" s="1"/>
  <c r="AJ101" i="32" s="1"/>
  <c r="J16" i="59"/>
  <c r="AU15" i="98"/>
  <c r="J70" i="98" s="1"/>
  <c r="AU15" i="104"/>
  <c r="J15" i="104" s="1"/>
  <c r="Q27" i="89"/>
  <c r="N18" i="32"/>
  <c r="N44" i="32" s="1"/>
  <c r="AT15" i="71"/>
  <c r="J15" i="71" s="1"/>
  <c r="M18" i="32"/>
  <c r="M44" i="32" s="1"/>
  <c r="AS9" i="16"/>
  <c r="R43" i="99"/>
  <c r="BJ9" i="16"/>
  <c r="BK9" i="16"/>
  <c r="AT9" i="16"/>
  <c r="AO9" i="16"/>
  <c r="BL9" i="16"/>
  <c r="BA9" i="16"/>
  <c r="AP9" i="16"/>
  <c r="BG9" i="16"/>
  <c r="BE10" i="16"/>
  <c r="BL10" i="16"/>
  <c r="AB26" i="84"/>
  <c r="AB26" i="64"/>
  <c r="BH10" i="16"/>
  <c r="AB26" i="77"/>
  <c r="BM10" i="16"/>
  <c r="BF10" i="16"/>
  <c r="AT10" i="16"/>
  <c r="BO10" i="16"/>
  <c r="BC10" i="16"/>
  <c r="AZ10" i="16"/>
  <c r="R43" i="50"/>
  <c r="AR10" i="16"/>
  <c r="AB26" i="46"/>
  <c r="BJ10" i="16"/>
  <c r="AO10" i="16"/>
  <c r="AW10" i="16"/>
  <c r="AX10" i="16"/>
  <c r="AP10" i="16"/>
  <c r="AQ10" i="16"/>
  <c r="AY10" i="16"/>
  <c r="AG26" i="96"/>
  <c r="AN26" i="96" s="1"/>
  <c r="AE21" i="60" s="1"/>
  <c r="AB26" i="96"/>
  <c r="C18" i="32"/>
  <c r="D18" i="32" s="1"/>
  <c r="AG26" i="56"/>
  <c r="AN26" i="56" s="1"/>
  <c r="N21" i="60" s="1"/>
  <c r="AG26" i="100"/>
  <c r="AN26" i="100" s="1"/>
  <c r="AG21" i="60" s="1"/>
  <c r="AB26" i="100"/>
  <c r="M17" i="97"/>
  <c r="R43" i="49"/>
  <c r="BP10" i="16"/>
  <c r="AU10" i="16"/>
  <c r="Z18" i="56"/>
  <c r="Z43" i="56" s="1"/>
  <c r="AB26" i="73"/>
  <c r="AB26" i="53"/>
  <c r="AB26" i="85"/>
  <c r="AB26" i="99"/>
  <c r="AL27" i="89"/>
  <c r="P8" i="85"/>
  <c r="AD427" i="97" s="1"/>
  <c r="X11" i="85"/>
  <c r="AF11" i="85" s="1"/>
  <c r="AB26" i="50"/>
  <c r="AH18" i="32"/>
  <c r="AH44" i="32" s="1"/>
  <c r="BO15" i="71"/>
  <c r="AE15" i="71" s="1"/>
  <c r="AE117" i="10"/>
  <c r="BA101" i="32" s="1"/>
  <c r="BB101" i="32" s="1"/>
  <c r="AI18" i="32"/>
  <c r="AI44" i="32" s="1"/>
  <c r="BP15" i="104"/>
  <c r="AE70" i="104" s="1"/>
  <c r="BP15" i="98"/>
  <c r="AE70" i="98" s="1"/>
  <c r="AB26" i="95"/>
  <c r="AB26" i="82"/>
  <c r="AB26" i="55"/>
  <c r="AB26" i="48"/>
  <c r="BP9" i="16"/>
  <c r="AN9" i="16"/>
  <c r="AB26" i="90"/>
  <c r="AB26" i="79"/>
  <c r="AB26" i="52"/>
  <c r="AB26" i="81"/>
  <c r="AB26" i="41"/>
  <c r="AB26" i="54"/>
  <c r="AY9" i="16"/>
  <c r="BH9" i="16"/>
  <c r="BI9" i="16"/>
  <c r="AB26" i="58"/>
  <c r="AB26" i="49"/>
  <c r="AB26" i="69"/>
  <c r="BE9" i="16"/>
  <c r="AB26" i="72"/>
  <c r="AZ9" i="16"/>
  <c r="AM9" i="16"/>
  <c r="BA6" i="16"/>
  <c r="AB26" i="47"/>
  <c r="BQ6" i="16"/>
  <c r="BQ10" i="16" s="1"/>
  <c r="X174" i="44"/>
  <c r="AV9" i="16"/>
  <c r="AB26" i="83"/>
  <c r="BO9" i="16"/>
  <c r="T11" i="50"/>
  <c r="AN6" i="16"/>
  <c r="AN10" i="16" s="1"/>
  <c r="AS6" i="16"/>
  <c r="AS10" i="16" s="1"/>
  <c r="AM6" i="16"/>
  <c r="AM10" i="16" s="1"/>
  <c r="BI6" i="16"/>
  <c r="BI10" i="16" s="1"/>
  <c r="AV6" i="16"/>
  <c r="AV10" i="16" s="1"/>
  <c r="BD6" i="16"/>
  <c r="BD10" i="16" s="1"/>
  <c r="BM9" i="16"/>
  <c r="BK6" i="16"/>
  <c r="BK10" i="16" s="1"/>
  <c r="AQ9" i="16"/>
  <c r="BC9" i="16"/>
  <c r="BD9" i="16"/>
  <c r="BB9" i="16"/>
  <c r="P8" i="81"/>
  <c r="Z427" i="97" s="1"/>
  <c r="P8" i="50"/>
  <c r="L427" i="97" s="1"/>
  <c r="T11" i="81"/>
  <c r="BR9" i="16"/>
  <c r="BN9" i="16"/>
  <c r="AR9" i="16"/>
  <c r="BF9" i="16"/>
  <c r="P8" i="47"/>
  <c r="O427" i="97" s="1"/>
  <c r="X11" i="64"/>
  <c r="AF11" i="64" s="1"/>
  <c r="Z43" i="50"/>
  <c r="AQ26" i="72"/>
  <c r="AJ26" i="72"/>
  <c r="T11" i="96"/>
  <c r="X11" i="96"/>
  <c r="X8" i="96" s="1"/>
  <c r="AB8" i="96" s="1"/>
  <c r="Z43" i="48"/>
  <c r="Z43" i="88"/>
  <c r="Z43" i="52"/>
  <c r="T11" i="47"/>
  <c r="P8" i="84"/>
  <c r="X11" i="84"/>
  <c r="X8" i="84" s="1"/>
  <c r="AB8" i="84" s="1"/>
  <c r="AB427" i="97"/>
  <c r="T8" i="83"/>
  <c r="T11" i="83"/>
  <c r="X11" i="83"/>
  <c r="AF11" i="83" s="1"/>
  <c r="T11" i="90"/>
  <c r="Z43" i="49"/>
  <c r="T427" i="97"/>
  <c r="T8" i="64"/>
  <c r="Z43" i="53"/>
  <c r="T11" i="64"/>
  <c r="X11" i="88"/>
  <c r="AB11" i="88" s="1"/>
  <c r="R427" i="97"/>
  <c r="T8" i="56"/>
  <c r="T11" i="56"/>
  <c r="P8" i="99"/>
  <c r="AJ427" i="97" s="1"/>
  <c r="X11" i="56"/>
  <c r="AB11" i="56" s="1"/>
  <c r="T11" i="99"/>
  <c r="Z43" i="41"/>
  <c r="P8" i="45"/>
  <c r="X11" i="45"/>
  <c r="AB11" i="45" s="1"/>
  <c r="P8" i="90"/>
  <c r="T11" i="88"/>
  <c r="Z43" i="45"/>
  <c r="Z43" i="84"/>
  <c r="N175" i="44"/>
  <c r="T8" i="96"/>
  <c r="T11" i="58"/>
  <c r="P8" i="58"/>
  <c r="Z43" i="72"/>
  <c r="AM156" i="10"/>
  <c r="P11" i="100"/>
  <c r="T11" i="100" s="1"/>
  <c r="Z43" i="51"/>
  <c r="Z43" i="99"/>
  <c r="Y158" i="44"/>
  <c r="Z728" i="97"/>
  <c r="Y185" i="44"/>
  <c r="X11" i="54"/>
  <c r="T11" i="54"/>
  <c r="P8" i="54"/>
  <c r="AM12" i="52"/>
  <c r="AQ12" i="52" s="1"/>
  <c r="AJ12" i="52"/>
  <c r="AK729" i="97"/>
  <c r="AJ102" i="44"/>
  <c r="AJ131" i="44" s="1"/>
  <c r="AK646" i="97"/>
  <c r="AJ12" i="101"/>
  <c r="AM12" i="101"/>
  <c r="AQ12" i="101" s="1"/>
  <c r="AA158" i="44"/>
  <c r="AA185" i="44"/>
  <c r="AB728" i="97"/>
  <c r="AJ12" i="64"/>
  <c r="AM12" i="64"/>
  <c r="AQ12" i="64" s="1"/>
  <c r="E158" i="44"/>
  <c r="E185" i="44"/>
  <c r="F728" i="97"/>
  <c r="AF11" i="90"/>
  <c r="AB11" i="90"/>
  <c r="X8" i="90"/>
  <c r="AB8" i="90" s="1"/>
  <c r="AG158" i="44"/>
  <c r="AH728" i="97"/>
  <c r="AG185" i="44"/>
  <c r="AM12" i="82"/>
  <c r="AQ12" i="82" s="1"/>
  <c r="AJ12" i="82"/>
  <c r="AM12" i="83"/>
  <c r="AQ12" i="83" s="1"/>
  <c r="AJ12" i="83"/>
  <c r="P158" i="44"/>
  <c r="Q728" i="97"/>
  <c r="P185" i="44"/>
  <c r="AJ12" i="87"/>
  <c r="AM12" i="87"/>
  <c r="AQ12" i="87" s="1"/>
  <c r="W158" i="44"/>
  <c r="X728" i="97"/>
  <c r="W185" i="44"/>
  <c r="AI158" i="44"/>
  <c r="AJ728" i="97"/>
  <c r="AI185" i="44"/>
  <c r="AF158" i="44"/>
  <c r="AG728" i="97"/>
  <c r="AF185" i="44"/>
  <c r="O158" i="44"/>
  <c r="O185" i="44"/>
  <c r="P728" i="97"/>
  <c r="AF11" i="50"/>
  <c r="X8" i="50"/>
  <c r="AB8" i="50" s="1"/>
  <c r="AB11" i="50"/>
  <c r="AD158" i="44"/>
  <c r="AE728" i="97"/>
  <c r="AD185" i="44"/>
  <c r="AM12" i="47"/>
  <c r="AQ12" i="47" s="1"/>
  <c r="AJ12" i="47"/>
  <c r="G158" i="44"/>
  <c r="H728" i="97"/>
  <c r="G185" i="44"/>
  <c r="AJ12" i="99"/>
  <c r="AM12" i="99"/>
  <c r="AQ12" i="99" s="1"/>
  <c r="AJ12" i="45"/>
  <c r="AM12" i="45"/>
  <c r="AQ12" i="45" s="1"/>
  <c r="Z43" i="73"/>
  <c r="X8" i="81"/>
  <c r="AB8" i="81" s="1"/>
  <c r="AB11" i="81"/>
  <c r="AF11" i="81"/>
  <c r="AJ12" i="84"/>
  <c r="AM12" i="84"/>
  <c r="AQ12" i="84" s="1"/>
  <c r="V158" i="44"/>
  <c r="W728" i="97"/>
  <c r="V185" i="44"/>
  <c r="L158" i="44"/>
  <c r="L185" i="44"/>
  <c r="M728" i="97"/>
  <c r="N158" i="44"/>
  <c r="N185" i="44"/>
  <c r="O728" i="97"/>
  <c r="E7" i="33"/>
  <c r="AK131" i="44"/>
  <c r="T11" i="41"/>
  <c r="X11" i="41"/>
  <c r="P8" i="41"/>
  <c r="AM12" i="79"/>
  <c r="AQ12" i="79" s="1"/>
  <c r="AJ12" i="79"/>
  <c r="AJ12" i="46"/>
  <c r="AM12" i="46"/>
  <c r="AQ12" i="46" s="1"/>
  <c r="AB158" i="44"/>
  <c r="AB185" i="44"/>
  <c r="AC728" i="97"/>
  <c r="T11" i="52"/>
  <c r="X11" i="52"/>
  <c r="P8" i="52"/>
  <c r="AJ12" i="50"/>
  <c r="AM12" i="50"/>
  <c r="AQ12" i="50" s="1"/>
  <c r="I158" i="44"/>
  <c r="I185" i="44"/>
  <c r="J728" i="97"/>
  <c r="AH158" i="44"/>
  <c r="AI728" i="97"/>
  <c r="AH185" i="44"/>
  <c r="X11" i="55"/>
  <c r="T11" i="55"/>
  <c r="P8" i="55"/>
  <c r="AJ12" i="53"/>
  <c r="AM12" i="53"/>
  <c r="AQ12" i="53" s="1"/>
  <c r="J158" i="44"/>
  <c r="K728" i="97"/>
  <c r="J185" i="44"/>
  <c r="AE158" i="44"/>
  <c r="AF728" i="97"/>
  <c r="AE185" i="44"/>
  <c r="AJ12" i="54"/>
  <c r="AM12" i="54"/>
  <c r="AQ12" i="54" s="1"/>
  <c r="X11" i="72"/>
  <c r="P8" i="72"/>
  <c r="T11" i="72"/>
  <c r="AM12" i="69"/>
  <c r="AQ12" i="69" s="1"/>
  <c r="AJ12" i="69"/>
  <c r="T158" i="44"/>
  <c r="U728" i="97"/>
  <c r="T185" i="44"/>
  <c r="X11" i="48"/>
  <c r="P8" i="48"/>
  <c r="T11" i="48"/>
  <c r="Z43" i="64"/>
  <c r="T8" i="88"/>
  <c r="AM12" i="90"/>
  <c r="AQ12" i="90" s="1"/>
  <c r="AJ12" i="90"/>
  <c r="T11" i="87"/>
  <c r="X11" i="87"/>
  <c r="P8" i="87"/>
  <c r="X158" i="44"/>
  <c r="Y728" i="97"/>
  <c r="X185" i="44"/>
  <c r="S158" i="44"/>
  <c r="T728" i="97"/>
  <c r="S185" i="44"/>
  <c r="AF11" i="99"/>
  <c r="X8" i="99"/>
  <c r="AB8" i="99" s="1"/>
  <c r="AB11" i="99"/>
  <c r="AM12" i="58"/>
  <c r="AQ12" i="58" s="1"/>
  <c r="AJ12" i="58"/>
  <c r="X11" i="79"/>
  <c r="T11" i="79"/>
  <c r="P8" i="79"/>
  <c r="T11" i="49"/>
  <c r="X11" i="49"/>
  <c r="P8" i="49"/>
  <c r="AJ12" i="85"/>
  <c r="AM12" i="85"/>
  <c r="AQ12" i="85" s="1"/>
  <c r="AJ12" i="95"/>
  <c r="AM12" i="95"/>
  <c r="AQ12" i="95" s="1"/>
  <c r="AM12" i="41"/>
  <c r="AQ12" i="41" s="1"/>
  <c r="AJ12" i="41"/>
  <c r="AM12" i="81"/>
  <c r="AQ12" i="81" s="1"/>
  <c r="AJ12" i="81"/>
  <c r="AH14" i="16"/>
  <c r="AH47" i="37"/>
  <c r="AM12" i="88"/>
  <c r="AQ12" i="88" s="1"/>
  <c r="AJ12" i="88"/>
  <c r="P8" i="82"/>
  <c r="T11" i="82"/>
  <c r="X11" i="82"/>
  <c r="X11" i="46"/>
  <c r="T11" i="46"/>
  <c r="P8" i="46"/>
  <c r="AJ12" i="56"/>
  <c r="AM12" i="56"/>
  <c r="AQ12" i="56" s="1"/>
  <c r="M158" i="44"/>
  <c r="M185" i="44"/>
  <c r="N728" i="97"/>
  <c r="AM12" i="48"/>
  <c r="AQ12" i="48" s="1"/>
  <c r="AJ12" i="48"/>
  <c r="H158" i="44"/>
  <c r="H185" i="44"/>
  <c r="I728" i="97"/>
  <c r="AJ12" i="49"/>
  <c r="AM12" i="49"/>
  <c r="AQ12" i="49" s="1"/>
  <c r="Z43" i="83"/>
  <c r="AB17" i="41"/>
  <c r="Z43" i="87"/>
  <c r="P8" i="77"/>
  <c r="X11" i="77"/>
  <c r="T11" i="77"/>
  <c r="Z158" i="44"/>
  <c r="AA728" i="97"/>
  <c r="Z185" i="44"/>
  <c r="AJ12" i="51"/>
  <c r="AM12" i="51"/>
  <c r="AQ12" i="51" s="1"/>
  <c r="AC158" i="44"/>
  <c r="AD728" i="97"/>
  <c r="AC185" i="44"/>
  <c r="AM12" i="73"/>
  <c r="AQ12" i="73" s="1"/>
  <c r="AJ12" i="73"/>
  <c r="X8" i="58"/>
  <c r="AB8" i="58" s="1"/>
  <c r="AF11" i="58"/>
  <c r="AB11" i="58"/>
  <c r="U158" i="44"/>
  <c r="V728" i="97"/>
  <c r="U185" i="44"/>
  <c r="AJ12" i="77"/>
  <c r="AM12" i="77"/>
  <c r="AQ12" i="77" s="1"/>
  <c r="R158" i="44"/>
  <c r="R185" i="44"/>
  <c r="S728" i="97"/>
  <c r="X11" i="101"/>
  <c r="T11" i="101"/>
  <c r="P8" i="101"/>
  <c r="Q158" i="44"/>
  <c r="Q185" i="44"/>
  <c r="R728" i="97"/>
  <c r="AM12" i="55"/>
  <c r="AQ12" i="55" s="1"/>
  <c r="AJ12" i="55"/>
  <c r="X11" i="69"/>
  <c r="P8" i="69"/>
  <c r="T11" i="69"/>
  <c r="T11" i="53"/>
  <c r="X11" i="53"/>
  <c r="P8" i="53"/>
  <c r="AM12" i="96"/>
  <c r="AQ12" i="96" s="1"/>
  <c r="AJ12" i="96"/>
  <c r="P8" i="51"/>
  <c r="T11" i="51"/>
  <c r="X11" i="51"/>
  <c r="X11" i="95"/>
  <c r="T11" i="95"/>
  <c r="P8" i="95"/>
  <c r="P8" i="73"/>
  <c r="X11" i="73"/>
  <c r="T11" i="73"/>
  <c r="F158" i="44"/>
  <c r="F185" i="44"/>
  <c r="G728" i="97"/>
  <c r="K158" i="44"/>
  <c r="L728" i="97"/>
  <c r="K185" i="44"/>
  <c r="AB11" i="47"/>
  <c r="AF11" i="47"/>
  <c r="X8" i="47"/>
  <c r="AB8" i="47" s="1"/>
  <c r="P12" i="100"/>
  <c r="I12" i="100"/>
  <c r="AJ12" i="72"/>
  <c r="AM12" i="72"/>
  <c r="AQ12" i="72" s="1"/>
  <c r="AN20" i="53"/>
  <c r="AJ20" i="53"/>
  <c r="AL23" i="64"/>
  <c r="AJ20" i="72"/>
  <c r="AN20" i="72"/>
  <c r="AH18" i="47"/>
  <c r="AO21" i="47"/>
  <c r="AK17" i="99"/>
  <c r="AG66" i="10"/>
  <c r="AJ17" i="99"/>
  <c r="AJ24" i="56"/>
  <c r="AK24" i="56"/>
  <c r="AQ24" i="56" s="1"/>
  <c r="AG70" i="104"/>
  <c r="AG15" i="104"/>
  <c r="AK17" i="84"/>
  <c r="Z66" i="10"/>
  <c r="Q66" i="10"/>
  <c r="AJ17" i="64"/>
  <c r="AK17" i="64"/>
  <c r="AQ17" i="64" s="1"/>
  <c r="AL23" i="81"/>
  <c r="AK23" i="100"/>
  <c r="AJ23" i="100"/>
  <c r="AD18" i="100"/>
  <c r="AD43" i="100" s="1"/>
  <c r="Q70" i="104"/>
  <c r="Q15" i="104"/>
  <c r="S175" i="44"/>
  <c r="S202" i="44"/>
  <c r="S201" i="44" s="1"/>
  <c r="Z57" i="33" s="1"/>
  <c r="S147" i="44"/>
  <c r="Q92" i="10" s="1"/>
  <c r="Q46" i="10" s="1"/>
  <c r="AK23" i="46"/>
  <c r="AJ23" i="46"/>
  <c r="AD18" i="46"/>
  <c r="AJ10" i="73"/>
  <c r="AE8" i="73"/>
  <c r="AL10" i="73"/>
  <c r="T70" i="98"/>
  <c r="T15" i="98"/>
  <c r="N70" i="98"/>
  <c r="N15" i="98"/>
  <c r="AD70" i="104"/>
  <c r="AD15" i="104"/>
  <c r="R24" i="89"/>
  <c r="AC24" i="103"/>
  <c r="AV14" i="98"/>
  <c r="K113" i="10"/>
  <c r="K15" i="59"/>
  <c r="AV14" i="104"/>
  <c r="AU14" i="71"/>
  <c r="AL23" i="96"/>
  <c r="AJ15" i="82"/>
  <c r="AO15" i="82"/>
  <c r="AH8" i="82"/>
  <c r="AU30" i="103"/>
  <c r="BN16" i="98"/>
  <c r="AF31" i="97"/>
  <c r="AF19" i="32"/>
  <c r="BM16" i="71"/>
  <c r="BN16" i="104"/>
  <c r="AC121" i="10"/>
  <c r="AJ30" i="89"/>
  <c r="AF19" i="83"/>
  <c r="AB19" i="83"/>
  <c r="AH17" i="32"/>
  <c r="AW24" i="103"/>
  <c r="BP14" i="104"/>
  <c r="AL24" i="89"/>
  <c r="BO14" i="71"/>
  <c r="BP14" i="98"/>
  <c r="AE113" i="10"/>
  <c r="AR16" i="104"/>
  <c r="J19" i="32"/>
  <c r="AR16" i="98"/>
  <c r="J31" i="97"/>
  <c r="Y30" i="103"/>
  <c r="G17" i="59"/>
  <c r="AQ16" i="71"/>
  <c r="N30" i="89"/>
  <c r="G121" i="10"/>
  <c r="Z43" i="47"/>
  <c r="AJ22" i="45"/>
  <c r="AN22" i="45"/>
  <c r="AJ23" i="72"/>
  <c r="AK23" i="72"/>
  <c r="AD18" i="72"/>
  <c r="AL37" i="88"/>
  <c r="F66" i="10"/>
  <c r="AJ17" i="53"/>
  <c r="AK17" i="53"/>
  <c r="AQ17" i="53" s="1"/>
  <c r="AL28" i="101"/>
  <c r="Z43" i="82"/>
  <c r="V44" i="32"/>
  <c r="AA24" i="103"/>
  <c r="I113" i="10"/>
  <c r="AT14" i="104"/>
  <c r="I15" i="59"/>
  <c r="AT14" i="98"/>
  <c r="P24" i="89"/>
  <c r="AS14" i="71"/>
  <c r="AM26" i="87"/>
  <c r="AQ26" i="87" s="1"/>
  <c r="AJ26" i="87"/>
  <c r="BI16" i="71"/>
  <c r="AQ30" i="103"/>
  <c r="AF30" i="89"/>
  <c r="Y121" i="10"/>
  <c r="AB19" i="32"/>
  <c r="BJ16" i="98"/>
  <c r="AB31" i="97"/>
  <c r="BJ16" i="104"/>
  <c r="AM19" i="53"/>
  <c r="AQ19" i="53" s="1"/>
  <c r="AJ19" i="53"/>
  <c r="V43" i="46"/>
  <c r="AK17" i="54"/>
  <c r="E66" i="10"/>
  <c r="V43" i="73"/>
  <c r="AL28" i="41"/>
  <c r="AM26" i="81"/>
  <c r="AQ26" i="81" s="1"/>
  <c r="AJ26" i="81"/>
  <c r="AN20" i="95"/>
  <c r="AJ20" i="95"/>
  <c r="Q15" i="71"/>
  <c r="Q70" i="71"/>
  <c r="AL23" i="69"/>
  <c r="Z43" i="46"/>
  <c r="AE8" i="49"/>
  <c r="AJ10" i="49"/>
  <c r="AL10" i="49"/>
  <c r="X17" i="101"/>
  <c r="T17" i="101"/>
  <c r="AM26" i="96"/>
  <c r="AM26" i="100"/>
  <c r="AE8" i="85"/>
  <c r="AJ10" i="85"/>
  <c r="AL10" i="85"/>
  <c r="AN20" i="79"/>
  <c r="AJ20" i="79"/>
  <c r="AJ26" i="88"/>
  <c r="AM26" i="88"/>
  <c r="AQ26" i="88" s="1"/>
  <c r="AJ15" i="77"/>
  <c r="AO15" i="77"/>
  <c r="AH8" i="77"/>
  <c r="U63" i="10" s="1"/>
  <c r="AL37" i="47"/>
  <c r="AL10" i="64"/>
  <c r="AJ10" i="64"/>
  <c r="AE8" i="64"/>
  <c r="P15" i="71"/>
  <c r="P70" i="71"/>
  <c r="AL23" i="55"/>
  <c r="AJ10" i="52"/>
  <c r="AE8" i="52"/>
  <c r="AL10" i="52"/>
  <c r="AL28" i="84"/>
  <c r="Z43" i="79"/>
  <c r="AK24" i="45"/>
  <c r="AQ24" i="45" s="1"/>
  <c r="AJ24" i="45"/>
  <c r="AJ15" i="41"/>
  <c r="AO15" i="41"/>
  <c r="AH8" i="41"/>
  <c r="AB19" i="73"/>
  <c r="AF19" i="73"/>
  <c r="AO101" i="32"/>
  <c r="AP101" i="32" s="1"/>
  <c r="K466" i="97"/>
  <c r="AS13" i="104"/>
  <c r="AR13" i="71"/>
  <c r="O21" i="89"/>
  <c r="H109" i="10"/>
  <c r="AS13" i="98"/>
  <c r="H14" i="59"/>
  <c r="K16" i="32"/>
  <c r="Z21" i="103"/>
  <c r="AD21" i="103"/>
  <c r="O16" i="32"/>
  <c r="L109" i="10"/>
  <c r="L14" i="59"/>
  <c r="AV13" i="71"/>
  <c r="AW13" i="104"/>
  <c r="S21" i="89"/>
  <c r="O466" i="97"/>
  <c r="AW13" i="98"/>
  <c r="AJ24" i="48"/>
  <c r="AK24" i="48"/>
  <c r="AQ24" i="48" s="1"/>
  <c r="AF70" i="104"/>
  <c r="AF15" i="104"/>
  <c r="AL37" i="49"/>
  <c r="AK23" i="88"/>
  <c r="AJ23" i="88"/>
  <c r="AD18" i="88"/>
  <c r="AD43" i="88" s="1"/>
  <c r="I190" i="44"/>
  <c r="J807" i="97"/>
  <c r="X17" i="46"/>
  <c r="T17" i="46"/>
  <c r="AB15" i="71"/>
  <c r="AB70" i="71"/>
  <c r="X31" i="97"/>
  <c r="BF16" i="104"/>
  <c r="BF16" i="98"/>
  <c r="AB30" i="89"/>
  <c r="AM30" i="103"/>
  <c r="X19" i="32"/>
  <c r="U121" i="10"/>
  <c r="BE16" i="71"/>
  <c r="AM26" i="54"/>
  <c r="AQ26" i="54" s="1"/>
  <c r="AJ26" i="54"/>
  <c r="Y70" i="71"/>
  <c r="Y15" i="71"/>
  <c r="U15" i="104"/>
  <c r="U70" i="104"/>
  <c r="BM13" i="98"/>
  <c r="AE16" i="32"/>
  <c r="AT21" i="103"/>
  <c r="AB109" i="10"/>
  <c r="BM13" i="104"/>
  <c r="BL13" i="71"/>
  <c r="AI21" i="89"/>
  <c r="AE466" i="97"/>
  <c r="AK23" i="49"/>
  <c r="AJ23" i="49"/>
  <c r="AD18" i="49"/>
  <c r="AL28" i="99"/>
  <c r="AJ9" i="47"/>
  <c r="AK9" i="47"/>
  <c r="AD8" i="47"/>
  <c r="AK9" i="52"/>
  <c r="AD8" i="52"/>
  <c r="AJ9" i="52"/>
  <c r="AL37" i="101"/>
  <c r="AJ24" i="88"/>
  <c r="AK24" i="88"/>
  <c r="AQ24" i="88" s="1"/>
  <c r="R44" i="32"/>
  <c r="AL28" i="88"/>
  <c r="H15" i="71"/>
  <c r="H70" i="71"/>
  <c r="AK24" i="52"/>
  <c r="AQ24" i="52" s="1"/>
  <c r="AJ24" i="52"/>
  <c r="X15" i="71"/>
  <c r="X70" i="71"/>
  <c r="AO15" i="64"/>
  <c r="AH8" i="64"/>
  <c r="AJ15" i="64"/>
  <c r="AH8" i="51"/>
  <c r="H63" i="10" s="1"/>
  <c r="AO15" i="51"/>
  <c r="AJ15" i="51"/>
  <c r="L113" i="10"/>
  <c r="AW14" i="98"/>
  <c r="AV14" i="71"/>
  <c r="O17" i="32"/>
  <c r="AD24" i="103"/>
  <c r="AW14" i="104"/>
  <c r="S24" i="89"/>
  <c r="L15" i="59"/>
  <c r="AE8" i="82"/>
  <c r="AL10" i="82"/>
  <c r="AJ10" i="82"/>
  <c r="AK161" i="44"/>
  <c r="G10" i="33"/>
  <c r="AK188" i="44"/>
  <c r="AL903" i="97"/>
  <c r="T175" i="44"/>
  <c r="T147" i="44"/>
  <c r="R92" i="10" s="1"/>
  <c r="R46" i="10" s="1"/>
  <c r="T202" i="44"/>
  <c r="T201" i="44" s="1"/>
  <c r="AA57" i="33" s="1"/>
  <c r="AO21" i="69"/>
  <c r="AH18" i="69"/>
  <c r="H175" i="44"/>
  <c r="H147" i="44"/>
  <c r="F92" i="10" s="1"/>
  <c r="F46" i="10" s="1"/>
  <c r="H202" i="44"/>
  <c r="H201" i="44" s="1"/>
  <c r="O57" i="33" s="1"/>
  <c r="K31" i="97"/>
  <c r="K19" i="32"/>
  <c r="Z30" i="103"/>
  <c r="AS16" i="104"/>
  <c r="H121" i="10"/>
  <c r="O30" i="89"/>
  <c r="H17" i="59"/>
  <c r="AS16" i="98"/>
  <c r="AR16" i="71"/>
  <c r="AJ22" i="85"/>
  <c r="AN22" i="85"/>
  <c r="F113" i="10"/>
  <c r="X24" i="103"/>
  <c r="AQ14" i="104"/>
  <c r="M24" i="89"/>
  <c r="AQ14" i="98"/>
  <c r="AP14" i="71"/>
  <c r="F15" i="59"/>
  <c r="AG21" i="89"/>
  <c r="Z109" i="10"/>
  <c r="AC16" i="32"/>
  <c r="AR21" i="103"/>
  <c r="BK13" i="104"/>
  <c r="AC466" i="97"/>
  <c r="BJ13" i="71"/>
  <c r="BK13" i="98"/>
  <c r="AF19" i="46"/>
  <c r="AB19" i="46"/>
  <c r="N15" i="59"/>
  <c r="AF24" i="103"/>
  <c r="U24" i="89"/>
  <c r="AX14" i="71"/>
  <c r="AY14" i="98"/>
  <c r="N113" i="10"/>
  <c r="AY14" i="104"/>
  <c r="AJ23" i="85"/>
  <c r="AK23" i="85"/>
  <c r="AD18" i="85"/>
  <c r="AD43" i="85" s="1"/>
  <c r="AH31" i="97"/>
  <c r="BP16" i="98"/>
  <c r="AL30" i="89"/>
  <c r="BP16" i="104"/>
  <c r="AW30" i="103"/>
  <c r="BO16" i="71"/>
  <c r="AE121" i="10"/>
  <c r="AH19" i="32"/>
  <c r="BM16" i="104"/>
  <c r="AE31" i="97"/>
  <c r="AE19" i="32"/>
  <c r="AB121" i="10"/>
  <c r="BL16" i="71"/>
  <c r="AT30" i="103"/>
  <c r="BM16" i="98"/>
  <c r="AI30" i="89"/>
  <c r="AJ26" i="84"/>
  <c r="AM26" i="84"/>
  <c r="AQ26" i="84" s="1"/>
  <c r="AS16" i="71"/>
  <c r="AT16" i="104"/>
  <c r="AT16" i="98"/>
  <c r="L19" i="32"/>
  <c r="I17" i="59"/>
  <c r="P30" i="89"/>
  <c r="AA30" i="103"/>
  <c r="L31" i="97"/>
  <c r="I121" i="10"/>
  <c r="AJ23" i="101"/>
  <c r="AK23" i="101"/>
  <c r="AD18" i="101"/>
  <c r="AD43" i="101" s="1"/>
  <c r="AL23" i="90"/>
  <c r="AJ22" i="48"/>
  <c r="AN22" i="48"/>
  <c r="V31" i="97"/>
  <c r="BD16" i="104"/>
  <c r="Z30" i="89"/>
  <c r="V19" i="32"/>
  <c r="BD16" i="98"/>
  <c r="S121" i="10"/>
  <c r="BC16" i="71"/>
  <c r="AK30" i="103"/>
  <c r="AK19" i="10"/>
  <c r="AK19" i="32"/>
  <c r="AK31" i="97"/>
  <c r="AO30" i="89"/>
  <c r="AZ30" i="103"/>
  <c r="BS16" i="104"/>
  <c r="BR16" i="71"/>
  <c r="AH121" i="10"/>
  <c r="BS16" i="98"/>
  <c r="AB175" i="44"/>
  <c r="AB147" i="44"/>
  <c r="Z92" i="10" s="1"/>
  <c r="Z46" i="10" s="1"/>
  <c r="AB202" i="44"/>
  <c r="AB201" i="44" s="1"/>
  <c r="AI57" i="33" s="1"/>
  <c r="W175" i="44"/>
  <c r="W147" i="44"/>
  <c r="U92" i="10" s="1"/>
  <c r="U46" i="10" s="1"/>
  <c r="W202" i="44"/>
  <c r="W201" i="44" s="1"/>
  <c r="AD57" i="33" s="1"/>
  <c r="AJ19" i="32"/>
  <c r="AN30" i="89"/>
  <c r="BR16" i="98"/>
  <c r="BR16" i="104"/>
  <c r="BQ16" i="71"/>
  <c r="AJ31" i="97"/>
  <c r="AG121" i="10"/>
  <c r="AY30" i="103"/>
  <c r="AK24" i="47"/>
  <c r="AQ24" i="47" s="1"/>
  <c r="AJ24" i="47"/>
  <c r="K175" i="44"/>
  <c r="K147" i="44"/>
  <c r="I92" i="10" s="1"/>
  <c r="I46" i="10" s="1"/>
  <c r="K202" i="44"/>
  <c r="K201" i="44" s="1"/>
  <c r="R57" i="33" s="1"/>
  <c r="AN20" i="85"/>
  <c r="AJ20" i="85"/>
  <c r="AL37" i="81"/>
  <c r="AJ19" i="85"/>
  <c r="AM19" i="85"/>
  <c r="AQ19" i="85" s="1"/>
  <c r="AL37" i="90"/>
  <c r="AJ20" i="83"/>
  <c r="AN20" i="83"/>
  <c r="P44" i="32"/>
  <c r="AJ20" i="73"/>
  <c r="AN20" i="73"/>
  <c r="AL37" i="52"/>
  <c r="U109" i="10"/>
  <c r="X466" i="97"/>
  <c r="X16" i="32"/>
  <c r="AB21" i="89"/>
  <c r="BE13" i="71"/>
  <c r="AM21" i="103"/>
  <c r="BF13" i="104"/>
  <c r="BF13" i="98"/>
  <c r="BO16" i="98"/>
  <c r="AD121" i="10"/>
  <c r="BO16" i="104"/>
  <c r="AG19" i="32"/>
  <c r="AG31" i="97"/>
  <c r="AK30" i="89"/>
  <c r="AV30" i="103"/>
  <c r="BN16" i="71"/>
  <c r="AO21" i="83"/>
  <c r="AH18" i="83"/>
  <c r="AQ101" i="32"/>
  <c r="AR101" i="32" s="1"/>
  <c r="AJ20" i="101"/>
  <c r="AN20" i="101"/>
  <c r="D70" i="104"/>
  <c r="D15" i="104"/>
  <c r="K15" i="71"/>
  <c r="K70" i="71"/>
  <c r="AS13" i="71"/>
  <c r="AT13" i="104"/>
  <c r="P21" i="89"/>
  <c r="AA21" i="103"/>
  <c r="AT13" i="98"/>
  <c r="L466" i="97"/>
  <c r="I109" i="10"/>
  <c r="I14" i="59"/>
  <c r="L16" i="32"/>
  <c r="AS21" i="103"/>
  <c r="BL13" i="104"/>
  <c r="AD466" i="97"/>
  <c r="AA109" i="10"/>
  <c r="AH21" i="89"/>
  <c r="BK13" i="71"/>
  <c r="AD16" i="32"/>
  <c r="BL13" i="98"/>
  <c r="AJ10" i="99"/>
  <c r="AL10" i="99"/>
  <c r="AE8" i="99"/>
  <c r="AL23" i="53"/>
  <c r="L15" i="71"/>
  <c r="L70" i="71"/>
  <c r="AK23" i="56"/>
  <c r="AJ23" i="56"/>
  <c r="AD18" i="56"/>
  <c r="AM17" i="41"/>
  <c r="C68" i="10"/>
  <c r="AJ22" i="82"/>
  <c r="AN22" i="82"/>
  <c r="AJ24" i="72"/>
  <c r="AK24" i="72"/>
  <c r="AQ24" i="72" s="1"/>
  <c r="F188" i="44"/>
  <c r="G903" i="97"/>
  <c r="AM26" i="46"/>
  <c r="AQ26" i="46" s="1"/>
  <c r="AJ26" i="46"/>
  <c r="AG101" i="32"/>
  <c r="AH101" i="32" s="1"/>
  <c r="I15" i="98"/>
  <c r="I70" i="98"/>
  <c r="V175" i="44"/>
  <c r="V202" i="44"/>
  <c r="V201" i="44" s="1"/>
  <c r="AC57" i="33" s="1"/>
  <c r="V147" i="44"/>
  <c r="T92" i="10" s="1"/>
  <c r="T46" i="10" s="1"/>
  <c r="AN22" i="56"/>
  <c r="AJ22" i="56"/>
  <c r="J109" i="10"/>
  <c r="M16" i="32"/>
  <c r="AB21" i="103"/>
  <c r="AU13" i="104"/>
  <c r="Q21" i="89"/>
  <c r="AU13" i="98"/>
  <c r="J14" i="59"/>
  <c r="AT13" i="71"/>
  <c r="M466" i="97"/>
  <c r="AD175" i="44"/>
  <c r="AD202" i="44"/>
  <c r="AD201" i="44" s="1"/>
  <c r="AK57" i="33" s="1"/>
  <c r="AD147" i="44"/>
  <c r="AB92" i="10" s="1"/>
  <c r="AB46" i="10" s="1"/>
  <c r="G70" i="98"/>
  <c r="G15" i="98"/>
  <c r="AJ17" i="95"/>
  <c r="AE66" i="10"/>
  <c r="AK17" i="95"/>
  <c r="N16" i="32"/>
  <c r="AV13" i="98"/>
  <c r="K109" i="10"/>
  <c r="AV13" i="104"/>
  <c r="N466" i="97"/>
  <c r="AU13" i="71"/>
  <c r="R21" i="89"/>
  <c r="AC21" i="103"/>
  <c r="K14" i="59"/>
  <c r="AE8" i="46"/>
  <c r="AL10" i="46"/>
  <c r="AJ10" i="46"/>
  <c r="AJ175" i="44"/>
  <c r="AJ147" i="44"/>
  <c r="AH92" i="10" s="1"/>
  <c r="AH46" i="10" s="1"/>
  <c r="AJ202" i="44"/>
  <c r="AJ201" i="44" s="1"/>
  <c r="AQ57" i="33" s="1"/>
  <c r="X807" i="97"/>
  <c r="AC175" i="44"/>
  <c r="AC147" i="44"/>
  <c r="AA92" i="10" s="1"/>
  <c r="AA46" i="10" s="1"/>
  <c r="AC202" i="44"/>
  <c r="AC201" i="44" s="1"/>
  <c r="AJ57" i="33" s="1"/>
  <c r="AJ20" i="100"/>
  <c r="AN20" i="100"/>
  <c r="AL23" i="100"/>
  <c r="AJ44" i="32"/>
  <c r="R66" i="10"/>
  <c r="AK17" i="69"/>
  <c r="AJ10" i="50"/>
  <c r="AL10" i="50"/>
  <c r="AE8" i="50"/>
  <c r="AJ22" i="64"/>
  <c r="AN22" i="64"/>
  <c r="AH18" i="82"/>
  <c r="AO21" i="82"/>
  <c r="G175" i="44"/>
  <c r="G202" i="44"/>
  <c r="G201" i="44" s="1"/>
  <c r="N57" i="33" s="1"/>
  <c r="G147" i="44"/>
  <c r="E92" i="10" s="1"/>
  <c r="E46" i="10" s="1"/>
  <c r="M31" i="97"/>
  <c r="J121" i="10"/>
  <c r="AB30" i="103"/>
  <c r="AU16" i="98"/>
  <c r="AU16" i="104"/>
  <c r="J17" i="59"/>
  <c r="M19" i="32"/>
  <c r="Q30" i="89"/>
  <c r="AT16" i="71"/>
  <c r="Z68" i="37"/>
  <c r="Z52" i="37"/>
  <c r="BD14" i="98"/>
  <c r="S113" i="10"/>
  <c r="Z24" i="89"/>
  <c r="BC14" i="71"/>
  <c r="AK24" i="103"/>
  <c r="BD14" i="104"/>
  <c r="M70" i="71"/>
  <c r="M15" i="71"/>
  <c r="AJ20" i="88"/>
  <c r="AN20" i="88"/>
  <c r="T44" i="32"/>
  <c r="AK17" i="51"/>
  <c r="AQ17" i="51" s="1"/>
  <c r="H66" i="10"/>
  <c r="AJ17" i="51"/>
  <c r="AO21" i="46"/>
  <c r="AH18" i="46"/>
  <c r="E15" i="71"/>
  <c r="E70" i="71"/>
  <c r="AN20" i="96"/>
  <c r="AJ20" i="96"/>
  <c r="AJ9" i="53"/>
  <c r="AD8" i="53"/>
  <c r="AK9" i="53"/>
  <c r="AL23" i="56"/>
  <c r="AK17" i="90"/>
  <c r="AJ17" i="90"/>
  <c r="AD66" i="10"/>
  <c r="AK24" i="49"/>
  <c r="AQ24" i="49" s="1"/>
  <c r="AJ24" i="49"/>
  <c r="AL23" i="95"/>
  <c r="P15" i="98"/>
  <c r="P70" i="98"/>
  <c r="AN22" i="55"/>
  <c r="AJ22" i="55"/>
  <c r="AO21" i="79"/>
  <c r="AH18" i="79"/>
  <c r="AO15" i="83"/>
  <c r="AH8" i="83"/>
  <c r="AJ15" i="83"/>
  <c r="AJ22" i="51"/>
  <c r="AN22" i="51"/>
  <c r="BN14" i="98"/>
  <c r="BM14" i="71"/>
  <c r="AU24" i="103"/>
  <c r="AC113" i="10"/>
  <c r="BN14" i="104"/>
  <c r="AJ24" i="89"/>
  <c r="AK9" i="50"/>
  <c r="AJ9" i="50"/>
  <c r="AD8" i="50"/>
  <c r="Z70" i="98"/>
  <c r="Z15" i="98"/>
  <c r="AL28" i="58"/>
  <c r="AF113" i="10"/>
  <c r="BP14" i="71"/>
  <c r="AI17" i="32"/>
  <c r="AX24" i="103"/>
  <c r="BQ14" i="98"/>
  <c r="AM24" i="89"/>
  <c r="BQ14" i="104"/>
  <c r="AN21" i="103"/>
  <c r="Y16" i="32"/>
  <c r="V109" i="10"/>
  <c r="BF13" i="71"/>
  <c r="Y466" i="97"/>
  <c r="BG13" i="104"/>
  <c r="AC21" i="89"/>
  <c r="BG13" i="98"/>
  <c r="AJ24" i="81"/>
  <c r="AK24" i="81"/>
  <c r="AQ24" i="81" s="1"/>
  <c r="AL28" i="50"/>
  <c r="Y807" i="97"/>
  <c r="AB70" i="98"/>
  <c r="AB15" i="98"/>
  <c r="AC66" i="10"/>
  <c r="AK17" i="88"/>
  <c r="AJ17" i="88"/>
  <c r="AO21" i="89"/>
  <c r="AH109" i="10"/>
  <c r="BR13" i="71"/>
  <c r="AZ21" i="103"/>
  <c r="BS13" i="98"/>
  <c r="AK466" i="97"/>
  <c r="AK16" i="32"/>
  <c r="BS13" i="104"/>
  <c r="AK16" i="10"/>
  <c r="V43" i="47"/>
  <c r="AJ22" i="58"/>
  <c r="AN22" i="58"/>
  <c r="O70" i="71"/>
  <c r="O15" i="71"/>
  <c r="V43" i="58"/>
  <c r="AL10" i="88"/>
  <c r="AE8" i="88"/>
  <c r="AJ10" i="88"/>
  <c r="H70" i="104"/>
  <c r="H15" i="104"/>
  <c r="AA44" i="32"/>
  <c r="AM26" i="49"/>
  <c r="AQ26" i="49" s="1"/>
  <c r="AJ26" i="49"/>
  <c r="I44" i="32"/>
  <c r="AK23" i="48"/>
  <c r="AJ23" i="48"/>
  <c r="AD18" i="48"/>
  <c r="AL23" i="51"/>
  <c r="Z43" i="55"/>
  <c r="AN20" i="84"/>
  <c r="AJ20" i="84"/>
  <c r="Y101" i="32"/>
  <c r="Z101" i="32" s="1"/>
  <c r="AN20" i="58"/>
  <c r="AJ20" i="58"/>
  <c r="AL23" i="41"/>
  <c r="AI70" i="104"/>
  <c r="AI15" i="104"/>
  <c r="V43" i="45"/>
  <c r="AE8" i="79"/>
  <c r="AJ10" i="79"/>
  <c r="AL10" i="79"/>
  <c r="AJ20" i="45"/>
  <c r="AN20" i="45"/>
  <c r="V70" i="71"/>
  <c r="V15" i="71"/>
  <c r="AJ30" i="103"/>
  <c r="U31" i="97"/>
  <c r="BC16" i="104"/>
  <c r="Y30" i="89"/>
  <c r="BC16" i="98"/>
  <c r="U19" i="32"/>
  <c r="R121" i="10"/>
  <c r="BB16" i="71"/>
  <c r="AJ23" i="90"/>
  <c r="AK23" i="90"/>
  <c r="AD18" i="90"/>
  <c r="AK23" i="45"/>
  <c r="AJ23" i="45"/>
  <c r="AD18" i="45"/>
  <c r="AN22" i="87"/>
  <c r="AJ22" i="87"/>
  <c r="X17" i="100"/>
  <c r="T17" i="100"/>
  <c r="AA101" i="32"/>
  <c r="AB101" i="32" s="1"/>
  <c r="AD8" i="73"/>
  <c r="AK9" i="73"/>
  <c r="AJ9" i="73"/>
  <c r="AO16" i="71"/>
  <c r="H31" i="97"/>
  <c r="E17" i="59"/>
  <c r="W30" i="103"/>
  <c r="AP16" i="98"/>
  <c r="L30" i="89"/>
  <c r="E121" i="10"/>
  <c r="AP16" i="104"/>
  <c r="H19" i="32"/>
  <c r="AN22" i="96"/>
  <c r="AJ22" i="96"/>
  <c r="G70" i="104"/>
  <c r="G15" i="104"/>
  <c r="AA15" i="71"/>
  <c r="AA70" i="71"/>
  <c r="T15" i="104"/>
  <c r="T70" i="104"/>
  <c r="AJ9" i="51"/>
  <c r="AD8" i="51"/>
  <c r="AK9" i="51"/>
  <c r="AJ22" i="50"/>
  <c r="AN22" i="50"/>
  <c r="AL10" i="101"/>
  <c r="AE8" i="101"/>
  <c r="AJ10" i="101"/>
  <c r="AL37" i="85"/>
  <c r="AE8" i="47"/>
  <c r="AL10" i="47"/>
  <c r="AJ10" i="47"/>
  <c r="AL37" i="64"/>
  <c r="AN22" i="46"/>
  <c r="AJ22" i="46"/>
  <c r="AL37" i="96"/>
  <c r="AA70" i="104"/>
  <c r="AA15" i="104"/>
  <c r="AJ10" i="83"/>
  <c r="AE8" i="83"/>
  <c r="AL10" i="83"/>
  <c r="AK23" i="69"/>
  <c r="AJ23" i="69"/>
  <c r="AD18" i="69"/>
  <c r="V43" i="51"/>
  <c r="K70" i="98"/>
  <c r="K15" i="98"/>
  <c r="AO21" i="95"/>
  <c r="AH18" i="95"/>
  <c r="AJ26" i="69"/>
  <c r="AM26" i="69"/>
  <c r="AQ26" i="69" s="1"/>
  <c r="AD15" i="71"/>
  <c r="AD70" i="71"/>
  <c r="AH18" i="49"/>
  <c r="AO21" i="49"/>
  <c r="AL21" i="103"/>
  <c r="BE13" i="104"/>
  <c r="AA21" i="89"/>
  <c r="BD13" i="71"/>
  <c r="W466" i="97"/>
  <c r="T109" i="10"/>
  <c r="W16" i="32"/>
  <c r="BE13" i="98"/>
  <c r="O44" i="32"/>
  <c r="AN22" i="52"/>
  <c r="AJ22" i="52"/>
  <c r="I70" i="71"/>
  <c r="I15" i="71"/>
  <c r="V43" i="64"/>
  <c r="AL28" i="73"/>
  <c r="AO21" i="72"/>
  <c r="AH18" i="72"/>
  <c r="J44" i="32"/>
  <c r="AF19" i="90"/>
  <c r="AB19" i="90"/>
  <c r="AL10" i="100"/>
  <c r="AJ10" i="100"/>
  <c r="AE8" i="100"/>
  <c r="AK23" i="73"/>
  <c r="AJ23" i="73"/>
  <c r="AD18" i="73"/>
  <c r="AL23" i="77"/>
  <c r="AH18" i="99"/>
  <c r="AO21" i="99"/>
  <c r="AL37" i="46"/>
  <c r="AG15" i="98"/>
  <c r="AG70" i="98"/>
  <c r="AO15" i="96"/>
  <c r="AJ15" i="96"/>
  <c r="AH8" i="96"/>
  <c r="C62" i="37"/>
  <c r="AI68" i="37"/>
  <c r="AI52" i="37"/>
  <c r="S70" i="104"/>
  <c r="S15" i="104"/>
  <c r="P66" i="10"/>
  <c r="AK17" i="58"/>
  <c r="AQ17" i="58" s="1"/>
  <c r="AJ17" i="58"/>
  <c r="AL23" i="72"/>
  <c r="J175" i="44"/>
  <c r="J202" i="44"/>
  <c r="J201" i="44" s="1"/>
  <c r="J147" i="44"/>
  <c r="H92" i="10" s="1"/>
  <c r="H46" i="10" s="1"/>
  <c r="AL23" i="45"/>
  <c r="Y175" i="44"/>
  <c r="Y202" i="44"/>
  <c r="Y201" i="44" s="1"/>
  <c r="AF57" i="33" s="1"/>
  <c r="Y147" i="44"/>
  <c r="W92" i="10" s="1"/>
  <c r="W46" i="10" s="1"/>
  <c r="L66" i="10"/>
  <c r="AK17" i="47"/>
  <c r="AQ17" i="47" s="1"/>
  <c r="AJ17" i="47"/>
  <c r="AJ22" i="79"/>
  <c r="AN22" i="79"/>
  <c r="AO15" i="90"/>
  <c r="AH8" i="90"/>
  <c r="AD63" i="10" s="1"/>
  <c r="AJ15" i="90"/>
  <c r="AM26" i="56"/>
  <c r="AJ10" i="77"/>
  <c r="AE8" i="77"/>
  <c r="AL10" i="77"/>
  <c r="AJ24" i="79"/>
  <c r="AK24" i="79"/>
  <c r="AQ24" i="79" s="1"/>
  <c r="AF21" i="89"/>
  <c r="AB16" i="32"/>
  <c r="AB466" i="97"/>
  <c r="BJ13" i="104"/>
  <c r="BI13" i="71"/>
  <c r="Y109" i="10"/>
  <c r="AQ21" i="103"/>
  <c r="BJ13" i="98"/>
  <c r="AL28" i="64"/>
  <c r="AK23" i="95"/>
  <c r="AJ23" i="95"/>
  <c r="AD18" i="95"/>
  <c r="AD43" i="95" s="1"/>
  <c r="AB19" i="52"/>
  <c r="AF19" i="52"/>
  <c r="H44" i="32"/>
  <c r="AJ22" i="88"/>
  <c r="AN22" i="88"/>
  <c r="AF807" i="97"/>
  <c r="AE190" i="44"/>
  <c r="BQ16" i="104"/>
  <c r="AF121" i="10"/>
  <c r="BP16" i="71"/>
  <c r="AX30" i="103"/>
  <c r="AM30" i="89"/>
  <c r="BQ16" i="98"/>
  <c r="AI31" i="97"/>
  <c r="AI19" i="32"/>
  <c r="V43" i="53"/>
  <c r="AK17" i="45"/>
  <c r="D66" i="10"/>
  <c r="AL28" i="48"/>
  <c r="BG14" i="98"/>
  <c r="V113" i="10"/>
  <c r="AN24" i="103"/>
  <c r="BG14" i="104"/>
  <c r="BF14" i="71"/>
  <c r="AC24" i="89"/>
  <c r="AH8" i="54"/>
  <c r="E63" i="10" s="1"/>
  <c r="AJ15" i="54"/>
  <c r="AO15" i="54"/>
  <c r="AL23" i="85"/>
  <c r="M52" i="37"/>
  <c r="M68" i="37"/>
  <c r="AO15" i="47"/>
  <c r="AJ15" i="47"/>
  <c r="AH8" i="47"/>
  <c r="AI16" i="32"/>
  <c r="AX21" i="103"/>
  <c r="BQ13" i="104"/>
  <c r="BP13" i="71"/>
  <c r="AI466" i="97"/>
  <c r="AM21" i="89"/>
  <c r="BQ13" i="98"/>
  <c r="AF109" i="10"/>
  <c r="V43" i="50"/>
  <c r="Z70" i="104"/>
  <c r="Z15" i="104"/>
  <c r="AL10" i="56"/>
  <c r="AE8" i="56"/>
  <c r="AJ10" i="56"/>
  <c r="AK24" i="55"/>
  <c r="AQ24" i="55" s="1"/>
  <c r="AJ24" i="55"/>
  <c r="I19" i="32"/>
  <c r="X30" i="103"/>
  <c r="AP16" i="71"/>
  <c r="AQ16" i="104"/>
  <c r="F121" i="10"/>
  <c r="F17" i="59"/>
  <c r="AQ16" i="98"/>
  <c r="I31" i="97"/>
  <c r="M30" i="89"/>
  <c r="AO37" i="41"/>
  <c r="AP21" i="103"/>
  <c r="BI13" i="104"/>
  <c r="AE21" i="89"/>
  <c r="AA16" i="32"/>
  <c r="BI13" i="98"/>
  <c r="AA466" i="97"/>
  <c r="X109" i="10"/>
  <c r="BH13" i="71"/>
  <c r="AO21" i="81"/>
  <c r="AH18" i="81"/>
  <c r="AO15" i="49"/>
  <c r="AJ15" i="49"/>
  <c r="AH8" i="49"/>
  <c r="J63" i="10" s="1"/>
  <c r="M903" i="97"/>
  <c r="L188" i="44"/>
  <c r="AM26" i="53"/>
  <c r="AQ26" i="53" s="1"/>
  <c r="AJ26" i="53"/>
  <c r="AE8" i="58"/>
  <c r="AJ10" i="58"/>
  <c r="AL10" i="58"/>
  <c r="V43" i="82"/>
  <c r="K66" i="10"/>
  <c r="AJ17" i="48"/>
  <c r="AK17" i="48"/>
  <c r="AQ17" i="48" s="1"/>
  <c r="AE8" i="95"/>
  <c r="AL10" i="95"/>
  <c r="AJ10" i="95"/>
  <c r="AL23" i="52"/>
  <c r="AM26" i="77"/>
  <c r="AQ26" i="77" s="1"/>
  <c r="AJ26" i="77"/>
  <c r="S101" i="32"/>
  <c r="T101" i="32" s="1"/>
  <c r="AK24" i="46"/>
  <c r="AQ24" i="46" s="1"/>
  <c r="AJ24" i="46"/>
  <c r="AM26" i="83"/>
  <c r="AQ26" i="83" s="1"/>
  <c r="AJ26" i="83"/>
  <c r="AL37" i="50"/>
  <c r="AD8" i="58"/>
  <c r="AJ9" i="58"/>
  <c r="AK9" i="58"/>
  <c r="AO15" i="85"/>
  <c r="AH8" i="85"/>
  <c r="AJ15" i="85"/>
  <c r="F70" i="104"/>
  <c r="F15" i="104"/>
  <c r="AJ15" i="88"/>
  <c r="AH8" i="88"/>
  <c r="AC63" i="10" s="1"/>
  <c r="AO15" i="88"/>
  <c r="AO21" i="55"/>
  <c r="AH18" i="55"/>
  <c r="AL37" i="87"/>
  <c r="AK23" i="55"/>
  <c r="AJ23" i="55"/>
  <c r="AD18" i="55"/>
  <c r="AN20" i="51"/>
  <c r="AJ20" i="51"/>
  <c r="V43" i="77"/>
  <c r="R15" i="104"/>
  <c r="R70" i="104"/>
  <c r="AI70" i="98"/>
  <c r="AI15" i="98"/>
  <c r="AD113" i="10"/>
  <c r="BO14" i="104"/>
  <c r="AV24" i="103"/>
  <c r="BO14" i="98"/>
  <c r="AK24" i="89"/>
  <c r="BN14" i="71"/>
  <c r="AG17" i="32"/>
  <c r="AL37" i="55"/>
  <c r="AL10" i="54"/>
  <c r="AE8" i="54"/>
  <c r="AJ10" i="54"/>
  <c r="AL37" i="82"/>
  <c r="T15" i="71"/>
  <c r="T70" i="71"/>
  <c r="AL23" i="82"/>
  <c r="AL28" i="81"/>
  <c r="I175" i="44"/>
  <c r="I147" i="44"/>
  <c r="G92" i="10" s="1"/>
  <c r="G46" i="10" s="1"/>
  <c r="I202" i="44"/>
  <c r="I201" i="44" s="1"/>
  <c r="P57" i="33" s="1"/>
  <c r="AK24" i="64"/>
  <c r="AQ24" i="64" s="1"/>
  <c r="AJ24" i="64"/>
  <c r="AH30" i="103"/>
  <c r="S19" i="32"/>
  <c r="BA16" i="104"/>
  <c r="BA16" i="98"/>
  <c r="P17" i="59"/>
  <c r="S31" i="97"/>
  <c r="W30" i="89"/>
  <c r="AZ16" i="71"/>
  <c r="P121" i="10"/>
  <c r="S70" i="98"/>
  <c r="S15" i="98"/>
  <c r="AK23" i="81"/>
  <c r="AJ23" i="81"/>
  <c r="AD18" i="81"/>
  <c r="AD43" i="81" s="1"/>
  <c r="AJ24" i="58"/>
  <c r="AK24" i="58"/>
  <c r="AQ24" i="58" s="1"/>
  <c r="AI66" i="10"/>
  <c r="AK17" i="101"/>
  <c r="AL28" i="49"/>
  <c r="AA66" i="10"/>
  <c r="AJ17" i="85"/>
  <c r="AK17" i="85"/>
  <c r="X202" i="44"/>
  <c r="X201" i="44" s="1"/>
  <c r="AE57" i="33" s="1"/>
  <c r="X147" i="44"/>
  <c r="V92" i="10" s="1"/>
  <c r="V46" i="10" s="1"/>
  <c r="AN24" i="89"/>
  <c r="AG113" i="10"/>
  <c r="BR14" i="98"/>
  <c r="AY24" i="103"/>
  <c r="BR14" i="104"/>
  <c r="BQ14" i="71"/>
  <c r="AJ17" i="32"/>
  <c r="W15" i="98"/>
  <c r="W70" i="98"/>
  <c r="AL28" i="95"/>
  <c r="J68" i="37"/>
  <c r="J52" i="37"/>
  <c r="AL28" i="83"/>
  <c r="AK17" i="96"/>
  <c r="AF66" i="10"/>
  <c r="AJ17" i="96"/>
  <c r="M66" i="10"/>
  <c r="AK17" i="46"/>
  <c r="AJ26" i="58"/>
  <c r="AM26" i="58"/>
  <c r="AQ26" i="58" s="1"/>
  <c r="AH18" i="54"/>
  <c r="AO21" i="54"/>
  <c r="Q175" i="44"/>
  <c r="Q147" i="44"/>
  <c r="O92" i="10" s="1"/>
  <c r="O46" i="10" s="1"/>
  <c r="Q202" i="44"/>
  <c r="Q201" i="44" s="1"/>
  <c r="X57" i="33" s="1"/>
  <c r="AK23" i="51"/>
  <c r="AJ23" i="51"/>
  <c r="AD18" i="51"/>
  <c r="Z43" i="58"/>
  <c r="Z43" i="81"/>
  <c r="Z43" i="90"/>
  <c r="AJ15" i="73"/>
  <c r="AH8" i="73"/>
  <c r="T63" i="10" s="1"/>
  <c r="AO15" i="73"/>
  <c r="AB19" i="58"/>
  <c r="AF19" i="58"/>
  <c r="AN20" i="47"/>
  <c r="AJ20" i="47"/>
  <c r="AB15" i="104"/>
  <c r="AB70" i="104"/>
  <c r="AN16" i="71"/>
  <c r="AO16" i="98"/>
  <c r="D17" i="59"/>
  <c r="V30" i="103"/>
  <c r="AO16" i="104"/>
  <c r="D121" i="10"/>
  <c r="G31" i="97"/>
  <c r="K30" i="89"/>
  <c r="G19" i="32"/>
  <c r="AM101" i="32"/>
  <c r="AN101" i="32" s="1"/>
  <c r="AL37" i="56"/>
  <c r="X44" i="32"/>
  <c r="AA19" i="32"/>
  <c r="AP30" i="103"/>
  <c r="BI16" i="104"/>
  <c r="BH16" i="71"/>
  <c r="X121" i="10"/>
  <c r="BI16" i="98"/>
  <c r="AE30" i="89"/>
  <c r="AA31" i="97"/>
  <c r="AH66" i="10"/>
  <c r="AK17" i="100"/>
  <c r="AD8" i="55"/>
  <c r="AJ9" i="55"/>
  <c r="AK9" i="55"/>
  <c r="AM26" i="48"/>
  <c r="AQ26" i="48" s="1"/>
  <c r="AJ26" i="48"/>
  <c r="AO15" i="48"/>
  <c r="AJ15" i="48"/>
  <c r="AH8" i="48"/>
  <c r="AK24" i="101"/>
  <c r="AQ24" i="101" s="1"/>
  <c r="AJ24" i="101"/>
  <c r="K44" i="32"/>
  <c r="AJ20" i="55"/>
  <c r="AN20" i="55"/>
  <c r="Z43" i="101"/>
  <c r="AE8" i="84"/>
  <c r="AL10" i="84"/>
  <c r="AJ10" i="84"/>
  <c r="AO21" i="85"/>
  <c r="AH18" i="85"/>
  <c r="V43" i="49"/>
  <c r="AD8" i="48"/>
  <c r="AJ9" i="48"/>
  <c r="AK9" i="48"/>
  <c r="AK17" i="49"/>
  <c r="J66" i="10"/>
  <c r="AJ26" i="51"/>
  <c r="AM26" i="51"/>
  <c r="AQ26" i="51" s="1"/>
  <c r="AM26" i="95"/>
  <c r="AQ26" i="95" s="1"/>
  <c r="AJ26" i="95"/>
  <c r="U807" i="97"/>
  <c r="T190" i="44"/>
  <c r="AG109" i="10"/>
  <c r="BR13" i="98"/>
  <c r="AJ466" i="97"/>
  <c r="AY21" i="103"/>
  <c r="AJ16" i="32"/>
  <c r="BR13" i="104"/>
  <c r="BQ13" i="71"/>
  <c r="AN21" i="89"/>
  <c r="AO21" i="103"/>
  <c r="BG13" i="71"/>
  <c r="AD21" i="89"/>
  <c r="Z466" i="97"/>
  <c r="BH13" i="98"/>
  <c r="W109" i="10"/>
  <c r="Z16" i="32"/>
  <c r="BH13" i="104"/>
  <c r="AF19" i="50"/>
  <c r="AB19" i="50"/>
  <c r="AJ9" i="45"/>
  <c r="AK9" i="45"/>
  <c r="AD8" i="45"/>
  <c r="Q44" i="32"/>
  <c r="H903" i="97"/>
  <c r="G188" i="44"/>
  <c r="AL23" i="46"/>
  <c r="AL37" i="54"/>
  <c r="R175" i="44"/>
  <c r="R147" i="44"/>
  <c r="P92" i="10" s="1"/>
  <c r="P46" i="10" s="1"/>
  <c r="R202" i="44"/>
  <c r="R201" i="44" s="1"/>
  <c r="Y57" i="33" s="1"/>
  <c r="D68" i="37"/>
  <c r="D52" i="37"/>
  <c r="AJ17" i="79"/>
  <c r="AK17" i="79"/>
  <c r="V66" i="10"/>
  <c r="AJ15" i="84"/>
  <c r="AH8" i="84"/>
  <c r="AO15" i="84"/>
  <c r="L44" i="32"/>
  <c r="AZ14" i="71"/>
  <c r="P113" i="10"/>
  <c r="AH24" i="103"/>
  <c r="BA14" i="104"/>
  <c r="P15" i="59"/>
  <c r="W24" i="89"/>
  <c r="S17" i="32"/>
  <c r="BA14" i="98"/>
  <c r="M175" i="44"/>
  <c r="M202" i="44"/>
  <c r="M201" i="44" s="1"/>
  <c r="T57" i="33" s="1"/>
  <c r="M147" i="44"/>
  <c r="K92" i="10" s="1"/>
  <c r="K46" i="10" s="1"/>
  <c r="AL28" i="51"/>
  <c r="G70" i="71"/>
  <c r="G15" i="71"/>
  <c r="AN20" i="46"/>
  <c r="AJ20" i="46"/>
  <c r="AF30" i="103"/>
  <c r="AY16" i="104"/>
  <c r="Q19" i="32"/>
  <c r="N17" i="59"/>
  <c r="AY16" i="98"/>
  <c r="Q31" i="97"/>
  <c r="AX16" i="71"/>
  <c r="N121" i="10"/>
  <c r="U30" i="89"/>
  <c r="AN13" i="98"/>
  <c r="U21" i="103"/>
  <c r="F466" i="97"/>
  <c r="AN13" i="104"/>
  <c r="J21" i="89"/>
  <c r="AM13" i="71"/>
  <c r="C14" i="59"/>
  <c r="C109" i="10"/>
  <c r="BC101" i="32"/>
  <c r="BD101" i="32" s="1"/>
  <c r="F31" i="97"/>
  <c r="AN16" i="104"/>
  <c r="U30" i="103"/>
  <c r="J30" i="89"/>
  <c r="C121" i="10"/>
  <c r="C17" i="59"/>
  <c r="AM16" i="71"/>
  <c r="AN16" i="98"/>
  <c r="N31" i="97"/>
  <c r="AC30" i="103"/>
  <c r="AU16" i="71"/>
  <c r="K17" i="59"/>
  <c r="K121" i="10"/>
  <c r="R30" i="89"/>
  <c r="N19" i="32"/>
  <c r="AV16" i="98"/>
  <c r="AV16" i="104"/>
  <c r="AL23" i="79"/>
  <c r="AE175" i="44"/>
  <c r="AE147" i="44"/>
  <c r="AC92" i="10" s="1"/>
  <c r="AC46" i="10" s="1"/>
  <c r="AE202" i="44"/>
  <c r="AE201" i="44" s="1"/>
  <c r="AL57" i="33" s="1"/>
  <c r="AH68" i="37"/>
  <c r="AH52" i="37"/>
  <c r="AJ23" i="77"/>
  <c r="AK23" i="77"/>
  <c r="AD18" i="77"/>
  <c r="AD43" i="77" s="1"/>
  <c r="M15" i="104"/>
  <c r="M70" i="104"/>
  <c r="AH18" i="52"/>
  <c r="AO21" i="52"/>
  <c r="AJ20" i="54"/>
  <c r="AN20" i="54"/>
  <c r="AN22" i="47"/>
  <c r="AJ22" i="47"/>
  <c r="R68" i="37"/>
  <c r="R52" i="37"/>
  <c r="AC807" i="97"/>
  <c r="AJ22" i="84"/>
  <c r="AN22" i="84"/>
  <c r="AJ20" i="69"/>
  <c r="AN20" i="69"/>
  <c r="AJ22" i="53"/>
  <c r="AN22" i="53"/>
  <c r="P70" i="104"/>
  <c r="P15" i="104"/>
  <c r="Y66" i="10"/>
  <c r="AK17" i="83"/>
  <c r="AJ17" i="83"/>
  <c r="AL37" i="100"/>
  <c r="AK24" i="99"/>
  <c r="AQ24" i="99" s="1"/>
  <c r="AJ24" i="99"/>
  <c r="AJ23" i="96"/>
  <c r="AK23" i="96"/>
  <c r="AD18" i="96"/>
  <c r="AD43" i="96" s="1"/>
  <c r="AM19" i="69"/>
  <c r="AQ19" i="69" s="1"/>
  <c r="AJ19" i="69"/>
  <c r="AA70" i="98"/>
  <c r="AA15" i="98"/>
  <c r="AJ9" i="41"/>
  <c r="AK9" i="41"/>
  <c r="AD8" i="41"/>
  <c r="D15" i="98"/>
  <c r="D70" i="98"/>
  <c r="AH8" i="46"/>
  <c r="M63" i="10" s="1"/>
  <c r="AJ15" i="46"/>
  <c r="AO15" i="46"/>
  <c r="Q101" i="32"/>
  <c r="R101" i="32" s="1"/>
  <c r="AK24" i="84"/>
  <c r="AQ24" i="84" s="1"/>
  <c r="AJ24" i="84"/>
  <c r="AH8" i="81"/>
  <c r="W63" i="10" s="1"/>
  <c r="AJ15" i="81"/>
  <c r="AO15" i="81"/>
  <c r="BB13" i="98"/>
  <c r="AI21" i="103"/>
  <c r="X21" i="89"/>
  <c r="T466" i="97"/>
  <c r="BB13" i="104"/>
  <c r="T16" i="32"/>
  <c r="Q14" i="59"/>
  <c r="BA13" i="71"/>
  <c r="Q109" i="10"/>
  <c r="AJ23" i="82"/>
  <c r="AK23" i="82"/>
  <c r="AD18" i="82"/>
  <c r="AD43" i="82" s="1"/>
  <c r="AL28" i="87"/>
  <c r="AL28" i="77"/>
  <c r="AN22" i="101"/>
  <c r="AJ22" i="101"/>
  <c r="AK17" i="72"/>
  <c r="AQ17" i="72" s="1"/>
  <c r="S66" i="10"/>
  <c r="AJ17" i="72"/>
  <c r="L15" i="104"/>
  <c r="L70" i="104"/>
  <c r="V43" i="56"/>
  <c r="I15" i="104"/>
  <c r="I70" i="104"/>
  <c r="BH16" i="104"/>
  <c r="AO30" i="103"/>
  <c r="BH16" i="98"/>
  <c r="BG16" i="71"/>
  <c r="W121" i="10"/>
  <c r="Z31" i="97"/>
  <c r="Z19" i="32"/>
  <c r="AD30" i="89"/>
  <c r="AJ9" i="64"/>
  <c r="AD8" i="64"/>
  <c r="AK9" i="64"/>
  <c r="AJ10" i="48"/>
  <c r="AL10" i="48"/>
  <c r="AE8" i="48"/>
  <c r="AK23" i="52"/>
  <c r="AJ23" i="52"/>
  <c r="AD18" i="52"/>
  <c r="AL28" i="54"/>
  <c r="AL23" i="87"/>
  <c r="AN20" i="77"/>
  <c r="AJ20" i="77"/>
  <c r="AJ26" i="79"/>
  <c r="AM26" i="79"/>
  <c r="AQ26" i="79" s="1"/>
  <c r="AK24" i="83"/>
  <c r="AQ24" i="83" s="1"/>
  <c r="AJ24" i="83"/>
  <c r="T807" i="97"/>
  <c r="C66" i="10"/>
  <c r="AK17" i="41"/>
  <c r="AJ17" i="41"/>
  <c r="AL28" i="47"/>
  <c r="AM26" i="45"/>
  <c r="AQ26" i="45" s="1"/>
  <c r="AJ26" i="45"/>
  <c r="AF19" i="79"/>
  <c r="AB19" i="79"/>
  <c r="AO21" i="53"/>
  <c r="AH18" i="53"/>
  <c r="AJ19" i="95"/>
  <c r="AM19" i="95"/>
  <c r="AQ19" i="95" s="1"/>
  <c r="AO15" i="99"/>
  <c r="AJ15" i="99"/>
  <c r="AH8" i="99"/>
  <c r="AN20" i="90"/>
  <c r="AJ20" i="90"/>
  <c r="Z175" i="44"/>
  <c r="Z147" i="44"/>
  <c r="X92" i="10" s="1"/>
  <c r="X46" i="10" s="1"/>
  <c r="Z202" i="44"/>
  <c r="Z201" i="44" s="1"/>
  <c r="AG57" i="33" s="1"/>
  <c r="Z121" i="10"/>
  <c r="BJ16" i="71"/>
  <c r="BK16" i="104"/>
  <c r="AC19" i="32"/>
  <c r="AG30" i="89"/>
  <c r="AR30" i="103"/>
  <c r="AC31" i="97"/>
  <c r="BK16" i="98"/>
  <c r="AJ15" i="16"/>
  <c r="BR6" i="16"/>
  <c r="AL37" i="58"/>
  <c r="AJ23" i="84"/>
  <c r="AK23" i="84"/>
  <c r="AD18" i="84"/>
  <c r="AK24" i="96"/>
  <c r="AQ24" i="96" s="1"/>
  <c r="AJ24" i="96"/>
  <c r="R807" i="97"/>
  <c r="AJ24" i="54"/>
  <c r="AK24" i="54"/>
  <c r="AQ24" i="54" s="1"/>
  <c r="AM19" i="88"/>
  <c r="AQ19" i="88" s="1"/>
  <c r="AJ19" i="88"/>
  <c r="M15" i="98"/>
  <c r="M70" i="98"/>
  <c r="AL28" i="55"/>
  <c r="N147" i="44"/>
  <c r="L92" i="10" s="1"/>
  <c r="L46" i="10" s="1"/>
  <c r="N202" i="44"/>
  <c r="N201" i="44" s="1"/>
  <c r="U57" i="33" s="1"/>
  <c r="Q15" i="98"/>
  <c r="Q70" i="98"/>
  <c r="L175" i="44"/>
  <c r="L202" i="44"/>
  <c r="L201" i="44" s="1"/>
  <c r="S57" i="33" s="1"/>
  <c r="L147" i="44"/>
  <c r="J92" i="10" s="1"/>
  <c r="J46" i="10" s="1"/>
  <c r="V24" i="89"/>
  <c r="O113" i="10"/>
  <c r="AG24" i="103"/>
  <c r="R17" i="32"/>
  <c r="AY14" i="71"/>
  <c r="AZ14" i="104"/>
  <c r="O15" i="59"/>
  <c r="AZ14" i="98"/>
  <c r="E15" i="98"/>
  <c r="E70" i="98"/>
  <c r="AL37" i="73"/>
  <c r="G190" i="44"/>
  <c r="H807" i="97"/>
  <c r="AL28" i="72"/>
  <c r="V43" i="69"/>
  <c r="AB19" i="47"/>
  <c r="AF19" i="47"/>
  <c r="U101" i="32"/>
  <c r="V101" i="32" s="1"/>
  <c r="AV16" i="71"/>
  <c r="S30" i="89"/>
  <c r="O31" i="97"/>
  <c r="AW16" i="98"/>
  <c r="AD30" i="103"/>
  <c r="L121" i="10"/>
  <c r="AW16" i="104"/>
  <c r="O19" i="32"/>
  <c r="L17" i="59"/>
  <c r="AJ23" i="41"/>
  <c r="AK23" i="41"/>
  <c r="AD18" i="41"/>
  <c r="G66" i="10"/>
  <c r="AK17" i="52"/>
  <c r="AQ17" i="52" s="1"/>
  <c r="AJ17" i="52"/>
  <c r="AJ15" i="79"/>
  <c r="AH8" i="79"/>
  <c r="V63" i="10" s="1"/>
  <c r="AO15" i="79"/>
  <c r="AN22" i="77"/>
  <c r="AJ22" i="77"/>
  <c r="AL37" i="84"/>
  <c r="Z70" i="71"/>
  <c r="Z15" i="71"/>
  <c r="Z43" i="54"/>
  <c r="BJ14" i="104"/>
  <c r="BJ14" i="98"/>
  <c r="Y113" i="10"/>
  <c r="BI14" i="71"/>
  <c r="AF24" i="89"/>
  <c r="AQ24" i="103"/>
  <c r="AB17" i="32"/>
  <c r="AO21" i="58"/>
  <c r="AH18" i="58"/>
  <c r="AH18" i="90"/>
  <c r="AO21" i="90"/>
  <c r="AF15" i="71"/>
  <c r="AF70" i="71"/>
  <c r="AK24" i="100"/>
  <c r="AQ24" i="100" s="1"/>
  <c r="AJ24" i="100"/>
  <c r="AN22" i="54"/>
  <c r="AJ22" i="54"/>
  <c r="AE101" i="32"/>
  <c r="AF101" i="32" s="1"/>
  <c r="X66" i="10"/>
  <c r="AJ17" i="82"/>
  <c r="AK17" i="82"/>
  <c r="BL14" i="98"/>
  <c r="BL14" i="104"/>
  <c r="AS24" i="103"/>
  <c r="AH24" i="89"/>
  <c r="BK14" i="71"/>
  <c r="AA113" i="10"/>
  <c r="AJ26" i="82"/>
  <c r="AM26" i="82"/>
  <c r="AQ26" i="82" s="1"/>
  <c r="V43" i="81"/>
  <c r="AJ20" i="99"/>
  <c r="AN20" i="99"/>
  <c r="AF19" i="77"/>
  <c r="AB19" i="77"/>
  <c r="AK24" i="95"/>
  <c r="AQ24" i="95" s="1"/>
  <c r="AJ24" i="95"/>
  <c r="AH18" i="87"/>
  <c r="AO21" i="87"/>
  <c r="E175" i="44"/>
  <c r="E147" i="44"/>
  <c r="C92" i="10" s="1"/>
  <c r="C46" i="10" s="1"/>
  <c r="E202" i="44"/>
  <c r="E201" i="44" s="1"/>
  <c r="L57" i="33" s="1"/>
  <c r="AJ26" i="47"/>
  <c r="AM26" i="47"/>
  <c r="AQ26" i="47" s="1"/>
  <c r="AL23" i="50"/>
  <c r="AO15" i="101"/>
  <c r="AJ15" i="101"/>
  <c r="AH8" i="101"/>
  <c r="AJ23" i="79"/>
  <c r="AK23" i="79"/>
  <c r="AD18" i="79"/>
  <c r="AD43" i="79" s="1"/>
  <c r="AJ24" i="77"/>
  <c r="AK24" i="77"/>
  <c r="AQ24" i="77" s="1"/>
  <c r="AK24" i="82"/>
  <c r="AQ24" i="82" s="1"/>
  <c r="AJ24" i="82"/>
  <c r="Z43" i="85"/>
  <c r="AD8" i="49"/>
  <c r="AJ9" i="49"/>
  <c r="AK9" i="49"/>
  <c r="V43" i="48"/>
  <c r="AL23" i="54"/>
  <c r="AK17" i="77"/>
  <c r="U66" i="10"/>
  <c r="AO21" i="64"/>
  <c r="AH18" i="64"/>
  <c r="AB19" i="84"/>
  <c r="AF19" i="84"/>
  <c r="AH18" i="77"/>
  <c r="AO21" i="77"/>
  <c r="AH8" i="56"/>
  <c r="O63" i="10" s="1"/>
  <c r="AJ15" i="56"/>
  <c r="AO15" i="56"/>
  <c r="V43" i="41"/>
  <c r="W44" i="32"/>
  <c r="BG16" i="104"/>
  <c r="AC30" i="89"/>
  <c r="Y19" i="32"/>
  <c r="V121" i="10"/>
  <c r="BG16" i="98"/>
  <c r="Y31" i="97"/>
  <c r="BF16" i="71"/>
  <c r="AN30" i="103"/>
  <c r="AK17" i="87"/>
  <c r="AB66" i="10"/>
  <c r="L70" i="98"/>
  <c r="L15" i="98"/>
  <c r="AI175" i="44"/>
  <c r="AI147" i="44"/>
  <c r="AG92" i="10" s="1"/>
  <c r="AG46" i="10" s="1"/>
  <c r="AI202" i="44"/>
  <c r="AI201" i="44" s="1"/>
  <c r="AP57" i="33" s="1"/>
  <c r="AK9" i="56"/>
  <c r="AJ9" i="56"/>
  <c r="AD8" i="56"/>
  <c r="X17" i="54"/>
  <c r="T17" i="54"/>
  <c r="AL23" i="73"/>
  <c r="AL21" i="89"/>
  <c r="BP13" i="104"/>
  <c r="AH16" i="32"/>
  <c r="AH466" i="97"/>
  <c r="AE109" i="10"/>
  <c r="BP13" i="98"/>
  <c r="AW21" i="103"/>
  <c r="BO13" i="71"/>
  <c r="V70" i="98"/>
  <c r="V15" i="98"/>
  <c r="AJ24" i="50"/>
  <c r="AK24" i="50"/>
  <c r="AQ24" i="50" s="1"/>
  <c r="AA175" i="44"/>
  <c r="AA202" i="44"/>
  <c r="AA201" i="44" s="1"/>
  <c r="AH57" i="33" s="1"/>
  <c r="AA147" i="44"/>
  <c r="Y92" i="10" s="1"/>
  <c r="Y46" i="10" s="1"/>
  <c r="AL28" i="85"/>
  <c r="AF19" i="64"/>
  <c r="AB19" i="64"/>
  <c r="AM26" i="73"/>
  <c r="AQ26" i="73" s="1"/>
  <c r="AJ26" i="73"/>
  <c r="AJ19" i="54"/>
  <c r="AM19" i="54"/>
  <c r="AQ19" i="54" s="1"/>
  <c r="N24" i="89"/>
  <c r="J17" i="32"/>
  <c r="AR14" i="98"/>
  <c r="Y24" i="103"/>
  <c r="G113" i="10"/>
  <c r="AR14" i="104"/>
  <c r="G15" i="59"/>
  <c r="AQ14" i="71"/>
  <c r="AH18" i="48"/>
  <c r="AO21" i="48"/>
  <c r="AJ15" i="72"/>
  <c r="AO15" i="72"/>
  <c r="AH8" i="72"/>
  <c r="AL24" i="103"/>
  <c r="T113" i="10"/>
  <c r="BE14" i="98"/>
  <c r="BE14" i="104"/>
  <c r="AA24" i="89"/>
  <c r="W17" i="32"/>
  <c r="BD14" i="71"/>
  <c r="AE8" i="51"/>
  <c r="AJ10" i="51"/>
  <c r="AL10" i="51"/>
  <c r="AH18" i="45"/>
  <c r="AO21" i="45"/>
  <c r="AJ21" i="103"/>
  <c r="BC13" i="98"/>
  <c r="R109" i="10"/>
  <c r="U466" i="97"/>
  <c r="BC13" i="104"/>
  <c r="BB13" i="71"/>
  <c r="Y21" i="89"/>
  <c r="U16" i="32"/>
  <c r="AN20" i="50"/>
  <c r="AJ20" i="50"/>
  <c r="AG15" i="71"/>
  <c r="AG70" i="71"/>
  <c r="AF19" i="81"/>
  <c r="AB19" i="81"/>
  <c r="AD8" i="72"/>
  <c r="AK9" i="72"/>
  <c r="AJ9" i="72"/>
  <c r="U175" i="44"/>
  <c r="U147" i="44"/>
  <c r="S92" i="10" s="1"/>
  <c r="S46" i="10" s="1"/>
  <c r="U202" i="44"/>
  <c r="U201" i="44" s="1"/>
  <c r="AB57" i="33" s="1"/>
  <c r="AO21" i="41"/>
  <c r="AH18" i="41"/>
  <c r="AF19" i="41"/>
  <c r="AB19" i="41"/>
  <c r="R19" i="32"/>
  <c r="R31" i="97"/>
  <c r="AZ16" i="98"/>
  <c r="AY16" i="71"/>
  <c r="O121" i="10"/>
  <c r="AG30" i="103"/>
  <c r="AZ16" i="104"/>
  <c r="V30" i="89"/>
  <c r="O17" i="59"/>
  <c r="AL28" i="96"/>
  <c r="X17" i="87"/>
  <c r="T17" i="87"/>
  <c r="E14" i="59"/>
  <c r="H16" i="32"/>
  <c r="H466" i="97"/>
  <c r="W21" i="103"/>
  <c r="AP13" i="104"/>
  <c r="AO13" i="71"/>
  <c r="L21" i="89"/>
  <c r="E109" i="10"/>
  <c r="AP13" i="98"/>
  <c r="W101" i="32"/>
  <c r="X101" i="32" s="1"/>
  <c r="BA10" i="16"/>
  <c r="AM26" i="50"/>
  <c r="AQ26" i="50" s="1"/>
  <c r="AJ26" i="50"/>
  <c r="T121" i="10"/>
  <c r="BD16" i="71"/>
  <c r="W19" i="32"/>
  <c r="W31" i="97"/>
  <c r="BE16" i="104"/>
  <c r="AA30" i="89"/>
  <c r="BE16" i="98"/>
  <c r="AL30" i="103"/>
  <c r="AD807" i="97"/>
  <c r="BK16" i="71"/>
  <c r="AS30" i="103"/>
  <c r="BL16" i="104"/>
  <c r="AD31" i="97"/>
  <c r="AA121" i="10"/>
  <c r="AH30" i="89"/>
  <c r="BL16" i="98"/>
  <c r="AD19" i="32"/>
  <c r="AO15" i="58"/>
  <c r="AH8" i="58"/>
  <c r="AJ15" i="58"/>
  <c r="AK23" i="50"/>
  <c r="AJ23" i="50"/>
  <c r="AD18" i="50"/>
  <c r="AL37" i="83"/>
  <c r="AL23" i="84"/>
  <c r="AL28" i="53"/>
  <c r="AD8" i="69"/>
  <c r="AJ9" i="69"/>
  <c r="AK9" i="69"/>
  <c r="AL28" i="69"/>
  <c r="AH175" i="44"/>
  <c r="AH202" i="44"/>
  <c r="AH201" i="44" s="1"/>
  <c r="AO57" i="33" s="1"/>
  <c r="AH147" i="44"/>
  <c r="AF92" i="10" s="1"/>
  <c r="AF46" i="10" s="1"/>
  <c r="AA807" i="97"/>
  <c r="AL23" i="49"/>
  <c r="AL28" i="52"/>
  <c r="AE8" i="96"/>
  <c r="AJ10" i="96"/>
  <c r="AL10" i="96"/>
  <c r="AS101" i="32"/>
  <c r="AT101" i="32" s="1"/>
  <c r="AE8" i="69"/>
  <c r="AL10" i="69"/>
  <c r="AJ10" i="69"/>
  <c r="AB44" i="32"/>
  <c r="AL37" i="99"/>
  <c r="AJ20" i="49"/>
  <c r="AN20" i="49"/>
  <c r="AF175" i="44"/>
  <c r="AF202" i="44"/>
  <c r="AF201" i="44" s="1"/>
  <c r="AM57" i="33" s="1"/>
  <c r="AF147" i="44"/>
  <c r="AD92" i="10" s="1"/>
  <c r="AD46" i="10" s="1"/>
  <c r="V43" i="55"/>
  <c r="AJ26" i="41"/>
  <c r="AM26" i="41"/>
  <c r="AQ26" i="41" s="1"/>
  <c r="K807" i="97"/>
  <c r="W66" i="10"/>
  <c r="AJ17" i="81"/>
  <c r="AK17" i="81"/>
  <c r="O15" i="104"/>
  <c r="O70" i="104"/>
  <c r="AL23" i="88"/>
  <c r="M121" i="10"/>
  <c r="AX16" i="98"/>
  <c r="P19" i="32"/>
  <c r="AW16" i="71"/>
  <c r="M17" i="59"/>
  <c r="P31" i="97"/>
  <c r="AE30" i="103"/>
  <c r="T30" i="89"/>
  <c r="AX16" i="104"/>
  <c r="H70" i="98"/>
  <c r="H15" i="98"/>
  <c r="AE8" i="41"/>
  <c r="AJ10" i="41"/>
  <c r="AL10" i="41"/>
  <c r="X70" i="98"/>
  <c r="X15" i="98"/>
  <c r="F70" i="98"/>
  <c r="F15" i="98"/>
  <c r="X17" i="77"/>
  <c r="T17" i="77"/>
  <c r="F175" i="44"/>
  <c r="F147" i="44"/>
  <c r="D92" i="10" s="1"/>
  <c r="D46" i="10" s="1"/>
  <c r="F202" i="44"/>
  <c r="F201" i="44" s="1"/>
  <c r="M57" i="33" s="1"/>
  <c r="AL10" i="81"/>
  <c r="AE8" i="81"/>
  <c r="AJ10" i="81"/>
  <c r="R15" i="98"/>
  <c r="R70" i="98"/>
  <c r="AJ10" i="45"/>
  <c r="AL10" i="45"/>
  <c r="AE8" i="45"/>
  <c r="AN22" i="73"/>
  <c r="AJ22" i="73"/>
  <c r="Z43" i="77"/>
  <c r="AO15" i="95"/>
  <c r="AH8" i="95"/>
  <c r="AE63" i="10" s="1"/>
  <c r="AJ15" i="95"/>
  <c r="AH18" i="101"/>
  <c r="AO21" i="101"/>
  <c r="AL28" i="100"/>
  <c r="AJ23" i="64"/>
  <c r="AK23" i="64"/>
  <c r="AD18" i="64"/>
  <c r="AM26" i="85"/>
  <c r="AQ26" i="85" s="1"/>
  <c r="AJ26" i="85"/>
  <c r="E52" i="37"/>
  <c r="E68" i="37"/>
  <c r="Y44" i="32"/>
  <c r="AJ26" i="55"/>
  <c r="AM26" i="55"/>
  <c r="AQ26" i="55" s="1"/>
  <c r="AM26" i="64"/>
  <c r="AQ26" i="64" s="1"/>
  <c r="AJ26" i="64"/>
  <c r="D70" i="71"/>
  <c r="D15" i="71"/>
  <c r="AC101" i="32"/>
  <c r="AD101" i="32" s="1"/>
  <c r="N15" i="104"/>
  <c r="N70" i="104"/>
  <c r="K70" i="104"/>
  <c r="K15" i="104"/>
  <c r="AO24" i="103"/>
  <c r="AD24" i="89"/>
  <c r="BH14" i="98"/>
  <c r="Z17" i="32"/>
  <c r="W113" i="10"/>
  <c r="BH14" i="104"/>
  <c r="BG14" i="71"/>
  <c r="AO21" i="73"/>
  <c r="AH18" i="73"/>
  <c r="AH8" i="100"/>
  <c r="AJ15" i="100"/>
  <c r="AO15" i="100"/>
  <c r="AK175" i="44"/>
  <c r="AK147" i="44"/>
  <c r="G23" i="33"/>
  <c r="AK202" i="44"/>
  <c r="AK201" i="44" s="1"/>
  <c r="AR57" i="33" s="1"/>
  <c r="AE8" i="55"/>
  <c r="AL10" i="55"/>
  <c r="AJ10" i="55"/>
  <c r="AL23" i="101"/>
  <c r="AL10" i="72"/>
  <c r="AE8" i="72"/>
  <c r="AJ10" i="72"/>
  <c r="T66" i="10"/>
  <c r="AK17" i="73"/>
  <c r="AQ17" i="73" s="1"/>
  <c r="AJ17" i="73"/>
  <c r="AD44" i="32"/>
  <c r="AO15" i="69"/>
  <c r="AJ15" i="69"/>
  <c r="AH8" i="69"/>
  <c r="R63" i="10" s="1"/>
  <c r="N15" i="71"/>
  <c r="N70" i="71"/>
  <c r="O175" i="44"/>
  <c r="O147" i="44"/>
  <c r="M92" i="10" s="1"/>
  <c r="M46" i="10" s="1"/>
  <c r="O202" i="44"/>
  <c r="O201" i="44" s="1"/>
  <c r="V57" i="33" s="1"/>
  <c r="AF19" i="55"/>
  <c r="AB19" i="55"/>
  <c r="AJ23" i="83"/>
  <c r="AK23" i="83"/>
  <c r="AD18" i="83"/>
  <c r="AD43" i="83" s="1"/>
  <c r="AH18" i="50"/>
  <c r="AO21" i="50"/>
  <c r="AL37" i="51"/>
  <c r="BA30" i="103"/>
  <c r="AL19" i="32"/>
  <c r="AI121" i="10"/>
  <c r="BT16" i="104"/>
  <c r="AL19" i="10"/>
  <c r="AP30" i="89"/>
  <c r="AL31" i="97"/>
  <c r="BT16" i="98"/>
  <c r="AJ19" i="10"/>
  <c r="C19" i="32"/>
  <c r="BA13" i="104"/>
  <c r="S466" i="97"/>
  <c r="P109" i="10"/>
  <c r="P14" i="59"/>
  <c r="BA13" i="98"/>
  <c r="S16" i="32"/>
  <c r="AZ13" i="71"/>
  <c r="W21" i="89"/>
  <c r="AH21" i="103"/>
  <c r="BC13" i="71"/>
  <c r="V16" i="32"/>
  <c r="Z21" i="89"/>
  <c r="BD13" i="104"/>
  <c r="S109" i="10"/>
  <c r="V466" i="97"/>
  <c r="AK21" i="103"/>
  <c r="BD13" i="98"/>
  <c r="AF19" i="99"/>
  <c r="AB19" i="99"/>
  <c r="V15" i="104"/>
  <c r="V70" i="104"/>
  <c r="AF19" i="56"/>
  <c r="AB19" i="56"/>
  <c r="AN20" i="64"/>
  <c r="AJ20" i="64"/>
  <c r="AM26" i="52"/>
  <c r="AQ26" i="52" s="1"/>
  <c r="AJ26" i="52"/>
  <c r="AL28" i="79"/>
  <c r="AJ23" i="87"/>
  <c r="AK23" i="87"/>
  <c r="AD18" i="87"/>
  <c r="AD43" i="87" s="1"/>
  <c r="AN22" i="95"/>
  <c r="AJ22" i="95"/>
  <c r="AL10" i="90"/>
  <c r="AJ10" i="90"/>
  <c r="AE8" i="90"/>
  <c r="AJ19" i="45"/>
  <c r="AM19" i="45"/>
  <c r="AQ19" i="45" s="1"/>
  <c r="AL23" i="58"/>
  <c r="X17" i="45"/>
  <c r="T17" i="45"/>
  <c r="AJ19" i="82"/>
  <c r="AM19" i="82"/>
  <c r="AQ19" i="82" s="1"/>
  <c r="AK24" i="73"/>
  <c r="AQ24" i="73" s="1"/>
  <c r="AJ24" i="73"/>
  <c r="AB68" i="37"/>
  <c r="AB52" i="37"/>
  <c r="AN22" i="99"/>
  <c r="AJ22" i="99"/>
  <c r="AM26" i="90"/>
  <c r="AQ26" i="90" s="1"/>
  <c r="AJ26" i="90"/>
  <c r="AF19" i="87"/>
  <c r="AB19" i="87"/>
  <c r="V43" i="72"/>
  <c r="AU21" i="103"/>
  <c r="AJ21" i="89"/>
  <c r="AF466" i="97"/>
  <c r="BN13" i="104"/>
  <c r="AC109" i="10"/>
  <c r="AF16" i="32"/>
  <c r="BM13" i="71"/>
  <c r="BN13" i="98"/>
  <c r="AN20" i="87"/>
  <c r="AJ20" i="87"/>
  <c r="S70" i="71"/>
  <c r="S15" i="71"/>
  <c r="AN22" i="41"/>
  <c r="AJ22" i="41"/>
  <c r="X113" i="10"/>
  <c r="BH14" i="71"/>
  <c r="AP24" i="103"/>
  <c r="BI14" i="104"/>
  <c r="BI14" i="98"/>
  <c r="AE24" i="89"/>
  <c r="AA17" i="32"/>
  <c r="AJ23" i="58"/>
  <c r="AK23" i="58"/>
  <c r="AD18" i="58"/>
  <c r="AO21" i="88"/>
  <c r="AH18" i="88"/>
  <c r="AK9" i="46"/>
  <c r="AD8" i="46"/>
  <c r="AJ9" i="46"/>
  <c r="AN20" i="81"/>
  <c r="AJ20" i="81"/>
  <c r="AL23" i="48"/>
  <c r="L807" i="97"/>
  <c r="AL28" i="82"/>
  <c r="AB19" i="100"/>
  <c r="AF19" i="100"/>
  <c r="E70" i="104"/>
  <c r="E15" i="104"/>
  <c r="AL23" i="83"/>
  <c r="AL37" i="79"/>
  <c r="AB19" i="96"/>
  <c r="AF19" i="96"/>
  <c r="AK24" i="53"/>
  <c r="AQ24" i="53" s="1"/>
  <c r="AJ24" i="53"/>
  <c r="AB19" i="51"/>
  <c r="AF19" i="51"/>
  <c r="Q17" i="59"/>
  <c r="BA16" i="71"/>
  <c r="T31" i="97"/>
  <c r="T19" i="32"/>
  <c r="BB16" i="98"/>
  <c r="AI30" i="103"/>
  <c r="X30" i="89"/>
  <c r="BB16" i="104"/>
  <c r="Q121" i="10"/>
  <c r="AK24" i="87"/>
  <c r="AQ24" i="87" s="1"/>
  <c r="AJ24" i="87"/>
  <c r="AN22" i="81"/>
  <c r="AJ22" i="81"/>
  <c r="X17" i="69"/>
  <c r="T17" i="69"/>
  <c r="AK17" i="56"/>
  <c r="AQ17" i="56" s="1"/>
  <c r="O66" i="10"/>
  <c r="AJ17" i="56"/>
  <c r="AL37" i="95"/>
  <c r="L17" i="32"/>
  <c r="K17" i="32"/>
  <c r="H113" i="10"/>
  <c r="O24" i="89"/>
  <c r="AR14" i="71"/>
  <c r="AS14" i="98"/>
  <c r="H15" i="59"/>
  <c r="Z24" i="103"/>
  <c r="AS14" i="104"/>
  <c r="AJ20" i="48"/>
  <c r="AN20" i="48"/>
  <c r="AN20" i="56"/>
  <c r="AJ20" i="56"/>
  <c r="AL37" i="72"/>
  <c r="AM26" i="101"/>
  <c r="AQ26" i="101" s="1"/>
  <c r="AJ26" i="101"/>
  <c r="AC44" i="32"/>
  <c r="AK23" i="54"/>
  <c r="AJ23" i="54"/>
  <c r="AD18" i="54"/>
  <c r="Z43" i="100"/>
  <c r="AK23" i="53"/>
  <c r="AJ23" i="53"/>
  <c r="AD18" i="53"/>
  <c r="AL37" i="53"/>
  <c r="AE21" i="103"/>
  <c r="T21" i="89"/>
  <c r="AX13" i="104"/>
  <c r="P466" i="97"/>
  <c r="AX13" i="98"/>
  <c r="P16" i="32"/>
  <c r="M109" i="10"/>
  <c r="M14" i="59"/>
  <c r="AW13" i="71"/>
  <c r="AL37" i="48"/>
  <c r="AJ22" i="100"/>
  <c r="AN22" i="100"/>
  <c r="AE44" i="32"/>
  <c r="AO21" i="51"/>
  <c r="AH18" i="51"/>
  <c r="Y15" i="98"/>
  <c r="Y70" i="98"/>
  <c r="U15" i="98"/>
  <c r="U70" i="98"/>
  <c r="AL37" i="69"/>
  <c r="N66" i="10"/>
  <c r="AK17" i="55"/>
  <c r="AQ17" i="55" s="1"/>
  <c r="AJ17" i="55"/>
  <c r="AH18" i="96"/>
  <c r="AO21" i="96"/>
  <c r="V43" i="52"/>
  <c r="AJ22" i="72"/>
  <c r="AN22" i="72"/>
  <c r="AL28" i="56"/>
  <c r="O70" i="98"/>
  <c r="O15" i="98"/>
  <c r="AK24" i="90"/>
  <c r="AQ24" i="90" s="1"/>
  <c r="AJ24" i="90"/>
  <c r="AJ22" i="49"/>
  <c r="AN22" i="49"/>
  <c r="X15" i="104"/>
  <c r="X70" i="104"/>
  <c r="AL28" i="90"/>
  <c r="AL23" i="47"/>
  <c r="F70" i="71"/>
  <c r="F15" i="71"/>
  <c r="AJ15" i="52"/>
  <c r="AH8" i="52"/>
  <c r="G63" i="10" s="1"/>
  <c r="AO15" i="52"/>
  <c r="AJ23" i="99"/>
  <c r="AK23" i="99"/>
  <c r="AD18" i="99"/>
  <c r="I66" i="10"/>
  <c r="AJ17" i="50"/>
  <c r="AK17" i="50"/>
  <c r="AQ17" i="50" s="1"/>
  <c r="AK24" i="69"/>
  <c r="AQ24" i="69" s="1"/>
  <c r="AJ24" i="69"/>
  <c r="AJ15" i="53"/>
  <c r="AH8" i="53"/>
  <c r="F63" i="10" s="1"/>
  <c r="AO15" i="53"/>
  <c r="Z807" i="97"/>
  <c r="AK24" i="85"/>
  <c r="AQ24" i="85" s="1"/>
  <c r="AJ24" i="85"/>
  <c r="AL23" i="99"/>
  <c r="AR13" i="98"/>
  <c r="J466" i="97"/>
  <c r="G14" i="59"/>
  <c r="Y21" i="103"/>
  <c r="AR13" i="104"/>
  <c r="N21" i="89"/>
  <c r="G109" i="10"/>
  <c r="J16" i="32"/>
  <c r="AQ13" i="71"/>
  <c r="AN22" i="69"/>
  <c r="AJ22" i="69"/>
  <c r="R70" i="71"/>
  <c r="R15" i="71"/>
  <c r="AF19" i="48"/>
  <c r="AB19" i="48"/>
  <c r="AL37" i="77"/>
  <c r="AK9" i="54"/>
  <c r="AD8" i="54"/>
  <c r="AJ9" i="54"/>
  <c r="AL28" i="45"/>
  <c r="N14" i="59"/>
  <c r="Q466" i="97"/>
  <c r="U21" i="89"/>
  <c r="AF21" i="103"/>
  <c r="AY13" i="98"/>
  <c r="N109" i="10"/>
  <c r="Q16" i="32"/>
  <c r="AY13" i="104"/>
  <c r="AX13" i="71"/>
  <c r="AL37" i="45"/>
  <c r="AO21" i="56"/>
  <c r="AH18" i="56"/>
  <c r="AF19" i="101"/>
  <c r="AB19" i="101"/>
  <c r="X17" i="84"/>
  <c r="T17" i="84"/>
  <c r="O109" i="10"/>
  <c r="V21" i="89"/>
  <c r="R466" i="97"/>
  <c r="AY13" i="71"/>
  <c r="AZ13" i="98"/>
  <c r="R16" i="32"/>
  <c r="AG21" i="103"/>
  <c r="O14" i="59"/>
  <c r="AZ13" i="104"/>
  <c r="I466" i="97"/>
  <c r="AP13" i="71"/>
  <c r="X21" i="103"/>
  <c r="F109" i="10"/>
  <c r="AQ13" i="104"/>
  <c r="I16" i="32"/>
  <c r="F14" i="59"/>
  <c r="AQ13" i="98"/>
  <c r="M21" i="89"/>
  <c r="S44" i="32"/>
  <c r="AJ15" i="55"/>
  <c r="AH8" i="55"/>
  <c r="N63" i="10" s="1"/>
  <c r="AO15" i="55"/>
  <c r="AJ20" i="41"/>
  <c r="AN20" i="41"/>
  <c r="AJ24" i="51"/>
  <c r="AK24" i="51"/>
  <c r="AQ24" i="51" s="1"/>
  <c r="AK163" i="44"/>
  <c r="AK190" i="44"/>
  <c r="G12" i="33"/>
  <c r="AL807" i="97"/>
  <c r="AJ15" i="45"/>
  <c r="AO15" i="45"/>
  <c r="AH8" i="45"/>
  <c r="D63" i="10" s="1"/>
  <c r="AM19" i="49"/>
  <c r="AQ19" i="49" s="1"/>
  <c r="AJ19" i="49"/>
  <c r="Q15" i="59"/>
  <c r="BB14" i="104"/>
  <c r="Q113" i="10"/>
  <c r="BB14" i="98"/>
  <c r="X24" i="89"/>
  <c r="BA14" i="71"/>
  <c r="AI24" i="103"/>
  <c r="T17" i="32"/>
  <c r="AJ10" i="87"/>
  <c r="AL10" i="87"/>
  <c r="AE8" i="87"/>
  <c r="AH18" i="100"/>
  <c r="AO21" i="100"/>
  <c r="AF15" i="98"/>
  <c r="AF70" i="98"/>
  <c r="X17" i="49"/>
  <c r="T17" i="49"/>
  <c r="AK23" i="47"/>
  <c r="AJ23" i="47"/>
  <c r="AD18" i="47"/>
  <c r="Y15" i="104"/>
  <c r="Y70" i="104"/>
  <c r="AG175" i="44"/>
  <c r="AG147" i="44"/>
  <c r="AE92" i="10" s="1"/>
  <c r="AE46" i="10" s="1"/>
  <c r="AG202" i="44"/>
  <c r="AG201" i="44" s="1"/>
  <c r="AN57" i="33" s="1"/>
  <c r="AJ20" i="52"/>
  <c r="AN20" i="52"/>
  <c r="U70" i="71"/>
  <c r="U15" i="71"/>
  <c r="AN20" i="82"/>
  <c r="AJ20" i="82"/>
  <c r="U52" i="37"/>
  <c r="U68" i="37"/>
  <c r="P807" i="97"/>
  <c r="Z43" i="96"/>
  <c r="AL28" i="46"/>
  <c r="AN22" i="83"/>
  <c r="AJ22" i="83"/>
  <c r="AJ24" i="41"/>
  <c r="AK24" i="41"/>
  <c r="AQ24" i="41" s="1"/>
  <c r="AL16" i="10"/>
  <c r="BT13" i="98"/>
  <c r="AL16" i="32"/>
  <c r="AP21" i="89"/>
  <c r="BA21" i="103"/>
  <c r="BT13" i="104"/>
  <c r="C16" i="32"/>
  <c r="AI109" i="10"/>
  <c r="AJ16" i="10"/>
  <c r="AL466" i="97"/>
  <c r="G466" i="97"/>
  <c r="G16" i="32"/>
  <c r="AO13" i="98"/>
  <c r="V21" i="103"/>
  <c r="AN13" i="71"/>
  <c r="AO13" i="104"/>
  <c r="K21" i="89"/>
  <c r="D14" i="59"/>
  <c r="D109" i="10"/>
  <c r="AJ807" i="97"/>
  <c r="AM26" i="99"/>
  <c r="AQ26" i="99" s="1"/>
  <c r="AJ26" i="99"/>
  <c r="AH8" i="87"/>
  <c r="AB63" i="10" s="1"/>
  <c r="AO15" i="87"/>
  <c r="AJ15" i="87"/>
  <c r="P175" i="44"/>
  <c r="P202" i="44"/>
  <c r="P201" i="44" s="1"/>
  <c r="W57" i="33" s="1"/>
  <c r="P147" i="44"/>
  <c r="N92" i="10" s="1"/>
  <c r="N46" i="10" s="1"/>
  <c r="U44" i="32"/>
  <c r="Z43" i="69"/>
  <c r="AJ15" i="50"/>
  <c r="AO15" i="50"/>
  <c r="AH8" i="50"/>
  <c r="I63" i="10" s="1"/>
  <c r="V43" i="54"/>
  <c r="AE8" i="53"/>
  <c r="AJ10" i="53"/>
  <c r="AL10" i="53"/>
  <c r="AF19" i="72"/>
  <c r="AB19" i="72"/>
  <c r="BO13" i="104"/>
  <c r="AV21" i="103"/>
  <c r="AK21" i="89"/>
  <c r="AD109" i="10"/>
  <c r="AG16" i="32"/>
  <c r="BO13" i="98"/>
  <c r="BN13" i="71"/>
  <c r="AG466" i="97"/>
  <c r="AJ22" i="90"/>
  <c r="AN22" i="90"/>
  <c r="AO21" i="84" l="1"/>
  <c r="AD70" i="98"/>
  <c r="AC37" i="89"/>
  <c r="W70" i="104"/>
  <c r="AC15" i="71"/>
  <c r="BE101" i="32"/>
  <c r="BF101" i="32" s="1"/>
  <c r="BG101" i="32"/>
  <c r="BH101" i="32" s="1"/>
  <c r="AC70" i="104"/>
  <c r="AH70" i="98"/>
  <c r="AE15" i="104"/>
  <c r="AU101" i="32"/>
  <c r="AV101" i="32" s="1"/>
  <c r="AJ18" i="10"/>
  <c r="AK101" i="32"/>
  <c r="AL101" i="32" s="1"/>
  <c r="J101" i="32"/>
  <c r="K101" i="32" s="1"/>
  <c r="J70" i="71"/>
  <c r="W15" i="71"/>
  <c r="AH70" i="104"/>
  <c r="J15" i="98"/>
  <c r="AH70" i="71"/>
  <c r="J70" i="104"/>
  <c r="G18" i="32"/>
  <c r="G44" i="32" s="1"/>
  <c r="AC15" i="98"/>
  <c r="AQ26" i="96"/>
  <c r="AQ26" i="56"/>
  <c r="AJ26" i="56"/>
  <c r="C117" i="10"/>
  <c r="V39" i="33" s="1"/>
  <c r="AN15" i="104"/>
  <c r="C15" i="104" s="1"/>
  <c r="AK158" i="44"/>
  <c r="AN37" i="103"/>
  <c r="V40" i="10"/>
  <c r="V87" i="10" s="1"/>
  <c r="AM15" i="71"/>
  <c r="C70" i="71" s="1"/>
  <c r="C16" i="59"/>
  <c r="AN15" i="98"/>
  <c r="C70" i="98" s="1"/>
  <c r="U27" i="103"/>
  <c r="J27" i="89"/>
  <c r="AJ26" i="96"/>
  <c r="AE70" i="71"/>
  <c r="AE15" i="98"/>
  <c r="Q57" i="33"/>
  <c r="AJ26" i="100"/>
  <c r="AQ26" i="100"/>
  <c r="AB11" i="85"/>
  <c r="T8" i="85"/>
  <c r="X8" i="85"/>
  <c r="AB8" i="85" s="1"/>
  <c r="T8" i="81"/>
  <c r="AQ23" i="90"/>
  <c r="AY101" i="32"/>
  <c r="AZ101" i="32" s="1"/>
  <c r="T8" i="50"/>
  <c r="R174" i="44"/>
  <c r="E174" i="44"/>
  <c r="Q174" i="44"/>
  <c r="I174" i="44"/>
  <c r="AC174" i="44"/>
  <c r="AA40" i="10" s="1"/>
  <c r="AA87" i="10" s="1"/>
  <c r="AD174" i="44"/>
  <c r="Z174" i="44"/>
  <c r="AE174" i="44"/>
  <c r="Y174" i="44"/>
  <c r="S174" i="44"/>
  <c r="T174" i="44"/>
  <c r="N174" i="44"/>
  <c r="P174" i="44"/>
  <c r="F174" i="44"/>
  <c r="W174" i="44"/>
  <c r="U174" i="44"/>
  <c r="AJ174" i="44"/>
  <c r="AH174" i="44"/>
  <c r="AI174" i="44"/>
  <c r="H174" i="44"/>
  <c r="AG174" i="44"/>
  <c r="L174" i="44"/>
  <c r="AB37" i="103" s="1"/>
  <c r="M174" i="44"/>
  <c r="J174" i="44"/>
  <c r="G174" i="44"/>
  <c r="V174" i="44"/>
  <c r="K174" i="44"/>
  <c r="AB174" i="44"/>
  <c r="O174" i="44"/>
  <c r="AF174" i="44"/>
  <c r="AA174" i="44"/>
  <c r="AB11" i="96"/>
  <c r="AB11" i="64"/>
  <c r="X8" i="64"/>
  <c r="AB8" i="64" s="1"/>
  <c r="AF11" i="96"/>
  <c r="AM11" i="96" s="1"/>
  <c r="T8" i="47"/>
  <c r="X8" i="56"/>
  <c r="AB8" i="56" s="1"/>
  <c r="AF11" i="45"/>
  <c r="AF8" i="45" s="1"/>
  <c r="D61" i="10" s="1"/>
  <c r="AQ23" i="82"/>
  <c r="AB11" i="84"/>
  <c r="AF11" i="84"/>
  <c r="AM11" i="84" s="1"/>
  <c r="X8" i="88"/>
  <c r="AB8" i="88" s="1"/>
  <c r="AQ17" i="41"/>
  <c r="AF11" i="56"/>
  <c r="AJ11" i="56" s="1"/>
  <c r="X8" i="45"/>
  <c r="AB8" i="45" s="1"/>
  <c r="AF11" i="88"/>
  <c r="AF8" i="88" s="1"/>
  <c r="AC61" i="10" s="1"/>
  <c r="X8" i="83"/>
  <c r="AB8" i="83" s="1"/>
  <c r="AB11" i="83"/>
  <c r="T8" i="99"/>
  <c r="AQ23" i="53"/>
  <c r="AQ23" i="64"/>
  <c r="AC427" i="97"/>
  <c r="T8" i="84"/>
  <c r="G427" i="97"/>
  <c r="T8" i="45"/>
  <c r="AQ23" i="87"/>
  <c r="AQ23" i="77"/>
  <c r="X11" i="100"/>
  <c r="AB11" i="100" s="1"/>
  <c r="P8" i="100"/>
  <c r="AK427" i="97" s="1"/>
  <c r="AQ23" i="96"/>
  <c r="AQ23" i="69"/>
  <c r="AQ23" i="41"/>
  <c r="AG427" i="97"/>
  <c r="T8" i="90"/>
  <c r="AQ23" i="81"/>
  <c r="S427" i="97"/>
  <c r="T8" i="58"/>
  <c r="AQ23" i="52"/>
  <c r="AQ23" i="50"/>
  <c r="AQ23" i="51"/>
  <c r="AQ23" i="83"/>
  <c r="AQ23" i="79"/>
  <c r="AQ23" i="58"/>
  <c r="AQ23" i="95"/>
  <c r="AM11" i="47"/>
  <c r="AJ11" i="47"/>
  <c r="AF8" i="47"/>
  <c r="L61" i="10" s="1"/>
  <c r="AJ11" i="64"/>
  <c r="AF8" i="64"/>
  <c r="Q61" i="10" s="1"/>
  <c r="AM11" i="64"/>
  <c r="K427" i="97"/>
  <c r="T8" i="51"/>
  <c r="AM11" i="58"/>
  <c r="AJ11" i="58"/>
  <c r="AF8" i="58"/>
  <c r="P61" i="10" s="1"/>
  <c r="AA427" i="97"/>
  <c r="T8" i="82"/>
  <c r="N427" i="97"/>
  <c r="T8" i="48"/>
  <c r="J427" i="97"/>
  <c r="T8" i="52"/>
  <c r="AB11" i="73"/>
  <c r="AF11" i="73"/>
  <c r="X8" i="73"/>
  <c r="AB8" i="73" s="1"/>
  <c r="AL427" i="97"/>
  <c r="T8" i="101"/>
  <c r="P427" i="97"/>
  <c r="T8" i="46"/>
  <c r="M427" i="97"/>
  <c r="T8" i="49"/>
  <c r="AB11" i="48"/>
  <c r="AF11" i="48"/>
  <c r="X8" i="48"/>
  <c r="AB8" i="48" s="1"/>
  <c r="V427" i="97"/>
  <c r="T8" i="72"/>
  <c r="AF11" i="52"/>
  <c r="AB11" i="52"/>
  <c r="X8" i="52"/>
  <c r="AB8" i="52" s="1"/>
  <c r="G7" i="33"/>
  <c r="AK185" i="44"/>
  <c r="AL728" i="97"/>
  <c r="AM11" i="81"/>
  <c r="AF8" i="81"/>
  <c r="W61" i="10" s="1"/>
  <c r="AJ11" i="81"/>
  <c r="AQ23" i="99"/>
  <c r="AQ23" i="45"/>
  <c r="W427" i="97"/>
  <c r="T8" i="73"/>
  <c r="U427" i="97"/>
  <c r="T8" i="69"/>
  <c r="AF11" i="49"/>
  <c r="AB11" i="49"/>
  <c r="X8" i="49"/>
  <c r="AB8" i="49" s="1"/>
  <c r="AF11" i="72"/>
  <c r="X8" i="72"/>
  <c r="AB8" i="72" s="1"/>
  <c r="AB11" i="72"/>
  <c r="AB11" i="54"/>
  <c r="AF11" i="54"/>
  <c r="X8" i="54"/>
  <c r="AB8" i="54" s="1"/>
  <c r="H427" i="97"/>
  <c r="T8" i="54"/>
  <c r="AH427" i="97"/>
  <c r="T8" i="95"/>
  <c r="AB11" i="69"/>
  <c r="AF11" i="69"/>
  <c r="X8" i="69"/>
  <c r="AB8" i="69" s="1"/>
  <c r="AF11" i="101"/>
  <c r="AB11" i="101"/>
  <c r="X8" i="101"/>
  <c r="AB8" i="101" s="1"/>
  <c r="AB11" i="77"/>
  <c r="AF11" i="77"/>
  <c r="X8" i="77"/>
  <c r="AB8" i="77" s="1"/>
  <c r="AB11" i="46"/>
  <c r="X8" i="46"/>
  <c r="AB8" i="46" s="1"/>
  <c r="AF11" i="46"/>
  <c r="AF8" i="99"/>
  <c r="AG61" i="10" s="1"/>
  <c r="AM11" i="99"/>
  <c r="AJ11" i="99"/>
  <c r="AE427" i="97"/>
  <c r="T8" i="87"/>
  <c r="Q427" i="97"/>
  <c r="T8" i="55"/>
  <c r="F427" i="97"/>
  <c r="T8" i="41"/>
  <c r="AM11" i="50"/>
  <c r="AJ11" i="50"/>
  <c r="AF8" i="50"/>
  <c r="I61" i="10" s="1"/>
  <c r="T12" i="100"/>
  <c r="X12" i="100"/>
  <c r="X427" i="97"/>
  <c r="T8" i="77"/>
  <c r="Y427" i="97"/>
  <c r="T8" i="79"/>
  <c r="AF11" i="87"/>
  <c r="AB11" i="87"/>
  <c r="X8" i="87"/>
  <c r="AB8" i="87" s="1"/>
  <c r="AF11" i="41"/>
  <c r="X8" i="41"/>
  <c r="AB8" i="41" s="1"/>
  <c r="AB11" i="41"/>
  <c r="AJ158" i="44"/>
  <c r="AJ185" i="44"/>
  <c r="AK728" i="97"/>
  <c r="AF8" i="90"/>
  <c r="AD61" i="10" s="1"/>
  <c r="AM11" i="90"/>
  <c r="AJ11" i="90"/>
  <c r="AQ23" i="55"/>
  <c r="AB11" i="95"/>
  <c r="X8" i="95"/>
  <c r="AB8" i="95" s="1"/>
  <c r="AF11" i="95"/>
  <c r="I427" i="97"/>
  <c r="T8" i="53"/>
  <c r="C61" i="37"/>
  <c r="AH51" i="37"/>
  <c r="AH67" i="37"/>
  <c r="AM11" i="83"/>
  <c r="AJ11" i="83"/>
  <c r="AF8" i="83"/>
  <c r="Y61" i="10" s="1"/>
  <c r="AB11" i="55"/>
  <c r="AF11" i="55"/>
  <c r="X8" i="55"/>
  <c r="AB8" i="55" s="1"/>
  <c r="AM11" i="85"/>
  <c r="AJ11" i="85"/>
  <c r="AF8" i="85"/>
  <c r="AA61" i="10" s="1"/>
  <c r="X8" i="51"/>
  <c r="AB8" i="51" s="1"/>
  <c r="AF11" i="51"/>
  <c r="AB11" i="51"/>
  <c r="AB11" i="53"/>
  <c r="AF11" i="53"/>
  <c r="X8" i="53"/>
  <c r="AB8" i="53" s="1"/>
  <c r="AB11" i="82"/>
  <c r="X8" i="82"/>
  <c r="AB8" i="82" s="1"/>
  <c r="AF11" i="82"/>
  <c r="BQ5" i="16"/>
  <c r="AJ14" i="16"/>
  <c r="AF11" i="79"/>
  <c r="AB11" i="79"/>
  <c r="X8" i="79"/>
  <c r="AB8" i="79" s="1"/>
  <c r="AO8" i="87"/>
  <c r="AQ15" i="87"/>
  <c r="Q69" i="98"/>
  <c r="Q14" i="98"/>
  <c r="AQ15" i="45"/>
  <c r="AO8" i="45"/>
  <c r="G13" i="98"/>
  <c r="G68" i="98"/>
  <c r="AF77" i="10"/>
  <c r="AO18" i="96"/>
  <c r="E73" i="10"/>
  <c r="AK18" i="54"/>
  <c r="L43" i="32"/>
  <c r="AC13" i="71"/>
  <c r="AC68" i="71"/>
  <c r="AQ10" i="90"/>
  <c r="AL8" i="90"/>
  <c r="P13" i="71"/>
  <c r="P68" i="71"/>
  <c r="AQ10" i="55"/>
  <c r="AL8" i="55"/>
  <c r="AH63" i="10"/>
  <c r="AH43" i="100"/>
  <c r="W14" i="98"/>
  <c r="W69" i="98"/>
  <c r="I16" i="60"/>
  <c r="I28" i="60" s="1"/>
  <c r="AQ20" i="49"/>
  <c r="R60" i="10"/>
  <c r="P63" i="10"/>
  <c r="AH43" i="58"/>
  <c r="W45" i="32"/>
  <c r="E68" i="104"/>
  <c r="E13" i="104"/>
  <c r="AM19" i="81"/>
  <c r="AQ19" i="81" s="1"/>
  <c r="AJ19" i="81"/>
  <c r="R68" i="71"/>
  <c r="R13" i="71"/>
  <c r="AQ10" i="51"/>
  <c r="AL8" i="51"/>
  <c r="T14" i="98"/>
  <c r="T69" i="98"/>
  <c r="V16" i="98"/>
  <c r="V71" i="98"/>
  <c r="AJ19" i="77"/>
  <c r="AM19" i="77"/>
  <c r="AQ19" i="77" s="1"/>
  <c r="AA14" i="98"/>
  <c r="AA69" i="98"/>
  <c r="AO18" i="58"/>
  <c r="P77" i="10"/>
  <c r="Y69" i="98"/>
  <c r="Y14" i="98"/>
  <c r="T15" i="60"/>
  <c r="T27" i="60" s="1"/>
  <c r="AQ22" i="77"/>
  <c r="G140" i="10"/>
  <c r="G65" i="10"/>
  <c r="G15" i="10"/>
  <c r="AM19" i="47"/>
  <c r="AQ19" i="47" s="1"/>
  <c r="AJ19" i="47"/>
  <c r="O14" i="98"/>
  <c r="O69" i="98"/>
  <c r="Z71" i="71"/>
  <c r="Z16" i="71"/>
  <c r="AG63" i="10"/>
  <c r="AH43" i="99"/>
  <c r="W16" i="104"/>
  <c r="W71" i="104"/>
  <c r="S140" i="10"/>
  <c r="S65" i="10"/>
  <c r="S15" i="10"/>
  <c r="T42" i="32"/>
  <c r="W155" i="10"/>
  <c r="W12" i="10"/>
  <c r="N71" i="98"/>
  <c r="N16" i="98"/>
  <c r="Z42" i="32"/>
  <c r="AG13" i="71"/>
  <c r="AG68" i="71"/>
  <c r="AG116" i="33"/>
  <c r="AK105" i="32"/>
  <c r="AG43" i="33"/>
  <c r="AG89" i="33"/>
  <c r="M116" i="33"/>
  <c r="M43" i="33"/>
  <c r="M89" i="33"/>
  <c r="AG69" i="104"/>
  <c r="AG14" i="104"/>
  <c r="AQ17" i="85"/>
  <c r="P59" i="10"/>
  <c r="AD43" i="58"/>
  <c r="AL8" i="95"/>
  <c r="AQ10" i="95"/>
  <c r="J12" i="10"/>
  <c r="J155" i="10"/>
  <c r="AG125" i="33"/>
  <c r="AG77" i="33"/>
  <c r="AG31" i="33"/>
  <c r="AK93" i="32"/>
  <c r="F16" i="71"/>
  <c r="F71" i="71"/>
  <c r="AF68" i="71"/>
  <c r="AF13" i="71"/>
  <c r="E155" i="10"/>
  <c r="E12" i="10"/>
  <c r="AF16" i="98"/>
  <c r="AF71" i="98"/>
  <c r="AB15" i="60"/>
  <c r="AB27" i="60" s="1"/>
  <c r="AQ22" i="88"/>
  <c r="AM93" i="32"/>
  <c r="AH31" i="33"/>
  <c r="AH77" i="33"/>
  <c r="AH125" i="33"/>
  <c r="AL8" i="77"/>
  <c r="AQ10" i="77"/>
  <c r="U15" i="60"/>
  <c r="U27" i="60" s="1"/>
  <c r="AQ22" i="79"/>
  <c r="AQ23" i="73"/>
  <c r="AH43" i="95"/>
  <c r="AE77" i="10"/>
  <c r="AO18" i="95"/>
  <c r="AK18" i="90"/>
  <c r="AK43" i="90" s="1"/>
  <c r="AD73" i="10"/>
  <c r="AC60" i="10"/>
  <c r="O15" i="60"/>
  <c r="O27" i="60" s="1"/>
  <c r="AQ22" i="58"/>
  <c r="AH68" i="98"/>
  <c r="AH13" i="98"/>
  <c r="AO121" i="33"/>
  <c r="BA97" i="32"/>
  <c r="AQ22" i="51"/>
  <c r="G15" i="60"/>
  <c r="G27" i="60" s="1"/>
  <c r="AK8" i="53"/>
  <c r="AQ9" i="53"/>
  <c r="H140" i="10"/>
  <c r="H65" i="10"/>
  <c r="H15" i="10"/>
  <c r="S69" i="98"/>
  <c r="S14" i="98"/>
  <c r="J71" i="71"/>
  <c r="J16" i="71"/>
  <c r="I60" i="10"/>
  <c r="M42" i="32"/>
  <c r="C148" i="10"/>
  <c r="C17" i="10"/>
  <c r="U13" i="71"/>
  <c r="U68" i="71"/>
  <c r="S16" i="60"/>
  <c r="S28" i="60" s="1"/>
  <c r="AQ20" i="73"/>
  <c r="Z16" i="60"/>
  <c r="Z28" i="60" s="1"/>
  <c r="AQ20" i="85"/>
  <c r="AA105" i="32"/>
  <c r="AB116" i="33"/>
  <c r="AB89" i="33"/>
  <c r="AB43" i="33"/>
  <c r="AH45" i="32"/>
  <c r="N14" i="98"/>
  <c r="N69" i="98"/>
  <c r="AJ19" i="46"/>
  <c r="AM19" i="46"/>
  <c r="AQ19" i="46" s="1"/>
  <c r="H71" i="71"/>
  <c r="H16" i="71"/>
  <c r="U121" i="33"/>
  <c r="AK77" i="33"/>
  <c r="AS93" i="32"/>
  <c r="AK31" i="33"/>
  <c r="AK125" i="33"/>
  <c r="U16" i="104"/>
  <c r="U71" i="104"/>
  <c r="AK18" i="88"/>
  <c r="AK43" i="88" s="1"/>
  <c r="AC73" i="10"/>
  <c r="U77" i="33"/>
  <c r="U125" i="33"/>
  <c r="U31" i="33"/>
  <c r="AO8" i="77"/>
  <c r="AQ15" i="77"/>
  <c r="AQ10" i="49"/>
  <c r="AL8" i="49"/>
  <c r="E140" i="10"/>
  <c r="E15" i="10"/>
  <c r="AQ23" i="72"/>
  <c r="AL116" i="33"/>
  <c r="AU105" i="32"/>
  <c r="AL43" i="33"/>
  <c r="AL89" i="33"/>
  <c r="K69" i="104"/>
  <c r="K14" i="104"/>
  <c r="L77" i="10"/>
  <c r="AO18" i="47"/>
  <c r="AJ19" i="72"/>
  <c r="AM19" i="72"/>
  <c r="AQ19" i="72" s="1"/>
  <c r="M125" i="33"/>
  <c r="M31" i="33"/>
  <c r="M77" i="33"/>
  <c r="AB60" i="10"/>
  <c r="O13" i="98"/>
  <c r="O68" i="98"/>
  <c r="AM19" i="51"/>
  <c r="AQ19" i="51" s="1"/>
  <c r="AJ19" i="51"/>
  <c r="AH43" i="88"/>
  <c r="AO18" i="88"/>
  <c r="AC77" i="10"/>
  <c r="B15" i="60"/>
  <c r="B27" i="60" s="1"/>
  <c r="AQ22" i="41"/>
  <c r="AG42" i="32"/>
  <c r="AQ10" i="53"/>
  <c r="AL8" i="53"/>
  <c r="AQ20" i="82"/>
  <c r="W16" i="60"/>
  <c r="W28" i="60" s="1"/>
  <c r="AQ10" i="87"/>
  <c r="AL8" i="87"/>
  <c r="AQ20" i="41"/>
  <c r="B16" i="60"/>
  <c r="B28" i="60" s="1"/>
  <c r="O68" i="71"/>
  <c r="O13" i="71"/>
  <c r="N13" i="98"/>
  <c r="N68" i="98"/>
  <c r="J42" i="32"/>
  <c r="I15" i="10"/>
  <c r="I65" i="10"/>
  <c r="I140" i="10"/>
  <c r="AQ22" i="49"/>
  <c r="I15" i="60"/>
  <c r="I27" i="60" s="1"/>
  <c r="V31" i="33"/>
  <c r="V77" i="33"/>
  <c r="V125" i="33"/>
  <c r="V15" i="60"/>
  <c r="V27" i="60" s="1"/>
  <c r="AQ22" i="81"/>
  <c r="AF42" i="32"/>
  <c r="AA93" i="32"/>
  <c r="AB125" i="33"/>
  <c r="AB77" i="33"/>
  <c r="AB31" i="33"/>
  <c r="S42" i="32"/>
  <c r="AI16" i="98"/>
  <c r="AI71" i="98"/>
  <c r="R12" i="10"/>
  <c r="R155" i="10"/>
  <c r="T65" i="10"/>
  <c r="T15" i="10"/>
  <c r="T140" i="10"/>
  <c r="N60" i="10"/>
  <c r="AH43" i="73"/>
  <c r="T77" i="10"/>
  <c r="AO18" i="73"/>
  <c r="AK18" i="64"/>
  <c r="Q73" i="10"/>
  <c r="AE12" i="10"/>
  <c r="AE155" i="10"/>
  <c r="C60" i="10"/>
  <c r="M16" i="71"/>
  <c r="M71" i="71"/>
  <c r="AO8" i="58"/>
  <c r="AQ15" i="58"/>
  <c r="AA16" i="71"/>
  <c r="AA71" i="71"/>
  <c r="T71" i="71"/>
  <c r="T16" i="71"/>
  <c r="O71" i="104"/>
  <c r="O16" i="104"/>
  <c r="R68" i="104"/>
  <c r="R13" i="104"/>
  <c r="AC121" i="33"/>
  <c r="AC97" i="32"/>
  <c r="G14" i="71"/>
  <c r="G69" i="71"/>
  <c r="AH42" i="32"/>
  <c r="O59" i="10"/>
  <c r="AD43" i="56"/>
  <c r="AG105" i="32"/>
  <c r="AE116" i="33"/>
  <c r="AE43" i="33"/>
  <c r="AE89" i="33"/>
  <c r="AH43" i="77"/>
  <c r="AO18" i="77"/>
  <c r="U77" i="10"/>
  <c r="Y69" i="104"/>
  <c r="Y14" i="104"/>
  <c r="AO105" i="32"/>
  <c r="AI116" i="33"/>
  <c r="AI43" i="33"/>
  <c r="AI89" i="33"/>
  <c r="Q68" i="104"/>
  <c r="Q13" i="104"/>
  <c r="M155" i="10"/>
  <c r="M12" i="10"/>
  <c r="T116" i="33"/>
  <c r="T43" i="33"/>
  <c r="T89" i="33"/>
  <c r="L43" i="33"/>
  <c r="L89" i="33"/>
  <c r="L116" i="33"/>
  <c r="C68" i="98"/>
  <c r="C13" i="98"/>
  <c r="U97" i="32"/>
  <c r="V97" i="32" s="1"/>
  <c r="Y121" i="33"/>
  <c r="V15" i="10"/>
  <c r="V65" i="10"/>
  <c r="V140" i="10"/>
  <c r="D59" i="10"/>
  <c r="AD43" i="45"/>
  <c r="AF125" i="33"/>
  <c r="AF77" i="33"/>
  <c r="J93" i="32"/>
  <c r="G93" i="32"/>
  <c r="AF31" i="33"/>
  <c r="AI93" i="32"/>
  <c r="AG68" i="104"/>
  <c r="AG13" i="104"/>
  <c r="AK8" i="48"/>
  <c r="AQ9" i="48"/>
  <c r="AQ10" i="84"/>
  <c r="AL8" i="84"/>
  <c r="X71" i="71"/>
  <c r="X16" i="71"/>
  <c r="D16" i="104"/>
  <c r="D71" i="104"/>
  <c r="AH43" i="54"/>
  <c r="AO18" i="54"/>
  <c r="E77" i="10"/>
  <c r="AF15" i="10"/>
  <c r="AF65" i="10"/>
  <c r="AF140" i="10"/>
  <c r="AK18" i="81"/>
  <c r="AK43" i="81" s="1"/>
  <c r="W73" i="10"/>
  <c r="AD14" i="98"/>
  <c r="AD69" i="98"/>
  <c r="G16" i="60"/>
  <c r="G28" i="60" s="1"/>
  <c r="AQ20" i="51"/>
  <c r="AO8" i="88"/>
  <c r="AQ15" i="88"/>
  <c r="AE60" i="10"/>
  <c r="AQ10" i="58"/>
  <c r="AL8" i="58"/>
  <c r="AF68" i="104"/>
  <c r="AF13" i="104"/>
  <c r="AE73" i="10"/>
  <c r="AK18" i="95"/>
  <c r="AK43" i="95" s="1"/>
  <c r="Y13" i="71"/>
  <c r="Y68" i="71"/>
  <c r="U60" i="10"/>
  <c r="P15" i="10"/>
  <c r="P140" i="10"/>
  <c r="P65" i="10"/>
  <c r="AF63" i="10"/>
  <c r="AH43" i="96"/>
  <c r="AH60" i="10"/>
  <c r="AO18" i="72"/>
  <c r="S77" i="10"/>
  <c r="T13" i="104"/>
  <c r="T68" i="104"/>
  <c r="AQ9" i="51"/>
  <c r="AK8" i="51"/>
  <c r="H45" i="32"/>
  <c r="E71" i="71"/>
  <c r="E16" i="71"/>
  <c r="R71" i="104"/>
  <c r="R16" i="104"/>
  <c r="AL8" i="79"/>
  <c r="AQ10" i="79"/>
  <c r="AQ10" i="88"/>
  <c r="AL8" i="88"/>
  <c r="AQ17" i="88"/>
  <c r="V68" i="98"/>
  <c r="V13" i="98"/>
  <c r="F59" i="10"/>
  <c r="AD43" i="53"/>
  <c r="AQ10" i="50"/>
  <c r="AL8" i="50"/>
  <c r="AQ17" i="95"/>
  <c r="S77" i="33"/>
  <c r="S125" i="33"/>
  <c r="S31" i="33"/>
  <c r="AJ125" i="33"/>
  <c r="AQ93" i="32"/>
  <c r="AJ77" i="33"/>
  <c r="AJ31" i="33"/>
  <c r="I68" i="98"/>
  <c r="I13" i="98"/>
  <c r="AG45" i="32"/>
  <c r="AG16" i="71"/>
  <c r="AG71" i="71"/>
  <c r="S71" i="98"/>
  <c r="S16" i="98"/>
  <c r="AB71" i="98"/>
  <c r="AB16" i="98"/>
  <c r="AN116" i="33"/>
  <c r="AY105" i="32"/>
  <c r="AN43" i="33"/>
  <c r="AN89" i="33"/>
  <c r="N14" i="71"/>
  <c r="N69" i="71"/>
  <c r="Z68" i="98"/>
  <c r="Z13" i="98"/>
  <c r="O121" i="33"/>
  <c r="H71" i="98"/>
  <c r="H16" i="98"/>
  <c r="AK18" i="49"/>
  <c r="J73" i="10"/>
  <c r="O42" i="32"/>
  <c r="H68" i="71"/>
  <c r="H13" i="71"/>
  <c r="AJ19" i="73"/>
  <c r="AM19" i="73"/>
  <c r="AQ19" i="73" s="1"/>
  <c r="AA60" i="10"/>
  <c r="Y16" i="98"/>
  <c r="Y71" i="98"/>
  <c r="G16" i="98"/>
  <c r="G71" i="98"/>
  <c r="AE69" i="104"/>
  <c r="AE14" i="104"/>
  <c r="AC71" i="104"/>
  <c r="AC16" i="104"/>
  <c r="X63" i="10"/>
  <c r="AH43" i="82"/>
  <c r="AQ23" i="46"/>
  <c r="AQ23" i="100"/>
  <c r="E16" i="60"/>
  <c r="E28" i="60" s="1"/>
  <c r="AQ20" i="53"/>
  <c r="AD13" i="98"/>
  <c r="AD68" i="98"/>
  <c r="AL42" i="32"/>
  <c r="O125" i="33"/>
  <c r="O77" i="33"/>
  <c r="O31" i="33"/>
  <c r="W77" i="33"/>
  <c r="Q93" i="32"/>
  <c r="R93" i="32" s="1"/>
  <c r="W31" i="33"/>
  <c r="W125" i="33"/>
  <c r="G13" i="71"/>
  <c r="G68" i="71"/>
  <c r="F155" i="10"/>
  <c r="F12" i="10"/>
  <c r="H69" i="104"/>
  <c r="H14" i="104"/>
  <c r="AA43" i="32"/>
  <c r="AB155" i="10"/>
  <c r="AB12" i="10"/>
  <c r="AI68" i="98"/>
  <c r="AI13" i="98"/>
  <c r="AF17" i="49"/>
  <c r="AB17" i="49"/>
  <c r="Z121" i="33"/>
  <c r="W97" i="32"/>
  <c r="X97" i="32" s="1"/>
  <c r="AM31" i="33"/>
  <c r="AM77" i="33"/>
  <c r="AW93" i="32"/>
  <c r="AM125" i="33"/>
  <c r="Q69" i="104"/>
  <c r="Q14" i="104"/>
  <c r="F68" i="71"/>
  <c r="F13" i="71"/>
  <c r="AM19" i="101"/>
  <c r="AQ19" i="101" s="1"/>
  <c r="AJ19" i="101"/>
  <c r="P31" i="33"/>
  <c r="P125" i="33"/>
  <c r="P77" i="33"/>
  <c r="AK18" i="99"/>
  <c r="AK43" i="99" s="1"/>
  <c r="AG73" i="10"/>
  <c r="P42" i="32"/>
  <c r="AQ23" i="54"/>
  <c r="Q16" i="98"/>
  <c r="Q71" i="98"/>
  <c r="AK18" i="58"/>
  <c r="P73" i="10"/>
  <c r="X69" i="98"/>
  <c r="X14" i="98"/>
  <c r="AL125" i="33"/>
  <c r="AU93" i="32"/>
  <c r="AL31" i="33"/>
  <c r="AL77" i="33"/>
  <c r="AD15" i="60"/>
  <c r="AD27" i="60" s="1"/>
  <c r="AQ22" i="95"/>
  <c r="AM19" i="99"/>
  <c r="AQ19" i="99" s="1"/>
  <c r="AJ19" i="99"/>
  <c r="S13" i="104"/>
  <c r="S68" i="104"/>
  <c r="P13" i="98"/>
  <c r="P68" i="98"/>
  <c r="AJ19" i="55"/>
  <c r="AM19" i="55"/>
  <c r="AQ19" i="55" s="1"/>
  <c r="AO8" i="95"/>
  <c r="AQ15" i="95"/>
  <c r="P45" i="32"/>
  <c r="AQ17" i="81"/>
  <c r="AK8" i="69"/>
  <c r="AQ9" i="69"/>
  <c r="AD45" i="32"/>
  <c r="AC105" i="32"/>
  <c r="AC116" i="33"/>
  <c r="AC89" i="33"/>
  <c r="AC43" i="33"/>
  <c r="AM19" i="41"/>
  <c r="AQ19" i="41" s="1"/>
  <c r="AJ19" i="41"/>
  <c r="H60" i="10"/>
  <c r="AJ19" i="64"/>
  <c r="AM19" i="64"/>
  <c r="AQ19" i="64" s="1"/>
  <c r="AE68" i="104"/>
  <c r="AE13" i="104"/>
  <c r="Y45" i="32"/>
  <c r="AQ9" i="49"/>
  <c r="AK8" i="49"/>
  <c r="AK18" i="79"/>
  <c r="AK43" i="79" s="1"/>
  <c r="V73" i="10"/>
  <c r="AQ20" i="99"/>
  <c r="AF16" i="60"/>
  <c r="AF28" i="60" s="1"/>
  <c r="AJ121" i="33"/>
  <c r="L71" i="71"/>
  <c r="L16" i="71"/>
  <c r="O14" i="104"/>
  <c r="O69" i="104"/>
  <c r="Z73" i="10"/>
  <c r="AK18" i="84"/>
  <c r="AK43" i="84" s="1"/>
  <c r="Z16" i="98"/>
  <c r="Z71" i="98"/>
  <c r="AO8" i="99"/>
  <c r="AQ15" i="99"/>
  <c r="AM19" i="79"/>
  <c r="AQ19" i="79" s="1"/>
  <c r="AJ19" i="79"/>
  <c r="C140" i="10"/>
  <c r="C15" i="10"/>
  <c r="C65" i="10"/>
  <c r="AQ20" i="77"/>
  <c r="T16" i="60"/>
  <c r="T28" i="60" s="1"/>
  <c r="K60" i="10"/>
  <c r="Z45" i="32"/>
  <c r="X73" i="10"/>
  <c r="AK18" i="82"/>
  <c r="AK43" i="82" s="1"/>
  <c r="AQ20" i="54"/>
  <c r="D16" i="60"/>
  <c r="D28" i="60" s="1"/>
  <c r="AK18" i="77"/>
  <c r="AK43" i="77" s="1"/>
  <c r="U73" i="10"/>
  <c r="L77" i="33"/>
  <c r="L125" i="33"/>
  <c r="L31" i="33"/>
  <c r="Q45" i="32"/>
  <c r="P69" i="71"/>
  <c r="P14" i="71"/>
  <c r="AQ17" i="79"/>
  <c r="AQ9" i="45"/>
  <c r="AK8" i="45"/>
  <c r="W68" i="98"/>
  <c r="W13" i="98"/>
  <c r="AJ42" i="32"/>
  <c r="Z60" i="10"/>
  <c r="AK8" i="55"/>
  <c r="AQ9" i="55"/>
  <c r="X71" i="104"/>
  <c r="X16" i="104"/>
  <c r="AQ20" i="47"/>
  <c r="K16" i="60"/>
  <c r="K28" i="60" s="1"/>
  <c r="AK18" i="51"/>
  <c r="H73" i="10"/>
  <c r="AQ17" i="96"/>
  <c r="AG69" i="98"/>
  <c r="AG14" i="98"/>
  <c r="AA15" i="10"/>
  <c r="AA65" i="10"/>
  <c r="AA140" i="10"/>
  <c r="AK18" i="55"/>
  <c r="N73" i="10"/>
  <c r="AC12" i="10"/>
  <c r="AC155" i="10"/>
  <c r="AQ15" i="49"/>
  <c r="AO8" i="49"/>
  <c r="X68" i="98"/>
  <c r="X13" i="98"/>
  <c r="I45" i="32"/>
  <c r="Y68" i="104"/>
  <c r="Y13" i="104"/>
  <c r="AI60" i="10"/>
  <c r="H59" i="10"/>
  <c r="AD43" i="51"/>
  <c r="E71" i="104"/>
  <c r="E16" i="104"/>
  <c r="AF17" i="100"/>
  <c r="AB17" i="100"/>
  <c r="K73" i="10"/>
  <c r="AK18" i="48"/>
  <c r="AH68" i="71"/>
  <c r="AH13" i="71"/>
  <c r="AC65" i="10"/>
  <c r="AC15" i="10"/>
  <c r="AC140" i="10"/>
  <c r="AF14" i="104"/>
  <c r="AF69" i="104"/>
  <c r="M15" i="60"/>
  <c r="M27" i="60" s="1"/>
  <c r="AQ22" i="55"/>
  <c r="AD43" i="90"/>
  <c r="M45" i="32"/>
  <c r="AK46" i="10"/>
  <c r="K68" i="71"/>
  <c r="K13" i="71"/>
  <c r="AE15" i="10"/>
  <c r="AE140" i="10"/>
  <c r="AE65" i="10"/>
  <c r="J13" i="71"/>
  <c r="J68" i="71"/>
  <c r="AG60" i="10"/>
  <c r="AD71" i="104"/>
  <c r="AD16" i="104"/>
  <c r="X42" i="32"/>
  <c r="AG71" i="104"/>
  <c r="AG16" i="104"/>
  <c r="V45" i="32"/>
  <c r="AK18" i="101"/>
  <c r="AK43" i="101" s="1"/>
  <c r="AI73" i="10"/>
  <c r="L45" i="32"/>
  <c r="AE16" i="71"/>
  <c r="AE71" i="71"/>
  <c r="AA73" i="10"/>
  <c r="AK18" i="85"/>
  <c r="AK43" i="85" s="1"/>
  <c r="Z68" i="71"/>
  <c r="Z13" i="71"/>
  <c r="AO8" i="51"/>
  <c r="AQ15" i="51"/>
  <c r="G59" i="10"/>
  <c r="AD43" i="52"/>
  <c r="AE42" i="32"/>
  <c r="U71" i="71"/>
  <c r="U16" i="71"/>
  <c r="AQ23" i="88"/>
  <c r="L68" i="98"/>
  <c r="L13" i="98"/>
  <c r="H68" i="104"/>
  <c r="H13" i="104"/>
  <c r="Q60" i="10"/>
  <c r="J60" i="10"/>
  <c r="AQ20" i="95"/>
  <c r="AD16" i="60"/>
  <c r="AD28" i="60" s="1"/>
  <c r="AB45" i="32"/>
  <c r="I69" i="71"/>
  <c r="I14" i="71"/>
  <c r="J45" i="32"/>
  <c r="AC16" i="71"/>
  <c r="AC71" i="71"/>
  <c r="AO8" i="82"/>
  <c r="AQ15" i="82"/>
  <c r="AQ10" i="73"/>
  <c r="AL8" i="73"/>
  <c r="Q65" i="10"/>
  <c r="Q140" i="10"/>
  <c r="Q15" i="10"/>
  <c r="R16" i="60"/>
  <c r="R28" i="60" s="1"/>
  <c r="AQ20" i="72"/>
  <c r="F60" i="10"/>
  <c r="E59" i="10"/>
  <c r="AD43" i="54"/>
  <c r="AM19" i="48"/>
  <c r="AQ19" i="48" s="1"/>
  <c r="AJ19" i="48"/>
  <c r="AQ22" i="72"/>
  <c r="R15" i="60"/>
  <c r="R27" i="60" s="1"/>
  <c r="AG15" i="60"/>
  <c r="AG27" i="60" s="1"/>
  <c r="AQ22" i="100"/>
  <c r="N16" i="60"/>
  <c r="N28" i="60" s="1"/>
  <c r="AQ20" i="56"/>
  <c r="H69" i="98"/>
  <c r="H14" i="98"/>
  <c r="T45" i="32"/>
  <c r="AM19" i="100"/>
  <c r="AQ19" i="100" s="1"/>
  <c r="AJ19" i="100"/>
  <c r="X69" i="104"/>
  <c r="X14" i="104"/>
  <c r="AO8" i="69"/>
  <c r="AQ15" i="69"/>
  <c r="S60" i="10"/>
  <c r="M16" i="98"/>
  <c r="M71" i="98"/>
  <c r="I73" i="10"/>
  <c r="AK18" i="50"/>
  <c r="AA71" i="98"/>
  <c r="AA16" i="98"/>
  <c r="H42" i="32"/>
  <c r="S105" i="32"/>
  <c r="T105" i="32" s="1"/>
  <c r="X116" i="33"/>
  <c r="X43" i="33"/>
  <c r="X89" i="33"/>
  <c r="AA31" i="33"/>
  <c r="AA77" i="33"/>
  <c r="AA125" i="33"/>
  <c r="Y93" i="32"/>
  <c r="Z93" i="32" s="1"/>
  <c r="S63" i="10"/>
  <c r="AH43" i="72"/>
  <c r="G69" i="104"/>
  <c r="G14" i="104"/>
  <c r="AK8" i="56"/>
  <c r="AQ9" i="56"/>
  <c r="AB140" i="10"/>
  <c r="AB15" i="10"/>
  <c r="AQ15" i="56"/>
  <c r="AO8" i="56"/>
  <c r="AJ19" i="84"/>
  <c r="AM19" i="84"/>
  <c r="AQ19" i="84" s="1"/>
  <c r="AH43" i="87"/>
  <c r="AO18" i="87"/>
  <c r="AB77" i="10"/>
  <c r="AA69" i="71"/>
  <c r="AA14" i="71"/>
  <c r="AQ17" i="82"/>
  <c r="AB43" i="32"/>
  <c r="AQ15" i="79"/>
  <c r="AO8" i="79"/>
  <c r="O45" i="32"/>
  <c r="O69" i="71"/>
  <c r="O14" i="71"/>
  <c r="AQ23" i="84"/>
  <c r="AQ10" i="48"/>
  <c r="AL8" i="48"/>
  <c r="AH15" i="60"/>
  <c r="AH27" i="60" s="1"/>
  <c r="AQ22" i="101"/>
  <c r="K71" i="71"/>
  <c r="K16" i="71"/>
  <c r="N71" i="104"/>
  <c r="N16" i="104"/>
  <c r="P14" i="98"/>
  <c r="P69" i="98"/>
  <c r="K59" i="10"/>
  <c r="AD43" i="48"/>
  <c r="K63" i="10"/>
  <c r="AH43" i="48"/>
  <c r="AP121" i="33"/>
  <c r="BC97" i="32"/>
  <c r="P71" i="98"/>
  <c r="P16" i="98"/>
  <c r="AD14" i="104"/>
  <c r="AD69" i="104"/>
  <c r="P60" i="10"/>
  <c r="AA42" i="32"/>
  <c r="AI42" i="32"/>
  <c r="V14" i="71"/>
  <c r="V69" i="71"/>
  <c r="D140" i="10"/>
  <c r="D15" i="10"/>
  <c r="AF16" i="71"/>
  <c r="AF71" i="71"/>
  <c r="AQ15" i="96"/>
  <c r="AO8" i="96"/>
  <c r="AO18" i="99"/>
  <c r="AG77" i="10"/>
  <c r="AL8" i="100"/>
  <c r="AQ10" i="100"/>
  <c r="T68" i="98"/>
  <c r="T13" i="98"/>
  <c r="AL8" i="83"/>
  <c r="AQ10" i="83"/>
  <c r="L15" i="60"/>
  <c r="L27" i="60" s="1"/>
  <c r="AQ22" i="46"/>
  <c r="AL8" i="101"/>
  <c r="AQ10" i="101"/>
  <c r="N116" i="33"/>
  <c r="N89" i="33"/>
  <c r="N43" i="33"/>
  <c r="AQ9" i="73"/>
  <c r="AK8" i="73"/>
  <c r="V60" i="10"/>
  <c r="AQ31" i="33"/>
  <c r="AQ77" i="33"/>
  <c r="AQ125" i="33"/>
  <c r="BE93" i="32"/>
  <c r="V68" i="104"/>
  <c r="V13" i="104"/>
  <c r="AC69" i="104"/>
  <c r="AC14" i="104"/>
  <c r="Y63" i="10"/>
  <c r="AH43" i="83"/>
  <c r="AD140" i="10"/>
  <c r="AD15" i="10"/>
  <c r="AD65" i="10"/>
  <c r="S14" i="104"/>
  <c r="S69" i="104"/>
  <c r="AQ20" i="100"/>
  <c r="AG16" i="60"/>
  <c r="AG28" i="60" s="1"/>
  <c r="AQ22" i="56"/>
  <c r="N15" i="60"/>
  <c r="N27" i="60" s="1"/>
  <c r="O73" i="10"/>
  <c r="AK18" i="56"/>
  <c r="AL8" i="99"/>
  <c r="AQ10" i="99"/>
  <c r="AA13" i="104"/>
  <c r="AA68" i="104"/>
  <c r="Y77" i="10"/>
  <c r="AO18" i="83"/>
  <c r="AW105" i="32"/>
  <c r="AM116" i="33"/>
  <c r="AM89" i="33"/>
  <c r="AM43" i="33"/>
  <c r="AG16" i="98"/>
  <c r="AG71" i="98"/>
  <c r="AK45" i="32"/>
  <c r="AQ23" i="101"/>
  <c r="I71" i="98"/>
  <c r="I16" i="98"/>
  <c r="AB16" i="71"/>
  <c r="AB71" i="71"/>
  <c r="AQ23" i="85"/>
  <c r="L69" i="104"/>
  <c r="L14" i="104"/>
  <c r="H12" i="10"/>
  <c r="H155" i="10"/>
  <c r="AK8" i="52"/>
  <c r="AQ9" i="52"/>
  <c r="AQ23" i="49"/>
  <c r="AB68" i="98"/>
  <c r="AB13" i="98"/>
  <c r="AE105" i="32"/>
  <c r="AD116" i="33"/>
  <c r="AD43" i="33"/>
  <c r="AD89" i="33"/>
  <c r="C63" i="10"/>
  <c r="AH43" i="41"/>
  <c r="AL8" i="52"/>
  <c r="AQ10" i="52"/>
  <c r="AH116" i="33"/>
  <c r="AM105" i="32"/>
  <c r="AH89" i="33"/>
  <c r="AH43" i="33"/>
  <c r="F140" i="10"/>
  <c r="F65" i="10"/>
  <c r="F15" i="10"/>
  <c r="P116" i="33"/>
  <c r="P89" i="33"/>
  <c r="P43" i="33"/>
  <c r="G16" i="104"/>
  <c r="G71" i="104"/>
  <c r="AH43" i="32"/>
  <c r="AF45" i="32"/>
  <c r="T121" i="33"/>
  <c r="T60" i="10"/>
  <c r="AD43" i="84"/>
  <c r="AD43" i="99"/>
  <c r="AQ15" i="55"/>
  <c r="AO8" i="55"/>
  <c r="AH43" i="56"/>
  <c r="O77" i="10"/>
  <c r="AO18" i="56"/>
  <c r="M68" i="98"/>
  <c r="M13" i="98"/>
  <c r="AC13" i="104"/>
  <c r="AC68" i="104"/>
  <c r="AM19" i="87"/>
  <c r="AQ19" i="87" s="1"/>
  <c r="AJ19" i="87"/>
  <c r="AF17" i="45"/>
  <c r="AB17" i="45"/>
  <c r="AC15" i="60"/>
  <c r="AC27" i="60" s="1"/>
  <c r="AQ22" i="90"/>
  <c r="D13" i="71"/>
  <c r="D68" i="71"/>
  <c r="D16" i="32"/>
  <c r="T43" i="32"/>
  <c r="N155" i="10"/>
  <c r="N12" i="10"/>
  <c r="F13" i="98"/>
  <c r="F68" i="98"/>
  <c r="O68" i="104"/>
  <c r="O13" i="104"/>
  <c r="X77" i="33"/>
  <c r="X31" i="33"/>
  <c r="S93" i="32"/>
  <c r="T93" i="32" s="1"/>
  <c r="X125" i="33"/>
  <c r="AQ9" i="54"/>
  <c r="AK8" i="54"/>
  <c r="G68" i="104"/>
  <c r="G13" i="104"/>
  <c r="F73" i="10"/>
  <c r="AK18" i="53"/>
  <c r="H14" i="71"/>
  <c r="H69" i="71"/>
  <c r="O140" i="10"/>
  <c r="O15" i="10"/>
  <c r="O65" i="10"/>
  <c r="V16" i="60"/>
  <c r="V28" i="60" s="1"/>
  <c r="AQ20" i="81"/>
  <c r="AK18" i="87"/>
  <c r="AK43" i="87" s="1"/>
  <c r="AB73" i="10"/>
  <c r="V42" i="32"/>
  <c r="U93" i="32"/>
  <c r="V93" i="32" s="1"/>
  <c r="Y31" i="33"/>
  <c r="Y125" i="33"/>
  <c r="Y77" i="33"/>
  <c r="AH43" i="50"/>
  <c r="I77" i="10"/>
  <c r="AO18" i="50"/>
  <c r="AQ10" i="72"/>
  <c r="AL8" i="72"/>
  <c r="G22" i="33"/>
  <c r="AI92" i="10"/>
  <c r="W69" i="71"/>
  <c r="W14" i="71"/>
  <c r="W60" i="10"/>
  <c r="M71" i="104"/>
  <c r="M16" i="104"/>
  <c r="V116" i="33"/>
  <c r="V89" i="33"/>
  <c r="V43" i="33"/>
  <c r="W15" i="10"/>
  <c r="W65" i="10"/>
  <c r="W140" i="10"/>
  <c r="R59" i="10"/>
  <c r="AD43" i="69"/>
  <c r="T71" i="98"/>
  <c r="T16" i="98"/>
  <c r="E13" i="98"/>
  <c r="E68" i="98"/>
  <c r="O16" i="71"/>
  <c r="O71" i="71"/>
  <c r="AO18" i="41"/>
  <c r="C77" i="10"/>
  <c r="AK8" i="72"/>
  <c r="AQ9" i="72"/>
  <c r="R68" i="98"/>
  <c r="R13" i="98"/>
  <c r="T69" i="71"/>
  <c r="T14" i="71"/>
  <c r="AO8" i="72"/>
  <c r="AQ15" i="72"/>
  <c r="P121" i="33"/>
  <c r="AE68" i="71"/>
  <c r="AE13" i="71"/>
  <c r="V71" i="104"/>
  <c r="V16" i="104"/>
  <c r="U140" i="10"/>
  <c r="U15" i="10"/>
  <c r="J59" i="10"/>
  <c r="AD43" i="49"/>
  <c r="D15" i="60"/>
  <c r="D27" i="60" s="1"/>
  <c r="AQ22" i="54"/>
  <c r="V12" i="10"/>
  <c r="V155" i="10"/>
  <c r="L71" i="104"/>
  <c r="L16" i="104"/>
  <c r="R43" i="32"/>
  <c r="AF116" i="33"/>
  <c r="J105" i="32"/>
  <c r="AI105" i="32"/>
  <c r="AF89" i="33"/>
  <c r="AF43" i="33"/>
  <c r="G105" i="32"/>
  <c r="C59" i="10"/>
  <c r="AD43" i="41"/>
  <c r="AK18" i="96"/>
  <c r="AK43" i="96" s="1"/>
  <c r="AF73" i="10"/>
  <c r="AQ22" i="53"/>
  <c r="E15" i="60"/>
  <c r="E27" i="60" s="1"/>
  <c r="C71" i="104"/>
  <c r="C16" i="104"/>
  <c r="C68" i="71"/>
  <c r="C13" i="71"/>
  <c r="S43" i="32"/>
  <c r="N59" i="10"/>
  <c r="AD43" i="55"/>
  <c r="AJ66" i="10"/>
  <c r="AH15" i="10"/>
  <c r="AH140" i="10"/>
  <c r="AA45" i="32"/>
  <c r="D16" i="98"/>
  <c r="D71" i="98"/>
  <c r="AM19" i="58"/>
  <c r="AQ19" i="58" s="1"/>
  <c r="AJ19" i="58"/>
  <c r="P71" i="104"/>
  <c r="P16" i="104"/>
  <c r="AM121" i="33"/>
  <c r="AW97" i="32"/>
  <c r="AA63" i="10"/>
  <c r="AH43" i="85"/>
  <c r="K65" i="10"/>
  <c r="K140" i="10"/>
  <c r="K15" i="10"/>
  <c r="F71" i="98"/>
  <c r="F16" i="98"/>
  <c r="AO125" i="33"/>
  <c r="AO77" i="33"/>
  <c r="AO31" i="33"/>
  <c r="BA93" i="32"/>
  <c r="L63" i="10"/>
  <c r="AH43" i="47"/>
  <c r="V69" i="104"/>
  <c r="V14" i="104"/>
  <c r="BA105" i="32"/>
  <c r="AO116" i="33"/>
  <c r="AO43" i="33"/>
  <c r="AO89" i="33"/>
  <c r="AB42" i="32"/>
  <c r="L65" i="10"/>
  <c r="L140" i="10"/>
  <c r="L15" i="10"/>
  <c r="W42" i="32"/>
  <c r="Y60" i="10"/>
  <c r="AQ22" i="50"/>
  <c r="H15" i="60"/>
  <c r="H27" i="60" s="1"/>
  <c r="T59" i="10"/>
  <c r="AD43" i="73"/>
  <c r="AA15" i="60"/>
  <c r="AA27" i="60" s="1"/>
  <c r="AQ22" i="87"/>
  <c r="R71" i="71"/>
  <c r="R16" i="71"/>
  <c r="O16" i="60"/>
  <c r="O28" i="60" s="1"/>
  <c r="AQ20" i="58"/>
  <c r="AQ20" i="84"/>
  <c r="Y16" i="60"/>
  <c r="Y28" i="60" s="1"/>
  <c r="AQ23" i="48"/>
  <c r="AF14" i="98"/>
  <c r="AF69" i="98"/>
  <c r="AL121" i="33"/>
  <c r="AO8" i="83"/>
  <c r="AQ15" i="83"/>
  <c r="J16" i="104"/>
  <c r="J71" i="104"/>
  <c r="K13" i="104"/>
  <c r="K68" i="104"/>
  <c r="J13" i="98"/>
  <c r="J68" i="98"/>
  <c r="I13" i="104"/>
  <c r="I68" i="104"/>
  <c r="AD71" i="98"/>
  <c r="AD16" i="98"/>
  <c r="AE93" i="32"/>
  <c r="AD31" i="33"/>
  <c r="AD77" i="33"/>
  <c r="AD125" i="33"/>
  <c r="AH16" i="98"/>
  <c r="AH71" i="98"/>
  <c r="S16" i="104"/>
  <c r="S71" i="104"/>
  <c r="I16" i="104"/>
  <c r="I71" i="104"/>
  <c r="AS105" i="32"/>
  <c r="AK116" i="33"/>
  <c r="AK89" i="33"/>
  <c r="AK43" i="33"/>
  <c r="AE16" i="104"/>
  <c r="AE71" i="104"/>
  <c r="Z13" i="104"/>
  <c r="Z68" i="104"/>
  <c r="F69" i="71"/>
  <c r="F14" i="71"/>
  <c r="Z15" i="60"/>
  <c r="Z27" i="60" s="1"/>
  <c r="AQ22" i="85"/>
  <c r="Q116" i="33"/>
  <c r="Q43" i="33"/>
  <c r="Q89" i="33"/>
  <c r="AH43" i="69"/>
  <c r="R77" i="10"/>
  <c r="AO18" i="69"/>
  <c r="H10" i="33"/>
  <c r="I10" i="33"/>
  <c r="AO161" i="44"/>
  <c r="AN161" i="44"/>
  <c r="AM161" i="44"/>
  <c r="AL161" i="44"/>
  <c r="AR76" i="44"/>
  <c r="AS159" i="44"/>
  <c r="L59" i="10"/>
  <c r="AD43" i="47"/>
  <c r="X45" i="32"/>
  <c r="K42" i="32"/>
  <c r="AO8" i="41"/>
  <c r="AQ15" i="41"/>
  <c r="G60" i="10"/>
  <c r="AQ10" i="64"/>
  <c r="AL8" i="64"/>
  <c r="I14" i="98"/>
  <c r="I69" i="98"/>
  <c r="AQ22" i="45"/>
  <c r="C15" i="60"/>
  <c r="C27" i="60" s="1"/>
  <c r="K69" i="98"/>
  <c r="K14" i="98"/>
  <c r="BG93" i="32"/>
  <c r="AR77" i="33"/>
  <c r="BI123" i="32"/>
  <c r="AK109" i="10"/>
  <c r="AJ109" i="10"/>
  <c r="AR125" i="33"/>
  <c r="AR31" i="33"/>
  <c r="AS31" i="33" s="1"/>
  <c r="AD13" i="104"/>
  <c r="AD68" i="104"/>
  <c r="AI68" i="104"/>
  <c r="AI13" i="104"/>
  <c r="AQ20" i="52"/>
  <c r="F16" i="60"/>
  <c r="F28" i="60" s="1"/>
  <c r="L73" i="10"/>
  <c r="AK18" i="47"/>
  <c r="I12" i="33"/>
  <c r="H12" i="33"/>
  <c r="AR77" i="44"/>
  <c r="AS160" i="44"/>
  <c r="AM163" i="44"/>
  <c r="AN163" i="44"/>
  <c r="AO163" i="44"/>
  <c r="AL163" i="44"/>
  <c r="N13" i="71"/>
  <c r="N68" i="71"/>
  <c r="AQ15" i="52"/>
  <c r="AO8" i="52"/>
  <c r="N140" i="10"/>
  <c r="N65" i="10"/>
  <c r="N15" i="10"/>
  <c r="M68" i="104"/>
  <c r="M13" i="104"/>
  <c r="AQ20" i="48"/>
  <c r="J16" i="60"/>
  <c r="J28" i="60" s="1"/>
  <c r="Q71" i="71"/>
  <c r="Q16" i="71"/>
  <c r="AM19" i="96"/>
  <c r="AQ19" i="96" s="1"/>
  <c r="AJ19" i="96"/>
  <c r="X14" i="71"/>
  <c r="X69" i="71"/>
  <c r="AQ20" i="87"/>
  <c r="AA16" i="60"/>
  <c r="AA28" i="60" s="1"/>
  <c r="AJ19" i="56"/>
  <c r="AM19" i="56"/>
  <c r="AQ19" i="56" s="1"/>
  <c r="S13" i="71"/>
  <c r="S68" i="71"/>
  <c r="AI71" i="104"/>
  <c r="AI16" i="104"/>
  <c r="Y73" i="10"/>
  <c r="AK18" i="83"/>
  <c r="AK43" i="83" s="1"/>
  <c r="H23" i="33"/>
  <c r="I23" i="33"/>
  <c r="AK174" i="44"/>
  <c r="AL175" i="44"/>
  <c r="AO175" i="44"/>
  <c r="AM175" i="44"/>
  <c r="AN175" i="44"/>
  <c r="W69" i="104"/>
  <c r="W14" i="104"/>
  <c r="S15" i="60"/>
  <c r="S27" i="60" s="1"/>
  <c r="AQ22" i="73"/>
  <c r="AQ10" i="81"/>
  <c r="AL8" i="81"/>
  <c r="AL8" i="96"/>
  <c r="AQ10" i="96"/>
  <c r="AJ116" i="33"/>
  <c r="AQ105" i="32"/>
  <c r="AJ43" i="33"/>
  <c r="AJ89" i="33"/>
  <c r="N31" i="33"/>
  <c r="N77" i="33"/>
  <c r="N125" i="33"/>
  <c r="O16" i="98"/>
  <c r="O71" i="98"/>
  <c r="S59" i="10"/>
  <c r="AD43" i="72"/>
  <c r="H16" i="60"/>
  <c r="H28" i="60" s="1"/>
  <c r="AQ20" i="50"/>
  <c r="W43" i="32"/>
  <c r="O12" i="10"/>
  <c r="O155" i="10"/>
  <c r="AI63" i="10"/>
  <c r="AH43" i="101"/>
  <c r="X15" i="10"/>
  <c r="X140" i="10"/>
  <c r="X65" i="10"/>
  <c r="AH43" i="90"/>
  <c r="AD77" i="10"/>
  <c r="AO18" i="90"/>
  <c r="U116" i="33"/>
  <c r="U89" i="33"/>
  <c r="U43" i="33"/>
  <c r="W71" i="71"/>
  <c r="W16" i="71"/>
  <c r="W93" i="32"/>
  <c r="X93" i="32" s="1"/>
  <c r="Z31" i="33"/>
  <c r="Z125" i="33"/>
  <c r="Z77" i="33"/>
  <c r="Q68" i="98"/>
  <c r="Q13" i="98"/>
  <c r="AK8" i="41"/>
  <c r="AQ9" i="41"/>
  <c r="AQ17" i="83"/>
  <c r="AH43" i="52"/>
  <c r="AO18" i="52"/>
  <c r="G77" i="10"/>
  <c r="K71" i="104"/>
  <c r="K16" i="104"/>
  <c r="Q105" i="32"/>
  <c r="R105" i="32" s="1"/>
  <c r="W116" i="33"/>
  <c r="W89" i="33"/>
  <c r="W43" i="33"/>
  <c r="AQ15" i="84"/>
  <c r="AO8" i="84"/>
  <c r="W68" i="71"/>
  <c r="W13" i="71"/>
  <c r="AG13" i="98"/>
  <c r="AG68" i="98"/>
  <c r="J15" i="10"/>
  <c r="J140" i="10"/>
  <c r="AQ20" i="55"/>
  <c r="M16" i="60"/>
  <c r="M28" i="60" s="1"/>
  <c r="AQ15" i="48"/>
  <c r="AO8" i="48"/>
  <c r="G45" i="32"/>
  <c r="D16" i="71"/>
  <c r="D71" i="71"/>
  <c r="S45" i="32"/>
  <c r="E60" i="10"/>
  <c r="AO8" i="85"/>
  <c r="AQ15" i="85"/>
  <c r="AH43" i="81"/>
  <c r="AO18" i="81"/>
  <c r="W77" i="10"/>
  <c r="X68" i="104"/>
  <c r="X13" i="104"/>
  <c r="AF68" i="98"/>
  <c r="AF13" i="98"/>
  <c r="AI15" i="71"/>
  <c r="AF71" i="104"/>
  <c r="AF16" i="104"/>
  <c r="AC125" i="33"/>
  <c r="AC31" i="33"/>
  <c r="AC93" i="32"/>
  <c r="AC77" i="33"/>
  <c r="AQ10" i="47"/>
  <c r="AL8" i="47"/>
  <c r="AQ22" i="96"/>
  <c r="AE15" i="60"/>
  <c r="AE27" i="60" s="1"/>
  <c r="E71" i="98"/>
  <c r="E16" i="98"/>
  <c r="D73" i="10"/>
  <c r="AK18" i="45"/>
  <c r="AA116" i="33"/>
  <c r="Y105" i="32"/>
  <c r="Z105" i="32" s="1"/>
  <c r="AA43" i="33"/>
  <c r="AA89" i="33"/>
  <c r="AH13" i="104"/>
  <c r="AH68" i="104"/>
  <c r="V13" i="71"/>
  <c r="V68" i="71"/>
  <c r="I59" i="10"/>
  <c r="AD43" i="50"/>
  <c r="AH43" i="79"/>
  <c r="V77" i="10"/>
  <c r="AO18" i="79"/>
  <c r="AQ17" i="90"/>
  <c r="AH43" i="46"/>
  <c r="AO18" i="46"/>
  <c r="M77" i="10"/>
  <c r="AB16" i="60"/>
  <c r="AB28" i="60" s="1"/>
  <c r="AQ20" i="88"/>
  <c r="S14" i="71"/>
  <c r="S69" i="71"/>
  <c r="J16" i="98"/>
  <c r="J71" i="98"/>
  <c r="X77" i="10"/>
  <c r="AO18" i="82"/>
  <c r="R15" i="10"/>
  <c r="R140" i="10"/>
  <c r="AQ10" i="46"/>
  <c r="AL8" i="46"/>
  <c r="T125" i="33"/>
  <c r="T31" i="33"/>
  <c r="T77" i="33"/>
  <c r="AQ22" i="82"/>
  <c r="W15" i="60"/>
  <c r="W27" i="60" s="1"/>
  <c r="AQ23" i="56"/>
  <c r="AA68" i="98"/>
  <c r="AA13" i="98"/>
  <c r="L42" i="32"/>
  <c r="I13" i="71"/>
  <c r="I68" i="71"/>
  <c r="AH16" i="60"/>
  <c r="AH28" i="60" s="1"/>
  <c r="AQ20" i="101"/>
  <c r="AD16" i="71"/>
  <c r="AD71" i="71"/>
  <c r="U68" i="98"/>
  <c r="U13" i="98"/>
  <c r="AQ20" i="83"/>
  <c r="X16" i="60"/>
  <c r="X28" i="60" s="1"/>
  <c r="AJ45" i="32"/>
  <c r="BE105" i="32"/>
  <c r="AQ116" i="33"/>
  <c r="AQ89" i="33"/>
  <c r="AQ43" i="33"/>
  <c r="R116" i="33"/>
  <c r="R43" i="33"/>
  <c r="R89" i="33"/>
  <c r="I16" i="71"/>
  <c r="I71" i="71"/>
  <c r="AE45" i="32"/>
  <c r="F14" i="98"/>
  <c r="F69" i="98"/>
  <c r="H16" i="104"/>
  <c r="H71" i="104"/>
  <c r="O43" i="32"/>
  <c r="Q63" i="10"/>
  <c r="AH43" i="64"/>
  <c r="AK8" i="47"/>
  <c r="AQ9" i="47"/>
  <c r="AF17" i="46"/>
  <c r="AB17" i="46"/>
  <c r="L68" i="104"/>
  <c r="L13" i="104"/>
  <c r="G16" i="71"/>
  <c r="G71" i="71"/>
  <c r="AN121" i="33"/>
  <c r="AY97" i="32"/>
  <c r="AC71" i="98"/>
  <c r="AC16" i="98"/>
  <c r="Z77" i="10"/>
  <c r="AO18" i="84"/>
  <c r="Z140" i="10"/>
  <c r="Z15" i="10"/>
  <c r="AG15" i="10"/>
  <c r="AG140" i="10"/>
  <c r="AG65" i="10"/>
  <c r="D68" i="104"/>
  <c r="D13" i="104"/>
  <c r="I12" i="10"/>
  <c r="I155" i="10"/>
  <c r="D68" i="98"/>
  <c r="D13" i="98"/>
  <c r="X15" i="60"/>
  <c r="X27" i="60" s="1"/>
  <c r="AQ22" i="83"/>
  <c r="Q14" i="71"/>
  <c r="Q69" i="71"/>
  <c r="I42" i="32"/>
  <c r="N68" i="104"/>
  <c r="N13" i="104"/>
  <c r="G155" i="10"/>
  <c r="G12" i="10"/>
  <c r="Q121" i="33"/>
  <c r="Z116" i="33"/>
  <c r="W105" i="32"/>
  <c r="X105" i="32" s="1"/>
  <c r="Z89" i="33"/>
  <c r="Z43" i="33"/>
  <c r="M59" i="10"/>
  <c r="AD43" i="46"/>
  <c r="AM97" i="32"/>
  <c r="AG121" i="33"/>
  <c r="AK97" i="32"/>
  <c r="AD60" i="10"/>
  <c r="S68" i="98"/>
  <c r="S13" i="98"/>
  <c r="P68" i="104"/>
  <c r="P13" i="104"/>
  <c r="AK121" i="10"/>
  <c r="AR116" i="33"/>
  <c r="BI119" i="32"/>
  <c r="BG105" i="32"/>
  <c r="AR89" i="33"/>
  <c r="AR43" i="33"/>
  <c r="AJ121" i="10"/>
  <c r="AQ15" i="100"/>
  <c r="AO8" i="100"/>
  <c r="J97" i="32"/>
  <c r="AF121" i="33"/>
  <c r="AI97" i="32"/>
  <c r="D60" i="10"/>
  <c r="AF17" i="77"/>
  <c r="AB17" i="77"/>
  <c r="T71" i="104"/>
  <c r="T16" i="104"/>
  <c r="AF17" i="87"/>
  <c r="AB17" i="87"/>
  <c r="U42" i="32"/>
  <c r="G14" i="98"/>
  <c r="G69" i="98"/>
  <c r="AE68" i="98"/>
  <c r="AE13" i="98"/>
  <c r="V16" i="71"/>
  <c r="V71" i="71"/>
  <c r="Y14" i="71"/>
  <c r="Y69" i="71"/>
  <c r="X121" i="33"/>
  <c r="S97" i="32"/>
  <c r="T97" i="32" s="1"/>
  <c r="AC45" i="32"/>
  <c r="AH43" i="53"/>
  <c r="F77" i="10"/>
  <c r="AO18" i="53"/>
  <c r="AK8" i="64"/>
  <c r="AQ9" i="64"/>
  <c r="W71" i="98"/>
  <c r="W16" i="98"/>
  <c r="Q13" i="71"/>
  <c r="Q68" i="71"/>
  <c r="AQ15" i="81"/>
  <c r="AO8" i="81"/>
  <c r="Y15" i="10"/>
  <c r="Y140" i="10"/>
  <c r="Y65" i="10"/>
  <c r="AQ22" i="47"/>
  <c r="K15" i="60"/>
  <c r="K27" i="60" s="1"/>
  <c r="K16" i="98"/>
  <c r="K71" i="98"/>
  <c r="C16" i="98"/>
  <c r="C71" i="98"/>
  <c r="C13" i="104"/>
  <c r="C68" i="104"/>
  <c r="N16" i="71"/>
  <c r="N71" i="71"/>
  <c r="Z63" i="10"/>
  <c r="AH43" i="84"/>
  <c r="AM19" i="50"/>
  <c r="AQ19" i="50" s="1"/>
  <c r="AJ19" i="50"/>
  <c r="AP77" i="33"/>
  <c r="BC93" i="32"/>
  <c r="AP31" i="33"/>
  <c r="AP125" i="33"/>
  <c r="AA77" i="10"/>
  <c r="AO18" i="85"/>
  <c r="AO8" i="73"/>
  <c r="AQ15" i="73"/>
  <c r="M140" i="10"/>
  <c r="M15" i="10"/>
  <c r="AJ43" i="32"/>
  <c r="AI140" i="10"/>
  <c r="AI15" i="10"/>
  <c r="U105" i="32"/>
  <c r="V105" i="32" s="1"/>
  <c r="Y116" i="33"/>
  <c r="Y89" i="33"/>
  <c r="Y43" i="33"/>
  <c r="AQ10" i="54"/>
  <c r="AL8" i="54"/>
  <c r="AG43" i="32"/>
  <c r="AQ9" i="58"/>
  <c r="AK8" i="58"/>
  <c r="O116" i="33"/>
  <c r="O89" i="33"/>
  <c r="O43" i="33"/>
  <c r="O60" i="10"/>
  <c r="AO8" i="47"/>
  <c r="AQ15" i="47"/>
  <c r="AQ15" i="54"/>
  <c r="AO8" i="54"/>
  <c r="AE121" i="33"/>
  <c r="AI45" i="32"/>
  <c r="Y68" i="98"/>
  <c r="Y13" i="98"/>
  <c r="AD12" i="10"/>
  <c r="AD155" i="10"/>
  <c r="T73" i="10"/>
  <c r="AK18" i="73"/>
  <c r="AJ19" i="90"/>
  <c r="AM19" i="90"/>
  <c r="AQ19" i="90" s="1"/>
  <c r="F15" i="60"/>
  <c r="F27" i="60" s="1"/>
  <c r="AQ22" i="52"/>
  <c r="AH43" i="49"/>
  <c r="J77" i="10"/>
  <c r="AO18" i="49"/>
  <c r="L60" i="10"/>
  <c r="U45" i="32"/>
  <c r="AK42" i="32"/>
  <c r="AE125" i="33"/>
  <c r="AE31" i="33"/>
  <c r="AE77" i="33"/>
  <c r="AG93" i="32"/>
  <c r="AI43" i="32"/>
  <c r="AC14" i="71"/>
  <c r="AC69" i="71"/>
  <c r="P15" i="60"/>
  <c r="P27" i="60" s="1"/>
  <c r="AQ22" i="64"/>
  <c r="M60" i="10"/>
  <c r="K68" i="98"/>
  <c r="K13" i="98"/>
  <c r="J68" i="104"/>
  <c r="J13" i="104"/>
  <c r="AD42" i="32"/>
  <c r="U13" i="104"/>
  <c r="U68" i="104"/>
  <c r="AH71" i="71"/>
  <c r="AH16" i="71"/>
  <c r="J15" i="60"/>
  <c r="J27" i="60" s="1"/>
  <c r="AQ22" i="48"/>
  <c r="AE71" i="98"/>
  <c r="AE16" i="98"/>
  <c r="N14" i="104"/>
  <c r="N69" i="104"/>
  <c r="AC42" i="32"/>
  <c r="AQ10" i="82"/>
  <c r="AL8" i="82"/>
  <c r="L69" i="71"/>
  <c r="L14" i="71"/>
  <c r="AO8" i="64"/>
  <c r="AQ15" i="64"/>
  <c r="AB68" i="71"/>
  <c r="AB13" i="71"/>
  <c r="L68" i="71"/>
  <c r="L13" i="71"/>
  <c r="H13" i="98"/>
  <c r="H68" i="98"/>
  <c r="U16" i="60"/>
  <c r="U28" i="60" s="1"/>
  <c r="AQ20" i="79"/>
  <c r="Y16" i="71"/>
  <c r="Y71" i="71"/>
  <c r="I69" i="104"/>
  <c r="I14" i="104"/>
  <c r="AE69" i="98"/>
  <c r="AE14" i="98"/>
  <c r="AM19" i="83"/>
  <c r="AQ19" i="83" s="1"/>
  <c r="AJ19" i="83"/>
  <c r="AQ17" i="99"/>
  <c r="AD13" i="71"/>
  <c r="AD68" i="71"/>
  <c r="AQ15" i="50"/>
  <c r="AO8" i="50"/>
  <c r="G42" i="32"/>
  <c r="AQ23" i="47"/>
  <c r="AH77" i="10"/>
  <c r="AO18" i="100"/>
  <c r="D12" i="10"/>
  <c r="D155" i="10"/>
  <c r="F13" i="104"/>
  <c r="F68" i="104"/>
  <c r="R42" i="32"/>
  <c r="AF17" i="84"/>
  <c r="AB17" i="84"/>
  <c r="Q42" i="32"/>
  <c r="Q15" i="60"/>
  <c r="Q27" i="60" s="1"/>
  <c r="AQ22" i="69"/>
  <c r="AO8" i="53"/>
  <c r="AQ15" i="53"/>
  <c r="AH43" i="51"/>
  <c r="H77" i="10"/>
  <c r="AO18" i="51"/>
  <c r="M13" i="71"/>
  <c r="M68" i="71"/>
  <c r="K43" i="32"/>
  <c r="AF17" i="69"/>
  <c r="AB17" i="69"/>
  <c r="Q71" i="104"/>
  <c r="Q16" i="104"/>
  <c r="AK8" i="46"/>
  <c r="AQ9" i="46"/>
  <c r="AC13" i="98"/>
  <c r="AC68" i="98"/>
  <c r="AF15" i="60"/>
  <c r="AF27" i="60" s="1"/>
  <c r="AQ22" i="99"/>
  <c r="P16" i="60"/>
  <c r="P28" i="60" s="1"/>
  <c r="AQ20" i="64"/>
  <c r="D19" i="32"/>
  <c r="AL45" i="32"/>
  <c r="Z43" i="32"/>
  <c r="AI77" i="10"/>
  <c r="AO18" i="101"/>
  <c r="AQ10" i="45"/>
  <c r="AL8" i="45"/>
  <c r="AQ10" i="41"/>
  <c r="AL8" i="41"/>
  <c r="AQ10" i="69"/>
  <c r="AL8" i="69"/>
  <c r="AF60" i="10"/>
  <c r="AA16" i="104"/>
  <c r="AA71" i="104"/>
  <c r="E68" i="71"/>
  <c r="E13" i="71"/>
  <c r="R45" i="32"/>
  <c r="AH43" i="45"/>
  <c r="AO18" i="45"/>
  <c r="D77" i="10"/>
  <c r="T14" i="104"/>
  <c r="T69" i="104"/>
  <c r="AO18" i="48"/>
  <c r="K77" i="10"/>
  <c r="J43" i="32"/>
  <c r="AN125" i="33"/>
  <c r="AN31" i="33"/>
  <c r="AY93" i="32"/>
  <c r="AN77" i="33"/>
  <c r="AF17" i="54"/>
  <c r="AB17" i="54"/>
  <c r="Q77" i="10"/>
  <c r="AO18" i="64"/>
  <c r="AQ15" i="101"/>
  <c r="AO8" i="101"/>
  <c r="AA69" i="104"/>
  <c r="AA14" i="104"/>
  <c r="AH121" i="33"/>
  <c r="AK18" i="41"/>
  <c r="C73" i="10"/>
  <c r="L16" i="98"/>
  <c r="L71" i="98"/>
  <c r="AL20" i="16"/>
  <c r="BR10" i="16"/>
  <c r="Z71" i="104"/>
  <c r="Z16" i="104"/>
  <c r="AQ20" i="90"/>
  <c r="AC16" i="60"/>
  <c r="AC28" i="60" s="1"/>
  <c r="G73" i="10"/>
  <c r="AK18" i="52"/>
  <c r="Q59" i="10"/>
  <c r="AD43" i="64"/>
  <c r="AQ15" i="46"/>
  <c r="AO8" i="46"/>
  <c r="Q16" i="60"/>
  <c r="Q28" i="60" s="1"/>
  <c r="AQ20" i="69"/>
  <c r="Y15" i="60"/>
  <c r="Y27" i="60" s="1"/>
  <c r="AQ22" i="84"/>
  <c r="N45" i="32"/>
  <c r="C71" i="71"/>
  <c r="C16" i="71"/>
  <c r="L16" i="60"/>
  <c r="L28" i="60" s="1"/>
  <c r="AQ20" i="46"/>
  <c r="P69" i="104"/>
  <c r="P14" i="104"/>
  <c r="W68" i="104"/>
  <c r="W13" i="104"/>
  <c r="X71" i="98"/>
  <c r="X16" i="98"/>
  <c r="T155" i="10"/>
  <c r="T12" i="10"/>
  <c r="AG69" i="71"/>
  <c r="AG14" i="71"/>
  <c r="P16" i="71"/>
  <c r="P71" i="71"/>
  <c r="AD69" i="71"/>
  <c r="AD14" i="71"/>
  <c r="AH43" i="55"/>
  <c r="AO18" i="55"/>
  <c r="N77" i="10"/>
  <c r="X13" i="71"/>
  <c r="X68" i="71"/>
  <c r="F71" i="104"/>
  <c r="F16" i="104"/>
  <c r="AL8" i="56"/>
  <c r="AQ10" i="56"/>
  <c r="V14" i="98"/>
  <c r="V69" i="98"/>
  <c r="AJ19" i="52"/>
  <c r="AM19" i="52"/>
  <c r="AQ19" i="52" s="1"/>
  <c r="AO8" i="90"/>
  <c r="AQ15" i="90"/>
  <c r="T68" i="71"/>
  <c r="T13" i="71"/>
  <c r="AK18" i="69"/>
  <c r="R73" i="10"/>
  <c r="R16" i="98"/>
  <c r="R71" i="98"/>
  <c r="C16" i="60"/>
  <c r="C28" i="60" s="1"/>
  <c r="AQ20" i="45"/>
  <c r="Y42" i="32"/>
  <c r="AF69" i="71"/>
  <c r="AF14" i="71"/>
  <c r="AK8" i="50"/>
  <c r="AQ9" i="50"/>
  <c r="AC69" i="98"/>
  <c r="AC14" i="98"/>
  <c r="AE16" i="60"/>
  <c r="AE28" i="60" s="1"/>
  <c r="AQ20" i="96"/>
  <c r="AB121" i="33"/>
  <c r="S116" i="33"/>
  <c r="S89" i="33"/>
  <c r="S43" i="33"/>
  <c r="N42" i="32"/>
  <c r="AA68" i="71"/>
  <c r="AA13" i="71"/>
  <c r="R77" i="33"/>
  <c r="R31" i="33"/>
  <c r="R125" i="33"/>
  <c r="AP116" i="33"/>
  <c r="BC105" i="32"/>
  <c r="AP43" i="33"/>
  <c r="AP89" i="33"/>
  <c r="AH16" i="104"/>
  <c r="AH71" i="104"/>
  <c r="S71" i="71"/>
  <c r="S16" i="71"/>
  <c r="AB71" i="104"/>
  <c r="AB16" i="104"/>
  <c r="W121" i="33"/>
  <c r="AI77" i="33"/>
  <c r="AI125" i="33"/>
  <c r="AI31" i="33"/>
  <c r="AO93" i="32"/>
  <c r="F69" i="104"/>
  <c r="F14" i="104"/>
  <c r="K45" i="32"/>
  <c r="X60" i="10"/>
  <c r="L14" i="98"/>
  <c r="L69" i="98"/>
  <c r="AB68" i="104"/>
  <c r="AB13" i="104"/>
  <c r="U71" i="98"/>
  <c r="U16" i="98"/>
  <c r="Q125" i="33"/>
  <c r="Q77" i="33"/>
  <c r="Q31" i="33"/>
  <c r="U12" i="10"/>
  <c r="U155" i="10"/>
  <c r="AL8" i="85"/>
  <c r="AQ10" i="85"/>
  <c r="AF17" i="101"/>
  <c r="AB17" i="101"/>
  <c r="Y71" i="104"/>
  <c r="Y16" i="104"/>
  <c r="R121" i="33"/>
  <c r="S73" i="10"/>
  <c r="AK18" i="72"/>
  <c r="AE69" i="71"/>
  <c r="AE14" i="71"/>
  <c r="K69" i="71"/>
  <c r="K14" i="71"/>
  <c r="AK18" i="46"/>
  <c r="M73" i="10"/>
  <c r="AK18" i="100"/>
  <c r="AH73" i="10"/>
  <c r="H7" i="33" l="1"/>
  <c r="AK37" i="89"/>
  <c r="AV37" i="103"/>
  <c r="AD40" i="10"/>
  <c r="AD87" i="10" s="1"/>
  <c r="AN37" i="89"/>
  <c r="AH40" i="10"/>
  <c r="AH87" i="10" s="1"/>
  <c r="AO37" i="103"/>
  <c r="AQ37" i="103"/>
  <c r="AC37" i="103"/>
  <c r="U40" i="10"/>
  <c r="U87" i="10" s="1"/>
  <c r="AE37" i="89"/>
  <c r="Q37" i="89"/>
  <c r="AE37" i="103"/>
  <c r="AF37" i="103"/>
  <c r="AS37" i="103"/>
  <c r="AO37" i="89"/>
  <c r="AH39" i="33"/>
  <c r="AH85" i="33"/>
  <c r="AR39" i="33"/>
  <c r="AQ85" i="33"/>
  <c r="AI70" i="71"/>
  <c r="S39" i="33"/>
  <c r="Y40" i="10"/>
  <c r="Y87" i="10" s="1"/>
  <c r="AF37" i="89"/>
  <c r="AM37" i="103"/>
  <c r="AP37" i="103"/>
  <c r="X40" i="10"/>
  <c r="X87" i="10" s="1"/>
  <c r="AB37" i="89"/>
  <c r="N40" i="10"/>
  <c r="N87" i="10" s="1"/>
  <c r="U37" i="89"/>
  <c r="AM158" i="44"/>
  <c r="C15" i="71"/>
  <c r="AN158" i="44"/>
  <c r="I7" i="33"/>
  <c r="AH37" i="89"/>
  <c r="S85" i="33"/>
  <c r="R85" i="33"/>
  <c r="N85" i="33"/>
  <c r="AJ39" i="33"/>
  <c r="T85" i="33"/>
  <c r="AD39" i="33"/>
  <c r="AD85" i="33"/>
  <c r="Z39" i="33"/>
  <c r="AO85" i="33"/>
  <c r="AF85" i="33"/>
  <c r="C15" i="98"/>
  <c r="O39" i="33"/>
  <c r="AC39" i="33"/>
  <c r="O85" i="33"/>
  <c r="L85" i="33"/>
  <c r="X39" i="33"/>
  <c r="AP85" i="33"/>
  <c r="W85" i="33"/>
  <c r="AR85" i="33"/>
  <c r="W39" i="33"/>
  <c r="T39" i="33"/>
  <c r="M85" i="33"/>
  <c r="L39" i="33"/>
  <c r="AL85" i="33"/>
  <c r="Y85" i="33"/>
  <c r="AQ39" i="33"/>
  <c r="AG85" i="33"/>
  <c r="AG39" i="33"/>
  <c r="AA39" i="33"/>
  <c r="M39" i="33"/>
  <c r="AK85" i="33"/>
  <c r="Y39" i="33"/>
  <c r="AC85" i="33"/>
  <c r="AB85" i="33"/>
  <c r="AA85" i="33"/>
  <c r="G101" i="32"/>
  <c r="H101" i="32" s="1"/>
  <c r="C70" i="104"/>
  <c r="AJ85" i="33"/>
  <c r="AP39" i="33"/>
  <c r="AK39" i="33"/>
  <c r="U85" i="33"/>
  <c r="AN39" i="33"/>
  <c r="U39" i="33"/>
  <c r="Z85" i="33"/>
  <c r="Q39" i="33"/>
  <c r="AI85" i="33"/>
  <c r="AE85" i="33"/>
  <c r="AE39" i="33"/>
  <c r="N39" i="33"/>
  <c r="AM85" i="33"/>
  <c r="R39" i="33"/>
  <c r="P39" i="33"/>
  <c r="AM39" i="33"/>
  <c r="V85" i="33"/>
  <c r="AI39" i="33"/>
  <c r="AF39" i="33"/>
  <c r="AO39" i="33"/>
  <c r="AN85" i="33"/>
  <c r="AL39" i="33"/>
  <c r="AB39" i="33"/>
  <c r="X85" i="33"/>
  <c r="P85" i="33"/>
  <c r="Q85" i="33"/>
  <c r="AJ117" i="10"/>
  <c r="AL158" i="44"/>
  <c r="R40" i="10"/>
  <c r="R87" i="10" s="1"/>
  <c r="AR37" i="103"/>
  <c r="X37" i="103"/>
  <c r="N37" i="89"/>
  <c r="O40" i="10"/>
  <c r="O87" i="10" s="1"/>
  <c r="AY37" i="103"/>
  <c r="AG37" i="103"/>
  <c r="AG40" i="10"/>
  <c r="AG87" i="10" s="1"/>
  <c r="AZ37" i="103"/>
  <c r="AD37" i="89"/>
  <c r="P40" i="10"/>
  <c r="P87" i="10" s="1"/>
  <c r="V37" i="89"/>
  <c r="O37" i="89"/>
  <c r="AK37" i="103"/>
  <c r="AU37" i="103"/>
  <c r="P37" i="89"/>
  <c r="AJ37" i="103"/>
  <c r="J40" i="10"/>
  <c r="J87" i="10" s="1"/>
  <c r="V37" i="103"/>
  <c r="AT37" i="103"/>
  <c r="Z37" i="89"/>
  <c r="Y37" i="89"/>
  <c r="S40" i="10"/>
  <c r="S87" i="10" s="1"/>
  <c r="Z37" i="103"/>
  <c r="AC40" i="10"/>
  <c r="AC87" i="10" s="1"/>
  <c r="AJ37" i="89"/>
  <c r="M37" i="89"/>
  <c r="F40" i="10"/>
  <c r="F87" i="10" s="1"/>
  <c r="D40" i="10"/>
  <c r="D87" i="10" s="1"/>
  <c r="AG37" i="89"/>
  <c r="AJ8" i="90"/>
  <c r="Z40" i="10"/>
  <c r="Z87" i="10" s="1"/>
  <c r="G40" i="10"/>
  <c r="G87" i="10" s="1"/>
  <c r="AI37" i="89"/>
  <c r="Y37" i="103"/>
  <c r="H40" i="10"/>
  <c r="H87" i="10" s="1"/>
  <c r="K37" i="89"/>
  <c r="AH37" i="103"/>
  <c r="W37" i="89"/>
  <c r="W40" i="10"/>
  <c r="W87" i="10" s="1"/>
  <c r="AB40" i="10"/>
  <c r="AB87" i="10" s="1"/>
  <c r="AF40" i="10"/>
  <c r="AF87" i="10" s="1"/>
  <c r="AA37" i="103"/>
  <c r="AE40" i="10"/>
  <c r="AE87" i="10" s="1"/>
  <c r="E40" i="10"/>
  <c r="E87" i="10" s="1"/>
  <c r="AL37" i="103"/>
  <c r="C40" i="10"/>
  <c r="C87" i="10" s="1"/>
  <c r="AW37" i="103"/>
  <c r="X37" i="89"/>
  <c r="AA37" i="89"/>
  <c r="J37" i="89"/>
  <c r="AL37" i="89"/>
  <c r="K40" i="10"/>
  <c r="K87" i="10" s="1"/>
  <c r="T40" i="10"/>
  <c r="T87" i="10" s="1"/>
  <c r="U37" i="103"/>
  <c r="AX37" i="103"/>
  <c r="M40" i="10"/>
  <c r="M87" i="10" s="1"/>
  <c r="AM37" i="89"/>
  <c r="T37" i="89"/>
  <c r="W37" i="103"/>
  <c r="Q40" i="10"/>
  <c r="Q87" i="10" s="1"/>
  <c r="L37" i="89"/>
  <c r="AI37" i="103"/>
  <c r="AO43" i="100"/>
  <c r="I40" i="10"/>
  <c r="I87" i="10" s="1"/>
  <c r="R37" i="89"/>
  <c r="AO43" i="87"/>
  <c r="AM11" i="45"/>
  <c r="AQ11" i="45" s="1"/>
  <c r="AJ11" i="96"/>
  <c r="L40" i="10"/>
  <c r="L87" i="10" s="1"/>
  <c r="S37" i="89"/>
  <c r="AD37" i="103"/>
  <c r="AF8" i="96"/>
  <c r="AF61" i="10" s="1"/>
  <c r="AF10" i="10" s="1"/>
  <c r="AF8" i="84"/>
  <c r="Z61" i="10" s="1"/>
  <c r="Z10" i="10" s="1"/>
  <c r="AJ11" i="84"/>
  <c r="AJ11" i="45"/>
  <c r="AF8" i="56"/>
  <c r="O61" i="10" s="1"/>
  <c r="O10" i="10" s="1"/>
  <c r="AO43" i="55"/>
  <c r="AJ8" i="81"/>
  <c r="AJ8" i="58"/>
  <c r="AJ8" i="47"/>
  <c r="AM11" i="88"/>
  <c r="AM8" i="88" s="1"/>
  <c r="AQ8" i="88" s="1"/>
  <c r="AM11" i="56"/>
  <c r="AQ11" i="56" s="1"/>
  <c r="AJ8" i="64"/>
  <c r="AJ11" i="88"/>
  <c r="AO43" i="99"/>
  <c r="AO43" i="101"/>
  <c r="AJ8" i="45"/>
  <c r="T8" i="100"/>
  <c r="AF11" i="100"/>
  <c r="AM11" i="100" s="1"/>
  <c r="AO43" i="90"/>
  <c r="AO43" i="45"/>
  <c r="AO43" i="49"/>
  <c r="AJ8" i="99"/>
  <c r="AI13" i="71"/>
  <c r="AO43" i="79"/>
  <c r="AO43" i="56"/>
  <c r="AJ8" i="85"/>
  <c r="AJ8" i="50"/>
  <c r="AJ8" i="83"/>
  <c r="AJ8" i="88"/>
  <c r="AO43" i="51"/>
  <c r="AO43" i="69"/>
  <c r="AI68" i="71"/>
  <c r="AM8" i="85"/>
  <c r="AQ8" i="85" s="1"/>
  <c r="AQ11" i="85"/>
  <c r="AQ11" i="83"/>
  <c r="AM8" i="83"/>
  <c r="AQ8" i="83" s="1"/>
  <c r="AF12" i="100"/>
  <c r="AB12" i="100"/>
  <c r="AM8" i="50"/>
  <c r="AQ8" i="50" s="1"/>
  <c r="AQ11" i="50"/>
  <c r="AM11" i="101"/>
  <c r="AJ11" i="101"/>
  <c r="AF8" i="101"/>
  <c r="AM11" i="49"/>
  <c r="AJ11" i="49"/>
  <c r="AF8" i="49"/>
  <c r="AJ11" i="53"/>
  <c r="AF8" i="53"/>
  <c r="AM11" i="53"/>
  <c r="AM11" i="54"/>
  <c r="AJ11" i="54"/>
  <c r="AF8" i="54"/>
  <c r="AM11" i="48"/>
  <c r="AJ11" i="48"/>
  <c r="AF8" i="48"/>
  <c r="AO43" i="85"/>
  <c r="AO43" i="88"/>
  <c r="AF8" i="41"/>
  <c r="AM11" i="41"/>
  <c r="AJ11" i="41"/>
  <c r="AQ11" i="99"/>
  <c r="AM8" i="99"/>
  <c r="AQ8" i="99" s="1"/>
  <c r="AJ11" i="69"/>
  <c r="AM11" i="69"/>
  <c r="AF8" i="69"/>
  <c r="AF8" i="72"/>
  <c r="AJ11" i="72"/>
  <c r="AM11" i="72"/>
  <c r="AQ11" i="64"/>
  <c r="AM8" i="64"/>
  <c r="AQ8" i="64" s="1"/>
  <c r="AM8" i="90"/>
  <c r="AQ8" i="90" s="1"/>
  <c r="AQ11" i="90"/>
  <c r="AG147" i="10"/>
  <c r="AG10" i="10"/>
  <c r="AM8" i="84"/>
  <c r="AQ8" i="84" s="1"/>
  <c r="AQ11" i="84"/>
  <c r="AM11" i="52"/>
  <c r="AF8" i="52"/>
  <c r="AJ11" i="52"/>
  <c r="Q147" i="10"/>
  <c r="Q10" i="10"/>
  <c r="AO43" i="82"/>
  <c r="AJ11" i="79"/>
  <c r="AF8" i="79"/>
  <c r="AM11" i="79"/>
  <c r="AM11" i="51"/>
  <c r="AJ11" i="51"/>
  <c r="AF8" i="51"/>
  <c r="AM11" i="55"/>
  <c r="AF8" i="55"/>
  <c r="AJ11" i="55"/>
  <c r="AD147" i="10"/>
  <c r="AD10" i="10"/>
  <c r="AM11" i="46"/>
  <c r="AF8" i="46"/>
  <c r="AJ11" i="46"/>
  <c r="AJ11" i="77"/>
  <c r="AM11" i="77"/>
  <c r="AF8" i="77"/>
  <c r="W10" i="10"/>
  <c r="W147" i="10"/>
  <c r="AM11" i="73"/>
  <c r="AF8" i="73"/>
  <c r="AJ11" i="73"/>
  <c r="AO158" i="44"/>
  <c r="P147" i="10"/>
  <c r="P10" i="10"/>
  <c r="AO43" i="48"/>
  <c r="AO43" i="52"/>
  <c r="AJ11" i="87"/>
  <c r="AM11" i="87"/>
  <c r="AF8" i="87"/>
  <c r="AQ11" i="96"/>
  <c r="AM8" i="96"/>
  <c r="AQ8" i="96" s="1"/>
  <c r="AQ11" i="81"/>
  <c r="AM8" i="81"/>
  <c r="AQ8" i="81" s="1"/>
  <c r="L10" i="10"/>
  <c r="L147" i="10"/>
  <c r="BQ9" i="16"/>
  <c r="AL19" i="16"/>
  <c r="AA10" i="10"/>
  <c r="AA147" i="10"/>
  <c r="Y10" i="10"/>
  <c r="Y147" i="10"/>
  <c r="AJ11" i="95"/>
  <c r="AM11" i="95"/>
  <c r="AF8" i="95"/>
  <c r="AC10" i="10"/>
  <c r="AC147" i="10"/>
  <c r="I147" i="10"/>
  <c r="I10" i="10"/>
  <c r="AM8" i="58"/>
  <c r="AQ8" i="58" s="1"/>
  <c r="AQ11" i="58"/>
  <c r="AO43" i="83"/>
  <c r="AM11" i="82"/>
  <c r="AJ11" i="82"/>
  <c r="AF8" i="82"/>
  <c r="X8" i="100"/>
  <c r="AB8" i="100" s="1"/>
  <c r="D147" i="10"/>
  <c r="D10" i="10"/>
  <c r="AM8" i="47"/>
  <c r="AQ8" i="47" s="1"/>
  <c r="AQ11" i="47"/>
  <c r="N26" i="10"/>
  <c r="N157" i="10"/>
  <c r="N154" i="10" s="1"/>
  <c r="AM17" i="84"/>
  <c r="AQ17" i="84" s="1"/>
  <c r="Z68" i="10"/>
  <c r="AJ17" i="84"/>
  <c r="AJ77" i="10"/>
  <c r="AH26" i="10"/>
  <c r="AH157" i="10"/>
  <c r="T22" i="10"/>
  <c r="T141" i="10"/>
  <c r="AM17" i="77"/>
  <c r="AQ17" i="77" s="1"/>
  <c r="U68" i="10"/>
  <c r="AJ17" i="77"/>
  <c r="AD15" i="32"/>
  <c r="AG18" i="89"/>
  <c r="AC497" i="97"/>
  <c r="BK12" i="98"/>
  <c r="AC15" i="32"/>
  <c r="AR18" i="103"/>
  <c r="Z105" i="10"/>
  <c r="BJ12" i="71"/>
  <c r="BK12" i="104"/>
  <c r="Q12" i="10"/>
  <c r="U12" i="32" s="1"/>
  <c r="Q155" i="10"/>
  <c r="V26" i="10"/>
  <c r="V157" i="10"/>
  <c r="V154" i="10" s="1"/>
  <c r="AK43" i="41"/>
  <c r="AI155" i="10"/>
  <c r="AI12" i="10"/>
  <c r="AJ63" i="10"/>
  <c r="G9" i="10"/>
  <c r="G143" i="10"/>
  <c r="L58" i="10"/>
  <c r="L8" i="10"/>
  <c r="L139" i="10"/>
  <c r="N8" i="10"/>
  <c r="N139" i="10"/>
  <c r="AF22" i="10"/>
  <c r="AF54" i="13" s="1"/>
  <c r="AF141" i="10"/>
  <c r="AF138" i="10" s="1"/>
  <c r="AJ105" i="32"/>
  <c r="AJ119" i="32" s="1"/>
  <c r="AI119" i="32"/>
  <c r="W9" i="10"/>
  <c r="W58" i="10"/>
  <c r="W143" i="10"/>
  <c r="AO43" i="50"/>
  <c r="X18" i="103"/>
  <c r="AP12" i="71"/>
  <c r="AQ12" i="104"/>
  <c r="I15" i="32"/>
  <c r="F13" i="59"/>
  <c r="I497" i="97"/>
  <c r="M18" i="89"/>
  <c r="F105" i="10"/>
  <c r="F14" i="10"/>
  <c r="AQ12" i="98"/>
  <c r="Y26" i="10"/>
  <c r="Y157" i="10"/>
  <c r="Y155" i="10"/>
  <c r="Y12" i="10"/>
  <c r="P9" i="10"/>
  <c r="P143" i="10"/>
  <c r="AK43" i="56"/>
  <c r="E139" i="10"/>
  <c r="E8" i="10"/>
  <c r="J143" i="10"/>
  <c r="J9" i="10"/>
  <c r="AW123" i="32"/>
  <c r="AX93" i="32"/>
  <c r="AX123" i="32" s="1"/>
  <c r="F8" i="10"/>
  <c r="F139" i="10"/>
  <c r="S26" i="10"/>
  <c r="S157" i="10"/>
  <c r="AO43" i="54"/>
  <c r="H93" i="32"/>
  <c r="AP105" i="32"/>
  <c r="AP119" i="32" s="1"/>
  <c r="AO119" i="32"/>
  <c r="AH25" i="97"/>
  <c r="AW29" i="103"/>
  <c r="AE120" i="10"/>
  <c r="BP9" i="98"/>
  <c r="BP9" i="104"/>
  <c r="AL29" i="89"/>
  <c r="BO9" i="71"/>
  <c r="AH12" i="32"/>
  <c r="N143" i="10"/>
  <c r="N9" i="10"/>
  <c r="AB143" i="10"/>
  <c r="AB9" i="10"/>
  <c r="AO43" i="47"/>
  <c r="AS12" i="104"/>
  <c r="AR12" i="71"/>
  <c r="H105" i="10"/>
  <c r="K497" i="97"/>
  <c r="H13" i="59"/>
  <c r="AS12" i="98"/>
  <c r="Z18" i="103"/>
  <c r="H14" i="10"/>
  <c r="O18" i="89"/>
  <c r="K15" i="32"/>
  <c r="AH12" i="10"/>
  <c r="AH155" i="10"/>
  <c r="M141" i="10"/>
  <c r="M22" i="10"/>
  <c r="S141" i="10"/>
  <c r="S22" i="10"/>
  <c r="AI68" i="10"/>
  <c r="AM17" i="101"/>
  <c r="AQ17" i="101" s="1"/>
  <c r="AJ17" i="101"/>
  <c r="J26" i="10"/>
  <c r="J157" i="10"/>
  <c r="J154" i="10" s="1"/>
  <c r="BG119" i="32"/>
  <c r="BH105" i="32"/>
  <c r="BH119" i="32" s="1"/>
  <c r="AT9" i="104"/>
  <c r="AA29" i="103"/>
  <c r="L12" i="32"/>
  <c r="AS9" i="71"/>
  <c r="L25" i="97"/>
  <c r="P29" i="89"/>
  <c r="I10" i="59"/>
  <c r="AT9" i="98"/>
  <c r="I120" i="10"/>
  <c r="AK43" i="50"/>
  <c r="AZ93" i="32"/>
  <c r="AZ123" i="32" s="1"/>
  <c r="AY123" i="32"/>
  <c r="K157" i="10"/>
  <c r="K26" i="10"/>
  <c r="AM17" i="69"/>
  <c r="AQ17" i="69" s="1"/>
  <c r="R68" i="10"/>
  <c r="AJ17" i="69"/>
  <c r="AW12" i="71"/>
  <c r="P497" i="97"/>
  <c r="M13" i="59"/>
  <c r="T18" i="89"/>
  <c r="M105" i="10"/>
  <c r="AE18" i="103"/>
  <c r="P15" i="32"/>
  <c r="AX12" i="104"/>
  <c r="AX12" i="98"/>
  <c r="Z12" i="10"/>
  <c r="Z155" i="10"/>
  <c r="K97" i="32"/>
  <c r="AS116" i="33"/>
  <c r="AD58" i="10"/>
  <c r="AD9" i="10"/>
  <c r="AD143" i="10"/>
  <c r="BF105" i="32"/>
  <c r="BF119" i="32" s="1"/>
  <c r="BE119" i="32"/>
  <c r="T139" i="10"/>
  <c r="T8" i="10"/>
  <c r="L12" i="10"/>
  <c r="P12" i="32" s="1"/>
  <c r="L155" i="10"/>
  <c r="K105" i="32"/>
  <c r="I157" i="10"/>
  <c r="I154" i="10" s="1"/>
  <c r="I26" i="10"/>
  <c r="AY12" i="71"/>
  <c r="O105" i="10"/>
  <c r="O13" i="59"/>
  <c r="AG18" i="103"/>
  <c r="R15" i="32"/>
  <c r="AZ12" i="98"/>
  <c r="O14" i="10"/>
  <c r="V18" i="89"/>
  <c r="AZ12" i="104"/>
  <c r="R497" i="97"/>
  <c r="F141" i="10"/>
  <c r="F22" i="10"/>
  <c r="N141" i="10"/>
  <c r="N22" i="10"/>
  <c r="AU123" i="32"/>
  <c r="AV93" i="32"/>
  <c r="AV123" i="32" s="1"/>
  <c r="J68" i="10"/>
  <c r="AM17" i="49"/>
  <c r="AQ17" i="49" s="1"/>
  <c r="AJ17" i="49"/>
  <c r="X155" i="10"/>
  <c r="X12" i="10"/>
  <c r="AO43" i="72"/>
  <c r="T15" i="32"/>
  <c r="AZ12" i="71"/>
  <c r="S497" i="97"/>
  <c r="BA12" i="98"/>
  <c r="P14" i="10"/>
  <c r="P13" i="59"/>
  <c r="AH18" i="103"/>
  <c r="W18" i="89"/>
  <c r="BA12" i="104"/>
  <c r="S15" i="32"/>
  <c r="P105" i="10"/>
  <c r="K93" i="32"/>
  <c r="T29" i="89"/>
  <c r="AX9" i="98"/>
  <c r="M120" i="10"/>
  <c r="AE29" i="103"/>
  <c r="AX9" i="104"/>
  <c r="P25" i="97"/>
  <c r="M10" i="59"/>
  <c r="AW9" i="71"/>
  <c r="AH105" i="32"/>
  <c r="AH119" i="32" s="1"/>
  <c r="AG119" i="32"/>
  <c r="L157" i="10"/>
  <c r="L26" i="10"/>
  <c r="W18" i="103"/>
  <c r="E105" i="10"/>
  <c r="AP12" i="104"/>
  <c r="L18" i="89"/>
  <c r="AP12" i="98"/>
  <c r="H497" i="97"/>
  <c r="E13" i="59"/>
  <c r="AO12" i="71"/>
  <c r="H15" i="32"/>
  <c r="AN14" i="104"/>
  <c r="AN14" i="98"/>
  <c r="C113" i="10"/>
  <c r="J24" i="89"/>
  <c r="AM14" i="71"/>
  <c r="U24" i="103"/>
  <c r="C15" i="59"/>
  <c r="AD141" i="10"/>
  <c r="AD138" i="10" s="1"/>
  <c r="AD22" i="10"/>
  <c r="AD54" i="13" s="1"/>
  <c r="AM123" i="32"/>
  <c r="AN93" i="32"/>
  <c r="AN123" i="32" s="1"/>
  <c r="P139" i="10"/>
  <c r="P58" i="10"/>
  <c r="P8" i="10"/>
  <c r="BG9" i="71"/>
  <c r="AD29" i="89"/>
  <c r="AO29" i="103"/>
  <c r="Z25" i="97"/>
  <c r="BH9" i="98"/>
  <c r="Z12" i="32"/>
  <c r="W120" i="10"/>
  <c r="BH9" i="104"/>
  <c r="R143" i="10"/>
  <c r="R9" i="10"/>
  <c r="X143" i="10"/>
  <c r="X9" i="10"/>
  <c r="AA29" i="89"/>
  <c r="AL29" i="103"/>
  <c r="BE9" i="104"/>
  <c r="BD9" i="71"/>
  <c r="BE9" i="98"/>
  <c r="W25" i="97"/>
  <c r="T120" i="10"/>
  <c r="AA26" i="10"/>
  <c r="AA157" i="10"/>
  <c r="AI124" i="32"/>
  <c r="AJ97" i="32"/>
  <c r="AJ124" i="32" s="1"/>
  <c r="AM124" i="32"/>
  <c r="AN97" i="32"/>
  <c r="AN124" i="32" s="1"/>
  <c r="BR12" i="104"/>
  <c r="AJ497" i="97"/>
  <c r="AG105" i="10"/>
  <c r="AG14" i="10"/>
  <c r="BQ12" i="71"/>
  <c r="BR12" i="98"/>
  <c r="AJ15" i="32"/>
  <c r="AN18" i="89"/>
  <c r="AY18" i="103"/>
  <c r="Q8" i="10"/>
  <c r="Q139" i="10"/>
  <c r="Q58" i="10"/>
  <c r="C141" i="10"/>
  <c r="C22" i="10"/>
  <c r="AF143" i="10"/>
  <c r="AF9" i="10"/>
  <c r="BN9" i="71"/>
  <c r="BO9" i="104"/>
  <c r="AG25" i="97"/>
  <c r="AK29" i="89"/>
  <c r="AG12" i="32"/>
  <c r="BO9" i="98"/>
  <c r="AD120" i="10"/>
  <c r="AV29" i="103"/>
  <c r="O9" i="10"/>
  <c r="O143" i="10"/>
  <c r="BC123" i="32"/>
  <c r="BD93" i="32"/>
  <c r="BD123" i="32" s="1"/>
  <c r="AB68" i="10"/>
  <c r="AM17" i="87"/>
  <c r="AQ17" i="87" s="1"/>
  <c r="AJ17" i="87"/>
  <c r="D9" i="10"/>
  <c r="D143" i="10"/>
  <c r="AY124" i="32"/>
  <c r="AZ97" i="32"/>
  <c r="AZ124" i="32" s="1"/>
  <c r="D22" i="10"/>
  <c r="D141" i="10"/>
  <c r="M497" i="97"/>
  <c r="AU12" i="104"/>
  <c r="AB18" i="103"/>
  <c r="AU12" i="98"/>
  <c r="J13" i="59"/>
  <c r="Q18" i="89"/>
  <c r="M15" i="32"/>
  <c r="AT12" i="71"/>
  <c r="J105" i="10"/>
  <c r="G157" i="10"/>
  <c r="G154" i="10" s="1"/>
  <c r="G26" i="10"/>
  <c r="AD157" i="10"/>
  <c r="AD154" i="10" s="1"/>
  <c r="AD26" i="10"/>
  <c r="BH93" i="32"/>
  <c r="BH123" i="32" s="1"/>
  <c r="BG123" i="32"/>
  <c r="AE123" i="32"/>
  <c r="AF93" i="32"/>
  <c r="AF123" i="32" s="1"/>
  <c r="BA123" i="32"/>
  <c r="BB93" i="32"/>
  <c r="BB123" i="32" s="1"/>
  <c r="K105" i="10"/>
  <c r="AV12" i="104"/>
  <c r="AU12" i="71"/>
  <c r="N15" i="32"/>
  <c r="N497" i="97"/>
  <c r="K13" i="59"/>
  <c r="AV12" i="98"/>
  <c r="R18" i="89"/>
  <c r="K14" i="10"/>
  <c r="AC18" i="103"/>
  <c r="AX97" i="32"/>
  <c r="AX124" i="32" s="1"/>
  <c r="AW124" i="32"/>
  <c r="AK43" i="72"/>
  <c r="AB22" i="10"/>
  <c r="AB54" i="13" s="1"/>
  <c r="AB141" i="10"/>
  <c r="AB138" i="10" s="1"/>
  <c r="O157" i="10"/>
  <c r="O154" i="10" s="1"/>
  <c r="O26" i="10"/>
  <c r="T9" i="10"/>
  <c r="T143" i="10"/>
  <c r="C12" i="10"/>
  <c r="G12" i="32" s="1"/>
  <c r="C155" i="10"/>
  <c r="V143" i="10"/>
  <c r="V9" i="10"/>
  <c r="K155" i="10"/>
  <c r="K12" i="10"/>
  <c r="S9" i="10"/>
  <c r="S143" i="10"/>
  <c r="Q143" i="10"/>
  <c r="Q9" i="10"/>
  <c r="H141" i="10"/>
  <c r="H22" i="10"/>
  <c r="X22" i="10"/>
  <c r="X54" i="13" s="1"/>
  <c r="X141" i="10"/>
  <c r="X138" i="10" s="1"/>
  <c r="C13" i="59"/>
  <c r="AN12" i="98"/>
  <c r="AN12" i="104"/>
  <c r="F497" i="97"/>
  <c r="AM12" i="71"/>
  <c r="J18" i="89"/>
  <c r="C105" i="10"/>
  <c r="U18" i="103"/>
  <c r="C14" i="10"/>
  <c r="AK43" i="49"/>
  <c r="AK43" i="69"/>
  <c r="AG22" i="10"/>
  <c r="AG141" i="10"/>
  <c r="AG138" i="10" s="1"/>
  <c r="AQ9" i="98"/>
  <c r="X29" i="103"/>
  <c r="AP9" i="71"/>
  <c r="I25" i="97"/>
  <c r="AQ9" i="104"/>
  <c r="I12" i="32"/>
  <c r="M29" i="89"/>
  <c r="F120" i="10"/>
  <c r="F10" i="59"/>
  <c r="AK43" i="51"/>
  <c r="U9" i="10"/>
  <c r="U143" i="10"/>
  <c r="W141" i="10"/>
  <c r="W138" i="10" s="1"/>
  <c r="W22" i="10"/>
  <c r="W54" i="13" s="1"/>
  <c r="Q22" i="10"/>
  <c r="Q141" i="10"/>
  <c r="AA18" i="89"/>
  <c r="BD12" i="71"/>
  <c r="T105" i="10"/>
  <c r="W497" i="97"/>
  <c r="T14" i="10"/>
  <c r="W15" i="32"/>
  <c r="AL18" i="103"/>
  <c r="BE12" i="98"/>
  <c r="BE12" i="104"/>
  <c r="AO43" i="77"/>
  <c r="BA124" i="32"/>
  <c r="BB97" i="32"/>
  <c r="BB124" i="32" s="1"/>
  <c r="AC58" i="10"/>
  <c r="AC143" i="10"/>
  <c r="AC9" i="10"/>
  <c r="AU9" i="104"/>
  <c r="J120" i="10"/>
  <c r="AT9" i="71"/>
  <c r="M25" i="97"/>
  <c r="AU9" i="98"/>
  <c r="Q29" i="89"/>
  <c r="M12" i="32"/>
  <c r="J10" i="59"/>
  <c r="AB29" i="103"/>
  <c r="AK124" i="32"/>
  <c r="AL97" i="32"/>
  <c r="AL124" i="32" s="1"/>
  <c r="M8" i="10"/>
  <c r="M139" i="10"/>
  <c r="AO43" i="84"/>
  <c r="U497" i="97"/>
  <c r="U15" i="32"/>
  <c r="AJ18" i="103"/>
  <c r="BB12" i="71"/>
  <c r="BC12" i="104"/>
  <c r="Y18" i="89"/>
  <c r="R105" i="10"/>
  <c r="BC12" i="98"/>
  <c r="S139" i="10"/>
  <c r="S8" i="10"/>
  <c r="AQ119" i="32"/>
  <c r="AR105" i="32"/>
  <c r="AR119" i="32" s="1"/>
  <c r="S18" i="89"/>
  <c r="L105" i="10"/>
  <c r="AW12" i="98"/>
  <c r="AD18" i="103"/>
  <c r="L14" i="10"/>
  <c r="O497" i="97"/>
  <c r="AW12" i="104"/>
  <c r="AV12" i="71"/>
  <c r="O15" i="32"/>
  <c r="L13" i="59"/>
  <c r="BB105" i="32"/>
  <c r="BB119" i="32" s="1"/>
  <c r="BA119" i="32"/>
  <c r="J139" i="10"/>
  <c r="J8" i="10"/>
  <c r="C26" i="10"/>
  <c r="C157" i="10"/>
  <c r="AK43" i="52"/>
  <c r="F143" i="10"/>
  <c r="F9" i="10"/>
  <c r="AI22" i="10"/>
  <c r="AI54" i="13" s="1"/>
  <c r="AJ73" i="10"/>
  <c r="AI141" i="10"/>
  <c r="AI138" i="10" s="1"/>
  <c r="H8" i="10"/>
  <c r="H139" i="10"/>
  <c r="U22" i="10"/>
  <c r="U54" i="13" s="1"/>
  <c r="U141" i="10"/>
  <c r="U138" i="10" s="1"/>
  <c r="AK43" i="48"/>
  <c r="U26" i="10"/>
  <c r="U157" i="10"/>
  <c r="U154" i="10" s="1"/>
  <c r="C9" i="10"/>
  <c r="C143" i="10"/>
  <c r="I143" i="10"/>
  <c r="I9" i="10"/>
  <c r="AH141" i="10"/>
  <c r="AH138" i="10" s="1"/>
  <c r="AH22" i="10"/>
  <c r="AH54" i="13" s="1"/>
  <c r="AP93" i="32"/>
  <c r="AP123" i="32" s="1"/>
  <c r="AO123" i="32"/>
  <c r="AO43" i="64"/>
  <c r="L9" i="10"/>
  <c r="L143" i="10"/>
  <c r="AF18" i="89"/>
  <c r="Y14" i="10"/>
  <c r="AQ18" i="103"/>
  <c r="BI12" i="71"/>
  <c r="AB15" i="32"/>
  <c r="Y105" i="10"/>
  <c r="AB497" i="97"/>
  <c r="BJ12" i="104"/>
  <c r="BJ12" i="98"/>
  <c r="AK43" i="64"/>
  <c r="Z157" i="10"/>
  <c r="Z26" i="10"/>
  <c r="M68" i="10"/>
  <c r="AM17" i="46"/>
  <c r="AQ17" i="46" s="1"/>
  <c r="AJ17" i="46"/>
  <c r="I8" i="10"/>
  <c r="I58" i="10"/>
  <c r="I139" i="10"/>
  <c r="W26" i="10"/>
  <c r="W157" i="10"/>
  <c r="W154" i="10" s="1"/>
  <c r="E9" i="10"/>
  <c r="E143" i="10"/>
  <c r="R12" i="32"/>
  <c r="V29" i="89"/>
  <c r="R25" i="97"/>
  <c r="AZ9" i="98"/>
  <c r="O10" i="59"/>
  <c r="O120" i="10"/>
  <c r="AG29" i="103"/>
  <c r="AY9" i="71"/>
  <c r="AZ9" i="104"/>
  <c r="L22" i="10"/>
  <c r="L141" i="10"/>
  <c r="AL15" i="32"/>
  <c r="AK15" i="32"/>
  <c r="AH105" i="10"/>
  <c r="AK15" i="10"/>
  <c r="BR12" i="71"/>
  <c r="AZ18" i="103"/>
  <c r="BS12" i="104"/>
  <c r="AO18" i="89"/>
  <c r="BS12" i="98"/>
  <c r="AK497" i="97"/>
  <c r="C139" i="10"/>
  <c r="C8" i="10"/>
  <c r="X15" i="32"/>
  <c r="AB18" i="89"/>
  <c r="BE12" i="71"/>
  <c r="U105" i="10"/>
  <c r="X497" i="97"/>
  <c r="BF12" i="98"/>
  <c r="AM18" i="103"/>
  <c r="BF12" i="104"/>
  <c r="AO43" i="41"/>
  <c r="AI46" i="10"/>
  <c r="AJ92" i="10"/>
  <c r="AK43" i="54"/>
  <c r="AM17" i="45"/>
  <c r="AQ17" i="45" s="1"/>
  <c r="D68" i="10"/>
  <c r="AJ17" i="45"/>
  <c r="AK40" i="10"/>
  <c r="AK43" i="73"/>
  <c r="BD97" i="32"/>
  <c r="BD124" i="32" s="1"/>
  <c r="BC124" i="32"/>
  <c r="AB26" i="10"/>
  <c r="AB157" i="10"/>
  <c r="AB154" i="10" s="1"/>
  <c r="S155" i="10"/>
  <c r="S12" i="10"/>
  <c r="V12" i="32" s="1"/>
  <c r="AK43" i="55"/>
  <c r="AK43" i="45"/>
  <c r="H9" i="10"/>
  <c r="H143" i="10"/>
  <c r="AI29" i="89"/>
  <c r="BL9" i="71"/>
  <c r="AE25" i="97"/>
  <c r="AB120" i="10"/>
  <c r="BM9" i="98"/>
  <c r="AT29" i="103"/>
  <c r="BM9" i="104"/>
  <c r="AA9" i="10"/>
  <c r="AA58" i="10"/>
  <c r="AA143" i="10"/>
  <c r="AZ105" i="32"/>
  <c r="AZ119" i="32" s="1"/>
  <c r="AY119" i="32"/>
  <c r="AH143" i="10"/>
  <c r="AH9" i="10"/>
  <c r="AN18" i="103"/>
  <c r="Y15" i="32"/>
  <c r="V14" i="10"/>
  <c r="BF12" i="71"/>
  <c r="BG12" i="104"/>
  <c r="V105" i="10"/>
  <c r="AC18" i="89"/>
  <c r="BG12" i="98"/>
  <c r="Y497" i="97"/>
  <c r="O139" i="10"/>
  <c r="O8" i="10"/>
  <c r="AD97" i="32"/>
  <c r="AD124" i="32" s="1"/>
  <c r="AC124" i="32"/>
  <c r="AO43" i="73"/>
  <c r="L497" i="97"/>
  <c r="L15" i="32"/>
  <c r="AT12" i="98"/>
  <c r="I105" i="10"/>
  <c r="P18" i="89"/>
  <c r="I13" i="59"/>
  <c r="AA18" i="103"/>
  <c r="AS12" i="71"/>
  <c r="AT12" i="104"/>
  <c r="I14" i="10"/>
  <c r="AB105" i="32"/>
  <c r="AB119" i="32" s="1"/>
  <c r="AA119" i="32"/>
  <c r="AK43" i="53"/>
  <c r="E141" i="10"/>
  <c r="E22" i="10"/>
  <c r="X25" i="97"/>
  <c r="X12" i="32"/>
  <c r="AB29" i="89"/>
  <c r="AM29" i="103"/>
  <c r="U120" i="10"/>
  <c r="BF9" i="104"/>
  <c r="BE9" i="71"/>
  <c r="BF9" i="98"/>
  <c r="BD105" i="32"/>
  <c r="BD119" i="32" s="1"/>
  <c r="BC119" i="32"/>
  <c r="G141" i="10"/>
  <c r="G22" i="10"/>
  <c r="Q26" i="10"/>
  <c r="Q157" i="10"/>
  <c r="D157" i="10"/>
  <c r="D154" i="10" s="1"/>
  <c r="D26" i="10"/>
  <c r="AI157" i="10"/>
  <c r="AI26" i="10"/>
  <c r="AK43" i="46"/>
  <c r="M143" i="10"/>
  <c r="M9" i="10"/>
  <c r="BA18" i="103"/>
  <c r="BT12" i="98"/>
  <c r="AI105" i="10"/>
  <c r="AL497" i="97"/>
  <c r="BT12" i="104"/>
  <c r="AP18" i="89"/>
  <c r="C15" i="32"/>
  <c r="AJ15" i="10"/>
  <c r="AL15" i="10"/>
  <c r="AO43" i="53"/>
  <c r="Y29" i="103"/>
  <c r="G10" i="59"/>
  <c r="AQ9" i="71"/>
  <c r="G120" i="10"/>
  <c r="AR9" i="98"/>
  <c r="J25" i="97"/>
  <c r="AR9" i="104"/>
  <c r="J12" i="32"/>
  <c r="N29" i="89"/>
  <c r="M26" i="10"/>
  <c r="M157" i="10"/>
  <c r="M154" i="10" s="1"/>
  <c r="AD93" i="32"/>
  <c r="AD123" i="32" s="1"/>
  <c r="AC123" i="32"/>
  <c r="AO43" i="81"/>
  <c r="AS125" i="33"/>
  <c r="R157" i="10"/>
  <c r="R154" i="10" s="1"/>
  <c r="R26" i="10"/>
  <c r="AS119" i="32"/>
  <c r="AT105" i="32"/>
  <c r="AT119" i="32" s="1"/>
  <c r="H105" i="32"/>
  <c r="BG9" i="98"/>
  <c r="Y25" i="97"/>
  <c r="BF9" i="71"/>
  <c r="V120" i="10"/>
  <c r="AN29" i="103"/>
  <c r="Y12" i="32"/>
  <c r="BG9" i="104"/>
  <c r="AC29" i="89"/>
  <c r="AN105" i="32"/>
  <c r="AN119" i="32" s="1"/>
  <c r="AM119" i="32"/>
  <c r="AS9" i="104"/>
  <c r="H10" i="59"/>
  <c r="H120" i="10"/>
  <c r="K12" i="32"/>
  <c r="K25" i="97"/>
  <c r="AS9" i="98"/>
  <c r="AR9" i="71"/>
  <c r="Z29" i="103"/>
  <c r="O29" i="89"/>
  <c r="BO12" i="98"/>
  <c r="AG15" i="32"/>
  <c r="BO12" i="104"/>
  <c r="AV18" i="103"/>
  <c r="AD14" i="10"/>
  <c r="AG497" i="97"/>
  <c r="AD105" i="10"/>
  <c r="AK18" i="89"/>
  <c r="BN12" i="71"/>
  <c r="BE123" i="32"/>
  <c r="BF93" i="32"/>
  <c r="BF123" i="32" s="1"/>
  <c r="AG26" i="10"/>
  <c r="AG157" i="10"/>
  <c r="K8" i="10"/>
  <c r="K139" i="10"/>
  <c r="AB105" i="10"/>
  <c r="BL12" i="71"/>
  <c r="AE15" i="32"/>
  <c r="AT18" i="103"/>
  <c r="BM12" i="104"/>
  <c r="AE497" i="97"/>
  <c r="BM12" i="98"/>
  <c r="AI18" i="89"/>
  <c r="AA22" i="10"/>
  <c r="AA54" i="13" s="1"/>
  <c r="AA141" i="10"/>
  <c r="AA138" i="10" s="1"/>
  <c r="K22" i="10"/>
  <c r="K141" i="10"/>
  <c r="AH18" i="89"/>
  <c r="AS18" i="103"/>
  <c r="BL12" i="98"/>
  <c r="AD497" i="97"/>
  <c r="AA14" i="10"/>
  <c r="BL12" i="104"/>
  <c r="BK12" i="71"/>
  <c r="AA105" i="10"/>
  <c r="Z141" i="10"/>
  <c r="Z138" i="10" s="1"/>
  <c r="Z22" i="10"/>
  <c r="AR93" i="32"/>
  <c r="AR123" i="32" s="1"/>
  <c r="AQ123" i="32"/>
  <c r="T26" i="10"/>
  <c r="T157" i="10"/>
  <c r="T154" i="10" s="1"/>
  <c r="U25" i="97"/>
  <c r="AJ29" i="103"/>
  <c r="BC9" i="104"/>
  <c r="R120" i="10"/>
  <c r="BC9" i="98"/>
  <c r="Y29" i="89"/>
  <c r="BB9" i="71"/>
  <c r="AB93" i="32"/>
  <c r="AB123" i="32" s="1"/>
  <c r="AA123" i="32"/>
  <c r="AC26" i="10"/>
  <c r="AC157" i="10"/>
  <c r="AC154" i="10" s="1"/>
  <c r="AS123" i="32"/>
  <c r="AT93" i="32"/>
  <c r="AT123" i="32" s="1"/>
  <c r="AO43" i="95"/>
  <c r="AK123" i="32"/>
  <c r="AL93" i="32"/>
  <c r="AL123" i="32" s="1"/>
  <c r="V15" i="32"/>
  <c r="AK18" i="103"/>
  <c r="S14" i="10"/>
  <c r="BD12" i="104"/>
  <c r="BC12" i="71"/>
  <c r="Z18" i="89"/>
  <c r="BD12" i="98"/>
  <c r="V497" i="97"/>
  <c r="S105" i="10"/>
  <c r="P26" i="10"/>
  <c r="P157" i="10"/>
  <c r="AO43" i="96"/>
  <c r="R22" i="10"/>
  <c r="R141" i="10"/>
  <c r="K29" i="89"/>
  <c r="AN9" i="71"/>
  <c r="G25" i="97"/>
  <c r="D120" i="10"/>
  <c r="V29" i="103"/>
  <c r="AO9" i="98"/>
  <c r="D10" i="59"/>
  <c r="AO9" i="104"/>
  <c r="AK43" i="58"/>
  <c r="F157" i="10"/>
  <c r="F154" i="10" s="1"/>
  <c r="F26" i="10"/>
  <c r="AK43" i="47"/>
  <c r="X26" i="10"/>
  <c r="X157" i="10"/>
  <c r="AO43" i="46"/>
  <c r="AA497" i="97"/>
  <c r="AE18" i="89"/>
  <c r="AP18" i="103"/>
  <c r="X14" i="10"/>
  <c r="BI12" i="104"/>
  <c r="BI12" i="98"/>
  <c r="X105" i="10"/>
  <c r="BH12" i="71"/>
  <c r="AA15" i="32"/>
  <c r="AP37" i="89"/>
  <c r="AN174" i="44"/>
  <c r="H22" i="33"/>
  <c r="AM174" i="44"/>
  <c r="I22" i="33"/>
  <c r="BA37" i="103"/>
  <c r="AO174" i="44"/>
  <c r="AL174" i="44"/>
  <c r="AI40" i="10"/>
  <c r="Y141" i="10"/>
  <c r="Y138" i="10" s="1"/>
  <c r="Y22" i="10"/>
  <c r="AY12" i="98"/>
  <c r="Q497" i="97"/>
  <c r="N13" i="59"/>
  <c r="Q15" i="32"/>
  <c r="AY12" i="104"/>
  <c r="N105" i="10"/>
  <c r="N14" i="10"/>
  <c r="AF18" i="103"/>
  <c r="AX12" i="71"/>
  <c r="U18" i="89"/>
  <c r="Y143" i="10"/>
  <c r="Y58" i="10"/>
  <c r="Y9" i="10"/>
  <c r="AA155" i="10"/>
  <c r="AA12" i="10"/>
  <c r="R139" i="10"/>
  <c r="R8" i="10"/>
  <c r="AF29" i="103"/>
  <c r="N10" i="59"/>
  <c r="U29" i="89"/>
  <c r="AY9" i="104"/>
  <c r="Q12" i="32"/>
  <c r="AX9" i="71"/>
  <c r="AY9" i="98"/>
  <c r="N120" i="10"/>
  <c r="Q25" i="97"/>
  <c r="AF105" i="32"/>
  <c r="AF119" i="32" s="1"/>
  <c r="AE119" i="32"/>
  <c r="AX105" i="32"/>
  <c r="AX119" i="32" s="1"/>
  <c r="AW119" i="32"/>
  <c r="O22" i="10"/>
  <c r="O141" i="10"/>
  <c r="V18" i="103"/>
  <c r="G15" i="32"/>
  <c r="AO12" i="104"/>
  <c r="K18" i="89"/>
  <c r="D105" i="10"/>
  <c r="G497" i="97"/>
  <c r="AO12" i="98"/>
  <c r="D13" i="59"/>
  <c r="AN12" i="71"/>
  <c r="I22" i="10"/>
  <c r="I141" i="10"/>
  <c r="X18" i="89"/>
  <c r="Q13" i="59"/>
  <c r="T497" i="97"/>
  <c r="BB12" i="98"/>
  <c r="BB12" i="104"/>
  <c r="Q14" i="10"/>
  <c r="BA12" i="71"/>
  <c r="Q105" i="10"/>
  <c r="AI18" i="103"/>
  <c r="G139" i="10"/>
  <c r="G8" i="10"/>
  <c r="AI71" i="71"/>
  <c r="AG143" i="10"/>
  <c r="AG58" i="10"/>
  <c r="AG9" i="10"/>
  <c r="AC105" i="10"/>
  <c r="AF15" i="32"/>
  <c r="AF497" i="97"/>
  <c r="AU18" i="103"/>
  <c r="AC14" i="10"/>
  <c r="BN12" i="104"/>
  <c r="BN12" i="98"/>
  <c r="BM12" i="71"/>
  <c r="AJ18" i="89"/>
  <c r="AH68" i="10"/>
  <c r="AM17" i="100"/>
  <c r="AQ17" i="100" s="1"/>
  <c r="AJ17" i="100"/>
  <c r="AJ60" i="10"/>
  <c r="AI9" i="10"/>
  <c r="AI143" i="10"/>
  <c r="K143" i="10"/>
  <c r="K9" i="10"/>
  <c r="AD105" i="32"/>
  <c r="AD119" i="32" s="1"/>
  <c r="AC119" i="32"/>
  <c r="P22" i="10"/>
  <c r="P141" i="10"/>
  <c r="J22" i="10"/>
  <c r="J141" i="10"/>
  <c r="AF155" i="10"/>
  <c r="AF12" i="10"/>
  <c r="AE141" i="10"/>
  <c r="AE138" i="10" s="1"/>
  <c r="AE22" i="10"/>
  <c r="AE54" i="13" s="1"/>
  <c r="AE9" i="10"/>
  <c r="AE143" i="10"/>
  <c r="BP12" i="71"/>
  <c r="AX18" i="103"/>
  <c r="AF14" i="10"/>
  <c r="BQ12" i="104"/>
  <c r="BQ12" i="98"/>
  <c r="AI15" i="32"/>
  <c r="AF105" i="10"/>
  <c r="AI497" i="97"/>
  <c r="AM18" i="89"/>
  <c r="AI123" i="32"/>
  <c r="AJ93" i="32"/>
  <c r="AJ123" i="32" s="1"/>
  <c r="D139" i="10"/>
  <c r="D58" i="10"/>
  <c r="D8" i="10"/>
  <c r="AU119" i="32"/>
  <c r="AV105" i="32"/>
  <c r="AV119" i="32" s="1"/>
  <c r="AE26" i="10"/>
  <c r="AE157" i="10"/>
  <c r="AE154" i="10" s="1"/>
  <c r="L29" i="89"/>
  <c r="W29" i="103"/>
  <c r="AP9" i="98"/>
  <c r="E10" i="59"/>
  <c r="AO9" i="71"/>
  <c r="E120" i="10"/>
  <c r="H12" i="32"/>
  <c r="AP9" i="104"/>
  <c r="H25" i="97"/>
  <c r="AL105" i="32"/>
  <c r="AL119" i="32" s="1"/>
  <c r="AK119" i="32"/>
  <c r="AG12" i="10"/>
  <c r="AG155" i="10"/>
  <c r="Y18" i="103"/>
  <c r="J15" i="32"/>
  <c r="J497" i="97"/>
  <c r="AQ12" i="71"/>
  <c r="AR12" i="104"/>
  <c r="G105" i="10"/>
  <c r="AR12" i="98"/>
  <c r="N18" i="89"/>
  <c r="G14" i="10"/>
  <c r="G13" i="59"/>
  <c r="AO43" i="58"/>
  <c r="P12" i="10"/>
  <c r="S12" i="32" s="1"/>
  <c r="P155" i="10"/>
  <c r="AF26" i="10"/>
  <c r="AF157" i="10"/>
  <c r="AM17" i="54"/>
  <c r="AQ17" i="54" s="1"/>
  <c r="E68" i="10"/>
  <c r="AJ17" i="54"/>
  <c r="H26" i="10"/>
  <c r="H157" i="10"/>
  <c r="H154" i="10" s="1"/>
  <c r="AG123" i="32"/>
  <c r="AH93" i="32"/>
  <c r="AH123" i="32" s="1"/>
  <c r="Z497" i="97"/>
  <c r="BH12" i="104"/>
  <c r="W105" i="10"/>
  <c r="BH12" i="98"/>
  <c r="W14" i="10"/>
  <c r="AD18" i="89"/>
  <c r="Z15" i="32"/>
  <c r="AO18" i="103"/>
  <c r="BG12" i="71"/>
  <c r="AK43" i="100"/>
  <c r="AI16" i="71"/>
  <c r="AE14" i="10"/>
  <c r="AL18" i="89"/>
  <c r="AH15" i="32"/>
  <c r="AE105" i="10"/>
  <c r="BP12" i="98"/>
  <c r="BP12" i="104"/>
  <c r="BO12" i="71"/>
  <c r="AW18" i="103"/>
  <c r="AH497" i="97"/>
  <c r="AJ29" i="89"/>
  <c r="BM9" i="71"/>
  <c r="AF25" i="97"/>
  <c r="AC120" i="10"/>
  <c r="AF12" i="32"/>
  <c r="BN9" i="104"/>
  <c r="AU29" i="103"/>
  <c r="BN9" i="98"/>
  <c r="Z9" i="10"/>
  <c r="Z143" i="10"/>
  <c r="V141" i="10"/>
  <c r="V138" i="10" s="1"/>
  <c r="V22" i="10"/>
  <c r="E26" i="10"/>
  <c r="E157" i="10"/>
  <c r="E154" i="10" s="1"/>
  <c r="AC141" i="10"/>
  <c r="AC138" i="10" s="1"/>
  <c r="AC22" i="10"/>
  <c r="Z58" i="10" l="1"/>
  <c r="AF58" i="10"/>
  <c r="AM8" i="45"/>
  <c r="AQ8" i="45" s="1"/>
  <c r="O58" i="10"/>
  <c r="Z147" i="10"/>
  <c r="AJ8" i="56"/>
  <c r="AF147" i="10"/>
  <c r="AJ8" i="84"/>
  <c r="AJ8" i="96"/>
  <c r="O147" i="10"/>
  <c r="AQ11" i="88"/>
  <c r="AM8" i="56"/>
  <c r="AQ8" i="56" s="1"/>
  <c r="L138" i="10"/>
  <c r="AJ11" i="100"/>
  <c r="Q154" i="10"/>
  <c r="AM157" i="10"/>
  <c r="AF8" i="100"/>
  <c r="AH61" i="10" s="1"/>
  <c r="I138" i="10"/>
  <c r="N138" i="10"/>
  <c r="Z154" i="10"/>
  <c r="AH154" i="10"/>
  <c r="AF154" i="10"/>
  <c r="E138" i="10"/>
  <c r="X154" i="10"/>
  <c r="P138" i="10"/>
  <c r="O138" i="10"/>
  <c r="G138" i="10"/>
  <c r="J138" i="10"/>
  <c r="L154" i="10"/>
  <c r="Q138" i="10"/>
  <c r="X61" i="10"/>
  <c r="AJ8" i="82"/>
  <c r="T61" i="10"/>
  <c r="AJ8" i="73"/>
  <c r="U61" i="10"/>
  <c r="AJ8" i="77"/>
  <c r="E61" i="10"/>
  <c r="AJ8" i="54"/>
  <c r="P154" i="10"/>
  <c r="AN7" i="71"/>
  <c r="AO7" i="98"/>
  <c r="K23" i="89"/>
  <c r="V23" i="103"/>
  <c r="AO7" i="104"/>
  <c r="D8" i="59"/>
  <c r="D112" i="10"/>
  <c r="G429" i="97"/>
  <c r="AH23" i="89"/>
  <c r="AD10" i="32"/>
  <c r="AD36" i="32" s="1"/>
  <c r="BL7" i="98"/>
  <c r="AS23" i="103"/>
  <c r="BK7" i="71"/>
  <c r="BL7" i="104"/>
  <c r="AA112" i="10"/>
  <c r="AD429" i="97"/>
  <c r="AM8" i="73"/>
  <c r="AQ8" i="73" s="1"/>
  <c r="AQ11" i="73"/>
  <c r="AQ11" i="77"/>
  <c r="AM8" i="77"/>
  <c r="AQ8" i="77" s="1"/>
  <c r="N61" i="10"/>
  <c r="AJ8" i="55"/>
  <c r="J61" i="10"/>
  <c r="AJ8" i="49"/>
  <c r="AQ11" i="82"/>
  <c r="AM8" i="82"/>
  <c r="AQ8" i="82" s="1"/>
  <c r="AU23" i="103"/>
  <c r="BN7" i="104"/>
  <c r="AJ23" i="89"/>
  <c r="AC112" i="10"/>
  <c r="BN7" i="98"/>
  <c r="BM7" i="71"/>
  <c r="AF429" i="97"/>
  <c r="AB61" i="10"/>
  <c r="AJ8" i="87"/>
  <c r="AM8" i="55"/>
  <c r="AQ8" i="55" s="1"/>
  <c r="AQ11" i="55"/>
  <c r="BR7" i="104"/>
  <c r="AJ10" i="32"/>
  <c r="AJ36" i="32" s="1"/>
  <c r="AG112" i="10"/>
  <c r="BQ7" i="71"/>
  <c r="BR7" i="98"/>
  <c r="AY23" i="103"/>
  <c r="AN23" i="89"/>
  <c r="AJ429" i="97"/>
  <c r="AZ7" i="104"/>
  <c r="O112" i="10"/>
  <c r="V23" i="89"/>
  <c r="AZ7" i="98"/>
  <c r="AY7" i="71"/>
  <c r="O8" i="59"/>
  <c r="AG23" i="103"/>
  <c r="R429" i="97"/>
  <c r="AM8" i="54"/>
  <c r="AQ8" i="54" s="1"/>
  <c r="AQ11" i="54"/>
  <c r="AM12" i="100"/>
  <c r="AQ12" i="100" s="1"/>
  <c r="AJ12" i="100"/>
  <c r="F138" i="10"/>
  <c r="AE61" i="10"/>
  <c r="AJ8" i="95"/>
  <c r="AM8" i="87"/>
  <c r="AQ8" i="87" s="1"/>
  <c r="AQ11" i="87"/>
  <c r="BG7" i="71"/>
  <c r="BH7" i="98"/>
  <c r="W112" i="10"/>
  <c r="AO23" i="103"/>
  <c r="AD23" i="89"/>
  <c r="BH7" i="104"/>
  <c r="Z429" i="97"/>
  <c r="H61" i="10"/>
  <c r="AJ8" i="51"/>
  <c r="BA7" i="71"/>
  <c r="X23" i="89"/>
  <c r="T10" i="32"/>
  <c r="T36" i="32" s="1"/>
  <c r="Q8" i="59"/>
  <c r="AI23" i="103"/>
  <c r="Q112" i="10"/>
  <c r="BB7" i="104"/>
  <c r="BB7" i="98"/>
  <c r="T429" i="97"/>
  <c r="AQ11" i="72"/>
  <c r="AM8" i="72"/>
  <c r="AQ8" i="72" s="1"/>
  <c r="AQ11" i="49"/>
  <c r="AM8" i="49"/>
  <c r="AQ8" i="49" s="1"/>
  <c r="AQ11" i="95"/>
  <c r="AM8" i="95"/>
  <c r="AQ8" i="95" s="1"/>
  <c r="AH23" i="103"/>
  <c r="BA7" i="98"/>
  <c r="BA7" i="104"/>
  <c r="W23" i="89"/>
  <c r="AZ7" i="71"/>
  <c r="P8" i="59"/>
  <c r="P112" i="10"/>
  <c r="S10" i="32"/>
  <c r="S36" i="32" s="1"/>
  <c r="S429" i="97"/>
  <c r="M61" i="10"/>
  <c r="AJ8" i="46"/>
  <c r="AQ11" i="41"/>
  <c r="AM8" i="41"/>
  <c r="AQ8" i="41" s="1"/>
  <c r="AI61" i="10"/>
  <c r="AJ8" i="101"/>
  <c r="K138" i="10"/>
  <c r="S23" i="89"/>
  <c r="AW7" i="98"/>
  <c r="AD23" i="103"/>
  <c r="AW7" i="104"/>
  <c r="L8" i="59"/>
  <c r="AV7" i="71"/>
  <c r="L112" i="10"/>
  <c r="O429" i="97"/>
  <c r="AX23" i="103"/>
  <c r="BQ7" i="104"/>
  <c r="AM23" i="89"/>
  <c r="BQ7" i="98"/>
  <c r="BP7" i="71"/>
  <c r="AF112" i="10"/>
  <c r="AI429" i="97"/>
  <c r="AM8" i="46"/>
  <c r="AQ8" i="46" s="1"/>
  <c r="AQ11" i="46"/>
  <c r="AM8" i="51"/>
  <c r="AQ8" i="51" s="1"/>
  <c r="AQ11" i="51"/>
  <c r="S61" i="10"/>
  <c r="AJ8" i="72"/>
  <c r="C61" i="10"/>
  <c r="AJ8" i="41"/>
  <c r="K61" i="10"/>
  <c r="AJ8" i="48"/>
  <c r="AQ11" i="53"/>
  <c r="AM8" i="53"/>
  <c r="AQ8" i="53" s="1"/>
  <c r="AD112" i="10"/>
  <c r="AK23" i="89"/>
  <c r="AV23" i="103"/>
  <c r="BO7" i="104"/>
  <c r="BO7" i="98"/>
  <c r="BN7" i="71"/>
  <c r="AG10" i="32"/>
  <c r="AG36" i="32" s="1"/>
  <c r="AG429" i="97"/>
  <c r="AQ11" i="79"/>
  <c r="AM8" i="79"/>
  <c r="AQ8" i="79" s="1"/>
  <c r="G61" i="10"/>
  <c r="AJ8" i="52"/>
  <c r="R61" i="10"/>
  <c r="AJ8" i="69"/>
  <c r="F61" i="10"/>
  <c r="AJ8" i="53"/>
  <c r="AQ11" i="101"/>
  <c r="AM8" i="101"/>
  <c r="AQ8" i="101" s="1"/>
  <c r="Y154" i="10"/>
  <c r="AS7" i="71"/>
  <c r="I112" i="10"/>
  <c r="AA23" i="103"/>
  <c r="AT7" i="98"/>
  <c r="AT7" i="104"/>
  <c r="I8" i="59"/>
  <c r="P23" i="89"/>
  <c r="L429" i="97"/>
  <c r="Y112" i="10"/>
  <c r="AF23" i="89"/>
  <c r="BJ7" i="98"/>
  <c r="BI7" i="71"/>
  <c r="AQ23" i="103"/>
  <c r="BJ7" i="104"/>
  <c r="AB429" i="97"/>
  <c r="AQ11" i="100"/>
  <c r="AR23" i="103"/>
  <c r="BJ7" i="71"/>
  <c r="BK7" i="104"/>
  <c r="Z112" i="10"/>
  <c r="AG23" i="89"/>
  <c r="BK7" i="98"/>
  <c r="AC10" i="32"/>
  <c r="AC36" i="32" s="1"/>
  <c r="AC429" i="97"/>
  <c r="V61" i="10"/>
  <c r="AJ8" i="79"/>
  <c r="AQ11" i="52"/>
  <c r="AM8" i="52"/>
  <c r="AQ8" i="52" s="1"/>
  <c r="AQ11" i="69"/>
  <c r="AM8" i="69"/>
  <c r="AQ8" i="69" s="1"/>
  <c r="AQ11" i="48"/>
  <c r="AM8" i="48"/>
  <c r="AQ8" i="48" s="1"/>
  <c r="S38" i="32"/>
  <c r="AC12" i="98"/>
  <c r="AC67" i="98"/>
  <c r="BN19" i="98"/>
  <c r="AJ19" i="89"/>
  <c r="AC106" i="10"/>
  <c r="AC103" i="10" s="1"/>
  <c r="AU19" i="103"/>
  <c r="BN19" i="104"/>
  <c r="AF485" i="97"/>
  <c r="AF22" i="32"/>
  <c r="BM19" i="71"/>
  <c r="BP9" i="71"/>
  <c r="BQ9" i="104"/>
  <c r="AM29" i="89"/>
  <c r="BQ9" i="98"/>
  <c r="AF120" i="10"/>
  <c r="BA104" i="32" s="1"/>
  <c r="AI25" i="97"/>
  <c r="AX29" i="103"/>
  <c r="AC67" i="104"/>
  <c r="AC12" i="104"/>
  <c r="L485" i="97"/>
  <c r="AA19" i="103"/>
  <c r="I106" i="10"/>
  <c r="I20" i="59"/>
  <c r="P19" i="89"/>
  <c r="AT19" i="98"/>
  <c r="AS19" i="71"/>
  <c r="AT19" i="104"/>
  <c r="L22" i="32"/>
  <c r="D12" i="104"/>
  <c r="D67" i="104"/>
  <c r="N64" i="104"/>
  <c r="N9" i="104"/>
  <c r="N12" i="104"/>
  <c r="N67" i="104"/>
  <c r="AL40" i="10"/>
  <c r="AJ40" i="10"/>
  <c r="AI87" i="10"/>
  <c r="AJ87" i="10" s="1"/>
  <c r="Q12" i="104"/>
  <c r="Q67" i="104"/>
  <c r="D67" i="71"/>
  <c r="D12" i="71"/>
  <c r="G41" i="32"/>
  <c r="Q41" i="32"/>
  <c r="R138" i="10"/>
  <c r="S26" i="32"/>
  <c r="AH31" i="103"/>
  <c r="BA23" i="98"/>
  <c r="S19" i="97"/>
  <c r="P122" i="10"/>
  <c r="AZ23" i="71"/>
  <c r="BA23" i="104"/>
  <c r="W31" i="89"/>
  <c r="P24" i="59"/>
  <c r="U38" i="32"/>
  <c r="BK19" i="98"/>
  <c r="BJ19" i="71"/>
  <c r="AC22" i="32"/>
  <c r="Z106" i="10"/>
  <c r="Z103" i="10" s="1"/>
  <c r="AR19" i="103"/>
  <c r="AC485" i="97"/>
  <c r="BK19" i="104"/>
  <c r="AG19" i="89"/>
  <c r="AA12" i="98"/>
  <c r="AA67" i="98"/>
  <c r="AB67" i="98"/>
  <c r="AB12" i="98"/>
  <c r="AD67" i="104"/>
  <c r="AD12" i="104"/>
  <c r="V9" i="104"/>
  <c r="V64" i="104"/>
  <c r="P26" i="32"/>
  <c r="T31" i="89"/>
  <c r="M122" i="10"/>
  <c r="AE31" i="103"/>
  <c r="AW23" i="71"/>
  <c r="AX23" i="104"/>
  <c r="AX23" i="98"/>
  <c r="P19" i="97"/>
  <c r="M24" i="59"/>
  <c r="AE73" i="33"/>
  <c r="AE129" i="33"/>
  <c r="AG89" i="32"/>
  <c r="AE27" i="33"/>
  <c r="AB64" i="104"/>
  <c r="AB9" i="104"/>
  <c r="D17" i="10"/>
  <c r="D148" i="10"/>
  <c r="D65" i="10"/>
  <c r="O9" i="104"/>
  <c r="O64" i="104"/>
  <c r="R38" i="32"/>
  <c r="AT5" i="104"/>
  <c r="L8" i="32"/>
  <c r="L491" i="97"/>
  <c r="I6" i="59"/>
  <c r="AS5" i="71"/>
  <c r="AA17" i="103"/>
  <c r="P17" i="89"/>
  <c r="I7" i="10"/>
  <c r="AT5" i="98"/>
  <c r="I104" i="10"/>
  <c r="I54" i="13"/>
  <c r="AH129" i="33"/>
  <c r="AH27" i="33"/>
  <c r="AH73" i="33"/>
  <c r="AM89" i="32"/>
  <c r="AO19" i="89"/>
  <c r="AK22" i="10"/>
  <c r="AK22" i="32"/>
  <c r="BS19" i="98"/>
  <c r="AK485" i="97"/>
  <c r="AH106" i="10"/>
  <c r="AH103" i="10" s="1"/>
  <c r="BS19" i="104"/>
  <c r="AZ19" i="103"/>
  <c r="BR19" i="71"/>
  <c r="O17" i="89"/>
  <c r="Z17" i="103"/>
  <c r="H104" i="10"/>
  <c r="H6" i="59"/>
  <c r="AR5" i="71"/>
  <c r="AS5" i="104"/>
  <c r="K8" i="32"/>
  <c r="K491" i="97"/>
  <c r="AS5" i="98"/>
  <c r="H54" i="13"/>
  <c r="AV11" i="71"/>
  <c r="L12" i="59"/>
  <c r="AW11" i="98"/>
  <c r="O14" i="32"/>
  <c r="AW11" i="104"/>
  <c r="R67" i="71"/>
  <c r="R12" i="71"/>
  <c r="P491" i="97"/>
  <c r="M104" i="10"/>
  <c r="T17" i="89"/>
  <c r="M6" i="59"/>
  <c r="AX5" i="104"/>
  <c r="P8" i="32"/>
  <c r="AE17" i="103"/>
  <c r="AW5" i="71"/>
  <c r="AX5" i="98"/>
  <c r="M54" i="13"/>
  <c r="M38" i="32"/>
  <c r="BM6" i="71"/>
  <c r="AJ20" i="89"/>
  <c r="AF9" i="32"/>
  <c r="AU20" i="103"/>
  <c r="AC108" i="10"/>
  <c r="BN6" i="104"/>
  <c r="AC7" i="10"/>
  <c r="BN6" i="98"/>
  <c r="AF460" i="97"/>
  <c r="K485" i="97"/>
  <c r="K22" i="32"/>
  <c r="AR19" i="71"/>
  <c r="O19" i="89"/>
  <c r="H106" i="10"/>
  <c r="Z19" i="103"/>
  <c r="AS19" i="98"/>
  <c r="AS19" i="104"/>
  <c r="H20" i="59"/>
  <c r="U29" i="103"/>
  <c r="AN9" i="104"/>
  <c r="AM9" i="71"/>
  <c r="AN9" i="98"/>
  <c r="C10" i="59"/>
  <c r="J29" i="89"/>
  <c r="C120" i="10"/>
  <c r="G104" i="32" s="1"/>
  <c r="F25" i="97"/>
  <c r="AD9" i="98"/>
  <c r="AD64" i="98"/>
  <c r="AG67" i="104"/>
  <c r="AG12" i="104"/>
  <c r="T64" i="104"/>
  <c r="T9" i="104"/>
  <c r="W9" i="71"/>
  <c r="W64" i="71"/>
  <c r="C14" i="98"/>
  <c r="C69" i="98"/>
  <c r="M64" i="71"/>
  <c r="M9" i="71"/>
  <c r="AZ11" i="104"/>
  <c r="AY11" i="71"/>
  <c r="O12" i="59"/>
  <c r="R14" i="32"/>
  <c r="AZ11" i="98"/>
  <c r="AL17" i="103"/>
  <c r="BE5" i="98"/>
  <c r="AA17" i="89"/>
  <c r="X8" i="32"/>
  <c r="W8" i="32"/>
  <c r="BE5" i="104"/>
  <c r="T104" i="10"/>
  <c r="W491" i="97"/>
  <c r="BD5" i="71"/>
  <c r="T54" i="13"/>
  <c r="V27" i="33"/>
  <c r="V129" i="33"/>
  <c r="V73" i="33"/>
  <c r="R148" i="10"/>
  <c r="R17" i="10"/>
  <c r="R65" i="10"/>
  <c r="M106" i="10"/>
  <c r="P485" i="97"/>
  <c r="AX19" i="98"/>
  <c r="T19" i="89"/>
  <c r="AE19" i="103"/>
  <c r="M20" i="59"/>
  <c r="AW19" i="71"/>
  <c r="AX19" i="104"/>
  <c r="H12" i="59"/>
  <c r="AS11" i="104"/>
  <c r="AR11" i="71"/>
  <c r="AS11" i="98"/>
  <c r="K14" i="32"/>
  <c r="AH38" i="32"/>
  <c r="AI12" i="32"/>
  <c r="F67" i="98"/>
  <c r="F12" i="98"/>
  <c r="F67" i="71"/>
  <c r="F12" i="71"/>
  <c r="N6" i="59"/>
  <c r="Q8" i="32"/>
  <c r="Q491" i="97"/>
  <c r="AY5" i="98"/>
  <c r="AF17" i="103"/>
  <c r="AY5" i="104"/>
  <c r="N104" i="10"/>
  <c r="AX5" i="71"/>
  <c r="U17" i="89"/>
  <c r="N54" i="13"/>
  <c r="AC41" i="32"/>
  <c r="Z17" i="10"/>
  <c r="Z148" i="10"/>
  <c r="Z65" i="10"/>
  <c r="W12" i="98"/>
  <c r="W67" i="98"/>
  <c r="AE12" i="98"/>
  <c r="AE67" i="98"/>
  <c r="AK89" i="32"/>
  <c r="J89" i="32"/>
  <c r="AF73" i="33"/>
  <c r="AF129" i="33"/>
  <c r="AF27" i="33"/>
  <c r="AI89" i="32"/>
  <c r="G89" i="32"/>
  <c r="BR9" i="98"/>
  <c r="AN29" i="89"/>
  <c r="BQ9" i="71"/>
  <c r="AY29" i="103"/>
  <c r="AJ12" i="32"/>
  <c r="BR9" i="104"/>
  <c r="AJ25" i="97"/>
  <c r="AG120" i="10"/>
  <c r="BD11" i="98"/>
  <c r="BD11" i="104"/>
  <c r="BC11" i="71"/>
  <c r="AS89" i="32"/>
  <c r="AK27" i="33"/>
  <c r="AK73" i="33"/>
  <c r="AK129" i="33"/>
  <c r="X38" i="32"/>
  <c r="P27" i="33"/>
  <c r="P129" i="33"/>
  <c r="P73" i="33"/>
  <c r="E64" i="98"/>
  <c r="E9" i="98"/>
  <c r="G12" i="104"/>
  <c r="G67" i="104"/>
  <c r="AA41" i="32"/>
  <c r="M115" i="33"/>
  <c r="AJ19" i="103"/>
  <c r="BC19" i="104"/>
  <c r="BC19" i="98"/>
  <c r="Y19" i="89"/>
  <c r="U485" i="97"/>
  <c r="R106" i="10"/>
  <c r="U22" i="32"/>
  <c r="BB19" i="71"/>
  <c r="AB27" i="33"/>
  <c r="AB73" i="33"/>
  <c r="AB129" i="33"/>
  <c r="AA89" i="32"/>
  <c r="V41" i="32"/>
  <c r="R64" i="71"/>
  <c r="R9" i="71"/>
  <c r="V38" i="32"/>
  <c r="AG41" i="32"/>
  <c r="K38" i="32"/>
  <c r="Y38" i="32"/>
  <c r="AI67" i="104"/>
  <c r="AI12" i="104"/>
  <c r="Y19" i="103"/>
  <c r="N19" i="89"/>
  <c r="AR19" i="104"/>
  <c r="J485" i="97"/>
  <c r="G106" i="10"/>
  <c r="AQ19" i="71"/>
  <c r="AR19" i="98"/>
  <c r="J22" i="32"/>
  <c r="G20" i="59"/>
  <c r="U64" i="98"/>
  <c r="U9" i="98"/>
  <c r="V17" i="89"/>
  <c r="O104" i="10"/>
  <c r="AZ5" i="104"/>
  <c r="R491" i="97"/>
  <c r="AG17" i="103"/>
  <c r="R8" i="32"/>
  <c r="AY5" i="71"/>
  <c r="O6" i="59"/>
  <c r="AZ5" i="98"/>
  <c r="O7" i="10"/>
  <c r="O54" i="13"/>
  <c r="V67" i="104"/>
  <c r="V12" i="104"/>
  <c r="K9" i="32"/>
  <c r="AS6" i="98"/>
  <c r="AR6" i="71"/>
  <c r="H108" i="10"/>
  <c r="O20" i="89"/>
  <c r="AS6" i="104"/>
  <c r="K460" i="97"/>
  <c r="Z20" i="103"/>
  <c r="H7" i="59"/>
  <c r="AD129" i="33"/>
  <c r="AD27" i="33"/>
  <c r="AE89" i="32"/>
  <c r="AD73" i="33"/>
  <c r="AK105" i="10"/>
  <c r="AQ129" i="33"/>
  <c r="AQ27" i="33"/>
  <c r="AQ73" i="33"/>
  <c r="BE89" i="32"/>
  <c r="O9" i="71"/>
  <c r="O64" i="71"/>
  <c r="AB41" i="32"/>
  <c r="W41" i="32"/>
  <c r="Q106" i="10"/>
  <c r="BB19" i="98"/>
  <c r="T485" i="97"/>
  <c r="AI19" i="103"/>
  <c r="BA19" i="71"/>
  <c r="BB19" i="104"/>
  <c r="X19" i="89"/>
  <c r="Q20" i="59"/>
  <c r="F9" i="71"/>
  <c r="F64" i="71"/>
  <c r="C12" i="104"/>
  <c r="C67" i="104"/>
  <c r="H138" i="10"/>
  <c r="AO19" i="98"/>
  <c r="AO19" i="104"/>
  <c r="D106" i="10"/>
  <c r="K19" i="89"/>
  <c r="G22" i="32"/>
  <c r="G485" i="97"/>
  <c r="AN19" i="71"/>
  <c r="V19" i="103"/>
  <c r="D20" i="59"/>
  <c r="AB17" i="10"/>
  <c r="AB148" i="10"/>
  <c r="AB65" i="10"/>
  <c r="AG38" i="32"/>
  <c r="W64" i="104"/>
  <c r="W9" i="104"/>
  <c r="AH17" i="103"/>
  <c r="S491" i="97"/>
  <c r="AZ5" i="71"/>
  <c r="P104" i="10"/>
  <c r="P7" i="10"/>
  <c r="W17" i="89"/>
  <c r="BA5" i="104"/>
  <c r="P6" i="59"/>
  <c r="S8" i="32"/>
  <c r="BA5" i="98"/>
  <c r="P54" i="13"/>
  <c r="C14" i="104"/>
  <c r="C69" i="104"/>
  <c r="E67" i="104"/>
  <c r="E12" i="104"/>
  <c r="T14" i="32"/>
  <c r="AZ11" i="71"/>
  <c r="S14" i="32"/>
  <c r="BA11" i="104"/>
  <c r="BA11" i="98"/>
  <c r="P12" i="59"/>
  <c r="O67" i="98"/>
  <c r="O12" i="98"/>
  <c r="M138" i="10"/>
  <c r="AE64" i="71"/>
  <c r="AE9" i="71"/>
  <c r="S154" i="10"/>
  <c r="AQ11" i="104"/>
  <c r="AP11" i="71"/>
  <c r="AQ11" i="98"/>
  <c r="F12" i="59"/>
  <c r="T12" i="32"/>
  <c r="T25" i="97"/>
  <c r="X29" i="89"/>
  <c r="Q10" i="59"/>
  <c r="Q120" i="10"/>
  <c r="Y104" i="32" s="1"/>
  <c r="Z104" i="32" s="1"/>
  <c r="BB9" i="98"/>
  <c r="BB9" i="104"/>
  <c r="BA9" i="71"/>
  <c r="AI29" i="103"/>
  <c r="Z67" i="98"/>
  <c r="Z12" i="98"/>
  <c r="U67" i="98"/>
  <c r="U12" i="98"/>
  <c r="P10" i="59"/>
  <c r="AZ9" i="71"/>
  <c r="AH29" i="103"/>
  <c r="S25" i="97"/>
  <c r="W29" i="89"/>
  <c r="BA9" i="98"/>
  <c r="BA9" i="104"/>
  <c r="P120" i="10"/>
  <c r="U104" i="32" s="1"/>
  <c r="V104" i="32" s="1"/>
  <c r="J8" i="32"/>
  <c r="G104" i="10"/>
  <c r="G6" i="59"/>
  <c r="AQ5" i="71"/>
  <c r="Y17" i="103"/>
  <c r="AR5" i="104"/>
  <c r="N17" i="89"/>
  <c r="AR5" i="98"/>
  <c r="J491" i="97"/>
  <c r="G54" i="13"/>
  <c r="D67" i="98"/>
  <c r="D12" i="98"/>
  <c r="AD67" i="71"/>
  <c r="AD12" i="71"/>
  <c r="AD12" i="98"/>
  <c r="AD67" i="98"/>
  <c r="U67" i="71"/>
  <c r="U12" i="71"/>
  <c r="AH67" i="98"/>
  <c r="AH12" i="98"/>
  <c r="AK41" i="32"/>
  <c r="Y67" i="71"/>
  <c r="Y12" i="71"/>
  <c r="C108" i="10"/>
  <c r="F460" i="97"/>
  <c r="AM6" i="71"/>
  <c r="AN6" i="98"/>
  <c r="U20" i="103"/>
  <c r="AN6" i="104"/>
  <c r="J20" i="89"/>
  <c r="C7" i="59"/>
  <c r="C154" i="10"/>
  <c r="L67" i="98"/>
  <c r="L12" i="98"/>
  <c r="U41" i="32"/>
  <c r="J9" i="98"/>
  <c r="J64" i="98"/>
  <c r="BE11" i="104"/>
  <c r="W14" i="32"/>
  <c r="BE11" i="98"/>
  <c r="BD11" i="71"/>
  <c r="C67" i="98"/>
  <c r="C12" i="98"/>
  <c r="BD6" i="71"/>
  <c r="AL20" i="103"/>
  <c r="BE6" i="98"/>
  <c r="AA20" i="89"/>
  <c r="W9" i="32"/>
  <c r="W460" i="97"/>
  <c r="T108" i="10"/>
  <c r="BE6" i="104"/>
  <c r="N41" i="32"/>
  <c r="J12" i="98"/>
  <c r="J67" i="98"/>
  <c r="C20" i="59"/>
  <c r="U19" i="103"/>
  <c r="AN19" i="104"/>
  <c r="J19" i="89"/>
  <c r="AN19" i="98"/>
  <c r="AM19" i="71"/>
  <c r="C106" i="10"/>
  <c r="F485" i="97"/>
  <c r="AJ41" i="32"/>
  <c r="J104" i="32"/>
  <c r="AI104" i="32"/>
  <c r="AF115" i="33"/>
  <c r="H41" i="32"/>
  <c r="N73" i="33"/>
  <c r="N27" i="33"/>
  <c r="N129" i="33"/>
  <c r="P12" i="98"/>
  <c r="P67" i="98"/>
  <c r="R41" i="32"/>
  <c r="BK9" i="98"/>
  <c r="AG29" i="89"/>
  <c r="AC12" i="32"/>
  <c r="BK9" i="104"/>
  <c r="AR29" i="103"/>
  <c r="Z120" i="10"/>
  <c r="AC25" i="97"/>
  <c r="BJ9" i="71"/>
  <c r="R31" i="89"/>
  <c r="K24" i="59"/>
  <c r="N26" i="32"/>
  <c r="AC31" i="103"/>
  <c r="K122" i="10"/>
  <c r="AV23" i="104"/>
  <c r="N19" i="97"/>
  <c r="AU23" i="71"/>
  <c r="AV23" i="98"/>
  <c r="H67" i="98"/>
  <c r="H12" i="98"/>
  <c r="BD23" i="98"/>
  <c r="V26" i="32"/>
  <c r="S122" i="10"/>
  <c r="AK31" i="103"/>
  <c r="Z31" i="89"/>
  <c r="BD23" i="104"/>
  <c r="V19" i="97"/>
  <c r="BC23" i="71"/>
  <c r="J108" i="10"/>
  <c r="J7" i="59"/>
  <c r="M460" i="97"/>
  <c r="Q20" i="89"/>
  <c r="AU6" i="104"/>
  <c r="AU6" i="98"/>
  <c r="AB20" i="103"/>
  <c r="AT6" i="71"/>
  <c r="M9" i="32"/>
  <c r="S460" i="97"/>
  <c r="P7" i="59"/>
  <c r="AH20" i="103"/>
  <c r="W20" i="89"/>
  <c r="BA6" i="98"/>
  <c r="BA6" i="104"/>
  <c r="S9" i="32"/>
  <c r="AZ6" i="71"/>
  <c r="P108" i="10"/>
  <c r="O73" i="33"/>
  <c r="O129" i="33"/>
  <c r="O27" i="33"/>
  <c r="L104" i="10"/>
  <c r="O8" i="32"/>
  <c r="AD17" i="103"/>
  <c r="L6" i="59"/>
  <c r="O491" i="97"/>
  <c r="S17" i="89"/>
  <c r="AW5" i="104"/>
  <c r="AV5" i="71"/>
  <c r="AW5" i="98"/>
  <c r="L7" i="10"/>
  <c r="L54" i="13"/>
  <c r="AL12" i="32"/>
  <c r="BT9" i="98"/>
  <c r="AJ12" i="10"/>
  <c r="AI120" i="10"/>
  <c r="BT9" i="104"/>
  <c r="AP29" i="89"/>
  <c r="BA29" i="103"/>
  <c r="AL12" i="10"/>
  <c r="C12" i="32"/>
  <c r="AL25" i="97"/>
  <c r="Z54" i="13"/>
  <c r="W12" i="104"/>
  <c r="W67" i="104"/>
  <c r="AC64" i="104"/>
  <c r="AC9" i="104"/>
  <c r="Q115" i="33"/>
  <c r="J38" i="32"/>
  <c r="BA31" i="103"/>
  <c r="BT23" i="98"/>
  <c r="AP31" i="89"/>
  <c r="BT23" i="104"/>
  <c r="AI122" i="10"/>
  <c r="AL19" i="97"/>
  <c r="AL26" i="10"/>
  <c r="AJ26" i="10"/>
  <c r="C26" i="32"/>
  <c r="V67" i="71"/>
  <c r="V12" i="71"/>
  <c r="V106" i="10"/>
  <c r="BF19" i="71"/>
  <c r="AC19" i="89"/>
  <c r="BG19" i="98"/>
  <c r="AN19" i="103"/>
  <c r="Y22" i="32"/>
  <c r="BG19" i="104"/>
  <c r="Y485" i="97"/>
  <c r="AO5" i="98"/>
  <c r="G491" i="97"/>
  <c r="K17" i="89"/>
  <c r="G8" i="32"/>
  <c r="AO5" i="104"/>
  <c r="D104" i="10"/>
  <c r="D7" i="10"/>
  <c r="AN5" i="71"/>
  <c r="D6" i="59"/>
  <c r="V17" i="103"/>
  <c r="D54" i="13"/>
  <c r="AO129" i="33"/>
  <c r="BA89" i="32"/>
  <c r="AO73" i="33"/>
  <c r="AO27" i="33"/>
  <c r="AB19" i="103"/>
  <c r="AT19" i="71"/>
  <c r="J106" i="10"/>
  <c r="M22" i="32"/>
  <c r="AU19" i="98"/>
  <c r="M485" i="97"/>
  <c r="J20" i="59"/>
  <c r="Q19" i="89"/>
  <c r="AU19" i="104"/>
  <c r="AF41" i="32"/>
  <c r="AZ19" i="104"/>
  <c r="V19" i="89"/>
  <c r="R22" i="32"/>
  <c r="AZ19" i="98"/>
  <c r="O106" i="10"/>
  <c r="R485" i="97"/>
  <c r="AY19" i="71"/>
  <c r="AG19" i="103"/>
  <c r="O20" i="59"/>
  <c r="Q104" i="32"/>
  <c r="R104" i="32" s="1"/>
  <c r="W115" i="33"/>
  <c r="N67" i="71"/>
  <c r="N12" i="71"/>
  <c r="N12" i="98"/>
  <c r="N67" i="98"/>
  <c r="AG129" i="33"/>
  <c r="AG73" i="33"/>
  <c r="AG27" i="33"/>
  <c r="D9" i="71"/>
  <c r="D64" i="71"/>
  <c r="S67" i="98"/>
  <c r="S12" i="98"/>
  <c r="R9" i="98"/>
  <c r="R64" i="98"/>
  <c r="BD23" i="71"/>
  <c r="BE23" i="104"/>
  <c r="T122" i="10"/>
  <c r="W19" i="97"/>
  <c r="W26" i="32"/>
  <c r="BE23" i="98"/>
  <c r="AL31" i="103"/>
  <c r="AA31" i="89"/>
  <c r="AJ129" i="33"/>
  <c r="AJ73" i="33"/>
  <c r="AJ27" i="33"/>
  <c r="AC17" i="103"/>
  <c r="AU5" i="71"/>
  <c r="N8" i="32"/>
  <c r="AV5" i="98"/>
  <c r="AV5" i="104"/>
  <c r="R17" i="89"/>
  <c r="K6" i="59"/>
  <c r="N491" i="97"/>
  <c r="K104" i="10"/>
  <c r="K54" i="13"/>
  <c r="AE115" i="33"/>
  <c r="AG104" i="32"/>
  <c r="G64" i="104"/>
  <c r="G9" i="104"/>
  <c r="AR129" i="33"/>
  <c r="BI122" i="32"/>
  <c r="BG89" i="32"/>
  <c r="AR27" i="33"/>
  <c r="AS27" i="33" s="1"/>
  <c r="AJ105" i="10"/>
  <c r="AR73" i="33"/>
  <c r="U64" i="104"/>
  <c r="U9" i="104"/>
  <c r="I67" i="98"/>
  <c r="I12" i="98"/>
  <c r="BG11" i="98"/>
  <c r="BF11" i="71"/>
  <c r="BG11" i="104"/>
  <c r="AK115" i="33"/>
  <c r="BD9" i="104"/>
  <c r="V25" i="97"/>
  <c r="BC9" i="71"/>
  <c r="S120" i="10"/>
  <c r="AC104" i="32" s="1"/>
  <c r="AK29" i="103"/>
  <c r="BD9" i="98"/>
  <c r="Z29" i="89"/>
  <c r="AL41" i="32"/>
  <c r="X115" i="33"/>
  <c r="S104" i="32"/>
  <c r="T104" i="32" s="1"/>
  <c r="H460" i="97"/>
  <c r="AP6" i="98"/>
  <c r="W20" i="103"/>
  <c r="E108" i="10"/>
  <c r="AP6" i="104"/>
  <c r="E7" i="59"/>
  <c r="H9" i="32"/>
  <c r="AO6" i="71"/>
  <c r="L20" i="89"/>
  <c r="U31" i="103"/>
  <c r="J31" i="89"/>
  <c r="AN23" i="104"/>
  <c r="F19" i="97"/>
  <c r="C122" i="10"/>
  <c r="C24" i="59"/>
  <c r="AN23" i="98"/>
  <c r="AM23" i="71"/>
  <c r="U129" i="33"/>
  <c r="U73" i="33"/>
  <c r="U27" i="33"/>
  <c r="R67" i="98"/>
  <c r="R12" i="98"/>
  <c r="BG19" i="71"/>
  <c r="BH19" i="98"/>
  <c r="Z485" i="97"/>
  <c r="Z22" i="32"/>
  <c r="AO19" i="103"/>
  <c r="AD19" i="89"/>
  <c r="W106" i="10"/>
  <c r="W103" i="10" s="1"/>
  <c r="BH19" i="104"/>
  <c r="F9" i="98"/>
  <c r="F64" i="98"/>
  <c r="AN11" i="104"/>
  <c r="AN11" i="98"/>
  <c r="C12" i="59"/>
  <c r="AM11" i="71"/>
  <c r="BB6" i="104"/>
  <c r="T9" i="32"/>
  <c r="BA6" i="71"/>
  <c r="AI20" i="103"/>
  <c r="T460" i="97"/>
  <c r="Q7" i="59"/>
  <c r="X20" i="89"/>
  <c r="BB6" i="98"/>
  <c r="Q108" i="10"/>
  <c r="R26" i="32"/>
  <c r="V31" i="89"/>
  <c r="R19" i="97"/>
  <c r="AG31" i="103"/>
  <c r="AY23" i="71"/>
  <c r="AZ23" i="104"/>
  <c r="AZ23" i="98"/>
  <c r="O122" i="10"/>
  <c r="O24" i="59"/>
  <c r="K12" i="71"/>
  <c r="K67" i="71"/>
  <c r="AR23" i="104"/>
  <c r="AQ23" i="71"/>
  <c r="G24" i="59"/>
  <c r="AR23" i="98"/>
  <c r="J19" i="97"/>
  <c r="J26" i="32"/>
  <c r="N31" i="89"/>
  <c r="Y31" i="103"/>
  <c r="G122" i="10"/>
  <c r="C138" i="10"/>
  <c r="AG67" i="98"/>
  <c r="AG12" i="98"/>
  <c r="W12" i="32"/>
  <c r="Z38" i="32"/>
  <c r="E67" i="71"/>
  <c r="E12" i="71"/>
  <c r="P38" i="32"/>
  <c r="Y73" i="33"/>
  <c r="U89" i="32"/>
  <c r="V89" i="32" s="1"/>
  <c r="Y27" i="33"/>
  <c r="Y129" i="33"/>
  <c r="AQ19" i="104"/>
  <c r="I485" i="97"/>
  <c r="AP19" i="71"/>
  <c r="F106" i="10"/>
  <c r="AQ19" i="98"/>
  <c r="X19" i="103"/>
  <c r="F20" i="59"/>
  <c r="M19" i="89"/>
  <c r="I22" i="32"/>
  <c r="K154" i="10"/>
  <c r="I64" i="71"/>
  <c r="I9" i="71"/>
  <c r="AI17" i="10"/>
  <c r="AI148" i="10"/>
  <c r="AJ68" i="10"/>
  <c r="AI65" i="10"/>
  <c r="AK12" i="32"/>
  <c r="BS9" i="104"/>
  <c r="AH120" i="10"/>
  <c r="BR9" i="71"/>
  <c r="AK25" i="97"/>
  <c r="AZ29" i="103"/>
  <c r="AO29" i="89"/>
  <c r="AK12" i="10"/>
  <c r="BS9" i="98"/>
  <c r="AE64" i="104"/>
  <c r="AE9" i="104"/>
  <c r="AM155" i="10"/>
  <c r="AI154" i="10"/>
  <c r="Z67" i="104"/>
  <c r="Z12" i="104"/>
  <c r="AF67" i="104"/>
  <c r="AF12" i="104"/>
  <c r="AR20" i="103"/>
  <c r="AC9" i="32"/>
  <c r="AG20" i="89"/>
  <c r="BK6" i="104"/>
  <c r="Z108" i="10"/>
  <c r="BK6" i="98"/>
  <c r="BJ6" i="71"/>
  <c r="AC460" i="97"/>
  <c r="Z7" i="10"/>
  <c r="G12" i="98"/>
  <c r="G67" i="98"/>
  <c r="D64" i="98"/>
  <c r="D9" i="98"/>
  <c r="H9" i="98"/>
  <c r="H64" i="98"/>
  <c r="D15" i="32"/>
  <c r="W67" i="71"/>
  <c r="W12" i="71"/>
  <c r="G12" i="71"/>
  <c r="G67" i="71"/>
  <c r="AH17" i="10"/>
  <c r="AH148" i="10"/>
  <c r="AH65" i="10"/>
  <c r="X12" i="71"/>
  <c r="X67" i="71"/>
  <c r="U9" i="71"/>
  <c r="U64" i="71"/>
  <c r="AB64" i="98"/>
  <c r="AB9" i="98"/>
  <c r="AF38" i="32"/>
  <c r="BP11" i="104"/>
  <c r="BP11" i="98"/>
  <c r="AH14" i="32"/>
  <c r="BO11" i="71"/>
  <c r="AC54" i="13"/>
  <c r="J41" i="32"/>
  <c r="H38" i="32"/>
  <c r="N64" i="98"/>
  <c r="N9" i="98"/>
  <c r="AF19" i="89"/>
  <c r="AB22" i="32"/>
  <c r="BI19" i="71"/>
  <c r="AB485" i="97"/>
  <c r="AQ19" i="103"/>
  <c r="Y106" i="10"/>
  <c r="BJ19" i="104"/>
  <c r="BJ19" i="98"/>
  <c r="X12" i="98"/>
  <c r="X67" i="98"/>
  <c r="X122" i="10"/>
  <c r="AA19" i="97"/>
  <c r="BI23" i="104"/>
  <c r="AA26" i="32"/>
  <c r="AE31" i="89"/>
  <c r="AP31" i="103"/>
  <c r="BH23" i="71"/>
  <c r="BI23" i="98"/>
  <c r="AA115" i="33"/>
  <c r="AA67" i="71"/>
  <c r="AA12" i="71"/>
  <c r="BL19" i="98"/>
  <c r="AA106" i="10"/>
  <c r="AA103" i="10" s="1"/>
  <c r="AD485" i="97"/>
  <c r="AS19" i="103"/>
  <c r="BK19" i="71"/>
  <c r="AH19" i="89"/>
  <c r="BL19" i="104"/>
  <c r="AD22" i="32"/>
  <c r="AE41" i="32"/>
  <c r="AM27" i="33"/>
  <c r="AM129" i="33"/>
  <c r="AW89" i="32"/>
  <c r="AM73" i="33"/>
  <c r="H64" i="104"/>
  <c r="H9" i="104"/>
  <c r="V9" i="71"/>
  <c r="V64" i="71"/>
  <c r="AI12" i="98"/>
  <c r="AI67" i="98"/>
  <c r="AO23" i="104"/>
  <c r="D122" i="10"/>
  <c r="K31" i="89"/>
  <c r="D24" i="59"/>
  <c r="G19" i="97"/>
  <c r="AO23" i="98"/>
  <c r="AN23" i="71"/>
  <c r="V31" i="103"/>
  <c r="G26" i="32"/>
  <c r="AE104" i="32"/>
  <c r="AD115" i="33"/>
  <c r="AT11" i="104"/>
  <c r="I12" i="59"/>
  <c r="L14" i="32"/>
  <c r="AT11" i="98"/>
  <c r="AS11" i="71"/>
  <c r="L41" i="32"/>
  <c r="V54" i="13"/>
  <c r="Y41" i="32"/>
  <c r="U67" i="104"/>
  <c r="U12" i="104"/>
  <c r="X41" i="32"/>
  <c r="AH67" i="104"/>
  <c r="AH12" i="104"/>
  <c r="M17" i="10"/>
  <c r="M148" i="10"/>
  <c r="M65" i="10"/>
  <c r="Y54" i="13"/>
  <c r="BJ11" i="104"/>
  <c r="BJ11" i="98"/>
  <c r="BI11" i="71"/>
  <c r="AB14" i="32"/>
  <c r="I108" i="10"/>
  <c r="L9" i="32"/>
  <c r="L460" i="97"/>
  <c r="I7" i="59"/>
  <c r="AS6" i="71"/>
  <c r="AT6" i="104"/>
  <c r="AT6" i="98"/>
  <c r="P20" i="89"/>
  <c r="AA20" i="103"/>
  <c r="X19" i="97"/>
  <c r="BF23" i="104"/>
  <c r="X26" i="32"/>
  <c r="U122" i="10"/>
  <c r="AB31" i="89"/>
  <c r="BF23" i="98"/>
  <c r="AM31" i="103"/>
  <c r="BE23" i="71"/>
  <c r="AM19" i="103"/>
  <c r="BF19" i="104"/>
  <c r="BE19" i="71"/>
  <c r="AB19" i="89"/>
  <c r="U106" i="10"/>
  <c r="U103" i="10" s="1"/>
  <c r="X485" i="97"/>
  <c r="X22" i="32"/>
  <c r="BF19" i="98"/>
  <c r="M491" i="97"/>
  <c r="Q17" i="89"/>
  <c r="AU5" i="104"/>
  <c r="AB17" i="103"/>
  <c r="J104" i="10"/>
  <c r="M8" i="32"/>
  <c r="AT5" i="71"/>
  <c r="J6" i="59"/>
  <c r="AU5" i="98"/>
  <c r="J54" i="13"/>
  <c r="O41" i="32"/>
  <c r="J64" i="71"/>
  <c r="J9" i="71"/>
  <c r="AC73" i="33"/>
  <c r="AC129" i="33"/>
  <c r="AC89" i="32"/>
  <c r="AC27" i="33"/>
  <c r="O115" i="33"/>
  <c r="K12" i="104"/>
  <c r="K67" i="104"/>
  <c r="AD64" i="104"/>
  <c r="AD9" i="104"/>
  <c r="AG12" i="71"/>
  <c r="AG67" i="71"/>
  <c r="AC115" i="33"/>
  <c r="W9" i="98"/>
  <c r="W64" i="98"/>
  <c r="O19" i="97"/>
  <c r="S31" i="89"/>
  <c r="AV23" i="71"/>
  <c r="O26" i="32"/>
  <c r="AD31" i="103"/>
  <c r="L24" i="59"/>
  <c r="AW23" i="98"/>
  <c r="L122" i="10"/>
  <c r="AW23" i="104"/>
  <c r="M9" i="104"/>
  <c r="M64" i="104"/>
  <c r="S41" i="32"/>
  <c r="P67" i="71"/>
  <c r="P12" i="71"/>
  <c r="J148" i="10"/>
  <c r="J17" i="10"/>
  <c r="J65" i="10"/>
  <c r="BO6" i="98"/>
  <c r="AV20" i="103"/>
  <c r="BN6" i="71"/>
  <c r="AG9" i="32"/>
  <c r="BO6" i="104"/>
  <c r="AD108" i="10"/>
  <c r="AK20" i="89"/>
  <c r="AG460" i="97"/>
  <c r="AD7" i="10"/>
  <c r="M67" i="98"/>
  <c r="M12" i="98"/>
  <c r="M12" i="71"/>
  <c r="M67" i="71"/>
  <c r="L38" i="32"/>
  <c r="AE64" i="98"/>
  <c r="AE9" i="98"/>
  <c r="W17" i="103"/>
  <c r="H8" i="32"/>
  <c r="AP5" i="104"/>
  <c r="AO5" i="71"/>
  <c r="E6" i="59"/>
  <c r="AP5" i="98"/>
  <c r="E104" i="10"/>
  <c r="L17" i="89"/>
  <c r="H491" i="97"/>
  <c r="E54" i="13"/>
  <c r="Y120" i="10"/>
  <c r="BI9" i="71"/>
  <c r="AB12" i="32"/>
  <c r="AB25" i="97"/>
  <c r="BJ9" i="98"/>
  <c r="BJ9" i="104"/>
  <c r="AF29" i="89"/>
  <c r="AQ29" i="103"/>
  <c r="Z67" i="71"/>
  <c r="Z12" i="71"/>
  <c r="AD41" i="32"/>
  <c r="T138" i="10"/>
  <c r="AL26" i="32"/>
  <c r="AK26" i="32"/>
  <c r="BR23" i="71"/>
  <c r="AK19" i="97"/>
  <c r="AO31" i="89"/>
  <c r="BS23" i="104"/>
  <c r="AH122" i="10"/>
  <c r="BS23" i="98"/>
  <c r="AK26" i="10"/>
  <c r="AZ31" i="103"/>
  <c r="E9" i="71"/>
  <c r="E64" i="71"/>
  <c r="T22" i="32"/>
  <c r="S22" i="32"/>
  <c r="BA19" i="104"/>
  <c r="P106" i="10"/>
  <c r="S485" i="97"/>
  <c r="BA19" i="98"/>
  <c r="P20" i="59"/>
  <c r="AZ19" i="71"/>
  <c r="AH19" i="103"/>
  <c r="W19" i="89"/>
  <c r="Q67" i="71"/>
  <c r="Q12" i="71"/>
  <c r="Q89" i="32"/>
  <c r="R89" i="32" s="1"/>
  <c r="W27" i="33"/>
  <c r="W129" i="33"/>
  <c r="W73" i="33"/>
  <c r="BQ11" i="104"/>
  <c r="BQ11" i="98"/>
  <c r="BP11" i="71"/>
  <c r="AI14" i="32"/>
  <c r="BB11" i="104"/>
  <c r="BA11" i="71"/>
  <c r="BB11" i="98"/>
  <c r="Q12" i="59"/>
  <c r="I26" i="32"/>
  <c r="M31" i="89"/>
  <c r="F24" i="59"/>
  <c r="F122" i="10"/>
  <c r="X31" i="103"/>
  <c r="AP23" i="71"/>
  <c r="AQ23" i="98"/>
  <c r="AQ23" i="104"/>
  <c r="I19" i="97"/>
  <c r="AV19" i="98"/>
  <c r="K106" i="10"/>
  <c r="R19" i="89"/>
  <c r="N22" i="32"/>
  <c r="AU19" i="71"/>
  <c r="AC19" i="103"/>
  <c r="K20" i="59"/>
  <c r="AV19" i="104"/>
  <c r="N485" i="97"/>
  <c r="G9" i="71"/>
  <c r="G64" i="71"/>
  <c r="T26" i="32"/>
  <c r="BB23" i="104"/>
  <c r="T19" i="97"/>
  <c r="X31" i="89"/>
  <c r="BB23" i="98"/>
  <c r="AI31" i="103"/>
  <c r="Q24" i="59"/>
  <c r="BA23" i="71"/>
  <c r="Q122" i="10"/>
  <c r="AJ46" i="10"/>
  <c r="AL46" i="10"/>
  <c r="AC64" i="98"/>
  <c r="AC9" i="98"/>
  <c r="AN27" i="33"/>
  <c r="AY89" i="32"/>
  <c r="AN73" i="33"/>
  <c r="AN129" i="33"/>
  <c r="BQ23" i="98"/>
  <c r="BP23" i="71"/>
  <c r="AI19" i="97"/>
  <c r="AI26" i="32"/>
  <c r="BQ23" i="104"/>
  <c r="AF122" i="10"/>
  <c r="AX31" i="103"/>
  <c r="AM31" i="89"/>
  <c r="BN11" i="104"/>
  <c r="BN11" i="98"/>
  <c r="BM11" i="71"/>
  <c r="AH41" i="32"/>
  <c r="AF12" i="71"/>
  <c r="AF67" i="71"/>
  <c r="AC20" i="103"/>
  <c r="AV6" i="98"/>
  <c r="N460" i="97"/>
  <c r="R20" i="89"/>
  <c r="AV6" i="104"/>
  <c r="K108" i="10"/>
  <c r="AU6" i="71"/>
  <c r="N9" i="32"/>
  <c r="K7" i="59"/>
  <c r="Q12" i="98"/>
  <c r="Q67" i="98"/>
  <c r="Z31" i="103"/>
  <c r="O31" i="89"/>
  <c r="AS23" i="104"/>
  <c r="H24" i="59"/>
  <c r="K26" i="32"/>
  <c r="H122" i="10"/>
  <c r="K19" i="97"/>
  <c r="AR23" i="71"/>
  <c r="AS23" i="98"/>
  <c r="BL9" i="104"/>
  <c r="BL9" i="98"/>
  <c r="AA120" i="10"/>
  <c r="AS104" i="32" s="1"/>
  <c r="BK9" i="71"/>
  <c r="AH29" i="89"/>
  <c r="AS29" i="103"/>
  <c r="AD25" i="97"/>
  <c r="AD12" i="32"/>
  <c r="AB12" i="104"/>
  <c r="AB67" i="104"/>
  <c r="H22" i="32"/>
  <c r="W19" i="103"/>
  <c r="E106" i="10"/>
  <c r="AP19" i="104"/>
  <c r="AP19" i="98"/>
  <c r="E20" i="59"/>
  <c r="L19" i="89"/>
  <c r="AO19" i="71"/>
  <c r="H485" i="97"/>
  <c r="R27" i="33"/>
  <c r="R129" i="33"/>
  <c r="R73" i="33"/>
  <c r="Z41" i="32"/>
  <c r="E9" i="104"/>
  <c r="E64" i="104"/>
  <c r="AL115" i="33"/>
  <c r="AU104" i="32"/>
  <c r="AW31" i="103"/>
  <c r="BO23" i="71"/>
  <c r="AH26" i="32"/>
  <c r="AH19" i="97"/>
  <c r="BP23" i="98"/>
  <c r="BP23" i="104"/>
  <c r="AL31" i="89"/>
  <c r="AE122" i="10"/>
  <c r="AI41" i="32"/>
  <c r="BP6" i="98"/>
  <c r="AE108" i="10"/>
  <c r="BO6" i="71"/>
  <c r="AH460" i="97"/>
  <c r="AH9" i="32"/>
  <c r="BP6" i="104"/>
  <c r="AW20" i="103"/>
  <c r="AL20" i="89"/>
  <c r="AL27" i="33"/>
  <c r="AL73" i="33"/>
  <c r="AU89" i="32"/>
  <c r="AL129" i="33"/>
  <c r="M73" i="33"/>
  <c r="M129" i="33"/>
  <c r="M27" i="33"/>
  <c r="Y108" i="10"/>
  <c r="BI6" i="71"/>
  <c r="BJ6" i="104"/>
  <c r="AB460" i="97"/>
  <c r="AB9" i="32"/>
  <c r="Y7" i="10"/>
  <c r="AF20" i="89"/>
  <c r="BJ6" i="98"/>
  <c r="AQ20" i="103"/>
  <c r="W31" i="103"/>
  <c r="AP23" i="104"/>
  <c r="L31" i="89"/>
  <c r="E122" i="10"/>
  <c r="E119" i="10" s="1"/>
  <c r="E24" i="59"/>
  <c r="H19" i="97"/>
  <c r="AO23" i="71"/>
  <c r="H26" i="32"/>
  <c r="AP23" i="98"/>
  <c r="AE67" i="71"/>
  <c r="AE12" i="71"/>
  <c r="AA14" i="32"/>
  <c r="BH11" i="104"/>
  <c r="BG11" i="71"/>
  <c r="Z14" i="32"/>
  <c r="BH11" i="98"/>
  <c r="E17" i="10"/>
  <c r="E148" i="10"/>
  <c r="E65" i="10"/>
  <c r="AR11" i="104"/>
  <c r="AQ11" i="71"/>
  <c r="AR11" i="98"/>
  <c r="G12" i="59"/>
  <c r="J14" i="32"/>
  <c r="N115" i="33"/>
  <c r="AF12" i="98"/>
  <c r="AF67" i="98"/>
  <c r="AL19" i="89"/>
  <c r="BP19" i="104"/>
  <c r="BP19" i="98"/>
  <c r="AW19" i="103"/>
  <c r="AH485" i="97"/>
  <c r="AE106" i="10"/>
  <c r="AE103" i="10" s="1"/>
  <c r="AH22" i="32"/>
  <c r="BO19" i="71"/>
  <c r="AP20" i="89"/>
  <c r="C9" i="32"/>
  <c r="AL9" i="10"/>
  <c r="BT6" i="104"/>
  <c r="BT6" i="98"/>
  <c r="BA20" i="103"/>
  <c r="AI108" i="10"/>
  <c r="AL460" i="97"/>
  <c r="AJ9" i="10"/>
  <c r="AL9" i="32"/>
  <c r="AC67" i="71"/>
  <c r="AC12" i="71"/>
  <c r="BQ6" i="71"/>
  <c r="BR6" i="104"/>
  <c r="BR6" i="98"/>
  <c r="AG108" i="10"/>
  <c r="AG7" i="10"/>
  <c r="AN20" i="89"/>
  <c r="AY20" i="103"/>
  <c r="AJ9" i="32"/>
  <c r="AJ460" i="97"/>
  <c r="Z129" i="33"/>
  <c r="W89" i="32"/>
  <c r="X89" i="32" s="1"/>
  <c r="Z73" i="33"/>
  <c r="Z27" i="33"/>
  <c r="N64" i="71"/>
  <c r="N9" i="71"/>
  <c r="R104" i="10"/>
  <c r="U8" i="32"/>
  <c r="Y17" i="89"/>
  <c r="BC5" i="98"/>
  <c r="U491" i="97"/>
  <c r="AJ17" i="103"/>
  <c r="BB5" i="71"/>
  <c r="BC5" i="104"/>
  <c r="R54" i="13"/>
  <c r="AY11" i="104"/>
  <c r="N12" i="59"/>
  <c r="AX11" i="71"/>
  <c r="AY11" i="98"/>
  <c r="X12" i="104"/>
  <c r="X67" i="104"/>
  <c r="D64" i="104"/>
  <c r="D9" i="104"/>
  <c r="G38" i="32"/>
  <c r="S67" i="71"/>
  <c r="S12" i="71"/>
  <c r="AU31" i="103"/>
  <c r="AF19" i="97"/>
  <c r="AC122" i="10"/>
  <c r="AF26" i="32"/>
  <c r="BN23" i="104"/>
  <c r="BM23" i="71"/>
  <c r="BN23" i="98"/>
  <c r="AJ31" i="89"/>
  <c r="R64" i="104"/>
  <c r="R9" i="104"/>
  <c r="AA67" i="104"/>
  <c r="AA12" i="104"/>
  <c r="AB67" i="71"/>
  <c r="AB12" i="71"/>
  <c r="AG154" i="10"/>
  <c r="U19" i="97"/>
  <c r="Y31" i="89"/>
  <c r="R122" i="10"/>
  <c r="BC23" i="98"/>
  <c r="BB23" i="71"/>
  <c r="AJ31" i="103"/>
  <c r="U26" i="32"/>
  <c r="BC23" i="104"/>
  <c r="G9" i="98"/>
  <c r="G64" i="98"/>
  <c r="I67" i="104"/>
  <c r="I12" i="104"/>
  <c r="AS20" i="103"/>
  <c r="BK6" i="71"/>
  <c r="AA108" i="10"/>
  <c r="AD9" i="32"/>
  <c r="BL6" i="104"/>
  <c r="AA7" i="10"/>
  <c r="AD460" i="97"/>
  <c r="BL6" i="98"/>
  <c r="AH20" i="89"/>
  <c r="AE12" i="32"/>
  <c r="O64" i="98"/>
  <c r="O9" i="98"/>
  <c r="W122" i="10"/>
  <c r="BG23" i="71"/>
  <c r="BH23" i="104"/>
  <c r="Z26" i="32"/>
  <c r="BH23" i="98"/>
  <c r="Z19" i="97"/>
  <c r="AD31" i="89"/>
  <c r="AO31" i="103"/>
  <c r="AC19" i="97"/>
  <c r="AG31" i="89"/>
  <c r="BJ23" i="71"/>
  <c r="AR31" i="103"/>
  <c r="BK23" i="104"/>
  <c r="Z122" i="10"/>
  <c r="AC26" i="32"/>
  <c r="BK23" i="98"/>
  <c r="Y67" i="98"/>
  <c r="Y12" i="98"/>
  <c r="L67" i="71"/>
  <c r="L12" i="71"/>
  <c r="BC5" i="71"/>
  <c r="S104" i="10"/>
  <c r="BD5" i="98"/>
  <c r="AK17" i="103"/>
  <c r="V8" i="32"/>
  <c r="BD5" i="104"/>
  <c r="V491" i="97"/>
  <c r="Z17" i="89"/>
  <c r="S54" i="13"/>
  <c r="Y89" i="32"/>
  <c r="Z89" i="32" s="1"/>
  <c r="AA73" i="33"/>
  <c r="AA129" i="33"/>
  <c r="AA27" i="33"/>
  <c r="S115" i="33"/>
  <c r="T67" i="71"/>
  <c r="T12" i="71"/>
  <c r="Q27" i="33"/>
  <c r="L27" i="33"/>
  <c r="L73" i="33"/>
  <c r="L129" i="33"/>
  <c r="BG6" i="104"/>
  <c r="BG6" i="98"/>
  <c r="Y460" i="97"/>
  <c r="V108" i="10"/>
  <c r="Y9" i="32"/>
  <c r="AC20" i="89"/>
  <c r="AN20" i="103"/>
  <c r="BF6" i="71"/>
  <c r="AV11" i="104"/>
  <c r="AU11" i="71"/>
  <c r="AV11" i="98"/>
  <c r="K12" i="59"/>
  <c r="T129" i="33"/>
  <c r="T27" i="33"/>
  <c r="T73" i="33"/>
  <c r="S129" i="33"/>
  <c r="S73" i="33"/>
  <c r="S27" i="33"/>
  <c r="J67" i="104"/>
  <c r="J12" i="104"/>
  <c r="AO6" i="104"/>
  <c r="G9" i="32"/>
  <c r="AO6" i="98"/>
  <c r="K20" i="89"/>
  <c r="AN6" i="71"/>
  <c r="V20" i="103"/>
  <c r="G460" i="97"/>
  <c r="D7" i="59"/>
  <c r="D108" i="10"/>
  <c r="AG20" i="103"/>
  <c r="R460" i="97"/>
  <c r="AY6" i="71"/>
  <c r="R9" i="32"/>
  <c r="AZ6" i="104"/>
  <c r="AZ6" i="98"/>
  <c r="V20" i="89"/>
  <c r="O108" i="10"/>
  <c r="O7" i="59"/>
  <c r="AD9" i="71"/>
  <c r="AD64" i="71"/>
  <c r="BR11" i="104"/>
  <c r="BQ11" i="71"/>
  <c r="BR11" i="98"/>
  <c r="AJ14" i="32"/>
  <c r="AA154" i="10"/>
  <c r="BI6" i="98"/>
  <c r="AA460" i="97"/>
  <c r="X108" i="10"/>
  <c r="AE20" i="89"/>
  <c r="AP20" i="103"/>
  <c r="BI6" i="104"/>
  <c r="AA9" i="32"/>
  <c r="BH6" i="71"/>
  <c r="C69" i="71"/>
  <c r="C14" i="71"/>
  <c r="P12" i="104"/>
  <c r="P67" i="104"/>
  <c r="T41" i="32"/>
  <c r="N106" i="10"/>
  <c r="AX19" i="71"/>
  <c r="U19" i="89"/>
  <c r="Q485" i="97"/>
  <c r="AF19" i="103"/>
  <c r="Q22" i="32"/>
  <c r="N20" i="59"/>
  <c r="AY19" i="104"/>
  <c r="AY19" i="98"/>
  <c r="X129" i="33"/>
  <c r="X27" i="33"/>
  <c r="X73" i="33"/>
  <c r="S89" i="32"/>
  <c r="T89" i="32" s="1"/>
  <c r="L120" i="10"/>
  <c r="AW9" i="98"/>
  <c r="L10" i="59"/>
  <c r="S29" i="89"/>
  <c r="O25" i="97"/>
  <c r="O12" i="32"/>
  <c r="AD29" i="103"/>
  <c r="AV9" i="71"/>
  <c r="AW9" i="104"/>
  <c r="M67" i="104"/>
  <c r="M12" i="104"/>
  <c r="AB31" i="103"/>
  <c r="AU23" i="98"/>
  <c r="M19" i="97"/>
  <c r="J122" i="10"/>
  <c r="J24" i="59"/>
  <c r="AU23" i="104"/>
  <c r="AT23" i="71"/>
  <c r="M26" i="32"/>
  <c r="Q31" i="89"/>
  <c r="BD19" i="104"/>
  <c r="Z19" i="89"/>
  <c r="V22" i="32"/>
  <c r="AK19" i="103"/>
  <c r="S106" i="10"/>
  <c r="BC19" i="71"/>
  <c r="BD19" i="98"/>
  <c r="V485" i="97"/>
  <c r="Q129" i="33"/>
  <c r="Q73" i="33"/>
  <c r="AY104" i="32"/>
  <c r="AN115" i="33"/>
  <c r="AQ5" i="98"/>
  <c r="I8" i="32"/>
  <c r="AP5" i="71"/>
  <c r="F104" i="10"/>
  <c r="F6" i="59"/>
  <c r="X17" i="103"/>
  <c r="M17" i="89"/>
  <c r="I491" i="97"/>
  <c r="AQ5" i="104"/>
  <c r="F54" i="13"/>
  <c r="AF106" i="10"/>
  <c r="AF103" i="10" s="1"/>
  <c r="AM19" i="89"/>
  <c r="BQ19" i="98"/>
  <c r="AI22" i="32"/>
  <c r="AX19" i="103"/>
  <c r="BQ19" i="104"/>
  <c r="BP19" i="71"/>
  <c r="AI485" i="97"/>
  <c r="AR6" i="98"/>
  <c r="G108" i="10"/>
  <c r="AQ6" i="71"/>
  <c r="G7" i="59"/>
  <c r="Y20" i="103"/>
  <c r="J460" i="97"/>
  <c r="N20" i="89"/>
  <c r="AR6" i="104"/>
  <c r="J9" i="32"/>
  <c r="AQ89" i="32"/>
  <c r="AO89" i="32"/>
  <c r="AI27" i="33"/>
  <c r="AI129" i="33"/>
  <c r="AI73" i="33"/>
  <c r="AA19" i="89"/>
  <c r="T106" i="10"/>
  <c r="BD19" i="71"/>
  <c r="W22" i="32"/>
  <c r="AL19" i="103"/>
  <c r="BE19" i="98"/>
  <c r="BE19" i="104"/>
  <c r="W485" i="97"/>
  <c r="AC64" i="71"/>
  <c r="AC9" i="71"/>
  <c r="Q38" i="32"/>
  <c r="BI11" i="104"/>
  <c r="BI11" i="98"/>
  <c r="BH11" i="71"/>
  <c r="S67" i="104"/>
  <c r="S12" i="104"/>
  <c r="BL11" i="104"/>
  <c r="BK11" i="71"/>
  <c r="BL11" i="98"/>
  <c r="AJ19" i="97"/>
  <c r="AY31" i="103"/>
  <c r="BR23" i="104"/>
  <c r="BQ23" i="71"/>
  <c r="AJ26" i="32"/>
  <c r="AN31" i="89"/>
  <c r="AG122" i="10"/>
  <c r="BR23" i="98"/>
  <c r="BO11" i="104"/>
  <c r="BN11" i="71"/>
  <c r="BO11" i="98"/>
  <c r="AG14" i="32"/>
  <c r="H9" i="71"/>
  <c r="H64" i="71"/>
  <c r="V9" i="98"/>
  <c r="V64" i="98"/>
  <c r="P115" i="33"/>
  <c r="AE20" i="103"/>
  <c r="M108" i="10"/>
  <c r="P460" i="97"/>
  <c r="T20" i="89"/>
  <c r="AX6" i="104"/>
  <c r="M7" i="59"/>
  <c r="AX6" i="98"/>
  <c r="AW6" i="71"/>
  <c r="P9" i="32"/>
  <c r="I67" i="71"/>
  <c r="I12" i="71"/>
  <c r="V67" i="98"/>
  <c r="V12" i="98"/>
  <c r="BS6" i="98"/>
  <c r="AZ20" i="103"/>
  <c r="AK9" i="10"/>
  <c r="AH108" i="10"/>
  <c r="AK9" i="32"/>
  <c r="BS6" i="104"/>
  <c r="BR6" i="71"/>
  <c r="AO20" i="89"/>
  <c r="AK460" i="97"/>
  <c r="AB9" i="71"/>
  <c r="AB64" i="71"/>
  <c r="AE26" i="32"/>
  <c r="AB122" i="10"/>
  <c r="AI31" i="89"/>
  <c r="AE19" i="97"/>
  <c r="BM23" i="104"/>
  <c r="BM23" i="98"/>
  <c r="AT31" i="103"/>
  <c r="BL23" i="71"/>
  <c r="C8" i="32"/>
  <c r="AM5" i="71"/>
  <c r="J17" i="89"/>
  <c r="F491" i="97"/>
  <c r="U17" i="103"/>
  <c r="AN5" i="98"/>
  <c r="C6" i="59"/>
  <c r="C104" i="10"/>
  <c r="AN5" i="104"/>
  <c r="AJ8" i="10"/>
  <c r="C54" i="13"/>
  <c r="P22" i="32"/>
  <c r="O485" i="97"/>
  <c r="AW19" i="98"/>
  <c r="L106" i="10"/>
  <c r="O22" i="32"/>
  <c r="AV19" i="71"/>
  <c r="AD19" i="103"/>
  <c r="L20" i="59"/>
  <c r="AW19" i="104"/>
  <c r="S19" i="89"/>
  <c r="Y67" i="104"/>
  <c r="Y12" i="104"/>
  <c r="BT19" i="98"/>
  <c r="BT19" i="104"/>
  <c r="AP19" i="89"/>
  <c r="AL485" i="97"/>
  <c r="BA19" i="103"/>
  <c r="AJ22" i="10"/>
  <c r="AL22" i="10"/>
  <c r="C22" i="32"/>
  <c r="AL22" i="32"/>
  <c r="AI106" i="10"/>
  <c r="L12" i="104"/>
  <c r="L67" i="104"/>
  <c r="J64" i="104"/>
  <c r="J9" i="104"/>
  <c r="T67" i="104"/>
  <c r="T12" i="104"/>
  <c r="I38" i="32"/>
  <c r="AG106" i="10"/>
  <c r="AG103" i="10" s="1"/>
  <c r="AY19" i="103"/>
  <c r="BR19" i="104"/>
  <c r="AJ22" i="32"/>
  <c r="AJ485" i="97"/>
  <c r="BQ19" i="71"/>
  <c r="AN19" i="89"/>
  <c r="BR19" i="98"/>
  <c r="BH19" i="71"/>
  <c r="AA22" i="32"/>
  <c r="AA485" i="97"/>
  <c r="AE19" i="89"/>
  <c r="BI19" i="98"/>
  <c r="AP19" i="103"/>
  <c r="BI19" i="104"/>
  <c r="X106" i="10"/>
  <c r="BC6" i="71"/>
  <c r="Z20" i="89"/>
  <c r="AK20" i="103"/>
  <c r="V460" i="97"/>
  <c r="BD6" i="104"/>
  <c r="BD6" i="98"/>
  <c r="S108" i="10"/>
  <c r="V9" i="32"/>
  <c r="J12" i="71"/>
  <c r="J67" i="71"/>
  <c r="AM20" i="89"/>
  <c r="BQ6" i="98"/>
  <c r="BP6" i="71"/>
  <c r="AX20" i="103"/>
  <c r="AI460" i="97"/>
  <c r="AF7" i="10"/>
  <c r="BQ6" i="104"/>
  <c r="AF108" i="10"/>
  <c r="AI9" i="32"/>
  <c r="BA5" i="71"/>
  <c r="Q7" i="10"/>
  <c r="Q104" i="10"/>
  <c r="Q6" i="59"/>
  <c r="T491" i="97"/>
  <c r="T8" i="32"/>
  <c r="X17" i="89"/>
  <c r="BB5" i="98"/>
  <c r="AI17" i="103"/>
  <c r="BB5" i="104"/>
  <c r="Q54" i="13"/>
  <c r="BC89" i="32"/>
  <c r="AP27" i="33"/>
  <c r="AP73" i="33"/>
  <c r="AP129" i="33"/>
  <c r="BL23" i="98"/>
  <c r="AA122" i="10"/>
  <c r="AS31" i="103"/>
  <c r="BK23" i="71"/>
  <c r="AH31" i="89"/>
  <c r="AD26" i="32"/>
  <c r="AD19" i="97"/>
  <c r="BL23" i="104"/>
  <c r="T64" i="98"/>
  <c r="T9" i="98"/>
  <c r="E12" i="98"/>
  <c r="E67" i="98"/>
  <c r="V115" i="33"/>
  <c r="O12" i="104"/>
  <c r="O67" i="104"/>
  <c r="O12" i="71"/>
  <c r="O67" i="71"/>
  <c r="P41" i="32"/>
  <c r="R115" i="33"/>
  <c r="I64" i="104"/>
  <c r="I9" i="104"/>
  <c r="S138" i="10"/>
  <c r="K41" i="32"/>
  <c r="H12" i="71"/>
  <c r="H67" i="71"/>
  <c r="AY6" i="104"/>
  <c r="AY6" i="98"/>
  <c r="N108" i="10"/>
  <c r="U20" i="89"/>
  <c r="Q9" i="32"/>
  <c r="AX6" i="71"/>
  <c r="N7" i="59"/>
  <c r="AF20" i="103"/>
  <c r="Q460" i="97"/>
  <c r="I41" i="32"/>
  <c r="AD20" i="89"/>
  <c r="Z460" i="97"/>
  <c r="Z9" i="32"/>
  <c r="BH6" i="98"/>
  <c r="W7" i="10"/>
  <c r="AO20" i="103"/>
  <c r="BG6" i="71"/>
  <c r="BH6" i="104"/>
  <c r="W108" i="10"/>
  <c r="N122" i="10"/>
  <c r="U31" i="89"/>
  <c r="AX23" i="71"/>
  <c r="Q26" i="32"/>
  <c r="AY23" i="98"/>
  <c r="N24" i="59"/>
  <c r="AF31" i="103"/>
  <c r="AY23" i="104"/>
  <c r="Q19" i="97"/>
  <c r="AE67" i="104"/>
  <c r="AE12" i="104"/>
  <c r="AH12" i="71"/>
  <c r="AH67" i="71"/>
  <c r="L108" i="10"/>
  <c r="O9" i="32"/>
  <c r="O460" i="97"/>
  <c r="AD20" i="103"/>
  <c r="AW6" i="104"/>
  <c r="L7" i="59"/>
  <c r="S20" i="89"/>
  <c r="AV6" i="71"/>
  <c r="AW6" i="98"/>
  <c r="I460" i="97"/>
  <c r="AQ6" i="104"/>
  <c r="F7" i="59"/>
  <c r="M20" i="89"/>
  <c r="F108" i="10"/>
  <c r="I9" i="32"/>
  <c r="AQ6" i="98"/>
  <c r="AP6" i="71"/>
  <c r="X20" i="103"/>
  <c r="R12" i="104"/>
  <c r="R67" i="104"/>
  <c r="T67" i="98"/>
  <c r="T12" i="98"/>
  <c r="BF6" i="104"/>
  <c r="U108" i="10"/>
  <c r="BF6" i="98"/>
  <c r="BE6" i="71"/>
  <c r="X9" i="32"/>
  <c r="AB20" i="89"/>
  <c r="X460" i="97"/>
  <c r="AM20" i="103"/>
  <c r="F64" i="104"/>
  <c r="F9" i="104"/>
  <c r="C67" i="71"/>
  <c r="C12" i="71"/>
  <c r="AV9" i="98"/>
  <c r="AV9" i="104"/>
  <c r="K120" i="10"/>
  <c r="N25" i="97"/>
  <c r="R29" i="89"/>
  <c r="K10" i="59"/>
  <c r="AC29" i="103"/>
  <c r="AU9" i="71"/>
  <c r="N12" i="32"/>
  <c r="BM19" i="104"/>
  <c r="AB106" i="10"/>
  <c r="AE485" i="97"/>
  <c r="AT19" i="103"/>
  <c r="AI19" i="89"/>
  <c r="AE22" i="32"/>
  <c r="BL19" i="71"/>
  <c r="BM19" i="98"/>
  <c r="K12" i="98"/>
  <c r="K67" i="98"/>
  <c r="BN23" i="71"/>
  <c r="AG26" i="32"/>
  <c r="AD122" i="10"/>
  <c r="BO23" i="98"/>
  <c r="AG19" i="97"/>
  <c r="AV31" i="103"/>
  <c r="AK31" i="89"/>
  <c r="BO23" i="104"/>
  <c r="M41" i="32"/>
  <c r="D138" i="10"/>
  <c r="AM115" i="33"/>
  <c r="AW104" i="32"/>
  <c r="AG54" i="13"/>
  <c r="T9" i="71"/>
  <c r="T64" i="71"/>
  <c r="Y20" i="89"/>
  <c r="U460" i="97"/>
  <c r="R108" i="10"/>
  <c r="U9" i="32"/>
  <c r="BB6" i="71"/>
  <c r="AJ20" i="103"/>
  <c r="BC6" i="104"/>
  <c r="BC6" i="98"/>
  <c r="AG485" i="97"/>
  <c r="AK19" i="89"/>
  <c r="BN19" i="71"/>
  <c r="AV19" i="103"/>
  <c r="BO19" i="104"/>
  <c r="BO19" i="98"/>
  <c r="AG22" i="32"/>
  <c r="AD106" i="10"/>
  <c r="AD103" i="10" s="1"/>
  <c r="Y35" i="33"/>
  <c r="L121" i="33"/>
  <c r="L35" i="33"/>
  <c r="L81" i="33"/>
  <c r="AL81" i="33"/>
  <c r="Y81" i="33"/>
  <c r="Z35" i="33"/>
  <c r="AG35" i="33"/>
  <c r="G97" i="32"/>
  <c r="AH35" i="33"/>
  <c r="T35" i="33"/>
  <c r="AG81" i="33"/>
  <c r="AF35" i="33"/>
  <c r="AH81" i="33"/>
  <c r="O35" i="33"/>
  <c r="Z81" i="33"/>
  <c r="T81" i="33"/>
  <c r="Q81" i="33"/>
  <c r="AF81" i="33"/>
  <c r="X35" i="33"/>
  <c r="AC81" i="33"/>
  <c r="O81" i="33"/>
  <c r="AJ81" i="33"/>
  <c r="AP81" i="33"/>
  <c r="X81" i="33"/>
  <c r="AC35" i="33"/>
  <c r="AP35" i="33"/>
  <c r="Q35" i="33"/>
  <c r="AE81" i="33"/>
  <c r="W35" i="33"/>
  <c r="R35" i="33"/>
  <c r="AO35" i="33"/>
  <c r="U81" i="33"/>
  <c r="AJ35" i="33"/>
  <c r="P81" i="33"/>
  <c r="AM35" i="33"/>
  <c r="AN81" i="33"/>
  <c r="AE35" i="33"/>
  <c r="AB35" i="33"/>
  <c r="W81" i="33"/>
  <c r="R81" i="33"/>
  <c r="AO81" i="33"/>
  <c r="U35" i="33"/>
  <c r="P35" i="33"/>
  <c r="AM81" i="33"/>
  <c r="AL35" i="33"/>
  <c r="AN35" i="33"/>
  <c r="AB81" i="33"/>
  <c r="M64" i="98"/>
  <c r="M9" i="98"/>
  <c r="BI9" i="104"/>
  <c r="AA25" i="97"/>
  <c r="X120" i="10"/>
  <c r="AE29" i="89"/>
  <c r="BH9" i="71"/>
  <c r="BI9" i="98"/>
  <c r="AP29" i="103"/>
  <c r="AA12" i="32"/>
  <c r="I24" i="59"/>
  <c r="AT23" i="104"/>
  <c r="AT23" i="98"/>
  <c r="L26" i="32"/>
  <c r="P31" i="89"/>
  <c r="AS23" i="71"/>
  <c r="L19" i="97"/>
  <c r="AA31" i="103"/>
  <c r="I122" i="10"/>
  <c r="I64" i="98"/>
  <c r="I9" i="98"/>
  <c r="H67" i="104"/>
  <c r="H12" i="104"/>
  <c r="AI20" i="89"/>
  <c r="AT20" i="103"/>
  <c r="AE460" i="97"/>
  <c r="BM6" i="98"/>
  <c r="BM6" i="104"/>
  <c r="BL6" i="71"/>
  <c r="AB108" i="10"/>
  <c r="AE9" i="32"/>
  <c r="AB19" i="97"/>
  <c r="BI23" i="71"/>
  <c r="BJ23" i="98"/>
  <c r="AF31" i="89"/>
  <c r="AQ31" i="103"/>
  <c r="BJ23" i="104"/>
  <c r="AB26" i="32"/>
  <c r="Y122" i="10"/>
  <c r="F67" i="104"/>
  <c r="F12" i="104"/>
  <c r="BF23" i="71"/>
  <c r="V122" i="10"/>
  <c r="BG23" i="98"/>
  <c r="AC31" i="89"/>
  <c r="AN31" i="103"/>
  <c r="Y26" i="32"/>
  <c r="Y19" i="97"/>
  <c r="BG23" i="104"/>
  <c r="U17" i="10"/>
  <c r="U148" i="10"/>
  <c r="U65" i="10"/>
  <c r="AM154" i="10" l="1"/>
  <c r="AJ8" i="100"/>
  <c r="Q88" i="33"/>
  <c r="M42" i="33"/>
  <c r="AM8" i="100"/>
  <c r="AQ8" i="100" s="1"/>
  <c r="AA104" i="32"/>
  <c r="AB104" i="32" s="1"/>
  <c r="AB118" i="32" s="1"/>
  <c r="AN42" i="33"/>
  <c r="X88" i="33"/>
  <c r="AF88" i="33"/>
  <c r="M88" i="33"/>
  <c r="AL88" i="33"/>
  <c r="AK88" i="33"/>
  <c r="AC42" i="33"/>
  <c r="S88" i="33"/>
  <c r="AL42" i="33"/>
  <c r="AC88" i="33"/>
  <c r="O88" i="33"/>
  <c r="AD88" i="33"/>
  <c r="R42" i="33"/>
  <c r="P88" i="33"/>
  <c r="S42" i="33"/>
  <c r="N42" i="33"/>
  <c r="AD42" i="33"/>
  <c r="AA42" i="33"/>
  <c r="AK42" i="33"/>
  <c r="AE88" i="33"/>
  <c r="AN88" i="33"/>
  <c r="X42" i="33"/>
  <c r="W88" i="33"/>
  <c r="AF42" i="33"/>
  <c r="AM42" i="33"/>
  <c r="R88" i="33"/>
  <c r="V88" i="33"/>
  <c r="O42" i="33"/>
  <c r="AM88" i="33"/>
  <c r="V42" i="33"/>
  <c r="P42" i="33"/>
  <c r="N88" i="33"/>
  <c r="AA88" i="33"/>
  <c r="AE42" i="33"/>
  <c r="W42" i="33"/>
  <c r="Q42" i="33"/>
  <c r="AD7" i="71"/>
  <c r="AD62" i="71"/>
  <c r="AF62" i="104"/>
  <c r="AF7" i="104"/>
  <c r="P62" i="71"/>
  <c r="P7" i="71"/>
  <c r="W62" i="104"/>
  <c r="W7" i="104"/>
  <c r="AL120" i="33"/>
  <c r="AA7" i="104"/>
  <c r="AA62" i="104"/>
  <c r="M120" i="33"/>
  <c r="AI67" i="71"/>
  <c r="AH120" i="33"/>
  <c r="R120" i="33"/>
  <c r="R147" i="10"/>
  <c r="R10" i="10"/>
  <c r="R58" i="10"/>
  <c r="AD7" i="98"/>
  <c r="AD62" i="98"/>
  <c r="K147" i="10"/>
  <c r="K10" i="10"/>
  <c r="K58" i="10"/>
  <c r="L62" i="104"/>
  <c r="L7" i="104"/>
  <c r="AE10" i="10"/>
  <c r="AE147" i="10"/>
  <c r="AE58" i="10"/>
  <c r="N147" i="10"/>
  <c r="N10" i="10"/>
  <c r="N58" i="10"/>
  <c r="AA7" i="71"/>
  <c r="AA62" i="71"/>
  <c r="E10" i="10"/>
  <c r="E147" i="10"/>
  <c r="E58" i="10"/>
  <c r="Z62" i="98"/>
  <c r="Z7" i="98"/>
  <c r="I7" i="71"/>
  <c r="I62" i="71"/>
  <c r="AD62" i="104"/>
  <c r="AD7" i="104"/>
  <c r="P62" i="104"/>
  <c r="P7" i="104"/>
  <c r="AC62" i="104"/>
  <c r="AC7" i="104"/>
  <c r="D62" i="104"/>
  <c r="D7" i="104"/>
  <c r="Y62" i="104"/>
  <c r="Y7" i="104"/>
  <c r="G147" i="10"/>
  <c r="G10" i="10"/>
  <c r="G58" i="10"/>
  <c r="C10" i="10"/>
  <c r="C147" i="10"/>
  <c r="C58" i="10"/>
  <c r="AH10" i="10"/>
  <c r="AH147" i="10"/>
  <c r="AH58" i="10"/>
  <c r="L7" i="98"/>
  <c r="L62" i="98"/>
  <c r="M10" i="10"/>
  <c r="M147" i="10"/>
  <c r="M58" i="10"/>
  <c r="P62" i="98"/>
  <c r="P7" i="98"/>
  <c r="Q7" i="71"/>
  <c r="Q62" i="71"/>
  <c r="AF120" i="33"/>
  <c r="O7" i="71"/>
  <c r="O62" i="71"/>
  <c r="AG62" i="98"/>
  <c r="AG7" i="98"/>
  <c r="AB10" i="10"/>
  <c r="AB147" i="10"/>
  <c r="AB58" i="10"/>
  <c r="AA62" i="98"/>
  <c r="AA7" i="98"/>
  <c r="U147" i="10"/>
  <c r="U10" i="10"/>
  <c r="U58" i="10"/>
  <c r="AI120" i="33"/>
  <c r="AO96" i="32"/>
  <c r="AP96" i="32" s="1"/>
  <c r="AO120" i="33"/>
  <c r="Q62" i="98"/>
  <c r="Q7" i="98"/>
  <c r="W62" i="98"/>
  <c r="W7" i="98"/>
  <c r="O7" i="98"/>
  <c r="O62" i="98"/>
  <c r="AG62" i="71"/>
  <c r="AG7" i="71"/>
  <c r="Z62" i="104"/>
  <c r="Z7" i="104"/>
  <c r="Y7" i="71"/>
  <c r="Y62" i="71"/>
  <c r="AM120" i="33"/>
  <c r="AW96" i="32"/>
  <c r="AX96" i="32" s="1"/>
  <c r="S147" i="10"/>
  <c r="S10" i="10"/>
  <c r="S58" i="10"/>
  <c r="AF62" i="71"/>
  <c r="AF7" i="71"/>
  <c r="Q62" i="104"/>
  <c r="Q7" i="104"/>
  <c r="H10" i="10"/>
  <c r="H147" i="10"/>
  <c r="H58" i="10"/>
  <c r="W7" i="71"/>
  <c r="W62" i="71"/>
  <c r="AP120" i="33"/>
  <c r="BC96" i="32"/>
  <c r="BD96" i="32" s="1"/>
  <c r="AC7" i="71"/>
  <c r="AC62" i="71"/>
  <c r="D7" i="98"/>
  <c r="D62" i="98"/>
  <c r="T147" i="10"/>
  <c r="T10" i="10"/>
  <c r="T58" i="10"/>
  <c r="Z7" i="71"/>
  <c r="Z62" i="71"/>
  <c r="Y62" i="98"/>
  <c r="Y7" i="98"/>
  <c r="I62" i="104"/>
  <c r="I7" i="104"/>
  <c r="AF7" i="98"/>
  <c r="AF62" i="98"/>
  <c r="U120" i="33"/>
  <c r="Y120" i="33"/>
  <c r="U96" i="32"/>
  <c r="V96" i="32" s="1"/>
  <c r="Z120" i="33"/>
  <c r="W96" i="32"/>
  <c r="X96" i="32" s="1"/>
  <c r="X120" i="33"/>
  <c r="AC62" i="98"/>
  <c r="AC7" i="98"/>
  <c r="D62" i="71"/>
  <c r="D7" i="71"/>
  <c r="AJ65" i="10"/>
  <c r="V147" i="10"/>
  <c r="V10" i="10"/>
  <c r="V58" i="10"/>
  <c r="I7" i="98"/>
  <c r="I62" i="98"/>
  <c r="F147" i="10"/>
  <c r="F10" i="10"/>
  <c r="F58" i="10"/>
  <c r="L7" i="71"/>
  <c r="L62" i="71"/>
  <c r="AI147" i="10"/>
  <c r="AI10" i="10"/>
  <c r="AJ61" i="10"/>
  <c r="AI58" i="10"/>
  <c r="O62" i="104"/>
  <c r="O7" i="104"/>
  <c r="AG62" i="104"/>
  <c r="AG7" i="104"/>
  <c r="J10" i="10"/>
  <c r="J147" i="10"/>
  <c r="J58" i="10"/>
  <c r="AQ96" i="32"/>
  <c r="AR96" i="32" s="1"/>
  <c r="AJ120" i="33"/>
  <c r="X147" i="10"/>
  <c r="X10" i="10"/>
  <c r="X58" i="10"/>
  <c r="Z929" i="97"/>
  <c r="AF14" i="33"/>
  <c r="AF127" i="33"/>
  <c r="AP127" i="33"/>
  <c r="AP14" i="33"/>
  <c r="BC87" i="32"/>
  <c r="BD87" i="32" s="1"/>
  <c r="AJ929" i="97"/>
  <c r="AG929" i="97"/>
  <c r="AW87" i="32"/>
  <c r="AX87" i="32" s="1"/>
  <c r="AM14" i="33"/>
  <c r="AM127" i="33"/>
  <c r="AD127" i="33"/>
  <c r="AD14" i="33"/>
  <c r="X929" i="97"/>
  <c r="AO127" i="33"/>
  <c r="AO14" i="33"/>
  <c r="BA87" i="32"/>
  <c r="BB87" i="32" s="1"/>
  <c r="AI929" i="97"/>
  <c r="N114" i="33"/>
  <c r="E39" i="13"/>
  <c r="H926" i="97"/>
  <c r="H97" i="32"/>
  <c r="AB61" i="71"/>
  <c r="AB6" i="71"/>
  <c r="AD19" i="98"/>
  <c r="AD74" i="98"/>
  <c r="AE106" i="32"/>
  <c r="AD117" i="33"/>
  <c r="AD44" i="33"/>
  <c r="AD90" i="33"/>
  <c r="I61" i="104"/>
  <c r="I6" i="104"/>
  <c r="Y11" i="98"/>
  <c r="Y66" i="98"/>
  <c r="U119" i="10"/>
  <c r="D23" i="71"/>
  <c r="D78" i="71"/>
  <c r="AA74" i="71"/>
  <c r="AA19" i="71"/>
  <c r="Y23" i="98"/>
  <c r="Y78" i="98"/>
  <c r="AB6" i="104"/>
  <c r="AB61" i="104"/>
  <c r="I78" i="104"/>
  <c r="I23" i="104"/>
  <c r="AD19" i="104"/>
  <c r="AD74" i="104"/>
  <c r="R61" i="104"/>
  <c r="R6" i="104"/>
  <c r="AD23" i="71"/>
  <c r="AD78" i="71"/>
  <c r="AD76" i="33"/>
  <c r="AE92" i="32"/>
  <c r="AF92" i="32" s="1"/>
  <c r="AD124" i="33"/>
  <c r="AD30" i="33"/>
  <c r="W117" i="33"/>
  <c r="Q106" i="32"/>
  <c r="R106" i="32" s="1"/>
  <c r="W90" i="33"/>
  <c r="W44" i="33"/>
  <c r="W6" i="98"/>
  <c r="W61" i="98"/>
  <c r="AA78" i="98"/>
  <c r="AA23" i="98"/>
  <c r="Q5" i="71"/>
  <c r="Q60" i="71"/>
  <c r="AF6" i="71"/>
  <c r="AF61" i="71"/>
  <c r="S6" i="98"/>
  <c r="S61" i="98"/>
  <c r="P48" i="32"/>
  <c r="AB23" i="104"/>
  <c r="AB78" i="104"/>
  <c r="V76" i="33"/>
  <c r="V30" i="33"/>
  <c r="V124" i="33"/>
  <c r="AJ52" i="32"/>
  <c r="AA66" i="71"/>
  <c r="AA11" i="71"/>
  <c r="AF19" i="104"/>
  <c r="AF74" i="104"/>
  <c r="F60" i="98"/>
  <c r="F5" i="98"/>
  <c r="S19" i="104"/>
  <c r="S74" i="104"/>
  <c r="J78" i="98"/>
  <c r="J23" i="98"/>
  <c r="AG66" i="104"/>
  <c r="AG11" i="104"/>
  <c r="O61" i="104"/>
  <c r="O6" i="104"/>
  <c r="S5" i="71"/>
  <c r="S60" i="71"/>
  <c r="Z23" i="104"/>
  <c r="Z78" i="104"/>
  <c r="W23" i="98"/>
  <c r="W78" i="98"/>
  <c r="AE38" i="32"/>
  <c r="AJ124" i="33"/>
  <c r="AQ92" i="32"/>
  <c r="AR92" i="32" s="1"/>
  <c r="AJ30" i="33"/>
  <c r="AJ76" i="33"/>
  <c r="U52" i="32"/>
  <c r="AC23" i="71"/>
  <c r="AC78" i="71"/>
  <c r="N66" i="71"/>
  <c r="N11" i="71"/>
  <c r="AI6" i="104"/>
  <c r="AI61" i="104"/>
  <c r="AN130" i="33"/>
  <c r="AN28" i="33"/>
  <c r="AN74" i="33"/>
  <c r="AY90" i="32"/>
  <c r="AZ90" i="32" s="1"/>
  <c r="G11" i="104"/>
  <c r="G66" i="104"/>
  <c r="AA40" i="32"/>
  <c r="Y6" i="98"/>
  <c r="Y61" i="98"/>
  <c r="AH35" i="32"/>
  <c r="AE119" i="10"/>
  <c r="AY106" i="32"/>
  <c r="AN117" i="33"/>
  <c r="AN90" i="33"/>
  <c r="AN44" i="33"/>
  <c r="E74" i="98"/>
  <c r="E19" i="98"/>
  <c r="AD38" i="32"/>
  <c r="H23" i="98"/>
  <c r="H78" i="98"/>
  <c r="K6" i="104"/>
  <c r="K61" i="104"/>
  <c r="AF78" i="104"/>
  <c r="AF23" i="104"/>
  <c r="AY122" i="32"/>
  <c r="AZ89" i="32"/>
  <c r="AZ122" i="32" s="1"/>
  <c r="F119" i="10"/>
  <c r="O117" i="33"/>
  <c r="O90" i="33"/>
  <c r="O44" i="33"/>
  <c r="AI40" i="32"/>
  <c r="AH78" i="71"/>
  <c r="AH23" i="71"/>
  <c r="AH115" i="33"/>
  <c r="AH88" i="33"/>
  <c r="AH42" i="33"/>
  <c r="AM104" i="32"/>
  <c r="Y119" i="10"/>
  <c r="BO4" i="104"/>
  <c r="BN4" i="71"/>
  <c r="BO4" i="98"/>
  <c r="AG7" i="32"/>
  <c r="AD6" i="98"/>
  <c r="AD61" i="98"/>
  <c r="O52" i="32"/>
  <c r="U74" i="71"/>
  <c r="U19" i="71"/>
  <c r="X52" i="32"/>
  <c r="I61" i="71"/>
  <c r="I6" i="71"/>
  <c r="Y66" i="104"/>
  <c r="Y11" i="104"/>
  <c r="D23" i="98"/>
  <c r="D78" i="98"/>
  <c r="X78" i="104"/>
  <c r="X23" i="104"/>
  <c r="AH130" i="33"/>
  <c r="AM90" i="32"/>
  <c r="AN90" i="32" s="1"/>
  <c r="AH28" i="33"/>
  <c r="AH74" i="33"/>
  <c r="AE66" i="98"/>
  <c r="AE11" i="98"/>
  <c r="Z61" i="71"/>
  <c r="Z6" i="71"/>
  <c r="AH64" i="71"/>
  <c r="AH9" i="71"/>
  <c r="O28" i="33"/>
  <c r="O130" i="33"/>
  <c r="O74" i="33"/>
  <c r="O78" i="104"/>
  <c r="O23" i="104"/>
  <c r="Q61" i="98"/>
  <c r="Q6" i="98"/>
  <c r="C66" i="71"/>
  <c r="C11" i="71"/>
  <c r="H35" i="32"/>
  <c r="S9" i="98"/>
  <c r="S64" i="98"/>
  <c r="K60" i="71"/>
  <c r="K5" i="71"/>
  <c r="X130" i="33"/>
  <c r="S90" i="32"/>
  <c r="T90" i="32" s="1"/>
  <c r="X28" i="33"/>
  <c r="X74" i="33"/>
  <c r="D60" i="98"/>
  <c r="D5" i="98"/>
  <c r="V74" i="71"/>
  <c r="V19" i="71"/>
  <c r="BI120" i="32"/>
  <c r="AR117" i="33"/>
  <c r="BG106" i="32"/>
  <c r="AK122" i="10"/>
  <c r="AR44" i="33"/>
  <c r="AR90" i="33"/>
  <c r="AJ122" i="10"/>
  <c r="AI64" i="98"/>
  <c r="AI9" i="98"/>
  <c r="K104" i="32"/>
  <c r="C19" i="98"/>
  <c r="C74" i="98"/>
  <c r="C61" i="71"/>
  <c r="C6" i="71"/>
  <c r="P9" i="98"/>
  <c r="P64" i="98"/>
  <c r="P5" i="59"/>
  <c r="BA4" i="98"/>
  <c r="BA4" i="104"/>
  <c r="AZ4" i="71"/>
  <c r="S7" i="32"/>
  <c r="G74" i="98"/>
  <c r="G19" i="98"/>
  <c r="AA74" i="33"/>
  <c r="AA28" i="33"/>
  <c r="Y90" i="32"/>
  <c r="Z90" i="32" s="1"/>
  <c r="AA130" i="33"/>
  <c r="K89" i="32"/>
  <c r="BK14" i="104"/>
  <c r="AG24" i="89"/>
  <c r="Z113" i="10"/>
  <c r="AR24" i="103"/>
  <c r="BK14" i="98"/>
  <c r="BJ14" i="71"/>
  <c r="AC17" i="32"/>
  <c r="AD17" i="32"/>
  <c r="Z14" i="10"/>
  <c r="H66" i="98"/>
  <c r="H11" i="98"/>
  <c r="W34" i="32"/>
  <c r="H74" i="71"/>
  <c r="H19" i="71"/>
  <c r="AC61" i="104"/>
  <c r="AC6" i="104"/>
  <c r="L66" i="98"/>
  <c r="L11" i="98"/>
  <c r="H60" i="71"/>
  <c r="H5" i="71"/>
  <c r="AH74" i="104"/>
  <c r="AH19" i="104"/>
  <c r="Y103" i="10"/>
  <c r="AO87" i="32" s="1"/>
  <c r="AP87" i="32" s="1"/>
  <c r="R26" i="33"/>
  <c r="R128" i="33"/>
  <c r="R72" i="33"/>
  <c r="I103" i="10"/>
  <c r="L34" i="32"/>
  <c r="AI74" i="33"/>
  <c r="AI28" i="33"/>
  <c r="AO90" i="32"/>
  <c r="AP90" i="32" s="1"/>
  <c r="AI130" i="33"/>
  <c r="P23" i="104"/>
  <c r="P78" i="104"/>
  <c r="I19" i="71"/>
  <c r="I74" i="71"/>
  <c r="AC74" i="71"/>
  <c r="AC19" i="71"/>
  <c r="AC74" i="98"/>
  <c r="AC19" i="98"/>
  <c r="AG42" i="33"/>
  <c r="AG115" i="33"/>
  <c r="AG88" i="33"/>
  <c r="X119" i="10"/>
  <c r="R6" i="98"/>
  <c r="R61" i="98"/>
  <c r="U6" i="98"/>
  <c r="U61" i="98"/>
  <c r="L19" i="104"/>
  <c r="L74" i="104"/>
  <c r="AB78" i="98"/>
  <c r="AB23" i="98"/>
  <c r="AF74" i="71"/>
  <c r="AF19" i="71"/>
  <c r="I34" i="32"/>
  <c r="AG11" i="71"/>
  <c r="AG66" i="71"/>
  <c r="AC23" i="98"/>
  <c r="AC78" i="98"/>
  <c r="AH48" i="32"/>
  <c r="AU122" i="32"/>
  <c r="AV89" i="32"/>
  <c r="AV122" i="32" s="1"/>
  <c r="AE6" i="104"/>
  <c r="AE61" i="104"/>
  <c r="T124" i="33"/>
  <c r="T30" i="33"/>
  <c r="T76" i="33"/>
  <c r="Q78" i="71"/>
  <c r="Q23" i="71"/>
  <c r="Y52" i="32"/>
  <c r="Y78" i="71"/>
  <c r="Y23" i="71"/>
  <c r="X9" i="104"/>
  <c r="X64" i="104"/>
  <c r="AD78" i="104"/>
  <c r="AD23" i="104"/>
  <c r="O35" i="32"/>
  <c r="N78" i="104"/>
  <c r="N23" i="104"/>
  <c r="AA78" i="104"/>
  <c r="AA23" i="104"/>
  <c r="AG74" i="71"/>
  <c r="AG19" i="71"/>
  <c r="BG90" i="32"/>
  <c r="BH90" i="32" s="1"/>
  <c r="AK106" i="10"/>
  <c r="AJ106" i="10"/>
  <c r="AR130" i="33"/>
  <c r="AR74" i="33"/>
  <c r="AR28" i="33"/>
  <c r="AI19" i="104"/>
  <c r="AI74" i="104"/>
  <c r="AG78" i="71"/>
  <c r="AG23" i="71"/>
  <c r="W48" i="32"/>
  <c r="AO122" i="32"/>
  <c r="AP89" i="32"/>
  <c r="AP122" i="32" s="1"/>
  <c r="R35" i="32"/>
  <c r="AV104" i="32"/>
  <c r="AV118" i="32" s="1"/>
  <c r="AU118" i="32"/>
  <c r="E19" i="104"/>
  <c r="E74" i="104"/>
  <c r="H23" i="71"/>
  <c r="H78" i="71"/>
  <c r="AC11" i="71"/>
  <c r="AC66" i="71"/>
  <c r="AI52" i="32"/>
  <c r="T28" i="33"/>
  <c r="T130" i="33"/>
  <c r="T74" i="33"/>
  <c r="AF11" i="71"/>
  <c r="AF66" i="71"/>
  <c r="W90" i="32"/>
  <c r="X90" i="32" s="1"/>
  <c r="U90" i="32"/>
  <c r="V90" i="32" s="1"/>
  <c r="Y130" i="33"/>
  <c r="Y28" i="33"/>
  <c r="Y74" i="33"/>
  <c r="AK52" i="32"/>
  <c r="E5" i="104"/>
  <c r="E60" i="104"/>
  <c r="L23" i="71"/>
  <c r="L78" i="71"/>
  <c r="AC118" i="32"/>
  <c r="AD104" i="32"/>
  <c r="AD118" i="32" s="1"/>
  <c r="J5" i="71"/>
  <c r="J60" i="71"/>
  <c r="U74" i="104"/>
  <c r="U19" i="104"/>
  <c r="U78" i="104"/>
  <c r="U23" i="104"/>
  <c r="I66" i="71"/>
  <c r="I11" i="71"/>
  <c r="AF104" i="32"/>
  <c r="AF118" i="32" s="1"/>
  <c r="AE118" i="32"/>
  <c r="AE66" i="104"/>
  <c r="AE11" i="104"/>
  <c r="Z6" i="98"/>
  <c r="Z61" i="98"/>
  <c r="AQ115" i="33"/>
  <c r="AQ88" i="33"/>
  <c r="BE104" i="32"/>
  <c r="AQ42" i="33"/>
  <c r="AH119" i="10"/>
  <c r="F74" i="71"/>
  <c r="F19" i="71"/>
  <c r="G78" i="71"/>
  <c r="G23" i="71"/>
  <c r="O78" i="71"/>
  <c r="O23" i="71"/>
  <c r="C78" i="104"/>
  <c r="C23" i="104"/>
  <c r="T128" i="33"/>
  <c r="T72" i="33"/>
  <c r="T26" i="33"/>
  <c r="K103" i="10"/>
  <c r="O19" i="98"/>
  <c r="O74" i="98"/>
  <c r="D60" i="71"/>
  <c r="D5" i="71"/>
  <c r="AG90" i="32"/>
  <c r="AH90" i="32" s="1"/>
  <c r="AE74" i="33"/>
  <c r="AE130" i="33"/>
  <c r="AE28" i="33"/>
  <c r="AI78" i="104"/>
  <c r="AI23" i="104"/>
  <c r="D12" i="32"/>
  <c r="AL38" i="32"/>
  <c r="Y30" i="33"/>
  <c r="U92" i="32"/>
  <c r="V92" i="32" s="1"/>
  <c r="Y124" i="33"/>
  <c r="Y76" i="33"/>
  <c r="AB117" i="33"/>
  <c r="AA106" i="32"/>
  <c r="AB90" i="33"/>
  <c r="AB44" i="33"/>
  <c r="K23" i="98"/>
  <c r="K78" i="98"/>
  <c r="Z64" i="98"/>
  <c r="Z9" i="98"/>
  <c r="AK104" i="32"/>
  <c r="T6" i="71"/>
  <c r="T61" i="71"/>
  <c r="G60" i="71"/>
  <c r="G5" i="71"/>
  <c r="P11" i="98"/>
  <c r="P66" i="98"/>
  <c r="Y128" i="33"/>
  <c r="Y26" i="33"/>
  <c r="Y72" i="33"/>
  <c r="U88" i="32"/>
  <c r="V88" i="32" s="1"/>
  <c r="P103" i="10"/>
  <c r="G48" i="32"/>
  <c r="H6" i="104"/>
  <c r="H61" i="104"/>
  <c r="O60" i="104"/>
  <c r="O5" i="104"/>
  <c r="G74" i="71"/>
  <c r="G19" i="71"/>
  <c r="AB89" i="32"/>
  <c r="AB122" i="32" s="1"/>
  <c r="AA122" i="32"/>
  <c r="AG9" i="98"/>
  <c r="AG64" i="98"/>
  <c r="AK122" i="32"/>
  <c r="AL89" i="32"/>
  <c r="AL122" i="32" s="1"/>
  <c r="H66" i="71"/>
  <c r="H11" i="71"/>
  <c r="X34" i="32"/>
  <c r="O66" i="71"/>
  <c r="O11" i="71"/>
  <c r="K48" i="32"/>
  <c r="AL76" i="33"/>
  <c r="AL30" i="33"/>
  <c r="AL124" i="33"/>
  <c r="AU92" i="32"/>
  <c r="AV92" i="32" s="1"/>
  <c r="M60" i="98"/>
  <c r="M5" i="98"/>
  <c r="V26" i="33"/>
  <c r="V72" i="33"/>
  <c r="V128" i="33"/>
  <c r="M103" i="10"/>
  <c r="AM122" i="32"/>
  <c r="AN89" i="32"/>
  <c r="AN122" i="32" s="1"/>
  <c r="I5" i="98"/>
  <c r="I60" i="98"/>
  <c r="I60" i="104"/>
  <c r="I5" i="104"/>
  <c r="AN14" i="71"/>
  <c r="AO14" i="104"/>
  <c r="K24" i="89"/>
  <c r="AO14" i="98"/>
  <c r="D15" i="59"/>
  <c r="D113" i="10"/>
  <c r="V24" i="103"/>
  <c r="G17" i="32"/>
  <c r="D14" i="10"/>
  <c r="P52" i="32"/>
  <c r="AC48" i="32"/>
  <c r="P23" i="71"/>
  <c r="P78" i="71"/>
  <c r="I74" i="98"/>
  <c r="I19" i="98"/>
  <c r="AF48" i="32"/>
  <c r="AM106" i="32"/>
  <c r="AH117" i="33"/>
  <c r="AH44" i="33"/>
  <c r="AH90" i="33"/>
  <c r="V78" i="104"/>
  <c r="V23" i="104"/>
  <c r="I78" i="98"/>
  <c r="I23" i="98"/>
  <c r="F6" i="104"/>
  <c r="F61" i="104"/>
  <c r="BH4" i="98"/>
  <c r="BH4" i="104"/>
  <c r="BG4" i="71"/>
  <c r="N6" i="104"/>
  <c r="N61" i="104"/>
  <c r="AQ106" i="32"/>
  <c r="AJ117" i="33"/>
  <c r="AJ90" i="33"/>
  <c r="AJ44" i="33"/>
  <c r="Q60" i="104"/>
  <c r="Q5" i="104"/>
  <c r="X74" i="104"/>
  <c r="X19" i="104"/>
  <c r="AG74" i="98"/>
  <c r="AG19" i="98"/>
  <c r="C60" i="98"/>
  <c r="C5" i="98"/>
  <c r="N11" i="98"/>
  <c r="N66" i="98"/>
  <c r="AI6" i="98"/>
  <c r="AI61" i="98"/>
  <c r="G11" i="71"/>
  <c r="G66" i="71"/>
  <c r="AH76" i="33"/>
  <c r="AM92" i="32"/>
  <c r="AN92" i="32" s="1"/>
  <c r="AH30" i="33"/>
  <c r="AH124" i="33"/>
  <c r="AA64" i="104"/>
  <c r="AA9" i="104"/>
  <c r="BA106" i="32"/>
  <c r="AO117" i="33"/>
  <c r="AO44" i="33"/>
  <c r="AO90" i="33"/>
  <c r="N48" i="32"/>
  <c r="Q66" i="104"/>
  <c r="Q11" i="104"/>
  <c r="AB6" i="98"/>
  <c r="AB61" i="98"/>
  <c r="I119" i="10"/>
  <c r="R117" i="33"/>
  <c r="R44" i="33"/>
  <c r="R90" i="33"/>
  <c r="F6" i="71"/>
  <c r="F61" i="71"/>
  <c r="Z35" i="32"/>
  <c r="Q5" i="98"/>
  <c r="Q60" i="98"/>
  <c r="AF61" i="98"/>
  <c r="AF6" i="98"/>
  <c r="S6" i="104"/>
  <c r="S61" i="104"/>
  <c r="X19" i="98"/>
  <c r="X74" i="98"/>
  <c r="P35" i="32"/>
  <c r="AG40" i="32"/>
  <c r="AA11" i="104"/>
  <c r="AA66" i="104"/>
  <c r="N74" i="98"/>
  <c r="N19" i="98"/>
  <c r="N74" i="71"/>
  <c r="N19" i="71"/>
  <c r="AG124" i="33"/>
  <c r="AG30" i="33"/>
  <c r="AG76" i="33"/>
  <c r="AK92" i="32"/>
  <c r="AL92" i="32" s="1"/>
  <c r="K11" i="98"/>
  <c r="K66" i="98"/>
  <c r="Z52" i="32"/>
  <c r="AA6" i="71"/>
  <c r="AA61" i="71"/>
  <c r="AC23" i="104"/>
  <c r="AC78" i="104"/>
  <c r="R5" i="98"/>
  <c r="R60" i="98"/>
  <c r="BR4" i="104"/>
  <c r="BR4" i="98"/>
  <c r="AJ7" i="32"/>
  <c r="BQ4" i="71"/>
  <c r="AL35" i="32"/>
  <c r="N117" i="33"/>
  <c r="N90" i="33"/>
  <c r="N44" i="33"/>
  <c r="AA38" i="32"/>
  <c r="AD19" i="71"/>
  <c r="AD74" i="71"/>
  <c r="R6" i="71"/>
  <c r="R61" i="71"/>
  <c r="AK28" i="33"/>
  <c r="AK74" i="33"/>
  <c r="AS90" i="32"/>
  <c r="AT90" i="32" s="1"/>
  <c r="AK130" i="33"/>
  <c r="T88" i="33"/>
  <c r="T115" i="33"/>
  <c r="T42" i="33"/>
  <c r="K119" i="10"/>
  <c r="U6" i="104"/>
  <c r="U61" i="104"/>
  <c r="F6" i="98"/>
  <c r="F61" i="98"/>
  <c r="L61" i="98"/>
  <c r="L6" i="98"/>
  <c r="U76" i="33"/>
  <c r="U124" i="33"/>
  <c r="U30" i="33"/>
  <c r="N6" i="71"/>
  <c r="N61" i="71"/>
  <c r="AI35" i="32"/>
  <c r="AL48" i="32"/>
  <c r="AI19" i="98"/>
  <c r="AI74" i="98"/>
  <c r="L74" i="71"/>
  <c r="L19" i="71"/>
  <c r="AH6" i="98"/>
  <c r="AH61" i="98"/>
  <c r="M6" i="71"/>
  <c r="M61" i="71"/>
  <c r="AD11" i="98"/>
  <c r="AD66" i="98"/>
  <c r="AG23" i="104"/>
  <c r="AG78" i="104"/>
  <c r="T19" i="71"/>
  <c r="T74" i="71"/>
  <c r="AR89" i="32"/>
  <c r="AR122" i="32" s="1"/>
  <c r="AQ122" i="32"/>
  <c r="G6" i="71"/>
  <c r="G61" i="71"/>
  <c r="AI48" i="32"/>
  <c r="S19" i="98"/>
  <c r="S74" i="98"/>
  <c r="M52" i="32"/>
  <c r="N74" i="104"/>
  <c r="N19" i="104"/>
  <c r="Q90" i="32"/>
  <c r="R90" i="32" s="1"/>
  <c r="W130" i="33"/>
  <c r="W28" i="33"/>
  <c r="W74" i="33"/>
  <c r="O6" i="71"/>
  <c r="O61" i="71"/>
  <c r="D6" i="71"/>
  <c r="D61" i="71"/>
  <c r="K11" i="71"/>
  <c r="K66" i="71"/>
  <c r="Y35" i="32"/>
  <c r="S60" i="104"/>
  <c r="S5" i="104"/>
  <c r="Z23" i="71"/>
  <c r="Z78" i="71"/>
  <c r="W23" i="104"/>
  <c r="W78" i="104"/>
  <c r="R23" i="71"/>
  <c r="R78" i="71"/>
  <c r="AF52" i="32"/>
  <c r="AP76" i="33"/>
  <c r="AP30" i="33"/>
  <c r="AP124" i="33"/>
  <c r="BC92" i="32"/>
  <c r="BD92" i="32" s="1"/>
  <c r="D9" i="32"/>
  <c r="AI12" i="71"/>
  <c r="BJ4" i="104"/>
  <c r="BJ4" i="98"/>
  <c r="BI4" i="71"/>
  <c r="AE61" i="71"/>
  <c r="AE6" i="71"/>
  <c r="AE23" i="104"/>
  <c r="AE78" i="104"/>
  <c r="N28" i="33"/>
  <c r="N130" i="33"/>
  <c r="N74" i="33"/>
  <c r="AC11" i="98"/>
  <c r="AC66" i="98"/>
  <c r="Q23" i="98"/>
  <c r="Q78" i="98"/>
  <c r="K19" i="98"/>
  <c r="K74" i="98"/>
  <c r="AF11" i="98"/>
  <c r="AF66" i="98"/>
  <c r="P74" i="104"/>
  <c r="P19" i="104"/>
  <c r="AL52" i="32"/>
  <c r="H34" i="32"/>
  <c r="M34" i="32"/>
  <c r="I11" i="98"/>
  <c r="I66" i="98"/>
  <c r="AJ130" i="33"/>
  <c r="AJ74" i="33"/>
  <c r="AJ28" i="33"/>
  <c r="AQ90" i="32"/>
  <c r="AR90" i="32" s="1"/>
  <c r="AK106" i="32"/>
  <c r="AG117" i="33"/>
  <c r="AG44" i="33"/>
  <c r="AG90" i="33"/>
  <c r="AO92" i="32"/>
  <c r="AP92" i="32" s="1"/>
  <c r="AI124" i="33"/>
  <c r="AI30" i="33"/>
  <c r="AI76" i="33"/>
  <c r="AH64" i="104"/>
  <c r="AH9" i="104"/>
  <c r="G119" i="10"/>
  <c r="P117" i="33"/>
  <c r="P44" i="33"/>
  <c r="P90" i="33"/>
  <c r="G78" i="104"/>
  <c r="G23" i="104"/>
  <c r="C11" i="98"/>
  <c r="C66" i="98"/>
  <c r="E61" i="104"/>
  <c r="E6" i="104"/>
  <c r="AB115" i="33"/>
  <c r="AB42" i="33"/>
  <c r="AB88" i="33"/>
  <c r="S119" i="10"/>
  <c r="V11" i="104"/>
  <c r="V66" i="104"/>
  <c r="T23" i="98"/>
  <c r="T78" i="98"/>
  <c r="R48" i="32"/>
  <c r="AO4" i="104"/>
  <c r="D5" i="59"/>
  <c r="AO4" i="98"/>
  <c r="AN4" i="71"/>
  <c r="V74" i="104"/>
  <c r="V19" i="104"/>
  <c r="P61" i="71"/>
  <c r="P6" i="71"/>
  <c r="V52" i="32"/>
  <c r="K78" i="71"/>
  <c r="K23" i="71"/>
  <c r="Z64" i="71"/>
  <c r="Z9" i="71"/>
  <c r="C74" i="104"/>
  <c r="C19" i="104"/>
  <c r="T61" i="104"/>
  <c r="T6" i="104"/>
  <c r="L124" i="33"/>
  <c r="L76" i="33"/>
  <c r="L30" i="33"/>
  <c r="T38" i="32"/>
  <c r="P66" i="104"/>
  <c r="P11" i="104"/>
  <c r="P5" i="71"/>
  <c r="P60" i="71"/>
  <c r="Q19" i="98"/>
  <c r="Q74" i="98"/>
  <c r="AK929" i="97"/>
  <c r="AQ127" i="33"/>
  <c r="BE87" i="32"/>
  <c r="BF87" i="32" s="1"/>
  <c r="AQ14" i="33"/>
  <c r="AE122" i="32"/>
  <c r="AF89" i="32"/>
  <c r="AF122" i="32" s="1"/>
  <c r="AZ4" i="104"/>
  <c r="AY4" i="71"/>
  <c r="O5" i="59"/>
  <c r="AZ4" i="98"/>
  <c r="X128" i="33"/>
  <c r="X72" i="33"/>
  <c r="X26" i="33"/>
  <c r="S88" i="32"/>
  <c r="T88" i="32" s="1"/>
  <c r="O103" i="10"/>
  <c r="AP88" i="33"/>
  <c r="AP115" i="33"/>
  <c r="AP42" i="33"/>
  <c r="BC104" i="32"/>
  <c r="AG119" i="10"/>
  <c r="N60" i="98"/>
  <c r="N5" i="98"/>
  <c r="H66" i="104"/>
  <c r="H11" i="104"/>
  <c r="M74" i="98"/>
  <c r="M19" i="98"/>
  <c r="O11" i="104"/>
  <c r="O66" i="104"/>
  <c r="L42" i="33"/>
  <c r="L115" i="33"/>
  <c r="L88" i="33"/>
  <c r="C119" i="10"/>
  <c r="N41" i="33" s="1"/>
  <c r="H74" i="104"/>
  <c r="H19" i="104"/>
  <c r="M5" i="71"/>
  <c r="M60" i="71"/>
  <c r="L66" i="71"/>
  <c r="L11" i="71"/>
  <c r="Q26" i="33"/>
  <c r="Q72" i="33"/>
  <c r="Q128" i="33"/>
  <c r="H103" i="10"/>
  <c r="BE90" i="32"/>
  <c r="BF90" i="32" s="1"/>
  <c r="AQ28" i="33"/>
  <c r="AQ74" i="33"/>
  <c r="AQ130" i="33"/>
  <c r="I5" i="59"/>
  <c r="AT4" i="98"/>
  <c r="AT4" i="104"/>
  <c r="AS4" i="71"/>
  <c r="Z19" i="71"/>
  <c r="Z74" i="71"/>
  <c r="U106" i="32"/>
  <c r="V106" i="32" s="1"/>
  <c r="Y117" i="33"/>
  <c r="Y90" i="33"/>
  <c r="Y44" i="33"/>
  <c r="U35" i="32"/>
  <c r="K9" i="104"/>
  <c r="K64" i="104"/>
  <c r="I35" i="32"/>
  <c r="AF30" i="33"/>
  <c r="AI92" i="32"/>
  <c r="AJ92" i="32" s="1"/>
  <c r="G92" i="32"/>
  <c r="J92" i="32"/>
  <c r="AF76" i="33"/>
  <c r="AF124" i="33"/>
  <c r="AD52" i="32"/>
  <c r="BA92" i="32"/>
  <c r="BB92" i="32" s="1"/>
  <c r="AO30" i="33"/>
  <c r="AO76" i="33"/>
  <c r="AO124" i="33"/>
  <c r="C60" i="71"/>
  <c r="C5" i="71"/>
  <c r="AC90" i="32"/>
  <c r="AD90" i="32" s="1"/>
  <c r="AC74" i="33"/>
  <c r="AC130" i="33"/>
  <c r="AC28" i="33"/>
  <c r="AF19" i="98"/>
  <c r="AF74" i="98"/>
  <c r="W23" i="71"/>
  <c r="W78" i="71"/>
  <c r="AG61" i="98"/>
  <c r="AG6" i="98"/>
  <c r="AE74" i="98"/>
  <c r="AE19" i="98"/>
  <c r="S64" i="71"/>
  <c r="S9" i="71"/>
  <c r="AI103" i="10"/>
  <c r="W52" i="32"/>
  <c r="J19" i="98"/>
  <c r="J74" i="98"/>
  <c r="M128" i="33"/>
  <c r="M26" i="33"/>
  <c r="M72" i="33"/>
  <c r="D103" i="10"/>
  <c r="Y48" i="32"/>
  <c r="AI23" i="98"/>
  <c r="AI78" i="98"/>
  <c r="L5" i="59"/>
  <c r="AW4" i="98"/>
  <c r="AV4" i="71"/>
  <c r="AW4" i="104"/>
  <c r="O34" i="32"/>
  <c r="S35" i="32"/>
  <c r="M35" i="32"/>
  <c r="S124" i="33"/>
  <c r="S30" i="33"/>
  <c r="S76" i="33"/>
  <c r="S23" i="98"/>
  <c r="S78" i="98"/>
  <c r="AC124" i="33"/>
  <c r="AC30" i="33"/>
  <c r="AC92" i="32"/>
  <c r="AD92" i="32" s="1"/>
  <c r="AC76" i="33"/>
  <c r="P26" i="33"/>
  <c r="P128" i="33"/>
  <c r="P72" i="33"/>
  <c r="G103" i="10"/>
  <c r="Q9" i="71"/>
  <c r="Q64" i="71"/>
  <c r="S40" i="32"/>
  <c r="P60" i="98"/>
  <c r="P5" i="98"/>
  <c r="BM14" i="104"/>
  <c r="AI24" i="89"/>
  <c r="BM14" i="98"/>
  <c r="BL14" i="71"/>
  <c r="AB113" i="10"/>
  <c r="AT24" i="103"/>
  <c r="AF17" i="32"/>
  <c r="AE17" i="32"/>
  <c r="AB14" i="10"/>
  <c r="M28" i="33"/>
  <c r="M130" i="33"/>
  <c r="M74" i="33"/>
  <c r="Z130" i="33"/>
  <c r="Z74" i="33"/>
  <c r="Z28" i="33"/>
  <c r="BF89" i="32"/>
  <c r="BF122" i="32" s="1"/>
  <c r="BE122" i="32"/>
  <c r="Q30" i="33"/>
  <c r="Q124" i="33"/>
  <c r="Q76" i="33"/>
  <c r="O60" i="98"/>
  <c r="O5" i="98"/>
  <c r="P130" i="33"/>
  <c r="P74" i="33"/>
  <c r="P28" i="33"/>
  <c r="R19" i="98"/>
  <c r="R74" i="98"/>
  <c r="AS122" i="32"/>
  <c r="AT89" i="32"/>
  <c r="AT122" i="32" s="1"/>
  <c r="H89" i="32"/>
  <c r="AI38" i="32"/>
  <c r="T5" i="98"/>
  <c r="T60" i="98"/>
  <c r="H74" i="98"/>
  <c r="H19" i="98"/>
  <c r="AF35" i="32"/>
  <c r="M78" i="98"/>
  <c r="M23" i="98"/>
  <c r="Z19" i="98"/>
  <c r="Z74" i="98"/>
  <c r="AO88" i="33"/>
  <c r="AO42" i="33"/>
  <c r="AO115" i="33"/>
  <c r="AF119" i="10"/>
  <c r="AC74" i="104"/>
  <c r="AC19" i="104"/>
  <c r="T34" i="32"/>
  <c r="D22" i="32"/>
  <c r="M6" i="98"/>
  <c r="M61" i="98"/>
  <c r="J23" i="71"/>
  <c r="J78" i="71"/>
  <c r="L64" i="98"/>
  <c r="L9" i="98"/>
  <c r="X61" i="71"/>
  <c r="X6" i="71"/>
  <c r="X61" i="98"/>
  <c r="X6" i="98"/>
  <c r="AA6" i="98"/>
  <c r="AA61" i="98"/>
  <c r="R23" i="98"/>
  <c r="R78" i="98"/>
  <c r="AC119" i="10"/>
  <c r="AU106" i="32"/>
  <c r="AL117" i="33"/>
  <c r="AL90" i="33"/>
  <c r="AL44" i="33"/>
  <c r="N66" i="104"/>
  <c r="N11" i="104"/>
  <c r="W24" i="103"/>
  <c r="AP14" i="104"/>
  <c r="L24" i="89"/>
  <c r="E113" i="10"/>
  <c r="E15" i="59"/>
  <c r="H17" i="32"/>
  <c r="AO14" i="71"/>
  <c r="AP14" i="98"/>
  <c r="I17" i="32"/>
  <c r="E14" i="10"/>
  <c r="AN30" i="33"/>
  <c r="AY92" i="32"/>
  <c r="AZ92" i="32" s="1"/>
  <c r="AN124" i="33"/>
  <c r="AN76" i="33"/>
  <c r="AE23" i="98"/>
  <c r="AE78" i="98"/>
  <c r="Q117" i="33"/>
  <c r="Q44" i="33"/>
  <c r="Q90" i="33"/>
  <c r="K6" i="98"/>
  <c r="K61" i="98"/>
  <c r="AF78" i="71"/>
  <c r="AF23" i="71"/>
  <c r="K74" i="104"/>
  <c r="K19" i="104"/>
  <c r="I52" i="32"/>
  <c r="S48" i="32"/>
  <c r="Y64" i="104"/>
  <c r="Y9" i="104"/>
  <c r="AM30" i="33"/>
  <c r="AM124" i="33"/>
  <c r="AW92" i="32"/>
  <c r="AX92" i="32" s="1"/>
  <c r="AM76" i="33"/>
  <c r="AU14" i="98"/>
  <c r="AU14" i="104"/>
  <c r="Q24" i="89"/>
  <c r="J113" i="10"/>
  <c r="AB24" i="103"/>
  <c r="M17" i="32"/>
  <c r="AT14" i="71"/>
  <c r="J15" i="59"/>
  <c r="N17" i="32"/>
  <c r="J14" i="10"/>
  <c r="S26" i="33"/>
  <c r="S128" i="33"/>
  <c r="S72" i="33"/>
  <c r="J103" i="10"/>
  <c r="U78" i="71"/>
  <c r="U23" i="71"/>
  <c r="L35" i="32"/>
  <c r="X78" i="98"/>
  <c r="X23" i="98"/>
  <c r="Y19" i="71"/>
  <c r="Y74" i="71"/>
  <c r="Z61" i="104"/>
  <c r="Z6" i="104"/>
  <c r="AH64" i="98"/>
  <c r="AH9" i="98"/>
  <c r="I48" i="32"/>
  <c r="F19" i="104"/>
  <c r="F74" i="104"/>
  <c r="C66" i="104"/>
  <c r="C11" i="104"/>
  <c r="Z48" i="32"/>
  <c r="N124" i="33"/>
  <c r="N30" i="33"/>
  <c r="N76" i="33"/>
  <c r="V23" i="98"/>
  <c r="V78" i="98"/>
  <c r="AB52" i="32"/>
  <c r="AE35" i="32"/>
  <c r="I78" i="71"/>
  <c r="I23" i="71"/>
  <c r="X9" i="98"/>
  <c r="X64" i="98"/>
  <c r="Y92" i="32"/>
  <c r="Z92" i="32" s="1"/>
  <c r="AA124" i="33"/>
  <c r="AA76" i="33"/>
  <c r="AA30" i="33"/>
  <c r="AW118" i="32"/>
  <c r="AX104" i="32"/>
  <c r="AX118" i="32" s="1"/>
  <c r="AB19" i="98"/>
  <c r="AB74" i="98"/>
  <c r="N38" i="32"/>
  <c r="K9" i="98"/>
  <c r="K64" i="98"/>
  <c r="O30" i="33"/>
  <c r="O76" i="33"/>
  <c r="O124" i="33"/>
  <c r="N23" i="98"/>
  <c r="N78" i="98"/>
  <c r="W61" i="104"/>
  <c r="W6" i="104"/>
  <c r="AF61" i="104"/>
  <c r="AF6" i="104"/>
  <c r="AJ48" i="32"/>
  <c r="O48" i="32"/>
  <c r="C60" i="104"/>
  <c r="C5" i="104"/>
  <c r="D8" i="32"/>
  <c r="AE52" i="32"/>
  <c r="AH61" i="104"/>
  <c r="AH6" i="104"/>
  <c r="AD66" i="104"/>
  <c r="AD11" i="104"/>
  <c r="J35" i="32"/>
  <c r="G6" i="98"/>
  <c r="G61" i="98"/>
  <c r="AB130" i="33"/>
  <c r="AA90" i="32"/>
  <c r="AB90" i="32" s="1"/>
  <c r="AB28" i="33"/>
  <c r="AB74" i="33"/>
  <c r="J78" i="104"/>
  <c r="J23" i="104"/>
  <c r="L64" i="104"/>
  <c r="L9" i="104"/>
  <c r="U42" i="33"/>
  <c r="U88" i="33"/>
  <c r="U115" i="33"/>
  <c r="AA35" i="32"/>
  <c r="D6" i="98"/>
  <c r="D61" i="98"/>
  <c r="V34" i="32"/>
  <c r="W119" i="10"/>
  <c r="J106" i="32"/>
  <c r="AF117" i="33"/>
  <c r="AI106" i="32"/>
  <c r="AF44" i="33"/>
  <c r="G106" i="32"/>
  <c r="AF90" i="33"/>
  <c r="R119" i="10"/>
  <c r="AA117" i="33"/>
  <c r="Y106" i="32"/>
  <c r="Z106" i="32" s="1"/>
  <c r="AA44" i="33"/>
  <c r="AA90" i="33"/>
  <c r="U34" i="32"/>
  <c r="AG61" i="104"/>
  <c r="AG6" i="104"/>
  <c r="AE19" i="104"/>
  <c r="AE74" i="104"/>
  <c r="J40" i="32"/>
  <c r="W66" i="98"/>
  <c r="W11" i="98"/>
  <c r="E78" i="98"/>
  <c r="E23" i="98"/>
  <c r="H48" i="32"/>
  <c r="AA64" i="71"/>
  <c r="AA9" i="71"/>
  <c r="K52" i="32"/>
  <c r="AC66" i="104"/>
  <c r="AC11" i="104"/>
  <c r="AF78" i="98"/>
  <c r="AF23" i="98"/>
  <c r="F78" i="104"/>
  <c r="F23" i="104"/>
  <c r="T48" i="32"/>
  <c r="AQ117" i="33"/>
  <c r="BE106" i="32"/>
  <c r="AQ90" i="33"/>
  <c r="AQ44" i="33"/>
  <c r="Y64" i="98"/>
  <c r="Y9" i="98"/>
  <c r="N26" i="33"/>
  <c r="N72" i="33"/>
  <c r="N128" i="33"/>
  <c r="E103" i="10"/>
  <c r="AD6" i="104"/>
  <c r="AD61" i="104"/>
  <c r="L119" i="10"/>
  <c r="U117" i="33"/>
  <c r="U44" i="33"/>
  <c r="U90" i="33"/>
  <c r="X48" i="32"/>
  <c r="R124" i="33"/>
  <c r="R30" i="33"/>
  <c r="R76" i="33"/>
  <c r="AX14" i="104"/>
  <c r="AX14" i="98"/>
  <c r="P17" i="32"/>
  <c r="M113" i="10"/>
  <c r="AW14" i="71"/>
  <c r="T24" i="89"/>
  <c r="AE24" i="103"/>
  <c r="M15" i="59"/>
  <c r="Q17" i="32"/>
  <c r="M14" i="10"/>
  <c r="D119" i="10"/>
  <c r="M117" i="33"/>
  <c r="M90" i="33"/>
  <c r="M44" i="33"/>
  <c r="AD48" i="32"/>
  <c r="X78" i="71"/>
  <c r="X23" i="71"/>
  <c r="AB48" i="32"/>
  <c r="AZ24" i="103"/>
  <c r="AH113" i="10"/>
  <c r="AO24" i="89"/>
  <c r="BR14" i="71"/>
  <c r="AK17" i="32"/>
  <c r="BS14" i="104"/>
  <c r="AK17" i="10"/>
  <c r="BS14" i="98"/>
  <c r="AH14" i="10"/>
  <c r="C23" i="71"/>
  <c r="C78" i="71"/>
  <c r="V66" i="71"/>
  <c r="V11" i="71"/>
  <c r="AD929" i="97"/>
  <c r="AJ127" i="33"/>
  <c r="AJ14" i="33"/>
  <c r="AQ87" i="32"/>
  <c r="AR87" i="32" s="1"/>
  <c r="O74" i="104"/>
  <c r="O19" i="104"/>
  <c r="M48" i="32"/>
  <c r="BA122" i="32"/>
  <c r="BB89" i="32"/>
  <c r="BB122" i="32" s="1"/>
  <c r="D5" i="104"/>
  <c r="D60" i="104"/>
  <c r="D26" i="32"/>
  <c r="L5" i="98"/>
  <c r="L60" i="98"/>
  <c r="U72" i="33"/>
  <c r="U128" i="33"/>
  <c r="U26" i="33"/>
  <c r="L103" i="10"/>
  <c r="P61" i="104"/>
  <c r="P6" i="104"/>
  <c r="J61" i="71"/>
  <c r="J6" i="71"/>
  <c r="S78" i="71"/>
  <c r="S23" i="71"/>
  <c r="K23" i="104"/>
  <c r="K78" i="104"/>
  <c r="AQ104" i="32"/>
  <c r="AI42" i="33"/>
  <c r="AI88" i="33"/>
  <c r="AI115" i="33"/>
  <c r="AO104" i="32"/>
  <c r="H104" i="32"/>
  <c r="T11" i="71"/>
  <c r="T66" i="71"/>
  <c r="P9" i="71"/>
  <c r="P64" i="71"/>
  <c r="Q9" i="104"/>
  <c r="Q64" i="104"/>
  <c r="P11" i="71"/>
  <c r="P66" i="71"/>
  <c r="S34" i="32"/>
  <c r="D19" i="104"/>
  <c r="D74" i="104"/>
  <c r="H61" i="71"/>
  <c r="H6" i="71"/>
  <c r="R74" i="104"/>
  <c r="R19" i="104"/>
  <c r="S11" i="71"/>
  <c r="S66" i="71"/>
  <c r="AG64" i="104"/>
  <c r="AG9" i="104"/>
  <c r="AJ89" i="32"/>
  <c r="AJ122" i="32" s="1"/>
  <c r="AI122" i="32"/>
  <c r="Q34" i="32"/>
  <c r="V130" i="33"/>
  <c r="V28" i="33"/>
  <c r="V74" i="33"/>
  <c r="T60" i="71"/>
  <c r="T5" i="71"/>
  <c r="P34" i="32"/>
  <c r="H5" i="98"/>
  <c r="H60" i="98"/>
  <c r="AH19" i="98"/>
  <c r="AH74" i="98"/>
  <c r="V103" i="10"/>
  <c r="AI87" i="32" s="1"/>
  <c r="AJ87" i="32" s="1"/>
  <c r="M23" i="104"/>
  <c r="M78" i="104"/>
  <c r="P78" i="98"/>
  <c r="P23" i="98"/>
  <c r="R130" i="33"/>
  <c r="R74" i="33"/>
  <c r="R28" i="33"/>
  <c r="AF9" i="98"/>
  <c r="AF64" i="98"/>
  <c r="AB74" i="104"/>
  <c r="AB19" i="104"/>
  <c r="L61" i="71"/>
  <c r="L6" i="71"/>
  <c r="Q35" i="32"/>
  <c r="AB119" i="10"/>
  <c r="AS106" i="32"/>
  <c r="AK117" i="33"/>
  <c r="AK44" i="33"/>
  <c r="AK90" i="33"/>
  <c r="AH61" i="71"/>
  <c r="AH6" i="71"/>
  <c r="AD66" i="71"/>
  <c r="AD11" i="71"/>
  <c r="P76" i="33"/>
  <c r="P30" i="33"/>
  <c r="P124" i="33"/>
  <c r="AY118" i="32"/>
  <c r="AZ104" i="32"/>
  <c r="AZ118" i="32" s="1"/>
  <c r="S74" i="71"/>
  <c r="S19" i="71"/>
  <c r="K66" i="104"/>
  <c r="K11" i="104"/>
  <c r="AE30" i="33"/>
  <c r="AE76" i="33"/>
  <c r="AE124" i="33"/>
  <c r="AG92" i="32"/>
  <c r="AH92" i="32" s="1"/>
  <c r="E23" i="104"/>
  <c r="E78" i="104"/>
  <c r="AB35" i="32"/>
  <c r="AF66" i="104"/>
  <c r="AF11" i="104"/>
  <c r="AH78" i="98"/>
  <c r="AH23" i="98"/>
  <c r="L78" i="104"/>
  <c r="L23" i="104"/>
  <c r="U19" i="98"/>
  <c r="U74" i="98"/>
  <c r="L40" i="32"/>
  <c r="AA74" i="98"/>
  <c r="AA19" i="98"/>
  <c r="AK38" i="32"/>
  <c r="V119" i="10"/>
  <c r="AG106" i="32"/>
  <c r="AE117" i="33"/>
  <c r="AE44" i="33"/>
  <c r="AE90" i="33"/>
  <c r="Y78" i="104"/>
  <c r="Y23" i="104"/>
  <c r="X9" i="71"/>
  <c r="X64" i="71"/>
  <c r="AM130" i="33"/>
  <c r="AW90" i="32"/>
  <c r="AX90" i="32" s="1"/>
  <c r="AM28" i="33"/>
  <c r="AM74" i="33"/>
  <c r="AD23" i="98"/>
  <c r="AD78" i="98"/>
  <c r="AB19" i="71"/>
  <c r="AB74" i="71"/>
  <c r="K9" i="71"/>
  <c r="K64" i="71"/>
  <c r="X35" i="32"/>
  <c r="Q52" i="32"/>
  <c r="W6" i="71"/>
  <c r="W61" i="71"/>
  <c r="W124" i="33"/>
  <c r="W30" i="33"/>
  <c r="Q92" i="32"/>
  <c r="R92" i="32" s="1"/>
  <c r="W76" i="33"/>
  <c r="AA78" i="71"/>
  <c r="AA23" i="71"/>
  <c r="BD89" i="32"/>
  <c r="BD122" i="32" s="1"/>
  <c r="BC122" i="32"/>
  <c r="BP4" i="71"/>
  <c r="BQ4" i="104"/>
  <c r="BQ4" i="98"/>
  <c r="S6" i="71"/>
  <c r="S61" i="71"/>
  <c r="AA48" i="32"/>
  <c r="AG74" i="104"/>
  <c r="AG19" i="104"/>
  <c r="U130" i="33"/>
  <c r="U74" i="33"/>
  <c r="U28" i="33"/>
  <c r="AP26" i="33"/>
  <c r="AE72" i="33"/>
  <c r="AJ26" i="33"/>
  <c r="AD26" i="33"/>
  <c r="AO26" i="33"/>
  <c r="AJ104" i="10"/>
  <c r="AK26" i="33"/>
  <c r="AI72" i="33"/>
  <c r="AD72" i="33"/>
  <c r="AM26" i="33"/>
  <c r="AR26" i="33"/>
  <c r="AL26" i="33"/>
  <c r="AK72" i="33"/>
  <c r="AL72" i="33"/>
  <c r="L128" i="33"/>
  <c r="L72" i="33"/>
  <c r="AH72" i="33"/>
  <c r="AG72" i="33"/>
  <c r="AQ72" i="33"/>
  <c r="AF26" i="33"/>
  <c r="G88" i="32"/>
  <c r="AH26" i="33"/>
  <c r="AE26" i="33"/>
  <c r="L26" i="33"/>
  <c r="AI26" i="33"/>
  <c r="AO72" i="33"/>
  <c r="AM72" i="33"/>
  <c r="AN26" i="33"/>
  <c r="AR72" i="33"/>
  <c r="AG26" i="33"/>
  <c r="AF72" i="33"/>
  <c r="AN72" i="33"/>
  <c r="AJ72" i="33"/>
  <c r="AQ26" i="33"/>
  <c r="AP72" i="33"/>
  <c r="C103" i="10"/>
  <c r="AJ25" i="33" s="1"/>
  <c r="AB23" i="71"/>
  <c r="AB78" i="71"/>
  <c r="AK35" i="32"/>
  <c r="M61" i="104"/>
  <c r="M6" i="104"/>
  <c r="AG23" i="98"/>
  <c r="AG78" i="98"/>
  <c r="X11" i="71"/>
  <c r="X66" i="71"/>
  <c r="AC929" i="97"/>
  <c r="AI127" i="33"/>
  <c r="AI14" i="33"/>
  <c r="G6" i="104"/>
  <c r="G61" i="104"/>
  <c r="BA90" i="32"/>
  <c r="BB90" i="32" s="1"/>
  <c r="AO28" i="33"/>
  <c r="AO130" i="33"/>
  <c r="AO74" i="33"/>
  <c r="O128" i="33"/>
  <c r="O26" i="33"/>
  <c r="O72" i="33"/>
  <c r="F103" i="10"/>
  <c r="BB104" i="32"/>
  <c r="BB118" i="32" s="1"/>
  <c r="BA118" i="32"/>
  <c r="L64" i="71"/>
  <c r="L9" i="71"/>
  <c r="Q48" i="32"/>
  <c r="X61" i="104"/>
  <c r="X6" i="104"/>
  <c r="AJ40" i="32"/>
  <c r="X124" i="33"/>
  <c r="X30" i="33"/>
  <c r="S92" i="32"/>
  <c r="T92" i="32" s="1"/>
  <c r="X76" i="33"/>
  <c r="G35" i="32"/>
  <c r="V61" i="98"/>
  <c r="V6" i="98"/>
  <c r="Z78" i="98"/>
  <c r="Z23" i="98"/>
  <c r="BL4" i="104"/>
  <c r="BK4" i="71"/>
  <c r="BL4" i="98"/>
  <c r="AD7" i="32"/>
  <c r="R60" i="104"/>
  <c r="R5" i="104"/>
  <c r="AA26" i="33"/>
  <c r="Y88" i="32"/>
  <c r="Z88" i="32" s="1"/>
  <c r="AA72" i="33"/>
  <c r="AA128" i="33"/>
  <c r="R103" i="10"/>
  <c r="AG6" i="71"/>
  <c r="AG61" i="71"/>
  <c r="AR76" i="33"/>
  <c r="AR30" i="33"/>
  <c r="BG92" i="32"/>
  <c r="BH92" i="32" s="1"/>
  <c r="AK108" i="10"/>
  <c r="AJ108" i="10"/>
  <c r="AR124" i="33"/>
  <c r="Z40" i="32"/>
  <c r="H52" i="32"/>
  <c r="Y61" i="104"/>
  <c r="Y6" i="104"/>
  <c r="AL127" i="33"/>
  <c r="AF929" i="97"/>
  <c r="AL14" i="33"/>
  <c r="AE61" i="98"/>
  <c r="AE6" i="98"/>
  <c r="AH52" i="32"/>
  <c r="E19" i="71"/>
  <c r="E74" i="71"/>
  <c r="AJ88" i="33"/>
  <c r="AJ115" i="33"/>
  <c r="AJ42" i="33"/>
  <c r="AA119" i="10"/>
  <c r="N35" i="32"/>
  <c r="AY87" i="32"/>
  <c r="AZ87" i="32" s="1"/>
  <c r="AH929" i="97"/>
  <c r="AN14" i="33"/>
  <c r="AN127" i="33"/>
  <c r="Q78" i="104"/>
  <c r="Q23" i="104"/>
  <c r="F23" i="98"/>
  <c r="F78" i="98"/>
  <c r="Q66" i="98"/>
  <c r="Q11" i="98"/>
  <c r="P74" i="71"/>
  <c r="P19" i="71"/>
  <c r="AH23" i="104"/>
  <c r="AH78" i="104"/>
  <c r="E60" i="98"/>
  <c r="E5" i="98"/>
  <c r="AG35" i="32"/>
  <c r="L78" i="98"/>
  <c r="L23" i="98"/>
  <c r="AD89" i="32"/>
  <c r="AD122" i="32" s="1"/>
  <c r="AC122" i="32"/>
  <c r="J5" i="104"/>
  <c r="J60" i="104"/>
  <c r="U23" i="98"/>
  <c r="U78" i="98"/>
  <c r="AB40" i="32"/>
  <c r="I11" i="104"/>
  <c r="I66" i="104"/>
  <c r="G52" i="32"/>
  <c r="D78" i="104"/>
  <c r="D23" i="104"/>
  <c r="AA19" i="104"/>
  <c r="AA74" i="104"/>
  <c r="Y19" i="98"/>
  <c r="Y74" i="98"/>
  <c r="AC35" i="32"/>
  <c r="J52" i="32"/>
  <c r="R52" i="32"/>
  <c r="Q61" i="71"/>
  <c r="Q6" i="71"/>
  <c r="W19" i="98"/>
  <c r="W74" i="98"/>
  <c r="C23" i="98"/>
  <c r="C78" i="98"/>
  <c r="E6" i="98"/>
  <c r="E61" i="98"/>
  <c r="S64" i="104"/>
  <c r="S9" i="104"/>
  <c r="V11" i="98"/>
  <c r="V66" i="98"/>
  <c r="AG118" i="32"/>
  <c r="AH104" i="32"/>
  <c r="AH118" i="32" s="1"/>
  <c r="K60" i="104"/>
  <c r="K5" i="104"/>
  <c r="T119" i="10"/>
  <c r="AC117" i="33"/>
  <c r="AC106" i="32"/>
  <c r="AC44" i="33"/>
  <c r="AC90" i="33"/>
  <c r="G34" i="32"/>
  <c r="V74" i="98"/>
  <c r="V19" i="98"/>
  <c r="AI64" i="104"/>
  <c r="AI9" i="104"/>
  <c r="L5" i="71"/>
  <c r="L60" i="71"/>
  <c r="P61" i="98"/>
  <c r="P6" i="98"/>
  <c r="T117" i="33"/>
  <c r="T44" i="33"/>
  <c r="T90" i="33"/>
  <c r="W35" i="32"/>
  <c r="T11" i="98"/>
  <c r="T66" i="98"/>
  <c r="C6" i="104"/>
  <c r="C61" i="104"/>
  <c r="G5" i="98"/>
  <c r="G60" i="98"/>
  <c r="J34" i="32"/>
  <c r="Q9" i="98"/>
  <c r="Q64" i="98"/>
  <c r="F11" i="98"/>
  <c r="F66" i="98"/>
  <c r="T40" i="32"/>
  <c r="D19" i="98"/>
  <c r="D74" i="98"/>
  <c r="H6" i="98"/>
  <c r="H61" i="98"/>
  <c r="O60" i="71"/>
  <c r="O5" i="71"/>
  <c r="G74" i="104"/>
  <c r="G19" i="104"/>
  <c r="AJ38" i="32"/>
  <c r="N5" i="71"/>
  <c r="N60" i="71"/>
  <c r="M74" i="104"/>
  <c r="M19" i="104"/>
  <c r="C9" i="98"/>
  <c r="C64" i="98"/>
  <c r="Q28" i="33"/>
  <c r="Q130" i="33"/>
  <c r="Q74" i="33"/>
  <c r="AC6" i="71"/>
  <c r="AC61" i="71"/>
  <c r="M5" i="104"/>
  <c r="M60" i="104"/>
  <c r="AK48" i="32"/>
  <c r="I5" i="71"/>
  <c r="I60" i="71"/>
  <c r="M23" i="71"/>
  <c r="M78" i="71"/>
  <c r="Z74" i="104"/>
  <c r="Z19" i="104"/>
  <c r="AL130" i="33"/>
  <c r="AL28" i="33"/>
  <c r="AL74" i="33"/>
  <c r="AU90" i="32"/>
  <c r="AV90" i="32" s="1"/>
  <c r="BF14" i="104"/>
  <c r="X17" i="32"/>
  <c r="AM24" i="103"/>
  <c r="BF14" i="98"/>
  <c r="U113" i="10"/>
  <c r="AB24" i="89"/>
  <c r="BE14" i="71"/>
  <c r="Y17" i="32"/>
  <c r="U14" i="10"/>
  <c r="V78" i="71"/>
  <c r="V23" i="71"/>
  <c r="AK30" i="33"/>
  <c r="AK124" i="33"/>
  <c r="AK76" i="33"/>
  <c r="AS92" i="32"/>
  <c r="AT92" i="32" s="1"/>
  <c r="L52" i="32"/>
  <c r="AG48" i="32"/>
  <c r="AD119" i="10"/>
  <c r="AW106" i="32"/>
  <c r="AM117" i="33"/>
  <c r="AM44" i="33"/>
  <c r="AM90" i="33"/>
  <c r="AE48" i="32"/>
  <c r="U6" i="71"/>
  <c r="U61" i="71"/>
  <c r="L6" i="104"/>
  <c r="L61" i="104"/>
  <c r="N78" i="71"/>
  <c r="N23" i="71"/>
  <c r="N6" i="98"/>
  <c r="N61" i="98"/>
  <c r="Z26" i="33"/>
  <c r="W88" i="32"/>
  <c r="X88" i="32" s="1"/>
  <c r="Z128" i="33"/>
  <c r="Z72" i="33"/>
  <c r="Q103" i="10"/>
  <c r="V35" i="32"/>
  <c r="AG130" i="33"/>
  <c r="AG74" i="33"/>
  <c r="AG28" i="33"/>
  <c r="AK90" i="32"/>
  <c r="AL90" i="32" s="1"/>
  <c r="X74" i="71"/>
  <c r="X19" i="71"/>
  <c r="L74" i="98"/>
  <c r="L19" i="98"/>
  <c r="AQ30" i="33"/>
  <c r="AQ76" i="33"/>
  <c r="BE92" i="32"/>
  <c r="BF92" i="32" s="1"/>
  <c r="AQ124" i="33"/>
  <c r="AP117" i="33"/>
  <c r="BC106" i="32"/>
  <c r="AP90" i="33"/>
  <c r="AP44" i="33"/>
  <c r="X11" i="98"/>
  <c r="X66" i="98"/>
  <c r="T19" i="104"/>
  <c r="T74" i="104"/>
  <c r="F60" i="71"/>
  <c r="F5" i="71"/>
  <c r="V48" i="32"/>
  <c r="J119" i="10"/>
  <c r="S117" i="33"/>
  <c r="S44" i="33"/>
  <c r="S90" i="33"/>
  <c r="AG66" i="98"/>
  <c r="AG11" i="98"/>
  <c r="M30" i="33"/>
  <c r="M124" i="33"/>
  <c r="M76" i="33"/>
  <c r="D61" i="104"/>
  <c r="D6" i="104"/>
  <c r="V61" i="104"/>
  <c r="V6" i="104"/>
  <c r="S60" i="98"/>
  <c r="S5" i="98"/>
  <c r="AC52" i="32"/>
  <c r="AA61" i="104"/>
  <c r="AA6" i="104"/>
  <c r="R60" i="71"/>
  <c r="R5" i="71"/>
  <c r="AJ35" i="32"/>
  <c r="AE74" i="71"/>
  <c r="AE19" i="71"/>
  <c r="G11" i="98"/>
  <c r="G66" i="98"/>
  <c r="W66" i="71"/>
  <c r="W11" i="71"/>
  <c r="E23" i="71"/>
  <c r="E78" i="71"/>
  <c r="Y61" i="71"/>
  <c r="Y6" i="71"/>
  <c r="AE78" i="71"/>
  <c r="AE23" i="71"/>
  <c r="AA9" i="98"/>
  <c r="AA64" i="98"/>
  <c r="H78" i="104"/>
  <c r="H23" i="104"/>
  <c r="K61" i="71"/>
  <c r="K6" i="71"/>
  <c r="W106" i="32"/>
  <c r="X106" i="32" s="1"/>
  <c r="Z117" i="33"/>
  <c r="Z90" i="33"/>
  <c r="Z44" i="33"/>
  <c r="T52" i="32"/>
  <c r="K19" i="71"/>
  <c r="K74" i="71"/>
  <c r="F78" i="71"/>
  <c r="F23" i="71"/>
  <c r="Q66" i="71"/>
  <c r="Q11" i="71"/>
  <c r="AB38" i="32"/>
  <c r="AD6" i="71"/>
  <c r="AD61" i="71"/>
  <c r="J5" i="98"/>
  <c r="J60" i="98"/>
  <c r="AD130" i="33"/>
  <c r="AD74" i="33"/>
  <c r="AD28" i="33"/>
  <c r="AE90" i="32"/>
  <c r="AF90" i="32" s="1"/>
  <c r="I61" i="98"/>
  <c r="I6" i="98"/>
  <c r="Y11" i="71"/>
  <c r="Y66" i="71"/>
  <c r="AX89" i="32"/>
  <c r="AX122" i="32" s="1"/>
  <c r="AW122" i="32"/>
  <c r="Y74" i="104"/>
  <c r="Y19" i="104"/>
  <c r="AE66" i="71"/>
  <c r="AE11" i="71"/>
  <c r="BK4" i="104"/>
  <c r="BJ4" i="71"/>
  <c r="AC7" i="32"/>
  <c r="BK4" i="98"/>
  <c r="W38" i="32"/>
  <c r="O119" i="10"/>
  <c r="X117" i="33"/>
  <c r="S106" i="32"/>
  <c r="T106" i="32" s="1"/>
  <c r="X44" i="33"/>
  <c r="X90" i="33"/>
  <c r="T35" i="32"/>
  <c r="W19" i="104"/>
  <c r="W74" i="104"/>
  <c r="W74" i="71"/>
  <c r="W19" i="71"/>
  <c r="K5" i="98"/>
  <c r="K60" i="98"/>
  <c r="T78" i="104"/>
  <c r="T23" i="104"/>
  <c r="O74" i="71"/>
  <c r="O19" i="71"/>
  <c r="S74" i="33"/>
  <c r="S28" i="33"/>
  <c r="S130" i="33"/>
  <c r="AR115" i="33"/>
  <c r="AR42" i="33"/>
  <c r="AR88" i="33"/>
  <c r="BI118" i="32"/>
  <c r="BG104" i="32"/>
  <c r="AI119" i="10"/>
  <c r="AK120" i="10"/>
  <c r="AJ120" i="10"/>
  <c r="L60" i="104"/>
  <c r="L5" i="104"/>
  <c r="J61" i="98"/>
  <c r="J6" i="98"/>
  <c r="S78" i="104"/>
  <c r="S23" i="104"/>
  <c r="Z9" i="104"/>
  <c r="Z64" i="104"/>
  <c r="L130" i="33"/>
  <c r="L74" i="33"/>
  <c r="L28" i="33"/>
  <c r="W40" i="32"/>
  <c r="Y42" i="33"/>
  <c r="Y115" i="33"/>
  <c r="Y88" i="33"/>
  <c r="P119" i="10"/>
  <c r="W104" i="32"/>
  <c r="X104" i="32" s="1"/>
  <c r="Z42" i="33"/>
  <c r="Z88" i="33"/>
  <c r="Z115" i="33"/>
  <c r="Q119" i="10"/>
  <c r="F66" i="71"/>
  <c r="F11" i="71"/>
  <c r="P5" i="104"/>
  <c r="P60" i="104"/>
  <c r="Q74" i="104"/>
  <c r="Q19" i="104"/>
  <c r="AS129" i="33"/>
  <c r="K35" i="32"/>
  <c r="R34" i="32"/>
  <c r="R74" i="71"/>
  <c r="R19" i="71"/>
  <c r="S11" i="104"/>
  <c r="S66" i="104"/>
  <c r="W26" i="33"/>
  <c r="W72" i="33"/>
  <c r="Q88" i="32"/>
  <c r="R88" i="32" s="1"/>
  <c r="W128" i="33"/>
  <c r="N103" i="10"/>
  <c r="M19" i="71"/>
  <c r="M74" i="71"/>
  <c r="BC14" i="98"/>
  <c r="AJ24" i="103"/>
  <c r="Y24" i="89"/>
  <c r="BB14" i="71"/>
  <c r="R113" i="10"/>
  <c r="BC14" i="104"/>
  <c r="U17" i="32"/>
  <c r="V17" i="32"/>
  <c r="R14" i="10"/>
  <c r="AC26" i="33"/>
  <c r="AC128" i="33"/>
  <c r="AE88" i="32"/>
  <c r="AF88" i="32" s="1"/>
  <c r="AC88" i="32"/>
  <c r="AD88" i="32" s="1"/>
  <c r="K88" i="32"/>
  <c r="AC72" i="33"/>
  <c r="T103" i="10"/>
  <c r="AE87" i="32" s="1"/>
  <c r="AF87" i="32" s="1"/>
  <c r="O11" i="98"/>
  <c r="O66" i="98"/>
  <c r="C64" i="71"/>
  <c r="C9" i="71"/>
  <c r="AC6" i="98"/>
  <c r="AC61" i="98"/>
  <c r="L11" i="104"/>
  <c r="L66" i="104"/>
  <c r="K34" i="32"/>
  <c r="AH19" i="71"/>
  <c r="AH74" i="71"/>
  <c r="AG122" i="32"/>
  <c r="AH89" i="32"/>
  <c r="AH122" i="32" s="1"/>
  <c r="S52" i="32"/>
  <c r="L48" i="32"/>
  <c r="AF9" i="104"/>
  <c r="AF64" i="104"/>
  <c r="AG52" i="32"/>
  <c r="BA4" i="71"/>
  <c r="Q5" i="59"/>
  <c r="BB4" i="98"/>
  <c r="T7" i="32"/>
  <c r="BB4" i="104"/>
  <c r="AA92" i="32"/>
  <c r="AB92" i="32" s="1"/>
  <c r="AB30" i="33"/>
  <c r="AB124" i="33"/>
  <c r="AB76" i="33"/>
  <c r="AP130" i="33"/>
  <c r="AP28" i="33"/>
  <c r="AP74" i="33"/>
  <c r="BC90" i="32"/>
  <c r="BD90" i="32" s="1"/>
  <c r="AA66" i="98"/>
  <c r="AA11" i="98"/>
  <c r="X66" i="104"/>
  <c r="X11" i="104"/>
  <c r="T19" i="98"/>
  <c r="T74" i="98"/>
  <c r="F5" i="104"/>
  <c r="F60" i="104"/>
  <c r="O38" i="32"/>
  <c r="O6" i="98"/>
  <c r="O61" i="98"/>
  <c r="V61" i="71"/>
  <c r="V6" i="71"/>
  <c r="AB128" i="33"/>
  <c r="AB26" i="33"/>
  <c r="AA88" i="32"/>
  <c r="AB88" i="32" s="1"/>
  <c r="AB72" i="33"/>
  <c r="S103" i="10"/>
  <c r="Z119" i="10"/>
  <c r="AI117" i="33"/>
  <c r="AO106" i="32"/>
  <c r="AI44" i="33"/>
  <c r="AI90" i="33"/>
  <c r="AD35" i="32"/>
  <c r="R23" i="104"/>
  <c r="R78" i="104"/>
  <c r="W66" i="104"/>
  <c r="W11" i="104"/>
  <c r="P19" i="98"/>
  <c r="P74" i="98"/>
  <c r="Y64" i="71"/>
  <c r="Y9" i="71"/>
  <c r="E60" i="71"/>
  <c r="E5" i="71"/>
  <c r="AA52" i="32"/>
  <c r="AH40" i="32"/>
  <c r="C17" i="32"/>
  <c r="BA24" i="103"/>
  <c r="AL17" i="32"/>
  <c r="AL17" i="10"/>
  <c r="BT14" i="98"/>
  <c r="BT14" i="104"/>
  <c r="AI113" i="10"/>
  <c r="AJ17" i="10"/>
  <c r="AP24" i="89"/>
  <c r="AI14" i="10"/>
  <c r="F19" i="98"/>
  <c r="F74" i="98"/>
  <c r="G78" i="98"/>
  <c r="G23" i="98"/>
  <c r="O23" i="98"/>
  <c r="O78" i="98"/>
  <c r="Z30" i="33"/>
  <c r="W92" i="32"/>
  <c r="X92" i="32" s="1"/>
  <c r="Z124" i="33"/>
  <c r="Z76" i="33"/>
  <c r="Q61" i="104"/>
  <c r="Q6" i="104"/>
  <c r="J90" i="32"/>
  <c r="AI90" i="32"/>
  <c r="AJ90" i="32" s="1"/>
  <c r="AF130" i="33"/>
  <c r="AF74" i="33"/>
  <c r="AF28" i="33"/>
  <c r="G90" i="32"/>
  <c r="L90" i="33"/>
  <c r="L44" i="33"/>
  <c r="L117" i="33"/>
  <c r="E6" i="71"/>
  <c r="E61" i="71"/>
  <c r="AS118" i="32"/>
  <c r="AT104" i="32"/>
  <c r="AT118" i="32" s="1"/>
  <c r="BG122" i="32"/>
  <c r="BH89" i="32"/>
  <c r="BH122" i="32" s="1"/>
  <c r="N34" i="32"/>
  <c r="T78" i="71"/>
  <c r="T23" i="71"/>
  <c r="X103" i="10"/>
  <c r="N119" i="10"/>
  <c r="J74" i="104"/>
  <c r="J19" i="104"/>
  <c r="J19" i="71"/>
  <c r="J74" i="71"/>
  <c r="H119" i="10"/>
  <c r="J61" i="104"/>
  <c r="J6" i="104"/>
  <c r="N52" i="32"/>
  <c r="AC38" i="32"/>
  <c r="AJ104" i="32"/>
  <c r="AJ118" i="32" s="1"/>
  <c r="AI118" i="32"/>
  <c r="C74" i="71"/>
  <c r="C19" i="71"/>
  <c r="T61" i="98"/>
  <c r="T6" i="98"/>
  <c r="T11" i="104"/>
  <c r="T66" i="104"/>
  <c r="C6" i="98"/>
  <c r="C61" i="98"/>
  <c r="G5" i="104"/>
  <c r="G60" i="104"/>
  <c r="P64" i="104"/>
  <c r="P9" i="104"/>
  <c r="F11" i="104"/>
  <c r="F66" i="104"/>
  <c r="D19" i="71"/>
  <c r="D74" i="71"/>
  <c r="Q74" i="71"/>
  <c r="Q19" i="71"/>
  <c r="J48" i="32"/>
  <c r="U48" i="32"/>
  <c r="AB103" i="10"/>
  <c r="AU87" i="32" s="1"/>
  <c r="AV87" i="32" s="1"/>
  <c r="S11" i="98"/>
  <c r="S66" i="98"/>
  <c r="AG64" i="71"/>
  <c r="AG9" i="71"/>
  <c r="N5" i="104"/>
  <c r="N60" i="104"/>
  <c r="K40" i="32"/>
  <c r="T60" i="104"/>
  <c r="T5" i="104"/>
  <c r="R40" i="32"/>
  <c r="C9" i="104"/>
  <c r="C64" i="104"/>
  <c r="BN4" i="104"/>
  <c r="BN4" i="98"/>
  <c r="BM4" i="71"/>
  <c r="O40" i="32"/>
  <c r="H60" i="104"/>
  <c r="H5" i="104"/>
  <c r="M119" i="10"/>
  <c r="V117" i="33"/>
  <c r="V90" i="33"/>
  <c r="V44" i="33"/>
  <c r="I19" i="104"/>
  <c r="I74" i="104"/>
  <c r="AF9" i="71"/>
  <c r="AF64" i="71"/>
  <c r="AJ74" i="98" l="1"/>
  <c r="AJ19" i="98"/>
  <c r="AJ23" i="98"/>
  <c r="AJ78" i="98"/>
  <c r="AA118" i="32"/>
  <c r="AN25" i="33"/>
  <c r="AS115" i="33"/>
  <c r="AJ58" i="10"/>
  <c r="AI71" i="33"/>
  <c r="AS117" i="33"/>
  <c r="AM71" i="33"/>
  <c r="Z23" i="103"/>
  <c r="AS7" i="104"/>
  <c r="O23" i="89"/>
  <c r="K10" i="32"/>
  <c r="K36" i="32" s="1"/>
  <c r="H112" i="10"/>
  <c r="H8" i="59"/>
  <c r="AR7" i="71"/>
  <c r="AS7" i="98"/>
  <c r="K429" i="97"/>
  <c r="H7" i="10"/>
  <c r="L10" i="32"/>
  <c r="L36" i="32" s="1"/>
  <c r="AX7" i="98"/>
  <c r="P10" i="32"/>
  <c r="P36" i="32" s="1"/>
  <c r="AE23" i="103"/>
  <c r="T23" i="89"/>
  <c r="AX7" i="104"/>
  <c r="M112" i="10"/>
  <c r="M8" i="59"/>
  <c r="AW7" i="71"/>
  <c r="P429" i="97"/>
  <c r="M7" i="10"/>
  <c r="AN7" i="104"/>
  <c r="U23" i="103"/>
  <c r="J23" i="89"/>
  <c r="C8" i="59"/>
  <c r="C112" i="10"/>
  <c r="AM7" i="71"/>
  <c r="AN7" i="98"/>
  <c r="F429" i="97"/>
  <c r="G10" i="32"/>
  <c r="G36" i="32" s="1"/>
  <c r="C7" i="10"/>
  <c r="AF23" i="103"/>
  <c r="N112" i="10"/>
  <c r="AY7" i="104"/>
  <c r="N8" i="59"/>
  <c r="AX7" i="71"/>
  <c r="Q10" i="32"/>
  <c r="Q36" i="32" s="1"/>
  <c r="AY7" i="98"/>
  <c r="U23" i="89"/>
  <c r="Q429" i="97"/>
  <c r="N7" i="10"/>
  <c r="R10" i="32"/>
  <c r="R36" i="32" s="1"/>
  <c r="N10" i="32"/>
  <c r="N36" i="32" s="1"/>
  <c r="AV7" i="98"/>
  <c r="AC23" i="103"/>
  <c r="AU7" i="71"/>
  <c r="K8" i="59"/>
  <c r="R23" i="89"/>
  <c r="AV7" i="104"/>
  <c r="K112" i="10"/>
  <c r="N429" i="97"/>
  <c r="O10" i="32"/>
  <c r="O36" i="32" s="1"/>
  <c r="K7" i="10"/>
  <c r="N87" i="33"/>
  <c r="BT7" i="104"/>
  <c r="AL10" i="32"/>
  <c r="AL36" i="32" s="1"/>
  <c r="AI112" i="10"/>
  <c r="AP23" i="89"/>
  <c r="AL10" i="10"/>
  <c r="BA23" i="103"/>
  <c r="BT7" i="98"/>
  <c r="AL429" i="97"/>
  <c r="AJ10" i="10"/>
  <c r="C10" i="32"/>
  <c r="D10" i="32" s="1"/>
  <c r="AI7" i="10"/>
  <c r="U112" i="10"/>
  <c r="X10" i="32"/>
  <c r="X36" i="32" s="1"/>
  <c r="AB23" i="89"/>
  <c r="BF7" i="98"/>
  <c r="AM23" i="103"/>
  <c r="BF7" i="104"/>
  <c r="BE7" i="71"/>
  <c r="X429" i="97"/>
  <c r="U7" i="10"/>
  <c r="AP23" i="103"/>
  <c r="AE23" i="89"/>
  <c r="AA10" i="32"/>
  <c r="AA36" i="32" s="1"/>
  <c r="BH7" i="71"/>
  <c r="BI7" i="98"/>
  <c r="X112" i="10"/>
  <c r="BI7" i="104"/>
  <c r="AA429" i="97"/>
  <c r="AB10" i="32"/>
  <c r="AB36" i="32" s="1"/>
  <c r="X7" i="10"/>
  <c r="AB23" i="103"/>
  <c r="AU7" i="104"/>
  <c r="AT7" i="71"/>
  <c r="J8" i="59"/>
  <c r="AU7" i="98"/>
  <c r="Q23" i="89"/>
  <c r="M10" i="32"/>
  <c r="M36" i="32" s="1"/>
  <c r="J112" i="10"/>
  <c r="M429" i="97"/>
  <c r="J7" i="10"/>
  <c r="W10" i="32"/>
  <c r="W36" i="32" s="1"/>
  <c r="BD7" i="71"/>
  <c r="AA23" i="89"/>
  <c r="BE7" i="98"/>
  <c r="T112" i="10"/>
  <c r="AL23" i="103"/>
  <c r="BE7" i="104"/>
  <c r="W429" i="97"/>
  <c r="T7" i="10"/>
  <c r="G112" i="10"/>
  <c r="N23" i="89"/>
  <c r="Y23" i="103"/>
  <c r="G8" i="59"/>
  <c r="J10" i="32"/>
  <c r="J36" i="32" s="1"/>
  <c r="AQ7" i="71"/>
  <c r="AR7" i="104"/>
  <c r="AR7" i="98"/>
  <c r="J429" i="97"/>
  <c r="G7" i="10"/>
  <c r="AN23" i="103"/>
  <c r="V112" i="10"/>
  <c r="BG7" i="104"/>
  <c r="AC23" i="89"/>
  <c r="Y10" i="32"/>
  <c r="Y36" i="32" s="1"/>
  <c r="BF7" i="71"/>
  <c r="BG7" i="98"/>
  <c r="Y429" i="97"/>
  <c r="Z10" i="32"/>
  <c r="Z36" i="32" s="1"/>
  <c r="V7" i="10"/>
  <c r="W23" i="103"/>
  <c r="AP7" i="104"/>
  <c r="AP7" i="98"/>
  <c r="H10" i="32"/>
  <c r="H36" i="32" s="1"/>
  <c r="E8" i="59"/>
  <c r="AO7" i="71"/>
  <c r="L23" i="89"/>
  <c r="E112" i="10"/>
  <c r="H429" i="97"/>
  <c r="E7" i="10"/>
  <c r="AE112" i="10"/>
  <c r="BO7" i="71"/>
  <c r="BP7" i="98"/>
  <c r="AW23" i="103"/>
  <c r="AL23" i="89"/>
  <c r="BP7" i="104"/>
  <c r="AH10" i="32"/>
  <c r="AH36" i="32" s="1"/>
  <c r="AH429" i="97"/>
  <c r="AI10" i="32"/>
  <c r="AI36" i="32" s="1"/>
  <c r="AE7" i="10"/>
  <c r="AL71" i="33"/>
  <c r="J87" i="32"/>
  <c r="K87" i="32" s="1"/>
  <c r="AZ23" i="103"/>
  <c r="BS7" i="104"/>
  <c r="BR7" i="71"/>
  <c r="AH112" i="10"/>
  <c r="BS7" i="98"/>
  <c r="AO23" i="89"/>
  <c r="AK10" i="10"/>
  <c r="AK10" i="32"/>
  <c r="AK36" i="32" s="1"/>
  <c r="AK429" i="97"/>
  <c r="AH7" i="10"/>
  <c r="BC7" i="98"/>
  <c r="U10" i="32"/>
  <c r="U36" i="32" s="1"/>
  <c r="R112" i="10"/>
  <c r="BB7" i="71"/>
  <c r="AJ23" i="103"/>
  <c r="Y23" i="89"/>
  <c r="BC7" i="104"/>
  <c r="U429" i="97"/>
  <c r="R7" i="10"/>
  <c r="AI74" i="71"/>
  <c r="AJ71" i="33"/>
  <c r="F112" i="10"/>
  <c r="M23" i="89"/>
  <c r="X23" i="103"/>
  <c r="AQ7" i="98"/>
  <c r="AQ7" i="104"/>
  <c r="I10" i="32"/>
  <c r="I36" i="32" s="1"/>
  <c r="F8" i="59"/>
  <c r="AP7" i="71"/>
  <c r="I429" i="97"/>
  <c r="F7" i="10"/>
  <c r="V10" i="32"/>
  <c r="V36" i="32" s="1"/>
  <c r="AK23" i="103"/>
  <c r="S112" i="10"/>
  <c r="BD7" i="104"/>
  <c r="BC7" i="71"/>
  <c r="BD7" i="98"/>
  <c r="Z23" i="89"/>
  <c r="V429" i="97"/>
  <c r="S7" i="10"/>
  <c r="AN71" i="33"/>
  <c r="AT23" i="103"/>
  <c r="AI23" i="89"/>
  <c r="BM7" i="104"/>
  <c r="BM7" i="98"/>
  <c r="AB112" i="10"/>
  <c r="BL7" i="71"/>
  <c r="AE10" i="32"/>
  <c r="AE36" i="32" s="1"/>
  <c r="AE429" i="97"/>
  <c r="AF10" i="32"/>
  <c r="AF36" i="32" s="1"/>
  <c r="AB7" i="10"/>
  <c r="AC59" i="98"/>
  <c r="AC4" i="98"/>
  <c r="D59" i="104"/>
  <c r="D4" i="104"/>
  <c r="AC4" i="71"/>
  <c r="AC59" i="71"/>
  <c r="AI19" i="71"/>
  <c r="AK87" i="32"/>
  <c r="AL87" i="32" s="1"/>
  <c r="AG25" i="33"/>
  <c r="AG71" i="33"/>
  <c r="AG127" i="33"/>
  <c r="AG14" i="33"/>
  <c r="AA929" i="97"/>
  <c r="H90" i="32"/>
  <c r="Y43" i="32"/>
  <c r="U69" i="104"/>
  <c r="U14" i="104"/>
  <c r="T39" i="13"/>
  <c r="AC114" i="33"/>
  <c r="W926" i="97"/>
  <c r="AC103" i="32"/>
  <c r="AD103" i="32" s="1"/>
  <c r="AC87" i="33"/>
  <c r="AC41" i="33"/>
  <c r="AC19" i="75"/>
  <c r="L25" i="33"/>
  <c r="L127" i="33"/>
  <c r="F929" i="97"/>
  <c r="L71" i="33"/>
  <c r="L14" i="33"/>
  <c r="U127" i="33"/>
  <c r="U14" i="33"/>
  <c r="U71" i="33"/>
  <c r="U25" i="33"/>
  <c r="O929" i="97"/>
  <c r="M69" i="71"/>
  <c r="M14" i="71"/>
  <c r="H929" i="97"/>
  <c r="N14" i="33"/>
  <c r="N127" i="33"/>
  <c r="N25" i="33"/>
  <c r="N71" i="33"/>
  <c r="BE120" i="32"/>
  <c r="BF106" i="32"/>
  <c r="BF120" i="32" s="1"/>
  <c r="H106" i="32"/>
  <c r="N43" i="32"/>
  <c r="J14" i="104"/>
  <c r="J69" i="104"/>
  <c r="H14" i="32"/>
  <c r="E12" i="59"/>
  <c r="AO11" i="71"/>
  <c r="AP11" i="98"/>
  <c r="AP11" i="104"/>
  <c r="I14" i="32"/>
  <c r="AK121" i="33"/>
  <c r="AK81" i="33"/>
  <c r="AK35" i="33"/>
  <c r="AS97" i="32"/>
  <c r="AU97" i="32"/>
  <c r="P127" i="33"/>
  <c r="J929" i="97"/>
  <c r="P14" i="33"/>
  <c r="P25" i="33"/>
  <c r="P71" i="33"/>
  <c r="M14" i="33"/>
  <c r="G929" i="97"/>
  <c r="M127" i="33"/>
  <c r="M71" i="33"/>
  <c r="M25" i="33"/>
  <c r="AJ19" i="104"/>
  <c r="AG59" i="98"/>
  <c r="AG4" i="98"/>
  <c r="AQ120" i="32"/>
  <c r="AR106" i="32"/>
  <c r="AR120" i="32" s="1"/>
  <c r="W4" i="104"/>
  <c r="W59" i="104"/>
  <c r="BE118" i="32"/>
  <c r="BF104" i="32"/>
  <c r="BF118" i="32" s="1"/>
  <c r="AG114" i="33"/>
  <c r="AA926" i="97"/>
  <c r="X39" i="13"/>
  <c r="AK103" i="32"/>
  <c r="AL103" i="32" s="1"/>
  <c r="AG41" i="33"/>
  <c r="AG87" i="33"/>
  <c r="AC43" i="32"/>
  <c r="I926" i="97"/>
  <c r="F39" i="13"/>
  <c r="O114" i="33"/>
  <c r="O87" i="33"/>
  <c r="O41" i="33"/>
  <c r="U39" i="13"/>
  <c r="AD114" i="33"/>
  <c r="AE103" i="32"/>
  <c r="AF103" i="32" s="1"/>
  <c r="X926" i="97"/>
  <c r="AD41" i="33"/>
  <c r="AD87" i="33"/>
  <c r="AF106" i="32"/>
  <c r="AF120" i="32" s="1"/>
  <c r="AE120" i="32"/>
  <c r="AO25" i="33"/>
  <c r="AH14" i="98"/>
  <c r="AH69" i="98"/>
  <c r="J69" i="98"/>
  <c r="J14" i="98"/>
  <c r="E14" i="104"/>
  <c r="E69" i="104"/>
  <c r="AB14" i="71"/>
  <c r="AB69" i="71"/>
  <c r="V71" i="33"/>
  <c r="V25" i="33"/>
  <c r="P929" i="97"/>
  <c r="V127" i="33"/>
  <c r="V14" i="33"/>
  <c r="K926" i="97"/>
  <c r="H39" i="13"/>
  <c r="Q114" i="33"/>
  <c r="Q41" i="33"/>
  <c r="Q87" i="33"/>
  <c r="Q39" i="13"/>
  <c r="W103" i="32"/>
  <c r="X103" i="32" s="1"/>
  <c r="T926" i="97"/>
  <c r="Z114" i="33"/>
  <c r="Z41" i="33"/>
  <c r="Z87" i="33"/>
  <c r="AS103" i="32"/>
  <c r="AT103" i="32" s="1"/>
  <c r="AJ114" i="33"/>
  <c r="AD926" i="97"/>
  <c r="AQ103" i="32"/>
  <c r="AR103" i="32" s="1"/>
  <c r="AA39" i="13"/>
  <c r="AJ41" i="33"/>
  <c r="AJ87" i="33"/>
  <c r="AA127" i="33"/>
  <c r="AA14" i="33"/>
  <c r="AA25" i="33"/>
  <c r="AA71" i="33"/>
  <c r="Y87" i="32"/>
  <c r="Z87" i="32" s="1"/>
  <c r="U929" i="97"/>
  <c r="AD33" i="32"/>
  <c r="AR104" i="32"/>
  <c r="AR118" i="32" s="1"/>
  <c r="AQ118" i="32"/>
  <c r="AX11" i="104"/>
  <c r="P14" i="32"/>
  <c r="AW11" i="71"/>
  <c r="M12" i="59"/>
  <c r="AX11" i="98"/>
  <c r="Q14" i="32"/>
  <c r="P43" i="32"/>
  <c r="AI120" i="32"/>
  <c r="AJ106" i="32"/>
  <c r="AJ120" i="32" s="1"/>
  <c r="AB14" i="98"/>
  <c r="AB69" i="98"/>
  <c r="AK103" i="10"/>
  <c r="BG87" i="32"/>
  <c r="BH87" i="32" s="1"/>
  <c r="AR25" i="33"/>
  <c r="AJ103" i="10"/>
  <c r="AR14" i="33"/>
  <c r="AR127" i="33"/>
  <c r="AL929" i="97"/>
  <c r="AR71" i="33"/>
  <c r="AN105" i="10"/>
  <c r="K929" i="97"/>
  <c r="Q25" i="33"/>
  <c r="Q71" i="33"/>
  <c r="Q14" i="33"/>
  <c r="Q127" i="33"/>
  <c r="O4" i="71"/>
  <c r="O59" i="71"/>
  <c r="Y4" i="71"/>
  <c r="Y59" i="71"/>
  <c r="AB929" i="97"/>
  <c r="AM87" i="32"/>
  <c r="AN87" i="32" s="1"/>
  <c r="AH127" i="33"/>
  <c r="AH25" i="33"/>
  <c r="AH14" i="33"/>
  <c r="AH71" i="33"/>
  <c r="Z69" i="98"/>
  <c r="Z14" i="98"/>
  <c r="AM103" i="32"/>
  <c r="AN103" i="32" s="1"/>
  <c r="Y39" i="13"/>
  <c r="AH114" i="33"/>
  <c r="AB926" i="97"/>
  <c r="AH41" i="33"/>
  <c r="AH87" i="33"/>
  <c r="AO71" i="33"/>
  <c r="AM25" i="33"/>
  <c r="AF25" i="33"/>
  <c r="BG97" i="32"/>
  <c r="AK113" i="10"/>
  <c r="AR81" i="33"/>
  <c r="AJ113" i="10"/>
  <c r="AR35" i="33"/>
  <c r="BI124" i="32"/>
  <c r="AR121" i="33"/>
  <c r="AP106" i="32"/>
  <c r="AP120" i="32" s="1"/>
  <c r="AO120" i="32"/>
  <c r="U43" i="32"/>
  <c r="U14" i="71"/>
  <c r="U69" i="71"/>
  <c r="AI14" i="98"/>
  <c r="AI69" i="98"/>
  <c r="AC926" i="97"/>
  <c r="Z39" i="13"/>
  <c r="AI114" i="33"/>
  <c r="AO103" i="32"/>
  <c r="AP103" i="32" s="1"/>
  <c r="AI41" i="33"/>
  <c r="AI87" i="33"/>
  <c r="Q4" i="104"/>
  <c r="Q59" i="104"/>
  <c r="AA35" i="33"/>
  <c r="AA121" i="33"/>
  <c r="Y97" i="32"/>
  <c r="Z97" i="32" s="1"/>
  <c r="AA81" i="33"/>
  <c r="AA97" i="32"/>
  <c r="BG118" i="32"/>
  <c r="BH104" i="32"/>
  <c r="BH118" i="32" s="1"/>
  <c r="AA4" i="98"/>
  <c r="AA59" i="98"/>
  <c r="Z19" i="75"/>
  <c r="AS120" i="32"/>
  <c r="AT106" i="32"/>
  <c r="AT120" i="32" s="1"/>
  <c r="AH69" i="104"/>
  <c r="AH14" i="104"/>
  <c r="Q43" i="32"/>
  <c r="M69" i="98"/>
  <c r="M14" i="98"/>
  <c r="S71" i="33"/>
  <c r="S14" i="33"/>
  <c r="S127" i="33"/>
  <c r="M929" i="97"/>
  <c r="S25" i="33"/>
  <c r="J14" i="71"/>
  <c r="J69" i="71"/>
  <c r="E69" i="98"/>
  <c r="E14" i="98"/>
  <c r="BM11" i="104"/>
  <c r="BM11" i="98"/>
  <c r="BL11" i="71"/>
  <c r="AE14" i="32"/>
  <c r="AF14" i="32"/>
  <c r="L59" i="104"/>
  <c r="L4" i="104"/>
  <c r="L114" i="33"/>
  <c r="L87" i="33"/>
  <c r="C39" i="13"/>
  <c r="L41" i="33"/>
  <c r="F926" i="97"/>
  <c r="AG39" i="13"/>
  <c r="AJ926" i="97"/>
  <c r="AP114" i="33"/>
  <c r="BC103" i="32"/>
  <c r="BD103" i="32" s="1"/>
  <c r="AP87" i="33"/>
  <c r="AP41" i="33"/>
  <c r="O4" i="104"/>
  <c r="O59" i="104"/>
  <c r="AH19" i="75"/>
  <c r="Y59" i="98"/>
  <c r="Y4" i="98"/>
  <c r="N926" i="97"/>
  <c r="K39" i="13"/>
  <c r="T114" i="33"/>
  <c r="T87" i="33"/>
  <c r="T41" i="33"/>
  <c r="D69" i="98"/>
  <c r="D14" i="98"/>
  <c r="AJ23" i="104"/>
  <c r="AM118" i="32"/>
  <c r="AN104" i="32"/>
  <c r="AN118" i="32" s="1"/>
  <c r="AY120" i="32"/>
  <c r="AZ106" i="32"/>
  <c r="AZ120" i="32" s="1"/>
  <c r="AF19" i="75"/>
  <c r="AP25" i="33"/>
  <c r="AE929" i="97"/>
  <c r="AK25" i="33"/>
  <c r="AK71" i="33"/>
  <c r="AK127" i="33"/>
  <c r="AS87" i="32"/>
  <c r="AT87" i="32" s="1"/>
  <c r="AK14" i="33"/>
  <c r="I43" i="32"/>
  <c r="AJ74" i="104"/>
  <c r="W4" i="98"/>
  <c r="W59" i="98"/>
  <c r="M121" i="33"/>
  <c r="M81" i="33"/>
  <c r="M35" i="33"/>
  <c r="AB14" i="33"/>
  <c r="AB71" i="33"/>
  <c r="AB25" i="33"/>
  <c r="V929" i="97"/>
  <c r="AB127" i="33"/>
  <c r="AA87" i="32"/>
  <c r="AB87" i="32" s="1"/>
  <c r="T33" i="32"/>
  <c r="R69" i="71"/>
  <c r="R14" i="71"/>
  <c r="Q929" i="97"/>
  <c r="W14" i="33"/>
  <c r="W127" i="33"/>
  <c r="Q87" i="32"/>
  <c r="R87" i="32" s="1"/>
  <c r="W25" i="33"/>
  <c r="W71" i="33"/>
  <c r="Z59" i="98"/>
  <c r="Z4" i="98"/>
  <c r="T929" i="97"/>
  <c r="Z14" i="33"/>
  <c r="Z127" i="33"/>
  <c r="Z25" i="33"/>
  <c r="Z71" i="33"/>
  <c r="AE97" i="32"/>
  <c r="AD121" i="33"/>
  <c r="AD35" i="33"/>
  <c r="AD81" i="33"/>
  <c r="AG97" i="32"/>
  <c r="AL25" i="33"/>
  <c r="AA4" i="71"/>
  <c r="AA59" i="71"/>
  <c r="AF59" i="98"/>
  <c r="AF4" i="98"/>
  <c r="AE926" i="97"/>
  <c r="AK114" i="33"/>
  <c r="AB39" i="13"/>
  <c r="AK41" i="33"/>
  <c r="AK87" i="33"/>
  <c r="AK43" i="32"/>
  <c r="G926" i="97"/>
  <c r="M114" i="33"/>
  <c r="D39" i="13"/>
  <c r="M87" i="33"/>
  <c r="M41" i="33"/>
  <c r="M14" i="104"/>
  <c r="M69" i="104"/>
  <c r="AA114" i="33"/>
  <c r="R39" i="13"/>
  <c r="U926" i="97"/>
  <c r="Y103" i="32"/>
  <c r="Z103" i="32" s="1"/>
  <c r="AA41" i="33"/>
  <c r="AA87" i="33"/>
  <c r="K106" i="32"/>
  <c r="M43" i="32"/>
  <c r="E69" i="71"/>
  <c r="E14" i="71"/>
  <c r="AV106" i="32"/>
  <c r="AV120" i="32" s="1"/>
  <c r="AU120" i="32"/>
  <c r="AE43" i="32"/>
  <c r="AB69" i="104"/>
  <c r="AB14" i="104"/>
  <c r="L4" i="71"/>
  <c r="L59" i="71"/>
  <c r="K92" i="32"/>
  <c r="BD104" i="32"/>
  <c r="BD118" i="32" s="1"/>
  <c r="BC118" i="32"/>
  <c r="AQ25" i="33"/>
  <c r="W87" i="32"/>
  <c r="X87" i="32" s="1"/>
  <c r="U87" i="32"/>
  <c r="V87" i="32" s="1"/>
  <c r="Y14" i="33"/>
  <c r="Y25" i="33"/>
  <c r="Y71" i="33"/>
  <c r="Y127" i="33"/>
  <c r="S929" i="97"/>
  <c r="AK118" i="32"/>
  <c r="AL104" i="32"/>
  <c r="AL118" i="32" s="1"/>
  <c r="AJ78" i="104"/>
  <c r="AI121" i="33"/>
  <c r="AO97" i="32"/>
  <c r="AI35" i="33"/>
  <c r="AI81" i="33"/>
  <c r="AQ97" i="32"/>
  <c r="S33" i="32"/>
  <c r="BH106" i="32"/>
  <c r="BH120" i="32" s="1"/>
  <c r="BG120" i="32"/>
  <c r="AG33" i="32"/>
  <c r="AN114" i="33"/>
  <c r="AE39" i="13"/>
  <c r="AH926" i="97"/>
  <c r="AY103" i="32"/>
  <c r="AZ103" i="32" s="1"/>
  <c r="AN87" i="33"/>
  <c r="AN41" i="33"/>
  <c r="E47" i="13"/>
  <c r="E45" i="13"/>
  <c r="E44" i="13"/>
  <c r="E46" i="13"/>
  <c r="N12" i="33" s="1"/>
  <c r="U19" i="75"/>
  <c r="AP71" i="33"/>
  <c r="AF71" i="33"/>
  <c r="U103" i="32"/>
  <c r="V103" i="32" s="1"/>
  <c r="S926" i="97"/>
  <c r="P39" i="13"/>
  <c r="Y114" i="33"/>
  <c r="Y87" i="33"/>
  <c r="Y41" i="33"/>
  <c r="AC4" i="104"/>
  <c r="AC59" i="104"/>
  <c r="AI69" i="104"/>
  <c r="AI14" i="104"/>
  <c r="K90" i="32"/>
  <c r="BT11" i="104"/>
  <c r="AL14" i="10"/>
  <c r="BT11" i="98"/>
  <c r="AL14" i="32"/>
  <c r="AJ14" i="10"/>
  <c r="C14" i="32"/>
  <c r="AL43" i="32"/>
  <c r="AE19" i="75"/>
  <c r="AA59" i="104"/>
  <c r="AA4" i="104"/>
  <c r="AF59" i="104"/>
  <c r="AF4" i="104"/>
  <c r="AH106" i="32"/>
  <c r="AH120" i="32" s="1"/>
  <c r="AG120" i="32"/>
  <c r="AH14" i="71"/>
  <c r="AJ14" i="71" s="1"/>
  <c r="AH69" i="71"/>
  <c r="AJ69" i="71" s="1"/>
  <c r="AF114" i="33"/>
  <c r="J103" i="32"/>
  <c r="W39" i="13"/>
  <c r="Z926" i="97"/>
  <c r="AI103" i="32"/>
  <c r="AJ103" i="32" s="1"/>
  <c r="G103" i="32"/>
  <c r="AF87" i="33"/>
  <c r="AF41" i="33"/>
  <c r="H43" i="32"/>
  <c r="AC39" i="13"/>
  <c r="AL114" i="33"/>
  <c r="AF926" i="97"/>
  <c r="AU103" i="32"/>
  <c r="AV103" i="32" s="1"/>
  <c r="AL41" i="33"/>
  <c r="AL87" i="33"/>
  <c r="BA103" i="32"/>
  <c r="BB103" i="32" s="1"/>
  <c r="AO114" i="33"/>
  <c r="AF39" i="13"/>
  <c r="AI926" i="97"/>
  <c r="AO41" i="33"/>
  <c r="AO87" i="33"/>
  <c r="AF43" i="32"/>
  <c r="L59" i="98"/>
  <c r="L4" i="98"/>
  <c r="H92" i="32"/>
  <c r="I4" i="71"/>
  <c r="I59" i="71"/>
  <c r="D59" i="71"/>
  <c r="D4" i="71"/>
  <c r="Y59" i="104"/>
  <c r="Y4" i="104"/>
  <c r="BA120" i="32"/>
  <c r="BB106" i="32"/>
  <c r="BB120" i="32" s="1"/>
  <c r="D12" i="59"/>
  <c r="AO11" i="104"/>
  <c r="AO11" i="98"/>
  <c r="AN11" i="71"/>
  <c r="G14" i="32"/>
  <c r="D14" i="104"/>
  <c r="D69" i="104"/>
  <c r="AB106" i="32"/>
  <c r="AB120" i="32" s="1"/>
  <c r="AA120" i="32"/>
  <c r="AD14" i="32"/>
  <c r="AC14" i="32"/>
  <c r="BK11" i="98"/>
  <c r="BK11" i="104"/>
  <c r="BJ11" i="71"/>
  <c r="P4" i="71"/>
  <c r="P59" i="71"/>
  <c r="AD59" i="98"/>
  <c r="AD4" i="98"/>
  <c r="AG19" i="75"/>
  <c r="W19" i="75"/>
  <c r="AL926" i="97"/>
  <c r="AR114" i="33"/>
  <c r="AI39" i="13"/>
  <c r="BG103" i="32"/>
  <c r="BH103" i="32" s="1"/>
  <c r="AJ119" i="10"/>
  <c r="AR41" i="33"/>
  <c r="AR87" i="33"/>
  <c r="V114" i="33"/>
  <c r="P926" i="97"/>
  <c r="M39" i="13"/>
  <c r="V41" i="33"/>
  <c r="V87" i="33"/>
  <c r="Q4" i="98"/>
  <c r="Q59" i="98"/>
  <c r="W929" i="97"/>
  <c r="AC25" i="33"/>
  <c r="AC14" i="33"/>
  <c r="AC87" i="32"/>
  <c r="AD87" i="32" s="1"/>
  <c r="AC71" i="33"/>
  <c r="AC127" i="33"/>
  <c r="AC33" i="32"/>
  <c r="BC120" i="32"/>
  <c r="BD106" i="32"/>
  <c r="BD120" i="32" s="1"/>
  <c r="R926" i="97"/>
  <c r="X114" i="33"/>
  <c r="O39" i="13"/>
  <c r="X87" i="33"/>
  <c r="X41" i="33"/>
  <c r="Z59" i="71"/>
  <c r="Z4" i="71"/>
  <c r="AX106" i="32"/>
  <c r="AX120" i="32" s="1"/>
  <c r="AW120" i="32"/>
  <c r="AD106" i="32"/>
  <c r="AD120" i="32" s="1"/>
  <c r="AC120" i="32"/>
  <c r="AI25" i="33"/>
  <c r="AF59" i="71"/>
  <c r="AF4" i="71"/>
  <c r="AE114" i="33"/>
  <c r="Y926" i="97"/>
  <c r="V39" i="13"/>
  <c r="AG103" i="32"/>
  <c r="AH103" i="32" s="1"/>
  <c r="AE87" i="33"/>
  <c r="AE41" i="33"/>
  <c r="AE14" i="33"/>
  <c r="AE127" i="33"/>
  <c r="AG87" i="32"/>
  <c r="AH87" i="32" s="1"/>
  <c r="Y929" i="97"/>
  <c r="AE71" i="33"/>
  <c r="AE25" i="33"/>
  <c r="AO118" i="32"/>
  <c r="AP104" i="32"/>
  <c r="AP118" i="32" s="1"/>
  <c r="AA19" i="75"/>
  <c r="O926" i="97"/>
  <c r="L39" i="13"/>
  <c r="U114" i="33"/>
  <c r="U41" i="33"/>
  <c r="U87" i="33"/>
  <c r="S121" i="33"/>
  <c r="S81" i="33"/>
  <c r="S35" i="33"/>
  <c r="I59" i="104"/>
  <c r="I4" i="104"/>
  <c r="AQ71" i="33"/>
  <c r="D4" i="98"/>
  <c r="D59" i="98"/>
  <c r="P114" i="33"/>
  <c r="J926" i="97"/>
  <c r="G39" i="13"/>
  <c r="P87" i="33"/>
  <c r="P41" i="33"/>
  <c r="AK120" i="32"/>
  <c r="AL106" i="32"/>
  <c r="AL120" i="32" s="1"/>
  <c r="AG4" i="71"/>
  <c r="AG59" i="71"/>
  <c r="I39" i="13"/>
  <c r="L926" i="97"/>
  <c r="R114" i="33"/>
  <c r="R41" i="33"/>
  <c r="R87" i="33"/>
  <c r="W4" i="71"/>
  <c r="W59" i="71"/>
  <c r="D69" i="71"/>
  <c r="D14" i="71"/>
  <c r="AK119" i="10"/>
  <c r="AH39" i="13"/>
  <c r="AQ114" i="33"/>
  <c r="AK926" i="97"/>
  <c r="BE103" i="32"/>
  <c r="BF103" i="32" s="1"/>
  <c r="AQ41" i="33"/>
  <c r="AQ87" i="33"/>
  <c r="L929" i="97"/>
  <c r="R127" i="33"/>
  <c r="R14" i="33"/>
  <c r="R25" i="33"/>
  <c r="R71" i="33"/>
  <c r="AD43" i="32"/>
  <c r="Z69" i="104"/>
  <c r="Z14" i="104"/>
  <c r="P59" i="104"/>
  <c r="P4" i="104"/>
  <c r="AD59" i="71"/>
  <c r="AD4" i="71"/>
  <c r="AD25" i="33"/>
  <c r="AD19" i="75"/>
  <c r="O127" i="33"/>
  <c r="O14" i="33"/>
  <c r="O71" i="33"/>
  <c r="I929" i="97"/>
  <c r="O25" i="33"/>
  <c r="V121" i="33"/>
  <c r="V81" i="33"/>
  <c r="V35" i="33"/>
  <c r="Q97" i="32"/>
  <c r="R97" i="32" s="1"/>
  <c r="X14" i="33"/>
  <c r="S87" i="32"/>
  <c r="T87" i="32" s="1"/>
  <c r="X127" i="33"/>
  <c r="X71" i="33"/>
  <c r="X25" i="33"/>
  <c r="R929" i="97"/>
  <c r="AA103" i="32"/>
  <c r="AB103" i="32" s="1"/>
  <c r="S39" i="13"/>
  <c r="AB114" i="33"/>
  <c r="V926" i="97"/>
  <c r="AB87" i="33"/>
  <c r="AB41" i="33"/>
  <c r="AG4" i="104"/>
  <c r="AG59" i="104"/>
  <c r="Z14" i="71"/>
  <c r="Z69" i="71"/>
  <c r="R69" i="104"/>
  <c r="R14" i="104"/>
  <c r="U69" i="98"/>
  <c r="U14" i="98"/>
  <c r="BC11" i="98"/>
  <c r="BC11" i="104"/>
  <c r="U14" i="32"/>
  <c r="BB11" i="71"/>
  <c r="V14" i="32"/>
  <c r="S103" i="32"/>
  <c r="T103" i="32" s="1"/>
  <c r="Q926" i="97"/>
  <c r="W114" i="33"/>
  <c r="N39" i="13"/>
  <c r="Q103" i="32"/>
  <c r="R103" i="32" s="1"/>
  <c r="W87" i="33"/>
  <c r="W41" i="33"/>
  <c r="D17" i="32"/>
  <c r="Q4" i="71"/>
  <c r="Q59" i="71"/>
  <c r="V43" i="32"/>
  <c r="R69" i="98"/>
  <c r="R14" i="98"/>
  <c r="Z59" i="104"/>
  <c r="Z4" i="104"/>
  <c r="S114" i="33"/>
  <c r="M926" i="97"/>
  <c r="J39" i="13"/>
  <c r="S87" i="33"/>
  <c r="S41" i="33"/>
  <c r="AW103" i="32"/>
  <c r="AX103" i="32" s="1"/>
  <c r="AG926" i="97"/>
  <c r="AM114" i="33"/>
  <c r="AD39" i="13"/>
  <c r="AM41" i="33"/>
  <c r="AM87" i="33"/>
  <c r="X14" i="32"/>
  <c r="BF11" i="98"/>
  <c r="BE11" i="71"/>
  <c r="BF11" i="104"/>
  <c r="Y14" i="32"/>
  <c r="X43" i="32"/>
  <c r="H88" i="32"/>
  <c r="BS11" i="98"/>
  <c r="AK14" i="32"/>
  <c r="BS11" i="104"/>
  <c r="AK14" i="10"/>
  <c r="BR11" i="71"/>
  <c r="BE97" i="32"/>
  <c r="AQ121" i="33"/>
  <c r="AQ35" i="33"/>
  <c r="AQ81" i="33"/>
  <c r="M14" i="32"/>
  <c r="AT11" i="71"/>
  <c r="AU11" i="104"/>
  <c r="J12" i="59"/>
  <c r="AU11" i="98"/>
  <c r="N14" i="32"/>
  <c r="N121" i="33"/>
  <c r="N35" i="33"/>
  <c r="N81" i="33"/>
  <c r="I4" i="98"/>
  <c r="I59" i="98"/>
  <c r="O4" i="98"/>
  <c r="O59" i="98"/>
  <c r="AJ33" i="32"/>
  <c r="AM120" i="32"/>
  <c r="AN106" i="32"/>
  <c r="AN120" i="32" s="1"/>
  <c r="G43" i="32"/>
  <c r="T14" i="33"/>
  <c r="N929" i="97"/>
  <c r="T127" i="33"/>
  <c r="T71" i="33"/>
  <c r="T25" i="33"/>
  <c r="P4" i="98"/>
  <c r="P59" i="98"/>
  <c r="AD4" i="104"/>
  <c r="AD59" i="104"/>
  <c r="AD71" i="33"/>
  <c r="G87" i="32"/>
  <c r="S62" i="71" l="1"/>
  <c r="S7" i="71"/>
  <c r="AQ120" i="33"/>
  <c r="AQ80" i="33"/>
  <c r="BE96" i="32"/>
  <c r="BF96" i="32" s="1"/>
  <c r="AQ34" i="33"/>
  <c r="J7" i="71"/>
  <c r="J62" i="71"/>
  <c r="X62" i="98"/>
  <c r="X7" i="98"/>
  <c r="U62" i="104"/>
  <c r="U7" i="104"/>
  <c r="AI62" i="104"/>
  <c r="AI7" i="104"/>
  <c r="AN4" i="104"/>
  <c r="AN4" i="98"/>
  <c r="AM4" i="71"/>
  <c r="C5" i="59"/>
  <c r="G7" i="32"/>
  <c r="G33" i="32" s="1"/>
  <c r="S62" i="104"/>
  <c r="S7" i="104"/>
  <c r="BC4" i="98"/>
  <c r="BC4" i="104"/>
  <c r="U7" i="32"/>
  <c r="U33" i="32" s="1"/>
  <c r="BB4" i="71"/>
  <c r="R62" i="98"/>
  <c r="R7" i="98"/>
  <c r="AH7" i="71"/>
  <c r="AH62" i="71"/>
  <c r="G62" i="104"/>
  <c r="G7" i="104"/>
  <c r="J5" i="59"/>
  <c r="AU4" i="98"/>
  <c r="M7" i="32"/>
  <c r="M33" i="32" s="1"/>
  <c r="AT4" i="71"/>
  <c r="AU4" i="104"/>
  <c r="J62" i="104"/>
  <c r="J7" i="104"/>
  <c r="X7" i="71"/>
  <c r="X62" i="71"/>
  <c r="K62" i="71"/>
  <c r="K7" i="71"/>
  <c r="N62" i="98"/>
  <c r="N7" i="98"/>
  <c r="C62" i="104"/>
  <c r="C7" i="104"/>
  <c r="BM4" i="104"/>
  <c r="BM4" i="98"/>
  <c r="AE7" i="32"/>
  <c r="AE33" i="32" s="1"/>
  <c r="BL4" i="71"/>
  <c r="AF7" i="32"/>
  <c r="AF33" i="32" s="1"/>
  <c r="AO4" i="71"/>
  <c r="AP4" i="98"/>
  <c r="AP4" i="104"/>
  <c r="H7" i="32"/>
  <c r="H33" i="32" s="1"/>
  <c r="E5" i="59"/>
  <c r="E62" i="104"/>
  <c r="E7" i="104"/>
  <c r="V62" i="71"/>
  <c r="V7" i="71"/>
  <c r="G62" i="98"/>
  <c r="G7" i="98"/>
  <c r="W7" i="32"/>
  <c r="W33" i="32" s="1"/>
  <c r="BD4" i="71"/>
  <c r="BE4" i="98"/>
  <c r="BE4" i="104"/>
  <c r="H7" i="71"/>
  <c r="H62" i="71"/>
  <c r="AI69" i="71"/>
  <c r="AB120" i="33"/>
  <c r="AA96" i="32"/>
  <c r="AB96" i="32" s="1"/>
  <c r="AB80" i="33"/>
  <c r="AB34" i="33"/>
  <c r="F62" i="104"/>
  <c r="F7" i="104"/>
  <c r="BS4" i="104"/>
  <c r="BR4" i="71"/>
  <c r="BS4" i="98"/>
  <c r="AK7" i="10"/>
  <c r="AK7" i="32"/>
  <c r="AK33" i="32" s="1"/>
  <c r="AH62" i="104"/>
  <c r="AH7" i="104"/>
  <c r="AE62" i="104"/>
  <c r="AE7" i="104"/>
  <c r="N120" i="33"/>
  <c r="N80" i="33"/>
  <c r="N34" i="33"/>
  <c r="G7" i="71"/>
  <c r="G62" i="71"/>
  <c r="T62" i="104"/>
  <c r="T7" i="104"/>
  <c r="U7" i="98"/>
  <c r="U62" i="98"/>
  <c r="AI62" i="98"/>
  <c r="AI7" i="98"/>
  <c r="AU4" i="71"/>
  <c r="AV4" i="104"/>
  <c r="AV4" i="98"/>
  <c r="K5" i="59"/>
  <c r="O7" i="32"/>
  <c r="O33" i="32" s="1"/>
  <c r="N7" i="32"/>
  <c r="N33" i="32" s="1"/>
  <c r="AX4" i="98"/>
  <c r="P7" i="32"/>
  <c r="P33" i="32" s="1"/>
  <c r="M5" i="59"/>
  <c r="AW4" i="71"/>
  <c r="AX4" i="104"/>
  <c r="Q120" i="33"/>
  <c r="Q34" i="33"/>
  <c r="Q80" i="33"/>
  <c r="F62" i="98"/>
  <c r="F7" i="98"/>
  <c r="R7" i="104"/>
  <c r="R62" i="104"/>
  <c r="V62" i="104"/>
  <c r="V7" i="104"/>
  <c r="S120" i="33"/>
  <c r="S80" i="33"/>
  <c r="S34" i="33"/>
  <c r="AA7" i="32"/>
  <c r="AA33" i="32" s="1"/>
  <c r="BI4" i="98"/>
  <c r="BH4" i="71"/>
  <c r="AB7" i="32"/>
  <c r="AB33" i="32" s="1"/>
  <c r="BI4" i="104"/>
  <c r="K7" i="98"/>
  <c r="K62" i="98"/>
  <c r="N7" i="71"/>
  <c r="N62" i="71"/>
  <c r="C62" i="98"/>
  <c r="C7" i="98"/>
  <c r="M7" i="98"/>
  <c r="M62" i="98"/>
  <c r="AB62" i="71"/>
  <c r="AB7" i="71"/>
  <c r="BD4" i="104"/>
  <c r="BD4" i="98"/>
  <c r="BC4" i="71"/>
  <c r="V7" i="32"/>
  <c r="V33" i="32" s="1"/>
  <c r="E62" i="71"/>
  <c r="E7" i="71"/>
  <c r="Y7" i="32"/>
  <c r="Y33" i="32" s="1"/>
  <c r="BG4" i="104"/>
  <c r="Z7" i="32"/>
  <c r="Z33" i="32" s="1"/>
  <c r="BG4" i="98"/>
  <c r="BF4" i="71"/>
  <c r="AE120" i="33"/>
  <c r="AG96" i="32"/>
  <c r="AH96" i="32" s="1"/>
  <c r="AE80" i="33"/>
  <c r="AE34" i="33"/>
  <c r="AI96" i="32"/>
  <c r="AJ96" i="32" s="1"/>
  <c r="J96" i="32"/>
  <c r="K96" i="32" s="1"/>
  <c r="AC120" i="33"/>
  <c r="AC96" i="32"/>
  <c r="AD96" i="32" s="1"/>
  <c r="AC80" i="33"/>
  <c r="AC34" i="33"/>
  <c r="C62" i="71"/>
  <c r="C7" i="71"/>
  <c r="M62" i="71"/>
  <c r="M7" i="71"/>
  <c r="AS96" i="32"/>
  <c r="AT96" i="32" s="1"/>
  <c r="AK120" i="33"/>
  <c r="AK34" i="33"/>
  <c r="AK80" i="33"/>
  <c r="AU96" i="32"/>
  <c r="AV96" i="32" s="1"/>
  <c r="AQ4" i="104"/>
  <c r="AQ4" i="98"/>
  <c r="AP4" i="71"/>
  <c r="F5" i="59"/>
  <c r="I7" i="32"/>
  <c r="I33" i="32" s="1"/>
  <c r="AE7" i="98"/>
  <c r="AE62" i="98"/>
  <c r="T62" i="98"/>
  <c r="T7" i="98"/>
  <c r="BE4" i="71"/>
  <c r="BF4" i="104"/>
  <c r="X7" i="32"/>
  <c r="X33" i="32" s="1"/>
  <c r="BF4" i="98"/>
  <c r="AE96" i="32"/>
  <c r="AF96" i="32" s="1"/>
  <c r="AD120" i="33"/>
  <c r="AD80" i="33"/>
  <c r="AD34" i="33"/>
  <c r="T120" i="33"/>
  <c r="T34" i="33"/>
  <c r="T80" i="33"/>
  <c r="N62" i="104"/>
  <c r="N7" i="104"/>
  <c r="AJ112" i="10"/>
  <c r="L120" i="33"/>
  <c r="L80" i="33"/>
  <c r="L34" i="33"/>
  <c r="M34" i="33"/>
  <c r="R34" i="33"/>
  <c r="U80" i="33"/>
  <c r="Z80" i="33"/>
  <c r="G96" i="32"/>
  <c r="H96" i="32" s="1"/>
  <c r="U34" i="33"/>
  <c r="Z34" i="33"/>
  <c r="AL80" i="33"/>
  <c r="AF34" i="33"/>
  <c r="AI80" i="33"/>
  <c r="AJ34" i="33"/>
  <c r="AL34" i="33"/>
  <c r="AF80" i="33"/>
  <c r="AI34" i="33"/>
  <c r="AJ80" i="33"/>
  <c r="AH80" i="33"/>
  <c r="AM34" i="33"/>
  <c r="Y80" i="33"/>
  <c r="X80" i="33"/>
  <c r="AH34" i="33"/>
  <c r="AO80" i="33"/>
  <c r="AM80" i="33"/>
  <c r="AP34" i="33"/>
  <c r="Y34" i="33"/>
  <c r="X34" i="33"/>
  <c r="AO34" i="33"/>
  <c r="M80" i="33"/>
  <c r="R80" i="33"/>
  <c r="AP80" i="33"/>
  <c r="K7" i="32"/>
  <c r="K33" i="32" s="1"/>
  <c r="L7" i="32"/>
  <c r="L33" i="32" s="1"/>
  <c r="AS4" i="104"/>
  <c r="AS4" i="98"/>
  <c r="AR4" i="71"/>
  <c r="H5" i="59"/>
  <c r="H62" i="104"/>
  <c r="H7" i="104"/>
  <c r="AB7" i="98"/>
  <c r="AB62" i="98"/>
  <c r="O120" i="33"/>
  <c r="O80" i="33"/>
  <c r="O34" i="33"/>
  <c r="R62" i="71"/>
  <c r="R7" i="71"/>
  <c r="BP4" i="104"/>
  <c r="AI7" i="32"/>
  <c r="AI33" i="32" s="1"/>
  <c r="BO4" i="71"/>
  <c r="AH7" i="32"/>
  <c r="AH33" i="32" s="1"/>
  <c r="BP4" i="98"/>
  <c r="AE7" i="71"/>
  <c r="AE62" i="71"/>
  <c r="AR4" i="98"/>
  <c r="J7" i="32"/>
  <c r="J33" i="32" s="1"/>
  <c r="G5" i="59"/>
  <c r="AR4" i="104"/>
  <c r="AQ4" i="71"/>
  <c r="J62" i="98"/>
  <c r="J7" i="98"/>
  <c r="X62" i="104"/>
  <c r="X7" i="104"/>
  <c r="BT4" i="98"/>
  <c r="AJ7" i="10"/>
  <c r="C7" i="32"/>
  <c r="D7" i="32" s="1"/>
  <c r="AN12" i="10"/>
  <c r="BT4" i="104"/>
  <c r="AL7" i="10"/>
  <c r="AL7" i="32"/>
  <c r="AL33" i="32" s="1"/>
  <c r="AR120" i="33"/>
  <c r="BG96" i="32"/>
  <c r="BH96" i="32" s="1"/>
  <c r="AK112" i="10"/>
  <c r="AR80" i="33"/>
  <c r="AR34" i="33"/>
  <c r="K62" i="104"/>
  <c r="K7" i="104"/>
  <c r="N5" i="59"/>
  <c r="AY4" i="104"/>
  <c r="R7" i="32"/>
  <c r="R33" i="32" s="1"/>
  <c r="Q7" i="32"/>
  <c r="Q33" i="32" s="1"/>
  <c r="AY4" i="98"/>
  <c r="AX4" i="71"/>
  <c r="W120" i="33"/>
  <c r="Q96" i="32"/>
  <c r="R96" i="32" s="1"/>
  <c r="W34" i="33"/>
  <c r="W80" i="33"/>
  <c r="S96" i="32"/>
  <c r="T96" i="32" s="1"/>
  <c r="V120" i="33"/>
  <c r="V80" i="33"/>
  <c r="V34" i="33"/>
  <c r="AB62" i="104"/>
  <c r="AB7" i="104"/>
  <c r="S7" i="98"/>
  <c r="S62" i="98"/>
  <c r="F62" i="71"/>
  <c r="F7" i="71"/>
  <c r="AA120" i="33"/>
  <c r="Y96" i="32"/>
  <c r="Z96" i="32" s="1"/>
  <c r="AA34" i="33"/>
  <c r="AA80" i="33"/>
  <c r="AH62" i="98"/>
  <c r="AH7" i="98"/>
  <c r="AN120" i="33"/>
  <c r="AN34" i="33"/>
  <c r="AN80" i="33"/>
  <c r="AY96" i="32"/>
  <c r="AZ96" i="32" s="1"/>
  <c r="BA96" i="32"/>
  <c r="BB96" i="32" s="1"/>
  <c r="E7" i="98"/>
  <c r="E62" i="98"/>
  <c r="V7" i="98"/>
  <c r="V62" i="98"/>
  <c r="P120" i="33"/>
  <c r="P34" i="33"/>
  <c r="P80" i="33"/>
  <c r="T62" i="71"/>
  <c r="T7" i="71"/>
  <c r="AG120" i="33"/>
  <c r="AK96" i="32"/>
  <c r="AL96" i="32" s="1"/>
  <c r="AG34" i="33"/>
  <c r="AG80" i="33"/>
  <c r="AM96" i="32"/>
  <c r="AN96" i="32" s="1"/>
  <c r="U62" i="71"/>
  <c r="U7" i="71"/>
  <c r="M62" i="104"/>
  <c r="M7" i="104"/>
  <c r="H62" i="98"/>
  <c r="H7" i="98"/>
  <c r="O19" i="75"/>
  <c r="L44" i="13"/>
  <c r="L46" i="13"/>
  <c r="U12" i="33" s="1"/>
  <c r="L45" i="13"/>
  <c r="L47" i="13"/>
  <c r="N9" i="33"/>
  <c r="D20" i="60"/>
  <c r="D32" i="60" s="1"/>
  <c r="M66" i="71"/>
  <c r="M11" i="71"/>
  <c r="E11" i="104"/>
  <c r="E66" i="104"/>
  <c r="J66" i="104"/>
  <c r="J11" i="104"/>
  <c r="U66" i="104"/>
  <c r="U11" i="104"/>
  <c r="R66" i="104"/>
  <c r="R11" i="104"/>
  <c r="S47" i="13"/>
  <c r="S44" i="13"/>
  <c r="S45" i="13"/>
  <c r="S46" i="13"/>
  <c r="AB12" i="33" s="1"/>
  <c r="I19" i="75"/>
  <c r="T19" i="75"/>
  <c r="D11" i="98"/>
  <c r="D66" i="98"/>
  <c r="AF47" i="13"/>
  <c r="AF44" i="13"/>
  <c r="AF45" i="13"/>
  <c r="AF46" i="13"/>
  <c r="AO12" i="33" s="1"/>
  <c r="AC46" i="13"/>
  <c r="AL12" i="33" s="1"/>
  <c r="AC44" i="13"/>
  <c r="AC47" i="13"/>
  <c r="AC45" i="13"/>
  <c r="W45" i="13"/>
  <c r="W47" i="13"/>
  <c r="W46" i="13"/>
  <c r="AF12" i="33" s="1"/>
  <c r="W44" i="13"/>
  <c r="AL40" i="32"/>
  <c r="AQ124" i="32"/>
  <c r="AR97" i="32"/>
  <c r="AR124" i="32" s="1"/>
  <c r="Z72" i="75"/>
  <c r="P40" i="32"/>
  <c r="H47" i="13"/>
  <c r="H45" i="13"/>
  <c r="H46" i="13"/>
  <c r="Q12" i="33" s="1"/>
  <c r="H44" i="13"/>
  <c r="AV97" i="32"/>
  <c r="AV124" i="32" s="1"/>
  <c r="AU124" i="32"/>
  <c r="E66" i="98"/>
  <c r="E11" i="98"/>
  <c r="X19" i="75"/>
  <c r="Y40" i="32"/>
  <c r="N45" i="13"/>
  <c r="N47" i="13"/>
  <c r="N46" i="13"/>
  <c r="W12" i="33" s="1"/>
  <c r="N44" i="13"/>
  <c r="U40" i="32"/>
  <c r="J11" i="71"/>
  <c r="J66" i="71"/>
  <c r="F19" i="75"/>
  <c r="D11" i="104"/>
  <c r="D66" i="104"/>
  <c r="K103" i="32"/>
  <c r="AE72" i="75"/>
  <c r="AI11" i="98"/>
  <c r="AI66" i="98"/>
  <c r="U72" i="75"/>
  <c r="K46" i="13"/>
  <c r="T12" i="33" s="1"/>
  <c r="K45" i="13"/>
  <c r="K44" i="13"/>
  <c r="K47" i="13"/>
  <c r="C47" i="13"/>
  <c r="C46" i="13"/>
  <c r="L12" i="33" s="1"/>
  <c r="C44" i="13"/>
  <c r="C45" i="13"/>
  <c r="H19" i="75"/>
  <c r="AS14" i="33"/>
  <c r="AT14" i="33"/>
  <c r="AI19" i="75"/>
  <c r="M11" i="104"/>
  <c r="M66" i="104"/>
  <c r="R19" i="75"/>
  <c r="AS124" i="32"/>
  <c r="AT97" i="32"/>
  <c r="AT124" i="32" s="1"/>
  <c r="E11" i="71"/>
  <c r="E66" i="71"/>
  <c r="C19" i="75"/>
  <c r="W72" i="75"/>
  <c r="D66" i="71"/>
  <c r="D11" i="71"/>
  <c r="AB97" i="32"/>
  <c r="AB124" i="32" s="1"/>
  <c r="AA124" i="32"/>
  <c r="BF97" i="32"/>
  <c r="BF124" i="32" s="1"/>
  <c r="BE124" i="32"/>
  <c r="M40" i="32"/>
  <c r="AH66" i="71"/>
  <c r="AI66" i="71" s="1"/>
  <c r="AH11" i="71"/>
  <c r="AI11" i="71" s="1"/>
  <c r="AE124" i="32"/>
  <c r="AF97" i="32"/>
  <c r="AF124" i="32" s="1"/>
  <c r="AF40" i="32"/>
  <c r="Y47" i="13"/>
  <c r="Y45" i="13"/>
  <c r="Y46" i="13"/>
  <c r="AH12" i="33" s="1"/>
  <c r="Y44" i="13"/>
  <c r="U46" i="13"/>
  <c r="AD12" i="33" s="1"/>
  <c r="U47" i="13"/>
  <c r="U44" i="13"/>
  <c r="U45" i="13"/>
  <c r="L19" i="75"/>
  <c r="N19" i="75"/>
  <c r="U66" i="71"/>
  <c r="U11" i="71"/>
  <c r="U11" i="98"/>
  <c r="U66" i="98"/>
  <c r="J45" i="13"/>
  <c r="J46" i="13"/>
  <c r="S12" i="33" s="1"/>
  <c r="J47" i="13"/>
  <c r="J44" i="13"/>
  <c r="AD72" i="75"/>
  <c r="G47" i="13"/>
  <c r="G45" i="13"/>
  <c r="G46" i="13"/>
  <c r="P12" i="33" s="1"/>
  <c r="G44" i="13"/>
  <c r="Z11" i="71"/>
  <c r="Z66" i="71"/>
  <c r="AI66" i="104"/>
  <c r="AI11" i="104"/>
  <c r="P44" i="13"/>
  <c r="P47" i="13"/>
  <c r="P46" i="13"/>
  <c r="Y12" i="33" s="1"/>
  <c r="P45" i="13"/>
  <c r="AE40" i="32"/>
  <c r="Z47" i="13"/>
  <c r="Z46" i="13"/>
  <c r="AI12" i="33" s="1"/>
  <c r="Z44" i="13"/>
  <c r="Z45" i="13"/>
  <c r="M19" i="75"/>
  <c r="X45" i="13"/>
  <c r="X44" i="13"/>
  <c r="X47" i="13"/>
  <c r="X46" i="13"/>
  <c r="AG12" i="33" s="1"/>
  <c r="H40" i="32"/>
  <c r="AH66" i="104"/>
  <c r="AJ66" i="104" s="1"/>
  <c r="AH11" i="104"/>
  <c r="AJ11" i="104" s="1"/>
  <c r="Z66" i="104"/>
  <c r="Z11" i="104"/>
  <c r="AO124" i="32"/>
  <c r="AP97" i="32"/>
  <c r="AP124" i="32" s="1"/>
  <c r="S19" i="75"/>
  <c r="AB66" i="71"/>
  <c r="AB11" i="71"/>
  <c r="J19" i="75"/>
  <c r="Y19" i="75"/>
  <c r="Q40" i="32"/>
  <c r="Q45" i="13"/>
  <c r="Q47" i="13"/>
  <c r="Q44" i="13"/>
  <c r="Q46" i="13"/>
  <c r="Z12" i="33" s="1"/>
  <c r="D19" i="75"/>
  <c r="G19" i="75"/>
  <c r="K19" i="75"/>
  <c r="AD40" i="32"/>
  <c r="Q19" i="75"/>
  <c r="R11" i="98"/>
  <c r="R66" i="98"/>
  <c r="AA72" i="75"/>
  <c r="AG72" i="75"/>
  <c r="X40" i="32"/>
  <c r="H87" i="32"/>
  <c r="N40" i="32"/>
  <c r="AK40" i="32"/>
  <c r="V40" i="32"/>
  <c r="AS114" i="33"/>
  <c r="V19" i="75"/>
  <c r="V47" i="13"/>
  <c r="V46" i="13"/>
  <c r="AE12" i="33" s="1"/>
  <c r="V45" i="13"/>
  <c r="V44" i="13"/>
  <c r="O47" i="13"/>
  <c r="O44" i="13"/>
  <c r="O45" i="13"/>
  <c r="O46" i="13"/>
  <c r="X12" i="33" s="1"/>
  <c r="M47" i="13"/>
  <c r="M45" i="13"/>
  <c r="M44" i="13"/>
  <c r="M46" i="13"/>
  <c r="V12" i="33" s="1"/>
  <c r="AI47" i="13"/>
  <c r="AI45" i="13"/>
  <c r="AI46" i="13"/>
  <c r="AR12" i="33" s="1"/>
  <c r="AI44" i="13"/>
  <c r="Z11" i="98"/>
  <c r="Z66" i="98"/>
  <c r="H103" i="32"/>
  <c r="N15" i="33"/>
  <c r="E49" i="13"/>
  <c r="N21" i="33" s="1"/>
  <c r="E7" i="75" s="1"/>
  <c r="E64" i="13"/>
  <c r="P19" i="75"/>
  <c r="D46" i="13"/>
  <c r="M12" i="33" s="1"/>
  <c r="D47" i="13"/>
  <c r="D45" i="13"/>
  <c r="D44" i="13"/>
  <c r="AB46" i="13"/>
  <c r="AK12" i="33" s="1"/>
  <c r="AB44" i="13"/>
  <c r="AB45" i="13"/>
  <c r="AB47" i="13"/>
  <c r="AH97" i="32"/>
  <c r="AH124" i="32" s="1"/>
  <c r="AG124" i="32"/>
  <c r="AH72" i="75"/>
  <c r="AB66" i="98"/>
  <c r="AB11" i="98"/>
  <c r="M66" i="98"/>
  <c r="M11" i="98"/>
  <c r="AA45" i="13"/>
  <c r="AA47" i="13"/>
  <c r="AA46" i="13"/>
  <c r="AJ12" i="33" s="1"/>
  <c r="AA44" i="13"/>
  <c r="T47" i="13"/>
  <c r="T44" i="13"/>
  <c r="T45" i="13"/>
  <c r="T46" i="13"/>
  <c r="AC12" i="33" s="1"/>
  <c r="R45" i="13"/>
  <c r="R46" i="13"/>
  <c r="AA12" i="33" s="1"/>
  <c r="R47" i="13"/>
  <c r="R44" i="13"/>
  <c r="J66" i="98"/>
  <c r="J11" i="98"/>
  <c r="AH66" i="98"/>
  <c r="AH11" i="98"/>
  <c r="AD45" i="13"/>
  <c r="AD44" i="13"/>
  <c r="AD47" i="13"/>
  <c r="AD46" i="13"/>
  <c r="AM12" i="33" s="1"/>
  <c r="R66" i="71"/>
  <c r="R11" i="71"/>
  <c r="AH44" i="13"/>
  <c r="AH46" i="13"/>
  <c r="AQ12" i="33" s="1"/>
  <c r="AH45" i="13"/>
  <c r="AH47" i="13"/>
  <c r="AI14" i="71"/>
  <c r="I44" i="13"/>
  <c r="I46" i="13"/>
  <c r="R12" i="33" s="1"/>
  <c r="I47" i="13"/>
  <c r="I45" i="13"/>
  <c r="AC40" i="32"/>
  <c r="G40" i="32"/>
  <c r="D14" i="32"/>
  <c r="N18" i="33"/>
  <c r="AE44" i="13"/>
  <c r="AE45" i="13"/>
  <c r="AE46" i="13"/>
  <c r="AN12" i="33" s="1"/>
  <c r="AE47" i="13"/>
  <c r="AB19" i="75"/>
  <c r="AF72" i="75"/>
  <c r="AG44" i="13"/>
  <c r="AG47" i="13"/>
  <c r="AG46" i="13"/>
  <c r="AP12" i="33" s="1"/>
  <c r="AG45" i="13"/>
  <c r="AB11" i="104"/>
  <c r="AB66" i="104"/>
  <c r="BG124" i="32"/>
  <c r="BH97" i="32"/>
  <c r="BH124" i="32" s="1"/>
  <c r="F46" i="13"/>
  <c r="O12" i="33" s="1"/>
  <c r="F44" i="13"/>
  <c r="F47" i="13"/>
  <c r="F45" i="13"/>
  <c r="I40" i="32"/>
  <c r="E19" i="75"/>
  <c r="AC72" i="75"/>
  <c r="AF38" i="75" l="1"/>
  <c r="AJ66" i="98"/>
  <c r="AJ11" i="98"/>
  <c r="AJ7" i="98"/>
  <c r="AB4" i="98"/>
  <c r="AB59" i="98"/>
  <c r="C4" i="98"/>
  <c r="C59" i="98"/>
  <c r="H4" i="71"/>
  <c r="H59" i="71"/>
  <c r="V4" i="98"/>
  <c r="V59" i="98"/>
  <c r="S59" i="98"/>
  <c r="S4" i="98"/>
  <c r="AB59" i="104"/>
  <c r="AB4" i="104"/>
  <c r="R59" i="104"/>
  <c r="R4" i="104"/>
  <c r="C59" i="104"/>
  <c r="C4" i="104"/>
  <c r="V4" i="71"/>
  <c r="V59" i="71"/>
  <c r="X59" i="98"/>
  <c r="X4" i="98"/>
  <c r="AI59" i="104"/>
  <c r="AI4" i="104"/>
  <c r="AE4" i="98"/>
  <c r="AE59" i="98"/>
  <c r="H59" i="98"/>
  <c r="H4" i="98"/>
  <c r="U59" i="104"/>
  <c r="U4" i="104"/>
  <c r="F59" i="71"/>
  <c r="F4" i="71"/>
  <c r="S59" i="104"/>
  <c r="S4" i="104"/>
  <c r="M59" i="98"/>
  <c r="M4" i="98"/>
  <c r="AH4" i="98"/>
  <c r="AH59" i="98"/>
  <c r="E59" i="104"/>
  <c r="E4" i="104"/>
  <c r="AJ7" i="104"/>
  <c r="R59" i="98"/>
  <c r="R4" i="98"/>
  <c r="N59" i="71"/>
  <c r="N4" i="71"/>
  <c r="G4" i="71"/>
  <c r="G59" i="71"/>
  <c r="H4" i="104"/>
  <c r="H59" i="104"/>
  <c r="U4" i="71"/>
  <c r="U59" i="71"/>
  <c r="F59" i="98"/>
  <c r="F4" i="98"/>
  <c r="V59" i="104"/>
  <c r="V4" i="104"/>
  <c r="AH59" i="71"/>
  <c r="AH4" i="71"/>
  <c r="E59" i="98"/>
  <c r="E4" i="98"/>
  <c r="U59" i="98"/>
  <c r="U4" i="98"/>
  <c r="S59" i="71"/>
  <c r="S4" i="71"/>
  <c r="K59" i="71"/>
  <c r="K4" i="71"/>
  <c r="T4" i="71"/>
  <c r="T59" i="71"/>
  <c r="N59" i="98"/>
  <c r="N4" i="98"/>
  <c r="G59" i="104"/>
  <c r="G4" i="104"/>
  <c r="AE4" i="71"/>
  <c r="AE59" i="71"/>
  <c r="F59" i="104"/>
  <c r="F4" i="104"/>
  <c r="AI7" i="71"/>
  <c r="AH59" i="104"/>
  <c r="AH4" i="104"/>
  <c r="E59" i="71"/>
  <c r="E4" i="71"/>
  <c r="J59" i="104"/>
  <c r="J4" i="104"/>
  <c r="E44" i="75"/>
  <c r="X59" i="104"/>
  <c r="X4" i="104"/>
  <c r="J4" i="71"/>
  <c r="J59" i="71"/>
  <c r="AI4" i="98"/>
  <c r="AI59" i="98"/>
  <c r="AE59" i="104"/>
  <c r="AE4" i="104"/>
  <c r="M4" i="104"/>
  <c r="M59" i="104"/>
  <c r="K4" i="98"/>
  <c r="K59" i="98"/>
  <c r="T59" i="104"/>
  <c r="T4" i="104"/>
  <c r="AB4" i="71"/>
  <c r="AB59" i="71"/>
  <c r="N4" i="104"/>
  <c r="N59" i="104"/>
  <c r="G59" i="98"/>
  <c r="G4" i="98"/>
  <c r="X59" i="71"/>
  <c r="X4" i="71"/>
  <c r="M59" i="71"/>
  <c r="M4" i="71"/>
  <c r="K4" i="104"/>
  <c r="K59" i="104"/>
  <c r="T4" i="98"/>
  <c r="T59" i="98"/>
  <c r="J4" i="98"/>
  <c r="J59" i="98"/>
  <c r="R59" i="71"/>
  <c r="R4" i="71"/>
  <c r="C59" i="71"/>
  <c r="C4" i="71"/>
  <c r="AE20" i="60"/>
  <c r="AE32" i="60" s="1"/>
  <c r="AO9" i="33"/>
  <c r="AL18" i="33"/>
  <c r="S72" i="75"/>
  <c r="I20" i="60"/>
  <c r="I32" i="60" s="1"/>
  <c r="S9" i="33"/>
  <c r="L72" i="75"/>
  <c r="L15" i="33"/>
  <c r="C49" i="13"/>
  <c r="L21" i="33" s="1"/>
  <c r="C7" i="75" s="1"/>
  <c r="C64" i="13"/>
  <c r="AF18" i="33"/>
  <c r="AJ18" i="33"/>
  <c r="N72" i="75"/>
  <c r="AD18" i="33"/>
  <c r="Y49" i="13"/>
  <c r="AH21" i="33" s="1"/>
  <c r="Y7" i="75" s="1"/>
  <c r="AH15" i="33"/>
  <c r="Y64" i="13"/>
  <c r="AS12" i="33"/>
  <c r="AE49" i="13"/>
  <c r="AN21" i="33" s="1"/>
  <c r="AE7" i="75" s="1"/>
  <c r="AN15" i="33"/>
  <c r="AE64" i="13"/>
  <c r="I49" i="13"/>
  <c r="R21" i="33" s="1"/>
  <c r="I7" i="75" s="1"/>
  <c r="R15" i="33"/>
  <c r="I64" i="13"/>
  <c r="T49" i="13"/>
  <c r="AC21" i="33" s="1"/>
  <c r="T7" i="75" s="1"/>
  <c r="AC15" i="33"/>
  <c r="T64" i="13"/>
  <c r="M9" i="33"/>
  <c r="C20" i="60"/>
  <c r="C32" i="60" s="1"/>
  <c r="V15" i="33"/>
  <c r="M49" i="13"/>
  <c r="V21" i="33" s="1"/>
  <c r="M7" i="75" s="1"/>
  <c r="M64" i="13"/>
  <c r="AE18" i="33"/>
  <c r="Q72" i="75"/>
  <c r="AG9" i="33"/>
  <c r="W20" i="60"/>
  <c r="W32" i="60" s="1"/>
  <c r="Y20" i="60"/>
  <c r="Y32" i="60" s="1"/>
  <c r="AI9" i="33"/>
  <c r="S18" i="33"/>
  <c r="U49" i="13"/>
  <c r="AD21" i="33" s="1"/>
  <c r="U7" i="75" s="1"/>
  <c r="AD15" i="33"/>
  <c r="U64" i="13"/>
  <c r="R72" i="75"/>
  <c r="H72" i="75"/>
  <c r="B20" i="60"/>
  <c r="B32" i="60" s="1"/>
  <c r="L9" i="33"/>
  <c r="AL9" i="33"/>
  <c r="AB20" i="60"/>
  <c r="AB32" i="60" s="1"/>
  <c r="AB18" i="33"/>
  <c r="K20" i="60"/>
  <c r="K32" i="60" s="1"/>
  <c r="U9" i="33"/>
  <c r="E72" i="75"/>
  <c r="AG49" i="13"/>
  <c r="AP21" i="33" s="1"/>
  <c r="AG7" i="75" s="1"/>
  <c r="AP15" i="33"/>
  <c r="AG64" i="13"/>
  <c r="H20" i="60"/>
  <c r="H32" i="60" s="1"/>
  <c r="R9" i="33"/>
  <c r="AR9" i="33"/>
  <c r="AH20" i="60"/>
  <c r="AH32" i="60" s="1"/>
  <c r="Y15" i="33"/>
  <c r="P49" i="13"/>
  <c r="Y21" i="33" s="1"/>
  <c r="P7" i="75" s="1"/>
  <c r="P64" i="13"/>
  <c r="V18" i="33"/>
  <c r="K72" i="75"/>
  <c r="C72" i="75"/>
  <c r="J20" i="60"/>
  <c r="J32" i="60" s="1"/>
  <c r="T9" i="33"/>
  <c r="H49" i="13"/>
  <c r="Q21" i="33" s="1"/>
  <c r="H7" i="75" s="1"/>
  <c r="Q15" i="33"/>
  <c r="H64" i="13"/>
  <c r="AC49" i="13"/>
  <c r="AL21" i="33" s="1"/>
  <c r="AC7" i="75" s="1"/>
  <c r="AL15" i="33"/>
  <c r="AC64" i="13"/>
  <c r="S49" i="13"/>
  <c r="AB21" i="33" s="1"/>
  <c r="S7" i="75" s="1"/>
  <c r="AB15" i="33"/>
  <c r="S64" i="13"/>
  <c r="U18" i="33"/>
  <c r="Z20" i="60"/>
  <c r="Z32" i="60" s="1"/>
  <c r="AJ9" i="33"/>
  <c r="D49" i="13"/>
  <c r="M21" i="33" s="1"/>
  <c r="D7" i="75" s="1"/>
  <c r="M15" i="33"/>
  <c r="D64" i="13"/>
  <c r="W18" i="33"/>
  <c r="AC9" i="33"/>
  <c r="S20" i="60"/>
  <c r="S32" i="60" s="1"/>
  <c r="Z15" i="33"/>
  <c r="Q49" i="13"/>
  <c r="Z21" i="33" s="1"/>
  <c r="Q7" i="75" s="1"/>
  <c r="Q64" i="13"/>
  <c r="Y72" i="75"/>
  <c r="O9" i="33"/>
  <c r="E20" i="60"/>
  <c r="E32" i="60" s="1"/>
  <c r="AB72" i="75"/>
  <c r="AQ9" i="33"/>
  <c r="AG20" i="60"/>
  <c r="AG32" i="60" s="1"/>
  <c r="AD49" i="13"/>
  <c r="AM21" i="33" s="1"/>
  <c r="AD7" i="75" s="1"/>
  <c r="AM15" i="33"/>
  <c r="AD64" i="13"/>
  <c r="AA15" i="33"/>
  <c r="R49" i="13"/>
  <c r="AA21" i="33" s="1"/>
  <c r="R7" i="75" s="1"/>
  <c r="R64" i="13"/>
  <c r="AK9" i="33"/>
  <c r="AA20" i="60"/>
  <c r="AA32" i="60" s="1"/>
  <c r="P72" i="75"/>
  <c r="L20" i="60"/>
  <c r="L32" i="60" s="1"/>
  <c r="V9" i="33"/>
  <c r="U20" i="60"/>
  <c r="U32" i="60" s="1"/>
  <c r="AE9" i="33"/>
  <c r="P20" i="60"/>
  <c r="P32" i="60" s="1"/>
  <c r="Z9" i="33"/>
  <c r="J72" i="75"/>
  <c r="AG18" i="33"/>
  <c r="AH9" i="33"/>
  <c r="X20" i="60"/>
  <c r="X32" i="60" s="1"/>
  <c r="T15" i="33"/>
  <c r="K49" i="13"/>
  <c r="T21" i="33" s="1"/>
  <c r="K7" i="75" s="1"/>
  <c r="K64" i="13"/>
  <c r="X72" i="75"/>
  <c r="AB9" i="33"/>
  <c r="R20" i="60"/>
  <c r="R32" i="60" s="1"/>
  <c r="X9" i="33"/>
  <c r="N20" i="60"/>
  <c r="N32" i="60" s="1"/>
  <c r="F72" i="75"/>
  <c r="M18" i="33"/>
  <c r="P15" i="33"/>
  <c r="G49" i="13"/>
  <c r="P21" i="33" s="1"/>
  <c r="G7" i="75" s="1"/>
  <c r="G64" i="13"/>
  <c r="F49" i="13"/>
  <c r="O21" i="33" s="1"/>
  <c r="F7" i="75" s="1"/>
  <c r="O15" i="33"/>
  <c r="F64" i="13"/>
  <c r="AM18" i="33"/>
  <c r="Q20" i="60"/>
  <c r="Q32" i="60" s="1"/>
  <c r="AA9" i="33"/>
  <c r="AK18" i="33"/>
  <c r="AI49" i="13"/>
  <c r="AR21" i="33" s="1"/>
  <c r="AR15" i="33"/>
  <c r="AI64" i="13"/>
  <c r="V72" i="75"/>
  <c r="G72" i="75"/>
  <c r="Z18" i="33"/>
  <c r="M72" i="75"/>
  <c r="Y18" i="33"/>
  <c r="P18" i="33"/>
  <c r="AK19" i="75"/>
  <c r="AI72" i="75"/>
  <c r="T18" i="33"/>
  <c r="W15" i="33"/>
  <c r="N49" i="13"/>
  <c r="W21" i="33" s="1"/>
  <c r="N7" i="75" s="1"/>
  <c r="N64" i="13"/>
  <c r="Q18" i="33"/>
  <c r="W49" i="13"/>
  <c r="AF21" i="33" s="1"/>
  <c r="W7" i="75" s="1"/>
  <c r="AF15" i="33"/>
  <c r="W64" i="13"/>
  <c r="U15" i="33"/>
  <c r="L49" i="13"/>
  <c r="U21" i="33" s="1"/>
  <c r="L7" i="75" s="1"/>
  <c r="L64" i="13"/>
  <c r="Z49" i="13"/>
  <c r="AI21" i="33" s="1"/>
  <c r="Z7" i="75" s="1"/>
  <c r="AI15" i="33"/>
  <c r="Z64" i="13"/>
  <c r="AG15" i="33"/>
  <c r="X49" i="13"/>
  <c r="AG21" i="33" s="1"/>
  <c r="X7" i="75" s="1"/>
  <c r="X64" i="13"/>
  <c r="AD9" i="33"/>
  <c r="T20" i="60"/>
  <c r="T32" i="60" s="1"/>
  <c r="AH18" i="33"/>
  <c r="AP18" i="33"/>
  <c r="AQ18" i="33"/>
  <c r="AA49" i="13"/>
  <c r="AJ21" i="33" s="1"/>
  <c r="AA7" i="75" s="1"/>
  <c r="AJ15" i="33"/>
  <c r="AA64" i="13"/>
  <c r="AK15" i="33"/>
  <c r="AB49" i="13"/>
  <c r="AK21" i="33" s="1"/>
  <c r="AB7" i="75" s="1"/>
  <c r="AB64" i="13"/>
  <c r="AT12" i="33"/>
  <c r="X18" i="33"/>
  <c r="F20" i="60"/>
  <c r="F32" i="60" s="1"/>
  <c r="P9" i="33"/>
  <c r="G20" i="60"/>
  <c r="G32" i="60" s="1"/>
  <c r="Q9" i="33"/>
  <c r="AO18" i="33"/>
  <c r="T72" i="75"/>
  <c r="AN18" i="33"/>
  <c r="AC18" i="33"/>
  <c r="AE15" i="33"/>
  <c r="V49" i="13"/>
  <c r="AE21" i="33" s="1"/>
  <c r="V7" i="75" s="1"/>
  <c r="V64" i="13"/>
  <c r="O18" i="33"/>
  <c r="AC20" i="60"/>
  <c r="AC32" i="60" s="1"/>
  <c r="AM9" i="33"/>
  <c r="N13" i="33"/>
  <c r="AF20" i="60"/>
  <c r="AF32" i="60" s="1"/>
  <c r="AP9" i="33"/>
  <c r="AD20" i="60"/>
  <c r="AD32" i="60" s="1"/>
  <c r="AN9" i="33"/>
  <c r="R18" i="33"/>
  <c r="AH49" i="13"/>
  <c r="AQ21" i="33" s="1"/>
  <c r="AH7" i="75" s="1"/>
  <c r="AQ15" i="33"/>
  <c r="AH64" i="13"/>
  <c r="AA18" i="33"/>
  <c r="E60" i="75"/>
  <c r="AR18" i="33"/>
  <c r="O49" i="13"/>
  <c r="X21" i="33" s="1"/>
  <c r="O7" i="75" s="1"/>
  <c r="X15" i="33"/>
  <c r="O64" i="13"/>
  <c r="D72" i="75"/>
  <c r="AI18" i="33"/>
  <c r="O20" i="60"/>
  <c r="O32" i="60" s="1"/>
  <c r="Y9" i="33"/>
  <c r="S15" i="33"/>
  <c r="J49" i="13"/>
  <c r="S21" i="33" s="1"/>
  <c r="J7" i="75" s="1"/>
  <c r="J64" i="13"/>
  <c r="L18" i="33"/>
  <c r="M20" i="60"/>
  <c r="M32" i="60" s="1"/>
  <c r="W9" i="33"/>
  <c r="V20" i="60"/>
  <c r="V32" i="60" s="1"/>
  <c r="AF9" i="33"/>
  <c r="AO15" i="33"/>
  <c r="AF49" i="13"/>
  <c r="AO21" i="33" s="1"/>
  <c r="AF7" i="75" s="1"/>
  <c r="AF64" i="13"/>
  <c r="I72" i="75"/>
  <c r="O72" i="75"/>
  <c r="AF66" i="75" l="1"/>
  <c r="AC37" i="75"/>
  <c r="I65" i="75"/>
  <c r="AC38" i="75"/>
  <c r="AG66" i="75"/>
  <c r="AA37" i="75"/>
  <c r="W65" i="75"/>
  <c r="J65" i="75"/>
  <c r="J38" i="75"/>
  <c r="AE38" i="75"/>
  <c r="AE66" i="75"/>
  <c r="P60" i="75"/>
  <c r="U44" i="75"/>
  <c r="AD13" i="33"/>
  <c r="I60" i="75"/>
  <c r="O44" i="75"/>
  <c r="X13" i="33"/>
  <c r="G44" i="75"/>
  <c r="P13" i="33"/>
  <c r="AD44" i="75"/>
  <c r="AM13" i="33"/>
  <c r="P44" i="75"/>
  <c r="Y13" i="33"/>
  <c r="U60" i="75"/>
  <c r="Y44" i="75"/>
  <c r="AH13" i="33"/>
  <c r="F44" i="75"/>
  <c r="O13" i="33"/>
  <c r="AD60" i="75"/>
  <c r="AC44" i="75"/>
  <c r="AL13" i="33"/>
  <c r="Y60" i="75"/>
  <c r="G60" i="75"/>
  <c r="O60" i="75"/>
  <c r="Z44" i="75"/>
  <c r="AI13" i="33"/>
  <c r="M60" i="75"/>
  <c r="AE44" i="75"/>
  <c r="AN13" i="33"/>
  <c r="C60" i="75"/>
  <c r="AB60" i="75"/>
  <c r="Z60" i="75"/>
  <c r="N60" i="75"/>
  <c r="AT15" i="33"/>
  <c r="AI44" i="75"/>
  <c r="AR13" i="33"/>
  <c r="F60" i="75"/>
  <c r="D60" i="75"/>
  <c r="AC60" i="75"/>
  <c r="AG44" i="75"/>
  <c r="AP13" i="33"/>
  <c r="M44" i="75"/>
  <c r="V13" i="33"/>
  <c r="T44" i="75"/>
  <c r="AC13" i="33"/>
  <c r="AE60" i="75"/>
  <c r="AS15" i="33"/>
  <c r="C44" i="75"/>
  <c r="L13" i="33"/>
  <c r="D44" i="75"/>
  <c r="M13" i="33"/>
  <c r="AS9" i="33"/>
  <c r="J60" i="75"/>
  <c r="AT18" i="33"/>
  <c r="AH44" i="75"/>
  <c r="AQ13" i="33"/>
  <c r="V60" i="75"/>
  <c r="AB44" i="75"/>
  <c r="AK13" i="33"/>
  <c r="W44" i="75"/>
  <c r="AF13" i="33"/>
  <c r="N44" i="75"/>
  <c r="W13" i="33"/>
  <c r="AI7" i="75"/>
  <c r="AT21" i="33"/>
  <c r="AS21" i="33"/>
  <c r="Q60" i="75"/>
  <c r="S44" i="75"/>
  <c r="AB13" i="33"/>
  <c r="AG60" i="75"/>
  <c r="T60" i="75"/>
  <c r="AS18" i="33"/>
  <c r="AF60" i="75"/>
  <c r="J44" i="75"/>
  <c r="S13" i="33"/>
  <c r="V44" i="75"/>
  <c r="AE13" i="33"/>
  <c r="L60" i="75"/>
  <c r="W60" i="75"/>
  <c r="K60" i="75"/>
  <c r="Q44" i="75"/>
  <c r="Z13" i="33"/>
  <c r="S60" i="75"/>
  <c r="H44" i="75"/>
  <c r="Q13" i="33"/>
  <c r="AH60" i="75"/>
  <c r="AA44" i="75"/>
  <c r="AJ13" i="33"/>
  <c r="X60" i="75"/>
  <c r="L44" i="75"/>
  <c r="U13" i="33"/>
  <c r="K44" i="75"/>
  <c r="T13" i="33"/>
  <c r="R60" i="75"/>
  <c r="H60" i="75"/>
  <c r="AT9" i="33"/>
  <c r="AF44" i="75"/>
  <c r="AO13" i="33"/>
  <c r="AA60" i="75"/>
  <c r="X44" i="75"/>
  <c r="AG13" i="33"/>
  <c r="R44" i="75"/>
  <c r="AA13" i="33"/>
  <c r="I44" i="75"/>
  <c r="R13" i="33"/>
  <c r="AC65" i="75" l="1"/>
  <c r="AG38" i="75"/>
  <c r="AC66" i="75"/>
  <c r="J37" i="75"/>
  <c r="AA65" i="75"/>
  <c r="I37" i="75"/>
  <c r="J66" i="75"/>
  <c r="I38" i="75"/>
  <c r="AA38" i="75"/>
  <c r="AA66" i="75"/>
  <c r="W38" i="75"/>
  <c r="I66" i="75"/>
  <c r="W66" i="75"/>
  <c r="AG65" i="75"/>
  <c r="Y65" i="75"/>
  <c r="K66" i="75"/>
  <c r="Y66" i="75"/>
  <c r="L38" i="75"/>
  <c r="F38" i="75"/>
  <c r="AD37" i="75"/>
  <c r="AF37" i="75"/>
  <c r="P66" i="75"/>
  <c r="AF65" i="75"/>
  <c r="F37" i="75"/>
  <c r="E66" i="75"/>
  <c r="AD38" i="75"/>
  <c r="W37" i="75"/>
  <c r="H38" i="75"/>
  <c r="G37" i="75"/>
  <c r="G65" i="75"/>
  <c r="D37" i="75"/>
  <c r="D65" i="75"/>
  <c r="AB65" i="75"/>
  <c r="AB37" i="75"/>
  <c r="V66" i="75"/>
  <c r="V38" i="75"/>
  <c r="S38" i="75"/>
  <c r="S66" i="75"/>
  <c r="M37" i="75"/>
  <c r="M65" i="75"/>
  <c r="AB66" i="75"/>
  <c r="AB38" i="75"/>
  <c r="R65" i="75"/>
  <c r="R37" i="75"/>
  <c r="D66" i="75"/>
  <c r="D38" i="75"/>
  <c r="T37" i="75"/>
  <c r="T65" i="75"/>
  <c r="N65" i="75"/>
  <c r="N37" i="75"/>
  <c r="S37" i="75"/>
  <c r="S65" i="75"/>
  <c r="M38" i="75"/>
  <c r="M66" i="75"/>
  <c r="N38" i="75"/>
  <c r="N66" i="75"/>
  <c r="T38" i="75"/>
  <c r="T66" i="75"/>
  <c r="R38" i="75"/>
  <c r="R66" i="75"/>
  <c r="AE37" i="75"/>
  <c r="AE65" i="75"/>
  <c r="V65" i="75"/>
  <c r="V37" i="75"/>
  <c r="O65" i="75"/>
  <c r="O37" i="75"/>
  <c r="O66" i="75"/>
  <c r="O38" i="75"/>
  <c r="G38" i="75"/>
  <c r="G66" i="75"/>
  <c r="AN44" i="75"/>
  <c r="AK44" i="75"/>
  <c r="AS13" i="33"/>
  <c r="AT13" i="33"/>
  <c r="AI60" i="75"/>
  <c r="AK7" i="75"/>
  <c r="AG37" i="75" l="1"/>
  <c r="F66" i="75"/>
  <c r="AD65" i="75"/>
  <c r="L66" i="75"/>
  <c r="P38" i="75"/>
  <c r="K38" i="75"/>
  <c r="E38" i="75"/>
  <c r="K37" i="75"/>
  <c r="F65" i="75"/>
  <c r="H66" i="75"/>
  <c r="AD66" i="75"/>
  <c r="Y38" i="75"/>
  <c r="L65" i="75"/>
  <c r="E37" i="75"/>
  <c r="E65" i="75"/>
  <c r="P65" i="75"/>
  <c r="L37" i="75"/>
  <c r="H65" i="75"/>
  <c r="H37" i="75"/>
  <c r="Y37" i="75"/>
  <c r="K65" i="75"/>
  <c r="C37" i="75"/>
  <c r="AN37" i="75" s="1"/>
  <c r="C65" i="75"/>
  <c r="C66" i="75"/>
  <c r="C38" i="75"/>
  <c r="AN38" i="75" s="1"/>
  <c r="Q65" i="75"/>
  <c r="Q37" i="75"/>
  <c r="Z37" i="75"/>
  <c r="Z65" i="75"/>
  <c r="X38" i="75"/>
  <c r="X66" i="75"/>
  <c r="Q66" i="75"/>
  <c r="Q38" i="75"/>
  <c r="X65" i="75"/>
  <c r="X37" i="75"/>
  <c r="U66" i="75"/>
  <c r="U38" i="75"/>
  <c r="Z38" i="75"/>
  <c r="Z66" i="75"/>
  <c r="AH66" i="75"/>
  <c r="AH38" i="75"/>
  <c r="AK38" i="75" s="1"/>
  <c r="AK13" i="75"/>
  <c r="P37" i="75"/>
  <c r="U37" i="75"/>
  <c r="U65" i="75"/>
  <c r="AH65" i="75" l="1"/>
  <c r="AH37" i="75"/>
  <c r="AK37" i="75" s="1"/>
  <c r="AK12" i="75"/>
  <c r="K53" i="17"/>
  <c r="S53" i="17"/>
  <c r="W53" i="17"/>
  <c r="H53" i="17"/>
  <c r="G53" i="17"/>
  <c r="T53" i="17"/>
  <c r="E53" i="17"/>
  <c r="U53" i="17"/>
  <c r="F53" i="17"/>
  <c r="J53" i="17"/>
  <c r="AA53" i="17"/>
  <c r="V53" i="17"/>
  <c r="AE53" i="17"/>
  <c r="X53" i="17"/>
  <c r="C53" i="17"/>
  <c r="AF53" i="17"/>
  <c r="AB53" i="17"/>
  <c r="Y53" i="17"/>
  <c r="AF20" i="44"/>
  <c r="L53" i="17"/>
  <c r="AG53" i="17"/>
  <c r="H20" i="44"/>
  <c r="P53" i="17"/>
  <c r="Z53" i="17"/>
  <c r="Q53" i="17"/>
  <c r="M53" i="17"/>
  <c r="R53" i="17"/>
  <c r="N53" i="17"/>
  <c r="Q17" i="44"/>
  <c r="AG17" i="44"/>
  <c r="P17" i="44"/>
  <c r="U17" i="44"/>
  <c r="AH17" i="44" l="1"/>
  <c r="R106" i="2"/>
  <c r="R104" i="2" s="1"/>
  <c r="R33" i="2" s="1"/>
  <c r="O7" i="63"/>
  <c r="AC53" i="17"/>
  <c r="Y17" i="44"/>
  <c r="AA17" i="44"/>
  <c r="AD53" i="17"/>
  <c r="E17" i="44"/>
  <c r="D53" i="17"/>
  <c r="AB17" i="44"/>
  <c r="G17" i="44"/>
  <c r="I53" i="17"/>
  <c r="BR17" i="70"/>
  <c r="U85" i="44"/>
  <c r="K37" i="72"/>
  <c r="P37" i="72" s="1"/>
  <c r="BN17" i="70"/>
  <c r="Q85" i="44"/>
  <c r="K37" i="56"/>
  <c r="P37" i="56" s="1"/>
  <c r="P7" i="63"/>
  <c r="S106" i="2"/>
  <c r="S104" i="2" s="1"/>
  <c r="S33" i="2" s="1"/>
  <c r="X7" i="63"/>
  <c r="AA106" i="2"/>
  <c r="AA104" i="2" s="1"/>
  <c r="AA33" i="2" s="1"/>
  <c r="Z7" i="63"/>
  <c r="AC106" i="2"/>
  <c r="AC104" i="2" s="1"/>
  <c r="AC33" i="2" s="1"/>
  <c r="I7" i="63"/>
  <c r="L106" i="2"/>
  <c r="L104" i="2" s="1"/>
  <c r="L33" i="2" s="1"/>
  <c r="G7" i="63"/>
  <c r="J106" i="2"/>
  <c r="J104" i="2" s="1"/>
  <c r="J33" i="2" s="1"/>
  <c r="M7" i="63"/>
  <c r="P106" i="2"/>
  <c r="P104" i="2" s="1"/>
  <c r="P33" i="2" s="1"/>
  <c r="AF7" i="63"/>
  <c r="AI106" i="2"/>
  <c r="AI104" i="2" s="1"/>
  <c r="AI33" i="2" s="1"/>
  <c r="E7" i="63"/>
  <c r="H106" i="2"/>
  <c r="H104" i="2" s="1"/>
  <c r="H33" i="2" s="1"/>
  <c r="Y7" i="63"/>
  <c r="AB106" i="2"/>
  <c r="AB104" i="2" s="1"/>
  <c r="AB33" i="2" s="1"/>
  <c r="AH106" i="2"/>
  <c r="AH104" i="2" s="1"/>
  <c r="AH33" i="2" s="1"/>
  <c r="AE7" i="63"/>
  <c r="B7" i="63"/>
  <c r="E106" i="2"/>
  <c r="E104" i="2" s="1"/>
  <c r="E33" i="2" s="1"/>
  <c r="Z106" i="2"/>
  <c r="Z104" i="2" s="1"/>
  <c r="Z33" i="2" s="1"/>
  <c r="W7" i="63"/>
  <c r="G106" i="2"/>
  <c r="G104" i="2" s="1"/>
  <c r="G33" i="2" s="1"/>
  <c r="D7" i="63"/>
  <c r="U106" i="2"/>
  <c r="U104" i="2" s="1"/>
  <c r="U33" i="2" s="1"/>
  <c r="R7" i="63"/>
  <c r="K37" i="55"/>
  <c r="P37" i="55" s="1"/>
  <c r="BM17" i="70"/>
  <c r="P85" i="44"/>
  <c r="CD17" i="70"/>
  <c r="K37" i="95"/>
  <c r="P37" i="95" s="1"/>
  <c r="BE20" i="70"/>
  <c r="K21" i="53"/>
  <c r="H88" i="44"/>
  <c r="CC20" i="70"/>
  <c r="AF88" i="44"/>
  <c r="K21" i="90"/>
  <c r="AI53" i="17"/>
  <c r="AA7" i="63"/>
  <c r="AD106" i="2"/>
  <c r="AD104" i="2" s="1"/>
  <c r="AD33" i="2" s="1"/>
  <c r="T7" i="63"/>
  <c r="W106" i="2"/>
  <c r="W104" i="2" s="1"/>
  <c r="W33" i="2" s="1"/>
  <c r="O106" i="2"/>
  <c r="O104" i="2" s="1"/>
  <c r="O33" i="2" s="1"/>
  <c r="L7" i="63"/>
  <c r="U7" i="63"/>
  <c r="X106" i="2"/>
  <c r="X104" i="2" s="1"/>
  <c r="X33" i="2" s="1"/>
  <c r="S7" i="63"/>
  <c r="V106" i="2"/>
  <c r="V104" i="2" s="1"/>
  <c r="V33" i="2" s="1"/>
  <c r="T106" i="2"/>
  <c r="T104" i="2" s="1"/>
  <c r="T33" i="2" s="1"/>
  <c r="Q7" i="63"/>
  <c r="N106" i="2"/>
  <c r="N104" i="2" s="1"/>
  <c r="N33" i="2" s="1"/>
  <c r="K7" i="63"/>
  <c r="AG106" i="2"/>
  <c r="AG104" i="2" s="1"/>
  <c r="AG33" i="2" s="1"/>
  <c r="AD7" i="63"/>
  <c r="I106" i="2"/>
  <c r="I104" i="2" s="1"/>
  <c r="I33" i="2" s="1"/>
  <c r="F7" i="63"/>
  <c r="Y106" i="2"/>
  <c r="Y104" i="2" s="1"/>
  <c r="Y33" i="2" s="1"/>
  <c r="V7" i="63"/>
  <c r="J7" i="63"/>
  <c r="M106" i="2"/>
  <c r="M104" i="2" s="1"/>
  <c r="M33" i="2" s="1"/>
  <c r="O17" i="44"/>
  <c r="M17" i="44"/>
  <c r="W17" i="44"/>
  <c r="M20" i="44"/>
  <c r="Q20" i="44"/>
  <c r="N20" i="44"/>
  <c r="AB20" i="44"/>
  <c r="I20" i="44"/>
  <c r="R20" i="44"/>
  <c r="O53" i="17"/>
  <c r="I17" i="44"/>
  <c r="AI17" i="44"/>
  <c r="T17" i="44"/>
  <c r="S17" i="44"/>
  <c r="BV17" i="70" l="1"/>
  <c r="K37" i="81"/>
  <c r="P37" i="81" s="1"/>
  <c r="E28" i="77"/>
  <c r="W32" i="70"/>
  <c r="H115" i="44"/>
  <c r="I784" i="97"/>
  <c r="E28" i="52"/>
  <c r="I32" i="70"/>
  <c r="P21" i="53"/>
  <c r="E28" i="96"/>
  <c r="AH32" i="70"/>
  <c r="P32" i="70"/>
  <c r="E28" i="55"/>
  <c r="BD17" i="70"/>
  <c r="K37" i="54"/>
  <c r="P37" i="54" s="1"/>
  <c r="G85" i="44"/>
  <c r="X37" i="95"/>
  <c r="T37" i="95"/>
  <c r="X37" i="55"/>
  <c r="T37" i="55"/>
  <c r="K21" i="52"/>
  <c r="I88" i="44"/>
  <c r="BF20" i="70"/>
  <c r="E36" i="87"/>
  <c r="E28" i="87"/>
  <c r="AD32" i="70"/>
  <c r="AH7" i="63"/>
  <c r="AK106" i="2"/>
  <c r="G32" i="70"/>
  <c r="E28" i="54"/>
  <c r="AB32" i="70"/>
  <c r="E28" i="84"/>
  <c r="L32" i="70"/>
  <c r="E28" i="49"/>
  <c r="K37" i="41"/>
  <c r="P37" i="41" s="1"/>
  <c r="BB17" i="70"/>
  <c r="E85" i="44"/>
  <c r="X32" i="70"/>
  <c r="E28" i="79"/>
  <c r="K37" i="52"/>
  <c r="P37" i="52" s="1"/>
  <c r="BF17" i="70"/>
  <c r="I85" i="44"/>
  <c r="BN20" i="70"/>
  <c r="K21" i="56"/>
  <c r="Q88" i="44"/>
  <c r="K37" i="48"/>
  <c r="P37" i="48" s="1"/>
  <c r="BJ17" i="70"/>
  <c r="M85" i="44"/>
  <c r="BL17" i="70"/>
  <c r="K37" i="46"/>
  <c r="P37" i="46" s="1"/>
  <c r="O85" i="44"/>
  <c r="E28" i="48"/>
  <c r="M32" i="70"/>
  <c r="AG32" i="70"/>
  <c r="E28" i="95"/>
  <c r="E28" i="46"/>
  <c r="O32" i="70"/>
  <c r="E28" i="53"/>
  <c r="H32" i="70"/>
  <c r="E28" i="64"/>
  <c r="S32" i="70"/>
  <c r="K106" i="2"/>
  <c r="K104" i="2" s="1"/>
  <c r="K33" i="2" s="1"/>
  <c r="H7" i="63"/>
  <c r="K37" i="84"/>
  <c r="P37" i="84" s="1"/>
  <c r="BY17" i="70"/>
  <c r="AH53" i="17"/>
  <c r="E28" i="83"/>
  <c r="AA32" i="70"/>
  <c r="V844" i="97"/>
  <c r="U112" i="44"/>
  <c r="U141" i="44" s="1"/>
  <c r="V646" i="97"/>
  <c r="P21" i="90"/>
  <c r="E36" i="85"/>
  <c r="AC32" i="70"/>
  <c r="E28" i="85"/>
  <c r="CE17" i="70"/>
  <c r="K37" i="96"/>
  <c r="P37" i="96" s="1"/>
  <c r="J32" i="70"/>
  <c r="E28" i="51"/>
  <c r="BQ17" i="70"/>
  <c r="T85" i="44"/>
  <c r="K37" i="69"/>
  <c r="P37" i="69" s="1"/>
  <c r="S85" i="44"/>
  <c r="BP17" i="70"/>
  <c r="K37" i="64"/>
  <c r="P37" i="64" s="1"/>
  <c r="AK17" i="44"/>
  <c r="K37" i="101" s="1"/>
  <c r="P37" i="101" s="1"/>
  <c r="Q106" i="2"/>
  <c r="Q104" i="2" s="1"/>
  <c r="Q33" i="2" s="1"/>
  <c r="N7" i="63"/>
  <c r="N88" i="44"/>
  <c r="BK20" i="70"/>
  <c r="K21" i="47"/>
  <c r="N32" i="70"/>
  <c r="E28" i="47"/>
  <c r="E28" i="73"/>
  <c r="V32" i="70"/>
  <c r="AF115" i="44"/>
  <c r="AF144" i="44" s="1"/>
  <c r="AG784" i="97"/>
  <c r="E28" i="82"/>
  <c r="Z32" i="70"/>
  <c r="AC7" i="63"/>
  <c r="AF106" i="2"/>
  <c r="AF104" i="2" s="1"/>
  <c r="AF33" i="2" s="1"/>
  <c r="AB7" i="63"/>
  <c r="AE106" i="2"/>
  <c r="AE104" i="2" s="1"/>
  <c r="AE33" i="2" s="1"/>
  <c r="K21" i="58"/>
  <c r="R88" i="44"/>
  <c r="BO20" i="70"/>
  <c r="M88" i="44"/>
  <c r="BJ20" i="70"/>
  <c r="K21" i="48"/>
  <c r="Q844" i="97"/>
  <c r="P112" i="44"/>
  <c r="Q646" i="97"/>
  <c r="E36" i="41"/>
  <c r="E32" i="70"/>
  <c r="E28" i="41"/>
  <c r="X37" i="56"/>
  <c r="T37" i="56"/>
  <c r="E28" i="72"/>
  <c r="U32" i="70"/>
  <c r="C7" i="63"/>
  <c r="F106" i="2"/>
  <c r="F104" i="2" s="1"/>
  <c r="F33" i="2" s="1"/>
  <c r="CF17" i="70"/>
  <c r="K37" i="99"/>
  <c r="P37" i="99" s="1"/>
  <c r="K21" i="84"/>
  <c r="BY20" i="70"/>
  <c r="AB88" i="44"/>
  <c r="BT17" i="70"/>
  <c r="W85" i="44"/>
  <c r="K37" i="77"/>
  <c r="P37" i="77" s="1"/>
  <c r="Y32" i="70"/>
  <c r="E28" i="81"/>
  <c r="T32" i="70"/>
  <c r="E28" i="69"/>
  <c r="E28" i="99"/>
  <c r="AI32" i="70"/>
  <c r="R844" i="97"/>
  <c r="Q112" i="44"/>
  <c r="R646" i="97"/>
  <c r="X37" i="72"/>
  <c r="T37" i="72"/>
  <c r="K37" i="83"/>
  <c r="P37" i="83" s="1"/>
  <c r="BX17" i="70"/>
  <c r="E28" i="58"/>
  <c r="R32" i="70"/>
  <c r="V20" i="44"/>
  <c r="T20" i="44"/>
  <c r="J20" i="44"/>
  <c r="W20" i="44"/>
  <c r="U20" i="44"/>
  <c r="AG20" i="44"/>
  <c r="K20" i="44"/>
  <c r="L20" i="44"/>
  <c r="AC20" i="44"/>
  <c r="G20" i="44"/>
  <c r="AK20" i="44"/>
  <c r="Z20" i="44"/>
  <c r="F20" i="44"/>
  <c r="AD20" i="44"/>
  <c r="AA20" i="44"/>
  <c r="AE20" i="44"/>
  <c r="E20" i="44"/>
  <c r="O20" i="44"/>
  <c r="X20" i="44"/>
  <c r="S20" i="44"/>
  <c r="AI20" i="44"/>
  <c r="Y20" i="44"/>
  <c r="AH20" i="44"/>
  <c r="P20" i="44"/>
  <c r="AF17" i="44"/>
  <c r="BU20" i="70" l="1"/>
  <c r="X88" i="44"/>
  <c r="K21" i="79"/>
  <c r="K21" i="85"/>
  <c r="BZ20" i="70"/>
  <c r="AC88" i="44"/>
  <c r="CC17" i="70"/>
  <c r="K37" i="90"/>
  <c r="P37" i="90" s="1"/>
  <c r="CF20" i="70"/>
  <c r="K21" i="99"/>
  <c r="AI88" i="44"/>
  <c r="K21" i="72"/>
  <c r="BR20" i="70"/>
  <c r="U88" i="44"/>
  <c r="K21" i="51"/>
  <c r="J88" i="44"/>
  <c r="BG20" i="70"/>
  <c r="AJ17" i="44"/>
  <c r="AF37" i="56"/>
  <c r="AB37" i="56"/>
  <c r="P21" i="58"/>
  <c r="X37" i="69"/>
  <c r="T37" i="69"/>
  <c r="P28" i="51"/>
  <c r="I28" i="51"/>
  <c r="X37" i="84"/>
  <c r="T37" i="84"/>
  <c r="P28" i="53"/>
  <c r="I28" i="53"/>
  <c r="X37" i="46"/>
  <c r="T37" i="46"/>
  <c r="F844" i="97"/>
  <c r="F646" i="97"/>
  <c r="E112" i="44"/>
  <c r="E141" i="44" s="1"/>
  <c r="P28" i="49"/>
  <c r="I28" i="49"/>
  <c r="H844" i="97"/>
  <c r="G112" i="44"/>
  <c r="H646" i="97"/>
  <c r="AE88" i="44"/>
  <c r="CB20" i="70"/>
  <c r="K21" i="88"/>
  <c r="AD88" i="44"/>
  <c r="CA20" i="70"/>
  <c r="K21" i="87"/>
  <c r="AJ20" i="44"/>
  <c r="K21" i="69"/>
  <c r="T88" i="44"/>
  <c r="BQ20" i="70"/>
  <c r="P28" i="58"/>
  <c r="I28" i="58"/>
  <c r="P21" i="84"/>
  <c r="E36" i="90"/>
  <c r="E28" i="90"/>
  <c r="AF32" i="70"/>
  <c r="Q32" i="70"/>
  <c r="E28" i="56"/>
  <c r="X37" i="101"/>
  <c r="T37" i="101"/>
  <c r="U844" i="97"/>
  <c r="U646" i="97"/>
  <c r="T112" i="44"/>
  <c r="I36" i="85"/>
  <c r="P28" i="95"/>
  <c r="I28" i="95"/>
  <c r="R784" i="97"/>
  <c r="Q115" i="44"/>
  <c r="AF37" i="95"/>
  <c r="AB37" i="95"/>
  <c r="X37" i="54"/>
  <c r="T37" i="54"/>
  <c r="H144" i="44"/>
  <c r="H171" i="44" s="1"/>
  <c r="BW20" i="70"/>
  <c r="K21" i="82"/>
  <c r="Z88" i="44"/>
  <c r="BH20" i="70"/>
  <c r="K21" i="50"/>
  <c r="K88" i="44"/>
  <c r="BS20" i="70"/>
  <c r="K21" i="73"/>
  <c r="V88" i="44"/>
  <c r="BL20" i="70"/>
  <c r="K21" i="46"/>
  <c r="O88" i="44"/>
  <c r="AK88" i="44"/>
  <c r="K21" i="101"/>
  <c r="P28" i="99"/>
  <c r="I28" i="99"/>
  <c r="AF171" i="44"/>
  <c r="AG783" i="97"/>
  <c r="AF198" i="44"/>
  <c r="P28" i="73"/>
  <c r="I28" i="73"/>
  <c r="X37" i="96"/>
  <c r="T37" i="96"/>
  <c r="U168" i="44"/>
  <c r="V843" i="97"/>
  <c r="U195" i="44"/>
  <c r="P28" i="64"/>
  <c r="I28" i="64"/>
  <c r="N844" i="97"/>
  <c r="M112" i="44"/>
  <c r="N646" i="97"/>
  <c r="P21" i="56"/>
  <c r="J844" i="97"/>
  <c r="I112" i="44"/>
  <c r="J646" i="97"/>
  <c r="X37" i="41"/>
  <c r="T37" i="41"/>
  <c r="P28" i="54"/>
  <c r="I28" i="54"/>
  <c r="J784" i="97"/>
  <c r="I115" i="44"/>
  <c r="K17" i="44"/>
  <c r="BP20" i="70"/>
  <c r="K21" i="64"/>
  <c r="S88" i="44"/>
  <c r="BB20" i="70"/>
  <c r="E88" i="44"/>
  <c r="K21" i="41"/>
  <c r="L88" i="44"/>
  <c r="BI20" i="70"/>
  <c r="K21" i="49"/>
  <c r="P28" i="69"/>
  <c r="I28" i="69"/>
  <c r="X37" i="77"/>
  <c r="T37" i="77"/>
  <c r="P28" i="72"/>
  <c r="I28" i="72"/>
  <c r="P28" i="41"/>
  <c r="I28" i="41"/>
  <c r="R17" i="44"/>
  <c r="T21" i="90"/>
  <c r="X21" i="90"/>
  <c r="AC17" i="44"/>
  <c r="AG7" i="63"/>
  <c r="AJ106" i="2"/>
  <c r="AJ104" i="2" s="1"/>
  <c r="AJ33" i="2" s="1"/>
  <c r="P28" i="87"/>
  <c r="I28" i="87"/>
  <c r="P21" i="52"/>
  <c r="Y88" i="44"/>
  <c r="K21" i="81"/>
  <c r="BV20" i="70"/>
  <c r="CD20" i="70"/>
  <c r="AG88" i="44"/>
  <c r="K21" i="95"/>
  <c r="X844" i="97"/>
  <c r="W112" i="44"/>
  <c r="X646" i="97"/>
  <c r="F32" i="70"/>
  <c r="E28" i="45"/>
  <c r="AE17" i="44"/>
  <c r="P28" i="82"/>
  <c r="I28" i="82"/>
  <c r="P21" i="47"/>
  <c r="K32" i="70"/>
  <c r="E28" i="50"/>
  <c r="P28" i="46"/>
  <c r="I28" i="46"/>
  <c r="X37" i="48"/>
  <c r="T37" i="48"/>
  <c r="X37" i="52"/>
  <c r="T37" i="52"/>
  <c r="I36" i="87"/>
  <c r="X21" i="53"/>
  <c r="T21" i="53"/>
  <c r="G88" i="44"/>
  <c r="K21" i="54"/>
  <c r="BD20" i="70"/>
  <c r="K21" i="77"/>
  <c r="W88" i="44"/>
  <c r="BT20" i="70"/>
  <c r="X37" i="83"/>
  <c r="T37" i="83"/>
  <c r="AF37" i="72"/>
  <c r="AB37" i="72"/>
  <c r="X37" i="99"/>
  <c r="T37" i="99"/>
  <c r="I36" i="41"/>
  <c r="P21" i="48"/>
  <c r="E36" i="88"/>
  <c r="E28" i="88"/>
  <c r="AE32" i="70"/>
  <c r="X37" i="64"/>
  <c r="T37" i="64"/>
  <c r="P28" i="52"/>
  <c r="I28" i="52"/>
  <c r="P28" i="77"/>
  <c r="I28" i="77"/>
  <c r="X37" i="81"/>
  <c r="T37" i="81"/>
  <c r="N115" i="44"/>
  <c r="N144" i="44" s="1"/>
  <c r="O784" i="97"/>
  <c r="P28" i="48"/>
  <c r="I28" i="48"/>
  <c r="P28" i="84"/>
  <c r="I28" i="84"/>
  <c r="AK104" i="2"/>
  <c r="P28" i="96"/>
  <c r="I28" i="96"/>
  <c r="P88" i="44"/>
  <c r="BM20" i="70"/>
  <c r="K21" i="55"/>
  <c r="CE20" i="70"/>
  <c r="AH88" i="44"/>
  <c r="K21" i="96"/>
  <c r="BX20" i="70"/>
  <c r="K21" i="83"/>
  <c r="AA88" i="44"/>
  <c r="BC20" i="70"/>
  <c r="F88" i="44"/>
  <c r="K21" i="45"/>
  <c r="Q141" i="44"/>
  <c r="Q168" i="44" s="1"/>
  <c r="P28" i="81"/>
  <c r="I28" i="81"/>
  <c r="AB115" i="44"/>
  <c r="AC784" i="97"/>
  <c r="P141" i="44"/>
  <c r="P168" i="44" s="1"/>
  <c r="M115" i="44"/>
  <c r="M144" i="44" s="1"/>
  <c r="N784" i="97"/>
  <c r="R115" i="44"/>
  <c r="R144" i="44" s="1"/>
  <c r="S784" i="97"/>
  <c r="P28" i="47"/>
  <c r="I28" i="47"/>
  <c r="S112" i="44"/>
  <c r="T646" i="97"/>
  <c r="T844" i="97"/>
  <c r="P28" i="85"/>
  <c r="I28" i="85"/>
  <c r="P28" i="83"/>
  <c r="I28" i="83"/>
  <c r="P646" i="97"/>
  <c r="O112" i="44"/>
  <c r="O141" i="44" s="1"/>
  <c r="P844" i="97"/>
  <c r="P28" i="79"/>
  <c r="I28" i="79"/>
  <c r="AF37" i="55"/>
  <c r="AB37" i="55"/>
  <c r="P28" i="55"/>
  <c r="I28" i="55"/>
  <c r="X17" i="44"/>
  <c r="J17" i="44"/>
  <c r="AL106" i="2" l="1"/>
  <c r="X28" i="96"/>
  <c r="T28" i="96"/>
  <c r="P21" i="77"/>
  <c r="T21" i="47"/>
  <c r="X21" i="47"/>
  <c r="X28" i="69"/>
  <c r="T28" i="69"/>
  <c r="H198" i="44"/>
  <c r="I783" i="97"/>
  <c r="AF37" i="54"/>
  <c r="AB37" i="54"/>
  <c r="X28" i="58"/>
  <c r="T28" i="58"/>
  <c r="CG17" i="70"/>
  <c r="K37" i="100"/>
  <c r="P37" i="100" s="1"/>
  <c r="P21" i="79"/>
  <c r="X28" i="55"/>
  <c r="T28" i="55"/>
  <c r="O168" i="44"/>
  <c r="O195" i="44"/>
  <c r="P843" i="97"/>
  <c r="AB144" i="44"/>
  <c r="AB171" i="44" s="1"/>
  <c r="P21" i="45"/>
  <c r="P21" i="96"/>
  <c r="X28" i="48"/>
  <c r="T28" i="48"/>
  <c r="H17" i="44"/>
  <c r="AF37" i="64"/>
  <c r="AB37" i="64"/>
  <c r="T21" i="48"/>
  <c r="X21" i="48"/>
  <c r="P21" i="81"/>
  <c r="AF21" i="90"/>
  <c r="AB21" i="90"/>
  <c r="K37" i="58"/>
  <c r="P37" i="58" s="1"/>
  <c r="R85" i="44"/>
  <c r="BO17" i="70"/>
  <c r="X28" i="73"/>
  <c r="T28" i="73"/>
  <c r="X28" i="95"/>
  <c r="T28" i="95"/>
  <c r="T21" i="84"/>
  <c r="X21" i="84"/>
  <c r="AD115" i="44"/>
  <c r="AE784" i="97"/>
  <c r="E168" i="44"/>
  <c r="E195" i="44"/>
  <c r="F843" i="97"/>
  <c r="U115" i="44"/>
  <c r="U144" i="44" s="1"/>
  <c r="V784" i="97"/>
  <c r="X115" i="44"/>
  <c r="Y784" i="97"/>
  <c r="X28" i="85"/>
  <c r="T28" i="85"/>
  <c r="F115" i="44"/>
  <c r="G784" i="97"/>
  <c r="AH115" i="44"/>
  <c r="AH144" i="44" s="1"/>
  <c r="AI784" i="97"/>
  <c r="AK33" i="2"/>
  <c r="AL104" i="2"/>
  <c r="X28" i="77"/>
  <c r="T28" i="77"/>
  <c r="AM37" i="72"/>
  <c r="AQ37" i="72" s="1"/>
  <c r="AJ37" i="72"/>
  <c r="AF37" i="83"/>
  <c r="AB37" i="83"/>
  <c r="P21" i="54"/>
  <c r="AF37" i="52"/>
  <c r="AB37" i="52"/>
  <c r="X28" i="46"/>
  <c r="T28" i="46"/>
  <c r="P21" i="95"/>
  <c r="Z784" i="97"/>
  <c r="Y115" i="44"/>
  <c r="Y144" i="44" s="1"/>
  <c r="P21" i="41"/>
  <c r="X21" i="56"/>
  <c r="T21" i="56"/>
  <c r="X28" i="99"/>
  <c r="T28" i="99"/>
  <c r="AA784" i="97"/>
  <c r="Z115" i="44"/>
  <c r="AF37" i="101"/>
  <c r="AB37" i="101"/>
  <c r="P28" i="90"/>
  <c r="I28" i="90"/>
  <c r="T115" i="44"/>
  <c r="U784" i="97"/>
  <c r="P21" i="88"/>
  <c r="X37" i="90"/>
  <c r="T37" i="90"/>
  <c r="AM37" i="55"/>
  <c r="AQ37" i="55" s="1"/>
  <c r="AJ37" i="55"/>
  <c r="S141" i="44"/>
  <c r="S168" i="44" s="1"/>
  <c r="P28" i="88"/>
  <c r="I28" i="88"/>
  <c r="AF21" i="53"/>
  <c r="AB21" i="53"/>
  <c r="AG115" i="44"/>
  <c r="AG144" i="44" s="1"/>
  <c r="AH784" i="97"/>
  <c r="X21" i="52"/>
  <c r="T21" i="52"/>
  <c r="E115" i="44"/>
  <c r="F784" i="97"/>
  <c r="X28" i="54"/>
  <c r="T28" i="54"/>
  <c r="X28" i="64"/>
  <c r="T28" i="64"/>
  <c r="AF37" i="96"/>
  <c r="AB37" i="96"/>
  <c r="P21" i="101"/>
  <c r="V115" i="44"/>
  <c r="W784" i="97"/>
  <c r="P21" i="82"/>
  <c r="Q144" i="44"/>
  <c r="Q171" i="44" s="1"/>
  <c r="I36" i="90"/>
  <c r="P21" i="69"/>
  <c r="G141" i="44"/>
  <c r="G168" i="44" s="1"/>
  <c r="AF37" i="84"/>
  <c r="AB37" i="84"/>
  <c r="X28" i="51"/>
  <c r="T28" i="51"/>
  <c r="T21" i="58"/>
  <c r="X21" i="58"/>
  <c r="P21" i="72"/>
  <c r="X28" i="79"/>
  <c r="T28" i="79"/>
  <c r="M171" i="44"/>
  <c r="N783" i="97"/>
  <c r="M198" i="44"/>
  <c r="X28" i="81"/>
  <c r="T28" i="81"/>
  <c r="P21" i="55"/>
  <c r="I36" i="88"/>
  <c r="H784" i="97"/>
  <c r="G115" i="44"/>
  <c r="AF37" i="48"/>
  <c r="AB37" i="48"/>
  <c r="E28" i="100"/>
  <c r="AJ32" i="70"/>
  <c r="P21" i="49"/>
  <c r="M141" i="44"/>
  <c r="M168" i="44" s="1"/>
  <c r="C19" i="33"/>
  <c r="AK115" i="44"/>
  <c r="AL784" i="97"/>
  <c r="P21" i="73"/>
  <c r="AM37" i="95"/>
  <c r="AQ37" i="95" s="1"/>
  <c r="AJ37" i="95"/>
  <c r="CG20" i="70"/>
  <c r="AJ88" i="44"/>
  <c r="K21" i="100"/>
  <c r="AE115" i="44"/>
  <c r="AF784" i="97"/>
  <c r="X28" i="49"/>
  <c r="T28" i="49"/>
  <c r="BU17" i="70"/>
  <c r="K37" i="79"/>
  <c r="P37" i="79" s="1"/>
  <c r="X85" i="44"/>
  <c r="X28" i="83"/>
  <c r="T28" i="83"/>
  <c r="X28" i="84"/>
  <c r="T28" i="84"/>
  <c r="P28" i="50"/>
  <c r="I28" i="50"/>
  <c r="K37" i="88"/>
  <c r="P37" i="88" s="1"/>
  <c r="CB17" i="70"/>
  <c r="W141" i="44"/>
  <c r="W168" i="44" s="1"/>
  <c r="BZ17" i="70"/>
  <c r="K37" i="85"/>
  <c r="P37" i="85" s="1"/>
  <c r="AF37" i="77"/>
  <c r="AB37" i="77"/>
  <c r="K85" i="44"/>
  <c r="K37" i="50"/>
  <c r="P37" i="50" s="1"/>
  <c r="BH17" i="70"/>
  <c r="O115" i="44"/>
  <c r="P784" i="97"/>
  <c r="P28" i="56"/>
  <c r="I28" i="56"/>
  <c r="AF37" i="46"/>
  <c r="AB37" i="46"/>
  <c r="AJ784" i="97"/>
  <c r="AI115" i="44"/>
  <c r="AI144" i="44" s="1"/>
  <c r="AC115" i="44"/>
  <c r="AC144" i="44" s="1"/>
  <c r="AD784" i="97"/>
  <c r="K37" i="51"/>
  <c r="P37" i="51" s="1"/>
  <c r="J85" i="44"/>
  <c r="BG17" i="70"/>
  <c r="X28" i="47"/>
  <c r="T28" i="47"/>
  <c r="Q843" i="97"/>
  <c r="P195" i="44"/>
  <c r="R843" i="97"/>
  <c r="Q195" i="44"/>
  <c r="AB784" i="97"/>
  <c r="AA115" i="44"/>
  <c r="P115" i="44"/>
  <c r="Q784" i="97"/>
  <c r="N171" i="44"/>
  <c r="O783" i="97"/>
  <c r="N198" i="44"/>
  <c r="AF37" i="99"/>
  <c r="AB37" i="99"/>
  <c r="P28" i="45"/>
  <c r="I28" i="45"/>
  <c r="X28" i="87"/>
  <c r="T28" i="87"/>
  <c r="X28" i="41"/>
  <c r="T28" i="41"/>
  <c r="T784" i="97"/>
  <c r="S115" i="44"/>
  <c r="I141" i="44"/>
  <c r="I168" i="44" s="1"/>
  <c r="P21" i="46"/>
  <c r="L784" i="97"/>
  <c r="K115" i="44"/>
  <c r="T141" i="44"/>
  <c r="T168" i="44" s="1"/>
  <c r="X28" i="53"/>
  <c r="T28" i="53"/>
  <c r="J115" i="44"/>
  <c r="K784" i="97"/>
  <c r="P21" i="99"/>
  <c r="R171" i="44"/>
  <c r="R198" i="44"/>
  <c r="S783" i="97"/>
  <c r="P21" i="83"/>
  <c r="AF37" i="81"/>
  <c r="AB37" i="81"/>
  <c r="X28" i="52"/>
  <c r="T28" i="52"/>
  <c r="W115" i="44"/>
  <c r="X784" i="97"/>
  <c r="X28" i="82"/>
  <c r="T28" i="82"/>
  <c r="X28" i="72"/>
  <c r="T28" i="72"/>
  <c r="L115" i="44"/>
  <c r="M784" i="97"/>
  <c r="P21" i="64"/>
  <c r="I144" i="44"/>
  <c r="I171" i="44" s="1"/>
  <c r="AF37" i="41"/>
  <c r="AB37" i="41"/>
  <c r="P21" i="50"/>
  <c r="P21" i="87"/>
  <c r="AF37" i="69"/>
  <c r="AB37" i="69"/>
  <c r="AM37" i="56"/>
  <c r="AQ37" i="56" s="1"/>
  <c r="AJ37" i="56"/>
  <c r="P21" i="51"/>
  <c r="P21" i="85"/>
  <c r="L17" i="44"/>
  <c r="BI17" i="70" l="1"/>
  <c r="K37" i="49"/>
  <c r="P37" i="49" s="1"/>
  <c r="N17" i="44"/>
  <c r="I198" i="44"/>
  <c r="J783" i="97"/>
  <c r="L144" i="44"/>
  <c r="L171" i="44" s="1"/>
  <c r="J144" i="44"/>
  <c r="J171" i="44" s="1"/>
  <c r="T195" i="44"/>
  <c r="U843" i="97"/>
  <c r="I195" i="44"/>
  <c r="J843" i="97"/>
  <c r="Z17" i="44"/>
  <c r="X28" i="50"/>
  <c r="T28" i="50"/>
  <c r="AF28" i="84"/>
  <c r="AB28" i="84"/>
  <c r="X21" i="49"/>
  <c r="T21" i="49"/>
  <c r="AM37" i="48"/>
  <c r="AQ37" i="48" s="1"/>
  <c r="AJ37" i="48"/>
  <c r="AM37" i="84"/>
  <c r="AQ37" i="84" s="1"/>
  <c r="AJ37" i="84"/>
  <c r="T21" i="101"/>
  <c r="X21" i="101"/>
  <c r="AF28" i="54"/>
  <c r="AB28" i="54"/>
  <c r="AM21" i="53"/>
  <c r="AQ21" i="53" s="1"/>
  <c r="AJ21" i="53"/>
  <c r="AF28" i="99"/>
  <c r="AB28" i="99"/>
  <c r="X21" i="95"/>
  <c r="T21" i="95"/>
  <c r="AM37" i="52"/>
  <c r="AQ37" i="52" s="1"/>
  <c r="AJ37" i="52"/>
  <c r="X144" i="44"/>
  <c r="X171" i="44" s="1"/>
  <c r="AB21" i="48"/>
  <c r="AF21" i="48"/>
  <c r="AM37" i="54"/>
  <c r="AQ37" i="54" s="1"/>
  <c r="AJ37" i="54"/>
  <c r="X21" i="51"/>
  <c r="T21" i="51"/>
  <c r="AF28" i="82"/>
  <c r="AB28" i="82"/>
  <c r="S144" i="44"/>
  <c r="S171" i="44" s="1"/>
  <c r="P144" i="44"/>
  <c r="P171" i="44" s="1"/>
  <c r="X28" i="56"/>
  <c r="T28" i="56"/>
  <c r="N843" i="97"/>
  <c r="M195" i="44"/>
  <c r="P28" i="100"/>
  <c r="I28" i="100"/>
  <c r="G144" i="44"/>
  <c r="G171" i="44" s="1"/>
  <c r="AF28" i="79"/>
  <c r="AB28" i="79"/>
  <c r="T144" i="44"/>
  <c r="T171" i="44" s="1"/>
  <c r="X28" i="90"/>
  <c r="T28" i="90"/>
  <c r="Y171" i="44"/>
  <c r="Y198" i="44"/>
  <c r="Z783" i="97"/>
  <c r="T21" i="83"/>
  <c r="X21" i="83"/>
  <c r="X21" i="46"/>
  <c r="T21" i="46"/>
  <c r="AF28" i="87"/>
  <c r="AB28" i="87"/>
  <c r="AA144" i="44"/>
  <c r="AA171" i="44" s="1"/>
  <c r="K646" i="97"/>
  <c r="J112" i="44"/>
  <c r="J141" i="44" s="1"/>
  <c r="K844" i="97"/>
  <c r="AM37" i="46"/>
  <c r="AQ37" i="46" s="1"/>
  <c r="AJ37" i="46"/>
  <c r="X112" i="44"/>
  <c r="X141" i="44" s="1"/>
  <c r="Y844" i="97"/>
  <c r="Y646" i="97"/>
  <c r="AF28" i="49"/>
  <c r="AB28" i="49"/>
  <c r="AM37" i="96"/>
  <c r="AQ37" i="96" s="1"/>
  <c r="AJ37" i="96"/>
  <c r="E144" i="44"/>
  <c r="E171" i="44" s="1"/>
  <c r="X28" i="88"/>
  <c r="T28" i="88"/>
  <c r="S195" i="44"/>
  <c r="T843" i="97"/>
  <c r="AH171" i="44"/>
  <c r="AH198" i="44"/>
  <c r="AI783" i="97"/>
  <c r="AD144" i="44"/>
  <c r="AD171" i="44" s="1"/>
  <c r="AJ21" i="90"/>
  <c r="AM21" i="90"/>
  <c r="AQ21" i="90" s="1"/>
  <c r="AF28" i="48"/>
  <c r="AB28" i="48"/>
  <c r="AF28" i="47"/>
  <c r="AB28" i="47"/>
  <c r="X37" i="51"/>
  <c r="T37" i="51"/>
  <c r="AM37" i="77"/>
  <c r="AQ37" i="77" s="1"/>
  <c r="AJ37" i="77"/>
  <c r="X37" i="88"/>
  <c r="T37" i="88"/>
  <c r="X37" i="79"/>
  <c r="T37" i="79"/>
  <c r="T21" i="73"/>
  <c r="X21" i="73"/>
  <c r="AB21" i="52"/>
  <c r="AF21" i="52"/>
  <c r="AM37" i="101"/>
  <c r="AQ37" i="101" s="1"/>
  <c r="AJ37" i="101"/>
  <c r="X21" i="41"/>
  <c r="T21" i="41"/>
  <c r="AF28" i="77"/>
  <c r="AB28" i="77"/>
  <c r="E28" i="101"/>
  <c r="AL33" i="2"/>
  <c r="AF28" i="85"/>
  <c r="AB28" i="85"/>
  <c r="AF28" i="95"/>
  <c r="AB28" i="95"/>
  <c r="AF28" i="73"/>
  <c r="AB28" i="73"/>
  <c r="AM37" i="64"/>
  <c r="AQ37" i="64" s="1"/>
  <c r="AJ37" i="64"/>
  <c r="X21" i="96"/>
  <c r="T21" i="96"/>
  <c r="T21" i="99"/>
  <c r="X21" i="99"/>
  <c r="X37" i="50"/>
  <c r="T37" i="50"/>
  <c r="X37" i="85"/>
  <c r="T37" i="85"/>
  <c r="AE144" i="44"/>
  <c r="AE171" i="44" s="1"/>
  <c r="X21" i="55"/>
  <c r="T21" i="55"/>
  <c r="AF28" i="51"/>
  <c r="AB28" i="51"/>
  <c r="G195" i="44"/>
  <c r="H843" i="97"/>
  <c r="Q198" i="44"/>
  <c r="R783" i="97"/>
  <c r="T21" i="82"/>
  <c r="X21" i="82"/>
  <c r="AF28" i="64"/>
  <c r="AB28" i="64"/>
  <c r="AG171" i="44"/>
  <c r="AG198" i="44"/>
  <c r="AH783" i="97"/>
  <c r="AF21" i="56"/>
  <c r="AB21" i="56"/>
  <c r="T21" i="54"/>
  <c r="X21" i="54"/>
  <c r="F144" i="44"/>
  <c r="F171" i="44" s="1"/>
  <c r="U171" i="44"/>
  <c r="V783" i="97"/>
  <c r="U198" i="44"/>
  <c r="AF21" i="84"/>
  <c r="AB21" i="84"/>
  <c r="T21" i="81"/>
  <c r="X21" i="81"/>
  <c r="AF28" i="55"/>
  <c r="AB28" i="55"/>
  <c r="X21" i="79"/>
  <c r="T21" i="79"/>
  <c r="X37" i="100"/>
  <c r="T37" i="100"/>
  <c r="V17" i="44"/>
  <c r="AF28" i="69"/>
  <c r="AB28" i="69"/>
  <c r="AF21" i="47"/>
  <c r="AB21" i="47"/>
  <c r="X21" i="85"/>
  <c r="T21" i="85"/>
  <c r="W144" i="44"/>
  <c r="W171" i="44" s="1"/>
  <c r="AF28" i="52"/>
  <c r="AB28" i="52"/>
  <c r="L844" i="97"/>
  <c r="K112" i="44"/>
  <c r="L646" i="97"/>
  <c r="P21" i="100"/>
  <c r="AK144" i="44"/>
  <c r="E19" i="33"/>
  <c r="AR106" i="44"/>
  <c r="X21" i="72"/>
  <c r="T21" i="72"/>
  <c r="Z144" i="44"/>
  <c r="Z171" i="44" s="1"/>
  <c r="T21" i="45"/>
  <c r="X21" i="45"/>
  <c r="X21" i="87"/>
  <c r="T21" i="87"/>
  <c r="T21" i="50"/>
  <c r="X21" i="50"/>
  <c r="AM37" i="41"/>
  <c r="AQ37" i="41" s="1"/>
  <c r="AJ37" i="41"/>
  <c r="T21" i="64"/>
  <c r="X21" i="64"/>
  <c r="AF28" i="41"/>
  <c r="AB28" i="41"/>
  <c r="X28" i="45"/>
  <c r="T28" i="45"/>
  <c r="AM37" i="99"/>
  <c r="AQ37" i="99" s="1"/>
  <c r="AJ37" i="99"/>
  <c r="AC171" i="44"/>
  <c r="AD783" i="97"/>
  <c r="AC198" i="44"/>
  <c r="X843" i="97"/>
  <c r="W195" i="44"/>
  <c r="AK784" i="97"/>
  <c r="AJ115" i="44"/>
  <c r="AJ144" i="44" s="1"/>
  <c r="AF28" i="81"/>
  <c r="AB28" i="81"/>
  <c r="X21" i="69"/>
  <c r="T21" i="69"/>
  <c r="V144" i="44"/>
  <c r="V171" i="44" s="1"/>
  <c r="AF28" i="46"/>
  <c r="AB28" i="46"/>
  <c r="AM37" i="83"/>
  <c r="AQ37" i="83" s="1"/>
  <c r="AJ37" i="83"/>
  <c r="F17" i="44"/>
  <c r="R112" i="44"/>
  <c r="R141" i="44" s="1"/>
  <c r="S844" i="97"/>
  <c r="S646" i="97"/>
  <c r="AF28" i="58"/>
  <c r="AB28" i="58"/>
  <c r="X21" i="77"/>
  <c r="T21" i="77"/>
  <c r="AM37" i="69"/>
  <c r="AQ37" i="69" s="1"/>
  <c r="AJ37" i="69"/>
  <c r="AF28" i="72"/>
  <c r="AB28" i="72"/>
  <c r="AD17" i="44"/>
  <c r="AM37" i="81"/>
  <c r="AQ37" i="81" s="1"/>
  <c r="AJ37" i="81"/>
  <c r="AF28" i="53"/>
  <c r="AB28" i="53"/>
  <c r="K144" i="44"/>
  <c r="K171" i="44" s="1"/>
  <c r="AI171" i="44"/>
  <c r="AI198" i="44"/>
  <c r="AJ783" i="97"/>
  <c r="O144" i="44"/>
  <c r="O171" i="44" s="1"/>
  <c r="AF28" i="83"/>
  <c r="AB28" i="83"/>
  <c r="AB21" i="58"/>
  <c r="AF21" i="58"/>
  <c r="AF37" i="90"/>
  <c r="AB37" i="90"/>
  <c r="T21" i="88"/>
  <c r="X21" i="88"/>
  <c r="X37" i="58"/>
  <c r="T37" i="58"/>
  <c r="BE17" i="70"/>
  <c r="H85" i="44"/>
  <c r="K37" i="53"/>
  <c r="P37" i="53" s="1"/>
  <c r="AC783" i="97"/>
  <c r="AB198" i="44"/>
  <c r="AF28" i="96"/>
  <c r="AB28" i="96"/>
  <c r="AM28" i="96" l="1"/>
  <c r="AQ28" i="96" s="1"/>
  <c r="AJ28" i="96"/>
  <c r="AM28" i="83"/>
  <c r="AQ28" i="83" s="1"/>
  <c r="AJ28" i="83"/>
  <c r="O198" i="44"/>
  <c r="P783" i="97"/>
  <c r="AM28" i="72"/>
  <c r="AQ28" i="72" s="1"/>
  <c r="AJ28" i="72"/>
  <c r="AJ171" i="44"/>
  <c r="AK783" i="97"/>
  <c r="AJ198" i="44"/>
  <c r="AF21" i="87"/>
  <c r="AB21" i="87"/>
  <c r="AF21" i="85"/>
  <c r="AB21" i="85"/>
  <c r="G783" i="97"/>
  <c r="F198" i="44"/>
  <c r="AF37" i="50"/>
  <c r="AB37" i="50"/>
  <c r="AB21" i="99"/>
  <c r="AF21" i="99"/>
  <c r="P28" i="101"/>
  <c r="I28" i="101"/>
  <c r="AA198" i="44"/>
  <c r="AB783" i="97"/>
  <c r="AM28" i="84"/>
  <c r="AQ28" i="84" s="1"/>
  <c r="AJ28" i="84"/>
  <c r="X37" i="49"/>
  <c r="T37" i="49"/>
  <c r="AM28" i="81"/>
  <c r="AQ28" i="81" s="1"/>
  <c r="AJ28" i="81"/>
  <c r="AF21" i="50"/>
  <c r="AB21" i="50"/>
  <c r="AF21" i="81"/>
  <c r="AB21" i="81"/>
  <c r="AF28" i="88"/>
  <c r="AB28" i="88"/>
  <c r="AF21" i="46"/>
  <c r="AB21" i="46"/>
  <c r="G198" i="44"/>
  <c r="H783" i="97"/>
  <c r="K783" i="97"/>
  <c r="J198" i="44"/>
  <c r="BK17" i="70"/>
  <c r="K37" i="47"/>
  <c r="N85" i="44"/>
  <c r="AF21" i="88"/>
  <c r="AB21" i="88"/>
  <c r="AM28" i="58"/>
  <c r="AQ28" i="58" s="1"/>
  <c r="AJ28" i="58"/>
  <c r="R168" i="44"/>
  <c r="S843" i="97"/>
  <c r="R195" i="44"/>
  <c r="K141" i="44"/>
  <c r="K168" i="44" s="1"/>
  <c r="AF37" i="100"/>
  <c r="AB37" i="100"/>
  <c r="AM28" i="64"/>
  <c r="AQ28" i="64" s="1"/>
  <c r="AJ28" i="64"/>
  <c r="AM28" i="77"/>
  <c r="AQ28" i="77" s="1"/>
  <c r="AJ28" i="77"/>
  <c r="AF37" i="79"/>
  <c r="AB37" i="79"/>
  <c r="AF37" i="51"/>
  <c r="AB37" i="51"/>
  <c r="AF28" i="56"/>
  <c r="AB28" i="56"/>
  <c r="AF21" i="95"/>
  <c r="AB21" i="95"/>
  <c r="AF28" i="50"/>
  <c r="AB28" i="50"/>
  <c r="M783" i="97"/>
  <c r="L198" i="44"/>
  <c r="AF37" i="58"/>
  <c r="AB37" i="58"/>
  <c r="AB21" i="77"/>
  <c r="AF21" i="77"/>
  <c r="BC17" i="70"/>
  <c r="F85" i="44"/>
  <c r="K37" i="45"/>
  <c r="P37" i="45" s="1"/>
  <c r="AM28" i="52"/>
  <c r="AQ28" i="52" s="1"/>
  <c r="AJ28" i="52"/>
  <c r="AJ21" i="47"/>
  <c r="AM21" i="47"/>
  <c r="AQ21" i="47" s="1"/>
  <c r="AJ21" i="84"/>
  <c r="AM21" i="84"/>
  <c r="AQ21" i="84" s="1"/>
  <c r="AB21" i="54"/>
  <c r="AF21" i="54"/>
  <c r="AJ21" i="56"/>
  <c r="AM21" i="56"/>
  <c r="AQ21" i="56" s="1"/>
  <c r="AM28" i="51"/>
  <c r="AQ28" i="51" s="1"/>
  <c r="AJ28" i="51"/>
  <c r="AM28" i="48"/>
  <c r="AQ28" i="48" s="1"/>
  <c r="AJ28" i="48"/>
  <c r="E198" i="44"/>
  <c r="F783" i="97"/>
  <c r="AM21" i="48"/>
  <c r="AQ21" i="48" s="1"/>
  <c r="AJ21" i="48"/>
  <c r="I646" i="97"/>
  <c r="H112" i="44"/>
  <c r="H141" i="44" s="1"/>
  <c r="I844" i="97"/>
  <c r="AJ21" i="58"/>
  <c r="AM21" i="58"/>
  <c r="AQ21" i="58" s="1"/>
  <c r="V198" i="44"/>
  <c r="W783" i="97"/>
  <c r="AB21" i="64"/>
  <c r="AF21" i="64"/>
  <c r="AB21" i="72"/>
  <c r="AF21" i="72"/>
  <c r="AK171" i="44"/>
  <c r="G19" i="33"/>
  <c r="AL783" i="97"/>
  <c r="AK198" i="44"/>
  <c r="AF21" i="82"/>
  <c r="AB21" i="82"/>
  <c r="AF21" i="96"/>
  <c r="AB21" i="96"/>
  <c r="AM28" i="85"/>
  <c r="AQ28" i="85" s="1"/>
  <c r="AJ28" i="85"/>
  <c r="AM28" i="47"/>
  <c r="AQ28" i="47" s="1"/>
  <c r="AJ28" i="47"/>
  <c r="AD198" i="44"/>
  <c r="AE783" i="97"/>
  <c r="AM28" i="49"/>
  <c r="AQ28" i="49" s="1"/>
  <c r="AJ28" i="49"/>
  <c r="AF28" i="90"/>
  <c r="AB28" i="90"/>
  <c r="X28" i="100"/>
  <c r="T28" i="100"/>
  <c r="P198" i="44"/>
  <c r="Q783" i="97"/>
  <c r="AM28" i="54"/>
  <c r="AQ28" i="54" s="1"/>
  <c r="AJ28" i="54"/>
  <c r="X37" i="53"/>
  <c r="T37" i="53"/>
  <c r="AM37" i="90"/>
  <c r="AQ37" i="90" s="1"/>
  <c r="AJ37" i="90"/>
  <c r="L783" i="97"/>
  <c r="K198" i="44"/>
  <c r="AF28" i="45"/>
  <c r="AB28" i="45"/>
  <c r="X783" i="97"/>
  <c r="W198" i="44"/>
  <c r="AF21" i="79"/>
  <c r="AB21" i="79"/>
  <c r="AM28" i="73"/>
  <c r="AQ28" i="73" s="1"/>
  <c r="AJ28" i="73"/>
  <c r="AF21" i="41"/>
  <c r="AB21" i="41"/>
  <c r="AJ21" i="52"/>
  <c r="AM21" i="52"/>
  <c r="AQ21" i="52" s="1"/>
  <c r="AF21" i="73"/>
  <c r="AB21" i="73"/>
  <c r="AF37" i="88"/>
  <c r="AB37" i="88"/>
  <c r="J168" i="44"/>
  <c r="J195" i="44"/>
  <c r="K843" i="97"/>
  <c r="AB21" i="83"/>
  <c r="AF21" i="83"/>
  <c r="AM28" i="82"/>
  <c r="AQ28" i="82" s="1"/>
  <c r="AJ28" i="82"/>
  <c r="AM28" i="99"/>
  <c r="AQ28" i="99" s="1"/>
  <c r="AJ28" i="99"/>
  <c r="AF21" i="49"/>
  <c r="AB21" i="49"/>
  <c r="K37" i="87"/>
  <c r="P37" i="87" s="1"/>
  <c r="CA17" i="70"/>
  <c r="Z198" i="44"/>
  <c r="AA783" i="97"/>
  <c r="X21" i="100"/>
  <c r="T21" i="100"/>
  <c r="AM28" i="69"/>
  <c r="AQ28" i="69" s="1"/>
  <c r="AJ28" i="69"/>
  <c r="K37" i="73"/>
  <c r="P37" i="73" s="1"/>
  <c r="BS17" i="70"/>
  <c r="V85" i="44"/>
  <c r="AB21" i="55"/>
  <c r="AF21" i="55"/>
  <c r="AF37" i="85"/>
  <c r="AB37" i="85"/>
  <c r="AM28" i="87"/>
  <c r="AQ28" i="87" s="1"/>
  <c r="AJ28" i="87"/>
  <c r="U783" i="97"/>
  <c r="T198" i="44"/>
  <c r="T783" i="97"/>
  <c r="S198" i="44"/>
  <c r="AF21" i="51"/>
  <c r="AB21" i="51"/>
  <c r="X198" i="44"/>
  <c r="Y783" i="97"/>
  <c r="AB21" i="101"/>
  <c r="AF21" i="101"/>
  <c r="AM28" i="53"/>
  <c r="AQ28" i="53" s="1"/>
  <c r="AJ28" i="53"/>
  <c r="AM28" i="46"/>
  <c r="AQ28" i="46" s="1"/>
  <c r="AJ28" i="46"/>
  <c r="AF21" i="69"/>
  <c r="AB21" i="69"/>
  <c r="AM28" i="41"/>
  <c r="AQ28" i="41" s="1"/>
  <c r="AJ28" i="41"/>
  <c r="AB21" i="45"/>
  <c r="AF21" i="45"/>
  <c r="AM28" i="55"/>
  <c r="AQ28" i="55" s="1"/>
  <c r="AJ28" i="55"/>
  <c r="AE198" i="44"/>
  <c r="AF783" i="97"/>
  <c r="AM28" i="95"/>
  <c r="AQ28" i="95" s="1"/>
  <c r="AJ28" i="95"/>
  <c r="X168" i="44"/>
  <c r="X195" i="44"/>
  <c r="Y843" i="97"/>
  <c r="AM28" i="79"/>
  <c r="AQ28" i="79" s="1"/>
  <c r="AJ28" i="79"/>
  <c r="BW17" i="70"/>
  <c r="K37" i="82"/>
  <c r="P37" i="82" s="1"/>
  <c r="X37" i="82" l="1"/>
  <c r="T37" i="82"/>
  <c r="AJ21" i="51"/>
  <c r="AM21" i="51"/>
  <c r="AQ21" i="51" s="1"/>
  <c r="AJ21" i="101"/>
  <c r="AM21" i="101"/>
  <c r="AQ21" i="101" s="1"/>
  <c r="AM21" i="79"/>
  <c r="AQ21" i="79" s="1"/>
  <c r="AJ21" i="79"/>
  <c r="AM28" i="50"/>
  <c r="AQ28" i="50" s="1"/>
  <c r="AJ28" i="50"/>
  <c r="AM28" i="56"/>
  <c r="AQ28" i="56" s="1"/>
  <c r="AJ28" i="56"/>
  <c r="AM21" i="88"/>
  <c r="AQ21" i="88" s="1"/>
  <c r="AJ21" i="88"/>
  <c r="P37" i="47"/>
  <c r="AM37" i="50"/>
  <c r="AQ37" i="50" s="1"/>
  <c r="AJ37" i="50"/>
  <c r="AM37" i="85"/>
  <c r="AQ37" i="85" s="1"/>
  <c r="AJ37" i="85"/>
  <c r="AJ21" i="73"/>
  <c r="AM21" i="73"/>
  <c r="AQ21" i="73" s="1"/>
  <c r="AJ21" i="41"/>
  <c r="AM21" i="41"/>
  <c r="AQ21" i="41" s="1"/>
  <c r="X37" i="87"/>
  <c r="T37" i="87"/>
  <c r="AJ21" i="49"/>
  <c r="AM21" i="49"/>
  <c r="AQ21" i="49" s="1"/>
  <c r="AM28" i="90"/>
  <c r="AQ28" i="90" s="1"/>
  <c r="AJ28" i="90"/>
  <c r="I19" i="33"/>
  <c r="H19" i="33"/>
  <c r="AS162" i="44"/>
  <c r="AR79" i="44"/>
  <c r="AL171" i="44"/>
  <c r="AO171" i="44"/>
  <c r="AN171" i="44"/>
  <c r="AM171" i="44"/>
  <c r="H168" i="44"/>
  <c r="H195" i="44"/>
  <c r="I843" i="97"/>
  <c r="AF37" i="49"/>
  <c r="AB37" i="49"/>
  <c r="AM21" i="87"/>
  <c r="AQ21" i="87" s="1"/>
  <c r="AJ21" i="87"/>
  <c r="AM21" i="55"/>
  <c r="AQ21" i="55" s="1"/>
  <c r="AJ21" i="55"/>
  <c r="AJ21" i="54"/>
  <c r="AM21" i="54"/>
  <c r="AQ21" i="54" s="1"/>
  <c r="X37" i="45"/>
  <c r="T37" i="45"/>
  <c r="AJ21" i="77"/>
  <c r="AM21" i="77"/>
  <c r="AQ21" i="77" s="1"/>
  <c r="AM21" i="95"/>
  <c r="AQ21" i="95" s="1"/>
  <c r="AJ21" i="95"/>
  <c r="AM21" i="81"/>
  <c r="AQ21" i="81" s="1"/>
  <c r="AJ21" i="81"/>
  <c r="AM21" i="50"/>
  <c r="AQ21" i="50" s="1"/>
  <c r="AJ21" i="50"/>
  <c r="AJ21" i="99"/>
  <c r="AM21" i="99"/>
  <c r="AQ21" i="99" s="1"/>
  <c r="AJ21" i="85"/>
  <c r="AM21" i="85"/>
  <c r="AQ21" i="85" s="1"/>
  <c r="AM28" i="45"/>
  <c r="AQ28" i="45" s="1"/>
  <c r="AJ28" i="45"/>
  <c r="AJ21" i="45"/>
  <c r="AM21" i="45"/>
  <c r="AQ21" i="45" s="1"/>
  <c r="AJ21" i="69"/>
  <c r="AM21" i="69"/>
  <c r="AQ21" i="69" s="1"/>
  <c r="AJ21" i="83"/>
  <c r="AM21" i="83"/>
  <c r="AQ21" i="83" s="1"/>
  <c r="AM21" i="72"/>
  <c r="AQ21" i="72" s="1"/>
  <c r="AJ21" i="72"/>
  <c r="F112" i="44"/>
  <c r="G646" i="97"/>
  <c r="G844" i="97"/>
  <c r="AM37" i="100"/>
  <c r="AQ37" i="100" s="1"/>
  <c r="AJ37" i="100"/>
  <c r="V112" i="44"/>
  <c r="W844" i="97"/>
  <c r="W646" i="97"/>
  <c r="AM21" i="64"/>
  <c r="AQ21" i="64" s="1"/>
  <c r="AJ21" i="64"/>
  <c r="AM37" i="58"/>
  <c r="AQ37" i="58" s="1"/>
  <c r="AJ37" i="58"/>
  <c r="AM37" i="51"/>
  <c r="AQ37" i="51" s="1"/>
  <c r="AJ37" i="51"/>
  <c r="AM28" i="88"/>
  <c r="AQ28" i="88" s="1"/>
  <c r="AJ28" i="88"/>
  <c r="AF21" i="100"/>
  <c r="AB21" i="100"/>
  <c r="AM37" i="88"/>
  <c r="AQ37" i="88" s="1"/>
  <c r="AJ37" i="88"/>
  <c r="AF37" i="53"/>
  <c r="AB37" i="53"/>
  <c r="L843" i="97"/>
  <c r="K195" i="44"/>
  <c r="X28" i="101"/>
  <c r="T28" i="101"/>
  <c r="X37" i="73"/>
  <c r="T37" i="73"/>
  <c r="AF28" i="100"/>
  <c r="AB28" i="100"/>
  <c r="AJ21" i="96"/>
  <c r="AM21" i="96"/>
  <c r="AQ21" i="96" s="1"/>
  <c r="AJ21" i="82"/>
  <c r="AM21" i="82"/>
  <c r="AQ21" i="82" s="1"/>
  <c r="AM37" i="79"/>
  <c r="AQ37" i="79" s="1"/>
  <c r="AJ37" i="79"/>
  <c r="N112" i="44"/>
  <c r="O844" i="97"/>
  <c r="O646" i="97"/>
  <c r="AM21" i="46"/>
  <c r="AQ21" i="46" s="1"/>
  <c r="AJ21" i="46"/>
  <c r="N141" i="44" l="1"/>
  <c r="N168" i="44" s="1"/>
  <c r="V141" i="44"/>
  <c r="V168" i="44" s="1"/>
  <c r="AM37" i="49"/>
  <c r="AQ37" i="49" s="1"/>
  <c r="AJ37" i="49"/>
  <c r="AF37" i="82"/>
  <c r="AB37" i="82"/>
  <c r="X37" i="47"/>
  <c r="T37" i="47"/>
  <c r="AF28" i="101"/>
  <c r="AB28" i="101"/>
  <c r="AF37" i="45"/>
  <c r="AB37" i="45"/>
  <c r="AF37" i="73"/>
  <c r="AB37" i="73"/>
  <c r="AJ21" i="100"/>
  <c r="AM21" i="100"/>
  <c r="AQ21" i="100" s="1"/>
  <c r="AM28" i="100"/>
  <c r="AQ28" i="100" s="1"/>
  <c r="AJ28" i="100"/>
  <c r="AF37" i="87"/>
  <c r="AB37" i="87"/>
  <c r="AM37" i="53"/>
  <c r="AQ37" i="53" s="1"/>
  <c r="AJ37" i="53"/>
  <c r="F141" i="44"/>
  <c r="O843" i="97" l="1"/>
  <c r="N195" i="44"/>
  <c r="G843" i="97"/>
  <c r="F195" i="44"/>
  <c r="AM37" i="73"/>
  <c r="AQ37" i="73" s="1"/>
  <c r="AJ37" i="73"/>
  <c r="AM37" i="82"/>
  <c r="AQ37" i="82" s="1"/>
  <c r="AJ37" i="82"/>
  <c r="AM28" i="101"/>
  <c r="AQ28" i="101" s="1"/>
  <c r="AJ28" i="101"/>
  <c r="AM37" i="87"/>
  <c r="AQ37" i="87" s="1"/>
  <c r="AJ37" i="87"/>
  <c r="AF37" i="47"/>
  <c r="AB37" i="47"/>
  <c r="F168" i="44"/>
  <c r="AM37" i="45"/>
  <c r="AQ37" i="45" s="1"/>
  <c r="AJ37" i="45"/>
  <c r="V195" i="44"/>
  <c r="W843" i="97"/>
  <c r="AM37" i="47" l="1"/>
  <c r="AQ37" i="47" s="1"/>
  <c r="AJ37" i="47"/>
  <c r="AI61" i="75" l="1"/>
  <c r="AI6" i="75"/>
  <c r="AI62" i="75"/>
  <c r="AI59" i="75" l="1"/>
  <c r="H61" i="75" l="1"/>
  <c r="H6" i="75"/>
  <c r="J61" i="75"/>
  <c r="J6" i="75"/>
  <c r="G61" i="75"/>
  <c r="G6" i="75"/>
  <c r="AE61" i="75"/>
  <c r="AE6" i="75"/>
  <c r="AF61" i="75"/>
  <c r="AF6" i="75"/>
  <c r="T62" i="75"/>
  <c r="R62" i="75"/>
  <c r="D62" i="75"/>
  <c r="G62" i="75"/>
  <c r="I62" i="75"/>
  <c r="D61" i="75"/>
  <c r="D6" i="75"/>
  <c r="AH62" i="75"/>
  <c r="AK9" i="75"/>
  <c r="E61" i="75"/>
  <c r="E6" i="75"/>
  <c r="S61" i="75"/>
  <c r="S6" i="75"/>
  <c r="AC61" i="75"/>
  <c r="AC6" i="75"/>
  <c r="AE62" i="75"/>
  <c r="S62" i="75"/>
  <c r="AB62" i="75"/>
  <c r="M61" i="75"/>
  <c r="M6" i="75"/>
  <c r="Q61" i="75"/>
  <c r="Q6" i="75"/>
  <c r="W62" i="75"/>
  <c r="M62" i="75"/>
  <c r="AF62" i="75"/>
  <c r="U62" i="75"/>
  <c r="I61" i="75"/>
  <c r="I6" i="75"/>
  <c r="X62" i="75"/>
  <c r="W61" i="75"/>
  <c r="W6" i="75"/>
  <c r="C61" i="75"/>
  <c r="C6" i="75"/>
  <c r="F62" i="75"/>
  <c r="AD62" i="75"/>
  <c r="AA61" i="75"/>
  <c r="AA6" i="75"/>
  <c r="K62" i="75"/>
  <c r="C62" i="75"/>
  <c r="T61" i="75"/>
  <c r="T6" i="75"/>
  <c r="AH61" i="75"/>
  <c r="AH6" i="75"/>
  <c r="AK8" i="75"/>
  <c r="Y61" i="75"/>
  <c r="Y6" i="75"/>
  <c r="O61" i="75"/>
  <c r="O6" i="75"/>
  <c r="P62" i="75"/>
  <c r="V62" i="75"/>
  <c r="X61" i="75"/>
  <c r="X6" i="75"/>
  <c r="H62" i="75"/>
  <c r="P61" i="75"/>
  <c r="P6" i="75"/>
  <c r="F61" i="75"/>
  <c r="F6" i="75"/>
  <c r="K61" i="75"/>
  <c r="K6" i="75"/>
  <c r="U61" i="75"/>
  <c r="U6" i="75"/>
  <c r="J62" i="75"/>
  <c r="Z62" i="75"/>
  <c r="L61" i="75"/>
  <c r="L6" i="75"/>
  <c r="AB61" i="75"/>
  <c r="AB59" i="75" s="1"/>
  <c r="AB6" i="75"/>
  <c r="N62" i="75"/>
  <c r="Q62" i="75"/>
  <c r="AD61" i="75"/>
  <c r="AD6" i="75"/>
  <c r="O62" i="75"/>
  <c r="R61" i="75"/>
  <c r="R6" i="75"/>
  <c r="Y62" i="75"/>
  <c r="E62" i="75"/>
  <c r="L62" i="75"/>
  <c r="Z61" i="75"/>
  <c r="Z6" i="75"/>
  <c r="AA62" i="75"/>
  <c r="V61" i="75"/>
  <c r="V6" i="75"/>
  <c r="AC62" i="75"/>
  <c r="U59" i="75" l="1"/>
  <c r="D59" i="75"/>
  <c r="I59" i="75"/>
  <c r="T59" i="75"/>
  <c r="X59" i="75"/>
  <c r="W59" i="75"/>
  <c r="V59" i="75"/>
  <c r="F59" i="75"/>
  <c r="C59" i="75"/>
  <c r="O59" i="75"/>
  <c r="E59" i="75"/>
  <c r="AG62" i="75"/>
  <c r="Z59" i="75"/>
  <c r="AD59" i="75"/>
  <c r="P59" i="75"/>
  <c r="AK6" i="75"/>
  <c r="Q59" i="75"/>
  <c r="AE59" i="75"/>
  <c r="K59" i="75"/>
  <c r="AH59" i="75"/>
  <c r="AC59" i="75"/>
  <c r="G59" i="75"/>
  <c r="R59" i="75"/>
  <c r="N61" i="75"/>
  <c r="N59" i="75" s="1"/>
  <c r="N6" i="75"/>
  <c r="M59" i="75"/>
  <c r="AF59" i="75"/>
  <c r="S59" i="75"/>
  <c r="J59" i="75"/>
  <c r="H59" i="75"/>
  <c r="L59" i="75"/>
  <c r="Y59" i="75"/>
  <c r="AA59" i="75"/>
  <c r="AG61" i="75"/>
  <c r="AG6" i="75"/>
  <c r="AG59" i="75" l="1"/>
  <c r="Q13" i="44" l="1"/>
  <c r="X13" i="44"/>
  <c r="V13" i="44"/>
  <c r="O13" i="44"/>
  <c r="AK13" i="44"/>
  <c r="S13" i="44"/>
  <c r="Z13" i="44"/>
  <c r="P16" i="44"/>
  <c r="M16" i="44"/>
  <c r="AJ16" i="44"/>
  <c r="I16" i="44"/>
  <c r="V16" i="44"/>
  <c r="S16" i="44"/>
  <c r="K16" i="44"/>
  <c r="AC16" i="44"/>
  <c r="W13" i="44" l="1"/>
  <c r="K36" i="77" s="1"/>
  <c r="P36" i="77" s="1"/>
  <c r="T13" i="44"/>
  <c r="BP13" i="70"/>
  <c r="K36" i="64"/>
  <c r="P36" i="64" s="1"/>
  <c r="G13" i="44"/>
  <c r="K36" i="82"/>
  <c r="P36" i="82" s="1"/>
  <c r="BW13" i="70"/>
  <c r="K36" i="56"/>
  <c r="P36" i="56" s="1"/>
  <c r="BN13" i="70"/>
  <c r="P11" i="44"/>
  <c r="K36" i="101"/>
  <c r="P36" i="101" s="1"/>
  <c r="BU13" i="70"/>
  <c r="K36" i="79"/>
  <c r="P36" i="79" s="1"/>
  <c r="BL13" i="70"/>
  <c r="K36" i="46"/>
  <c r="P36" i="46" s="1"/>
  <c r="BS13" i="70"/>
  <c r="K36" i="73"/>
  <c r="P36" i="73" s="1"/>
  <c r="BT13" i="70"/>
  <c r="AE11" i="44"/>
  <c r="BZ16" i="70"/>
  <c r="AC84" i="44"/>
  <c r="K38" i="85"/>
  <c r="BM16" i="70"/>
  <c r="P84" i="44"/>
  <c r="K38" i="55"/>
  <c r="N16" i="44"/>
  <c r="CG16" i="70"/>
  <c r="AJ84" i="44"/>
  <c r="K38" i="100"/>
  <c r="K84" i="44"/>
  <c r="BH16" i="70"/>
  <c r="K38" i="50"/>
  <c r="S84" i="44"/>
  <c r="K38" i="64"/>
  <c r="BP16" i="70"/>
  <c r="V84" i="44"/>
  <c r="K38" i="73"/>
  <c r="BS16" i="70"/>
  <c r="J16" i="44"/>
  <c r="I84" i="44"/>
  <c r="K38" i="52"/>
  <c r="BF16" i="70"/>
  <c r="AG16" i="44"/>
  <c r="E16" i="44"/>
  <c r="G16" i="44"/>
  <c r="BJ16" i="70"/>
  <c r="M84" i="44"/>
  <c r="K38" i="48"/>
  <c r="U13" i="44" l="1"/>
  <c r="Y13" i="44"/>
  <c r="H11" i="44"/>
  <c r="AA11" i="44"/>
  <c r="AI13" i="44"/>
  <c r="N13" i="44"/>
  <c r="T36" i="46"/>
  <c r="X36" i="46"/>
  <c r="L13" i="44"/>
  <c r="T36" i="79"/>
  <c r="X36" i="79"/>
  <c r="X36" i="56"/>
  <c r="T36" i="56"/>
  <c r="T36" i="82"/>
  <c r="X36" i="82"/>
  <c r="M11" i="44"/>
  <c r="K25" i="88"/>
  <c r="P25" i="88" s="1"/>
  <c r="CB11" i="70"/>
  <c r="X36" i="77"/>
  <c r="T36" i="77"/>
  <c r="K36" i="54"/>
  <c r="P36" i="54" s="1"/>
  <c r="BD13" i="70"/>
  <c r="AH13" i="44"/>
  <c r="BM11" i="70"/>
  <c r="K25" i="55"/>
  <c r="P25" i="55" s="1"/>
  <c r="X36" i="64"/>
  <c r="T36" i="64"/>
  <c r="X36" i="73"/>
  <c r="T36" i="73"/>
  <c r="AK16" i="44"/>
  <c r="J13" i="44"/>
  <c r="X36" i="101"/>
  <c r="T36" i="101"/>
  <c r="K11" i="44"/>
  <c r="AI11" i="44"/>
  <c r="R13" i="44"/>
  <c r="V11" i="44"/>
  <c r="H13" i="44"/>
  <c r="W11" i="44"/>
  <c r="AG11" i="44"/>
  <c r="I13" i="44"/>
  <c r="AC11" i="44"/>
  <c r="BQ13" i="70"/>
  <c r="K36" i="69"/>
  <c r="P36" i="69" s="1"/>
  <c r="P38" i="48"/>
  <c r="P38" i="73"/>
  <c r="AA16" i="44"/>
  <c r="N917" i="97"/>
  <c r="M111" i="44"/>
  <c r="AG84" i="44"/>
  <c r="CD16" i="70"/>
  <c r="K38" i="95"/>
  <c r="V111" i="44"/>
  <c r="W917" i="97"/>
  <c r="P38" i="50"/>
  <c r="Y16" i="44"/>
  <c r="AB16" i="44"/>
  <c r="J84" i="44"/>
  <c r="K38" i="51"/>
  <c r="BG16" i="70"/>
  <c r="K111" i="44"/>
  <c r="L917" i="97"/>
  <c r="P111" i="44"/>
  <c r="Q917" i="97"/>
  <c r="P38" i="52"/>
  <c r="N84" i="44"/>
  <c r="K38" i="47"/>
  <c r="BK16" i="70"/>
  <c r="G84" i="44"/>
  <c r="K38" i="54"/>
  <c r="BD16" i="70"/>
  <c r="I111" i="44"/>
  <c r="J917" i="97"/>
  <c r="P38" i="64"/>
  <c r="P38" i="100"/>
  <c r="P38" i="85"/>
  <c r="BB16" i="70"/>
  <c r="K38" i="41"/>
  <c r="E84" i="44"/>
  <c r="H16" i="44"/>
  <c r="S111" i="44"/>
  <c r="T917" i="97"/>
  <c r="AJ111" i="44"/>
  <c r="AK917" i="97"/>
  <c r="P38" i="55"/>
  <c r="AC111" i="44"/>
  <c r="AD917" i="97"/>
  <c r="Q16" i="44" l="1"/>
  <c r="AA13" i="44"/>
  <c r="AA36" i="44" s="1"/>
  <c r="AA46" i="44" s="1"/>
  <c r="AA57" i="44" s="1"/>
  <c r="AA79" i="44" s="1"/>
  <c r="AF13" i="44"/>
  <c r="U11" i="44"/>
  <c r="AA35" i="44"/>
  <c r="AA40" i="44"/>
  <c r="AA50" i="44" s="1"/>
  <c r="AA61" i="44" s="1"/>
  <c r="AA86" i="44" s="1"/>
  <c r="K25" i="83"/>
  <c r="P25" i="83" s="1"/>
  <c r="BX11" i="70"/>
  <c r="AA39" i="44"/>
  <c r="AA49" i="44" s="1"/>
  <c r="AA60" i="44" s="1"/>
  <c r="AA83" i="44" s="1"/>
  <c r="P13" i="44"/>
  <c r="K36" i="99"/>
  <c r="P36" i="99" s="1"/>
  <c r="CF13" i="70"/>
  <c r="AG13" i="44"/>
  <c r="AG38" i="44" s="1"/>
  <c r="AG48" i="44" s="1"/>
  <c r="AG59" i="44" s="1"/>
  <c r="AG82" i="44" s="1"/>
  <c r="AB13" i="44"/>
  <c r="AB6" i="44" s="1"/>
  <c r="K13" i="44"/>
  <c r="K37" i="44" s="1"/>
  <c r="K47" i="44" s="1"/>
  <c r="K58" i="44" s="1"/>
  <c r="K81" i="44" s="1"/>
  <c r="BK13" i="70"/>
  <c r="K36" i="47"/>
  <c r="P36" i="47" s="1"/>
  <c r="AB11" i="44"/>
  <c r="AJ13" i="44"/>
  <c r="E11" i="44"/>
  <c r="M13" i="44"/>
  <c r="M36" i="44" s="1"/>
  <c r="M46" i="44" s="1"/>
  <c r="M57" i="44" s="1"/>
  <c r="M79" i="44" s="1"/>
  <c r="BV13" i="70"/>
  <c r="K36" i="81"/>
  <c r="P36" i="81" s="1"/>
  <c r="F13" i="44"/>
  <c r="BE11" i="70"/>
  <c r="K25" i="53"/>
  <c r="P25" i="53" s="1"/>
  <c r="AD13" i="44"/>
  <c r="BR13" i="70"/>
  <c r="K36" i="72"/>
  <c r="P36" i="72" s="1"/>
  <c r="AF11" i="44"/>
  <c r="F16" i="44"/>
  <c r="K25" i="50"/>
  <c r="BH11" i="70"/>
  <c r="K36" i="44"/>
  <c r="K46" i="44" s="1"/>
  <c r="K57" i="44" s="1"/>
  <c r="K79" i="44" s="1"/>
  <c r="K39" i="44"/>
  <c r="K49" i="44" s="1"/>
  <c r="K60" i="44" s="1"/>
  <c r="K83" i="44" s="1"/>
  <c r="K38" i="44"/>
  <c r="K48" i="44" s="1"/>
  <c r="K59" i="44" s="1"/>
  <c r="K82" i="44" s="1"/>
  <c r="K35" i="44"/>
  <c r="K6" i="44"/>
  <c r="AF36" i="73"/>
  <c r="AB36" i="73"/>
  <c r="AE13" i="44"/>
  <c r="X36" i="54"/>
  <c r="T36" i="54"/>
  <c r="E13" i="44"/>
  <c r="AK84" i="44"/>
  <c r="K38" i="101"/>
  <c r="P38" i="101" s="1"/>
  <c r="T38" i="101" s="1"/>
  <c r="Y11" i="44"/>
  <c r="AF36" i="64"/>
  <c r="AB36" i="64"/>
  <c r="L11" i="44"/>
  <c r="L37" i="44" s="1"/>
  <c r="L47" i="44" s="1"/>
  <c r="L58" i="44" s="1"/>
  <c r="L81" i="44" s="1"/>
  <c r="T11" i="44"/>
  <c r="CE13" i="70"/>
  <c r="K36" i="96"/>
  <c r="P36" i="96" s="1"/>
  <c r="X11" i="44"/>
  <c r="K36" i="58"/>
  <c r="P36" i="58" s="1"/>
  <c r="BO13" i="70"/>
  <c r="AF36" i="101"/>
  <c r="AB36" i="101"/>
  <c r="AJ11" i="44"/>
  <c r="AF36" i="46"/>
  <c r="AB36" i="46"/>
  <c r="BF13" i="70"/>
  <c r="K36" i="52"/>
  <c r="P36" i="52" s="1"/>
  <c r="BE13" i="70"/>
  <c r="K36" i="53"/>
  <c r="P36" i="53" s="1"/>
  <c r="H37" i="44"/>
  <c r="H47" i="44" s="1"/>
  <c r="H58" i="44" s="1"/>
  <c r="H81" i="44" s="1"/>
  <c r="H36" i="44"/>
  <c r="H46" i="44" s="1"/>
  <c r="H57" i="44" s="1"/>
  <c r="H79" i="44" s="1"/>
  <c r="H39" i="44"/>
  <c r="H49" i="44" s="1"/>
  <c r="H60" i="44" s="1"/>
  <c r="H83" i="44" s="1"/>
  <c r="H40" i="44"/>
  <c r="H50" i="44" s="1"/>
  <c r="H61" i="44" s="1"/>
  <c r="H86" i="44" s="1"/>
  <c r="H35" i="44"/>
  <c r="H38" i="44"/>
  <c r="H48" i="44" s="1"/>
  <c r="H59" i="44" s="1"/>
  <c r="H82" i="44" s="1"/>
  <c r="K25" i="73"/>
  <c r="BS11" i="70"/>
  <c r="V35" i="44"/>
  <c r="V36" i="44"/>
  <c r="V46" i="44" s="1"/>
  <c r="V57" i="44" s="1"/>
  <c r="V79" i="44" s="1"/>
  <c r="V38" i="44"/>
  <c r="V48" i="44" s="1"/>
  <c r="V59" i="44" s="1"/>
  <c r="V82" i="44" s="1"/>
  <c r="V40" i="44"/>
  <c r="V50" i="44" s="1"/>
  <c r="V61" i="44" s="1"/>
  <c r="V86" i="44" s="1"/>
  <c r="V39" i="44"/>
  <c r="V49" i="44" s="1"/>
  <c r="V60" i="44" s="1"/>
  <c r="V83" i="44" s="1"/>
  <c r="V6" i="44"/>
  <c r="V37" i="44"/>
  <c r="V47" i="44" s="1"/>
  <c r="V58" i="44" s="1"/>
  <c r="V81" i="44" s="1"/>
  <c r="J11" i="44"/>
  <c r="J37" i="44" s="1"/>
  <c r="J47" i="44" s="1"/>
  <c r="J58" i="44" s="1"/>
  <c r="J81" i="44" s="1"/>
  <c r="AB36" i="82"/>
  <c r="AF36" i="82"/>
  <c r="O11" i="44"/>
  <c r="T25" i="55"/>
  <c r="X25" i="55"/>
  <c r="K25" i="48"/>
  <c r="BJ11" i="70"/>
  <c r="AB36" i="79"/>
  <c r="AF36" i="79"/>
  <c r="AC13" i="44"/>
  <c r="AC40" i="44" s="1"/>
  <c r="AC50" i="44" s="1"/>
  <c r="AC61" i="44" s="1"/>
  <c r="AC86" i="44" s="1"/>
  <c r="K25" i="85"/>
  <c r="BZ11" i="70"/>
  <c r="I11" i="44"/>
  <c r="I37" i="44" s="1"/>
  <c r="I47" i="44" s="1"/>
  <c r="I58" i="44" s="1"/>
  <c r="I81" i="44" s="1"/>
  <c r="K36" i="51"/>
  <c r="P36" i="51" s="1"/>
  <c r="BG13" i="70"/>
  <c r="T25" i="88"/>
  <c r="X25" i="88"/>
  <c r="T36" i="69"/>
  <c r="X36" i="69"/>
  <c r="BT11" i="70"/>
  <c r="K25" i="77"/>
  <c r="P25" i="77" s="1"/>
  <c r="W36" i="44"/>
  <c r="W46" i="44" s="1"/>
  <c r="W57" i="44" s="1"/>
  <c r="W79" i="44" s="1"/>
  <c r="W39" i="44"/>
  <c r="W49" i="44" s="1"/>
  <c r="W60" i="44" s="1"/>
  <c r="W83" i="44" s="1"/>
  <c r="W38" i="44"/>
  <c r="W48" i="44" s="1"/>
  <c r="W59" i="44" s="1"/>
  <c r="W82" i="44" s="1"/>
  <c r="W40" i="44"/>
  <c r="W50" i="44" s="1"/>
  <c r="W61" i="44" s="1"/>
  <c r="W86" i="44" s="1"/>
  <c r="W35" i="44"/>
  <c r="W37" i="44"/>
  <c r="W47" i="44" s="1"/>
  <c r="W58" i="44" s="1"/>
  <c r="W81" i="44" s="1"/>
  <c r="AB36" i="77"/>
  <c r="AF36" i="77"/>
  <c r="AF36" i="56"/>
  <c r="AB36" i="56"/>
  <c r="BI13" i="70"/>
  <c r="K36" i="49"/>
  <c r="P36" i="49" s="1"/>
  <c r="AH11" i="44"/>
  <c r="N11" i="44"/>
  <c r="K25" i="95"/>
  <c r="P25" i="95" s="1"/>
  <c r="CD11" i="70"/>
  <c r="CF11" i="70"/>
  <c r="K25" i="99"/>
  <c r="P25" i="99" s="1"/>
  <c r="AI36" i="44"/>
  <c r="AI46" i="44" s="1"/>
  <c r="AI57" i="44" s="1"/>
  <c r="AI79" i="44" s="1"/>
  <c r="AI39" i="44"/>
  <c r="AI49" i="44" s="1"/>
  <c r="AI60" i="44" s="1"/>
  <c r="AI83" i="44" s="1"/>
  <c r="AI38" i="44"/>
  <c r="AI48" i="44" s="1"/>
  <c r="AI59" i="44" s="1"/>
  <c r="AI82" i="44" s="1"/>
  <c r="AI35" i="44"/>
  <c r="AI40" i="44"/>
  <c r="AI50" i="44" s="1"/>
  <c r="AI61" i="44" s="1"/>
  <c r="AI86" i="44" s="1"/>
  <c r="AI37" i="44"/>
  <c r="AI47" i="44" s="1"/>
  <c r="AI58" i="44" s="1"/>
  <c r="AI81" i="44" s="1"/>
  <c r="AD16" i="44"/>
  <c r="AI16" i="44"/>
  <c r="T38" i="64"/>
  <c r="X38" i="64"/>
  <c r="K38" i="81"/>
  <c r="BV16" i="70"/>
  <c r="Y84" i="44"/>
  <c r="Y6" i="44"/>
  <c r="AH917" i="97"/>
  <c r="AG111" i="44"/>
  <c r="R16" i="44"/>
  <c r="F917" i="97"/>
  <c r="E111" i="44"/>
  <c r="T38" i="100"/>
  <c r="X38" i="100"/>
  <c r="T38" i="52"/>
  <c r="X38" i="52"/>
  <c r="X16" i="44"/>
  <c r="P38" i="41"/>
  <c r="P38" i="54"/>
  <c r="P38" i="47"/>
  <c r="T16" i="44"/>
  <c r="T38" i="50"/>
  <c r="X38" i="50"/>
  <c r="T38" i="55"/>
  <c r="X38" i="55"/>
  <c r="H917" i="97"/>
  <c r="G111" i="44"/>
  <c r="O917" i="97"/>
  <c r="N111" i="44"/>
  <c r="U16" i="44"/>
  <c r="L16" i="44"/>
  <c r="BX16" i="70"/>
  <c r="AA84" i="44"/>
  <c r="K38" i="83"/>
  <c r="AA6" i="44"/>
  <c r="AH16" i="44"/>
  <c r="X38" i="48"/>
  <c r="T38" i="48"/>
  <c r="K38" i="53"/>
  <c r="H84" i="44"/>
  <c r="BE16" i="70"/>
  <c r="H6" i="44"/>
  <c r="W16" i="44"/>
  <c r="AE16" i="44"/>
  <c r="Z16" i="44"/>
  <c r="P38" i="51"/>
  <c r="P38" i="95"/>
  <c r="AF16" i="44"/>
  <c r="O16" i="44"/>
  <c r="T38" i="85"/>
  <c r="X38" i="85"/>
  <c r="K917" i="97"/>
  <c r="J111" i="44"/>
  <c r="K38" i="84"/>
  <c r="BY16" i="70"/>
  <c r="AB84" i="44"/>
  <c r="X38" i="73"/>
  <c r="T38" i="73"/>
  <c r="AA38" i="44" l="1"/>
  <c r="AA48" i="44" s="1"/>
  <c r="AA59" i="44" s="1"/>
  <c r="AA82" i="44" s="1"/>
  <c r="AG36" i="44"/>
  <c r="AG46" i="44" s="1"/>
  <c r="AG57" i="44" s="1"/>
  <c r="AG79" i="44" s="1"/>
  <c r="AG106" i="44" s="1"/>
  <c r="AG40" i="44"/>
  <c r="AG50" i="44" s="1"/>
  <c r="AG61" i="44" s="1"/>
  <c r="AG86" i="44" s="1"/>
  <c r="M40" i="44"/>
  <c r="M50" i="44" s="1"/>
  <c r="M61" i="44" s="1"/>
  <c r="M86" i="44" s="1"/>
  <c r="AG35" i="44"/>
  <c r="M35" i="44"/>
  <c r="M45" i="44" s="1"/>
  <c r="M56" i="44" s="1"/>
  <c r="M77" i="44" s="1"/>
  <c r="AG37" i="44"/>
  <c r="AG47" i="44" s="1"/>
  <c r="AG58" i="44" s="1"/>
  <c r="AG81" i="44" s="1"/>
  <c r="AC35" i="44"/>
  <c r="AC45" i="44" s="1"/>
  <c r="AC56" i="44" s="1"/>
  <c r="AC77" i="44" s="1"/>
  <c r="AG39" i="44"/>
  <c r="AG49" i="44" s="1"/>
  <c r="AG60" i="44" s="1"/>
  <c r="AG83" i="44" s="1"/>
  <c r="AC38" i="44"/>
  <c r="AC48" i="44" s="1"/>
  <c r="AC59" i="44" s="1"/>
  <c r="AC82" i="44" s="1"/>
  <c r="M6" i="44"/>
  <c r="M28" i="44" s="1"/>
  <c r="M37" i="44"/>
  <c r="M47" i="44" s="1"/>
  <c r="M58" i="44" s="1"/>
  <c r="M81" i="44" s="1"/>
  <c r="M38" i="44"/>
  <c r="M48" i="44" s="1"/>
  <c r="M59" i="44" s="1"/>
  <c r="M82" i="44" s="1"/>
  <c r="N814" i="97" s="1"/>
  <c r="M39" i="44"/>
  <c r="M49" i="44" s="1"/>
  <c r="M60" i="44" s="1"/>
  <c r="M83" i="44" s="1"/>
  <c r="AC39" i="44"/>
  <c r="AC49" i="44" s="1"/>
  <c r="AC60" i="44" s="1"/>
  <c r="AC83" i="44" s="1"/>
  <c r="K38" i="56"/>
  <c r="P38" i="56" s="1"/>
  <c r="Q84" i="44"/>
  <c r="BN16" i="70"/>
  <c r="X38" i="101"/>
  <c r="AB38" i="101" s="1"/>
  <c r="CC13" i="70"/>
  <c r="K36" i="90"/>
  <c r="P36" i="90" s="1"/>
  <c r="AC36" i="44"/>
  <c r="AC46" i="44" s="1"/>
  <c r="AC57" i="44" s="1"/>
  <c r="AC79" i="44" s="1"/>
  <c r="AC106" i="44" s="1"/>
  <c r="K40" i="44"/>
  <c r="K50" i="44" s="1"/>
  <c r="K61" i="44" s="1"/>
  <c r="K86" i="44" s="1"/>
  <c r="K36" i="87"/>
  <c r="P36" i="87" s="1"/>
  <c r="CA13" i="70"/>
  <c r="T25" i="53"/>
  <c r="X25" i="53"/>
  <c r="BB11" i="70"/>
  <c r="K25" i="41"/>
  <c r="P25" i="41" s="1"/>
  <c r="X36" i="47"/>
  <c r="T36" i="47"/>
  <c r="CD13" i="70"/>
  <c r="K36" i="95"/>
  <c r="AG6" i="44"/>
  <c r="T25" i="83"/>
  <c r="X25" i="83"/>
  <c r="K36" i="48"/>
  <c r="P36" i="48" s="1"/>
  <c r="BJ13" i="70"/>
  <c r="CG13" i="70"/>
  <c r="K36" i="100"/>
  <c r="P36" i="100" s="1"/>
  <c r="BY13" i="70"/>
  <c r="K36" i="84"/>
  <c r="P36" i="84" s="1"/>
  <c r="AB37" i="44"/>
  <c r="AB47" i="44" s="1"/>
  <c r="AB58" i="44" s="1"/>
  <c r="AB81" i="44" s="1"/>
  <c r="AC6" i="44"/>
  <c r="BZ6" i="70" s="1"/>
  <c r="X36" i="99"/>
  <c r="T36" i="99"/>
  <c r="AA106" i="44"/>
  <c r="AB802" i="97"/>
  <c r="K36" i="83"/>
  <c r="P36" i="83" s="1"/>
  <c r="AA37" i="44"/>
  <c r="AA47" i="44" s="1"/>
  <c r="AA58" i="44" s="1"/>
  <c r="AA81" i="44" s="1"/>
  <c r="BX13" i="70"/>
  <c r="X36" i="72"/>
  <c r="T36" i="72"/>
  <c r="G11" i="44"/>
  <c r="AA113" i="44"/>
  <c r="AB898" i="97"/>
  <c r="BC13" i="70"/>
  <c r="K36" i="45"/>
  <c r="P36" i="45" s="1"/>
  <c r="K36" i="50"/>
  <c r="P36" i="50" s="1"/>
  <c r="BH13" i="70"/>
  <c r="AA45" i="44"/>
  <c r="AA56" i="44" s="1"/>
  <c r="AA77" i="44" s="1"/>
  <c r="T36" i="81"/>
  <c r="X36" i="81"/>
  <c r="BM13" i="70"/>
  <c r="P6" i="44"/>
  <c r="K36" i="55"/>
  <c r="P37" i="44"/>
  <c r="P47" i="44" s="1"/>
  <c r="P58" i="44" s="1"/>
  <c r="P81" i="44" s="1"/>
  <c r="P38" i="44"/>
  <c r="P48" i="44" s="1"/>
  <c r="P59" i="44" s="1"/>
  <c r="P82" i="44" s="1"/>
  <c r="P39" i="44"/>
  <c r="P49" i="44" s="1"/>
  <c r="P60" i="44" s="1"/>
  <c r="P83" i="44" s="1"/>
  <c r="P35" i="44"/>
  <c r="P40" i="44"/>
  <c r="P50" i="44" s="1"/>
  <c r="P61" i="44" s="1"/>
  <c r="P86" i="44" s="1"/>
  <c r="P36" i="44"/>
  <c r="P46" i="44" s="1"/>
  <c r="P57" i="44" s="1"/>
  <c r="P79" i="44" s="1"/>
  <c r="U35" i="44"/>
  <c r="U37" i="44"/>
  <c r="U47" i="44" s="1"/>
  <c r="U58" i="44" s="1"/>
  <c r="U81" i="44" s="1"/>
  <c r="U39" i="44"/>
  <c r="U49" i="44" s="1"/>
  <c r="U60" i="44" s="1"/>
  <c r="U83" i="44" s="1"/>
  <c r="U38" i="44"/>
  <c r="U48" i="44" s="1"/>
  <c r="U59" i="44" s="1"/>
  <c r="U82" i="44" s="1"/>
  <c r="K25" i="72"/>
  <c r="P25" i="72" s="1"/>
  <c r="BR11" i="70"/>
  <c r="U36" i="44"/>
  <c r="U46" i="44" s="1"/>
  <c r="U57" i="44" s="1"/>
  <c r="U79" i="44" s="1"/>
  <c r="U40" i="44"/>
  <c r="U50" i="44" s="1"/>
  <c r="U61" i="44" s="1"/>
  <c r="U86" i="44" s="1"/>
  <c r="AB36" i="44"/>
  <c r="AB46" i="44" s="1"/>
  <c r="AB57" i="44" s="1"/>
  <c r="AB79" i="44" s="1"/>
  <c r="K25" i="84"/>
  <c r="P25" i="84" s="1"/>
  <c r="BY11" i="70"/>
  <c r="AB35" i="44"/>
  <c r="AB38" i="44"/>
  <c r="AB48" i="44" s="1"/>
  <c r="AB59" i="44" s="1"/>
  <c r="AB82" i="44" s="1"/>
  <c r="AB39" i="44"/>
  <c r="AB49" i="44" s="1"/>
  <c r="AB60" i="44" s="1"/>
  <c r="AB83" i="44" s="1"/>
  <c r="AB40" i="44"/>
  <c r="AB50" i="44" s="1"/>
  <c r="AB61" i="44" s="1"/>
  <c r="AB86" i="44" s="1"/>
  <c r="AD11" i="44"/>
  <c r="AD37" i="44" s="1"/>
  <c r="AD47" i="44" s="1"/>
  <c r="AD58" i="44" s="1"/>
  <c r="AD81" i="44" s="1"/>
  <c r="AB880" i="97"/>
  <c r="AA110" i="44"/>
  <c r="I108" i="44"/>
  <c r="J892" i="97"/>
  <c r="AI45" i="44"/>
  <c r="AI56" i="44" s="1"/>
  <c r="AI77" i="44" s="1"/>
  <c r="AI41" i="44"/>
  <c r="AH802" i="97"/>
  <c r="AJ36" i="77"/>
  <c r="AM36" i="77"/>
  <c r="AQ36" i="77" s="1"/>
  <c r="W113" i="44"/>
  <c r="X898" i="97"/>
  <c r="AD814" i="97"/>
  <c r="AC109" i="44"/>
  <c r="AF25" i="55"/>
  <c r="AB25" i="55"/>
  <c r="AJ36" i="82"/>
  <c r="AM36" i="82"/>
  <c r="AQ36" i="82" s="1"/>
  <c r="V41" i="44"/>
  <c r="V45" i="44"/>
  <c r="V56" i="44" s="1"/>
  <c r="V77" i="44" s="1"/>
  <c r="H108" i="44"/>
  <c r="I892" i="97"/>
  <c r="T36" i="96"/>
  <c r="X36" i="96"/>
  <c r="AB36" i="54"/>
  <c r="AF36" i="54"/>
  <c r="L814" i="97"/>
  <c r="K109" i="44"/>
  <c r="AI109" i="44"/>
  <c r="AJ814" i="97"/>
  <c r="AG113" i="44"/>
  <c r="AH898" i="97"/>
  <c r="Z11" i="44"/>
  <c r="W109" i="44"/>
  <c r="X814" i="97"/>
  <c r="AC37" i="44"/>
  <c r="AC47" i="44" s="1"/>
  <c r="AC58" i="44" s="1"/>
  <c r="AC81" i="44" s="1"/>
  <c r="K36" i="85"/>
  <c r="P36" i="85" s="1"/>
  <c r="BZ13" i="70"/>
  <c r="X36" i="53"/>
  <c r="T36" i="53"/>
  <c r="F11" i="44"/>
  <c r="X36" i="58"/>
  <c r="T36" i="58"/>
  <c r="L880" i="97"/>
  <c r="K110" i="44"/>
  <c r="AJ880" i="97"/>
  <c r="AI110" i="44"/>
  <c r="AG41" i="44"/>
  <c r="AG45" i="44"/>
  <c r="AG56" i="44" s="1"/>
  <c r="AG77" i="44" s="1"/>
  <c r="M892" i="97"/>
  <c r="L108" i="44"/>
  <c r="X880" i="97"/>
  <c r="W110" i="44"/>
  <c r="M41" i="44"/>
  <c r="S11" i="44"/>
  <c r="BL11" i="70"/>
  <c r="K25" i="46"/>
  <c r="P25" i="46" s="1"/>
  <c r="O38" i="44"/>
  <c r="O48" i="44" s="1"/>
  <c r="O59" i="44" s="1"/>
  <c r="O82" i="44" s="1"/>
  <c r="O36" i="44"/>
  <c r="O46" i="44" s="1"/>
  <c r="O57" i="44" s="1"/>
  <c r="O79" i="44" s="1"/>
  <c r="O39" i="44"/>
  <c r="O49" i="44" s="1"/>
  <c r="O60" i="44" s="1"/>
  <c r="O83" i="44" s="1"/>
  <c r="O35" i="44"/>
  <c r="O40" i="44"/>
  <c r="O50" i="44" s="1"/>
  <c r="O61" i="44" s="1"/>
  <c r="O86" i="44" s="1"/>
  <c r="O37" i="44"/>
  <c r="O47" i="44" s="1"/>
  <c r="O58" i="44" s="1"/>
  <c r="O81" i="44" s="1"/>
  <c r="J40" i="44"/>
  <c r="J50" i="44" s="1"/>
  <c r="J61" i="44" s="1"/>
  <c r="J86" i="44" s="1"/>
  <c r="BG11" i="70"/>
  <c r="J39" i="44"/>
  <c r="J49" i="44" s="1"/>
  <c r="J60" i="44" s="1"/>
  <c r="J83" i="44" s="1"/>
  <c r="K25" i="51"/>
  <c r="J35" i="44"/>
  <c r="J38" i="44"/>
  <c r="J48" i="44" s="1"/>
  <c r="J59" i="44" s="1"/>
  <c r="J82" i="44" s="1"/>
  <c r="J36" i="44"/>
  <c r="J46" i="44" s="1"/>
  <c r="J57" i="44" s="1"/>
  <c r="J79" i="44" s="1"/>
  <c r="J6" i="44"/>
  <c r="W892" i="97"/>
  <c r="V108" i="44"/>
  <c r="P25" i="73"/>
  <c r="K18" i="73"/>
  <c r="K43" i="73" s="1"/>
  <c r="K25" i="79"/>
  <c r="P25" i="79" s="1"/>
  <c r="BU11" i="70"/>
  <c r="X40" i="44"/>
  <c r="X50" i="44" s="1"/>
  <c r="X61" i="44" s="1"/>
  <c r="X86" i="44" s="1"/>
  <c r="X39" i="44"/>
  <c r="X49" i="44" s="1"/>
  <c r="X60" i="44" s="1"/>
  <c r="X83" i="44" s="1"/>
  <c r="X36" i="44"/>
  <c r="X46" i="44" s="1"/>
  <c r="X57" i="44" s="1"/>
  <c r="X79" i="44" s="1"/>
  <c r="X38" i="44"/>
  <c r="X48" i="44" s="1"/>
  <c r="X59" i="44" s="1"/>
  <c r="X82" i="44" s="1"/>
  <c r="X35" i="44"/>
  <c r="X37" i="44"/>
  <c r="X47" i="44" s="1"/>
  <c r="X58" i="44" s="1"/>
  <c r="X81" i="44" s="1"/>
  <c r="K106" i="44"/>
  <c r="L802" i="97"/>
  <c r="K38" i="45"/>
  <c r="P38" i="45" s="1"/>
  <c r="BC16" i="70"/>
  <c r="F84" i="44"/>
  <c r="AI106" i="44"/>
  <c r="AJ802" i="97"/>
  <c r="T36" i="49"/>
  <c r="X36" i="49"/>
  <c r="X802" i="97"/>
  <c r="W106" i="44"/>
  <c r="AF25" i="88"/>
  <c r="AB25" i="88"/>
  <c r="K892" i="97"/>
  <c r="J108" i="44"/>
  <c r="BS6" i="70"/>
  <c r="V28" i="44"/>
  <c r="H109" i="44"/>
  <c r="I814" i="97"/>
  <c r="X36" i="52"/>
  <c r="T36" i="52"/>
  <c r="AM36" i="46"/>
  <c r="AQ36" i="46" s="1"/>
  <c r="AJ36" i="46"/>
  <c r="Q11" i="44"/>
  <c r="K36" i="88"/>
  <c r="P36" i="88" s="1"/>
  <c r="AE37" i="44"/>
  <c r="AE47" i="44" s="1"/>
  <c r="AE58" i="44" s="1"/>
  <c r="AE81" i="44" s="1"/>
  <c r="CB13" i="70"/>
  <c r="AE40" i="44"/>
  <c r="AE50" i="44" s="1"/>
  <c r="AE61" i="44" s="1"/>
  <c r="AE86" i="44" s="1"/>
  <c r="AE35" i="44"/>
  <c r="AE39" i="44"/>
  <c r="AE49" i="44" s="1"/>
  <c r="AE60" i="44" s="1"/>
  <c r="AE83" i="44" s="1"/>
  <c r="AE38" i="44"/>
  <c r="AE48" i="44" s="1"/>
  <c r="AE59" i="44" s="1"/>
  <c r="AE82" i="44" s="1"/>
  <c r="AE36" i="44"/>
  <c r="AE46" i="44" s="1"/>
  <c r="AE57" i="44" s="1"/>
  <c r="AE79" i="44" s="1"/>
  <c r="AD84" i="44"/>
  <c r="K38" i="87"/>
  <c r="CA16" i="70"/>
  <c r="T25" i="99"/>
  <c r="X25" i="99"/>
  <c r="X25" i="95"/>
  <c r="T25" i="95"/>
  <c r="T25" i="77"/>
  <c r="X25" i="77"/>
  <c r="T36" i="51"/>
  <c r="X36" i="51"/>
  <c r="P25" i="85"/>
  <c r="P25" i="48"/>
  <c r="W880" i="97"/>
  <c r="V110" i="44"/>
  <c r="H41" i="44"/>
  <c r="H45" i="44"/>
  <c r="H56" i="44" s="1"/>
  <c r="H77" i="44" s="1"/>
  <c r="K28" i="44"/>
  <c r="BH6" i="70"/>
  <c r="AH892" i="97"/>
  <c r="AG108" i="44"/>
  <c r="CE11" i="70"/>
  <c r="K25" i="96"/>
  <c r="P25" i="96" s="1"/>
  <c r="AH35" i="44"/>
  <c r="AH36" i="44"/>
  <c r="AH46" i="44" s="1"/>
  <c r="AH57" i="44" s="1"/>
  <c r="AH79" i="44" s="1"/>
  <c r="AH38" i="44"/>
  <c r="AH48" i="44" s="1"/>
  <c r="AH59" i="44" s="1"/>
  <c r="AH82" i="44" s="1"/>
  <c r="AH39" i="44"/>
  <c r="AH49" i="44" s="1"/>
  <c r="AH60" i="44" s="1"/>
  <c r="AH83" i="44" s="1"/>
  <c r="AH40" i="44"/>
  <c r="AH50" i="44" s="1"/>
  <c r="AH61" i="44" s="1"/>
  <c r="AH86" i="44" s="1"/>
  <c r="AJ36" i="56"/>
  <c r="AM36" i="56"/>
  <c r="AQ36" i="56" s="1"/>
  <c r="K25" i="52"/>
  <c r="I35" i="44"/>
  <c r="BF11" i="70"/>
  <c r="I39" i="44"/>
  <c r="I49" i="44" s="1"/>
  <c r="I60" i="44" s="1"/>
  <c r="I83" i="44" s="1"/>
  <c r="I40" i="44"/>
  <c r="I50" i="44" s="1"/>
  <c r="I61" i="44" s="1"/>
  <c r="I86" i="44" s="1"/>
  <c r="I36" i="44"/>
  <c r="I46" i="44" s="1"/>
  <c r="I57" i="44" s="1"/>
  <c r="I79" i="44" s="1"/>
  <c r="I38" i="44"/>
  <c r="I48" i="44" s="1"/>
  <c r="I59" i="44" s="1"/>
  <c r="I82" i="44" s="1"/>
  <c r="I6" i="44"/>
  <c r="V113" i="44"/>
  <c r="W898" i="97"/>
  <c r="I898" i="97"/>
  <c r="H113" i="44"/>
  <c r="AM36" i="101"/>
  <c r="AQ36" i="101" s="1"/>
  <c r="AJ36" i="101"/>
  <c r="K25" i="49"/>
  <c r="P25" i="49" s="1"/>
  <c r="BI11" i="70"/>
  <c r="L38" i="44"/>
  <c r="L48" i="44" s="1"/>
  <c r="L59" i="44" s="1"/>
  <c r="L82" i="44" s="1"/>
  <c r="L39" i="44"/>
  <c r="L49" i="44" s="1"/>
  <c r="L60" i="44" s="1"/>
  <c r="L83" i="44" s="1"/>
  <c r="L35" i="44"/>
  <c r="L40" i="44"/>
  <c r="L50" i="44" s="1"/>
  <c r="L61" i="44" s="1"/>
  <c r="L86" i="44" s="1"/>
  <c r="L36" i="44"/>
  <c r="L46" i="44" s="1"/>
  <c r="L57" i="44" s="1"/>
  <c r="L79" i="44" s="1"/>
  <c r="AK111" i="44"/>
  <c r="AL917" i="97"/>
  <c r="C16" i="33"/>
  <c r="P25" i="50"/>
  <c r="K25" i="90"/>
  <c r="P25" i="90" s="1"/>
  <c r="CC11" i="70"/>
  <c r="AF39" i="44"/>
  <c r="AF49" i="44" s="1"/>
  <c r="AF60" i="44" s="1"/>
  <c r="AF83" i="44" s="1"/>
  <c r="AF36" i="44"/>
  <c r="AF46" i="44" s="1"/>
  <c r="AF57" i="44" s="1"/>
  <c r="AF79" i="44" s="1"/>
  <c r="AF38" i="44"/>
  <c r="AF48" i="44" s="1"/>
  <c r="AF59" i="44" s="1"/>
  <c r="AF82" i="44" s="1"/>
  <c r="AF35" i="44"/>
  <c r="AF40" i="44"/>
  <c r="AF50" i="44" s="1"/>
  <c r="AF61" i="44" s="1"/>
  <c r="AF86" i="44" s="1"/>
  <c r="AF37" i="44"/>
  <c r="AF47" i="44" s="1"/>
  <c r="AF58" i="44" s="1"/>
  <c r="AF81" i="44" s="1"/>
  <c r="AJ892" i="97"/>
  <c r="AI108" i="44"/>
  <c r="AG110" i="44"/>
  <c r="X892" i="97"/>
  <c r="W108" i="44"/>
  <c r="AB36" i="69"/>
  <c r="AF36" i="69"/>
  <c r="N802" i="97"/>
  <c r="M106" i="44"/>
  <c r="W814" i="97"/>
  <c r="V109" i="44"/>
  <c r="H110" i="44"/>
  <c r="I880" i="97"/>
  <c r="R11" i="44"/>
  <c r="R6" i="44" s="1"/>
  <c r="AM36" i="64"/>
  <c r="AQ36" i="64" s="1"/>
  <c r="AJ36" i="64"/>
  <c r="BB13" i="70"/>
  <c r="E37" i="44"/>
  <c r="E47" i="44" s="1"/>
  <c r="E58" i="44" s="1"/>
  <c r="E81" i="44" s="1"/>
  <c r="K36" i="41"/>
  <c r="E36" i="44"/>
  <c r="E46" i="44" s="1"/>
  <c r="E57" i="44" s="1"/>
  <c r="E79" i="44" s="1"/>
  <c r="E38" i="44"/>
  <c r="E48" i="44" s="1"/>
  <c r="E59" i="44" s="1"/>
  <c r="E82" i="44" s="1"/>
  <c r="E6" i="44"/>
  <c r="E40" i="44"/>
  <c r="E50" i="44" s="1"/>
  <c r="E61" i="44" s="1"/>
  <c r="E86" i="44" s="1"/>
  <c r="E39" i="44"/>
  <c r="E49" i="44" s="1"/>
  <c r="E60" i="44" s="1"/>
  <c r="E83" i="44" s="1"/>
  <c r="E35" i="44"/>
  <c r="AM36" i="73"/>
  <c r="AQ36" i="73" s="1"/>
  <c r="AJ36" i="73"/>
  <c r="L892" i="97"/>
  <c r="K108" i="44"/>
  <c r="AI113" i="44"/>
  <c r="AJ898" i="97"/>
  <c r="AH814" i="97"/>
  <c r="AG109" i="44"/>
  <c r="N40" i="44"/>
  <c r="N50" i="44" s="1"/>
  <c r="N61" i="44" s="1"/>
  <c r="N86" i="44" s="1"/>
  <c r="K25" i="47"/>
  <c r="BK11" i="70"/>
  <c r="N36" i="44"/>
  <c r="N46" i="44" s="1"/>
  <c r="N57" i="44" s="1"/>
  <c r="N79" i="44" s="1"/>
  <c r="N35" i="44"/>
  <c r="N39" i="44"/>
  <c r="N49" i="44" s="1"/>
  <c r="N60" i="44" s="1"/>
  <c r="N83" i="44" s="1"/>
  <c r="N38" i="44"/>
  <c r="N48" i="44" s="1"/>
  <c r="N59" i="44" s="1"/>
  <c r="N82" i="44" s="1"/>
  <c r="N37" i="44"/>
  <c r="N47" i="44" s="1"/>
  <c r="N58" i="44" s="1"/>
  <c r="N81" i="44" s="1"/>
  <c r="N6" i="44"/>
  <c r="W41" i="44"/>
  <c r="W45" i="44"/>
  <c r="W56" i="44" s="1"/>
  <c r="W77" i="44" s="1"/>
  <c r="AD898" i="97"/>
  <c r="AC113" i="44"/>
  <c r="AJ36" i="79"/>
  <c r="AM36" i="79"/>
  <c r="AQ36" i="79" s="1"/>
  <c r="N898" i="97"/>
  <c r="W802" i="97"/>
  <c r="V106" i="44"/>
  <c r="W640" i="97"/>
  <c r="H106" i="44"/>
  <c r="I802" i="97"/>
  <c r="CG11" i="70"/>
  <c r="K25" i="100"/>
  <c r="AJ40" i="44"/>
  <c r="AJ50" i="44" s="1"/>
  <c r="AJ61" i="44" s="1"/>
  <c r="AJ86" i="44" s="1"/>
  <c r="AJ39" i="44"/>
  <c r="AJ49" i="44" s="1"/>
  <c r="AJ60" i="44" s="1"/>
  <c r="AJ83" i="44" s="1"/>
  <c r="AJ38" i="44"/>
  <c r="AJ48" i="44" s="1"/>
  <c r="AJ59" i="44" s="1"/>
  <c r="AJ82" i="44" s="1"/>
  <c r="AJ35" i="44"/>
  <c r="AJ36" i="44"/>
  <c r="AJ46" i="44" s="1"/>
  <c r="AJ57" i="44" s="1"/>
  <c r="AJ79" i="44" s="1"/>
  <c r="AJ6" i="44"/>
  <c r="AJ37" i="44"/>
  <c r="AJ47" i="44" s="1"/>
  <c r="AJ58" i="44" s="1"/>
  <c r="AJ81" i="44" s="1"/>
  <c r="AH37" i="44"/>
  <c r="AH47" i="44" s="1"/>
  <c r="AH58" i="44" s="1"/>
  <c r="AH81" i="44" s="1"/>
  <c r="BQ11" i="70"/>
  <c r="K25" i="69"/>
  <c r="P25" i="69" s="1"/>
  <c r="T40" i="44"/>
  <c r="T50" i="44" s="1"/>
  <c r="T61" i="44" s="1"/>
  <c r="T86" i="44" s="1"/>
  <c r="T36" i="44"/>
  <c r="T46" i="44" s="1"/>
  <c r="T57" i="44" s="1"/>
  <c r="T79" i="44" s="1"/>
  <c r="T39" i="44"/>
  <c r="T49" i="44" s="1"/>
  <c r="T60" i="44" s="1"/>
  <c r="T83" i="44" s="1"/>
  <c r="T35" i="44"/>
  <c r="T38" i="44"/>
  <c r="T48" i="44" s="1"/>
  <c r="T59" i="44" s="1"/>
  <c r="T82" i="44" s="1"/>
  <c r="T37" i="44"/>
  <c r="T47" i="44" s="1"/>
  <c r="T58" i="44" s="1"/>
  <c r="T81" i="44" s="1"/>
  <c r="K25" i="81"/>
  <c r="P25" i="81" s="1"/>
  <c r="BV11" i="70"/>
  <c r="Y35" i="44"/>
  <c r="Y38" i="44"/>
  <c r="Y48" i="44" s="1"/>
  <c r="Y59" i="44" s="1"/>
  <c r="Y82" i="44" s="1"/>
  <c r="Y40" i="44"/>
  <c r="Y50" i="44" s="1"/>
  <c r="Y61" i="44" s="1"/>
  <c r="Y86" i="44" s="1"/>
  <c r="Y39" i="44"/>
  <c r="Y49" i="44" s="1"/>
  <c r="Y60" i="44" s="1"/>
  <c r="Y83" i="44" s="1"/>
  <c r="Y36" i="44"/>
  <c r="Y46" i="44" s="1"/>
  <c r="Y57" i="44" s="1"/>
  <c r="Y79" i="44" s="1"/>
  <c r="Y37" i="44"/>
  <c r="Y47" i="44" s="1"/>
  <c r="Y58" i="44" s="1"/>
  <c r="Y81" i="44" s="1"/>
  <c r="K45" i="44"/>
  <c r="K56" i="44" s="1"/>
  <c r="K77" i="44" s="1"/>
  <c r="BW16" i="70"/>
  <c r="K38" i="82"/>
  <c r="Z84" i="44"/>
  <c r="Z6" i="44"/>
  <c r="W84" i="44"/>
  <c r="K38" i="77"/>
  <c r="BT16" i="70"/>
  <c r="W6" i="44"/>
  <c r="P38" i="83"/>
  <c r="K38" i="69"/>
  <c r="BQ16" i="70"/>
  <c r="T84" i="44"/>
  <c r="T6" i="44"/>
  <c r="AF38" i="100"/>
  <c r="AB38" i="100"/>
  <c r="BY6" i="70"/>
  <c r="AB28" i="44"/>
  <c r="H111" i="44"/>
  <c r="I917" i="97"/>
  <c r="I640" i="97"/>
  <c r="AA111" i="44"/>
  <c r="AB917" i="97"/>
  <c r="AB38" i="55"/>
  <c r="AF38" i="55"/>
  <c r="Y28" i="44"/>
  <c r="BV6" i="70"/>
  <c r="Z917" i="97"/>
  <c r="Y111" i="44"/>
  <c r="AB111" i="44"/>
  <c r="AC917" i="97"/>
  <c r="CC16" i="70"/>
  <c r="K38" i="90"/>
  <c r="AF84" i="44"/>
  <c r="AF6" i="44"/>
  <c r="BU16" i="70"/>
  <c r="X84" i="44"/>
  <c r="K38" i="79"/>
  <c r="X6" i="44"/>
  <c r="K38" i="58"/>
  <c r="R84" i="44"/>
  <c r="BO16" i="70"/>
  <c r="X38" i="95"/>
  <c r="T38" i="95"/>
  <c r="P38" i="53"/>
  <c r="K18" i="53"/>
  <c r="K43" i="53" s="1"/>
  <c r="X38" i="41"/>
  <c r="T38" i="41"/>
  <c r="AF38" i="50"/>
  <c r="AB38" i="50"/>
  <c r="AF38" i="52"/>
  <c r="AB38" i="52"/>
  <c r="P38" i="81"/>
  <c r="AB38" i="73"/>
  <c r="AF38" i="73"/>
  <c r="P38" i="84"/>
  <c r="K18" i="84"/>
  <c r="K43" i="84" s="1"/>
  <c r="K38" i="96"/>
  <c r="AH84" i="44"/>
  <c r="CE16" i="70"/>
  <c r="AH6" i="44"/>
  <c r="BI16" i="70"/>
  <c r="K38" i="49"/>
  <c r="L84" i="44"/>
  <c r="L6" i="44"/>
  <c r="K38" i="72"/>
  <c r="U84" i="44"/>
  <c r="BR16" i="70"/>
  <c r="U6" i="44"/>
  <c r="T38" i="47"/>
  <c r="X38" i="47"/>
  <c r="K38" i="46"/>
  <c r="BL16" i="70"/>
  <c r="O84" i="44"/>
  <c r="O6" i="44"/>
  <c r="CB16" i="70"/>
  <c r="AE84" i="44"/>
  <c r="K38" i="88"/>
  <c r="AE6" i="44"/>
  <c r="AB38" i="64"/>
  <c r="AF38" i="64"/>
  <c r="AF38" i="85"/>
  <c r="AB38" i="85"/>
  <c r="T38" i="51"/>
  <c r="X38" i="51"/>
  <c r="BE6" i="70"/>
  <c r="H28" i="44"/>
  <c r="AF38" i="48"/>
  <c r="AB38" i="48"/>
  <c r="AA28" i="44"/>
  <c r="BX6" i="70"/>
  <c r="T38" i="54"/>
  <c r="X38" i="54"/>
  <c r="AI84" i="44"/>
  <c r="K38" i="99"/>
  <c r="CF16" i="70"/>
  <c r="AI6" i="44"/>
  <c r="AA109" i="44" l="1"/>
  <c r="N892" i="97"/>
  <c r="K18" i="83"/>
  <c r="K43" i="83" s="1"/>
  <c r="AB814" i="97"/>
  <c r="M110" i="44"/>
  <c r="N640" i="97"/>
  <c r="AD802" i="97"/>
  <c r="N880" i="97"/>
  <c r="K18" i="48"/>
  <c r="K43" i="48" s="1"/>
  <c r="M108" i="44"/>
  <c r="H74" i="44"/>
  <c r="M109" i="44"/>
  <c r="AD640" i="97"/>
  <c r="L640" i="97"/>
  <c r="AC110" i="44"/>
  <c r="AB640" i="97"/>
  <c r="M113" i="44"/>
  <c r="AD880" i="97"/>
  <c r="AC28" i="44"/>
  <c r="AA74" i="44"/>
  <c r="AH640" i="97"/>
  <c r="K18" i="81"/>
  <c r="K43" i="81" s="1"/>
  <c r="AF38" i="101"/>
  <c r="AM38" i="101" s="1"/>
  <c r="AQ38" i="101" s="1"/>
  <c r="K18" i="85"/>
  <c r="K43" i="85" s="1"/>
  <c r="BJ6" i="70"/>
  <c r="AH880" i="97"/>
  <c r="AC41" i="44"/>
  <c r="K18" i="50"/>
  <c r="K43" i="50" s="1"/>
  <c r="AD6" i="44"/>
  <c r="CA6" i="70" s="1"/>
  <c r="AA41" i="44"/>
  <c r="H96" i="44"/>
  <c r="Q111" i="44"/>
  <c r="R917" i="97"/>
  <c r="T38" i="56"/>
  <c r="X38" i="56"/>
  <c r="AE892" i="97"/>
  <c r="AD108" i="44"/>
  <c r="Q640" i="97"/>
  <c r="Q802" i="97"/>
  <c r="P106" i="44"/>
  <c r="U45" i="44"/>
  <c r="U56" i="44" s="1"/>
  <c r="U77" i="44" s="1"/>
  <c r="U41" i="44"/>
  <c r="Q898" i="97"/>
  <c r="P113" i="44"/>
  <c r="AB36" i="81"/>
  <c r="AF36" i="81"/>
  <c r="X36" i="87"/>
  <c r="T36" i="87"/>
  <c r="AC802" i="97"/>
  <c r="AB106" i="44"/>
  <c r="AC640" i="97"/>
  <c r="L898" i="97"/>
  <c r="AC898" i="97"/>
  <c r="AB113" i="44"/>
  <c r="U113" i="44"/>
  <c r="V898" i="97"/>
  <c r="P45" i="44"/>
  <c r="P56" i="44" s="1"/>
  <c r="P77" i="44" s="1"/>
  <c r="P41" i="44"/>
  <c r="AB36" i="72"/>
  <c r="AF36" i="72"/>
  <c r="AB892" i="97"/>
  <c r="AA108" i="44"/>
  <c r="AC892" i="97"/>
  <c r="AB108" i="44"/>
  <c r="CD6" i="70"/>
  <c r="AG28" i="44"/>
  <c r="V892" i="97"/>
  <c r="U108" i="44"/>
  <c r="K113" i="44"/>
  <c r="AD38" i="44"/>
  <c r="AD48" i="44" s="1"/>
  <c r="AD59" i="44" s="1"/>
  <c r="AD82" i="44" s="1"/>
  <c r="AD40" i="44"/>
  <c r="AD50" i="44" s="1"/>
  <c r="AD61" i="44" s="1"/>
  <c r="AD86" i="44" s="1"/>
  <c r="AD39" i="44"/>
  <c r="AD49" i="44" s="1"/>
  <c r="AD60" i="44" s="1"/>
  <c r="AD83" i="44" s="1"/>
  <c r="K25" i="87"/>
  <c r="P25" i="87" s="1"/>
  <c r="CA11" i="70"/>
  <c r="AD36" i="44"/>
  <c r="AD46" i="44" s="1"/>
  <c r="AD57" i="44" s="1"/>
  <c r="AD79" i="44" s="1"/>
  <c r="AD35" i="44"/>
  <c r="AC880" i="97"/>
  <c r="AB110" i="44"/>
  <c r="U106" i="44"/>
  <c r="V802" i="97"/>
  <c r="Q880" i="97"/>
  <c r="P110" i="44"/>
  <c r="T36" i="50"/>
  <c r="X36" i="50"/>
  <c r="T36" i="83"/>
  <c r="X36" i="83"/>
  <c r="T36" i="84"/>
  <c r="X36" i="84"/>
  <c r="X36" i="48"/>
  <c r="T36" i="48"/>
  <c r="P36" i="95"/>
  <c r="K18" i="95"/>
  <c r="K43" i="95" s="1"/>
  <c r="AB109" i="44"/>
  <c r="AC814" i="97"/>
  <c r="P109" i="44"/>
  <c r="Q814" i="97"/>
  <c r="AB45" i="44"/>
  <c r="AB56" i="44" s="1"/>
  <c r="AB77" i="44" s="1"/>
  <c r="AB41" i="44"/>
  <c r="X25" i="72"/>
  <c r="T25" i="72"/>
  <c r="P108" i="44"/>
  <c r="Q892" i="97"/>
  <c r="AB652" i="97"/>
  <c r="AA104" i="44"/>
  <c r="AB911" i="97"/>
  <c r="G38" i="44"/>
  <c r="G48" i="44" s="1"/>
  <c r="G59" i="44" s="1"/>
  <c r="G82" i="44" s="1"/>
  <c r="BD11" i="70"/>
  <c r="G6" i="44"/>
  <c r="K25" i="54"/>
  <c r="G40" i="44"/>
  <c r="G50" i="44" s="1"/>
  <c r="G61" i="44" s="1"/>
  <c r="G86" i="44" s="1"/>
  <c r="G36" i="44"/>
  <c r="G46" i="44" s="1"/>
  <c r="G57" i="44" s="1"/>
  <c r="G79" i="44" s="1"/>
  <c r="G39" i="44"/>
  <c r="G49" i="44" s="1"/>
  <c r="G60" i="44" s="1"/>
  <c r="G83" i="44" s="1"/>
  <c r="G37" i="44"/>
  <c r="G47" i="44" s="1"/>
  <c r="G58" i="44" s="1"/>
  <c r="G81" i="44" s="1"/>
  <c r="G35" i="44"/>
  <c r="AB36" i="99"/>
  <c r="AF36" i="99"/>
  <c r="T36" i="90"/>
  <c r="X36" i="90"/>
  <c r="P28" i="44"/>
  <c r="BM6" i="70"/>
  <c r="K41" i="44"/>
  <c r="Z640" i="97"/>
  <c r="U109" i="44"/>
  <c r="V814" i="97"/>
  <c r="T36" i="45"/>
  <c r="X36" i="45"/>
  <c r="X36" i="100"/>
  <c r="T36" i="100"/>
  <c r="AB25" i="83"/>
  <c r="AF25" i="83"/>
  <c r="AF36" i="47"/>
  <c r="AB36" i="47"/>
  <c r="AB25" i="53"/>
  <c r="AF25" i="53"/>
  <c r="T25" i="84"/>
  <c r="X25" i="84"/>
  <c r="V880" i="97"/>
  <c r="U110" i="44"/>
  <c r="P36" i="55"/>
  <c r="K18" i="55"/>
  <c r="K43" i="55" s="1"/>
  <c r="X25" i="41"/>
  <c r="T25" i="41"/>
  <c r="K104" i="44"/>
  <c r="L652" i="97"/>
  <c r="L911" i="97"/>
  <c r="K74" i="44"/>
  <c r="Y110" i="44"/>
  <c r="Z880" i="97"/>
  <c r="T45" i="44"/>
  <c r="T56" i="44" s="1"/>
  <c r="T77" i="44" s="1"/>
  <c r="T41" i="44"/>
  <c r="CG6" i="70"/>
  <c r="AJ28" i="44"/>
  <c r="P25" i="47"/>
  <c r="K18" i="47"/>
  <c r="K43" i="47" s="1"/>
  <c r="E109" i="44"/>
  <c r="F814" i="97"/>
  <c r="K25" i="58"/>
  <c r="P25" i="58" s="1"/>
  <c r="BO11" i="70"/>
  <c r="R36" i="44"/>
  <c r="R46" i="44" s="1"/>
  <c r="R57" i="44" s="1"/>
  <c r="R79" i="44" s="1"/>
  <c r="R38" i="44"/>
  <c r="R48" i="44" s="1"/>
  <c r="R59" i="44" s="1"/>
  <c r="R82" i="44" s="1"/>
  <c r="R39" i="44"/>
  <c r="R49" i="44" s="1"/>
  <c r="R60" i="44" s="1"/>
  <c r="R83" i="44" s="1"/>
  <c r="R40" i="44"/>
  <c r="R50" i="44" s="1"/>
  <c r="R61" i="44" s="1"/>
  <c r="R86" i="44" s="1"/>
  <c r="R35" i="44"/>
  <c r="R37" i="44"/>
  <c r="R47" i="44" s="1"/>
  <c r="R58" i="44" s="1"/>
  <c r="R81" i="44" s="1"/>
  <c r="AJ36" i="69"/>
  <c r="AM36" i="69"/>
  <c r="AQ36" i="69" s="1"/>
  <c r="AF106" i="44"/>
  <c r="AG802" i="97"/>
  <c r="I106" i="44"/>
  <c r="J802" i="97"/>
  <c r="J640" i="97"/>
  <c r="T25" i="85"/>
  <c r="X25" i="85"/>
  <c r="AF898" i="97"/>
  <c r="AE113" i="44"/>
  <c r="AF36" i="49"/>
  <c r="AB36" i="49"/>
  <c r="X106" i="44"/>
  <c r="Y802" i="97"/>
  <c r="P25" i="51"/>
  <c r="K18" i="51"/>
  <c r="K43" i="51" s="1"/>
  <c r="O113" i="44"/>
  <c r="P898" i="97"/>
  <c r="AF36" i="58"/>
  <c r="AB36" i="58"/>
  <c r="AB36" i="53"/>
  <c r="AF36" i="53"/>
  <c r="K25" i="82"/>
  <c r="P25" i="82" s="1"/>
  <c r="BW11" i="70"/>
  <c r="Z36" i="44"/>
  <c r="Z46" i="44" s="1"/>
  <c r="Z57" i="44" s="1"/>
  <c r="Z79" i="44" s="1"/>
  <c r="Z35" i="44"/>
  <c r="Z40" i="44"/>
  <c r="Z50" i="44" s="1"/>
  <c r="Z61" i="44" s="1"/>
  <c r="Z86" i="44" s="1"/>
  <c r="Z39" i="44"/>
  <c r="Z49" i="44" s="1"/>
  <c r="Z60" i="44" s="1"/>
  <c r="Z83" i="44" s="1"/>
  <c r="Z38" i="44"/>
  <c r="Z48" i="44" s="1"/>
  <c r="Z59" i="44" s="1"/>
  <c r="Z82" i="44" s="1"/>
  <c r="Z37" i="44"/>
  <c r="Z47" i="44" s="1"/>
  <c r="Z58" i="44" s="1"/>
  <c r="Z81" i="44" s="1"/>
  <c r="Z898" i="97"/>
  <c r="Y113" i="44"/>
  <c r="T110" i="44"/>
  <c r="U880" i="97"/>
  <c r="AJ106" i="44"/>
  <c r="AK802" i="97"/>
  <c r="AK640" i="97"/>
  <c r="X911" i="97"/>
  <c r="W104" i="44"/>
  <c r="X652" i="97"/>
  <c r="N28" i="44"/>
  <c r="BK6" i="70"/>
  <c r="O898" i="97"/>
  <c r="N113" i="44"/>
  <c r="AG880" i="97"/>
  <c r="AF110" i="44"/>
  <c r="T25" i="49"/>
  <c r="X25" i="49"/>
  <c r="I113" i="44"/>
  <c r="J898" i="97"/>
  <c r="AH113" i="44"/>
  <c r="AI898" i="97"/>
  <c r="AB25" i="95"/>
  <c r="AF25" i="95"/>
  <c r="AD111" i="44"/>
  <c r="AE917" i="97"/>
  <c r="AB36" i="52"/>
  <c r="AF36" i="52"/>
  <c r="X110" i="44"/>
  <c r="Y880" i="97"/>
  <c r="J110" i="44"/>
  <c r="K880" i="97"/>
  <c r="O41" i="44"/>
  <c r="O45" i="44"/>
  <c r="O56" i="44" s="1"/>
  <c r="O77" i="44" s="1"/>
  <c r="AG104" i="44"/>
  <c r="AH652" i="97"/>
  <c r="AH911" i="97"/>
  <c r="AG74" i="44"/>
  <c r="K25" i="45"/>
  <c r="BC11" i="70"/>
  <c r="F40" i="44"/>
  <c r="F50" i="44" s="1"/>
  <c r="F61" i="44" s="1"/>
  <c r="F86" i="44" s="1"/>
  <c r="F38" i="44"/>
  <c r="F48" i="44" s="1"/>
  <c r="F59" i="44" s="1"/>
  <c r="F82" i="44" s="1"/>
  <c r="F36" i="44"/>
  <c r="F46" i="44" s="1"/>
  <c r="F57" i="44" s="1"/>
  <c r="F79" i="44" s="1"/>
  <c r="F39" i="44"/>
  <c r="F49" i="44" s="1"/>
  <c r="F60" i="44" s="1"/>
  <c r="F83" i="44" s="1"/>
  <c r="F35" i="44"/>
  <c r="F6" i="44"/>
  <c r="F37" i="44"/>
  <c r="F47" i="44" s="1"/>
  <c r="F58" i="44" s="1"/>
  <c r="F81" i="44" s="1"/>
  <c r="AF36" i="96"/>
  <c r="AB36" i="96"/>
  <c r="Y109" i="44"/>
  <c r="Z814" i="97"/>
  <c r="T106" i="44"/>
  <c r="U802" i="97"/>
  <c r="AJ41" i="44"/>
  <c r="AJ45" i="44"/>
  <c r="AJ56" i="44" s="1"/>
  <c r="AJ77" i="44" s="1"/>
  <c r="O892" i="97"/>
  <c r="N108" i="44"/>
  <c r="F802" i="97"/>
  <c r="E106" i="44"/>
  <c r="F640" i="97"/>
  <c r="E16" i="33"/>
  <c r="I110" i="44"/>
  <c r="J880" i="97"/>
  <c r="AI880" i="97"/>
  <c r="AH110" i="44"/>
  <c r="T25" i="48"/>
  <c r="X25" i="48"/>
  <c r="AE108" i="44"/>
  <c r="AF892" i="97"/>
  <c r="G917" i="97"/>
  <c r="F111" i="44"/>
  <c r="Y898" i="97"/>
  <c r="X113" i="44"/>
  <c r="P880" i="97"/>
  <c r="O110" i="44"/>
  <c r="W652" i="97"/>
  <c r="W911" i="97"/>
  <c r="V104" i="44"/>
  <c r="V74" i="44"/>
  <c r="AJ911" i="97"/>
  <c r="AI104" i="44"/>
  <c r="AJ652" i="97"/>
  <c r="Y45" i="44"/>
  <c r="Y56" i="44" s="1"/>
  <c r="Y77" i="44" s="1"/>
  <c r="Y41" i="44"/>
  <c r="U898" i="97"/>
  <c r="T113" i="44"/>
  <c r="AK814" i="97"/>
  <c r="AJ109" i="44"/>
  <c r="O814" i="97"/>
  <c r="N109" i="44"/>
  <c r="P36" i="41"/>
  <c r="K18" i="41"/>
  <c r="K43" i="41" s="1"/>
  <c r="AD652" i="97"/>
  <c r="AC104" i="44"/>
  <c r="AD911" i="97"/>
  <c r="AC74" i="44"/>
  <c r="T25" i="90"/>
  <c r="X25" i="90"/>
  <c r="M802" i="97"/>
  <c r="L106" i="44"/>
  <c r="AI814" i="97"/>
  <c r="AH109" i="44"/>
  <c r="H104" i="44"/>
  <c r="I911" i="97"/>
  <c r="I652" i="97"/>
  <c r="T36" i="88"/>
  <c r="X36" i="88"/>
  <c r="J28" i="44"/>
  <c r="BG6" i="70"/>
  <c r="K898" i="97"/>
  <c r="J113" i="44"/>
  <c r="P802" i="97"/>
  <c r="O106" i="44"/>
  <c r="N911" i="97"/>
  <c r="M104" i="44"/>
  <c r="N652" i="97"/>
  <c r="M74" i="44"/>
  <c r="T36" i="85"/>
  <c r="X36" i="85"/>
  <c r="T25" i="69"/>
  <c r="X25" i="69"/>
  <c r="AK880" i="97"/>
  <c r="AJ110" i="44"/>
  <c r="N110" i="44"/>
  <c r="O880" i="97"/>
  <c r="E41" i="44"/>
  <c r="E45" i="44"/>
  <c r="E56" i="44" s="1"/>
  <c r="E77" i="44" s="1"/>
  <c r="E108" i="44"/>
  <c r="F892" i="97"/>
  <c r="AG892" i="97"/>
  <c r="AF108" i="44"/>
  <c r="M898" i="97"/>
  <c r="L113" i="44"/>
  <c r="I45" i="44"/>
  <c r="I56" i="44" s="1"/>
  <c r="I77" i="44" s="1"/>
  <c r="I41" i="44"/>
  <c r="AH106" i="44"/>
  <c r="AI802" i="97"/>
  <c r="AF802" i="97"/>
  <c r="AE106" i="44"/>
  <c r="K25" i="56"/>
  <c r="BN11" i="70"/>
  <c r="Q40" i="44"/>
  <c r="Q50" i="44" s="1"/>
  <c r="Q61" i="44" s="1"/>
  <c r="Q86" i="44" s="1"/>
  <c r="Q36" i="44"/>
  <c r="Q46" i="44" s="1"/>
  <c r="Q57" i="44" s="1"/>
  <c r="Q79" i="44" s="1"/>
  <c r="Q38" i="44"/>
  <c r="Q48" i="44" s="1"/>
  <c r="Q59" i="44" s="1"/>
  <c r="Q82" i="44" s="1"/>
  <c r="Q39" i="44"/>
  <c r="Q49" i="44" s="1"/>
  <c r="Q60" i="44" s="1"/>
  <c r="Q83" i="44" s="1"/>
  <c r="Q35" i="44"/>
  <c r="Q6" i="44"/>
  <c r="Q37" i="44"/>
  <c r="Q47" i="44" s="1"/>
  <c r="Q58" i="44" s="1"/>
  <c r="Q81" i="44" s="1"/>
  <c r="AJ25" i="88"/>
  <c r="AM25" i="88"/>
  <c r="AQ25" i="88" s="1"/>
  <c r="T38" i="45"/>
  <c r="X38" i="45"/>
  <c r="T25" i="79"/>
  <c r="X25" i="79"/>
  <c r="O109" i="44"/>
  <c r="P814" i="97"/>
  <c r="AD892" i="97"/>
  <c r="AC108" i="44"/>
  <c r="X25" i="81"/>
  <c r="T25" i="81"/>
  <c r="AJ113" i="44"/>
  <c r="AK898" i="97"/>
  <c r="N41" i="44"/>
  <c r="N45" i="44"/>
  <c r="N56" i="44" s="1"/>
  <c r="N77" i="44" s="1"/>
  <c r="E110" i="44"/>
  <c r="F880" i="97"/>
  <c r="AK11" i="44"/>
  <c r="AG898" i="97"/>
  <c r="AF113" i="44"/>
  <c r="T25" i="50"/>
  <c r="X25" i="50"/>
  <c r="L45" i="44"/>
  <c r="L56" i="44" s="1"/>
  <c r="L77" i="44" s="1"/>
  <c r="L41" i="44"/>
  <c r="P25" i="52"/>
  <c r="K18" i="52"/>
  <c r="K43" i="52" s="1"/>
  <c r="AH45" i="44"/>
  <c r="AH56" i="44" s="1"/>
  <c r="AH77" i="44" s="1"/>
  <c r="AH41" i="44"/>
  <c r="AB25" i="99"/>
  <c r="AF25" i="99"/>
  <c r="AE109" i="44"/>
  <c r="AF814" i="97"/>
  <c r="X108" i="44"/>
  <c r="Y892" i="97"/>
  <c r="J106" i="44"/>
  <c r="K802" i="97"/>
  <c r="K640" i="97"/>
  <c r="T25" i="46"/>
  <c r="X25" i="46"/>
  <c r="BP11" i="70"/>
  <c r="K25" i="64"/>
  <c r="S38" i="44"/>
  <c r="S48" i="44" s="1"/>
  <c r="S59" i="44" s="1"/>
  <c r="S82" i="44" s="1"/>
  <c r="S35" i="44"/>
  <c r="S36" i="44"/>
  <c r="S46" i="44" s="1"/>
  <c r="S57" i="44" s="1"/>
  <c r="S79" i="44" s="1"/>
  <c r="S39" i="44"/>
  <c r="S49" i="44" s="1"/>
  <c r="S60" i="44" s="1"/>
  <c r="S83" i="44" s="1"/>
  <c r="S40" i="44"/>
  <c r="S50" i="44" s="1"/>
  <c r="S61" i="44" s="1"/>
  <c r="S86" i="44" s="1"/>
  <c r="S37" i="44"/>
  <c r="S47" i="44" s="1"/>
  <c r="S58" i="44" s="1"/>
  <c r="S81" i="44" s="1"/>
  <c r="S6" i="44"/>
  <c r="AJ25" i="55"/>
  <c r="AM25" i="55"/>
  <c r="AQ25" i="55" s="1"/>
  <c r="Y108" i="44"/>
  <c r="Z892" i="97"/>
  <c r="U892" i="97"/>
  <c r="T108" i="44"/>
  <c r="AH108" i="44"/>
  <c r="AI892" i="97"/>
  <c r="AJ108" i="44"/>
  <c r="AK892" i="97"/>
  <c r="P25" i="100"/>
  <c r="K18" i="100"/>
  <c r="K43" i="100" s="1"/>
  <c r="O802" i="97"/>
  <c r="N106" i="44"/>
  <c r="O640" i="97"/>
  <c r="F898" i="97"/>
  <c r="E113" i="44"/>
  <c r="AF45" i="44"/>
  <c r="AF56" i="44" s="1"/>
  <c r="AF77" i="44" s="1"/>
  <c r="AF41" i="44"/>
  <c r="L110" i="44"/>
  <c r="M880" i="97"/>
  <c r="I28" i="44"/>
  <c r="BF6" i="70"/>
  <c r="X25" i="96"/>
  <c r="T25" i="96"/>
  <c r="AF36" i="51"/>
  <c r="AB36" i="51"/>
  <c r="AF25" i="77"/>
  <c r="AB25" i="77"/>
  <c r="P38" i="87"/>
  <c r="AF880" i="97"/>
  <c r="AE110" i="44"/>
  <c r="X41" i="44"/>
  <c r="X45" i="44"/>
  <c r="X56" i="44" s="1"/>
  <c r="X77" i="44" s="1"/>
  <c r="K814" i="97"/>
  <c r="J109" i="44"/>
  <c r="AJ36" i="54"/>
  <c r="AM36" i="54"/>
  <c r="AQ36" i="54" s="1"/>
  <c r="Y106" i="44"/>
  <c r="Z802" i="97"/>
  <c r="T109" i="44"/>
  <c r="U814" i="97"/>
  <c r="E28" i="44"/>
  <c r="BB6" i="70"/>
  <c r="AG814" i="97"/>
  <c r="AF109" i="44"/>
  <c r="M814" i="97"/>
  <c r="L109" i="44"/>
  <c r="J814" i="97"/>
  <c r="I109" i="44"/>
  <c r="AE41" i="44"/>
  <c r="AE45" i="44"/>
  <c r="AE56" i="44" s="1"/>
  <c r="AE77" i="44" s="1"/>
  <c r="X109" i="44"/>
  <c r="Y814" i="97"/>
  <c r="X25" i="73"/>
  <c r="T25" i="73"/>
  <c r="J45" i="44"/>
  <c r="J56" i="44" s="1"/>
  <c r="J77" i="44" s="1"/>
  <c r="J41" i="44"/>
  <c r="O108" i="44"/>
  <c r="P892" i="97"/>
  <c r="AJ38" i="50"/>
  <c r="AM38" i="50"/>
  <c r="AQ38" i="50" s="1"/>
  <c r="P38" i="99"/>
  <c r="K18" i="99"/>
  <c r="K43" i="99" s="1"/>
  <c r="P38" i="88"/>
  <c r="K18" i="88"/>
  <c r="K43" i="88" s="1"/>
  <c r="O111" i="44"/>
  <c r="P917" i="97"/>
  <c r="P640" i="97"/>
  <c r="U111" i="44"/>
  <c r="V917" i="97"/>
  <c r="V640" i="97"/>
  <c r="U74" i="44"/>
  <c r="P38" i="49"/>
  <c r="K18" i="49"/>
  <c r="K43" i="49" s="1"/>
  <c r="P38" i="96"/>
  <c r="K18" i="96"/>
  <c r="K43" i="96" s="1"/>
  <c r="X38" i="84"/>
  <c r="T38" i="84"/>
  <c r="X111" i="44"/>
  <c r="Y917" i="97"/>
  <c r="Y640" i="97"/>
  <c r="H97" i="44"/>
  <c r="P38" i="69"/>
  <c r="K18" i="69"/>
  <c r="K43" i="69" s="1"/>
  <c r="P38" i="58"/>
  <c r="AM38" i="100"/>
  <c r="AQ38" i="100" s="1"/>
  <c r="AJ38" i="100"/>
  <c r="AJ917" i="97"/>
  <c r="AI111" i="44"/>
  <c r="AJ640" i="97"/>
  <c r="AI74" i="44"/>
  <c r="AF38" i="51"/>
  <c r="AB38" i="51"/>
  <c r="AE111" i="44"/>
  <c r="AF917" i="97"/>
  <c r="AF640" i="97"/>
  <c r="P38" i="72"/>
  <c r="K18" i="72"/>
  <c r="K43" i="72" s="1"/>
  <c r="AF38" i="95"/>
  <c r="AB38" i="95"/>
  <c r="R111" i="44"/>
  <c r="S917" i="97"/>
  <c r="P38" i="77"/>
  <c r="K18" i="77"/>
  <c r="K43" i="77" s="1"/>
  <c r="AM38" i="55"/>
  <c r="AQ38" i="55" s="1"/>
  <c r="AJ38" i="55"/>
  <c r="AM38" i="48"/>
  <c r="AQ38" i="48" s="1"/>
  <c r="AJ38" i="48"/>
  <c r="AF28" i="44"/>
  <c r="CC6" i="70"/>
  <c r="H101" i="44"/>
  <c r="H123" i="44" s="1"/>
  <c r="O102" i="33" s="1"/>
  <c r="X38" i="83"/>
  <c r="T38" i="83"/>
  <c r="BW6" i="70"/>
  <c r="Z28" i="44"/>
  <c r="AJ38" i="73"/>
  <c r="AM38" i="73"/>
  <c r="AQ38" i="73" s="1"/>
  <c r="AF38" i="41"/>
  <c r="AB38" i="41"/>
  <c r="T28" i="44"/>
  <c r="BQ6" i="70"/>
  <c r="P38" i="46"/>
  <c r="K18" i="46"/>
  <c r="K43" i="46" s="1"/>
  <c r="AM38" i="85"/>
  <c r="AQ38" i="85" s="1"/>
  <c r="AJ38" i="85"/>
  <c r="L28" i="44"/>
  <c r="BI6" i="70"/>
  <c r="AH28" i="44"/>
  <c r="CE6" i="70"/>
  <c r="BU6" i="70"/>
  <c r="X28" i="44"/>
  <c r="AG917" i="97"/>
  <c r="AF111" i="44"/>
  <c r="AG640" i="97"/>
  <c r="Z111" i="44"/>
  <c r="AA917" i="97"/>
  <c r="CF6" i="70"/>
  <c r="AI28" i="44"/>
  <c r="AM38" i="64"/>
  <c r="AQ38" i="64" s="1"/>
  <c r="AJ38" i="64"/>
  <c r="AF38" i="47"/>
  <c r="AB38" i="47"/>
  <c r="BR6" i="70"/>
  <c r="U28" i="44"/>
  <c r="T38" i="81"/>
  <c r="X38" i="81"/>
  <c r="AJ38" i="52"/>
  <c r="AM38" i="52"/>
  <c r="AQ38" i="52" s="1"/>
  <c r="T38" i="53"/>
  <c r="X38" i="53"/>
  <c r="P38" i="90"/>
  <c r="K18" i="90"/>
  <c r="K43" i="90" s="1"/>
  <c r="U917" i="97"/>
  <c r="T111" i="44"/>
  <c r="U640" i="97"/>
  <c r="P38" i="82"/>
  <c r="W111" i="44"/>
  <c r="X917" i="97"/>
  <c r="X640" i="97"/>
  <c r="W74" i="44"/>
  <c r="AB38" i="54"/>
  <c r="AF38" i="54"/>
  <c r="AE28" i="44"/>
  <c r="CB6" i="70"/>
  <c r="BL6" i="70"/>
  <c r="O28" i="44"/>
  <c r="M917" i="97"/>
  <c r="L111" i="44"/>
  <c r="M640" i="97"/>
  <c r="AH111" i="44"/>
  <c r="AI917" i="97"/>
  <c r="AI640" i="97"/>
  <c r="R28" i="44"/>
  <c r="BO6" i="70"/>
  <c r="P38" i="79"/>
  <c r="K18" i="79"/>
  <c r="K43" i="79" s="1"/>
  <c r="AA101" i="44"/>
  <c r="AA123" i="44" s="1"/>
  <c r="AH102" i="33" s="1"/>
  <c r="W28" i="44"/>
  <c r="BT6" i="70"/>
  <c r="AJ38" i="101" l="1"/>
  <c r="AA96" i="44"/>
  <c r="K18" i="58"/>
  <c r="K43" i="58" s="1"/>
  <c r="T74" i="44"/>
  <c r="AH74" i="44"/>
  <c r="O74" i="44"/>
  <c r="AE640" i="97"/>
  <c r="AA97" i="44"/>
  <c r="AE74" i="44"/>
  <c r="S640" i="97"/>
  <c r="AF74" i="44"/>
  <c r="X74" i="44"/>
  <c r="L74" i="44"/>
  <c r="K18" i="82"/>
  <c r="K43" i="82" s="1"/>
  <c r="AA640" i="97"/>
  <c r="AD28" i="44"/>
  <c r="K18" i="87"/>
  <c r="K43" i="87" s="1"/>
  <c r="U96" i="44"/>
  <c r="AF96" i="44"/>
  <c r="AG96" i="44"/>
  <c r="K96" i="44"/>
  <c r="AH96" i="44"/>
  <c r="M96" i="44"/>
  <c r="W96" i="44"/>
  <c r="W97" i="44" s="1"/>
  <c r="AI96" i="44"/>
  <c r="V96" i="44"/>
  <c r="AF38" i="56"/>
  <c r="AB38" i="56"/>
  <c r="AC96" i="44"/>
  <c r="H892" i="97"/>
  <c r="G108" i="44"/>
  <c r="H814" i="97"/>
  <c r="G109" i="44"/>
  <c r="T25" i="87"/>
  <c r="X25" i="87"/>
  <c r="AJ36" i="47"/>
  <c r="AM36" i="47"/>
  <c r="AQ36" i="47" s="1"/>
  <c r="G110" i="44"/>
  <c r="H880" i="97"/>
  <c r="AF36" i="50"/>
  <c r="AB36" i="50"/>
  <c r="AD110" i="44"/>
  <c r="AE880" i="97"/>
  <c r="AF36" i="87"/>
  <c r="AB36" i="87"/>
  <c r="U104" i="44"/>
  <c r="U101" i="44" s="1"/>
  <c r="U123" i="44" s="1"/>
  <c r="AB102" i="33" s="1"/>
  <c r="V911" i="97"/>
  <c r="V652" i="97"/>
  <c r="AJ25" i="83"/>
  <c r="AM25" i="83"/>
  <c r="AQ25" i="83" s="1"/>
  <c r="G106" i="44"/>
  <c r="H802" i="97"/>
  <c r="H640" i="97"/>
  <c r="AD113" i="44"/>
  <c r="AE898" i="97"/>
  <c r="AB25" i="41"/>
  <c r="AF25" i="41"/>
  <c r="T36" i="55"/>
  <c r="X36" i="55"/>
  <c r="G113" i="44"/>
  <c r="H898" i="97"/>
  <c r="AB104" i="44"/>
  <c r="AB74" i="44"/>
  <c r="AC652" i="97"/>
  <c r="AC911" i="97"/>
  <c r="AF36" i="48"/>
  <c r="AB36" i="48"/>
  <c r="AE814" i="97"/>
  <c r="AD109" i="44"/>
  <c r="Q911" i="97"/>
  <c r="P104" i="44"/>
  <c r="Q652" i="97"/>
  <c r="P74" i="44"/>
  <c r="AM36" i="99"/>
  <c r="AQ36" i="99" s="1"/>
  <c r="AJ36" i="99"/>
  <c r="P25" i="54"/>
  <c r="K18" i="54"/>
  <c r="K43" i="54" s="1"/>
  <c r="AB36" i="84"/>
  <c r="AF36" i="84"/>
  <c r="AJ36" i="81"/>
  <c r="AM36" i="81"/>
  <c r="AQ36" i="81" s="1"/>
  <c r="AB36" i="100"/>
  <c r="AF36" i="100"/>
  <c r="G28" i="44"/>
  <c r="BD6" i="70"/>
  <c r="AB36" i="83"/>
  <c r="AF36" i="83"/>
  <c r="AD41" i="44"/>
  <c r="AD45" i="44"/>
  <c r="AD56" i="44" s="1"/>
  <c r="AD77" i="44" s="1"/>
  <c r="AB25" i="84"/>
  <c r="AF25" i="84"/>
  <c r="AJ25" i="53"/>
  <c r="AM25" i="53"/>
  <c r="AQ25" i="53" s="1"/>
  <c r="AD106" i="44"/>
  <c r="AE802" i="97"/>
  <c r="AJ36" i="72"/>
  <c r="AM36" i="72"/>
  <c r="AQ36" i="72" s="1"/>
  <c r="AB36" i="45"/>
  <c r="AF36" i="45"/>
  <c r="AF36" i="90"/>
  <c r="AB36" i="90"/>
  <c r="G41" i="44"/>
  <c r="G45" i="44"/>
  <c r="G56" i="44" s="1"/>
  <c r="G77" i="44" s="1"/>
  <c r="AF25" i="72"/>
  <c r="AB25" i="72"/>
  <c r="X36" i="95"/>
  <c r="T36" i="95"/>
  <c r="AF25" i="96"/>
  <c r="AB25" i="96"/>
  <c r="S109" i="44"/>
  <c r="T814" i="97"/>
  <c r="K25" i="101"/>
  <c r="P25" i="101" s="1"/>
  <c r="AK35" i="44"/>
  <c r="AK40" i="44"/>
  <c r="AK50" i="44" s="1"/>
  <c r="AK61" i="44" s="1"/>
  <c r="AK86" i="44" s="1"/>
  <c r="AK39" i="44"/>
  <c r="AK49" i="44" s="1"/>
  <c r="AK60" i="44" s="1"/>
  <c r="AK83" i="44" s="1"/>
  <c r="AK36" i="44"/>
  <c r="AK46" i="44" s="1"/>
  <c r="AK57" i="44" s="1"/>
  <c r="AK79" i="44" s="1"/>
  <c r="AK38" i="44"/>
  <c r="AK48" i="44" s="1"/>
  <c r="AK59" i="44" s="1"/>
  <c r="AK82" i="44" s="1"/>
  <c r="AK37" i="44"/>
  <c r="AK47" i="44" s="1"/>
  <c r="AK58" i="44" s="1"/>
  <c r="AK81" i="44" s="1"/>
  <c r="AK6" i="44"/>
  <c r="AK28" i="44" s="1"/>
  <c r="Q109" i="44"/>
  <c r="R814" i="97"/>
  <c r="J652" i="97"/>
  <c r="J911" i="97"/>
  <c r="I104" i="44"/>
  <c r="I74" i="44"/>
  <c r="F911" i="97"/>
  <c r="E104" i="44"/>
  <c r="F652" i="97"/>
  <c r="E74" i="44"/>
  <c r="AB25" i="69"/>
  <c r="AF25" i="69"/>
  <c r="Z911" i="97"/>
  <c r="Y104" i="44"/>
  <c r="Z652" i="97"/>
  <c r="Y74" i="44"/>
  <c r="AJ104" i="44"/>
  <c r="AK652" i="97"/>
  <c r="AK911" i="97"/>
  <c r="AJ74" i="44"/>
  <c r="G898" i="97"/>
  <c r="F113" i="44"/>
  <c r="AG101" i="44"/>
  <c r="AG123" i="44" s="1"/>
  <c r="R109" i="44"/>
  <c r="S814" i="97"/>
  <c r="T38" i="87"/>
  <c r="X38" i="87"/>
  <c r="P25" i="64"/>
  <c r="K18" i="64"/>
  <c r="K43" i="64" s="1"/>
  <c r="AM25" i="99"/>
  <c r="AQ25" i="99" s="1"/>
  <c r="AJ25" i="99"/>
  <c r="AB25" i="50"/>
  <c r="AF25" i="50"/>
  <c r="O652" i="97"/>
  <c r="N104" i="44"/>
  <c r="O911" i="97"/>
  <c r="N74" i="44"/>
  <c r="AF25" i="79"/>
  <c r="AB25" i="79"/>
  <c r="Q106" i="44"/>
  <c r="R802" i="97"/>
  <c r="R640" i="97"/>
  <c r="M101" i="44"/>
  <c r="M123" i="44" s="1"/>
  <c r="V101" i="44"/>
  <c r="V123" i="44" s="1"/>
  <c r="AF25" i="48"/>
  <c r="AB25" i="48"/>
  <c r="G892" i="97"/>
  <c r="F108" i="44"/>
  <c r="T25" i="82"/>
  <c r="X25" i="82"/>
  <c r="AM36" i="58"/>
  <c r="AQ36" i="58" s="1"/>
  <c r="AJ36" i="58"/>
  <c r="AM36" i="49"/>
  <c r="AQ36" i="49" s="1"/>
  <c r="AJ36" i="49"/>
  <c r="AB25" i="85"/>
  <c r="AF25" i="85"/>
  <c r="S802" i="97"/>
  <c r="R106" i="44"/>
  <c r="K652" i="97"/>
  <c r="K911" i="97"/>
  <c r="J104" i="44"/>
  <c r="J74" i="44"/>
  <c r="AF911" i="97"/>
  <c r="AE104" i="44"/>
  <c r="AE101" i="44" s="1"/>
  <c r="AE123" i="44" s="1"/>
  <c r="AL102" i="33" s="1"/>
  <c r="AF652" i="97"/>
  <c r="BP6" i="70"/>
  <c r="S28" i="44"/>
  <c r="AF25" i="81"/>
  <c r="AB25" i="81"/>
  <c r="Q113" i="44"/>
  <c r="R898" i="97"/>
  <c r="X36" i="41"/>
  <c r="T36" i="41"/>
  <c r="P25" i="45"/>
  <c r="K18" i="45"/>
  <c r="K43" i="45" s="1"/>
  <c r="Z108" i="44"/>
  <c r="AA892" i="97"/>
  <c r="T25" i="100"/>
  <c r="X25" i="100"/>
  <c r="S108" i="44"/>
  <c r="T892" i="97"/>
  <c r="AF25" i="46"/>
  <c r="AB25" i="46"/>
  <c r="AI911" i="97"/>
  <c r="AI652" i="97"/>
  <c r="AH104" i="44"/>
  <c r="AH101" i="44" s="1"/>
  <c r="AH123" i="44" s="1"/>
  <c r="AO102" i="33" s="1"/>
  <c r="AF38" i="45"/>
  <c r="AB38" i="45"/>
  <c r="Q108" i="44"/>
  <c r="R892" i="97"/>
  <c r="F28" i="44"/>
  <c r="BC6" i="70"/>
  <c r="AM36" i="52"/>
  <c r="AQ36" i="52" s="1"/>
  <c r="AJ36" i="52"/>
  <c r="Z109" i="44"/>
  <c r="AA814" i="97"/>
  <c r="X25" i="58"/>
  <c r="T25" i="58"/>
  <c r="AJ25" i="77"/>
  <c r="AM25" i="77"/>
  <c r="AQ25" i="77" s="1"/>
  <c r="T898" i="97"/>
  <c r="S113" i="44"/>
  <c r="BN6" i="70"/>
  <c r="Q28" i="44"/>
  <c r="P25" i="56"/>
  <c r="K18" i="56"/>
  <c r="K43" i="56" s="1"/>
  <c r="AB36" i="85"/>
  <c r="AF36" i="85"/>
  <c r="AF36" i="88"/>
  <c r="AB36" i="88"/>
  <c r="F41" i="44"/>
  <c r="F45" i="44"/>
  <c r="F56" i="44" s="1"/>
  <c r="F77" i="44" s="1"/>
  <c r="AM25" i="95"/>
  <c r="AQ25" i="95" s="1"/>
  <c r="AJ25" i="95"/>
  <c r="AF25" i="49"/>
  <c r="AB25" i="49"/>
  <c r="AA880" i="97"/>
  <c r="Z110" i="44"/>
  <c r="S892" i="97"/>
  <c r="R108" i="44"/>
  <c r="AB25" i="73"/>
  <c r="AF25" i="73"/>
  <c r="T880" i="97"/>
  <c r="S110" i="44"/>
  <c r="M911" i="97"/>
  <c r="M652" i="97"/>
  <c r="L104" i="44"/>
  <c r="L101" i="44" s="1"/>
  <c r="L123" i="44" s="1"/>
  <c r="S102" i="33" s="1"/>
  <c r="G880" i="97"/>
  <c r="F110" i="44"/>
  <c r="Z113" i="44"/>
  <c r="AA898" i="97"/>
  <c r="R45" i="44"/>
  <c r="R56" i="44" s="1"/>
  <c r="R77" i="44" s="1"/>
  <c r="R41" i="44"/>
  <c r="K101" i="44"/>
  <c r="K123" i="44" s="1"/>
  <c r="AJ36" i="51"/>
  <c r="AM36" i="51"/>
  <c r="AQ36" i="51" s="1"/>
  <c r="AG911" i="97"/>
  <c r="AF104" i="44"/>
  <c r="AF101" i="44" s="1"/>
  <c r="AF123" i="44" s="1"/>
  <c r="AM102" i="33" s="1"/>
  <c r="AG652" i="97"/>
  <c r="S106" i="44"/>
  <c r="T802" i="97"/>
  <c r="T640" i="97"/>
  <c r="Q45" i="44"/>
  <c r="Q56" i="44" s="1"/>
  <c r="Q77" i="44" s="1"/>
  <c r="Q41" i="44"/>
  <c r="G802" i="97"/>
  <c r="F106" i="44"/>
  <c r="G640" i="97"/>
  <c r="Z41" i="44"/>
  <c r="Z45" i="44"/>
  <c r="Z56" i="44" s="1"/>
  <c r="Z77" i="44" s="1"/>
  <c r="AM36" i="53"/>
  <c r="AQ36" i="53" s="1"/>
  <c r="AJ36" i="53"/>
  <c r="R113" i="44"/>
  <c r="S898" i="97"/>
  <c r="Y652" i="97"/>
  <c r="Y911" i="97"/>
  <c r="X104" i="44"/>
  <c r="X101" i="44" s="1"/>
  <c r="X123" i="44" s="1"/>
  <c r="AE102" i="33" s="1"/>
  <c r="S45" i="44"/>
  <c r="S56" i="44" s="1"/>
  <c r="S77" i="44" s="1"/>
  <c r="S41" i="44"/>
  <c r="T25" i="52"/>
  <c r="X25" i="52"/>
  <c r="Q110" i="44"/>
  <c r="R880" i="97"/>
  <c r="AF25" i="90"/>
  <c r="AB25" i="90"/>
  <c r="AC101" i="44"/>
  <c r="AC123" i="44" s="1"/>
  <c r="AM36" i="96"/>
  <c r="AQ36" i="96" s="1"/>
  <c r="AJ36" i="96"/>
  <c r="G814" i="97"/>
  <c r="F109" i="44"/>
  <c r="P652" i="97"/>
  <c r="O104" i="44"/>
  <c r="O101" i="44" s="1"/>
  <c r="O123" i="44" s="1"/>
  <c r="V102" i="33" s="1"/>
  <c r="P911" i="97"/>
  <c r="Z106" i="44"/>
  <c r="AA802" i="97"/>
  <c r="X25" i="51"/>
  <c r="T25" i="51"/>
  <c r="S880" i="97"/>
  <c r="R110" i="44"/>
  <c r="T25" i="47"/>
  <c r="X25" i="47"/>
  <c r="U911" i="97"/>
  <c r="U652" i="97"/>
  <c r="T104" i="44"/>
  <c r="T101" i="44" s="1"/>
  <c r="T123" i="44" s="1"/>
  <c r="AA102" i="33" s="1"/>
  <c r="T38" i="82"/>
  <c r="X38" i="82"/>
  <c r="AM38" i="41"/>
  <c r="AQ38" i="41" s="1"/>
  <c r="AJ38" i="41"/>
  <c r="X38" i="69"/>
  <c r="T38" i="69"/>
  <c r="AM38" i="54"/>
  <c r="AQ38" i="54" s="1"/>
  <c r="AJ38" i="54"/>
  <c r="AI101" i="44"/>
  <c r="AI123" i="44" s="1"/>
  <c r="AP102" i="33" s="1"/>
  <c r="AF38" i="84"/>
  <c r="AB38" i="84"/>
  <c r="T38" i="88"/>
  <c r="X38" i="88"/>
  <c r="W101" i="44"/>
  <c r="W123" i="44" s="1"/>
  <c r="AD102" i="33" s="1"/>
  <c r="X38" i="90"/>
  <c r="T38" i="90"/>
  <c r="T38" i="79"/>
  <c r="X38" i="79"/>
  <c r="AB38" i="53"/>
  <c r="AF38" i="53"/>
  <c r="X38" i="72"/>
  <c r="T38" i="72"/>
  <c r="AM38" i="51"/>
  <c r="AQ38" i="51" s="1"/>
  <c r="AJ38" i="51"/>
  <c r="T38" i="96"/>
  <c r="X38" i="96"/>
  <c r="T38" i="46"/>
  <c r="X38" i="46"/>
  <c r="X38" i="77"/>
  <c r="T38" i="77"/>
  <c r="AF38" i="81"/>
  <c r="AB38" i="81"/>
  <c r="AF38" i="83"/>
  <c r="AB38" i="83"/>
  <c r="T38" i="49"/>
  <c r="X38" i="49"/>
  <c r="AJ38" i="95"/>
  <c r="AM38" i="95"/>
  <c r="AQ38" i="95" s="1"/>
  <c r="X38" i="58"/>
  <c r="T38" i="58"/>
  <c r="AM38" i="47"/>
  <c r="AQ38" i="47" s="1"/>
  <c r="AJ38" i="47"/>
  <c r="X38" i="99"/>
  <c r="T38" i="99"/>
  <c r="O96" i="44" l="1"/>
  <c r="X96" i="44"/>
  <c r="X97" i="44" s="1"/>
  <c r="T96" i="44"/>
  <c r="AE96" i="44"/>
  <c r="U97" i="44"/>
  <c r="O97" i="44"/>
  <c r="L96" i="44"/>
  <c r="N96" i="44"/>
  <c r="V97" i="44"/>
  <c r="AG97" i="44"/>
  <c r="I96" i="44"/>
  <c r="AC97" i="44"/>
  <c r="AJ102" i="33"/>
  <c r="AF97" i="44"/>
  <c r="T102" i="33"/>
  <c r="AJ96" i="44"/>
  <c r="M97" i="44"/>
  <c r="E96" i="44"/>
  <c r="P96" i="44"/>
  <c r="AB96" i="44"/>
  <c r="R102" i="33"/>
  <c r="AN102" i="33"/>
  <c r="Y96" i="44"/>
  <c r="J96" i="44"/>
  <c r="AC102" i="33"/>
  <c r="AM38" i="56"/>
  <c r="AQ38" i="56" s="1"/>
  <c r="AJ38" i="56"/>
  <c r="K97" i="44"/>
  <c r="X25" i="54"/>
  <c r="T25" i="54"/>
  <c r="P101" i="44"/>
  <c r="P123" i="44" s="1"/>
  <c r="AB101" i="44"/>
  <c r="AB123" i="44" s="1"/>
  <c r="AB25" i="87"/>
  <c r="AF25" i="87"/>
  <c r="AM25" i="41"/>
  <c r="AQ25" i="41" s="1"/>
  <c r="AJ25" i="41"/>
  <c r="AF36" i="95"/>
  <c r="AB36" i="95"/>
  <c r="AJ36" i="90"/>
  <c r="AM36" i="90"/>
  <c r="AQ36" i="90" s="1"/>
  <c r="AM36" i="45"/>
  <c r="AQ36" i="45" s="1"/>
  <c r="AJ36" i="45"/>
  <c r="AJ36" i="87"/>
  <c r="AM36" i="87"/>
  <c r="AQ36" i="87" s="1"/>
  <c r="AM36" i="83"/>
  <c r="AQ36" i="83" s="1"/>
  <c r="AJ36" i="83"/>
  <c r="AJ25" i="72"/>
  <c r="AM25" i="72"/>
  <c r="AQ25" i="72" s="1"/>
  <c r="AJ25" i="84"/>
  <c r="AM25" i="84"/>
  <c r="AQ25" i="84" s="1"/>
  <c r="AM36" i="48"/>
  <c r="AQ36" i="48" s="1"/>
  <c r="AJ36" i="48"/>
  <c r="AF36" i="55"/>
  <c r="AB36" i="55"/>
  <c r="AJ36" i="50"/>
  <c r="AM36" i="50"/>
  <c r="AQ36" i="50" s="1"/>
  <c r="G74" i="44"/>
  <c r="H911" i="97"/>
  <c r="G104" i="44"/>
  <c r="H652" i="97"/>
  <c r="AE652" i="97"/>
  <c r="AE911" i="97"/>
  <c r="AD104" i="44"/>
  <c r="AD74" i="44"/>
  <c r="AM36" i="100"/>
  <c r="AQ36" i="100" s="1"/>
  <c r="AJ36" i="100"/>
  <c r="AJ36" i="84"/>
  <c r="AM36" i="84"/>
  <c r="AQ36" i="84" s="1"/>
  <c r="AB25" i="51"/>
  <c r="AF25" i="51"/>
  <c r="T652" i="97"/>
  <c r="S104" i="44"/>
  <c r="T911" i="97"/>
  <c r="S74" i="44"/>
  <c r="AM25" i="49"/>
  <c r="AQ25" i="49" s="1"/>
  <c r="AJ25" i="49"/>
  <c r="AM36" i="88"/>
  <c r="AQ36" i="88" s="1"/>
  <c r="AJ36" i="88"/>
  <c r="Y101" i="44"/>
  <c r="Y123" i="44" s="1"/>
  <c r="C14" i="33"/>
  <c r="AK109" i="44"/>
  <c r="AL814" i="97"/>
  <c r="AM36" i="85"/>
  <c r="AQ36" i="85" s="1"/>
  <c r="AJ36" i="85"/>
  <c r="N101" i="44"/>
  <c r="N123" i="44" s="1"/>
  <c r="AB38" i="87"/>
  <c r="AF38" i="87"/>
  <c r="E101" i="44"/>
  <c r="E123" i="44" s="1"/>
  <c r="C11" i="33"/>
  <c r="AK106" i="44"/>
  <c r="AL802" i="97"/>
  <c r="AL640" i="97"/>
  <c r="AB25" i="52"/>
  <c r="AF25" i="52"/>
  <c r="Z104" i="44"/>
  <c r="AA652" i="97"/>
  <c r="AA911" i="97"/>
  <c r="Z74" i="44"/>
  <c r="T25" i="56"/>
  <c r="X25" i="56"/>
  <c r="AM38" i="45"/>
  <c r="AQ38" i="45" s="1"/>
  <c r="AJ38" i="45"/>
  <c r="C15" i="33"/>
  <c r="AL880" i="97"/>
  <c r="AK110" i="44"/>
  <c r="AJ25" i="73"/>
  <c r="AM25" i="73"/>
  <c r="AQ25" i="73" s="1"/>
  <c r="AJ25" i="85"/>
  <c r="AM25" i="85"/>
  <c r="AQ25" i="85" s="1"/>
  <c r="AL898" i="97"/>
  <c r="AK113" i="44"/>
  <c r="C18" i="33"/>
  <c r="AM25" i="90"/>
  <c r="AQ25" i="90" s="1"/>
  <c r="AJ25" i="90"/>
  <c r="AF25" i="58"/>
  <c r="AB25" i="58"/>
  <c r="T25" i="45"/>
  <c r="X25" i="45"/>
  <c r="J101" i="44"/>
  <c r="J123" i="44" s="1"/>
  <c r="AJ25" i="50"/>
  <c r="AM25" i="50"/>
  <c r="AQ25" i="50" s="1"/>
  <c r="AK45" i="44"/>
  <c r="AK56" i="44" s="1"/>
  <c r="AK77" i="44" s="1"/>
  <c r="AK41" i="44"/>
  <c r="AM25" i="96"/>
  <c r="AQ25" i="96" s="1"/>
  <c r="AJ25" i="96"/>
  <c r="AB25" i="47"/>
  <c r="AF25" i="47"/>
  <c r="AM25" i="46"/>
  <c r="AQ25" i="46" s="1"/>
  <c r="AJ25" i="46"/>
  <c r="AB36" i="41"/>
  <c r="AF36" i="41"/>
  <c r="AM25" i="81"/>
  <c r="AQ25" i="81" s="1"/>
  <c r="AJ25" i="81"/>
  <c r="AB25" i="82"/>
  <c r="AF25" i="82"/>
  <c r="T25" i="64"/>
  <c r="X25" i="64"/>
  <c r="AM25" i="69"/>
  <c r="AQ25" i="69" s="1"/>
  <c r="AJ25" i="69"/>
  <c r="K18" i="101"/>
  <c r="K43" i="101" s="1"/>
  <c r="AM25" i="79"/>
  <c r="AQ25" i="79" s="1"/>
  <c r="AJ25" i="79"/>
  <c r="AJ101" i="44"/>
  <c r="AJ123" i="44" s="1"/>
  <c r="I101" i="44"/>
  <c r="I123" i="44" s="1"/>
  <c r="R652" i="97"/>
  <c r="R911" i="97"/>
  <c r="Q104" i="44"/>
  <c r="Q74" i="44"/>
  <c r="S652" i="97"/>
  <c r="R104" i="44"/>
  <c r="S911" i="97"/>
  <c r="R74" i="44"/>
  <c r="G911" i="97"/>
  <c r="F104" i="44"/>
  <c r="G652" i="97"/>
  <c r="F74" i="44"/>
  <c r="AB25" i="100"/>
  <c r="AF25" i="100"/>
  <c r="AM25" i="48"/>
  <c r="AQ25" i="48" s="1"/>
  <c r="AJ25" i="48"/>
  <c r="C13" i="33"/>
  <c r="AL892" i="97"/>
  <c r="AK108" i="44"/>
  <c r="AB38" i="58"/>
  <c r="AF38" i="58"/>
  <c r="AF38" i="79"/>
  <c r="AB38" i="79"/>
  <c r="AF38" i="90"/>
  <c r="AB38" i="90"/>
  <c r="AF38" i="88"/>
  <c r="AB38" i="88"/>
  <c r="AF38" i="69"/>
  <c r="AB38" i="69"/>
  <c r="AM38" i="83"/>
  <c r="AQ38" i="83" s="1"/>
  <c r="AJ38" i="83"/>
  <c r="AF38" i="96"/>
  <c r="AB38" i="96"/>
  <c r="AM38" i="53"/>
  <c r="AQ38" i="53" s="1"/>
  <c r="AJ38" i="53"/>
  <c r="AB38" i="77"/>
  <c r="AF38" i="77"/>
  <c r="AF38" i="72"/>
  <c r="AB38" i="72"/>
  <c r="AB38" i="82"/>
  <c r="AF38" i="82"/>
  <c r="AB38" i="49"/>
  <c r="AF38" i="49"/>
  <c r="AM38" i="81"/>
  <c r="AQ38" i="81" s="1"/>
  <c r="AJ38" i="81"/>
  <c r="AF38" i="46"/>
  <c r="AB38" i="46"/>
  <c r="AB38" i="99"/>
  <c r="AF38" i="99"/>
  <c r="AJ38" i="84"/>
  <c r="AM38" i="84"/>
  <c r="AQ38" i="84" s="1"/>
  <c r="T97" i="44" l="1"/>
  <c r="AE97" i="44"/>
  <c r="L97" i="44"/>
  <c r="AF102" i="33"/>
  <c r="S96" i="44"/>
  <c r="W102" i="33"/>
  <c r="F96" i="44"/>
  <c r="R96" i="44"/>
  <c r="AD96" i="44"/>
  <c r="E97" i="44"/>
  <c r="Z96" i="44"/>
  <c r="U102" i="33"/>
  <c r="Q102" i="33"/>
  <c r="G96" i="44"/>
  <c r="Y97" i="44"/>
  <c r="AB97" i="44"/>
  <c r="P102" i="33"/>
  <c r="AI102" i="33"/>
  <c r="J97" i="44"/>
  <c r="P97" i="44"/>
  <c r="I97" i="44"/>
  <c r="N97" i="44"/>
  <c r="Q96" i="44"/>
  <c r="L102" i="33"/>
  <c r="AQ102" i="33"/>
  <c r="AM36" i="55"/>
  <c r="AQ36" i="55" s="1"/>
  <c r="AJ36" i="55"/>
  <c r="AJ25" i="87"/>
  <c r="AM25" i="87"/>
  <c r="AQ25" i="87" s="1"/>
  <c r="AB25" i="54"/>
  <c r="AF25" i="54"/>
  <c r="AD101" i="44"/>
  <c r="AD123" i="44" s="1"/>
  <c r="G101" i="44"/>
  <c r="G123" i="44" s="1"/>
  <c r="AJ36" i="95"/>
  <c r="AM36" i="95"/>
  <c r="AQ36" i="95" s="1"/>
  <c r="AM25" i="100"/>
  <c r="AQ25" i="100" s="1"/>
  <c r="AJ25" i="100"/>
  <c r="R101" i="44"/>
  <c r="R123" i="44" s="1"/>
  <c r="AF25" i="56"/>
  <c r="AB25" i="56"/>
  <c r="AM25" i="47"/>
  <c r="AQ25" i="47" s="1"/>
  <c r="AJ25" i="47"/>
  <c r="AJ38" i="87"/>
  <c r="AM38" i="87"/>
  <c r="AQ38" i="87" s="1"/>
  <c r="C9" i="33"/>
  <c r="AL911" i="97"/>
  <c r="AK104" i="44"/>
  <c r="AL652" i="97"/>
  <c r="AK74" i="44"/>
  <c r="E18" i="33"/>
  <c r="Z101" i="44"/>
  <c r="Z123" i="44" s="1"/>
  <c r="AM25" i="51"/>
  <c r="AQ25" i="51" s="1"/>
  <c r="AJ25" i="51"/>
  <c r="E13" i="33"/>
  <c r="AF25" i="45"/>
  <c r="AB25" i="45"/>
  <c r="AM25" i="58"/>
  <c r="AQ25" i="58" s="1"/>
  <c r="AJ25" i="58"/>
  <c r="E11" i="33"/>
  <c r="Q101" i="44"/>
  <c r="Q123" i="44" s="1"/>
  <c r="X102" i="33" s="1"/>
  <c r="X25" i="101"/>
  <c r="T25" i="101"/>
  <c r="AJ25" i="82"/>
  <c r="AM25" i="82"/>
  <c r="AQ25" i="82" s="1"/>
  <c r="E15" i="33"/>
  <c r="AM25" i="52"/>
  <c r="AQ25" i="52" s="1"/>
  <c r="AJ25" i="52"/>
  <c r="E14" i="33"/>
  <c r="F101" i="44"/>
  <c r="F123" i="44" s="1"/>
  <c r="AB25" i="64"/>
  <c r="AF25" i="64"/>
  <c r="AJ36" i="41"/>
  <c r="AM36" i="41"/>
  <c r="AQ36" i="41" s="1"/>
  <c r="S101" i="44"/>
  <c r="S123" i="44" s="1"/>
  <c r="AM38" i="88"/>
  <c r="AQ38" i="88" s="1"/>
  <c r="AJ38" i="88"/>
  <c r="AM38" i="69"/>
  <c r="AQ38" i="69" s="1"/>
  <c r="AJ38" i="69"/>
  <c r="AJ38" i="90"/>
  <c r="AM38" i="90"/>
  <c r="AQ38" i="90" s="1"/>
  <c r="AJ38" i="46"/>
  <c r="AM38" i="46"/>
  <c r="AQ38" i="46" s="1"/>
  <c r="AM38" i="99"/>
  <c r="AQ38" i="99" s="1"/>
  <c r="AJ38" i="99"/>
  <c r="AM38" i="72"/>
  <c r="AQ38" i="72" s="1"/>
  <c r="AJ38" i="72"/>
  <c r="AM38" i="96"/>
  <c r="AQ38" i="96" s="1"/>
  <c r="AJ38" i="96"/>
  <c r="AJ38" i="79"/>
  <c r="AM38" i="79"/>
  <c r="AQ38" i="79" s="1"/>
  <c r="AM38" i="58"/>
  <c r="AQ38" i="58" s="1"/>
  <c r="AJ38" i="58"/>
  <c r="AJ38" i="77"/>
  <c r="AM38" i="77"/>
  <c r="AQ38" i="77" s="1"/>
  <c r="AJ38" i="49"/>
  <c r="AM38" i="49"/>
  <c r="AQ38" i="49" s="1"/>
  <c r="AJ38" i="82"/>
  <c r="AM38" i="82"/>
  <c r="AQ38" i="82" s="1"/>
  <c r="G97" i="44" l="1"/>
  <c r="N102" i="33"/>
  <c r="Q97" i="44"/>
  <c r="F97" i="44"/>
  <c r="Y102" i="33"/>
  <c r="Z97" i="44"/>
  <c r="AD97" i="44"/>
  <c r="M102" i="33"/>
  <c r="AK102" i="33"/>
  <c r="S97" i="44"/>
  <c r="Z102" i="33"/>
  <c r="AG102" i="33"/>
  <c r="R97" i="44"/>
  <c r="AM25" i="54"/>
  <c r="AQ25" i="54" s="1"/>
  <c r="AJ25" i="54"/>
  <c r="E9" i="33"/>
  <c r="AK101" i="44"/>
  <c r="AR102" i="44"/>
  <c r="AM25" i="56"/>
  <c r="AQ25" i="56" s="1"/>
  <c r="AJ25" i="56"/>
  <c r="AJ25" i="45"/>
  <c r="AM25" i="45"/>
  <c r="AQ25" i="45" s="1"/>
  <c r="AF25" i="101"/>
  <c r="AB25" i="101"/>
  <c r="AK96" i="44"/>
  <c r="C6" i="33"/>
  <c r="AJ25" i="64"/>
  <c r="AM25" i="64"/>
  <c r="AQ25" i="64" s="1"/>
  <c r="C27" i="33" l="1"/>
  <c r="AK123" i="44"/>
  <c r="E6" i="33"/>
  <c r="AM25" i="101"/>
  <c r="AQ25" i="101" s="1"/>
  <c r="AJ25" i="101"/>
  <c r="E27" i="33" l="1"/>
  <c r="AR102" i="33"/>
  <c r="AI74" i="75" l="1"/>
  <c r="AI73" i="75"/>
  <c r="AI18" i="75"/>
  <c r="AI71" i="75" l="1"/>
  <c r="AI43" i="75"/>
  <c r="AK46" i="75" l="1"/>
  <c r="AH74" i="75"/>
  <c r="AK21" i="75"/>
  <c r="AH73" i="75"/>
  <c r="AH18" i="75"/>
  <c r="AK18" i="75" s="1"/>
  <c r="AK20" i="75"/>
  <c r="AH43" i="75" l="1"/>
  <c r="AK43" i="75" s="1"/>
  <c r="AK45" i="75"/>
  <c r="AH71" i="75"/>
  <c r="AG18" i="75" l="1"/>
  <c r="AG73" i="75"/>
  <c r="AG74" i="75"/>
  <c r="AG71" i="75" l="1"/>
  <c r="AG43" i="75"/>
  <c r="AF74" i="75" l="1"/>
  <c r="AF43" i="75"/>
  <c r="AF73" i="75"/>
  <c r="AF71" i="75" s="1"/>
  <c r="AF18" i="75"/>
  <c r="H73" i="75" l="1"/>
  <c r="H18" i="75"/>
  <c r="M73" i="75"/>
  <c r="M18" i="75"/>
  <c r="S43" i="75"/>
  <c r="S73" i="75"/>
  <c r="S18" i="75"/>
  <c r="S74" i="75"/>
  <c r="M74" i="75"/>
  <c r="H74" i="75"/>
  <c r="W74" i="75" l="1"/>
  <c r="AA43" i="75"/>
  <c r="AA73" i="75"/>
  <c r="AA18" i="75"/>
  <c r="AE74" i="75"/>
  <c r="AC74" i="75"/>
  <c r="G74" i="75"/>
  <c r="I73" i="75"/>
  <c r="I18" i="75"/>
  <c r="D74" i="75"/>
  <c r="Y73" i="75"/>
  <c r="Y18" i="75"/>
  <c r="S71" i="75"/>
  <c r="M43" i="75"/>
  <c r="U18" i="75"/>
  <c r="U73" i="75"/>
  <c r="I74" i="75"/>
  <c r="AE43" i="75"/>
  <c r="AE73" i="75"/>
  <c r="AE18" i="75"/>
  <c r="W43" i="75"/>
  <c r="W73" i="75"/>
  <c r="W18" i="75"/>
  <c r="P74" i="75"/>
  <c r="Q74" i="75"/>
  <c r="E74" i="75"/>
  <c r="X43" i="75"/>
  <c r="X73" i="75"/>
  <c r="X18" i="75"/>
  <c r="P73" i="75"/>
  <c r="P18" i="75"/>
  <c r="Y74" i="75"/>
  <c r="G43" i="75"/>
  <c r="G73" i="75"/>
  <c r="G18" i="75"/>
  <c r="AB73" i="75"/>
  <c r="AB18" i="75"/>
  <c r="K74" i="75"/>
  <c r="AB74" i="75"/>
  <c r="T73" i="75"/>
  <c r="T18" i="75"/>
  <c r="O74" i="75"/>
  <c r="Q43" i="75"/>
  <c r="Q73" i="75"/>
  <c r="Q71" i="75" s="1"/>
  <c r="Q18" i="75"/>
  <c r="U74" i="75"/>
  <c r="D43" i="75"/>
  <c r="D73" i="75"/>
  <c r="D71" i="75" s="1"/>
  <c r="D18" i="75"/>
  <c r="E43" i="75"/>
  <c r="E73" i="75"/>
  <c r="E18" i="75"/>
  <c r="T74" i="75"/>
  <c r="L43" i="75"/>
  <c r="L73" i="75"/>
  <c r="L18" i="75"/>
  <c r="L74" i="75"/>
  <c r="AA74" i="75"/>
  <c r="K43" i="75"/>
  <c r="K73" i="75"/>
  <c r="K18" i="75"/>
  <c r="C73" i="75"/>
  <c r="C18" i="75"/>
  <c r="H71" i="75"/>
  <c r="AN46" i="75"/>
  <c r="C74" i="75"/>
  <c r="AC43" i="75"/>
  <c r="AC73" i="75"/>
  <c r="AC18" i="75"/>
  <c r="O43" i="75"/>
  <c r="O73" i="75"/>
  <c r="O71" i="75" s="1"/>
  <c r="O18" i="75"/>
  <c r="X74" i="75"/>
  <c r="M71" i="75"/>
  <c r="H43" i="75"/>
  <c r="K71" i="75" l="1"/>
  <c r="AE71" i="75"/>
  <c r="AC71" i="75"/>
  <c r="G71" i="75"/>
  <c r="L71" i="75"/>
  <c r="X71" i="75"/>
  <c r="AD74" i="75"/>
  <c r="F73" i="75"/>
  <c r="F18" i="75"/>
  <c r="AA71" i="75"/>
  <c r="Z73" i="75"/>
  <c r="Z18" i="75"/>
  <c r="V73" i="75"/>
  <c r="V18" i="75"/>
  <c r="T43" i="75"/>
  <c r="N74" i="75"/>
  <c r="J74" i="75"/>
  <c r="R73" i="75"/>
  <c r="R18" i="75"/>
  <c r="I71" i="75"/>
  <c r="T71" i="75"/>
  <c r="U71" i="75"/>
  <c r="I43" i="75"/>
  <c r="F74" i="75"/>
  <c r="AB71" i="75"/>
  <c r="N43" i="75"/>
  <c r="N73" i="75"/>
  <c r="N18" i="75"/>
  <c r="P71" i="75"/>
  <c r="W71" i="75"/>
  <c r="R74" i="75"/>
  <c r="C71" i="75"/>
  <c r="AB43" i="75"/>
  <c r="P43" i="75"/>
  <c r="U43" i="75"/>
  <c r="Y71" i="75"/>
  <c r="J43" i="75"/>
  <c r="J73" i="75"/>
  <c r="J71" i="75" s="1"/>
  <c r="J18" i="75"/>
  <c r="Z74" i="75"/>
  <c r="E71" i="75"/>
  <c r="C43" i="75"/>
  <c r="AN43" i="75" s="1"/>
  <c r="AN45" i="75"/>
  <c r="AD43" i="75"/>
  <c r="AD73" i="75"/>
  <c r="AD18" i="75"/>
  <c r="V74" i="75"/>
  <c r="Y43" i="75"/>
  <c r="F71" i="75" l="1"/>
  <c r="AD71" i="75"/>
  <c r="N71" i="75"/>
  <c r="R71" i="75"/>
  <c r="V71" i="75"/>
  <c r="F43" i="75"/>
  <c r="R43" i="75"/>
  <c r="V43" i="75"/>
  <c r="Z71" i="75"/>
  <c r="Z43" i="75"/>
  <c r="K10" i="17" l="1"/>
  <c r="O10" i="17"/>
  <c r="AG10" i="17"/>
  <c r="J10" i="17"/>
  <c r="I10" i="17"/>
  <c r="AB10" i="17"/>
  <c r="G10" i="17"/>
  <c r="AC9" i="17" l="1"/>
  <c r="Z9" i="17"/>
  <c r="AB9" i="17"/>
  <c r="AB8" i="17"/>
  <c r="C9" i="17"/>
  <c r="E114" i="2" s="1"/>
  <c r="E112" i="2" s="1"/>
  <c r="X9" i="17"/>
  <c r="X8" i="17"/>
  <c r="AH9" i="17"/>
  <c r="AH8" i="17"/>
  <c r="AG9" i="17"/>
  <c r="AG8" i="17"/>
  <c r="AD9" i="17"/>
  <c r="AD8" i="17"/>
  <c r="AE9" i="17"/>
  <c r="AE8" i="17"/>
  <c r="AE10" i="17"/>
  <c r="K9" i="17"/>
  <c r="K8" i="17"/>
  <c r="R9" i="17"/>
  <c r="R8" i="17"/>
  <c r="I9" i="17"/>
  <c r="I8" i="17"/>
  <c r="V9" i="17"/>
  <c r="V8" i="17"/>
  <c r="R10" i="17"/>
  <c r="H9" i="17"/>
  <c r="AI9" i="17"/>
  <c r="AD10" i="17"/>
  <c r="G9" i="17"/>
  <c r="G8" i="17"/>
  <c r="P9" i="17"/>
  <c r="J9" i="17"/>
  <c r="J8" i="17"/>
  <c r="AH10" i="17"/>
  <c r="S9" i="17"/>
  <c r="X10" i="17"/>
  <c r="Y9" i="17"/>
  <c r="O9" i="17"/>
  <c r="O8" i="17"/>
  <c r="V10" i="17"/>
  <c r="W9" i="17"/>
  <c r="N10" i="17" l="1"/>
  <c r="N8" i="17"/>
  <c r="AF10" i="17"/>
  <c r="AF8" i="17"/>
  <c r="W8" i="17"/>
  <c r="W10" i="17"/>
  <c r="U8" i="17"/>
  <c r="U10" i="17"/>
  <c r="P8" i="17"/>
  <c r="P10" i="17"/>
  <c r="N9" i="17"/>
  <c r="T8" i="17"/>
  <c r="T10" i="17"/>
  <c r="L8" i="17"/>
  <c r="L10" i="17"/>
  <c r="M8" i="17"/>
  <c r="M10" i="17"/>
  <c r="F8" i="17"/>
  <c r="F10" i="17"/>
  <c r="T9" i="17"/>
  <c r="C8" i="17"/>
  <c r="C10" i="17"/>
  <c r="E118" i="2" s="1"/>
  <c r="E116" i="2" s="1"/>
  <c r="E10" i="17"/>
  <c r="G118" i="2" s="1"/>
  <c r="G116" i="2" s="1"/>
  <c r="E8" i="17"/>
  <c r="L9" i="17"/>
  <c r="M9" i="17"/>
  <c r="F9" i="17"/>
  <c r="E9" i="17"/>
  <c r="G114" i="2" s="1"/>
  <c r="G112" i="2" s="1"/>
  <c r="Q8" i="17"/>
  <c r="Q10" i="17"/>
  <c r="Q9" i="17"/>
  <c r="AI8" i="17"/>
  <c r="AI10" i="17"/>
  <c r="Z8" i="17"/>
  <c r="Z10" i="17"/>
  <c r="AC8" i="17"/>
  <c r="AC10" i="17"/>
  <c r="AF9" i="17"/>
  <c r="AA8" i="17"/>
  <c r="AA10" i="17"/>
  <c r="D8" i="17"/>
  <c r="D10" i="17"/>
  <c r="F118" i="2" s="1"/>
  <c r="F116" i="2" s="1"/>
  <c r="Y8" i="17"/>
  <c r="Y10" i="17"/>
  <c r="S8" i="17"/>
  <c r="S10" i="17"/>
  <c r="U9" i="17"/>
  <c r="H8" i="17"/>
  <c r="H10" i="17"/>
  <c r="AA9" i="17"/>
  <c r="D9" i="17"/>
  <c r="F114" i="2" s="1"/>
  <c r="F112" i="2" s="1"/>
  <c r="F110" i="2" l="1"/>
  <c r="F108" i="2" s="1"/>
  <c r="E110" i="2"/>
  <c r="E108" i="2" s="1"/>
  <c r="G110" i="2"/>
  <c r="G108" i="2" s="1"/>
  <c r="K20" i="37" l="1"/>
  <c r="M47" i="2"/>
  <c r="F27" i="48" s="1"/>
  <c r="AH20" i="37" l="1"/>
  <c r="AJ47" i="2"/>
  <c r="F27" i="100" s="1"/>
  <c r="AB47" i="2"/>
  <c r="F27" i="84" s="1"/>
  <c r="Z20" i="37"/>
  <c r="E27" i="50"/>
  <c r="K31" i="70"/>
  <c r="K22" i="2"/>
  <c r="I16" i="37"/>
  <c r="AB20" i="37"/>
  <c r="AD47" i="2"/>
  <c r="F27" i="87" s="1"/>
  <c r="Q47" i="2"/>
  <c r="F27" i="56" s="1"/>
  <c r="O20" i="37"/>
  <c r="G20" i="37"/>
  <c r="I47" i="2"/>
  <c r="F27" i="52" s="1"/>
  <c r="L47" i="2"/>
  <c r="F27" i="49" s="1"/>
  <c r="J20" i="37"/>
  <c r="AI47" i="2"/>
  <c r="F27" i="99" s="1"/>
  <c r="Q27" i="99" s="1"/>
  <c r="Y27" i="99" s="1"/>
  <c r="AG20" i="37"/>
  <c r="AD20" i="37"/>
  <c r="AF47" i="2"/>
  <c r="F27" i="90" s="1"/>
  <c r="F18" i="48"/>
  <c r="F43" i="48" s="1"/>
  <c r="Q27" i="48"/>
  <c r="K12" i="2"/>
  <c r="D27" i="50"/>
  <c r="K17" i="70"/>
  <c r="I12" i="37"/>
  <c r="J47" i="2"/>
  <c r="F27" i="51" s="1"/>
  <c r="H20" i="37"/>
  <c r="AE20" i="37"/>
  <c r="AG47" i="2"/>
  <c r="F27" i="95" s="1"/>
  <c r="T20" i="37"/>
  <c r="V47" i="2"/>
  <c r="F27" i="73" s="1"/>
  <c r="X47" i="2"/>
  <c r="F27" i="79" s="1"/>
  <c r="V20" i="37"/>
  <c r="K17" i="37"/>
  <c r="K20" i="16"/>
  <c r="K17" i="16" s="1"/>
  <c r="R20" i="37"/>
  <c r="T47" i="2"/>
  <c r="F27" i="69" s="1"/>
  <c r="K47" i="2" l="1"/>
  <c r="F27" i="50" s="1"/>
  <c r="I20" i="37"/>
  <c r="T12" i="37"/>
  <c r="AK17" i="70"/>
  <c r="V17" i="70"/>
  <c r="D27" i="73"/>
  <c r="V12" i="2"/>
  <c r="D18" i="50"/>
  <c r="O27" i="50"/>
  <c r="I27" i="50"/>
  <c r="Y27" i="48"/>
  <c r="Q18" i="48"/>
  <c r="Q43" i="48" s="1"/>
  <c r="AU17" i="70"/>
  <c r="AF17" i="70"/>
  <c r="AD12" i="37"/>
  <c r="AF12" i="2"/>
  <c r="D27" i="90"/>
  <c r="E27" i="48"/>
  <c r="M31" i="70"/>
  <c r="M22" i="2"/>
  <c r="K16" i="37"/>
  <c r="AL55" i="2"/>
  <c r="AI20" i="37"/>
  <c r="F27" i="101"/>
  <c r="AK47" i="2"/>
  <c r="AL47" i="2" s="1"/>
  <c r="F18" i="52"/>
  <c r="F43" i="52" s="1"/>
  <c r="Q27" i="52"/>
  <c r="Q27" i="56"/>
  <c r="F18" i="56"/>
  <c r="F43" i="56" s="1"/>
  <c r="Q27" i="95"/>
  <c r="F18" i="95"/>
  <c r="F43" i="95" s="1"/>
  <c r="E27" i="52"/>
  <c r="I31" i="70"/>
  <c r="G16" i="37"/>
  <c r="I22" i="2"/>
  <c r="H20" i="16"/>
  <c r="H17" i="16" s="1"/>
  <c r="H17" i="37"/>
  <c r="AB20" i="16"/>
  <c r="AB17" i="16" s="1"/>
  <c r="AB17" i="37"/>
  <c r="R20" i="16"/>
  <c r="R17" i="16" s="1"/>
  <c r="R17" i="37"/>
  <c r="Q27" i="79"/>
  <c r="F18" i="79"/>
  <c r="F43" i="79" s="1"/>
  <c r="Q27" i="51"/>
  <c r="F18" i="51"/>
  <c r="F43" i="51" s="1"/>
  <c r="AD20" i="16"/>
  <c r="AD17" i="16" s="1"/>
  <c r="AD17" i="37"/>
  <c r="F18" i="49"/>
  <c r="F43" i="49" s="1"/>
  <c r="Q27" i="49"/>
  <c r="AC47" i="2"/>
  <c r="F27" i="85" s="1"/>
  <c r="AA20" i="37"/>
  <c r="F18" i="84"/>
  <c r="F43" i="84" s="1"/>
  <c r="Q27" i="84"/>
  <c r="AE17" i="37"/>
  <c r="AE20" i="16"/>
  <c r="AE17" i="16" s="1"/>
  <c r="Q27" i="69"/>
  <c r="F18" i="69"/>
  <c r="F43" i="69" s="1"/>
  <c r="D27" i="69"/>
  <c r="T17" i="70"/>
  <c r="R12" i="37"/>
  <c r="T12" i="2"/>
  <c r="D27" i="79"/>
  <c r="X12" i="2"/>
  <c r="V12" i="37"/>
  <c r="X17" i="70"/>
  <c r="AM17" i="70"/>
  <c r="V16" i="37"/>
  <c r="X31" i="70"/>
  <c r="E27" i="79"/>
  <c r="AM31" i="70"/>
  <c r="X22" i="2"/>
  <c r="Q27" i="73"/>
  <c r="F18" i="73"/>
  <c r="F43" i="73" s="1"/>
  <c r="AC20" i="37"/>
  <c r="AE47" i="2"/>
  <c r="F27" i="88" s="1"/>
  <c r="L22" i="2"/>
  <c r="L31" i="70"/>
  <c r="E27" i="49"/>
  <c r="J16" i="37"/>
  <c r="U20" i="37"/>
  <c r="W47" i="2"/>
  <c r="F27" i="77" s="1"/>
  <c r="V22" i="2"/>
  <c r="AK31" i="70"/>
  <c r="V31" i="70"/>
  <c r="T16" i="37"/>
  <c r="E27" i="73"/>
  <c r="AB17" i="70"/>
  <c r="D27" i="84"/>
  <c r="Z12" i="37"/>
  <c r="AQ17" i="70"/>
  <c r="AB12" i="2"/>
  <c r="AH47" i="2"/>
  <c r="F27" i="96" s="1"/>
  <c r="AF20" i="37"/>
  <c r="I13" i="37"/>
  <c r="I41" i="37" s="1"/>
  <c r="I16" i="16"/>
  <c r="U47" i="2"/>
  <c r="F27" i="72" s="1"/>
  <c r="S20" i="37"/>
  <c r="F18" i="100"/>
  <c r="F43" i="100" s="1"/>
  <c r="Q27" i="100"/>
  <c r="F27" i="55"/>
  <c r="P47" i="2"/>
  <c r="N20" i="37"/>
  <c r="F18" i="87"/>
  <c r="F43" i="87" s="1"/>
  <c r="Q27" i="87"/>
  <c r="V20" i="16"/>
  <c r="V17" i="16" s="1"/>
  <c r="V17" i="37"/>
  <c r="J20" i="16"/>
  <c r="J17" i="16" s="1"/>
  <c r="J17" i="37"/>
  <c r="D27" i="100"/>
  <c r="AH12" i="37"/>
  <c r="AJ17" i="70"/>
  <c r="AJ12" i="2"/>
  <c r="AY17" i="70"/>
  <c r="Z17" i="37"/>
  <c r="Z20" i="16"/>
  <c r="Z17" i="16" s="1"/>
  <c r="T20" i="16"/>
  <c r="T17" i="16" s="1"/>
  <c r="T17" i="37"/>
  <c r="Z16" i="37"/>
  <c r="AB22" i="2"/>
  <c r="AQ31" i="70"/>
  <c r="E27" i="84"/>
  <c r="AB31" i="70"/>
  <c r="R47" i="2"/>
  <c r="F27" i="58" s="1"/>
  <c r="P20" i="37"/>
  <c r="AH20" i="16"/>
  <c r="AH17" i="16" s="1"/>
  <c r="AH17" i="37"/>
  <c r="G20" i="16"/>
  <c r="G17" i="16" s="1"/>
  <c r="G17" i="37"/>
  <c r="AI17" i="70"/>
  <c r="AI12" i="2"/>
  <c r="D27" i="99"/>
  <c r="AX17" i="70"/>
  <c r="AG12" i="37"/>
  <c r="T31" i="70"/>
  <c r="R16" i="37"/>
  <c r="T22" i="2"/>
  <c r="E27" i="69"/>
  <c r="N47" i="2"/>
  <c r="F27" i="47" s="1"/>
  <c r="L20" i="37"/>
  <c r="AG16" i="37"/>
  <c r="AI31" i="70"/>
  <c r="AI22" i="2"/>
  <c r="AX31" i="70"/>
  <c r="E27" i="99"/>
  <c r="I12" i="16"/>
  <c r="I9" i="37"/>
  <c r="I49" i="37"/>
  <c r="AA47" i="2"/>
  <c r="F27" i="83" s="1"/>
  <c r="Y20" i="37"/>
  <c r="Q20" i="37"/>
  <c r="S47" i="2"/>
  <c r="F27" i="64" s="1"/>
  <c r="AG17" i="37"/>
  <c r="AG20" i="16"/>
  <c r="AG17" i="16" s="1"/>
  <c r="AF31" i="70"/>
  <c r="E27" i="90"/>
  <c r="AU31" i="70"/>
  <c r="AD16" i="37"/>
  <c r="AF22" i="2"/>
  <c r="AH16" i="37"/>
  <c r="AY31" i="70"/>
  <c r="AJ22" i="2"/>
  <c r="AJ31" i="70"/>
  <c r="E27" i="100"/>
  <c r="W20" i="37"/>
  <c r="Y47" i="2"/>
  <c r="F27" i="81" s="1"/>
  <c r="Q27" i="90"/>
  <c r="F18" i="90"/>
  <c r="F43" i="90" s="1"/>
  <c r="F20" i="37"/>
  <c r="H47" i="2"/>
  <c r="F27" i="53" s="1"/>
  <c r="K42" i="37"/>
  <c r="F18" i="99"/>
  <c r="F43" i="99" s="1"/>
  <c r="K12" i="37"/>
  <c r="D27" i="48"/>
  <c r="M12" i="2"/>
  <c r="M17" i="70"/>
  <c r="M20" i="37"/>
  <c r="O47" i="2"/>
  <c r="F27" i="46" s="1"/>
  <c r="O17" i="37"/>
  <c r="O20" i="16"/>
  <c r="O17" i="16" s="1"/>
  <c r="P27" i="50"/>
  <c r="E18" i="50"/>
  <c r="E43" i="50" s="1"/>
  <c r="L17" i="70"/>
  <c r="D27" i="49"/>
  <c r="J12" i="37"/>
  <c r="L12" i="2"/>
  <c r="I12" i="2"/>
  <c r="D27" i="52"/>
  <c r="G12" i="37"/>
  <c r="I17" i="70"/>
  <c r="I17" i="37" l="1"/>
  <c r="I42" i="37" s="1"/>
  <c r="I20" i="16"/>
  <c r="I17" i="16" s="1"/>
  <c r="Q27" i="50"/>
  <c r="F18" i="50"/>
  <c r="F43" i="50" s="1"/>
  <c r="Z47" i="2"/>
  <c r="F27" i="82" s="1"/>
  <c r="X20" i="37"/>
  <c r="I9" i="16"/>
  <c r="W17" i="70"/>
  <c r="M17" i="37"/>
  <c r="M20" i="16"/>
  <c r="M17" i="16" s="1"/>
  <c r="Q18" i="90"/>
  <c r="Q43" i="90" s="1"/>
  <c r="Y27" i="90"/>
  <c r="E27" i="45"/>
  <c r="F31" i="70"/>
  <c r="D16" i="37"/>
  <c r="F22" i="2"/>
  <c r="G49" i="37"/>
  <c r="G12" i="16"/>
  <c r="G9" i="37"/>
  <c r="X27" i="50"/>
  <c r="P18" i="50"/>
  <c r="P43" i="50" s="1"/>
  <c r="K12" i="16"/>
  <c r="K49" i="37"/>
  <c r="K9" i="37"/>
  <c r="Q20" i="16"/>
  <c r="Q17" i="16" s="1"/>
  <c r="Q17" i="37"/>
  <c r="E18" i="99"/>
  <c r="E43" i="99" s="1"/>
  <c r="P27" i="99"/>
  <c r="P27" i="69"/>
  <c r="E18" i="69"/>
  <c r="E43" i="69" s="1"/>
  <c r="AH12" i="16"/>
  <c r="AH9" i="37"/>
  <c r="AH49" i="37"/>
  <c r="Y27" i="87"/>
  <c r="Q18" i="87"/>
  <c r="Q43" i="87" s="1"/>
  <c r="F18" i="72"/>
  <c r="F43" i="72" s="1"/>
  <c r="Q27" i="72"/>
  <c r="C20" i="37"/>
  <c r="E47" i="2"/>
  <c r="F27" i="41" s="1"/>
  <c r="Q27" i="77"/>
  <c r="F18" i="77"/>
  <c r="F43" i="77" s="1"/>
  <c r="V9" i="37"/>
  <c r="V12" i="16"/>
  <c r="V49" i="37"/>
  <c r="Y27" i="84"/>
  <c r="Q18" i="84"/>
  <c r="Q43" i="84" s="1"/>
  <c r="AD42" i="37"/>
  <c r="Y27" i="79"/>
  <c r="Q18" i="79"/>
  <c r="Q43" i="79" s="1"/>
  <c r="Y27" i="56"/>
  <c r="Q18" i="56"/>
  <c r="Q43" i="56" s="1"/>
  <c r="I27" i="52"/>
  <c r="D18" i="52"/>
  <c r="O27" i="52"/>
  <c r="AG31" i="70"/>
  <c r="AV31" i="70"/>
  <c r="E27" i="95"/>
  <c r="AE16" i="37"/>
  <c r="AG22" i="2"/>
  <c r="Q27" i="81"/>
  <c r="F18" i="81"/>
  <c r="F43" i="81" s="1"/>
  <c r="P27" i="100"/>
  <c r="E18" i="100"/>
  <c r="E43" i="100" s="1"/>
  <c r="Y17" i="37"/>
  <c r="Y20" i="16"/>
  <c r="Y17" i="16" s="1"/>
  <c r="L12" i="37"/>
  <c r="N17" i="70"/>
  <c r="D27" i="47"/>
  <c r="N12" i="2"/>
  <c r="Y27" i="73"/>
  <c r="Q18" i="73"/>
  <c r="Q43" i="73" s="1"/>
  <c r="J17" i="70"/>
  <c r="D27" i="51"/>
  <c r="H12" i="37"/>
  <c r="J12" i="2"/>
  <c r="Y27" i="52"/>
  <c r="Q18" i="52"/>
  <c r="Q43" i="52" s="1"/>
  <c r="K13" i="37"/>
  <c r="K41" i="37" s="1"/>
  <c r="K16" i="16"/>
  <c r="O18" i="50"/>
  <c r="T27" i="50"/>
  <c r="W27" i="50"/>
  <c r="O42" i="37"/>
  <c r="F20" i="16"/>
  <c r="F17" i="16" s="1"/>
  <c r="F17" i="37"/>
  <c r="W20" i="16"/>
  <c r="W17" i="16" s="1"/>
  <c r="W17" i="37"/>
  <c r="F18" i="83"/>
  <c r="F43" i="83" s="1"/>
  <c r="Q27" i="83"/>
  <c r="R13" i="37"/>
  <c r="R41" i="37" s="1"/>
  <c r="R16" i="16"/>
  <c r="J42" i="37"/>
  <c r="N17" i="37"/>
  <c r="N20" i="16"/>
  <c r="N17" i="16" s="1"/>
  <c r="AF20" i="16"/>
  <c r="AF17" i="16" s="1"/>
  <c r="AF17" i="37"/>
  <c r="D18" i="79"/>
  <c r="I27" i="79"/>
  <c r="O27" i="79"/>
  <c r="F27" i="54"/>
  <c r="G47" i="2"/>
  <c r="E20" i="37"/>
  <c r="D43" i="50"/>
  <c r="I43" i="50" s="1"/>
  <c r="I18" i="50"/>
  <c r="F18" i="53"/>
  <c r="F43" i="53" s="1"/>
  <c r="Q27" i="53"/>
  <c r="P27" i="90"/>
  <c r="E18" i="90"/>
  <c r="E43" i="90" s="1"/>
  <c r="O27" i="99"/>
  <c r="D18" i="99"/>
  <c r="I27" i="99"/>
  <c r="D18" i="100"/>
  <c r="O27" i="100"/>
  <c r="I27" i="100"/>
  <c r="AR7" i="16"/>
  <c r="I13" i="16"/>
  <c r="I34" i="16" s="1"/>
  <c r="R12" i="2"/>
  <c r="P12" i="37"/>
  <c r="R17" i="70"/>
  <c r="D27" i="58"/>
  <c r="U17" i="37"/>
  <c r="U20" i="16"/>
  <c r="U17" i="16" s="1"/>
  <c r="O27" i="69"/>
  <c r="D18" i="69"/>
  <c r="I27" i="69"/>
  <c r="R42" i="37"/>
  <c r="Y27" i="95"/>
  <c r="Q18" i="95"/>
  <c r="Q43" i="95" s="1"/>
  <c r="F18" i="46"/>
  <c r="F43" i="46" s="1"/>
  <c r="Q27" i="46"/>
  <c r="Q18" i="99"/>
  <c r="Q43" i="99" s="1"/>
  <c r="AL31" i="70"/>
  <c r="W31" i="70"/>
  <c r="E27" i="77"/>
  <c r="U16" i="37"/>
  <c r="W22" i="2"/>
  <c r="P20" i="16"/>
  <c r="P17" i="16" s="1"/>
  <c r="P17" i="37"/>
  <c r="P27" i="84"/>
  <c r="E18" i="84"/>
  <c r="E43" i="84" s="1"/>
  <c r="T42" i="37"/>
  <c r="F17" i="70"/>
  <c r="F12" i="2"/>
  <c r="D12" i="37"/>
  <c r="D27" i="45"/>
  <c r="F18" i="96"/>
  <c r="F43" i="96" s="1"/>
  <c r="Q27" i="96"/>
  <c r="P27" i="73"/>
  <c r="E18" i="73"/>
  <c r="E43" i="73" s="1"/>
  <c r="P27" i="79"/>
  <c r="E18" i="79"/>
  <c r="E43" i="79" s="1"/>
  <c r="Q18" i="69"/>
  <c r="Q43" i="69" s="1"/>
  <c r="Y27" i="69"/>
  <c r="AA17" i="37"/>
  <c r="AA20" i="16"/>
  <c r="AA17" i="16" s="1"/>
  <c r="AB42" i="37"/>
  <c r="Q27" i="58"/>
  <c r="F18" i="58"/>
  <c r="F43" i="58" s="1"/>
  <c r="Z42" i="37"/>
  <c r="AD31" i="70"/>
  <c r="AB16" i="37"/>
  <c r="AS31" i="70"/>
  <c r="AD22" i="2"/>
  <c r="E27" i="87"/>
  <c r="Q27" i="55"/>
  <c r="F18" i="55"/>
  <c r="F43" i="55" s="1"/>
  <c r="T13" i="37"/>
  <c r="T41" i="37" s="1"/>
  <c r="T16" i="16"/>
  <c r="J13" i="37"/>
  <c r="J41" i="37" s="1"/>
  <c r="J16" i="16"/>
  <c r="O22" i="2"/>
  <c r="M16" i="37"/>
  <c r="O31" i="70"/>
  <c r="E27" i="46"/>
  <c r="F18" i="85"/>
  <c r="F43" i="85" s="1"/>
  <c r="Q27" i="85"/>
  <c r="Y27" i="51"/>
  <c r="Q18" i="51"/>
  <c r="Q43" i="51" s="1"/>
  <c r="G13" i="37"/>
  <c r="G41" i="37" s="1"/>
  <c r="G16" i="16"/>
  <c r="F18" i="101"/>
  <c r="F43" i="101" s="1"/>
  <c r="Q27" i="101"/>
  <c r="P27" i="48"/>
  <c r="E18" i="48"/>
  <c r="E43" i="48" s="1"/>
  <c r="O27" i="73"/>
  <c r="I27" i="73"/>
  <c r="D18" i="73"/>
  <c r="J49" i="37"/>
  <c r="J69" i="37" s="1"/>
  <c r="J12" i="16"/>
  <c r="J9" i="37"/>
  <c r="D18" i="49"/>
  <c r="O27" i="49"/>
  <c r="I27" i="49"/>
  <c r="AD12" i="2"/>
  <c r="AS17" i="70"/>
  <c r="AD17" i="70"/>
  <c r="D27" i="87"/>
  <c r="AB12" i="37"/>
  <c r="AH13" i="37"/>
  <c r="AH16" i="16"/>
  <c r="I69" i="37"/>
  <c r="L20" i="16"/>
  <c r="L17" i="16" s="1"/>
  <c r="L17" i="37"/>
  <c r="R22" i="2"/>
  <c r="R31" i="70"/>
  <c r="P16" i="37"/>
  <c r="E27" i="58"/>
  <c r="Y27" i="100"/>
  <c r="Q18" i="100"/>
  <c r="Q43" i="100" s="1"/>
  <c r="E18" i="49"/>
  <c r="E43" i="49" s="1"/>
  <c r="P27" i="49"/>
  <c r="F18" i="88"/>
  <c r="F43" i="88" s="1"/>
  <c r="Q27" i="88"/>
  <c r="V13" i="37"/>
  <c r="V16" i="16"/>
  <c r="Q18" i="49"/>
  <c r="Q43" i="49" s="1"/>
  <c r="Y27" i="49"/>
  <c r="E27" i="47"/>
  <c r="N31" i="70"/>
  <c r="N22" i="2"/>
  <c r="L16" i="37"/>
  <c r="H42" i="37"/>
  <c r="J22" i="2"/>
  <c r="J31" i="70"/>
  <c r="H16" i="37"/>
  <c r="E27" i="51"/>
  <c r="AI20" i="16"/>
  <c r="AI17" i="37"/>
  <c r="D18" i="90"/>
  <c r="I27" i="90"/>
  <c r="O27" i="90"/>
  <c r="AG27" i="48"/>
  <c r="Y18" i="48"/>
  <c r="Y43" i="48" s="1"/>
  <c r="I34" i="37"/>
  <c r="I40" i="37"/>
  <c r="F18" i="47"/>
  <c r="F43" i="47" s="1"/>
  <c r="Q27" i="47"/>
  <c r="Z13" i="37"/>
  <c r="Z41" i="37" s="1"/>
  <c r="Z16" i="16"/>
  <c r="V42" i="37"/>
  <c r="Z12" i="16"/>
  <c r="Z49" i="37"/>
  <c r="Z9" i="37"/>
  <c r="AC20" i="16"/>
  <c r="AC17" i="16" s="1"/>
  <c r="AC17" i="37"/>
  <c r="P27" i="52"/>
  <c r="E18" i="52"/>
  <c r="E43" i="52" s="1"/>
  <c r="AG13" i="37"/>
  <c r="AG16" i="16"/>
  <c r="O27" i="48"/>
  <c r="D18" i="48"/>
  <c r="I27" i="48"/>
  <c r="Q31" i="70"/>
  <c r="E27" i="56"/>
  <c r="O16" i="37"/>
  <c r="Q22" i="2"/>
  <c r="AD13" i="37"/>
  <c r="AD41" i="37" s="1"/>
  <c r="AD16" i="16"/>
  <c r="Q27" i="64"/>
  <c r="F18" i="64"/>
  <c r="F43" i="64" s="1"/>
  <c r="AG12" i="16"/>
  <c r="AG49" i="37"/>
  <c r="AG9" i="37"/>
  <c r="G42" i="37"/>
  <c r="W12" i="2"/>
  <c r="S17" i="37"/>
  <c r="S20" i="16"/>
  <c r="S17" i="16" s="1"/>
  <c r="O27" i="84"/>
  <c r="D18" i="84"/>
  <c r="I27" i="84"/>
  <c r="M12" i="37"/>
  <c r="O12" i="2"/>
  <c r="D27" i="46"/>
  <c r="O17" i="70"/>
  <c r="R49" i="37"/>
  <c r="R12" i="16"/>
  <c r="R9" i="37"/>
  <c r="Q17" i="70"/>
  <c r="Q12" i="2"/>
  <c r="D27" i="56"/>
  <c r="O12" i="37"/>
  <c r="AV17" i="70"/>
  <c r="D27" i="95"/>
  <c r="AE12" i="37"/>
  <c r="AG17" i="70"/>
  <c r="AG12" i="2"/>
  <c r="AD49" i="37"/>
  <c r="AD12" i="16"/>
  <c r="AD9" i="37"/>
  <c r="T9" i="37"/>
  <c r="T12" i="16"/>
  <c r="T49" i="37"/>
  <c r="D27" i="77" l="1"/>
  <c r="D18" i="77" s="1"/>
  <c r="D20" i="37"/>
  <c r="F47" i="2"/>
  <c r="F27" i="45" s="1"/>
  <c r="AL17" i="70"/>
  <c r="U12" i="37"/>
  <c r="Z22" i="2"/>
  <c r="E27" i="82"/>
  <c r="Z31" i="70"/>
  <c r="X16" i="37"/>
  <c r="AO31" i="70"/>
  <c r="X20" i="16"/>
  <c r="X17" i="16" s="1"/>
  <c r="X17" i="37"/>
  <c r="X42" i="37" s="1"/>
  <c r="F18" i="82"/>
  <c r="F43" i="82" s="1"/>
  <c r="Q27" i="82"/>
  <c r="Y27" i="50"/>
  <c r="AB27" i="50" s="1"/>
  <c r="Q18" i="50"/>
  <c r="Q43" i="50" s="1"/>
  <c r="G13" i="16"/>
  <c r="J13" i="16"/>
  <c r="AH13" i="16"/>
  <c r="K9" i="16"/>
  <c r="T13" i="16"/>
  <c r="R13" i="16"/>
  <c r="AD13" i="16"/>
  <c r="AG13" i="16"/>
  <c r="Z13" i="16"/>
  <c r="V13" i="16"/>
  <c r="AG34" i="37"/>
  <c r="AG35" i="37" s="1"/>
  <c r="AH34" i="37"/>
  <c r="AH56" i="37" s="1"/>
  <c r="P27" i="51"/>
  <c r="E18" i="51"/>
  <c r="E43" i="51" s="1"/>
  <c r="Q18" i="46"/>
  <c r="Q43" i="46" s="1"/>
  <c r="Y27" i="46"/>
  <c r="W27" i="69"/>
  <c r="O18" i="69"/>
  <c r="T27" i="69"/>
  <c r="D43" i="99"/>
  <c r="I43" i="99" s="1"/>
  <c r="I18" i="99"/>
  <c r="D43" i="79"/>
  <c r="I43" i="79" s="1"/>
  <c r="I18" i="79"/>
  <c r="W42" i="37"/>
  <c r="L452" i="97"/>
  <c r="O43" i="50"/>
  <c r="D18" i="47"/>
  <c r="I27" i="47"/>
  <c r="O27" i="47"/>
  <c r="D43" i="52"/>
  <c r="I43" i="52" s="1"/>
  <c r="I18" i="52"/>
  <c r="Q18" i="77"/>
  <c r="Q43" i="77" s="1"/>
  <c r="Y27" i="77"/>
  <c r="AH55" i="37"/>
  <c r="X27" i="69"/>
  <c r="P18" i="69"/>
  <c r="P43" i="69" s="1"/>
  <c r="K69" i="37"/>
  <c r="I27" i="95"/>
  <c r="D18" i="95"/>
  <c r="O27" i="95"/>
  <c r="Y27" i="47"/>
  <c r="Q18" i="47"/>
  <c r="Q43" i="47" s="1"/>
  <c r="Q18" i="81"/>
  <c r="Q43" i="81" s="1"/>
  <c r="Y27" i="81"/>
  <c r="D13" i="37"/>
  <c r="D41" i="37" s="1"/>
  <c r="D16" i="16"/>
  <c r="Y27" i="88"/>
  <c r="Q18" i="88"/>
  <c r="Q43" i="88" s="1"/>
  <c r="Q18" i="96"/>
  <c r="Q43" i="96" s="1"/>
  <c r="Y27" i="96"/>
  <c r="U42" i="37"/>
  <c r="C20" i="16"/>
  <c r="C17" i="16" s="1"/>
  <c r="C17" i="37"/>
  <c r="AD40" i="37"/>
  <c r="AD34" i="37"/>
  <c r="AD57" i="37" s="1"/>
  <c r="O49" i="37"/>
  <c r="O12" i="16"/>
  <c r="O9" i="37"/>
  <c r="R69" i="37"/>
  <c r="E27" i="85"/>
  <c r="AR31" i="70"/>
  <c r="AC31" i="70"/>
  <c r="AA16" i="37"/>
  <c r="AC22" i="2"/>
  <c r="AG57" i="37"/>
  <c r="AG69" i="37"/>
  <c r="W27" i="90"/>
  <c r="T27" i="90"/>
  <c r="O18" i="90"/>
  <c r="T27" i="73"/>
  <c r="W27" i="73"/>
  <c r="O18" i="73"/>
  <c r="P27" i="46"/>
  <c r="E18" i="46"/>
  <c r="E43" i="46" s="1"/>
  <c r="Q18" i="58"/>
  <c r="Q43" i="58" s="1"/>
  <c r="Y27" i="58"/>
  <c r="AA42" i="37"/>
  <c r="Y18" i="95"/>
  <c r="Y43" i="95" s="1"/>
  <c r="AG27" i="95"/>
  <c r="O27" i="58"/>
  <c r="D18" i="58"/>
  <c r="I27" i="58"/>
  <c r="I18" i="100"/>
  <c r="D43" i="100"/>
  <c r="I43" i="100" s="1"/>
  <c r="X27" i="90"/>
  <c r="P18" i="90"/>
  <c r="P43" i="90" s="1"/>
  <c r="F18" i="54"/>
  <c r="F43" i="54" s="1"/>
  <c r="Q27" i="54"/>
  <c r="AH36" i="37"/>
  <c r="AE13" i="37"/>
  <c r="AE16" i="16"/>
  <c r="AG27" i="56"/>
  <c r="Y18" i="56"/>
  <c r="Y43" i="56" s="1"/>
  <c r="Q18" i="72"/>
  <c r="Q43" i="72" s="1"/>
  <c r="Y27" i="72"/>
  <c r="Q42" i="37"/>
  <c r="AF27" i="50"/>
  <c r="X18" i="50"/>
  <c r="X43" i="50" s="1"/>
  <c r="P27" i="45"/>
  <c r="E18" i="45"/>
  <c r="E43" i="45" s="1"/>
  <c r="AH17" i="70"/>
  <c r="AW17" i="70"/>
  <c r="AF12" i="37"/>
  <c r="AH12" i="2"/>
  <c r="D27" i="96"/>
  <c r="P27" i="47"/>
  <c r="E18" i="47"/>
  <c r="E43" i="47" s="1"/>
  <c r="I18" i="73"/>
  <c r="D43" i="73"/>
  <c r="I43" i="73" s="1"/>
  <c r="Q18" i="55"/>
  <c r="Q43" i="55" s="1"/>
  <c r="Y27" i="55"/>
  <c r="E20" i="16"/>
  <c r="E17" i="16" s="1"/>
  <c r="E17" i="37"/>
  <c r="Q27" i="41"/>
  <c r="F18" i="41"/>
  <c r="F43" i="41" s="1"/>
  <c r="R9" i="16"/>
  <c r="BA7" i="16"/>
  <c r="U22" i="2"/>
  <c r="E27" i="72"/>
  <c r="S16" i="37"/>
  <c r="U31" i="70"/>
  <c r="X27" i="79"/>
  <c r="P18" i="79"/>
  <c r="P43" i="79" s="1"/>
  <c r="F42" i="37"/>
  <c r="AA22" i="2"/>
  <c r="AP31" i="70"/>
  <c r="AA31" i="70"/>
  <c r="Y16" i="37"/>
  <c r="E27" i="83"/>
  <c r="I27" i="56"/>
  <c r="D18" i="56"/>
  <c r="O27" i="56"/>
  <c r="O13" i="37"/>
  <c r="O41" i="37" s="1"/>
  <c r="O16" i="16"/>
  <c r="Z34" i="37"/>
  <c r="Z40" i="37"/>
  <c r="X27" i="49"/>
  <c r="P18" i="49"/>
  <c r="P43" i="49" s="1"/>
  <c r="E18" i="58"/>
  <c r="E43" i="58" s="1"/>
  <c r="P27" i="58"/>
  <c r="W27" i="49"/>
  <c r="O18" i="49"/>
  <c r="T27" i="49"/>
  <c r="S12" i="37"/>
  <c r="D27" i="72"/>
  <c r="U12" i="2"/>
  <c r="U17" i="70"/>
  <c r="I27" i="45"/>
  <c r="D18" i="45"/>
  <c r="O27" i="45"/>
  <c r="Y27" i="53"/>
  <c r="Q18" i="53"/>
  <c r="Q43" i="53" s="1"/>
  <c r="AG27" i="52"/>
  <c r="Y18" i="52"/>
  <c r="Y43" i="52" s="1"/>
  <c r="AG27" i="73"/>
  <c r="Y18" i="73"/>
  <c r="Y43" i="73" s="1"/>
  <c r="P27" i="95"/>
  <c r="E18" i="95"/>
  <c r="E43" i="95" s="1"/>
  <c r="V69" i="37"/>
  <c r="H22" i="2"/>
  <c r="H31" i="70"/>
  <c r="E27" i="53"/>
  <c r="F16" i="37"/>
  <c r="G40" i="37"/>
  <c r="G34" i="37"/>
  <c r="G57" i="37" s="1"/>
  <c r="AG27" i="90"/>
  <c r="Y18" i="90"/>
  <c r="Y43" i="90" s="1"/>
  <c r="T40" i="37"/>
  <c r="T34" i="37"/>
  <c r="D43" i="84"/>
  <c r="I43" i="84" s="1"/>
  <c r="I18" i="84"/>
  <c r="W27" i="48"/>
  <c r="T27" i="48"/>
  <c r="O18" i="48"/>
  <c r="U13" i="37"/>
  <c r="U16" i="16"/>
  <c r="D27" i="55"/>
  <c r="P12" i="2"/>
  <c r="N12" i="37"/>
  <c r="P17" i="70"/>
  <c r="AT7" i="16"/>
  <c r="K13" i="16"/>
  <c r="K34" i="16" s="1"/>
  <c r="AG27" i="84"/>
  <c r="Y18" i="84"/>
  <c r="Y43" i="84" s="1"/>
  <c r="AH9" i="16"/>
  <c r="BQ7" i="16"/>
  <c r="AG55" i="37"/>
  <c r="AC42" i="37"/>
  <c r="L12" i="16"/>
  <c r="L9" i="37"/>
  <c r="L49" i="37"/>
  <c r="P31" i="70"/>
  <c r="E27" i="55"/>
  <c r="N16" i="37"/>
  <c r="P22" i="2"/>
  <c r="AD9" i="16"/>
  <c r="BM7" i="16"/>
  <c r="D18" i="46"/>
  <c r="I27" i="46"/>
  <c r="O27" i="46"/>
  <c r="U12" i="16"/>
  <c r="U9" i="37"/>
  <c r="U49" i="37"/>
  <c r="P27" i="56"/>
  <c r="E18" i="56"/>
  <c r="E43" i="56" s="1"/>
  <c r="X27" i="52"/>
  <c r="P18" i="52"/>
  <c r="P43" i="52" s="1"/>
  <c r="Z69" i="37"/>
  <c r="Z57" i="37"/>
  <c r="D43" i="90"/>
  <c r="I43" i="90" s="1"/>
  <c r="I18" i="90"/>
  <c r="P13" i="37"/>
  <c r="P41" i="37" s="1"/>
  <c r="P16" i="16"/>
  <c r="D43" i="49"/>
  <c r="I43" i="49" s="1"/>
  <c r="I18" i="49"/>
  <c r="X27" i="48"/>
  <c r="P18" i="48"/>
  <c r="P43" i="48" s="1"/>
  <c r="M13" i="37"/>
  <c r="M41" i="37" s="1"/>
  <c r="M16" i="16"/>
  <c r="AB13" i="37"/>
  <c r="AB41" i="37" s="1"/>
  <c r="AB16" i="16"/>
  <c r="D12" i="16"/>
  <c r="D49" i="37"/>
  <c r="D9" i="37"/>
  <c r="X27" i="84"/>
  <c r="P18" i="84"/>
  <c r="P43" i="84" s="1"/>
  <c r="P9" i="37"/>
  <c r="P12" i="16"/>
  <c r="P49" i="37"/>
  <c r="Y42" i="37"/>
  <c r="Y18" i="79"/>
  <c r="Y43" i="79" s="1"/>
  <c r="AG27" i="79"/>
  <c r="V9" i="16"/>
  <c r="BE7" i="16"/>
  <c r="AF16" i="37"/>
  <c r="AW31" i="70"/>
  <c r="AH31" i="70"/>
  <c r="AH22" i="2"/>
  <c r="E27" i="96"/>
  <c r="G9" i="16"/>
  <c r="G34" i="16" s="1"/>
  <c r="AP7" i="16"/>
  <c r="AE9" i="37"/>
  <c r="AE34" i="37" s="1"/>
  <c r="AE12" i="16"/>
  <c r="AE49" i="37"/>
  <c r="D43" i="48"/>
  <c r="I43" i="48" s="1"/>
  <c r="I18" i="48"/>
  <c r="X27" i="99"/>
  <c r="P18" i="99"/>
  <c r="P43" i="99" s="1"/>
  <c r="O18" i="84"/>
  <c r="T27" i="84"/>
  <c r="W27" i="84"/>
  <c r="AG18" i="48"/>
  <c r="AN27" i="48"/>
  <c r="J13" i="60" s="1"/>
  <c r="J25" i="60" s="1"/>
  <c r="E18" i="87"/>
  <c r="E43" i="87" s="1"/>
  <c r="P27" i="87"/>
  <c r="P27" i="77"/>
  <c r="E18" i="77"/>
  <c r="E43" i="77" s="1"/>
  <c r="O18" i="100"/>
  <c r="T27" i="100"/>
  <c r="W27" i="100"/>
  <c r="AD69" i="37"/>
  <c r="T69" i="37"/>
  <c r="S42" i="37"/>
  <c r="Y27" i="64"/>
  <c r="Q18" i="64"/>
  <c r="Q43" i="64" s="1"/>
  <c r="Z9" i="16"/>
  <c r="Z34" i="16" s="1"/>
  <c r="BI7" i="16"/>
  <c r="H12" i="2"/>
  <c r="H17" i="70"/>
  <c r="F12" i="37"/>
  <c r="D27" i="53"/>
  <c r="L13" i="37"/>
  <c r="L41" i="37" s="1"/>
  <c r="L16" i="16"/>
  <c r="AK22" i="2"/>
  <c r="AL22" i="2" s="1"/>
  <c r="AL32" i="2"/>
  <c r="AI16" i="37"/>
  <c r="E27" i="101"/>
  <c r="D27" i="85"/>
  <c r="AC12" i="2"/>
  <c r="AR17" i="70"/>
  <c r="AA12" i="37"/>
  <c r="AC17" i="70"/>
  <c r="AB9" i="37"/>
  <c r="AB49" i="37"/>
  <c r="AB12" i="16"/>
  <c r="J40" i="37"/>
  <c r="J34" i="37"/>
  <c r="Y27" i="101"/>
  <c r="Q18" i="101"/>
  <c r="Q43" i="101" s="1"/>
  <c r="Y18" i="51"/>
  <c r="Y43" i="51" s="1"/>
  <c r="AG27" i="51"/>
  <c r="Y17" i="70"/>
  <c r="D27" i="81"/>
  <c r="AN17" i="70"/>
  <c r="Y12" i="2"/>
  <c r="W12" i="37"/>
  <c r="Y18" i="69"/>
  <c r="Y43" i="69" s="1"/>
  <c r="AG27" i="69"/>
  <c r="P42" i="37"/>
  <c r="W27" i="79"/>
  <c r="O18" i="79"/>
  <c r="T27" i="79"/>
  <c r="N42" i="37"/>
  <c r="Y27" i="83"/>
  <c r="Q18" i="83"/>
  <c r="Q43" i="83" s="1"/>
  <c r="AE27" i="50"/>
  <c r="W18" i="50"/>
  <c r="H9" i="37"/>
  <c r="H49" i="37"/>
  <c r="H12" i="16"/>
  <c r="V34" i="37"/>
  <c r="V57" i="37" s="1"/>
  <c r="AG27" i="87"/>
  <c r="Y18" i="87"/>
  <c r="Y43" i="87" s="1"/>
  <c r="G69" i="37"/>
  <c r="AC12" i="37"/>
  <c r="D27" i="88"/>
  <c r="AE12" i="2"/>
  <c r="AE17" i="70"/>
  <c r="AT17" i="70"/>
  <c r="AA12" i="2"/>
  <c r="Y12" i="37"/>
  <c r="AP17" i="70"/>
  <c r="D27" i="83"/>
  <c r="AA17" i="70"/>
  <c r="L42" i="37"/>
  <c r="AN31" i="70"/>
  <c r="Y31" i="70"/>
  <c r="E27" i="81"/>
  <c r="Y22" i="2"/>
  <c r="W16" i="37"/>
  <c r="R34" i="37"/>
  <c r="R40" i="37"/>
  <c r="H13" i="37"/>
  <c r="H41" i="37" s="1"/>
  <c r="H16" i="16"/>
  <c r="AG27" i="100"/>
  <c r="Y18" i="100"/>
  <c r="Y43" i="100" s="1"/>
  <c r="X27" i="73"/>
  <c r="P18" i="73"/>
  <c r="P43" i="73" s="1"/>
  <c r="O18" i="99"/>
  <c r="W27" i="99"/>
  <c r="T27" i="99"/>
  <c r="AE31" i="70"/>
  <c r="E27" i="88"/>
  <c r="AT31" i="70"/>
  <c r="AE22" i="2"/>
  <c r="AC16" i="37"/>
  <c r="Y18" i="49"/>
  <c r="Y43" i="49" s="1"/>
  <c r="AG27" i="49"/>
  <c r="AG9" i="16"/>
  <c r="BP7" i="16"/>
  <c r="I57" i="37"/>
  <c r="I35" i="37"/>
  <c r="I55" i="37"/>
  <c r="I56" i="37"/>
  <c r="I36" i="37"/>
  <c r="Q12" i="37"/>
  <c r="D27" i="64"/>
  <c r="S17" i="70"/>
  <c r="S12" i="2"/>
  <c r="T9" i="16"/>
  <c r="BC7" i="16"/>
  <c r="S31" i="70"/>
  <c r="E27" i="64"/>
  <c r="S22" i="2"/>
  <c r="Q16" i="37"/>
  <c r="M9" i="37"/>
  <c r="M49" i="37"/>
  <c r="M12" i="16"/>
  <c r="AJ20" i="16"/>
  <c r="AI17" i="16"/>
  <c r="D18" i="87"/>
  <c r="I27" i="87"/>
  <c r="O27" i="87"/>
  <c r="J9" i="16"/>
  <c r="J34" i="16" s="1"/>
  <c r="AS7" i="16"/>
  <c r="Q18" i="85"/>
  <c r="Q43" i="85" s="1"/>
  <c r="Y27" i="85"/>
  <c r="D27" i="101"/>
  <c r="AL18" i="2"/>
  <c r="AI12" i="37"/>
  <c r="AK12" i="2"/>
  <c r="AL12" i="2" s="1"/>
  <c r="AG27" i="99"/>
  <c r="AG18" i="99" s="1"/>
  <c r="Y18" i="99"/>
  <c r="Y43" i="99" s="1"/>
  <c r="I18" i="69"/>
  <c r="D43" i="69"/>
  <c r="I43" i="69" s="1"/>
  <c r="AR15" i="16"/>
  <c r="AR14" i="16"/>
  <c r="I35" i="16"/>
  <c r="AR13" i="16"/>
  <c r="I36" i="16"/>
  <c r="I27" i="51"/>
  <c r="D18" i="51"/>
  <c r="O27" i="51"/>
  <c r="X27" i="100"/>
  <c r="P18" i="100"/>
  <c r="P43" i="100" s="1"/>
  <c r="T27" i="52"/>
  <c r="O18" i="52"/>
  <c r="W27" i="52"/>
  <c r="AH69" i="37"/>
  <c r="AH57" i="37"/>
  <c r="K40" i="37"/>
  <c r="K34" i="37"/>
  <c r="AG36" i="37"/>
  <c r="M42" i="37"/>
  <c r="AH35" i="37" l="1"/>
  <c r="AD34" i="16"/>
  <c r="I27" i="77"/>
  <c r="O27" i="77"/>
  <c r="T18" i="50"/>
  <c r="T43" i="50"/>
  <c r="T34" i="16"/>
  <c r="BC13" i="16" s="1"/>
  <c r="AG56" i="37"/>
  <c r="Q18" i="82"/>
  <c r="Q43" i="82" s="1"/>
  <c r="Y27" i="82"/>
  <c r="Z17" i="70"/>
  <c r="X12" i="37"/>
  <c r="D27" i="82"/>
  <c r="AO17" i="70"/>
  <c r="Z12" i="2"/>
  <c r="X13" i="37"/>
  <c r="X41" i="37" s="1"/>
  <c r="X16" i="16"/>
  <c r="Q27" i="45"/>
  <c r="F18" i="45"/>
  <c r="F43" i="45" s="1"/>
  <c r="V34" i="16"/>
  <c r="Y18" i="50"/>
  <c r="Y43" i="50" s="1"/>
  <c r="AG27" i="50"/>
  <c r="AJ27" i="50" s="1"/>
  <c r="D20" i="16"/>
  <c r="D17" i="16" s="1"/>
  <c r="D17" i="37"/>
  <c r="D42" i="37" s="1"/>
  <c r="E18" i="82"/>
  <c r="E43" i="82" s="1"/>
  <c r="P27" i="82"/>
  <c r="AG34" i="16"/>
  <c r="BP14" i="16" s="1"/>
  <c r="D13" i="16"/>
  <c r="R34" i="16"/>
  <c r="H13" i="16"/>
  <c r="L13" i="16"/>
  <c r="AB13" i="16"/>
  <c r="P13" i="16"/>
  <c r="AH34" i="16"/>
  <c r="BQ14" i="16" s="1"/>
  <c r="AE13" i="16"/>
  <c r="U13" i="16"/>
  <c r="M13" i="16"/>
  <c r="O13" i="16"/>
  <c r="T35" i="16"/>
  <c r="BC14" i="16"/>
  <c r="T36" i="16"/>
  <c r="J35" i="16"/>
  <c r="AS13" i="16"/>
  <c r="AS14" i="16"/>
  <c r="J36" i="16"/>
  <c r="AP13" i="16"/>
  <c r="G35" i="16"/>
  <c r="AP14" i="16"/>
  <c r="G36" i="16"/>
  <c r="BM14" i="16"/>
  <c r="BM13" i="16"/>
  <c r="AD35" i="16"/>
  <c r="AD36" i="16"/>
  <c r="Z35" i="16"/>
  <c r="BI13" i="16"/>
  <c r="BI14" i="16"/>
  <c r="Z36" i="16"/>
  <c r="I18" i="51"/>
  <c r="D43" i="51"/>
  <c r="I43" i="51" s="1"/>
  <c r="I27" i="64"/>
  <c r="D18" i="64"/>
  <c r="O27" i="64"/>
  <c r="Y49" i="37"/>
  <c r="Y12" i="16"/>
  <c r="Y9" i="37"/>
  <c r="H40" i="37"/>
  <c r="H34" i="37"/>
  <c r="H57" i="37" s="1"/>
  <c r="AA12" i="16"/>
  <c r="AA9" i="37"/>
  <c r="AA49" i="37"/>
  <c r="X27" i="77"/>
  <c r="P18" i="77"/>
  <c r="P43" i="77" s="1"/>
  <c r="E18" i="53"/>
  <c r="E43" i="53" s="1"/>
  <c r="P27" i="53"/>
  <c r="K56" i="37"/>
  <c r="K35" i="37"/>
  <c r="K55" i="37"/>
  <c r="K36" i="37"/>
  <c r="W13" i="37"/>
  <c r="W41" i="37" s="1"/>
  <c r="W16" i="16"/>
  <c r="Y18" i="83"/>
  <c r="Y43" i="83" s="1"/>
  <c r="AG27" i="83"/>
  <c r="AB69" i="37"/>
  <c r="F9" i="37"/>
  <c r="F49" i="37"/>
  <c r="F12" i="16"/>
  <c r="AE27" i="84"/>
  <c r="W18" i="84"/>
  <c r="AB27" i="84"/>
  <c r="P40" i="37"/>
  <c r="P34" i="37"/>
  <c r="AF27" i="52"/>
  <c r="X18" i="52"/>
  <c r="X43" i="52" s="1"/>
  <c r="AG18" i="84"/>
  <c r="AN27" i="84"/>
  <c r="Y13" i="60" s="1"/>
  <c r="Y25" i="60" s="1"/>
  <c r="W27" i="51"/>
  <c r="T27" i="51"/>
  <c r="O18" i="51"/>
  <c r="AI9" i="37"/>
  <c r="AI49" i="37"/>
  <c r="AI12" i="16"/>
  <c r="M34" i="37"/>
  <c r="M40" i="37"/>
  <c r="P27" i="81"/>
  <c r="E18" i="81"/>
  <c r="E43" i="81" s="1"/>
  <c r="H69" i="37"/>
  <c r="AC452" i="97"/>
  <c r="O43" i="84"/>
  <c r="T43" i="84" s="1"/>
  <c r="T18" i="84"/>
  <c r="AE69" i="37"/>
  <c r="AE57" i="37"/>
  <c r="AF27" i="84"/>
  <c r="X18" i="84"/>
  <c r="X43" i="84" s="1"/>
  <c r="X27" i="56"/>
  <c r="P18" i="56"/>
  <c r="P43" i="56" s="1"/>
  <c r="L40" i="37"/>
  <c r="L34" i="37"/>
  <c r="L57" i="37" s="1"/>
  <c r="AT15" i="16"/>
  <c r="F13" i="37"/>
  <c r="F41" i="37" s="1"/>
  <c r="F16" i="16"/>
  <c r="X27" i="95"/>
  <c r="P18" i="95"/>
  <c r="P43" i="95" s="1"/>
  <c r="AB27" i="49"/>
  <c r="W18" i="49"/>
  <c r="AE27" i="49"/>
  <c r="X27" i="45"/>
  <c r="P18" i="45"/>
  <c r="P43" i="45" s="1"/>
  <c r="AN27" i="56"/>
  <c r="N13" i="60" s="1"/>
  <c r="N25" i="60" s="1"/>
  <c r="AG18" i="56"/>
  <c r="AF27" i="90"/>
  <c r="X18" i="90"/>
  <c r="X43" i="90" s="1"/>
  <c r="AB27" i="90"/>
  <c r="AE27" i="90"/>
  <c r="W18" i="90"/>
  <c r="O40" i="37"/>
  <c r="O34" i="37"/>
  <c r="O57" i="37" s="1"/>
  <c r="AG27" i="77"/>
  <c r="Y18" i="77"/>
  <c r="Y43" i="77" s="1"/>
  <c r="W49" i="37"/>
  <c r="W12" i="16"/>
  <c r="W9" i="37"/>
  <c r="BI15" i="16"/>
  <c r="D40" i="37"/>
  <c r="D34" i="37"/>
  <c r="D57" i="37" s="1"/>
  <c r="BM15" i="16"/>
  <c r="X27" i="47"/>
  <c r="P18" i="47"/>
  <c r="P43" i="47" s="1"/>
  <c r="O9" i="16"/>
  <c r="AX7" i="16"/>
  <c r="Y18" i="96"/>
  <c r="Y43" i="96" s="1"/>
  <c r="AG27" i="96"/>
  <c r="K57" i="37"/>
  <c r="I27" i="101"/>
  <c r="D18" i="101"/>
  <c r="O27" i="101"/>
  <c r="AE56" i="37"/>
  <c r="AE55" i="37"/>
  <c r="AE35" i="37"/>
  <c r="AE36" i="37"/>
  <c r="U34" i="37"/>
  <c r="U57" i="37" s="1"/>
  <c r="O43" i="48"/>
  <c r="T43" i="48" s="1"/>
  <c r="N452" i="97"/>
  <c r="T18" i="48"/>
  <c r="C12" i="37"/>
  <c r="D27" i="41"/>
  <c r="E17" i="70"/>
  <c r="E12" i="2"/>
  <c r="X27" i="58"/>
  <c r="P18" i="58"/>
  <c r="P43" i="58" s="1"/>
  <c r="E42" i="37"/>
  <c r="D18" i="96"/>
  <c r="O27" i="96"/>
  <c r="I27" i="96"/>
  <c r="U452" i="97"/>
  <c r="O43" i="69"/>
  <c r="T43" i="69" s="1"/>
  <c r="T18" i="69"/>
  <c r="AB27" i="52"/>
  <c r="AE27" i="52"/>
  <c r="W18" i="52"/>
  <c r="AN27" i="99"/>
  <c r="AF13" i="60" s="1"/>
  <c r="AF25" i="60" s="1"/>
  <c r="Y18" i="85"/>
  <c r="Y43" i="85" s="1"/>
  <c r="AG27" i="85"/>
  <c r="P27" i="64"/>
  <c r="E18" i="64"/>
  <c r="E43" i="64" s="1"/>
  <c r="W18" i="99"/>
  <c r="AB27" i="99"/>
  <c r="AE27" i="99"/>
  <c r="W18" i="79"/>
  <c r="AE27" i="79"/>
  <c r="AB27" i="79"/>
  <c r="J57" i="37"/>
  <c r="J35" i="37"/>
  <c r="J56" i="37"/>
  <c r="J55" i="37"/>
  <c r="J36" i="37"/>
  <c r="G31" i="70"/>
  <c r="E27" i="54"/>
  <c r="E16" i="37"/>
  <c r="G22" i="2"/>
  <c r="AP15" i="16"/>
  <c r="D9" i="16"/>
  <c r="D34" i="16" s="1"/>
  <c r="AM7" i="16"/>
  <c r="AF27" i="48"/>
  <c r="X18" i="48"/>
  <c r="X43" i="48" s="1"/>
  <c r="U9" i="16"/>
  <c r="U34" i="16" s="1"/>
  <c r="BD7" i="16"/>
  <c r="AN27" i="73"/>
  <c r="S13" i="60" s="1"/>
  <c r="S25" i="60" s="1"/>
  <c r="AG18" i="73"/>
  <c r="I27" i="72"/>
  <c r="D18" i="72"/>
  <c r="O27" i="72"/>
  <c r="I18" i="56"/>
  <c r="D43" i="56"/>
  <c r="I43" i="56" s="1"/>
  <c r="S13" i="37"/>
  <c r="S41" i="37" s="1"/>
  <c r="S16" i="16"/>
  <c r="O43" i="73"/>
  <c r="T43" i="73" s="1"/>
  <c r="W452" i="97"/>
  <c r="T18" i="73"/>
  <c r="AD35" i="37"/>
  <c r="AD55" i="37"/>
  <c r="AD56" i="37"/>
  <c r="AD36" i="37"/>
  <c r="AE27" i="69"/>
  <c r="W18" i="69"/>
  <c r="AB27" i="69"/>
  <c r="D43" i="87"/>
  <c r="I43" i="87" s="1"/>
  <c r="I18" i="87"/>
  <c r="L9" i="16"/>
  <c r="L34" i="16" s="1"/>
  <c r="AU7" i="16"/>
  <c r="T57" i="37"/>
  <c r="T55" i="37"/>
  <c r="T56" i="37"/>
  <c r="T35" i="37"/>
  <c r="T36" i="37"/>
  <c r="Q18" i="41"/>
  <c r="Q43" i="41" s="1"/>
  <c r="Y27" i="41"/>
  <c r="AJ17" i="16"/>
  <c r="AN27" i="49"/>
  <c r="I13" i="60" s="1"/>
  <c r="I25" i="60" s="1"/>
  <c r="AG18" i="49"/>
  <c r="W43" i="50"/>
  <c r="Y18" i="101"/>
  <c r="Y43" i="101" s="1"/>
  <c r="AG27" i="101"/>
  <c r="X27" i="87"/>
  <c r="P18" i="87"/>
  <c r="P43" i="87" s="1"/>
  <c r="BE15" i="16"/>
  <c r="N12" i="16"/>
  <c r="N9" i="37"/>
  <c r="N49" i="37"/>
  <c r="T27" i="56"/>
  <c r="O18" i="56"/>
  <c r="W27" i="56"/>
  <c r="AM27" i="50"/>
  <c r="AF18" i="50"/>
  <c r="X27" i="46"/>
  <c r="P18" i="46"/>
  <c r="P43" i="46" s="1"/>
  <c r="O69" i="37"/>
  <c r="O43" i="52"/>
  <c r="T43" i="52" s="1"/>
  <c r="J452" i="97"/>
  <c r="T18" i="52"/>
  <c r="AC13" i="37"/>
  <c r="AC41" i="37" s="1"/>
  <c r="AC16" i="16"/>
  <c r="AJ452" i="97"/>
  <c r="O43" i="99"/>
  <c r="T43" i="99" s="1"/>
  <c r="T18" i="99"/>
  <c r="AE18" i="50"/>
  <c r="AL27" i="50"/>
  <c r="D18" i="81"/>
  <c r="O27" i="81"/>
  <c r="I27" i="81"/>
  <c r="I27" i="85"/>
  <c r="O27" i="85"/>
  <c r="D18" i="85"/>
  <c r="AG27" i="64"/>
  <c r="Y18" i="64"/>
  <c r="Y43" i="64" s="1"/>
  <c r="AG18" i="79"/>
  <c r="AN27" i="79"/>
  <c r="U13" i="60" s="1"/>
  <c r="U25" i="60" s="1"/>
  <c r="P69" i="37"/>
  <c r="N13" i="37"/>
  <c r="N41" i="37" s="1"/>
  <c r="N16" i="16"/>
  <c r="D18" i="55"/>
  <c r="I27" i="55"/>
  <c r="O27" i="55"/>
  <c r="W18" i="48"/>
  <c r="AB27" i="48"/>
  <c r="AE27" i="48"/>
  <c r="AG18" i="90"/>
  <c r="AN27" i="90"/>
  <c r="AC13" i="60" s="1"/>
  <c r="AC25" i="60" s="1"/>
  <c r="O18" i="45"/>
  <c r="W27" i="45"/>
  <c r="S12" i="16"/>
  <c r="S9" i="37"/>
  <c r="S49" i="37"/>
  <c r="E18" i="72"/>
  <c r="E43" i="72" s="1"/>
  <c r="P27" i="72"/>
  <c r="Y18" i="55"/>
  <c r="Y43" i="55" s="1"/>
  <c r="AG27" i="55"/>
  <c r="AF49" i="37"/>
  <c r="AF9" i="37"/>
  <c r="AF12" i="16"/>
  <c r="I18" i="58"/>
  <c r="D43" i="58"/>
  <c r="I43" i="58" s="1"/>
  <c r="AE27" i="73"/>
  <c r="AB27" i="73"/>
  <c r="W18" i="73"/>
  <c r="P27" i="85"/>
  <c r="E18" i="85"/>
  <c r="E43" i="85" s="1"/>
  <c r="AG27" i="88"/>
  <c r="Y18" i="88"/>
  <c r="Y43" i="88" s="1"/>
  <c r="AG27" i="47"/>
  <c r="Y18" i="47"/>
  <c r="Y43" i="47" s="1"/>
  <c r="AF27" i="69"/>
  <c r="X18" i="69"/>
  <c r="X43" i="69" s="1"/>
  <c r="W27" i="47"/>
  <c r="T27" i="47"/>
  <c r="O18" i="47"/>
  <c r="AG27" i="46"/>
  <c r="Y18" i="46"/>
  <c r="Y43" i="46" s="1"/>
  <c r="AE9" i="16"/>
  <c r="AE34" i="16" s="1"/>
  <c r="BN7" i="16"/>
  <c r="Y18" i="53"/>
  <c r="Y43" i="53" s="1"/>
  <c r="AG27" i="53"/>
  <c r="AA13" i="37"/>
  <c r="AA41" i="37" s="1"/>
  <c r="AA16" i="16"/>
  <c r="Q12" i="16"/>
  <c r="Q49" i="37"/>
  <c r="Q9" i="37"/>
  <c r="O43" i="79"/>
  <c r="T43" i="79" s="1"/>
  <c r="Y452" i="97"/>
  <c r="T18" i="79"/>
  <c r="AF27" i="99"/>
  <c r="X18" i="99"/>
  <c r="X43" i="99" s="1"/>
  <c r="E27" i="41"/>
  <c r="E31" i="70"/>
  <c r="C16" i="37"/>
  <c r="E22" i="2"/>
  <c r="D69" i="37"/>
  <c r="AS15" i="16"/>
  <c r="BC15" i="16"/>
  <c r="R56" i="37"/>
  <c r="R55" i="37"/>
  <c r="R35" i="37"/>
  <c r="R36" i="37"/>
  <c r="BE13" i="16"/>
  <c r="V35" i="16"/>
  <c r="BE14" i="16"/>
  <c r="V36" i="16"/>
  <c r="AG18" i="87"/>
  <c r="AN27" i="87"/>
  <c r="AA13" i="60" s="1"/>
  <c r="AA25" i="60" s="1"/>
  <c r="AB9" i="16"/>
  <c r="BK7" i="16"/>
  <c r="E18" i="101"/>
  <c r="E43" i="101" s="1"/>
  <c r="P27" i="101"/>
  <c r="D18" i="53"/>
  <c r="O27" i="53"/>
  <c r="I27" i="53"/>
  <c r="W18" i="100"/>
  <c r="AE27" i="100"/>
  <c r="AB27" i="100"/>
  <c r="AG43" i="48"/>
  <c r="AN18" i="48"/>
  <c r="AN43" i="48" s="1"/>
  <c r="K76" i="10"/>
  <c r="P27" i="96"/>
  <c r="E18" i="96"/>
  <c r="E43" i="96" s="1"/>
  <c r="P9" i="16"/>
  <c r="AY7" i="16"/>
  <c r="T27" i="46"/>
  <c r="O18" i="46"/>
  <c r="W27" i="46"/>
  <c r="E18" i="55"/>
  <c r="E43" i="55" s="1"/>
  <c r="P27" i="55"/>
  <c r="G56" i="37"/>
  <c r="G55" i="37"/>
  <c r="G35" i="37"/>
  <c r="G36" i="37"/>
  <c r="AN27" i="52"/>
  <c r="F13" i="60" s="1"/>
  <c r="F25" i="60" s="1"/>
  <c r="AG18" i="52"/>
  <c r="D43" i="45"/>
  <c r="I43" i="45" s="1"/>
  <c r="I18" i="45"/>
  <c r="AF27" i="49"/>
  <c r="X18" i="49"/>
  <c r="X43" i="49" s="1"/>
  <c r="P27" i="83"/>
  <c r="E18" i="83"/>
  <c r="E43" i="83" s="1"/>
  <c r="AF27" i="79"/>
  <c r="X18" i="79"/>
  <c r="X43" i="79" s="1"/>
  <c r="AG27" i="72"/>
  <c r="Y18" i="72"/>
  <c r="Y43" i="72" s="1"/>
  <c r="Y27" i="54"/>
  <c r="Q18" i="54"/>
  <c r="Q43" i="54" s="1"/>
  <c r="O18" i="58"/>
  <c r="T27" i="58"/>
  <c r="W27" i="58"/>
  <c r="AG27" i="58"/>
  <c r="Y18" i="58"/>
  <c r="Y43" i="58" s="1"/>
  <c r="C42" i="37"/>
  <c r="O18" i="95"/>
  <c r="W27" i="95"/>
  <c r="T27" i="95"/>
  <c r="I18" i="95"/>
  <c r="D43" i="95"/>
  <c r="I43" i="95" s="1"/>
  <c r="D43" i="47"/>
  <c r="I43" i="47" s="1"/>
  <c r="I18" i="47"/>
  <c r="Q13" i="37"/>
  <c r="Q41" i="37" s="1"/>
  <c r="Q16" i="16"/>
  <c r="AG18" i="100"/>
  <c r="AN27" i="100"/>
  <c r="AG13" i="60" s="1"/>
  <c r="AG25" i="60" s="1"/>
  <c r="AF13" i="37"/>
  <c r="AF16" i="16"/>
  <c r="U69" i="37"/>
  <c r="M9" i="16"/>
  <c r="M34" i="16" s="1"/>
  <c r="AV7" i="16"/>
  <c r="AF27" i="73"/>
  <c r="X18" i="73"/>
  <c r="X43" i="73" s="1"/>
  <c r="D18" i="88"/>
  <c r="I27" i="88"/>
  <c r="O27" i="88"/>
  <c r="V56" i="37"/>
  <c r="V55" i="37"/>
  <c r="V35" i="37"/>
  <c r="V36" i="37"/>
  <c r="AI13" i="37"/>
  <c r="AI16" i="16"/>
  <c r="R35" i="16"/>
  <c r="BA13" i="16"/>
  <c r="BA14" i="16"/>
  <c r="R36" i="16"/>
  <c r="Y13" i="37"/>
  <c r="Y41" i="37" s="1"/>
  <c r="Y16" i="16"/>
  <c r="BA15" i="16"/>
  <c r="AN27" i="95"/>
  <c r="AD13" i="60" s="1"/>
  <c r="AD25" i="60" s="1"/>
  <c r="AG18" i="95"/>
  <c r="O43" i="90"/>
  <c r="T43" i="90" s="1"/>
  <c r="AG452" i="97"/>
  <c r="T18" i="90"/>
  <c r="W27" i="77"/>
  <c r="T27" i="77"/>
  <c r="O18" i="77"/>
  <c r="R57" i="37"/>
  <c r="AF27" i="100"/>
  <c r="X18" i="100"/>
  <c r="X43" i="100" s="1"/>
  <c r="O18" i="87"/>
  <c r="W27" i="87"/>
  <c r="T27" i="87"/>
  <c r="M69" i="37"/>
  <c r="P27" i="88"/>
  <c r="E18" i="88"/>
  <c r="E43" i="88" s="1"/>
  <c r="I27" i="83"/>
  <c r="O27" i="83"/>
  <c r="D18" i="83"/>
  <c r="AC49" i="37"/>
  <c r="AC12" i="16"/>
  <c r="AC9" i="37"/>
  <c r="H9" i="16"/>
  <c r="H34" i="16" s="1"/>
  <c r="AQ7" i="16"/>
  <c r="AN27" i="69"/>
  <c r="Q13" i="60" s="1"/>
  <c r="Q25" i="60" s="1"/>
  <c r="AG18" i="69"/>
  <c r="AG18" i="51"/>
  <c r="AN27" i="51"/>
  <c r="G13" i="60" s="1"/>
  <c r="G25" i="60" s="1"/>
  <c r="AB34" i="37"/>
  <c r="AB57" i="37" s="1"/>
  <c r="AB40" i="37"/>
  <c r="AK452" i="97"/>
  <c r="O43" i="100"/>
  <c r="T43" i="100" s="1"/>
  <c r="T18" i="100"/>
  <c r="I18" i="46"/>
  <c r="D43" i="46"/>
  <c r="I43" i="46" s="1"/>
  <c r="L69" i="37"/>
  <c r="AT13" i="16"/>
  <c r="AT14" i="16"/>
  <c r="K35" i="16"/>
  <c r="K36" i="16"/>
  <c r="G17" i="70"/>
  <c r="D27" i="54"/>
  <c r="G12" i="2"/>
  <c r="E12" i="37"/>
  <c r="O43" i="49"/>
  <c r="T43" i="49" s="1"/>
  <c r="M452" i="97"/>
  <c r="T18" i="49"/>
  <c r="Z56" i="37"/>
  <c r="Z35" i="37"/>
  <c r="Z55" i="37"/>
  <c r="Z36" i="37"/>
  <c r="I18" i="77"/>
  <c r="D43" i="77"/>
  <c r="I43" i="77" s="1"/>
  <c r="AG27" i="81"/>
  <c r="Y18" i="81"/>
  <c r="Y43" i="81" s="1"/>
  <c r="X27" i="51"/>
  <c r="P18" i="51"/>
  <c r="P43" i="51" s="1"/>
  <c r="AB34" i="16" l="1"/>
  <c r="AH36" i="16"/>
  <c r="BQ15" i="16"/>
  <c r="AH35" i="16"/>
  <c r="BQ13" i="16"/>
  <c r="T27" i="45"/>
  <c r="AB18" i="50"/>
  <c r="AB43" i="50"/>
  <c r="X27" i="82"/>
  <c r="P18" i="82"/>
  <c r="P43" i="82" s="1"/>
  <c r="Y27" i="45"/>
  <c r="Q18" i="45"/>
  <c r="Q43" i="45" s="1"/>
  <c r="X13" i="16"/>
  <c r="X49" i="37"/>
  <c r="X12" i="16"/>
  <c r="X9" i="37"/>
  <c r="I27" i="82"/>
  <c r="O27" i="82"/>
  <c r="D18" i="82"/>
  <c r="Y18" i="82"/>
  <c r="Y43" i="82" s="1"/>
  <c r="AG27" i="82"/>
  <c r="AN27" i="50"/>
  <c r="H13" i="60" s="1"/>
  <c r="H25" i="60" s="1"/>
  <c r="AG18" i="50"/>
  <c r="AJ18" i="50" s="1"/>
  <c r="AJ43" i="50" s="1"/>
  <c r="Y13" i="16"/>
  <c r="AG36" i="16"/>
  <c r="Q13" i="16"/>
  <c r="N13" i="16"/>
  <c r="AA9" i="16"/>
  <c r="BP13" i="16"/>
  <c r="AF13" i="16"/>
  <c r="AG35" i="16"/>
  <c r="F13" i="16"/>
  <c r="S13" i="16"/>
  <c r="O34" i="16"/>
  <c r="AX13" i="16" s="1"/>
  <c r="BP15" i="16"/>
  <c r="W13" i="16"/>
  <c r="AC13" i="16"/>
  <c r="P34" i="16"/>
  <c r="P36" i="16" s="1"/>
  <c r="AI34" i="37"/>
  <c r="AI35" i="37" s="1"/>
  <c r="BK13" i="16"/>
  <c r="AB35" i="16"/>
  <c r="BK14" i="16"/>
  <c r="AB36" i="16"/>
  <c r="AV14" i="16"/>
  <c r="M35" i="16"/>
  <c r="AV13" i="16"/>
  <c r="M36" i="16"/>
  <c r="BN13" i="16"/>
  <c r="BN14" i="16"/>
  <c r="AE35" i="16"/>
  <c r="AE36" i="16"/>
  <c r="D35" i="16"/>
  <c r="AM13" i="16"/>
  <c r="AM14" i="16"/>
  <c r="D36" i="16"/>
  <c r="H35" i="16"/>
  <c r="AQ14" i="16"/>
  <c r="AQ13" i="16"/>
  <c r="H36" i="16"/>
  <c r="AU14" i="16"/>
  <c r="AU13" i="16"/>
  <c r="L35" i="16"/>
  <c r="L36" i="16"/>
  <c r="N34" i="37"/>
  <c r="N40" i="37"/>
  <c r="W40" i="37"/>
  <c r="W34" i="37"/>
  <c r="W57" i="37" s="1"/>
  <c r="AF27" i="56"/>
  <c r="X18" i="56"/>
  <c r="X43" i="56" s="1"/>
  <c r="F69" i="37"/>
  <c r="AC69" i="37"/>
  <c r="AB27" i="58"/>
  <c r="W18" i="58"/>
  <c r="AE27" i="58"/>
  <c r="AG43" i="90"/>
  <c r="AD76" i="10"/>
  <c r="AN18" i="90"/>
  <c r="AN43" i="90" s="1"/>
  <c r="AF27" i="46"/>
  <c r="X18" i="46"/>
  <c r="X43" i="46" s="1"/>
  <c r="Y9" i="16"/>
  <c r="Y34" i="16" s="1"/>
  <c r="BH7" i="16"/>
  <c r="AG43" i="51"/>
  <c r="AN18" i="51"/>
  <c r="AN43" i="51" s="1"/>
  <c r="H76" i="10"/>
  <c r="W27" i="88"/>
  <c r="O18" i="88"/>
  <c r="T27" i="88"/>
  <c r="AE27" i="95"/>
  <c r="AB27" i="95"/>
  <c r="W18" i="95"/>
  <c r="C13" i="37"/>
  <c r="C41" i="37" s="1"/>
  <c r="C16" i="16"/>
  <c r="S69" i="37"/>
  <c r="AL27" i="48"/>
  <c r="AE18" i="48"/>
  <c r="AJ27" i="48"/>
  <c r="AF27" i="45"/>
  <c r="X18" i="45"/>
  <c r="X43" i="45" s="1"/>
  <c r="X27" i="81"/>
  <c r="P18" i="81"/>
  <c r="P43" i="81" s="1"/>
  <c r="K452" i="97"/>
  <c r="O43" i="51"/>
  <c r="T43" i="51" s="1"/>
  <c r="T18" i="51"/>
  <c r="P35" i="37"/>
  <c r="P56" i="37"/>
  <c r="P55" i="37"/>
  <c r="P36" i="37"/>
  <c r="Y69" i="37"/>
  <c r="R76" i="10"/>
  <c r="AG43" i="69"/>
  <c r="AN18" i="69"/>
  <c r="AN43" i="69" s="1"/>
  <c r="W27" i="83"/>
  <c r="T27" i="83"/>
  <c r="O18" i="83"/>
  <c r="O43" i="87"/>
  <c r="T43" i="87" s="1"/>
  <c r="AE452" i="97"/>
  <c r="T18" i="87"/>
  <c r="AH452" i="97"/>
  <c r="O43" i="95"/>
  <c r="T43" i="95" s="1"/>
  <c r="T18" i="95"/>
  <c r="S452" i="97"/>
  <c r="O43" i="58"/>
  <c r="T43" i="58" s="1"/>
  <c r="T18" i="58"/>
  <c r="X27" i="83"/>
  <c r="P18" i="83"/>
  <c r="P43" i="83" s="1"/>
  <c r="Q69" i="37"/>
  <c r="AE27" i="47"/>
  <c r="AB27" i="47"/>
  <c r="W18" i="47"/>
  <c r="X27" i="85"/>
  <c r="P18" i="85"/>
  <c r="P43" i="85" s="1"/>
  <c r="AF69" i="37"/>
  <c r="S34" i="37"/>
  <c r="S40" i="37"/>
  <c r="P57" i="37"/>
  <c r="AN27" i="64"/>
  <c r="P13" i="60" s="1"/>
  <c r="P25" i="60" s="1"/>
  <c r="AG18" i="64"/>
  <c r="AN18" i="49"/>
  <c r="AN43" i="49" s="1"/>
  <c r="J76" i="10"/>
  <c r="AG43" i="49"/>
  <c r="BD15" i="16"/>
  <c r="X27" i="64"/>
  <c r="P18" i="64"/>
  <c r="P43" i="64" s="1"/>
  <c r="D43" i="96"/>
  <c r="I43" i="96" s="1"/>
  <c r="I18" i="96"/>
  <c r="C49" i="37"/>
  <c r="AF53" i="37" s="1"/>
  <c r="C12" i="16"/>
  <c r="C9" i="37"/>
  <c r="AM27" i="84"/>
  <c r="AF18" i="84"/>
  <c r="AA69" i="37"/>
  <c r="O18" i="64"/>
  <c r="T27" i="64"/>
  <c r="W27" i="64"/>
  <c r="W18" i="77"/>
  <c r="AE27" i="77"/>
  <c r="AB27" i="77"/>
  <c r="D43" i="81"/>
  <c r="I43" i="81" s="1"/>
  <c r="I18" i="81"/>
  <c r="N9" i="16"/>
  <c r="AW7" i="16"/>
  <c r="AE18" i="52"/>
  <c r="AJ27" i="52"/>
  <c r="AL27" i="52"/>
  <c r="W9" i="16"/>
  <c r="BF7" i="16"/>
  <c r="AI36" i="37"/>
  <c r="AY13" i="16"/>
  <c r="F40" i="37"/>
  <c r="F34" i="37"/>
  <c r="F57" i="37" s="1"/>
  <c r="D43" i="83"/>
  <c r="I43" i="83" s="1"/>
  <c r="I18" i="83"/>
  <c r="X27" i="101"/>
  <c r="P18" i="101"/>
  <c r="P43" i="101" s="1"/>
  <c r="AF34" i="37"/>
  <c r="I75" i="10"/>
  <c r="AM18" i="50"/>
  <c r="AM43" i="50" s="1"/>
  <c r="AF43" i="50"/>
  <c r="O18" i="96"/>
  <c r="W27" i="96"/>
  <c r="T27" i="96"/>
  <c r="O27" i="41"/>
  <c r="I27" i="41"/>
  <c r="D18" i="41"/>
  <c r="W69" i="37"/>
  <c r="AF27" i="77"/>
  <c r="X18" i="77"/>
  <c r="X43" i="77" s="1"/>
  <c r="AF27" i="51"/>
  <c r="X18" i="51"/>
  <c r="X43" i="51" s="1"/>
  <c r="AI13" i="16"/>
  <c r="AJ13" i="16" s="1"/>
  <c r="AJ16" i="16"/>
  <c r="D43" i="88"/>
  <c r="I43" i="88" s="1"/>
  <c r="I18" i="88"/>
  <c r="BK15" i="16"/>
  <c r="P27" i="41"/>
  <c r="E18" i="41"/>
  <c r="E43" i="41" s="1"/>
  <c r="Q9" i="16"/>
  <c r="AZ7" i="16"/>
  <c r="W43" i="73"/>
  <c r="AB43" i="73" s="1"/>
  <c r="AB18" i="73"/>
  <c r="AN27" i="55"/>
  <c r="M13" i="60" s="1"/>
  <c r="M25" i="60" s="1"/>
  <c r="AG18" i="55"/>
  <c r="S9" i="16"/>
  <c r="S34" i="16" s="1"/>
  <c r="BB7" i="16"/>
  <c r="W43" i="48"/>
  <c r="AB43" i="48" s="1"/>
  <c r="AB18" i="48"/>
  <c r="D43" i="85"/>
  <c r="I43" i="85" s="1"/>
  <c r="I18" i="85"/>
  <c r="AE43" i="50"/>
  <c r="I74" i="10"/>
  <c r="AL18" i="50"/>
  <c r="AE27" i="56"/>
  <c r="W18" i="56"/>
  <c r="AB27" i="56"/>
  <c r="W27" i="72"/>
  <c r="T27" i="72"/>
  <c r="O18" i="72"/>
  <c r="E13" i="37"/>
  <c r="E41" i="37" s="1"/>
  <c r="E16" i="16"/>
  <c r="AN27" i="85"/>
  <c r="Z13" i="60" s="1"/>
  <c r="Z25" i="60" s="1"/>
  <c r="AG18" i="85"/>
  <c r="AG18" i="77"/>
  <c r="AN27" i="77"/>
  <c r="T13" i="60" s="1"/>
  <c r="T25" i="60" s="1"/>
  <c r="AL27" i="49"/>
  <c r="AJ27" i="49"/>
  <c r="AE18" i="49"/>
  <c r="W18" i="51"/>
  <c r="AE27" i="51"/>
  <c r="AB27" i="51"/>
  <c r="AA40" i="37"/>
  <c r="AA34" i="37"/>
  <c r="D43" i="64"/>
  <c r="I43" i="64" s="1"/>
  <c r="I18" i="64"/>
  <c r="AB56" i="37"/>
  <c r="AB55" i="37"/>
  <c r="AB35" i="37"/>
  <c r="AB36" i="37"/>
  <c r="AC9" i="16"/>
  <c r="AC34" i="16" s="1"/>
  <c r="BL7" i="16"/>
  <c r="AG18" i="58"/>
  <c r="AN27" i="58"/>
  <c r="O13" i="60" s="1"/>
  <c r="O25" i="60" s="1"/>
  <c r="X27" i="96"/>
  <c r="P18" i="96"/>
  <c r="P43" i="96" s="1"/>
  <c r="W43" i="52"/>
  <c r="AB43" i="52" s="1"/>
  <c r="AB18" i="52"/>
  <c r="AL27" i="90"/>
  <c r="AJ27" i="90"/>
  <c r="AE18" i="90"/>
  <c r="Y40" i="37"/>
  <c r="Y34" i="37"/>
  <c r="AH76" i="10"/>
  <c r="AN18" i="100"/>
  <c r="AN43" i="100" s="1"/>
  <c r="AG43" i="100"/>
  <c r="AM27" i="79"/>
  <c r="AF18" i="79"/>
  <c r="AE27" i="46"/>
  <c r="AB27" i="46"/>
  <c r="W18" i="46"/>
  <c r="AF9" i="16"/>
  <c r="AF34" i="16" s="1"/>
  <c r="BO7" i="16"/>
  <c r="W43" i="99"/>
  <c r="AB43" i="99" s="1"/>
  <c r="AB18" i="99"/>
  <c r="W18" i="87"/>
  <c r="AB27" i="87"/>
  <c r="AE27" i="87"/>
  <c r="Q34" i="16"/>
  <c r="O43" i="46"/>
  <c r="T43" i="46" s="1"/>
  <c r="P452" i="97"/>
  <c r="T18" i="46"/>
  <c r="Q40" i="37"/>
  <c r="Q34" i="37"/>
  <c r="Q57" i="37" s="1"/>
  <c r="E49" i="37"/>
  <c r="E12" i="16"/>
  <c r="E9" i="37"/>
  <c r="AQ15" i="16"/>
  <c r="AM27" i="100"/>
  <c r="AF18" i="100"/>
  <c r="AG43" i="95"/>
  <c r="AN18" i="95"/>
  <c r="AN43" i="95" s="1"/>
  <c r="AE76" i="10"/>
  <c r="Y18" i="54"/>
  <c r="Y43" i="54" s="1"/>
  <c r="AG27" i="54"/>
  <c r="AM27" i="49"/>
  <c r="AF18" i="49"/>
  <c r="AL27" i="100"/>
  <c r="AJ27" i="100"/>
  <c r="AE18" i="100"/>
  <c r="BJ7" i="16"/>
  <c r="AA13" i="16"/>
  <c r="AA34" i="16" s="1"/>
  <c r="BN15" i="16"/>
  <c r="AM27" i="69"/>
  <c r="AF18" i="69"/>
  <c r="W18" i="45"/>
  <c r="AE27" i="45"/>
  <c r="AB27" i="45"/>
  <c r="W27" i="55"/>
  <c r="O18" i="55"/>
  <c r="T27" i="55"/>
  <c r="T27" i="85"/>
  <c r="W27" i="85"/>
  <c r="O18" i="85"/>
  <c r="R452" i="97"/>
  <c r="O43" i="56"/>
  <c r="T43" i="56" s="1"/>
  <c r="T18" i="56"/>
  <c r="W43" i="69"/>
  <c r="AB43" i="69" s="1"/>
  <c r="AB18" i="69"/>
  <c r="I18" i="72"/>
  <c r="D43" i="72"/>
  <c r="I43" i="72" s="1"/>
  <c r="P27" i="54"/>
  <c r="E18" i="54"/>
  <c r="E43" i="54" s="1"/>
  <c r="AL27" i="79"/>
  <c r="AE18" i="79"/>
  <c r="AJ27" i="79"/>
  <c r="W27" i="101"/>
  <c r="T27" i="101"/>
  <c r="O18" i="101"/>
  <c r="D35" i="37"/>
  <c r="D56" i="37"/>
  <c r="D55" i="37"/>
  <c r="D36" i="37"/>
  <c r="O35" i="37"/>
  <c r="O55" i="37"/>
  <c r="O56" i="37"/>
  <c r="O36" i="37"/>
  <c r="W43" i="49"/>
  <c r="AB43" i="49" s="1"/>
  <c r="AB18" i="49"/>
  <c r="L55" i="37"/>
  <c r="L56" i="37"/>
  <c r="L35" i="37"/>
  <c r="L36" i="37"/>
  <c r="W43" i="84"/>
  <c r="AB43" i="84" s="1"/>
  <c r="AB18" i="84"/>
  <c r="AN27" i="83"/>
  <c r="X13" i="60" s="1"/>
  <c r="X25" i="60" s="1"/>
  <c r="AG18" i="83"/>
  <c r="W27" i="53"/>
  <c r="O18" i="53"/>
  <c r="T27" i="53"/>
  <c r="AN27" i="53"/>
  <c r="E13" i="60" s="1"/>
  <c r="E25" i="60" s="1"/>
  <c r="AG18" i="53"/>
  <c r="T27" i="81"/>
  <c r="W27" i="81"/>
  <c r="O18" i="81"/>
  <c r="Y18" i="41"/>
  <c r="Y43" i="41" s="1"/>
  <c r="AG27" i="41"/>
  <c r="D43" i="53"/>
  <c r="I43" i="53" s="1"/>
  <c r="I18" i="53"/>
  <c r="AG18" i="88"/>
  <c r="AN27" i="88"/>
  <c r="AB13" i="60" s="1"/>
  <c r="AB25" i="60" s="1"/>
  <c r="AG18" i="81"/>
  <c r="AN27" i="81"/>
  <c r="V13" i="60" s="1"/>
  <c r="V25" i="60" s="1"/>
  <c r="AN18" i="79"/>
  <c r="AN43" i="79" s="1"/>
  <c r="AG43" i="79"/>
  <c r="V76" i="10"/>
  <c r="I18" i="101"/>
  <c r="D43" i="101"/>
  <c r="I43" i="101" s="1"/>
  <c r="AF27" i="47"/>
  <c r="X18" i="47"/>
  <c r="X43" i="47" s="1"/>
  <c r="AM27" i="90"/>
  <c r="AF18" i="90"/>
  <c r="M57" i="37"/>
  <c r="M35" i="37"/>
  <c r="M56" i="37"/>
  <c r="M55" i="37"/>
  <c r="M36" i="37"/>
  <c r="AG43" i="84"/>
  <c r="AN18" i="84"/>
  <c r="AN43" i="84" s="1"/>
  <c r="Z76" i="10"/>
  <c r="AJ27" i="84"/>
  <c r="AL27" i="84"/>
  <c r="AE18" i="84"/>
  <c r="H55" i="37"/>
  <c r="H56" i="37"/>
  <c r="H35" i="37"/>
  <c r="H36" i="37"/>
  <c r="AN18" i="52"/>
  <c r="AN43" i="52" s="1"/>
  <c r="AG43" i="52"/>
  <c r="G76" i="10"/>
  <c r="AG18" i="46"/>
  <c r="AN27" i="46"/>
  <c r="L13" i="60" s="1"/>
  <c r="L25" i="60" s="1"/>
  <c r="AF27" i="95"/>
  <c r="X18" i="95"/>
  <c r="X43" i="95" s="1"/>
  <c r="AI69" i="37"/>
  <c r="AI57" i="37"/>
  <c r="AM27" i="52"/>
  <c r="AF18" i="52"/>
  <c r="K153" i="10"/>
  <c r="K150" i="10" s="1"/>
  <c r="K25" i="10"/>
  <c r="O452" i="97"/>
  <c r="O43" i="47"/>
  <c r="T43" i="47" s="1"/>
  <c r="T18" i="47"/>
  <c r="AN27" i="96"/>
  <c r="AE13" i="60" s="1"/>
  <c r="AE25" i="60" s="1"/>
  <c r="AG18" i="96"/>
  <c r="X27" i="88"/>
  <c r="P18" i="88"/>
  <c r="P43" i="88" s="1"/>
  <c r="AM27" i="73"/>
  <c r="AF18" i="73"/>
  <c r="BD13" i="16"/>
  <c r="BD14" i="16"/>
  <c r="U35" i="16"/>
  <c r="U36" i="16"/>
  <c r="W43" i="100"/>
  <c r="AB43" i="100" s="1"/>
  <c r="AB18" i="100"/>
  <c r="AM27" i="99"/>
  <c r="AF18" i="99"/>
  <c r="AE18" i="73"/>
  <c r="AJ27" i="73"/>
  <c r="AL27" i="73"/>
  <c r="X27" i="72"/>
  <c r="P18" i="72"/>
  <c r="P43" i="72" s="1"/>
  <c r="AF27" i="87"/>
  <c r="X18" i="87"/>
  <c r="X43" i="87" s="1"/>
  <c r="AL27" i="69"/>
  <c r="AJ27" i="69"/>
  <c r="AE18" i="69"/>
  <c r="AM27" i="48"/>
  <c r="AF18" i="48"/>
  <c r="W43" i="79"/>
  <c r="AB43" i="79" s="1"/>
  <c r="AB18" i="79"/>
  <c r="AG43" i="99"/>
  <c r="AN18" i="99"/>
  <c r="AN43" i="99" s="1"/>
  <c r="AG76" i="10"/>
  <c r="O27" i="54"/>
  <c r="I27" i="54"/>
  <c r="D18" i="54"/>
  <c r="AC40" i="37"/>
  <c r="AC34" i="37"/>
  <c r="AC57" i="37" s="1"/>
  <c r="O43" i="77"/>
  <c r="T43" i="77" s="1"/>
  <c r="X452" i="97"/>
  <c r="T18" i="77"/>
  <c r="AV15" i="16"/>
  <c r="AG18" i="72"/>
  <c r="AN27" i="72"/>
  <c r="R13" i="60" s="1"/>
  <c r="R25" i="60" s="1"/>
  <c r="X27" i="55"/>
  <c r="P18" i="55"/>
  <c r="P43" i="55" s="1"/>
  <c r="AG43" i="87"/>
  <c r="AN18" i="87"/>
  <c r="AN43" i="87" s="1"/>
  <c r="AB76" i="10"/>
  <c r="AG18" i="47"/>
  <c r="AN27" i="47"/>
  <c r="K13" i="60" s="1"/>
  <c r="K25" i="60" s="1"/>
  <c r="G452" i="97"/>
  <c r="O43" i="45"/>
  <c r="T43" i="45" s="1"/>
  <c r="T18" i="45"/>
  <c r="D43" i="55"/>
  <c r="I43" i="55" s="1"/>
  <c r="I18" i="55"/>
  <c r="N69" i="37"/>
  <c r="AN27" i="101"/>
  <c r="AH13" i="60" s="1"/>
  <c r="AH25" i="60" s="1"/>
  <c r="AG18" i="101"/>
  <c r="AU15" i="16"/>
  <c r="AN18" i="73"/>
  <c r="AN43" i="73" s="1"/>
  <c r="T76" i="10"/>
  <c r="AG43" i="73"/>
  <c r="AM15" i="16"/>
  <c r="AL27" i="99"/>
  <c r="AJ27" i="99"/>
  <c r="AE18" i="99"/>
  <c r="AF27" i="58"/>
  <c r="X18" i="58"/>
  <c r="X43" i="58" s="1"/>
  <c r="U35" i="37"/>
  <c r="U56" i="37"/>
  <c r="U55" i="37"/>
  <c r="U36" i="37"/>
  <c r="W43" i="90"/>
  <c r="AB43" i="90" s="1"/>
  <c r="AB18" i="90"/>
  <c r="O76" i="10"/>
  <c r="AN18" i="56"/>
  <c r="AN43" i="56" s="1"/>
  <c r="AG43" i="56"/>
  <c r="AI9" i="16"/>
  <c r="AJ12" i="16"/>
  <c r="BR7" i="16"/>
  <c r="F9" i="16"/>
  <c r="F34" i="16" s="1"/>
  <c r="AO7" i="16"/>
  <c r="W34" i="16"/>
  <c r="X27" i="53"/>
  <c r="P18" i="53"/>
  <c r="P43" i="53" s="1"/>
  <c r="AI56" i="37" l="1"/>
  <c r="AI55" i="37"/>
  <c r="N34" i="16"/>
  <c r="AY15" i="16"/>
  <c r="P35" i="16"/>
  <c r="AG43" i="50"/>
  <c r="AN18" i="50"/>
  <c r="AN43" i="50" s="1"/>
  <c r="I76" i="10"/>
  <c r="X9" i="16"/>
  <c r="X34" i="16" s="1"/>
  <c r="BG7" i="16"/>
  <c r="X69" i="37"/>
  <c r="AY14" i="16"/>
  <c r="AN27" i="82"/>
  <c r="W13" i="60" s="1"/>
  <c r="W25" i="60" s="1"/>
  <c r="AG18" i="82"/>
  <c r="AQ27" i="50"/>
  <c r="D43" i="82"/>
  <c r="I43" i="82" s="1"/>
  <c r="I18" i="82"/>
  <c r="O18" i="82"/>
  <c r="W27" i="82"/>
  <c r="T27" i="82"/>
  <c r="AG27" i="45"/>
  <c r="AJ27" i="45" s="1"/>
  <c r="Y18" i="45"/>
  <c r="Y43" i="45" s="1"/>
  <c r="X40" i="37"/>
  <c r="X34" i="37"/>
  <c r="X57" i="37" s="1"/>
  <c r="AF27" i="82"/>
  <c r="X18" i="82"/>
  <c r="X43" i="82" s="1"/>
  <c r="AQ27" i="84"/>
  <c r="C13" i="16"/>
  <c r="O36" i="16"/>
  <c r="AX14" i="16"/>
  <c r="AX15" i="16"/>
  <c r="O35" i="16"/>
  <c r="E13" i="16"/>
  <c r="W53" i="37"/>
  <c r="N53" i="37"/>
  <c r="AI53" i="37"/>
  <c r="F53" i="37"/>
  <c r="AA53" i="37"/>
  <c r="AQ27" i="79"/>
  <c r="Q53" i="37"/>
  <c r="AQ27" i="100"/>
  <c r="Y53" i="37"/>
  <c r="AQ27" i="99"/>
  <c r="BB13" i="16"/>
  <c r="BB14" i="16"/>
  <c r="S35" i="16"/>
  <c r="S36" i="16"/>
  <c r="AO13" i="16"/>
  <c r="AO14" i="16"/>
  <c r="F35" i="16"/>
  <c r="F36" i="16"/>
  <c r="BO13" i="16"/>
  <c r="BO14" i="16"/>
  <c r="AF35" i="16"/>
  <c r="AF36" i="16"/>
  <c r="AC35" i="16"/>
  <c r="BL13" i="16"/>
  <c r="BL14" i="16"/>
  <c r="AC36" i="16"/>
  <c r="AM27" i="87"/>
  <c r="AF18" i="87"/>
  <c r="AC76" i="10"/>
  <c r="AG43" i="88"/>
  <c r="AN18" i="88"/>
  <c r="AN43" i="88" s="1"/>
  <c r="AW14" i="16"/>
  <c r="N35" i="16"/>
  <c r="AW13" i="16"/>
  <c r="N36" i="16"/>
  <c r="AB27" i="55"/>
  <c r="AE27" i="55"/>
  <c r="W18" i="55"/>
  <c r="BJ13" i="16"/>
  <c r="AA35" i="16"/>
  <c r="BJ14" i="16"/>
  <c r="AA36" i="16"/>
  <c r="AF43" i="49"/>
  <c r="AM18" i="49"/>
  <c r="AM43" i="49" s="1"/>
  <c r="J75" i="10"/>
  <c r="E69" i="37"/>
  <c r="E53" i="37"/>
  <c r="W43" i="46"/>
  <c r="AB43" i="46" s="1"/>
  <c r="AB18" i="46"/>
  <c r="Y55" i="37"/>
  <c r="Y35" i="37"/>
  <c r="Y56" i="37"/>
  <c r="Y36" i="37"/>
  <c r="AF27" i="96"/>
  <c r="X18" i="96"/>
  <c r="X43" i="96" s="1"/>
  <c r="J74" i="10"/>
  <c r="AE43" i="49"/>
  <c r="AL18" i="49"/>
  <c r="AJ18" i="49"/>
  <c r="AJ43" i="49" s="1"/>
  <c r="AA76" i="10"/>
  <c r="AG43" i="85"/>
  <c r="AN18" i="85"/>
  <c r="AN43" i="85" s="1"/>
  <c r="W43" i="56"/>
  <c r="AB43" i="56" s="1"/>
  <c r="AB18" i="56"/>
  <c r="W18" i="64"/>
  <c r="AE27" i="64"/>
  <c r="AB27" i="64"/>
  <c r="AF27" i="64"/>
  <c r="X18" i="64"/>
  <c r="X43" i="64" s="1"/>
  <c r="W43" i="47"/>
  <c r="AB43" i="47" s="1"/>
  <c r="AB18" i="47"/>
  <c r="Y57" i="37"/>
  <c r="H25" i="10"/>
  <c r="H153" i="10"/>
  <c r="H150" i="10" s="1"/>
  <c r="AC53" i="37"/>
  <c r="T25" i="10"/>
  <c r="T153" i="10"/>
  <c r="T150" i="10" s="1"/>
  <c r="AN18" i="46"/>
  <c r="AN43" i="46" s="1"/>
  <c r="M76" i="10"/>
  <c r="AG43" i="46"/>
  <c r="W43" i="87"/>
  <c r="AB43" i="87" s="1"/>
  <c r="AB18" i="87"/>
  <c r="I24" i="10"/>
  <c r="I149" i="10"/>
  <c r="I146" i="10" s="1"/>
  <c r="G153" i="10"/>
  <c r="G150" i="10" s="1"/>
  <c r="G25" i="10"/>
  <c r="AH75" i="10"/>
  <c r="AF43" i="100"/>
  <c r="AM18" i="100"/>
  <c r="AM43" i="100" s="1"/>
  <c r="AG43" i="58"/>
  <c r="P76" i="10"/>
  <c r="AN18" i="58"/>
  <c r="AN43" i="58" s="1"/>
  <c r="BB15" i="16"/>
  <c r="O43" i="64"/>
  <c r="T43" i="64" s="1"/>
  <c r="T452" i="97"/>
  <c r="T18" i="64"/>
  <c r="C40" i="37"/>
  <c r="C34" i="37"/>
  <c r="C57" i="37" s="1"/>
  <c r="AL27" i="47"/>
  <c r="AE18" i="47"/>
  <c r="AJ27" i="47"/>
  <c r="AG74" i="10"/>
  <c r="AL18" i="99"/>
  <c r="AE43" i="99"/>
  <c r="AJ18" i="99"/>
  <c r="AJ43" i="99" s="1"/>
  <c r="AB153" i="10"/>
  <c r="AB150" i="10" s="1"/>
  <c r="AB25" i="10"/>
  <c r="W27" i="54"/>
  <c r="T27" i="54"/>
  <c r="O18" i="54"/>
  <c r="AQ27" i="73"/>
  <c r="AN27" i="41"/>
  <c r="B13" i="60" s="1"/>
  <c r="B25" i="60" s="1"/>
  <c r="AG18" i="41"/>
  <c r="AD452" i="97"/>
  <c r="O43" i="85"/>
  <c r="T43" i="85" s="1"/>
  <c r="T18" i="85"/>
  <c r="W43" i="45"/>
  <c r="AL18" i="100"/>
  <c r="AE43" i="100"/>
  <c r="AH74" i="10"/>
  <c r="AJ18" i="100"/>
  <c r="AJ43" i="100" s="1"/>
  <c r="V75" i="10"/>
  <c r="AF43" i="79"/>
  <c r="AM18" i="79"/>
  <c r="AM43" i="79" s="1"/>
  <c r="BL15" i="16"/>
  <c r="AA35" i="37"/>
  <c r="AA55" i="37"/>
  <c r="AA56" i="37"/>
  <c r="AA36" i="37"/>
  <c r="AL43" i="50"/>
  <c r="AQ18" i="50"/>
  <c r="AQ43" i="50" s="1"/>
  <c r="AZ15" i="16"/>
  <c r="O18" i="41"/>
  <c r="T27" i="41"/>
  <c r="W27" i="41"/>
  <c r="AA57" i="37"/>
  <c r="C9" i="16"/>
  <c r="C34" i="16" s="1"/>
  <c r="AL7" i="16"/>
  <c r="BL11" i="16" s="1"/>
  <c r="W18" i="83"/>
  <c r="AE27" i="83"/>
  <c r="AB27" i="83"/>
  <c r="AL18" i="48"/>
  <c r="K74" i="10"/>
  <c r="AE43" i="48"/>
  <c r="AJ18" i="48"/>
  <c r="AJ43" i="48" s="1"/>
  <c r="BH15" i="16"/>
  <c r="AL27" i="58"/>
  <c r="AJ27" i="58"/>
  <c r="AE18" i="58"/>
  <c r="AM18" i="52"/>
  <c r="AM43" i="52" s="1"/>
  <c r="G75" i="10"/>
  <c r="AF43" i="52"/>
  <c r="BJ15" i="16"/>
  <c r="I18" i="41"/>
  <c r="D43" i="41"/>
  <c r="I43" i="41" s="1"/>
  <c r="AD25" i="10"/>
  <c r="AD153" i="10"/>
  <c r="AD150" i="10" s="1"/>
  <c r="AF76" i="10"/>
  <c r="AN18" i="96"/>
  <c r="AN43" i="96" s="1"/>
  <c r="AG43" i="96"/>
  <c r="V153" i="10"/>
  <c r="V150" i="10" s="1"/>
  <c r="V25" i="10"/>
  <c r="O43" i="101"/>
  <c r="T43" i="101" s="1"/>
  <c r="AL452" i="97"/>
  <c r="T18" i="101"/>
  <c r="AN27" i="54"/>
  <c r="D13" i="60" s="1"/>
  <c r="D25" i="60" s="1"/>
  <c r="AG18" i="54"/>
  <c r="AJ27" i="46"/>
  <c r="AE18" i="46"/>
  <c r="AL27" i="46"/>
  <c r="AM27" i="51"/>
  <c r="AF18" i="51"/>
  <c r="AF36" i="37"/>
  <c r="AF56" i="37"/>
  <c r="AF35" i="37"/>
  <c r="AF55" i="37"/>
  <c r="BF15" i="16"/>
  <c r="S56" i="37"/>
  <c r="S35" i="37"/>
  <c r="S55" i="37"/>
  <c r="S36" i="37"/>
  <c r="W43" i="95"/>
  <c r="AB43" i="95" s="1"/>
  <c r="AB18" i="95"/>
  <c r="AL18" i="69"/>
  <c r="AE43" i="69"/>
  <c r="R74" i="10"/>
  <c r="AJ18" i="69"/>
  <c r="AJ43" i="69" s="1"/>
  <c r="Z25" i="10"/>
  <c r="Z153" i="10"/>
  <c r="Z150" i="10" s="1"/>
  <c r="AF43" i="90"/>
  <c r="AM18" i="90"/>
  <c r="AM43" i="90" s="1"/>
  <c r="AD75" i="10"/>
  <c r="I452" i="97"/>
  <c r="O43" i="53"/>
  <c r="T43" i="53" s="1"/>
  <c r="T18" i="53"/>
  <c r="AB27" i="101"/>
  <c r="W18" i="101"/>
  <c r="AE27" i="101"/>
  <c r="AB27" i="85"/>
  <c r="W18" i="85"/>
  <c r="AE27" i="85"/>
  <c r="AF43" i="69"/>
  <c r="R75" i="10"/>
  <c r="AM18" i="69"/>
  <c r="AM43" i="69" s="1"/>
  <c r="AQ27" i="90"/>
  <c r="V452" i="97"/>
  <c r="O43" i="72"/>
  <c r="T43" i="72" s="1"/>
  <c r="T18" i="72"/>
  <c r="I145" i="10"/>
  <c r="I142" i="10" s="1"/>
  <c r="I23" i="10"/>
  <c r="I72" i="10"/>
  <c r="I80" i="10" s="1"/>
  <c r="AN18" i="55"/>
  <c r="AN43" i="55" s="1"/>
  <c r="N76" i="10"/>
  <c r="AG43" i="55"/>
  <c r="AM27" i="77"/>
  <c r="AF18" i="77"/>
  <c r="AF27" i="101"/>
  <c r="X18" i="101"/>
  <c r="X43" i="101" s="1"/>
  <c r="AQ27" i="52"/>
  <c r="AE18" i="77"/>
  <c r="AJ27" i="77"/>
  <c r="AL27" i="77"/>
  <c r="J53" i="37"/>
  <c r="C53" i="37"/>
  <c r="C69" i="37"/>
  <c r="C63" i="37"/>
  <c r="I53" i="37"/>
  <c r="T53" i="37"/>
  <c r="V53" i="37"/>
  <c r="R53" i="37"/>
  <c r="AD53" i="37"/>
  <c r="AG53" i="37"/>
  <c r="Z53" i="37"/>
  <c r="G53" i="37"/>
  <c r="K53" i="37"/>
  <c r="X53" i="37"/>
  <c r="AH53" i="37"/>
  <c r="D53" i="37"/>
  <c r="M53" i="37"/>
  <c r="L53" i="37"/>
  <c r="O53" i="37"/>
  <c r="AB53" i="37"/>
  <c r="AE53" i="37"/>
  <c r="U53" i="37"/>
  <c r="P53" i="37"/>
  <c r="H53" i="37"/>
  <c r="J153" i="10"/>
  <c r="J150" i="10" s="1"/>
  <c r="J25" i="10"/>
  <c r="N25" i="32" s="1"/>
  <c r="AQ27" i="48"/>
  <c r="AE18" i="95"/>
  <c r="AJ27" i="95"/>
  <c r="AL27" i="95"/>
  <c r="W43" i="58"/>
  <c r="AB43" i="58" s="1"/>
  <c r="AB18" i="58"/>
  <c r="O43" i="83"/>
  <c r="T43" i="83" s="1"/>
  <c r="AB452" i="97"/>
  <c r="T18" i="83"/>
  <c r="K75" i="10"/>
  <c r="AM18" i="48"/>
  <c r="AM43" i="48" s="1"/>
  <c r="AF43" i="48"/>
  <c r="AL27" i="45"/>
  <c r="AE18" i="45"/>
  <c r="AG43" i="101"/>
  <c r="AN18" i="101"/>
  <c r="AN43" i="101" s="1"/>
  <c r="AI76" i="10"/>
  <c r="Z452" i="97"/>
  <c r="O43" i="81"/>
  <c r="T43" i="81" s="1"/>
  <c r="T18" i="81"/>
  <c r="W18" i="96"/>
  <c r="AB27" i="96"/>
  <c r="AE27" i="96"/>
  <c r="W43" i="77"/>
  <c r="AB43" i="77" s="1"/>
  <c r="AB18" i="77"/>
  <c r="AF57" i="37"/>
  <c r="AF27" i="81"/>
  <c r="X18" i="81"/>
  <c r="X43" i="81" s="1"/>
  <c r="S57" i="37"/>
  <c r="AM27" i="56"/>
  <c r="AF18" i="56"/>
  <c r="AG43" i="72"/>
  <c r="S76" i="10"/>
  <c r="AN18" i="72"/>
  <c r="AN43" i="72" s="1"/>
  <c r="AE43" i="84"/>
  <c r="Z74" i="10"/>
  <c r="AL18" i="84"/>
  <c r="AJ18" i="84"/>
  <c r="AJ43" i="84" s="1"/>
  <c r="AG43" i="53"/>
  <c r="F76" i="10"/>
  <c r="AN18" i="53"/>
  <c r="AN43" i="53" s="1"/>
  <c r="X27" i="54"/>
  <c r="P18" i="54"/>
  <c r="P43" i="54" s="1"/>
  <c r="Q55" i="37"/>
  <c r="Q35" i="37"/>
  <c r="Q56" i="37"/>
  <c r="Q36" i="37"/>
  <c r="N55" i="37"/>
  <c r="N56" i="37"/>
  <c r="N35" i="37"/>
  <c r="N36" i="37"/>
  <c r="AM27" i="58"/>
  <c r="AF18" i="58"/>
  <c r="AQ27" i="49"/>
  <c r="AJ9" i="16"/>
  <c r="AI34" i="16"/>
  <c r="AF27" i="53"/>
  <c r="X18" i="53"/>
  <c r="X43" i="53" s="1"/>
  <c r="AQ27" i="69"/>
  <c r="AF43" i="99"/>
  <c r="AM18" i="99"/>
  <c r="AM43" i="99" s="1"/>
  <c r="AG75" i="10"/>
  <c r="T75" i="10"/>
  <c r="AM18" i="73"/>
  <c r="AM43" i="73" s="1"/>
  <c r="AF43" i="73"/>
  <c r="W76" i="10"/>
  <c r="AG43" i="81"/>
  <c r="AN18" i="81"/>
  <c r="AN43" i="81" s="1"/>
  <c r="W18" i="81"/>
  <c r="AE27" i="81"/>
  <c r="AB27" i="81"/>
  <c r="AG43" i="83"/>
  <c r="AN18" i="83"/>
  <c r="AN43" i="83" s="1"/>
  <c r="Y76" i="10"/>
  <c r="AL18" i="79"/>
  <c r="V74" i="10"/>
  <c r="AE43" i="79"/>
  <c r="AJ18" i="79"/>
  <c r="AJ43" i="79" s="1"/>
  <c r="BH13" i="16"/>
  <c r="Y35" i="16"/>
  <c r="BH14" i="16"/>
  <c r="Y36" i="16"/>
  <c r="E40" i="37"/>
  <c r="E34" i="37"/>
  <c r="AZ13" i="16"/>
  <c r="Q35" i="16"/>
  <c r="AZ14" i="16"/>
  <c r="Q36" i="16"/>
  <c r="BO15" i="16"/>
  <c r="AL27" i="51"/>
  <c r="AJ27" i="51"/>
  <c r="AE18" i="51"/>
  <c r="W18" i="72"/>
  <c r="AE27" i="72"/>
  <c r="AB27" i="72"/>
  <c r="X27" i="41"/>
  <c r="P18" i="41"/>
  <c r="AI452" i="97"/>
  <c r="O43" i="96"/>
  <c r="T43" i="96" s="1"/>
  <c r="T18" i="96"/>
  <c r="AL18" i="52"/>
  <c r="AE43" i="52"/>
  <c r="G74" i="10"/>
  <c r="AJ18" i="52"/>
  <c r="AJ43" i="52" s="1"/>
  <c r="AF43" i="84"/>
  <c r="Z75" i="10"/>
  <c r="AM18" i="84"/>
  <c r="AM43" i="84" s="1"/>
  <c r="AG43" i="64"/>
  <c r="AN18" i="64"/>
  <c r="AN43" i="64" s="1"/>
  <c r="Q76" i="10"/>
  <c r="R25" i="10"/>
  <c r="R153" i="10"/>
  <c r="R150" i="10" s="1"/>
  <c r="O43" i="88"/>
  <c r="T43" i="88" s="1"/>
  <c r="AF452" i="97"/>
  <c r="T18" i="88"/>
  <c r="W55" i="37"/>
  <c r="W56" i="37"/>
  <c r="W35" i="37"/>
  <c r="W36" i="37"/>
  <c r="AO15" i="16"/>
  <c r="I18" i="54"/>
  <c r="D43" i="54"/>
  <c r="I43" i="54" s="1"/>
  <c r="AF27" i="88"/>
  <c r="X18" i="88"/>
  <c r="X43" i="88" s="1"/>
  <c r="AE18" i="56"/>
  <c r="AJ27" i="56"/>
  <c r="AL27" i="56"/>
  <c r="O153" i="10"/>
  <c r="O150" i="10" s="1"/>
  <c r="O25" i="10"/>
  <c r="L76" i="10"/>
  <c r="AN18" i="47"/>
  <c r="AN43" i="47" s="1"/>
  <c r="AG43" i="47"/>
  <c r="AF27" i="72"/>
  <c r="X18" i="72"/>
  <c r="X43" i="72" s="1"/>
  <c r="AD74" i="10"/>
  <c r="AL18" i="90"/>
  <c r="AE43" i="90"/>
  <c r="AJ18" i="90"/>
  <c r="AJ43" i="90" s="1"/>
  <c r="AG153" i="10"/>
  <c r="AG150" i="10" s="1"/>
  <c r="AG25" i="10"/>
  <c r="AE43" i="73"/>
  <c r="T74" i="10"/>
  <c r="AL18" i="73"/>
  <c r="AJ18" i="73"/>
  <c r="AJ43" i="73" s="1"/>
  <c r="AE27" i="53"/>
  <c r="AB27" i="53"/>
  <c r="W18" i="53"/>
  <c r="BF14" i="16"/>
  <c r="W35" i="16"/>
  <c r="BF13" i="16"/>
  <c r="W36" i="16"/>
  <c r="N57" i="37"/>
  <c r="AF27" i="55"/>
  <c r="X18" i="55"/>
  <c r="X43" i="55" s="1"/>
  <c r="AC56" i="37"/>
  <c r="AC35" i="37"/>
  <c r="AC55" i="37"/>
  <c r="AC36" i="37"/>
  <c r="K57" i="13"/>
  <c r="K67" i="13" s="1"/>
  <c r="AC28" i="103"/>
  <c r="AU22" i="71"/>
  <c r="K118" i="10"/>
  <c r="K23" i="59"/>
  <c r="R28" i="89"/>
  <c r="AV22" i="104"/>
  <c r="AV22" i="98"/>
  <c r="AM27" i="95"/>
  <c r="AF18" i="95"/>
  <c r="AM27" i="47"/>
  <c r="AF18" i="47"/>
  <c r="Q452" i="97"/>
  <c r="O43" i="55"/>
  <c r="T43" i="55" s="1"/>
  <c r="T18" i="55"/>
  <c r="AE25" i="10"/>
  <c r="AE153" i="10"/>
  <c r="AE150" i="10" s="1"/>
  <c r="E9" i="16"/>
  <c r="AN7" i="16"/>
  <c r="AJ27" i="87"/>
  <c r="AE18" i="87"/>
  <c r="AL27" i="87"/>
  <c r="AH153" i="10"/>
  <c r="AH150" i="10" s="1"/>
  <c r="AH25" i="10"/>
  <c r="W43" i="51"/>
  <c r="AB43" i="51" s="1"/>
  <c r="AB18" i="51"/>
  <c r="U76" i="10"/>
  <c r="AN18" i="77"/>
  <c r="AN43" i="77" s="1"/>
  <c r="AG43" i="77"/>
  <c r="F35" i="37"/>
  <c r="F56" i="37"/>
  <c r="F55" i="37"/>
  <c r="F36" i="37"/>
  <c r="AW15" i="16"/>
  <c r="AF27" i="85"/>
  <c r="X18" i="85"/>
  <c r="X43" i="85" s="1"/>
  <c r="AF27" i="83"/>
  <c r="X18" i="83"/>
  <c r="X43" i="83" s="1"/>
  <c r="AM27" i="45"/>
  <c r="AF18" i="45"/>
  <c r="S53" i="37"/>
  <c r="AE27" i="88"/>
  <c r="AB27" i="88"/>
  <c r="W18" i="88"/>
  <c r="AM27" i="46"/>
  <c r="AF18" i="46"/>
  <c r="AB43" i="45" l="1"/>
  <c r="AB18" i="45"/>
  <c r="AG18" i="45"/>
  <c r="AJ18" i="45" s="1"/>
  <c r="AJ43" i="45" s="1"/>
  <c r="AN27" i="45"/>
  <c r="C13" i="60" s="1"/>
  <c r="C25" i="60" s="1"/>
  <c r="BG15" i="16"/>
  <c r="AB27" i="82"/>
  <c r="AE27" i="82"/>
  <c r="W18" i="82"/>
  <c r="AA452" i="97"/>
  <c r="T18" i="82"/>
  <c r="O43" i="82"/>
  <c r="T43" i="82" s="1"/>
  <c r="I153" i="10"/>
  <c r="I150" i="10" s="1"/>
  <c r="I163" i="10" s="1"/>
  <c r="I25" i="10"/>
  <c r="L25" i="32" s="1"/>
  <c r="L51" i="32" s="1"/>
  <c r="AM27" i="82"/>
  <c r="AF18" i="82"/>
  <c r="X56" i="37"/>
  <c r="X36" i="37"/>
  <c r="X55" i="37"/>
  <c r="X35" i="37"/>
  <c r="X35" i="16"/>
  <c r="BG14" i="16"/>
  <c r="X36" i="16"/>
  <c r="BG13" i="16"/>
  <c r="E34" i="16"/>
  <c r="AN14" i="16" s="1"/>
  <c r="X76" i="10"/>
  <c r="AN18" i="82"/>
  <c r="AN43" i="82" s="1"/>
  <c r="AG43" i="82"/>
  <c r="AQ27" i="77"/>
  <c r="BO11" i="16"/>
  <c r="AQ27" i="87"/>
  <c r="AQ27" i="47"/>
  <c r="C35" i="16"/>
  <c r="AL13" i="16"/>
  <c r="AL14" i="16"/>
  <c r="C36" i="16"/>
  <c r="AN13" i="16"/>
  <c r="E35" i="16"/>
  <c r="E36" i="16"/>
  <c r="U25" i="10"/>
  <c r="X25" i="32" s="1"/>
  <c r="U153" i="10"/>
  <c r="U150" i="10" s="1"/>
  <c r="AM27" i="72"/>
  <c r="AF18" i="72"/>
  <c r="E56" i="37"/>
  <c r="E55" i="37"/>
  <c r="E35" i="37"/>
  <c r="E36" i="37"/>
  <c r="V23" i="10"/>
  <c r="V145" i="10"/>
  <c r="V142" i="10" s="1"/>
  <c r="V72" i="10"/>
  <c r="V80" i="10" s="1"/>
  <c r="AG149" i="10"/>
  <c r="AG146" i="10" s="1"/>
  <c r="AG24" i="10"/>
  <c r="K24" i="10"/>
  <c r="K149" i="10"/>
  <c r="K146" i="10" s="1"/>
  <c r="N25" i="10"/>
  <c r="R25" i="32" s="1"/>
  <c r="N153" i="10"/>
  <c r="N150" i="10" s="1"/>
  <c r="W43" i="101"/>
  <c r="AB43" i="101" s="1"/>
  <c r="AB18" i="101"/>
  <c r="AF25" i="10"/>
  <c r="AF153" i="10"/>
  <c r="AF150" i="10" s="1"/>
  <c r="AE18" i="83"/>
  <c r="AJ27" i="83"/>
  <c r="AL27" i="83"/>
  <c r="F452" i="97"/>
  <c r="O43" i="41"/>
  <c r="T18" i="41"/>
  <c r="BR11" i="16"/>
  <c r="AH149" i="10"/>
  <c r="AH146" i="10" s="1"/>
  <c r="AH24" i="10"/>
  <c r="M153" i="10"/>
  <c r="M150" i="10" s="1"/>
  <c r="M25" i="10"/>
  <c r="W43" i="64"/>
  <c r="AB43" i="64" s="1"/>
  <c r="AB18" i="64"/>
  <c r="AM27" i="83"/>
  <c r="AF18" i="83"/>
  <c r="AN11" i="16"/>
  <c r="AN15" i="16"/>
  <c r="K115" i="10"/>
  <c r="AK25" i="10"/>
  <c r="BR22" i="104"/>
  <c r="BR22" i="98"/>
  <c r="AG57" i="13"/>
  <c r="AG67" i="13" s="1"/>
  <c r="BQ22" i="71"/>
  <c r="AG118" i="10"/>
  <c r="AY28" i="103"/>
  <c r="AN28" i="89"/>
  <c r="O74" i="10"/>
  <c r="AE43" i="56"/>
  <c r="AL18" i="56"/>
  <c r="AJ18" i="56"/>
  <c r="AJ43" i="56" s="1"/>
  <c r="Z24" i="10"/>
  <c r="Z149" i="10"/>
  <c r="Z146" i="10" s="1"/>
  <c r="AQ27" i="51"/>
  <c r="AL43" i="79"/>
  <c r="AQ18" i="79"/>
  <c r="AQ43" i="79" s="1"/>
  <c r="AM18" i="56"/>
  <c r="AM43" i="56" s="1"/>
  <c r="O75" i="10"/>
  <c r="AF43" i="56"/>
  <c r="AL27" i="96"/>
  <c r="AE18" i="96"/>
  <c r="AJ27" i="96"/>
  <c r="AE43" i="95"/>
  <c r="AL18" i="95"/>
  <c r="AE74" i="10"/>
  <c r="AJ18" i="95"/>
  <c r="AJ43" i="95" s="1"/>
  <c r="AE43" i="77"/>
  <c r="AL18" i="77"/>
  <c r="U74" i="10"/>
  <c r="AJ18" i="77"/>
  <c r="AJ43" i="77" s="1"/>
  <c r="Z57" i="13"/>
  <c r="Z67" i="13" s="1"/>
  <c r="AR28" i="103"/>
  <c r="Z118" i="10"/>
  <c r="BK22" i="98"/>
  <c r="AG28" i="89"/>
  <c r="BJ22" i="71"/>
  <c r="BK22" i="104"/>
  <c r="G24" i="10"/>
  <c r="G149" i="10"/>
  <c r="G146" i="10" s="1"/>
  <c r="W43" i="83"/>
  <c r="AB43" i="83" s="1"/>
  <c r="AB18" i="83"/>
  <c r="AB27" i="54"/>
  <c r="AE27" i="54"/>
  <c r="W18" i="54"/>
  <c r="BB11" i="16"/>
  <c r="N28" i="89"/>
  <c r="AQ22" i="71"/>
  <c r="Y28" i="103"/>
  <c r="G118" i="10"/>
  <c r="G23" i="59"/>
  <c r="AR22" i="98"/>
  <c r="AR22" i="104"/>
  <c r="G57" i="13"/>
  <c r="G67" i="13" s="1"/>
  <c r="J145" i="10"/>
  <c r="J142" i="10" s="1"/>
  <c r="J23" i="10"/>
  <c r="J72" i="10"/>
  <c r="J80" i="10" s="1"/>
  <c r="E57" i="37"/>
  <c r="AM18" i="47"/>
  <c r="AM43" i="47" s="1"/>
  <c r="L75" i="10"/>
  <c r="AF43" i="47"/>
  <c r="AF43" i="95"/>
  <c r="AM18" i="95"/>
  <c r="AM43" i="95" s="1"/>
  <c r="AE75" i="10"/>
  <c r="W43" i="53"/>
  <c r="AB43" i="53" s="1"/>
  <c r="AB18" i="53"/>
  <c r="AL43" i="84"/>
  <c r="AQ18" i="84"/>
  <c r="AQ43" i="84" s="1"/>
  <c r="R149" i="10"/>
  <c r="R146" i="10" s="1"/>
  <c r="R24" i="10"/>
  <c r="AK28" i="89"/>
  <c r="AD57" i="13"/>
  <c r="AD67" i="13" s="1"/>
  <c r="BO22" i="104"/>
  <c r="AV28" i="103"/>
  <c r="AD118" i="10"/>
  <c r="BO22" i="98"/>
  <c r="BN22" i="71"/>
  <c r="L74" i="10"/>
  <c r="AL18" i="47"/>
  <c r="AE43" i="47"/>
  <c r="AJ18" i="47"/>
  <c r="AJ43" i="47" s="1"/>
  <c r="AM27" i="55"/>
  <c r="AF18" i="55"/>
  <c r="L153" i="10"/>
  <c r="L150" i="10" s="1"/>
  <c r="L25" i="10"/>
  <c r="AE43" i="45"/>
  <c r="D74" i="10"/>
  <c r="AL18" i="45"/>
  <c r="AL43" i="48"/>
  <c r="AQ18" i="48"/>
  <c r="AQ43" i="48" s="1"/>
  <c r="AZ11" i="16"/>
  <c r="AM27" i="96"/>
  <c r="AF18" i="96"/>
  <c r="AE18" i="88"/>
  <c r="AJ27" i="88"/>
  <c r="AL27" i="88"/>
  <c r="AH118" i="10"/>
  <c r="AO28" i="89"/>
  <c r="AZ28" i="103"/>
  <c r="BR22" i="71"/>
  <c r="BS22" i="104"/>
  <c r="BS22" i="98"/>
  <c r="AH57" i="13"/>
  <c r="AH67" i="13" s="1"/>
  <c r="AK25" i="32"/>
  <c r="AW28" i="103"/>
  <c r="AL28" i="89"/>
  <c r="BP22" i="98"/>
  <c r="AE118" i="10"/>
  <c r="AH25" i="32"/>
  <c r="BO22" i="71"/>
  <c r="AE57" i="13"/>
  <c r="AE67" i="13" s="1"/>
  <c r="BP22" i="104"/>
  <c r="K77" i="98"/>
  <c r="K22" i="98"/>
  <c r="AJ27" i="53"/>
  <c r="AL27" i="53"/>
  <c r="AE18" i="53"/>
  <c r="V28" i="89"/>
  <c r="AY22" i="71"/>
  <c r="AZ22" i="104"/>
  <c r="AZ22" i="98"/>
  <c r="O23" i="59"/>
  <c r="O57" i="13"/>
  <c r="O67" i="13" s="1"/>
  <c r="O118" i="10"/>
  <c r="AG28" i="103"/>
  <c r="G23" i="10"/>
  <c r="G145" i="10"/>
  <c r="G142" i="10" s="1"/>
  <c r="G72" i="10"/>
  <c r="G80" i="10" s="1"/>
  <c r="J57" i="13"/>
  <c r="J67" i="13" s="1"/>
  <c r="Q28" i="89"/>
  <c r="AT22" i="71"/>
  <c r="J118" i="10"/>
  <c r="AU22" i="98"/>
  <c r="AB28" i="103"/>
  <c r="J23" i="59"/>
  <c r="AU22" i="104"/>
  <c r="AM27" i="101"/>
  <c r="AF18" i="101"/>
  <c r="AE18" i="85"/>
  <c r="AL27" i="85"/>
  <c r="AJ27" i="85"/>
  <c r="BF11" i="16"/>
  <c r="AQ27" i="46"/>
  <c r="V118" i="10"/>
  <c r="BG22" i="104"/>
  <c r="AN28" i="103"/>
  <c r="AC28" i="89"/>
  <c r="V57" i="13"/>
  <c r="V67" i="13" s="1"/>
  <c r="BG22" i="98"/>
  <c r="BF22" i="71"/>
  <c r="AH145" i="10"/>
  <c r="AH142" i="10" s="1"/>
  <c r="AH23" i="10"/>
  <c r="AH72" i="10"/>
  <c r="AH80" i="10" s="1"/>
  <c r="AG43" i="41"/>
  <c r="AN18" i="41"/>
  <c r="AN43" i="41" s="1"/>
  <c r="C76" i="10"/>
  <c r="C56" i="37"/>
  <c r="C35" i="37"/>
  <c r="C55" i="37"/>
  <c r="C36" i="37"/>
  <c r="P25" i="10"/>
  <c r="P153" i="10"/>
  <c r="P150" i="10" s="1"/>
  <c r="I114" i="10"/>
  <c r="I56" i="13"/>
  <c r="I66" i="13" s="1"/>
  <c r="AS21" i="71"/>
  <c r="AT21" i="104"/>
  <c r="AT21" i="98"/>
  <c r="P25" i="89"/>
  <c r="I22" i="59"/>
  <c r="AA25" i="103"/>
  <c r="AL28" i="103"/>
  <c r="T118" i="10"/>
  <c r="AA28" i="89"/>
  <c r="BE22" i="98"/>
  <c r="BD22" i="71"/>
  <c r="T57" i="13"/>
  <c r="T67" i="13" s="1"/>
  <c r="BE22" i="104"/>
  <c r="W43" i="55"/>
  <c r="AB43" i="55" s="1"/>
  <c r="AB18" i="55"/>
  <c r="W153" i="10"/>
  <c r="W150" i="10" s="1"/>
  <c r="W25" i="10"/>
  <c r="P75" i="10"/>
  <c r="AM18" i="58"/>
  <c r="AM43" i="58" s="1"/>
  <c r="AF43" i="58"/>
  <c r="AF43" i="51"/>
  <c r="H75" i="10"/>
  <c r="AM18" i="51"/>
  <c r="AM43" i="51" s="1"/>
  <c r="AL43" i="90"/>
  <c r="AQ18" i="90"/>
  <c r="AQ43" i="90" s="1"/>
  <c r="Q153" i="10"/>
  <c r="Q150" i="10" s="1"/>
  <c r="Q25" i="10"/>
  <c r="U25" i="32" s="1"/>
  <c r="AJ27" i="72"/>
  <c r="AL27" i="72"/>
  <c r="AE18" i="72"/>
  <c r="AM27" i="53"/>
  <c r="AF18" i="53"/>
  <c r="AF27" i="54"/>
  <c r="X18" i="54"/>
  <c r="X43" i="54" s="1"/>
  <c r="AM27" i="81"/>
  <c r="AF18" i="81"/>
  <c r="AQ27" i="45"/>
  <c r="AM18" i="77"/>
  <c r="AM43" i="77" s="1"/>
  <c r="U75" i="10"/>
  <c r="AF43" i="77"/>
  <c r="W43" i="85"/>
  <c r="AB43" i="85" s="1"/>
  <c r="AB18" i="85"/>
  <c r="AD149" i="10"/>
  <c r="AD146" i="10" s="1"/>
  <c r="AD24" i="10"/>
  <c r="AL43" i="69"/>
  <c r="AQ18" i="69"/>
  <c r="AQ43" i="69" s="1"/>
  <c r="M74" i="10"/>
  <c r="AL18" i="46"/>
  <c r="AE43" i="46"/>
  <c r="AJ18" i="46"/>
  <c r="AJ43" i="46" s="1"/>
  <c r="AQ27" i="58"/>
  <c r="AM27" i="64"/>
  <c r="AF18" i="64"/>
  <c r="AA153" i="10"/>
  <c r="AA150" i="10" s="1"/>
  <c r="AA25" i="10"/>
  <c r="J149" i="10"/>
  <c r="J146" i="10" s="1"/>
  <c r="J24" i="10"/>
  <c r="AL27" i="55"/>
  <c r="AJ27" i="55"/>
  <c r="AE18" i="55"/>
  <c r="AC153" i="10"/>
  <c r="AC150" i="10" s="1"/>
  <c r="AC25" i="10"/>
  <c r="AG25" i="32" s="1"/>
  <c r="AM18" i="46"/>
  <c r="AM43" i="46" s="1"/>
  <c r="AF43" i="46"/>
  <c r="M75" i="10"/>
  <c r="AJ28" i="103"/>
  <c r="R118" i="10"/>
  <c r="BB22" i="71"/>
  <c r="R57" i="13"/>
  <c r="R67" i="13" s="1"/>
  <c r="BC22" i="104"/>
  <c r="BC22" i="98"/>
  <c r="Y28" i="89"/>
  <c r="Y153" i="10"/>
  <c r="Y150" i="10" s="1"/>
  <c r="Y25" i="10"/>
  <c r="K145" i="10"/>
  <c r="K142" i="10" s="1"/>
  <c r="K23" i="10"/>
  <c r="K72" i="10"/>
  <c r="K80" i="10" s="1"/>
  <c r="AM27" i="88"/>
  <c r="AF18" i="88"/>
  <c r="AF27" i="41"/>
  <c r="X18" i="41"/>
  <c r="X43" i="41" s="1"/>
  <c r="W43" i="96"/>
  <c r="AB43" i="96" s="1"/>
  <c r="AB18" i="96"/>
  <c r="N51" i="32"/>
  <c r="AM18" i="45"/>
  <c r="AM43" i="45" s="1"/>
  <c r="D75" i="10"/>
  <c r="AF43" i="45"/>
  <c r="K22" i="104"/>
  <c r="K77" i="104"/>
  <c r="AL43" i="73"/>
  <c r="AQ18" i="73"/>
  <c r="AQ43" i="73" s="1"/>
  <c r="AD145" i="10"/>
  <c r="AD142" i="10" s="1"/>
  <c r="AD23" i="10"/>
  <c r="AD72" i="10"/>
  <c r="AD80" i="10" s="1"/>
  <c r="AO11" i="16"/>
  <c r="AL43" i="52"/>
  <c r="AQ18" i="52"/>
  <c r="AQ43" i="52" s="1"/>
  <c r="W43" i="72"/>
  <c r="AB43" i="72" s="1"/>
  <c r="AB18" i="72"/>
  <c r="AL27" i="81"/>
  <c r="AJ27" i="81"/>
  <c r="AE18" i="81"/>
  <c r="BR15" i="16"/>
  <c r="BR13" i="16"/>
  <c r="BR14" i="16"/>
  <c r="AI35" i="16"/>
  <c r="AI36" i="16"/>
  <c r="S153" i="10"/>
  <c r="S150" i="10" s="1"/>
  <c r="S25" i="10"/>
  <c r="W25" i="32" s="1"/>
  <c r="BJ11" i="16"/>
  <c r="BH11" i="16"/>
  <c r="AE27" i="41"/>
  <c r="W18" i="41"/>
  <c r="AB27" i="41"/>
  <c r="AL43" i="100"/>
  <c r="AQ18" i="100"/>
  <c r="AQ43" i="100" s="1"/>
  <c r="AL43" i="99"/>
  <c r="AQ18" i="99"/>
  <c r="AQ43" i="99" s="1"/>
  <c r="W43" i="88"/>
  <c r="AB43" i="88" s="1"/>
  <c r="AB18" i="88"/>
  <c r="K22" i="71"/>
  <c r="K77" i="71"/>
  <c r="P43" i="41"/>
  <c r="F421" i="89"/>
  <c r="BI11" i="16"/>
  <c r="AL11" i="16"/>
  <c r="AL15" i="16"/>
  <c r="AL21" i="16"/>
  <c r="AR11" i="16"/>
  <c r="BA11" i="16"/>
  <c r="BQ11" i="16"/>
  <c r="BC11" i="16"/>
  <c r="BP11" i="16"/>
  <c r="BM11" i="16"/>
  <c r="BE11" i="16"/>
  <c r="BG11" i="16"/>
  <c r="AT11" i="16"/>
  <c r="AS11" i="16"/>
  <c r="AP11" i="16"/>
  <c r="AM11" i="16"/>
  <c r="AY11" i="16"/>
  <c r="BN11" i="16"/>
  <c r="AQ11" i="16"/>
  <c r="BD11" i="16"/>
  <c r="AV11" i="16"/>
  <c r="AU11" i="16"/>
  <c r="AX11" i="16"/>
  <c r="BK11" i="16"/>
  <c r="V149" i="10"/>
  <c r="V146" i="10" s="1"/>
  <c r="V24" i="10"/>
  <c r="BL22" i="71"/>
  <c r="AB57" i="13"/>
  <c r="AB67" i="13" s="1"/>
  <c r="BM22" i="104"/>
  <c r="AI28" i="89"/>
  <c r="AT28" i="103"/>
  <c r="BM22" i="98"/>
  <c r="AB118" i="10"/>
  <c r="AM27" i="85"/>
  <c r="AF18" i="85"/>
  <c r="Z23" i="10"/>
  <c r="Z145" i="10"/>
  <c r="Z142" i="10" s="1"/>
  <c r="Z72" i="10"/>
  <c r="Z80" i="10" s="1"/>
  <c r="C64" i="37"/>
  <c r="D63" i="37" s="1"/>
  <c r="AA22" i="103"/>
  <c r="AS20" i="71"/>
  <c r="AT20" i="98"/>
  <c r="I110" i="10"/>
  <c r="P22" i="89"/>
  <c r="I21" i="59"/>
  <c r="L454" i="97"/>
  <c r="AT20" i="104"/>
  <c r="I55" i="13"/>
  <c r="R145" i="10"/>
  <c r="R142" i="10" s="1"/>
  <c r="R23" i="10"/>
  <c r="R72" i="10"/>
  <c r="R80" i="10" s="1"/>
  <c r="AL18" i="58"/>
  <c r="P74" i="10"/>
  <c r="AE43" i="58"/>
  <c r="AJ18" i="58"/>
  <c r="AJ43" i="58" s="1"/>
  <c r="AW11" i="16"/>
  <c r="AB74" i="10"/>
  <c r="AL18" i="87"/>
  <c r="AE43" i="87"/>
  <c r="AJ18" i="87"/>
  <c r="AJ43" i="87" s="1"/>
  <c r="T23" i="10"/>
  <c r="T145" i="10"/>
  <c r="T142" i="10" s="1"/>
  <c r="T72" i="10"/>
  <c r="T80" i="10" s="1"/>
  <c r="AQ27" i="56"/>
  <c r="AE43" i="51"/>
  <c r="H74" i="10"/>
  <c r="AL18" i="51"/>
  <c r="AJ18" i="51"/>
  <c r="AJ43" i="51" s="1"/>
  <c r="W43" i="81"/>
  <c r="AB43" i="81" s="1"/>
  <c r="AB18" i="81"/>
  <c r="T149" i="10"/>
  <c r="T146" i="10" s="1"/>
  <c r="T24" i="10"/>
  <c r="F153" i="10"/>
  <c r="F150" i="10" s="1"/>
  <c r="F25" i="10"/>
  <c r="AI153" i="10"/>
  <c r="AI150" i="10" s="1"/>
  <c r="AJ76" i="10"/>
  <c r="AI25" i="10"/>
  <c r="AQ27" i="95"/>
  <c r="AJ27" i="101"/>
  <c r="AL27" i="101"/>
  <c r="AE18" i="101"/>
  <c r="AG43" i="54"/>
  <c r="E76" i="10"/>
  <c r="AN18" i="54"/>
  <c r="AN43" i="54" s="1"/>
  <c r="H452" i="97"/>
  <c r="O43" i="54"/>
  <c r="T43" i="54" s="1"/>
  <c r="T18" i="54"/>
  <c r="AG145" i="10"/>
  <c r="AG142" i="10" s="1"/>
  <c r="AG23" i="10"/>
  <c r="AG72" i="10"/>
  <c r="AG80" i="10" s="1"/>
  <c r="AS22" i="98"/>
  <c r="Z28" i="103"/>
  <c r="O28" i="89"/>
  <c r="AS22" i="104"/>
  <c r="H23" i="59"/>
  <c r="AR22" i="71"/>
  <c r="H118" i="10"/>
  <c r="K25" i="32"/>
  <c r="H57" i="13"/>
  <c r="H67" i="13" s="1"/>
  <c r="AL27" i="64"/>
  <c r="AE18" i="64"/>
  <c r="AJ27" i="64"/>
  <c r="AL43" i="49"/>
  <c r="AQ18" i="49"/>
  <c r="AQ43" i="49" s="1"/>
  <c r="AB75" i="10"/>
  <c r="AF43" i="87"/>
  <c r="AM18" i="87"/>
  <c r="AM43" i="87" s="1"/>
  <c r="I21" i="10" l="1"/>
  <c r="M25" i="32"/>
  <c r="Y25" i="32"/>
  <c r="J163" i="10"/>
  <c r="AQ27" i="101"/>
  <c r="AB18" i="82"/>
  <c r="W43" i="82"/>
  <c r="AB43" i="82" s="1"/>
  <c r="AE18" i="82"/>
  <c r="AL27" i="82"/>
  <c r="AQ27" i="82" s="1"/>
  <c r="AJ27" i="82"/>
  <c r="AS22" i="71"/>
  <c r="AA28" i="103"/>
  <c r="I23" i="59"/>
  <c r="I118" i="10"/>
  <c r="I115" i="10" s="1"/>
  <c r="R8" i="33" s="1"/>
  <c r="P28" i="89"/>
  <c r="AT22" i="104"/>
  <c r="I57" i="13"/>
  <c r="I67" i="13" s="1"/>
  <c r="AT22" i="98"/>
  <c r="AF43" i="82"/>
  <c r="AM18" i="82"/>
  <c r="AM43" i="82" s="1"/>
  <c r="X75" i="10"/>
  <c r="AN18" i="45"/>
  <c r="AN43" i="45" s="1"/>
  <c r="AG43" i="45"/>
  <c r="D76" i="10"/>
  <c r="D72" i="10" s="1"/>
  <c r="D80" i="10" s="1"/>
  <c r="X153" i="10"/>
  <c r="X150" i="10" s="1"/>
  <c r="X25" i="10"/>
  <c r="AA25" i="32" s="1"/>
  <c r="V163" i="10"/>
  <c r="T163" i="10"/>
  <c r="T43" i="41"/>
  <c r="AQ27" i="72"/>
  <c r="K163" i="10"/>
  <c r="AQ27" i="55"/>
  <c r="AQ27" i="81"/>
  <c r="AD163" i="10"/>
  <c r="AQ27" i="53"/>
  <c r="AQ27" i="83"/>
  <c r="I20" i="104"/>
  <c r="I75" i="104"/>
  <c r="R115" i="10"/>
  <c r="G115" i="10"/>
  <c r="O23" i="10"/>
  <c r="O145" i="10"/>
  <c r="O142" i="10" s="1"/>
  <c r="O72" i="10"/>
  <c r="O80" i="10" s="1"/>
  <c r="BE20" i="98"/>
  <c r="T110" i="10"/>
  <c r="AL22" i="103"/>
  <c r="BD20" i="71"/>
  <c r="T55" i="13"/>
  <c r="W454" i="97"/>
  <c r="AA22" i="89"/>
  <c r="BE20" i="104"/>
  <c r="T21" i="10"/>
  <c r="Y118" i="10"/>
  <c r="AO102" i="32" s="1"/>
  <c r="AQ28" i="103"/>
  <c r="Y57" i="13"/>
  <c r="Y67" i="13" s="1"/>
  <c r="AF28" i="89"/>
  <c r="BJ22" i="98"/>
  <c r="BI22" i="71"/>
  <c r="BJ22" i="104"/>
  <c r="R51" i="32"/>
  <c r="AH77" i="104"/>
  <c r="AH22" i="104"/>
  <c r="D145" i="10"/>
  <c r="D142" i="10" s="1"/>
  <c r="D23" i="10"/>
  <c r="H115" i="10"/>
  <c r="AK23" i="10"/>
  <c r="BQ20" i="71"/>
  <c r="AN22" i="89"/>
  <c r="BR20" i="104"/>
  <c r="BR20" i="98"/>
  <c r="AG55" i="13"/>
  <c r="AJ454" i="97"/>
  <c r="AG110" i="10"/>
  <c r="AY22" i="103"/>
  <c r="AG21" i="10"/>
  <c r="AB77" i="98"/>
  <c r="AB22" i="98"/>
  <c r="M145" i="10"/>
  <c r="M142" i="10" s="1"/>
  <c r="M23" i="10"/>
  <c r="M72" i="10"/>
  <c r="M80" i="10" s="1"/>
  <c r="I111" i="10"/>
  <c r="R122" i="33"/>
  <c r="L23" i="10"/>
  <c r="L145" i="10"/>
  <c r="L142" i="10" s="1"/>
  <c r="L72" i="10"/>
  <c r="L80" i="10" s="1"/>
  <c r="H77" i="71"/>
  <c r="H22" i="71"/>
  <c r="AE77" i="98"/>
  <c r="AE22" i="98"/>
  <c r="AV22" i="71"/>
  <c r="L57" i="13"/>
  <c r="L67" i="13" s="1"/>
  <c r="AW22" i="104"/>
  <c r="S28" i="89"/>
  <c r="L118" i="10"/>
  <c r="AD28" i="103"/>
  <c r="L23" i="59"/>
  <c r="AW22" i="98"/>
  <c r="O25" i="32"/>
  <c r="AG51" i="32"/>
  <c r="AJ25" i="103"/>
  <c r="BB21" i="71"/>
  <c r="BC21" i="104"/>
  <c r="Y25" i="89"/>
  <c r="BC21" i="98"/>
  <c r="R56" i="13"/>
  <c r="R66" i="13" s="1"/>
  <c r="R114" i="10"/>
  <c r="AB22" i="103"/>
  <c r="M23" i="32"/>
  <c r="J21" i="59"/>
  <c r="M454" i="97"/>
  <c r="AU20" i="104"/>
  <c r="AU20" i="98"/>
  <c r="J110" i="10"/>
  <c r="AT20" i="71"/>
  <c r="J55" i="13"/>
  <c r="Q22" i="89"/>
  <c r="J21" i="10"/>
  <c r="G77" i="71"/>
  <c r="G22" i="71"/>
  <c r="AL43" i="77"/>
  <c r="AQ18" i="77"/>
  <c r="AQ43" i="77" s="1"/>
  <c r="M118" i="10"/>
  <c r="P25" i="32"/>
  <c r="AW22" i="71"/>
  <c r="T28" i="89"/>
  <c r="M23" i="59"/>
  <c r="AX22" i="104"/>
  <c r="M57" i="13"/>
  <c r="M67" i="13" s="1"/>
  <c r="AX22" i="98"/>
  <c r="AE28" i="103"/>
  <c r="R25" i="89"/>
  <c r="AV21" i="104"/>
  <c r="AU21" i="71"/>
  <c r="AV21" i="98"/>
  <c r="K22" i="59"/>
  <c r="K114" i="10"/>
  <c r="K56" i="13"/>
  <c r="K66" i="13" s="1"/>
  <c r="AC25" i="103"/>
  <c r="N24" i="32"/>
  <c r="AL43" i="87"/>
  <c r="AQ18" i="87"/>
  <c r="AQ43" i="87" s="1"/>
  <c r="AJ22" i="103"/>
  <c r="BB20" i="71"/>
  <c r="R55" i="13"/>
  <c r="BC20" i="98"/>
  <c r="Y22" i="89"/>
  <c r="U454" i="97"/>
  <c r="R110" i="10"/>
  <c r="BC20" i="104"/>
  <c r="R21" i="10"/>
  <c r="R22" i="89"/>
  <c r="AV20" i="104"/>
  <c r="K110" i="10"/>
  <c r="K55" i="13"/>
  <c r="AU20" i="71"/>
  <c r="N454" i="97"/>
  <c r="N23" i="32"/>
  <c r="AC22" i="103"/>
  <c r="K21" i="59"/>
  <c r="AV20" i="98"/>
  <c r="K21" i="10"/>
  <c r="M24" i="10"/>
  <c r="M149" i="10"/>
  <c r="M146" i="10" s="1"/>
  <c r="J22" i="59"/>
  <c r="AU21" i="98"/>
  <c r="J56" i="13"/>
  <c r="J66" i="13" s="1"/>
  <c r="Q25" i="89"/>
  <c r="M24" i="32"/>
  <c r="AT21" i="71"/>
  <c r="AU21" i="104"/>
  <c r="AB25" i="103"/>
  <c r="J114" i="10"/>
  <c r="T22" i="71"/>
  <c r="T77" i="71"/>
  <c r="AH28" i="103"/>
  <c r="P23" i="59"/>
  <c r="P118" i="10"/>
  <c r="S25" i="32"/>
  <c r="P57" i="13"/>
  <c r="P67" i="13" s="1"/>
  <c r="AZ22" i="71"/>
  <c r="BA22" i="104"/>
  <c r="W28" i="89"/>
  <c r="BA22" i="98"/>
  <c r="AH81" i="10"/>
  <c r="AQ27" i="85"/>
  <c r="J115" i="10"/>
  <c r="O22" i="98"/>
  <c r="O77" i="98"/>
  <c r="AD22" i="71"/>
  <c r="AD77" i="71"/>
  <c r="R163" i="10"/>
  <c r="Z22" i="98"/>
  <c r="Z77" i="98"/>
  <c r="AF74" i="10"/>
  <c r="AL18" i="96"/>
  <c r="AE43" i="96"/>
  <c r="AJ18" i="96"/>
  <c r="AJ43" i="96" s="1"/>
  <c r="Z163" i="10"/>
  <c r="AG115" i="10"/>
  <c r="T8" i="33"/>
  <c r="AJ25" i="32"/>
  <c r="AM28" i="89"/>
  <c r="AF57" i="13"/>
  <c r="AF67" i="13" s="1"/>
  <c r="BP22" i="71"/>
  <c r="AX28" i="103"/>
  <c r="AI25" i="32"/>
  <c r="BQ22" i="104"/>
  <c r="BQ22" i="98"/>
  <c r="AF118" i="10"/>
  <c r="BR21" i="104"/>
  <c r="BR21" i="98"/>
  <c r="BQ21" i="71"/>
  <c r="AG114" i="10"/>
  <c r="AG56" i="13"/>
  <c r="AG66" i="13" s="1"/>
  <c r="AN25" i="89"/>
  <c r="AY25" i="103"/>
  <c r="K51" i="32"/>
  <c r="P145" i="10"/>
  <c r="P142" i="10" s="1"/>
  <c r="P23" i="10"/>
  <c r="P72" i="10"/>
  <c r="P80" i="10" s="1"/>
  <c r="AL43" i="46"/>
  <c r="AQ18" i="46"/>
  <c r="AQ43" i="46" s="1"/>
  <c r="P24" i="10"/>
  <c r="P149" i="10"/>
  <c r="P146" i="10" s="1"/>
  <c r="W51" i="32"/>
  <c r="C25" i="10"/>
  <c r="C153" i="10"/>
  <c r="C150" i="10" s="1"/>
  <c r="V22" i="71"/>
  <c r="V77" i="71"/>
  <c r="AF43" i="96"/>
  <c r="AM18" i="96"/>
  <c r="AM43" i="96" s="1"/>
  <c r="AF75" i="10"/>
  <c r="AE149" i="10"/>
  <c r="AE146" i="10" s="1"/>
  <c r="AE24" i="10"/>
  <c r="Z77" i="104"/>
  <c r="Z22" i="104"/>
  <c r="AL43" i="51"/>
  <c r="AQ18" i="51"/>
  <c r="AQ43" i="51" s="1"/>
  <c r="AM27" i="54"/>
  <c r="AF18" i="54"/>
  <c r="Z25" i="32"/>
  <c r="BH22" i="104"/>
  <c r="W118" i="10"/>
  <c r="AD28" i="89"/>
  <c r="AO28" i="103"/>
  <c r="BG22" i="71"/>
  <c r="W57" i="13"/>
  <c r="W67" i="13" s="1"/>
  <c r="BH22" i="98"/>
  <c r="J25" i="32"/>
  <c r="AQ22" i="98"/>
  <c r="AQ22" i="104"/>
  <c r="F118" i="10"/>
  <c r="X28" i="103"/>
  <c r="M28" i="89"/>
  <c r="AP22" i="71"/>
  <c r="F23" i="59"/>
  <c r="F57" i="13"/>
  <c r="F67" i="13" s="1"/>
  <c r="K81" i="10"/>
  <c r="AA25" i="89"/>
  <c r="BE21" i="104"/>
  <c r="BE21" i="98"/>
  <c r="BD21" i="71"/>
  <c r="T56" i="13"/>
  <c r="T66" i="13" s="1"/>
  <c r="AL25" i="103"/>
  <c r="T114" i="10"/>
  <c r="AB145" i="10"/>
  <c r="AB142" i="10" s="1"/>
  <c r="AB23" i="10"/>
  <c r="AB72" i="10"/>
  <c r="AB80" i="10" s="1"/>
  <c r="R126" i="33"/>
  <c r="I107" i="10"/>
  <c r="BK20" i="98"/>
  <c r="AG22" i="89"/>
  <c r="Z110" i="10"/>
  <c r="Z55" i="13"/>
  <c r="AR22" i="103"/>
  <c r="AC454" i="97"/>
  <c r="BK20" i="104"/>
  <c r="BJ20" i="71"/>
  <c r="Z21" i="10"/>
  <c r="AB77" i="104"/>
  <c r="AB22" i="104"/>
  <c r="W43" i="41"/>
  <c r="AB43" i="41" s="1"/>
  <c r="AB18" i="41"/>
  <c r="R77" i="98"/>
  <c r="R22" i="98"/>
  <c r="AD56" i="13"/>
  <c r="AD66" i="13" s="1"/>
  <c r="BO21" i="104"/>
  <c r="BN21" i="71"/>
  <c r="BO21" i="98"/>
  <c r="AK25" i="89"/>
  <c r="AV25" i="103"/>
  <c r="AD114" i="10"/>
  <c r="AE43" i="72"/>
  <c r="AL18" i="72"/>
  <c r="S74" i="10"/>
  <c r="AJ18" i="72"/>
  <c r="AJ43" i="72" s="1"/>
  <c r="H149" i="10"/>
  <c r="H146" i="10" s="1"/>
  <c r="H24" i="10"/>
  <c r="T22" i="98"/>
  <c r="T77" i="98"/>
  <c r="AK454" i="97"/>
  <c r="AH110" i="10"/>
  <c r="AO22" i="89"/>
  <c r="AH55" i="13"/>
  <c r="BS20" i="104"/>
  <c r="BR20" i="71"/>
  <c r="BS20" i="98"/>
  <c r="AZ22" i="103"/>
  <c r="AK23" i="32"/>
  <c r="AH21" i="10"/>
  <c r="Y51" i="32"/>
  <c r="AA74" i="10"/>
  <c r="AE43" i="85"/>
  <c r="AL18" i="85"/>
  <c r="AJ18" i="85"/>
  <c r="AJ43" i="85" s="1"/>
  <c r="J77" i="71"/>
  <c r="J22" i="71"/>
  <c r="O77" i="104"/>
  <c r="O22" i="104"/>
  <c r="AH115" i="10"/>
  <c r="BE102" i="32"/>
  <c r="AM18" i="55"/>
  <c r="AM43" i="55" s="1"/>
  <c r="AF43" i="55"/>
  <c r="N75" i="10"/>
  <c r="AD22" i="98"/>
  <c r="AD77" i="98"/>
  <c r="G163" i="10"/>
  <c r="Z115" i="10"/>
  <c r="AQ27" i="96"/>
  <c r="BK21" i="98"/>
  <c r="BJ21" i="71"/>
  <c r="Z114" i="10"/>
  <c r="AR25" i="103"/>
  <c r="Z56" i="13"/>
  <c r="Z66" i="13" s="1"/>
  <c r="BK21" i="104"/>
  <c r="AG25" i="89"/>
  <c r="AG77" i="71"/>
  <c r="AG22" i="71"/>
  <c r="AO25" i="89"/>
  <c r="AH114" i="10"/>
  <c r="BS21" i="104"/>
  <c r="BR21" i="71"/>
  <c r="AH56" i="13"/>
  <c r="AH66" i="13" s="1"/>
  <c r="AK24" i="10"/>
  <c r="AZ25" i="103"/>
  <c r="BS21" i="98"/>
  <c r="AK24" i="32"/>
  <c r="AG163" i="10"/>
  <c r="S75" i="10"/>
  <c r="AF43" i="72"/>
  <c r="AM18" i="72"/>
  <c r="AM43" i="72" s="1"/>
  <c r="AB115" i="10"/>
  <c r="H23" i="10"/>
  <c r="H145" i="10"/>
  <c r="H142" i="10" s="1"/>
  <c r="H72" i="10"/>
  <c r="H80" i="10" s="1"/>
  <c r="H77" i="104"/>
  <c r="H22" i="104"/>
  <c r="I20" i="98"/>
  <c r="I75" i="98"/>
  <c r="I21" i="98"/>
  <c r="I76" i="98"/>
  <c r="AI75" i="10"/>
  <c r="AF43" i="101"/>
  <c r="AM18" i="101"/>
  <c r="AM43" i="101" s="1"/>
  <c r="AR20" i="98"/>
  <c r="Y22" i="103"/>
  <c r="G21" i="59"/>
  <c r="J454" i="97"/>
  <c r="AQ20" i="71"/>
  <c r="G55" i="13"/>
  <c r="G110" i="10"/>
  <c r="N22" i="89"/>
  <c r="AR20" i="104"/>
  <c r="G21" i="10"/>
  <c r="O22" i="71"/>
  <c r="O77" i="71"/>
  <c r="AE77" i="104"/>
  <c r="AE22" i="104"/>
  <c r="AK51" i="32"/>
  <c r="AQ27" i="88"/>
  <c r="AD115" i="10"/>
  <c r="L24" i="10"/>
  <c r="L149" i="10"/>
  <c r="L146" i="10" s="1"/>
  <c r="G77" i="104"/>
  <c r="G22" i="104"/>
  <c r="W43" i="54"/>
  <c r="AB43" i="54" s="1"/>
  <c r="AB18" i="54"/>
  <c r="Y25" i="103"/>
  <c r="G56" i="13"/>
  <c r="G66" i="13" s="1"/>
  <c r="AR21" i="104"/>
  <c r="G114" i="10"/>
  <c r="AR21" i="98"/>
  <c r="G22" i="59"/>
  <c r="N25" i="89"/>
  <c r="AQ21" i="71"/>
  <c r="AC25" i="32"/>
  <c r="AE23" i="10"/>
  <c r="AE145" i="10"/>
  <c r="AE142" i="10" s="1"/>
  <c r="AE72" i="10"/>
  <c r="AE80" i="10" s="1"/>
  <c r="AH163" i="10"/>
  <c r="AB149" i="10"/>
  <c r="AB146" i="10" s="1"/>
  <c r="AB24" i="10"/>
  <c r="AL43" i="58"/>
  <c r="AQ18" i="58"/>
  <c r="AQ43" i="58" s="1"/>
  <c r="D62" i="37"/>
  <c r="D61" i="37"/>
  <c r="V22" i="98"/>
  <c r="V77" i="98"/>
  <c r="AY102" i="32"/>
  <c r="AE115" i="10"/>
  <c r="Z22" i="71"/>
  <c r="Z77" i="71"/>
  <c r="U145" i="10"/>
  <c r="U142" i="10" s="1"/>
  <c r="U23" i="10"/>
  <c r="Y23" i="32" s="1"/>
  <c r="U72" i="10"/>
  <c r="U80" i="10" s="1"/>
  <c r="F75" i="10"/>
  <c r="AM18" i="53"/>
  <c r="AM43" i="53" s="1"/>
  <c r="AF43" i="53"/>
  <c r="J77" i="98"/>
  <c r="J22" i="98"/>
  <c r="AL18" i="64"/>
  <c r="AE43" i="64"/>
  <c r="Q74" i="10"/>
  <c r="AJ18" i="64"/>
  <c r="AJ43" i="64" s="1"/>
  <c r="I30" i="10"/>
  <c r="I19" i="59"/>
  <c r="AT18" i="98"/>
  <c r="AT18" i="104"/>
  <c r="AS18" i="71"/>
  <c r="AM18" i="85"/>
  <c r="AM43" i="85" s="1"/>
  <c r="AA75" i="10"/>
  <c r="AF43" i="85"/>
  <c r="AL22" i="16"/>
  <c r="AE18" i="41"/>
  <c r="AL27" i="41"/>
  <c r="AJ27" i="41"/>
  <c r="D24" i="10"/>
  <c r="D149" i="10"/>
  <c r="D146" i="10" s="1"/>
  <c r="AS28" i="103"/>
  <c r="AA118" i="10"/>
  <c r="AS102" i="32" s="1"/>
  <c r="AH28" i="89"/>
  <c r="BL22" i="104"/>
  <c r="AD25" i="32"/>
  <c r="BK22" i="71"/>
  <c r="AA57" i="13"/>
  <c r="AA67" i="13" s="1"/>
  <c r="BL22" i="98"/>
  <c r="AQ27" i="64"/>
  <c r="I20" i="71"/>
  <c r="I75" i="71"/>
  <c r="AB77" i="71"/>
  <c r="AB22" i="71"/>
  <c r="S118" i="10"/>
  <c r="AK28" i="103"/>
  <c r="BD22" i="104"/>
  <c r="BC22" i="71"/>
  <c r="Z28" i="89"/>
  <c r="BD22" i="98"/>
  <c r="S57" i="13"/>
  <c r="S67" i="13" s="1"/>
  <c r="V25" i="32"/>
  <c r="AV22" i="103"/>
  <c r="AD55" i="13"/>
  <c r="BN20" i="71"/>
  <c r="BO20" i="98"/>
  <c r="BO20" i="104"/>
  <c r="AG454" i="97"/>
  <c r="AK22" i="89"/>
  <c r="AD110" i="10"/>
  <c r="AD21" i="10"/>
  <c r="AC75" i="10"/>
  <c r="AM18" i="88"/>
  <c r="AM43" i="88" s="1"/>
  <c r="AF43" i="88"/>
  <c r="AU28" i="103"/>
  <c r="AC118" i="10"/>
  <c r="AF25" i="32"/>
  <c r="BM22" i="71"/>
  <c r="BN22" i="104"/>
  <c r="AC57" i="13"/>
  <c r="AC67" i="13" s="1"/>
  <c r="BN22" i="98"/>
  <c r="AJ28" i="89"/>
  <c r="AF43" i="81"/>
  <c r="AM18" i="81"/>
  <c r="AM43" i="81" s="1"/>
  <c r="W75" i="10"/>
  <c r="T115" i="10"/>
  <c r="I21" i="104"/>
  <c r="I76" i="104"/>
  <c r="V77" i="104"/>
  <c r="V22" i="104"/>
  <c r="M51" i="32"/>
  <c r="G22" i="98"/>
  <c r="G77" i="98"/>
  <c r="AJ27" i="54"/>
  <c r="AE18" i="54"/>
  <c r="AL27" i="54"/>
  <c r="AL43" i="95"/>
  <c r="AQ18" i="95"/>
  <c r="AQ43" i="95" s="1"/>
  <c r="O149" i="10"/>
  <c r="O146" i="10" s="1"/>
  <c r="O24" i="10"/>
  <c r="AL43" i="56"/>
  <c r="AQ18" i="56"/>
  <c r="AQ43" i="56" s="1"/>
  <c r="AG22" i="98"/>
  <c r="AG77" i="98"/>
  <c r="AM18" i="83"/>
  <c r="AM43" i="83" s="1"/>
  <c r="AF43" i="83"/>
  <c r="Y75" i="10"/>
  <c r="N74" i="10"/>
  <c r="AE43" i="55"/>
  <c r="AL18" i="55"/>
  <c r="AJ18" i="55"/>
  <c r="AJ43" i="55" s="1"/>
  <c r="X51" i="32"/>
  <c r="AH51" i="32"/>
  <c r="AL43" i="47"/>
  <c r="AQ18" i="47"/>
  <c r="AQ43" i="47" s="1"/>
  <c r="AL18" i="101"/>
  <c r="AE43" i="101"/>
  <c r="AI74" i="10"/>
  <c r="AJ18" i="101"/>
  <c r="AJ43" i="101" s="1"/>
  <c r="U149" i="10"/>
  <c r="U146" i="10" s="1"/>
  <c r="U24" i="10"/>
  <c r="Y24" i="32" s="1"/>
  <c r="T77" i="104"/>
  <c r="T22" i="104"/>
  <c r="AH77" i="71"/>
  <c r="AH22" i="71"/>
  <c r="J81" i="10"/>
  <c r="U51" i="32"/>
  <c r="AL18" i="81"/>
  <c r="W74" i="10"/>
  <c r="AE43" i="81"/>
  <c r="AJ18" i="81"/>
  <c r="AJ43" i="81" s="1"/>
  <c r="AM27" i="41"/>
  <c r="AF18" i="41"/>
  <c r="R77" i="104"/>
  <c r="R22" i="104"/>
  <c r="H22" i="98"/>
  <c r="H77" i="98"/>
  <c r="E25" i="10"/>
  <c r="E153" i="10"/>
  <c r="E150" i="10" s="1"/>
  <c r="BA28" i="103"/>
  <c r="BT22" i="98"/>
  <c r="BT22" i="104"/>
  <c r="AI118" i="10"/>
  <c r="AI57" i="13"/>
  <c r="AI67" i="13" s="1"/>
  <c r="AL25" i="10"/>
  <c r="AL25" i="32"/>
  <c r="AP28" i="89"/>
  <c r="I65" i="13"/>
  <c r="I59" i="13"/>
  <c r="AE25" i="32"/>
  <c r="BG21" i="98"/>
  <c r="V114" i="10"/>
  <c r="BF21" i="71"/>
  <c r="V56" i="13"/>
  <c r="V66" i="13" s="1"/>
  <c r="AN25" i="103"/>
  <c r="AC25" i="89"/>
  <c r="BG21" i="104"/>
  <c r="R77" i="71"/>
  <c r="R22" i="71"/>
  <c r="Q75" i="10"/>
  <c r="AM18" i="64"/>
  <c r="AM43" i="64" s="1"/>
  <c r="AF43" i="64"/>
  <c r="X28" i="89"/>
  <c r="Q57" i="13"/>
  <c r="Q67" i="13" s="1"/>
  <c r="BB22" i="104"/>
  <c r="Q118" i="10"/>
  <c r="AI28" i="103"/>
  <c r="BB22" i="98"/>
  <c r="Q23" i="59"/>
  <c r="BA22" i="71"/>
  <c r="T25" i="32"/>
  <c r="I76" i="71"/>
  <c r="I21" i="71"/>
  <c r="V115" i="10"/>
  <c r="J77" i="104"/>
  <c r="J22" i="104"/>
  <c r="O115" i="10"/>
  <c r="AE43" i="53"/>
  <c r="AL18" i="53"/>
  <c r="F74" i="10"/>
  <c r="AJ18" i="53"/>
  <c r="AJ43" i="53" s="1"/>
  <c r="AE22" i="71"/>
  <c r="AE77" i="71"/>
  <c r="AH77" i="98"/>
  <c r="AH22" i="98"/>
  <c r="AC74" i="10"/>
  <c r="AL18" i="88"/>
  <c r="AE43" i="88"/>
  <c r="AJ18" i="88"/>
  <c r="AJ43" i="88" s="1"/>
  <c r="AL43" i="45"/>
  <c r="AQ18" i="45"/>
  <c r="AQ43" i="45" s="1"/>
  <c r="AD77" i="104"/>
  <c r="AD22" i="104"/>
  <c r="AG77" i="104"/>
  <c r="AG22" i="104"/>
  <c r="AL18" i="83"/>
  <c r="AE43" i="83"/>
  <c r="Y74" i="10"/>
  <c r="AJ18" i="83"/>
  <c r="AJ43" i="83" s="1"/>
  <c r="AY22" i="98"/>
  <c r="AF28" i="103"/>
  <c r="U28" i="89"/>
  <c r="Q25" i="32"/>
  <c r="AX22" i="71"/>
  <c r="N118" i="10"/>
  <c r="AY22" i="104"/>
  <c r="N23" i="59"/>
  <c r="N57" i="13"/>
  <c r="N67" i="13" s="1"/>
  <c r="BF20" i="71"/>
  <c r="V110" i="10"/>
  <c r="Y454" i="97"/>
  <c r="V55" i="13"/>
  <c r="AC22" i="89"/>
  <c r="AN22" i="103"/>
  <c r="BG20" i="98"/>
  <c r="BG20" i="104"/>
  <c r="V21" i="10"/>
  <c r="AB28" i="89"/>
  <c r="BE22" i="71"/>
  <c r="U57" i="13"/>
  <c r="U67" i="13" s="1"/>
  <c r="BF22" i="104"/>
  <c r="AM28" i="103"/>
  <c r="BF22" i="98"/>
  <c r="U118" i="10"/>
  <c r="AQ27" i="54" l="1"/>
  <c r="AB25" i="32"/>
  <c r="AE28" i="89"/>
  <c r="BI22" i="104"/>
  <c r="X57" i="13"/>
  <c r="X67" i="13" s="1"/>
  <c r="BI22" i="98"/>
  <c r="X118" i="10"/>
  <c r="X115" i="10" s="1"/>
  <c r="AG8" i="33" s="1"/>
  <c r="AG7" i="33" s="1"/>
  <c r="AP28" i="103"/>
  <c r="BH22" i="71"/>
  <c r="I77" i="98"/>
  <c r="I22" i="98"/>
  <c r="I77" i="104"/>
  <c r="I22" i="104"/>
  <c r="D153" i="10"/>
  <c r="D150" i="10" s="1"/>
  <c r="D163" i="10" s="1"/>
  <c r="D25" i="10"/>
  <c r="G25" i="32" s="1"/>
  <c r="L163" i="10"/>
  <c r="X24" i="10"/>
  <c r="X149" i="10"/>
  <c r="X146" i="10" s="1"/>
  <c r="AE43" i="82"/>
  <c r="AL18" i="82"/>
  <c r="X74" i="10"/>
  <c r="AJ18" i="82"/>
  <c r="AJ43" i="82" s="1"/>
  <c r="I77" i="71"/>
  <c r="I22" i="71"/>
  <c r="I70" i="75"/>
  <c r="I69" i="75"/>
  <c r="U163" i="10"/>
  <c r="P163" i="10"/>
  <c r="O163" i="10"/>
  <c r="AB163" i="10"/>
  <c r="AS121" i="32"/>
  <c r="AT102" i="32"/>
  <c r="AT121" i="32" s="1"/>
  <c r="U115" i="10"/>
  <c r="AG99" i="32" s="1"/>
  <c r="AH99" i="32" s="1"/>
  <c r="AE102" i="32"/>
  <c r="AD65" i="13"/>
  <c r="AD59" i="13"/>
  <c r="AM19" i="16"/>
  <c r="AM20" i="16"/>
  <c r="AM8" i="33"/>
  <c r="AH21" i="71"/>
  <c r="AH76" i="71"/>
  <c r="AL43" i="72"/>
  <c r="AQ18" i="72"/>
  <c r="AQ43" i="72" s="1"/>
  <c r="J76" i="71"/>
  <c r="J21" i="71"/>
  <c r="J107" i="10"/>
  <c r="S126" i="33"/>
  <c r="AA122" i="33"/>
  <c r="R111" i="10"/>
  <c r="Q77" i="71"/>
  <c r="Q22" i="71"/>
  <c r="W24" i="10"/>
  <c r="W149" i="10"/>
  <c r="W146" i="10" s="1"/>
  <c r="U22" i="104"/>
  <c r="U77" i="104"/>
  <c r="Y23" i="10"/>
  <c r="Y145" i="10"/>
  <c r="Y142" i="10" s="1"/>
  <c r="Y72" i="10"/>
  <c r="Y80" i="10" s="1"/>
  <c r="V76" i="71"/>
  <c r="V21" i="71"/>
  <c r="G76" i="104"/>
  <c r="G21" i="104"/>
  <c r="AK50" i="32"/>
  <c r="Z111" i="10"/>
  <c r="AI122" i="33"/>
  <c r="AL43" i="85"/>
  <c r="AQ18" i="85"/>
  <c r="AQ43" i="85" s="1"/>
  <c r="E75" i="10"/>
  <c r="AM18" i="54"/>
  <c r="AM43" i="54" s="1"/>
  <c r="AF43" i="54"/>
  <c r="AP8" i="33"/>
  <c r="K76" i="98"/>
  <c r="K21" i="98"/>
  <c r="AG65" i="13"/>
  <c r="AG69" i="13" s="1"/>
  <c r="AG75" i="13" s="1"/>
  <c r="AG59" i="13"/>
  <c r="Y49" i="32"/>
  <c r="S102" i="32"/>
  <c r="T102" i="32" s="1"/>
  <c r="N115" i="10"/>
  <c r="Q102" i="32"/>
  <c r="R102" i="32" s="1"/>
  <c r="AE8" i="33"/>
  <c r="AL22" i="89"/>
  <c r="AH454" i="97"/>
  <c r="AH23" i="32"/>
  <c r="BP20" i="104"/>
  <c r="AW22" i="103"/>
  <c r="BP20" i="98"/>
  <c r="AE110" i="10"/>
  <c r="BO20" i="71"/>
  <c r="AE55" i="13"/>
  <c r="AE21" i="10"/>
  <c r="G65" i="13"/>
  <c r="G59" i="13"/>
  <c r="AI149" i="10"/>
  <c r="AI146" i="10" s="1"/>
  <c r="AI24" i="10"/>
  <c r="AJ75" i="10"/>
  <c r="BL20" i="71"/>
  <c r="AT22" i="103"/>
  <c r="AE454" i="97"/>
  <c r="BM20" i="98"/>
  <c r="AI22" i="89"/>
  <c r="AB55" i="13"/>
  <c r="BM20" i="104"/>
  <c r="AB110" i="10"/>
  <c r="AB21" i="10"/>
  <c r="AG76" i="104"/>
  <c r="AG21" i="104"/>
  <c r="N49" i="32"/>
  <c r="Q51" i="32"/>
  <c r="V30" i="10"/>
  <c r="BG18" i="98"/>
  <c r="BG18" i="104"/>
  <c r="BF18" i="71"/>
  <c r="AE126" i="33"/>
  <c r="V107" i="10"/>
  <c r="V76" i="104"/>
  <c r="V21" i="104"/>
  <c r="AE51" i="32"/>
  <c r="BI121" i="32"/>
  <c r="AK118" i="10"/>
  <c r="BG102" i="32"/>
  <c r="AI115" i="10"/>
  <c r="AL43" i="81"/>
  <c r="AQ18" i="81"/>
  <c r="AQ43" i="81" s="1"/>
  <c r="AL43" i="101"/>
  <c r="AQ18" i="101"/>
  <c r="AQ43" i="101" s="1"/>
  <c r="AL43" i="55"/>
  <c r="AQ18" i="55"/>
  <c r="AQ43" i="55" s="1"/>
  <c r="AC8" i="33"/>
  <c r="AC77" i="104"/>
  <c r="AC22" i="104"/>
  <c r="AC149" i="10"/>
  <c r="AC146" i="10" s="1"/>
  <c r="AC24" i="10"/>
  <c r="AD75" i="71"/>
  <c r="AD20" i="71"/>
  <c r="S77" i="104"/>
  <c r="S22" i="104"/>
  <c r="AM21" i="16"/>
  <c r="I73" i="98"/>
  <c r="I18" i="98"/>
  <c r="H81" i="10"/>
  <c r="I81" i="10"/>
  <c r="Z76" i="104"/>
  <c r="Z21" i="104"/>
  <c r="AO121" i="32"/>
  <c r="AP102" i="32"/>
  <c r="AP121" i="32" s="1"/>
  <c r="N24" i="10"/>
  <c r="R24" i="32" s="1"/>
  <c r="N149" i="10"/>
  <c r="N146" i="10" s="1"/>
  <c r="S23" i="10"/>
  <c r="S145" i="10"/>
  <c r="S142" i="10" s="1"/>
  <c r="S72" i="10"/>
  <c r="S80" i="10" s="1"/>
  <c r="AD21" i="71"/>
  <c r="AD76" i="71"/>
  <c r="Z20" i="71"/>
  <c r="Z75" i="71"/>
  <c r="AC122" i="33"/>
  <c r="T111" i="10"/>
  <c r="F77" i="104"/>
  <c r="F22" i="104"/>
  <c r="AF22" i="104"/>
  <c r="AF77" i="104"/>
  <c r="T7" i="33"/>
  <c r="K11" i="75"/>
  <c r="AL43" i="96"/>
  <c r="AQ18" i="96"/>
  <c r="AQ43" i="96" s="1"/>
  <c r="S51" i="32"/>
  <c r="J21" i="104"/>
  <c r="J76" i="104"/>
  <c r="AW21" i="71"/>
  <c r="AE25" i="103"/>
  <c r="AX21" i="104"/>
  <c r="M22" i="59"/>
  <c r="T25" i="89"/>
  <c r="M114" i="10"/>
  <c r="M56" i="13"/>
  <c r="M66" i="13" s="1"/>
  <c r="P24" i="32"/>
  <c r="AX21" i="98"/>
  <c r="K65" i="13"/>
  <c r="K69" i="13" s="1"/>
  <c r="K59" i="13"/>
  <c r="M115" i="10"/>
  <c r="J75" i="71"/>
  <c r="J20" i="71"/>
  <c r="L77" i="104"/>
  <c r="L22" i="104"/>
  <c r="AG30" i="10"/>
  <c r="BR18" i="98"/>
  <c r="BR18" i="104"/>
  <c r="BQ18" i="71"/>
  <c r="I69" i="13"/>
  <c r="V20" i="71"/>
  <c r="V75" i="71"/>
  <c r="AI77" i="104"/>
  <c r="AI22" i="104"/>
  <c r="Z20" i="104"/>
  <c r="Z75" i="104"/>
  <c r="F22" i="98"/>
  <c r="F77" i="98"/>
  <c r="AI51" i="32"/>
  <c r="AF23" i="10"/>
  <c r="AF145" i="10"/>
  <c r="AF142" i="10" s="1"/>
  <c r="AF72" i="10"/>
  <c r="AF80" i="10" s="1"/>
  <c r="K30" i="10"/>
  <c r="AU18" i="71"/>
  <c r="AV18" i="98"/>
  <c r="AV18" i="104"/>
  <c r="K19" i="59"/>
  <c r="N21" i="32"/>
  <c r="N47" i="32" s="1"/>
  <c r="T126" i="33"/>
  <c r="K107" i="10"/>
  <c r="M22" i="98"/>
  <c r="M77" i="98"/>
  <c r="T65" i="13"/>
  <c r="T69" i="13" s="1"/>
  <c r="T59" i="13"/>
  <c r="U22" i="98"/>
  <c r="U77" i="98"/>
  <c r="V20" i="98"/>
  <c r="V75" i="98"/>
  <c r="N22" i="98"/>
  <c r="N77" i="98"/>
  <c r="F145" i="10"/>
  <c r="F142" i="10" s="1"/>
  <c r="F23" i="10"/>
  <c r="F72" i="10"/>
  <c r="F80" i="10" s="1"/>
  <c r="AI22" i="98"/>
  <c r="AI77" i="98"/>
  <c r="N23" i="10"/>
  <c r="R23" i="32" s="1"/>
  <c r="N145" i="10"/>
  <c r="N142" i="10" s="1"/>
  <c r="N72" i="10"/>
  <c r="N80" i="10" s="1"/>
  <c r="AE43" i="54"/>
  <c r="E74" i="10"/>
  <c r="AL18" i="54"/>
  <c r="AJ18" i="54"/>
  <c r="AJ43" i="54" s="1"/>
  <c r="I27" i="59"/>
  <c r="AT27" i="98"/>
  <c r="AT27" i="104"/>
  <c r="AS27" i="71"/>
  <c r="U81" i="10"/>
  <c r="AZ102" i="32"/>
  <c r="AZ121" i="32" s="1"/>
  <c r="AY121" i="32"/>
  <c r="G21" i="98"/>
  <c r="G76" i="98"/>
  <c r="G75" i="104"/>
  <c r="G20" i="104"/>
  <c r="G75" i="98"/>
  <c r="G20" i="98"/>
  <c r="H55" i="13"/>
  <c r="O22" i="89"/>
  <c r="K23" i="32"/>
  <c r="AS20" i="104"/>
  <c r="K454" i="97"/>
  <c r="H110" i="10"/>
  <c r="AS20" i="98"/>
  <c r="Z22" i="103"/>
  <c r="H21" i="59"/>
  <c r="AR20" i="71"/>
  <c r="H21" i="10"/>
  <c r="L23" i="32"/>
  <c r="S24" i="10"/>
  <c r="S149" i="10"/>
  <c r="S146" i="10" s="1"/>
  <c r="AH21" i="104"/>
  <c r="AH76" i="104"/>
  <c r="AK49" i="32"/>
  <c r="L928" i="97"/>
  <c r="R123" i="33"/>
  <c r="R17" i="33"/>
  <c r="I128" i="10"/>
  <c r="J51" i="32"/>
  <c r="W22" i="104"/>
  <c r="W77" i="104"/>
  <c r="BP21" i="98"/>
  <c r="AE56" i="13"/>
  <c r="AE66" i="13" s="1"/>
  <c r="AL25" i="89"/>
  <c r="AE114" i="10"/>
  <c r="BO21" i="71"/>
  <c r="AW25" i="103"/>
  <c r="BP21" i="104"/>
  <c r="AH24" i="32"/>
  <c r="AJ25" i="10"/>
  <c r="AN22" i="98"/>
  <c r="C23" i="59"/>
  <c r="J28" i="89"/>
  <c r="AM22" i="71"/>
  <c r="C57" i="13"/>
  <c r="C67" i="13" s="1"/>
  <c r="AN22" i="104"/>
  <c r="U28" i="103"/>
  <c r="C118" i="10"/>
  <c r="AD40" i="33" s="1"/>
  <c r="BA20" i="98"/>
  <c r="AZ20" i="71"/>
  <c r="AH22" i="103"/>
  <c r="S454" i="97"/>
  <c r="BA20" i="104"/>
  <c r="P21" i="59"/>
  <c r="W22" i="89"/>
  <c r="P55" i="13"/>
  <c r="P110" i="10"/>
  <c r="S23" i="32"/>
  <c r="P21" i="10"/>
  <c r="AP122" i="33"/>
  <c r="AG111" i="10"/>
  <c r="M50" i="32"/>
  <c r="K20" i="98"/>
  <c r="K75" i="98"/>
  <c r="K75" i="104"/>
  <c r="K20" i="104"/>
  <c r="R65" i="13"/>
  <c r="R69" i="13" s="1"/>
  <c r="R59" i="13"/>
  <c r="K111" i="10"/>
  <c r="T122" i="33"/>
  <c r="J75" i="98"/>
  <c r="J20" i="98"/>
  <c r="O51" i="32"/>
  <c r="L22" i="71"/>
  <c r="L77" i="71"/>
  <c r="R11" i="33"/>
  <c r="R119" i="33"/>
  <c r="L927" i="97"/>
  <c r="BE94" i="32"/>
  <c r="BF94" i="32" s="1"/>
  <c r="AP126" i="33"/>
  <c r="AG107" i="10"/>
  <c r="T20" i="71"/>
  <c r="T75" i="71"/>
  <c r="P81" i="10"/>
  <c r="AL43" i="88"/>
  <c r="AQ18" i="88"/>
  <c r="AQ43" i="88" s="1"/>
  <c r="AL43" i="53"/>
  <c r="AQ18" i="53"/>
  <c r="AQ43" i="53" s="1"/>
  <c r="C25" i="32"/>
  <c r="AM18" i="41"/>
  <c r="AM43" i="41" s="1"/>
  <c r="C75" i="10"/>
  <c r="AF43" i="41"/>
  <c r="U56" i="13"/>
  <c r="U66" i="13" s="1"/>
  <c r="BF21" i="98"/>
  <c r="AM25" i="103"/>
  <c r="U114" i="10"/>
  <c r="AG98" i="32" s="1"/>
  <c r="AH98" i="32" s="1"/>
  <c r="X24" i="32"/>
  <c r="BE21" i="71"/>
  <c r="AB25" i="89"/>
  <c r="BF21" i="104"/>
  <c r="AU102" i="32"/>
  <c r="AC115" i="10"/>
  <c r="AM126" i="33"/>
  <c r="AD107" i="10"/>
  <c r="V51" i="32"/>
  <c r="AA77" i="98"/>
  <c r="AA22" i="98"/>
  <c r="AA24" i="10"/>
  <c r="AE24" i="32" s="1"/>
  <c r="AA149" i="10"/>
  <c r="AA146" i="10" s="1"/>
  <c r="F24" i="10"/>
  <c r="F149" i="10"/>
  <c r="F146" i="10" s="1"/>
  <c r="AB22" i="89"/>
  <c r="BF20" i="104"/>
  <c r="BE20" i="71"/>
  <c r="X454" i="97"/>
  <c r="U110" i="10"/>
  <c r="AG94" i="32" s="1"/>
  <c r="AH94" i="32" s="1"/>
  <c r="U55" i="13"/>
  <c r="AM22" i="103"/>
  <c r="BF20" i="98"/>
  <c r="U21" i="10"/>
  <c r="BL21" i="71"/>
  <c r="BM21" i="98"/>
  <c r="BM21" i="104"/>
  <c r="AB56" i="13"/>
  <c r="AB66" i="13" s="1"/>
  <c r="AB114" i="10"/>
  <c r="AI25" i="89"/>
  <c r="AT25" i="103"/>
  <c r="AE81" i="10"/>
  <c r="P122" i="33"/>
  <c r="G111" i="10"/>
  <c r="AQ122" i="33"/>
  <c r="AH111" i="10"/>
  <c r="BE98" i="32"/>
  <c r="BF98" i="32" s="1"/>
  <c r="AI8" i="33"/>
  <c r="AD111" i="10"/>
  <c r="AM122" i="33"/>
  <c r="T76" i="71"/>
  <c r="T21" i="71"/>
  <c r="AA51" i="32"/>
  <c r="Z51" i="32"/>
  <c r="AE163" i="10"/>
  <c r="AG76" i="71"/>
  <c r="AG21" i="71"/>
  <c r="AF77" i="71"/>
  <c r="AF22" i="71"/>
  <c r="P22" i="98"/>
  <c r="P77" i="98"/>
  <c r="R75" i="71"/>
  <c r="R20" i="71"/>
  <c r="M22" i="104"/>
  <c r="M77" i="104"/>
  <c r="J75" i="104"/>
  <c r="J20" i="104"/>
  <c r="R21" i="98"/>
  <c r="R76" i="98"/>
  <c r="L77" i="98"/>
  <c r="L22" i="98"/>
  <c r="M81" i="10"/>
  <c r="Y115" i="10"/>
  <c r="AO99" i="32" s="1"/>
  <c r="AP99" i="32" s="1"/>
  <c r="AM102" i="32"/>
  <c r="AB51" i="32"/>
  <c r="AC126" i="33"/>
  <c r="T107" i="10"/>
  <c r="V22" i="89"/>
  <c r="AY20" i="71"/>
  <c r="R454" i="97"/>
  <c r="O21" i="59"/>
  <c r="O110" i="10"/>
  <c r="AZ20" i="104"/>
  <c r="AZ20" i="98"/>
  <c r="AG22" i="103"/>
  <c r="O55" i="13"/>
  <c r="O21" i="10"/>
  <c r="AA8" i="33"/>
  <c r="V20" i="104"/>
  <c r="V75" i="104"/>
  <c r="T51" i="32"/>
  <c r="BO18" i="98"/>
  <c r="BN18" i="71"/>
  <c r="BO18" i="104"/>
  <c r="AD30" i="10"/>
  <c r="AR18" i="98"/>
  <c r="G19" i="59"/>
  <c r="AQ18" i="71"/>
  <c r="G30" i="10"/>
  <c r="AR18" i="104"/>
  <c r="AH30" i="10"/>
  <c r="AK21" i="10"/>
  <c r="BS18" i="104"/>
  <c r="BR18" i="71"/>
  <c r="BS18" i="98"/>
  <c r="AK21" i="32"/>
  <c r="AK47" i="32" s="1"/>
  <c r="AH107" i="10"/>
  <c r="AQ126" i="33"/>
  <c r="X11" i="75"/>
  <c r="J102" i="32"/>
  <c r="W115" i="10"/>
  <c r="AI102" i="32"/>
  <c r="AK102" i="32"/>
  <c r="AF51" i="32"/>
  <c r="AA102" i="32"/>
  <c r="S115" i="10"/>
  <c r="AC99" i="32" s="1"/>
  <c r="AD99" i="32" s="1"/>
  <c r="AC23" i="10"/>
  <c r="AC145" i="10"/>
  <c r="AC142" i="10" s="1"/>
  <c r="AC72" i="10"/>
  <c r="AC80" i="10" s="1"/>
  <c r="Q24" i="10"/>
  <c r="Q149" i="10"/>
  <c r="Q146" i="10" s="1"/>
  <c r="Q23" i="10"/>
  <c r="Q145" i="10"/>
  <c r="Q142" i="10" s="1"/>
  <c r="Q72" i="10"/>
  <c r="Q80" i="10" s="1"/>
  <c r="G107" i="10"/>
  <c r="P126" i="33"/>
  <c r="AH20" i="98"/>
  <c r="AH75" i="98"/>
  <c r="F22" i="71"/>
  <c r="F77" i="71"/>
  <c r="AF149" i="10"/>
  <c r="AF146" i="10" s="1"/>
  <c r="AF24" i="10"/>
  <c r="AG76" i="98"/>
  <c r="AG21" i="98"/>
  <c r="AE22" i="103"/>
  <c r="M55" i="13"/>
  <c r="M110" i="10"/>
  <c r="AW20" i="71"/>
  <c r="P23" i="32"/>
  <c r="M21" i="59"/>
  <c r="AX20" i="104"/>
  <c r="P454" i="97"/>
  <c r="AX20" i="98"/>
  <c r="T22" i="89"/>
  <c r="M21" i="10"/>
  <c r="V111" i="10"/>
  <c r="AE122" i="33"/>
  <c r="I25" i="32"/>
  <c r="E23" i="59"/>
  <c r="AP22" i="104"/>
  <c r="AP22" i="98"/>
  <c r="L28" i="89"/>
  <c r="W28" i="103"/>
  <c r="E118" i="10"/>
  <c r="E57" i="13"/>
  <c r="E67" i="13" s="1"/>
  <c r="H25" i="32"/>
  <c r="AO22" i="71"/>
  <c r="S22" i="98"/>
  <c r="S77" i="98"/>
  <c r="Z76" i="71"/>
  <c r="Z21" i="71"/>
  <c r="AS21" i="98"/>
  <c r="AS21" i="104"/>
  <c r="H114" i="10"/>
  <c r="Z25" i="103"/>
  <c r="H56" i="13"/>
  <c r="H66" i="13" s="1"/>
  <c r="H22" i="59"/>
  <c r="AR21" i="71"/>
  <c r="O25" i="89"/>
  <c r="K24" i="32"/>
  <c r="L24" i="32"/>
  <c r="P77" i="104"/>
  <c r="P22" i="104"/>
  <c r="J21" i="98"/>
  <c r="J76" i="98"/>
  <c r="R75" i="104"/>
  <c r="R20" i="104"/>
  <c r="K76" i="71"/>
  <c r="K21" i="71"/>
  <c r="AT18" i="71"/>
  <c r="J30" i="10"/>
  <c r="AU18" i="98"/>
  <c r="AU18" i="104"/>
  <c r="J19" i="59"/>
  <c r="M21" i="32"/>
  <c r="R76" i="104"/>
  <c r="R21" i="104"/>
  <c r="AG75" i="98"/>
  <c r="AG20" i="98"/>
  <c r="Q8" i="33"/>
  <c r="Y77" i="104"/>
  <c r="Y22" i="104"/>
  <c r="BE18" i="98"/>
  <c r="BD18" i="71"/>
  <c r="T30" i="10"/>
  <c r="BE18" i="104"/>
  <c r="T20" i="98"/>
  <c r="T75" i="98"/>
  <c r="U22" i="71"/>
  <c r="U77" i="71"/>
  <c r="V65" i="13"/>
  <c r="V59" i="13"/>
  <c r="N22" i="71"/>
  <c r="N77" i="71"/>
  <c r="AL43" i="83"/>
  <c r="AQ18" i="83"/>
  <c r="AQ43" i="83" s="1"/>
  <c r="AG102" i="32"/>
  <c r="Y102" i="32"/>
  <c r="Z102" i="32" s="1"/>
  <c r="Q115" i="10"/>
  <c r="Y99" i="32" s="1"/>
  <c r="Z99" i="32" s="1"/>
  <c r="W102" i="32"/>
  <c r="X102" i="32" s="1"/>
  <c r="V21" i="98"/>
  <c r="V76" i="98"/>
  <c r="AJ74" i="10"/>
  <c r="AI23" i="10"/>
  <c r="AI145" i="10"/>
  <c r="AI142" i="10" s="1"/>
  <c r="AI72" i="10"/>
  <c r="Y149" i="10"/>
  <c r="Y146" i="10" s="1"/>
  <c r="Y24" i="10"/>
  <c r="AC102" i="32"/>
  <c r="AC77" i="98"/>
  <c r="AC22" i="98"/>
  <c r="AD75" i="104"/>
  <c r="AD20" i="104"/>
  <c r="AD51" i="32"/>
  <c r="AQ27" i="41"/>
  <c r="I73" i="71"/>
  <c r="I18" i="71"/>
  <c r="AL43" i="64"/>
  <c r="AQ18" i="64"/>
  <c r="AQ43" i="64" s="1"/>
  <c r="I11" i="75"/>
  <c r="R7" i="33"/>
  <c r="V81" i="10"/>
  <c r="AC51" i="32"/>
  <c r="AW102" i="32"/>
  <c r="G20" i="71"/>
  <c r="G75" i="71"/>
  <c r="Z76" i="98"/>
  <c r="Z21" i="98"/>
  <c r="AQ8" i="33"/>
  <c r="BE99" i="32"/>
  <c r="BF99" i="32" s="1"/>
  <c r="AA23" i="10"/>
  <c r="AA145" i="10"/>
  <c r="AA142" i="10" s="1"/>
  <c r="AA72" i="10"/>
  <c r="AA80" i="10" s="1"/>
  <c r="AB81" i="10" s="1"/>
  <c r="AH75" i="104"/>
  <c r="AH20" i="104"/>
  <c r="H163" i="10"/>
  <c r="BJ18" i="71"/>
  <c r="Z30" i="10"/>
  <c r="BK18" i="98"/>
  <c r="BK18" i="104"/>
  <c r="W77" i="71"/>
  <c r="W22" i="71"/>
  <c r="BA21" i="104"/>
  <c r="P114" i="10"/>
  <c r="AH25" i="103"/>
  <c r="P56" i="13"/>
  <c r="P66" i="13" s="1"/>
  <c r="P22" i="59"/>
  <c r="BA21" i="98"/>
  <c r="AZ21" i="71"/>
  <c r="W25" i="89"/>
  <c r="BC102" i="32"/>
  <c r="BA102" i="32"/>
  <c r="AF115" i="10"/>
  <c r="AJ51" i="32"/>
  <c r="S8" i="33"/>
  <c r="P77" i="71"/>
  <c r="P22" i="71"/>
  <c r="S122" i="33"/>
  <c r="J111" i="10"/>
  <c r="R107" i="10"/>
  <c r="AA126" i="33"/>
  <c r="K76" i="104"/>
  <c r="K21" i="104"/>
  <c r="M22" i="71"/>
  <c r="M77" i="71"/>
  <c r="M49" i="32"/>
  <c r="R21" i="71"/>
  <c r="R76" i="71"/>
  <c r="L115" i="10"/>
  <c r="AV20" i="71"/>
  <c r="L110" i="10"/>
  <c r="AW20" i="104"/>
  <c r="AW20" i="98"/>
  <c r="S22" i="89"/>
  <c r="O454" i="97"/>
  <c r="O23" i="32"/>
  <c r="AD22" i="103"/>
  <c r="L55" i="13"/>
  <c r="L21" i="59"/>
  <c r="L21" i="10"/>
  <c r="AG75" i="104"/>
  <c r="AG20" i="104"/>
  <c r="Y77" i="71"/>
  <c r="Y22" i="71"/>
  <c r="T75" i="104"/>
  <c r="T20" i="104"/>
  <c r="AC22" i="71"/>
  <c r="AC77" i="71"/>
  <c r="AQ102" i="32"/>
  <c r="AA115" i="10"/>
  <c r="AY99" i="32"/>
  <c r="AZ99" i="32" s="1"/>
  <c r="AN8" i="33"/>
  <c r="AD21" i="104"/>
  <c r="AD76" i="104"/>
  <c r="U102" i="32"/>
  <c r="V102" i="32" s="1"/>
  <c r="P115" i="10"/>
  <c r="R20" i="98"/>
  <c r="R75" i="98"/>
  <c r="AG20" i="71"/>
  <c r="AG75" i="71"/>
  <c r="N77" i="104"/>
  <c r="N22" i="104"/>
  <c r="Q22" i="98"/>
  <c r="Q77" i="98"/>
  <c r="AN21" i="71"/>
  <c r="D22" i="59"/>
  <c r="K25" i="89"/>
  <c r="D114" i="10"/>
  <c r="AO21" i="98"/>
  <c r="AO21" i="104"/>
  <c r="D56" i="13"/>
  <c r="D66" i="13" s="1"/>
  <c r="V25" i="103"/>
  <c r="Z65" i="13"/>
  <c r="Z59" i="13"/>
  <c r="T21" i="98"/>
  <c r="T76" i="98"/>
  <c r="W77" i="98"/>
  <c r="W22" i="98"/>
  <c r="BC18" i="98"/>
  <c r="R30" i="10"/>
  <c r="BB18" i="71"/>
  <c r="BC18" i="104"/>
  <c r="L81" i="10"/>
  <c r="AL51" i="32"/>
  <c r="S24" i="32"/>
  <c r="AY21" i="71"/>
  <c r="O114" i="10"/>
  <c r="O22" i="59"/>
  <c r="AZ21" i="104"/>
  <c r="AG25" i="103"/>
  <c r="O56" i="13"/>
  <c r="O66" i="13" s="1"/>
  <c r="V25" i="89"/>
  <c r="AZ21" i="98"/>
  <c r="AA77" i="71"/>
  <c r="AA22" i="71"/>
  <c r="AV21" i="71"/>
  <c r="L114" i="10"/>
  <c r="AW21" i="104"/>
  <c r="AD25" i="103"/>
  <c r="L22" i="59"/>
  <c r="AW21" i="98"/>
  <c r="S25" i="89"/>
  <c r="O24" i="32"/>
  <c r="L56" i="13"/>
  <c r="L66" i="13" s="1"/>
  <c r="AH21" i="98"/>
  <c r="AH76" i="98"/>
  <c r="BF102" i="32"/>
  <c r="BF121" i="32" s="1"/>
  <c r="BE121" i="32"/>
  <c r="AH20" i="71"/>
  <c r="AH75" i="71"/>
  <c r="Z107" i="10"/>
  <c r="AI126" i="33"/>
  <c r="T21" i="104"/>
  <c r="T76" i="104"/>
  <c r="X8" i="33"/>
  <c r="Q77" i="104"/>
  <c r="Q22" i="104"/>
  <c r="Y50" i="32"/>
  <c r="W145" i="10"/>
  <c r="W142" i="10" s="1"/>
  <c r="W23" i="10"/>
  <c r="W72" i="10"/>
  <c r="W80" i="10" s="1"/>
  <c r="AD20" i="98"/>
  <c r="AD75" i="98"/>
  <c r="S77" i="71"/>
  <c r="S22" i="71"/>
  <c r="AA22" i="104"/>
  <c r="AA77" i="104"/>
  <c r="AE43" i="41"/>
  <c r="AL18" i="41"/>
  <c r="C74" i="10"/>
  <c r="AJ18" i="41"/>
  <c r="AJ43" i="41" s="1"/>
  <c r="I73" i="104"/>
  <c r="I18" i="104"/>
  <c r="G21" i="71"/>
  <c r="G76" i="71"/>
  <c r="AK8" i="33"/>
  <c r="AH65" i="13"/>
  <c r="AH69" i="13" s="1"/>
  <c r="AH59" i="13"/>
  <c r="AD21" i="98"/>
  <c r="AD76" i="98"/>
  <c r="Z75" i="98"/>
  <c r="Z20" i="98"/>
  <c r="F115" i="10"/>
  <c r="AF77" i="98"/>
  <c r="AF22" i="98"/>
  <c r="M163" i="10"/>
  <c r="K75" i="71"/>
  <c r="K20" i="71"/>
  <c r="N50" i="32"/>
  <c r="P51" i="32"/>
  <c r="J65" i="13"/>
  <c r="J69" i="13" s="1"/>
  <c r="J75" i="13" s="1"/>
  <c r="J59" i="13"/>
  <c r="D55" i="13"/>
  <c r="AN20" i="71"/>
  <c r="K22" i="89"/>
  <c r="AO20" i="98"/>
  <c r="D110" i="10"/>
  <c r="G454" i="97"/>
  <c r="D21" i="59"/>
  <c r="AO20" i="104"/>
  <c r="V22" i="103"/>
  <c r="D21" i="10"/>
  <c r="Y22" i="98"/>
  <c r="Y77" i="98"/>
  <c r="X23" i="32"/>
  <c r="P8" i="33"/>
  <c r="G102" i="32" l="1"/>
  <c r="AL86" i="33"/>
  <c r="Y163" i="10"/>
  <c r="AE99" i="32"/>
  <c r="AF99" i="32" s="1"/>
  <c r="X77" i="98"/>
  <c r="X22" i="98"/>
  <c r="X23" i="10"/>
  <c r="AA23" i="32" s="1"/>
  <c r="X72" i="10"/>
  <c r="X80" i="10" s="1"/>
  <c r="X145" i="10"/>
  <c r="X142" i="10" s="1"/>
  <c r="X163" i="10" s="1"/>
  <c r="AQ18" i="82"/>
  <c r="AQ43" i="82" s="1"/>
  <c r="AL43" i="82"/>
  <c r="K28" i="89"/>
  <c r="D57" i="13"/>
  <c r="D67" i="13" s="1"/>
  <c r="AO22" i="98"/>
  <c r="AO22" i="104"/>
  <c r="AN22" i="71"/>
  <c r="D118" i="10"/>
  <c r="D115" i="10" s="1"/>
  <c r="M8" i="33" s="1"/>
  <c r="V28" i="103"/>
  <c r="D23" i="59"/>
  <c r="X22" i="104"/>
  <c r="X77" i="104"/>
  <c r="X114" i="10"/>
  <c r="BI21" i="104"/>
  <c r="AP25" i="103"/>
  <c r="X56" i="13"/>
  <c r="X66" i="13" s="1"/>
  <c r="BI21" i="98"/>
  <c r="AE25" i="89"/>
  <c r="BH21" i="71"/>
  <c r="X22" i="71"/>
  <c r="X77" i="71"/>
  <c r="Y40" i="33"/>
  <c r="AJ40" i="33"/>
  <c r="Z86" i="33"/>
  <c r="O86" i="33"/>
  <c r="AF163" i="10"/>
  <c r="K70" i="75"/>
  <c r="K69" i="75"/>
  <c r="S163" i="10"/>
  <c r="U86" i="33"/>
  <c r="Y21" i="32"/>
  <c r="Y47" i="32" s="1"/>
  <c r="AR40" i="33"/>
  <c r="O40" i="33"/>
  <c r="AF86" i="33"/>
  <c r="AH86" i="33"/>
  <c r="AH40" i="33"/>
  <c r="U40" i="33"/>
  <c r="AO40" i="33"/>
  <c r="Z40" i="33"/>
  <c r="AF40" i="33"/>
  <c r="N163" i="10"/>
  <c r="AJ118" i="10"/>
  <c r="Y86" i="33"/>
  <c r="AO86" i="33"/>
  <c r="AB86" i="33"/>
  <c r="AB40" i="33"/>
  <c r="W86" i="33"/>
  <c r="V86" i="33"/>
  <c r="AC163" i="10"/>
  <c r="AL40" i="33"/>
  <c r="AJ86" i="33"/>
  <c r="AH73" i="13"/>
  <c r="AH77" i="13"/>
  <c r="AH76" i="13"/>
  <c r="AH75" i="13"/>
  <c r="R77" i="13"/>
  <c r="R73" i="13"/>
  <c r="R76" i="13"/>
  <c r="R75" i="13"/>
  <c r="D76" i="98"/>
  <c r="D21" i="98"/>
  <c r="Y8" i="33"/>
  <c r="U99" i="32"/>
  <c r="V99" i="32" s="1"/>
  <c r="AE11" i="75"/>
  <c r="AN7" i="33"/>
  <c r="U8" i="33"/>
  <c r="P21" i="98"/>
  <c r="P76" i="98"/>
  <c r="Z73" i="104"/>
  <c r="Z18" i="104"/>
  <c r="AA81" i="10"/>
  <c r="I10" i="75"/>
  <c r="I64" i="75"/>
  <c r="I63" i="75" s="1"/>
  <c r="I36" i="75"/>
  <c r="W99" i="32"/>
  <c r="X99" i="32" s="1"/>
  <c r="Z8" i="33"/>
  <c r="V69" i="13"/>
  <c r="V74" i="13" s="1"/>
  <c r="J73" i="104"/>
  <c r="J18" i="104"/>
  <c r="H21" i="71"/>
  <c r="H76" i="71"/>
  <c r="AE11" i="33"/>
  <c r="Y927" i="97"/>
  <c r="AE119" i="33"/>
  <c r="AI24" i="32"/>
  <c r="BQ21" i="98"/>
  <c r="AX25" i="103"/>
  <c r="AM25" i="89"/>
  <c r="AF56" i="13"/>
  <c r="AF66" i="13" s="1"/>
  <c r="BP21" i="71"/>
  <c r="AF114" i="10"/>
  <c r="BQ21" i="104"/>
  <c r="AJ24" i="32"/>
  <c r="BN27" i="71"/>
  <c r="BO27" i="104"/>
  <c r="BO27" i="98"/>
  <c r="O65" i="13"/>
  <c r="O59" i="13"/>
  <c r="AB21" i="98"/>
  <c r="AB76" i="98"/>
  <c r="U75" i="71"/>
  <c r="U20" i="71"/>
  <c r="AL8" i="33"/>
  <c r="AU99" i="32"/>
  <c r="AV99" i="32" s="1"/>
  <c r="AE98" i="32"/>
  <c r="AF98" i="32" s="1"/>
  <c r="AD122" i="33"/>
  <c r="U111" i="10"/>
  <c r="AG95" i="32" s="1"/>
  <c r="AH95" i="32" s="1"/>
  <c r="C22" i="71"/>
  <c r="C77" i="71"/>
  <c r="AE76" i="71"/>
  <c r="AE21" i="71"/>
  <c r="AS18" i="104"/>
  <c r="AR18" i="71"/>
  <c r="H30" i="10"/>
  <c r="K21" i="32"/>
  <c r="H19" i="59"/>
  <c r="AS18" i="98"/>
  <c r="L21" i="32"/>
  <c r="K49" i="32"/>
  <c r="I82" i="98"/>
  <c r="I27" i="98"/>
  <c r="AT28" i="98"/>
  <c r="Q454" i="97"/>
  <c r="N110" i="10"/>
  <c r="N55" i="13"/>
  <c r="AX20" i="71"/>
  <c r="AF22" i="103"/>
  <c r="N21" i="59"/>
  <c r="AY20" i="98"/>
  <c r="AY20" i="104"/>
  <c r="Q23" i="32"/>
  <c r="U22" i="89"/>
  <c r="N21" i="10"/>
  <c r="K18" i="98"/>
  <c r="K73" i="98"/>
  <c r="I75" i="13"/>
  <c r="I73" i="13"/>
  <c r="I77" i="13"/>
  <c r="I76" i="13"/>
  <c r="K74" i="13"/>
  <c r="K64" i="75"/>
  <c r="K63" i="75" s="1"/>
  <c r="K36" i="75"/>
  <c r="K10" i="75"/>
  <c r="BH102" i="32"/>
  <c r="BH121" i="32" s="1"/>
  <c r="BG121" i="32"/>
  <c r="AE17" i="33"/>
  <c r="Y928" i="97"/>
  <c r="AE123" i="33"/>
  <c r="V128" i="10"/>
  <c r="BP18" i="98"/>
  <c r="BO18" i="71"/>
  <c r="BP18" i="104"/>
  <c r="AE30" i="10"/>
  <c r="AH21" i="32"/>
  <c r="AH47" i="32" s="1"/>
  <c r="AC927" i="97"/>
  <c r="AI11" i="33"/>
  <c r="AI119" i="33"/>
  <c r="Y81" i="10"/>
  <c r="Z81" i="10"/>
  <c r="J73" i="98"/>
  <c r="J18" i="98"/>
  <c r="E22" i="98"/>
  <c r="E77" i="98"/>
  <c r="P49" i="32"/>
  <c r="Q163" i="10"/>
  <c r="BS27" i="98"/>
  <c r="AK29" i="32"/>
  <c r="BR27" i="71"/>
  <c r="BS27" i="104"/>
  <c r="AK30" i="10"/>
  <c r="AD18" i="104"/>
  <c r="AD73" i="104"/>
  <c r="AM121" i="32"/>
  <c r="AN102" i="32"/>
  <c r="AN121" i="32" s="1"/>
  <c r="AB21" i="71"/>
  <c r="AB76" i="71"/>
  <c r="U75" i="104"/>
  <c r="U20" i="104"/>
  <c r="BA18" i="98"/>
  <c r="BA18" i="104"/>
  <c r="P30" i="10"/>
  <c r="AZ18" i="71"/>
  <c r="P19" i="59"/>
  <c r="AE111" i="10"/>
  <c r="AY98" i="32"/>
  <c r="AZ98" i="32" s="1"/>
  <c r="AN122" i="33"/>
  <c r="H20" i="71"/>
  <c r="H75" i="71"/>
  <c r="K73" i="71"/>
  <c r="K18" i="71"/>
  <c r="M21" i="98"/>
  <c r="M76" i="98"/>
  <c r="M21" i="71"/>
  <c r="M76" i="71"/>
  <c r="AC11" i="33"/>
  <c r="AC119" i="33"/>
  <c r="W927" i="97"/>
  <c r="V454" i="97"/>
  <c r="BC20" i="71"/>
  <c r="S110" i="10"/>
  <c r="S55" i="13"/>
  <c r="Z22" i="89"/>
  <c r="BD20" i="104"/>
  <c r="AK22" i="103"/>
  <c r="V23" i="32"/>
  <c r="BD20" i="98"/>
  <c r="S21" i="10"/>
  <c r="W23" i="32"/>
  <c r="V18" i="98"/>
  <c r="V73" i="98"/>
  <c r="AE65" i="13"/>
  <c r="AE59" i="13"/>
  <c r="S99" i="32"/>
  <c r="T99" i="32" s="1"/>
  <c r="W8" i="33"/>
  <c r="Q99" i="32"/>
  <c r="R99" i="32" s="1"/>
  <c r="E24" i="10"/>
  <c r="I24" i="32" s="1"/>
  <c r="E149" i="10"/>
  <c r="E146" i="10" s="1"/>
  <c r="M928" i="97"/>
  <c r="S17" i="33"/>
  <c r="S123" i="33"/>
  <c r="J128" i="10"/>
  <c r="AD69" i="13"/>
  <c r="AD74" i="13" s="1"/>
  <c r="O76" i="98"/>
  <c r="O21" i="98"/>
  <c r="D19" i="59"/>
  <c r="AO18" i="104"/>
  <c r="AO18" i="98"/>
  <c r="D30" i="10"/>
  <c r="AN18" i="71"/>
  <c r="D111" i="10"/>
  <c r="M122" i="33"/>
  <c r="S11" i="33"/>
  <c r="M927" i="97"/>
  <c r="S119" i="33"/>
  <c r="D75" i="71"/>
  <c r="D20" i="71"/>
  <c r="R73" i="71"/>
  <c r="R18" i="71"/>
  <c r="L20" i="98"/>
  <c r="L75" i="98"/>
  <c r="AO8" i="33"/>
  <c r="BA99" i="32"/>
  <c r="BB99" i="32" s="1"/>
  <c r="BK27" i="98"/>
  <c r="BK27" i="104"/>
  <c r="BJ27" i="71"/>
  <c r="J27" i="59"/>
  <c r="AT27" i="71"/>
  <c r="AU27" i="104"/>
  <c r="AU27" i="98"/>
  <c r="M29" i="32"/>
  <c r="M73" i="32" s="1"/>
  <c r="BF18" i="98"/>
  <c r="X21" i="32"/>
  <c r="BE18" i="71"/>
  <c r="U30" i="10"/>
  <c r="Y29" i="32" s="1"/>
  <c r="BF18" i="104"/>
  <c r="U76" i="98"/>
  <c r="U21" i="98"/>
  <c r="S49" i="32"/>
  <c r="P75" i="71"/>
  <c r="P20" i="71"/>
  <c r="T75" i="13"/>
  <c r="T77" i="13"/>
  <c r="T73" i="13"/>
  <c r="T76" i="13"/>
  <c r="P50" i="32"/>
  <c r="BM18" i="104"/>
  <c r="BL18" i="71"/>
  <c r="BM18" i="98"/>
  <c r="AB30" i="10"/>
  <c r="AB75" i="71"/>
  <c r="AB20" i="71"/>
  <c r="AG77" i="13"/>
  <c r="AG73" i="13"/>
  <c r="AG76" i="13"/>
  <c r="AV18" i="71"/>
  <c r="O21" i="32"/>
  <c r="L30" i="10"/>
  <c r="AW18" i="98"/>
  <c r="L19" i="59"/>
  <c r="AW18" i="104"/>
  <c r="L20" i="104"/>
  <c r="L75" i="104"/>
  <c r="Z18" i="71"/>
  <c r="Z73" i="71"/>
  <c r="AW121" i="32"/>
  <c r="AX102" i="32"/>
  <c r="AX121" i="32" s="1"/>
  <c r="T73" i="104"/>
  <c r="T18" i="104"/>
  <c r="H11" i="75"/>
  <c r="Q7" i="33"/>
  <c r="R4" i="33" s="1"/>
  <c r="J18" i="71"/>
  <c r="J73" i="71"/>
  <c r="E22" i="71"/>
  <c r="E77" i="71"/>
  <c r="AX18" i="98"/>
  <c r="M30" i="10"/>
  <c r="M19" i="59"/>
  <c r="AX18" i="104"/>
  <c r="AW18" i="71"/>
  <c r="P21" i="32"/>
  <c r="P47" i="32" s="1"/>
  <c r="M107" i="10"/>
  <c r="V126" i="33"/>
  <c r="AC81" i="10"/>
  <c r="AD81" i="10"/>
  <c r="AJ102" i="32"/>
  <c r="AJ121" i="32" s="1"/>
  <c r="AI121" i="32"/>
  <c r="AK928" i="97"/>
  <c r="AQ123" i="33"/>
  <c r="AQ17" i="33"/>
  <c r="AH128" i="10"/>
  <c r="AR27" i="104"/>
  <c r="AR27" i="98"/>
  <c r="G27" i="59"/>
  <c r="AQ27" i="71"/>
  <c r="AD73" i="71"/>
  <c r="AD18" i="71"/>
  <c r="O20" i="104"/>
  <c r="O75" i="104"/>
  <c r="P119" i="33"/>
  <c r="P11" i="33"/>
  <c r="J927" i="97"/>
  <c r="U75" i="98"/>
  <c r="U20" i="98"/>
  <c r="F163" i="10"/>
  <c r="N927" i="97"/>
  <c r="T119" i="33"/>
  <c r="T11" i="33"/>
  <c r="U94" i="32"/>
  <c r="V94" i="32" s="1"/>
  <c r="P107" i="10"/>
  <c r="Y126" i="33"/>
  <c r="P75" i="98"/>
  <c r="P20" i="98"/>
  <c r="C77" i="98"/>
  <c r="C22" i="98"/>
  <c r="R135" i="33"/>
  <c r="AL43" i="54"/>
  <c r="AQ18" i="54"/>
  <c r="AQ43" i="54" s="1"/>
  <c r="G81" i="10"/>
  <c r="T123" i="33"/>
  <c r="T17" i="33"/>
  <c r="N928" i="97"/>
  <c r="K128" i="10"/>
  <c r="AF81" i="10"/>
  <c r="AG81" i="10"/>
  <c r="AG73" i="71"/>
  <c r="AG18" i="71"/>
  <c r="AX21" i="71"/>
  <c r="Q24" i="32"/>
  <c r="N22" i="59"/>
  <c r="N114" i="10"/>
  <c r="S98" i="32" s="1"/>
  <c r="T98" i="32" s="1"/>
  <c r="AY21" i="104"/>
  <c r="AY21" i="98"/>
  <c r="AF25" i="103"/>
  <c r="N56" i="13"/>
  <c r="N66" i="13" s="1"/>
  <c r="U25" i="89"/>
  <c r="AB107" i="10"/>
  <c r="AK126" i="33"/>
  <c r="AE107" i="10"/>
  <c r="AN126" i="33"/>
  <c r="AY94" i="32"/>
  <c r="AZ94" i="32" s="1"/>
  <c r="BC99" i="32"/>
  <c r="BD99" i="32" s="1"/>
  <c r="U927" i="97"/>
  <c r="AA119" i="33"/>
  <c r="AA11" i="33"/>
  <c r="D75" i="98"/>
  <c r="D20" i="98"/>
  <c r="L21" i="98"/>
  <c r="L76" i="98"/>
  <c r="O21" i="71"/>
  <c r="O76" i="71"/>
  <c r="S50" i="32"/>
  <c r="AH74" i="13"/>
  <c r="AS99" i="32"/>
  <c r="AT99" i="32" s="1"/>
  <c r="AQ99" i="32"/>
  <c r="AR99" i="32" s="1"/>
  <c r="AJ8" i="33"/>
  <c r="AE23" i="32"/>
  <c r="BL20" i="104"/>
  <c r="AD454" i="97"/>
  <c r="AA55" i="13"/>
  <c r="AA110" i="10"/>
  <c r="AD23" i="32"/>
  <c r="BK20" i="71"/>
  <c r="BL20" i="98"/>
  <c r="AS22" i="103"/>
  <c r="AH22" i="89"/>
  <c r="AA21" i="10"/>
  <c r="AG121" i="32"/>
  <c r="AH102" i="32"/>
  <c r="AH121" i="32" s="1"/>
  <c r="E22" i="104"/>
  <c r="E77" i="104"/>
  <c r="M20" i="71"/>
  <c r="M75" i="71"/>
  <c r="T24" i="32"/>
  <c r="Q22" i="59"/>
  <c r="BB21" i="98"/>
  <c r="Q114" i="10"/>
  <c r="Q56" i="13"/>
  <c r="Q66" i="13" s="1"/>
  <c r="X25" i="89"/>
  <c r="BB21" i="104"/>
  <c r="BA21" i="71"/>
  <c r="AI25" i="103"/>
  <c r="U24" i="32"/>
  <c r="H102" i="32"/>
  <c r="G18" i="104"/>
  <c r="G73" i="104"/>
  <c r="O20" i="98"/>
  <c r="O75" i="98"/>
  <c r="AM99" i="32"/>
  <c r="AN99" i="32" s="1"/>
  <c r="AH8" i="33"/>
  <c r="AU121" i="32"/>
  <c r="AV102" i="32"/>
  <c r="AV121" i="32" s="1"/>
  <c r="H65" i="13"/>
  <c r="H69" i="13" s="1"/>
  <c r="H59" i="13"/>
  <c r="AV27" i="98"/>
  <c r="AV27" i="104"/>
  <c r="AU27" i="71"/>
  <c r="K27" i="59"/>
  <c r="N29" i="32"/>
  <c r="BF27" i="71"/>
  <c r="BG27" i="104"/>
  <c r="BG27" i="98"/>
  <c r="AE75" i="71"/>
  <c r="AE20" i="71"/>
  <c r="J73" i="13"/>
  <c r="J77" i="13"/>
  <c r="J76" i="13"/>
  <c r="AB454" i="97"/>
  <c r="AF22" i="89"/>
  <c r="BJ20" i="104"/>
  <c r="AB23" i="32"/>
  <c r="BI20" i="71"/>
  <c r="BJ20" i="98"/>
  <c r="Y55" i="13"/>
  <c r="Y110" i="10"/>
  <c r="AQ22" i="103"/>
  <c r="Y21" i="10"/>
  <c r="AC23" i="32"/>
  <c r="AE121" i="32"/>
  <c r="AF102" i="32"/>
  <c r="AF121" i="32" s="1"/>
  <c r="D75" i="104"/>
  <c r="D20" i="104"/>
  <c r="D65" i="13"/>
  <c r="D69" i="13" s="1"/>
  <c r="D75" i="13" s="1"/>
  <c r="D59" i="13"/>
  <c r="C145" i="10"/>
  <c r="C142" i="10" s="1"/>
  <c r="C23" i="10"/>
  <c r="AJ23" i="10" s="1"/>
  <c r="C72" i="10"/>
  <c r="C80" i="10" s="1"/>
  <c r="AA83" i="10" s="1"/>
  <c r="L76" i="104"/>
  <c r="L21" i="104"/>
  <c r="BB27" i="71"/>
  <c r="BC27" i="104"/>
  <c r="BC27" i="98"/>
  <c r="Z69" i="13"/>
  <c r="Z74" i="13" s="1"/>
  <c r="O8" i="33"/>
  <c r="AL43" i="41"/>
  <c r="AQ18" i="41"/>
  <c r="AQ43" i="41" s="1"/>
  <c r="AC928" i="97"/>
  <c r="AI17" i="33"/>
  <c r="AI123" i="33"/>
  <c r="Z128" i="10"/>
  <c r="L111" i="10"/>
  <c r="U122" i="33"/>
  <c r="R50" i="32"/>
  <c r="R18" i="98"/>
  <c r="R73" i="98"/>
  <c r="D21" i="71"/>
  <c r="D76" i="71"/>
  <c r="AR102" i="32"/>
  <c r="AR121" i="32" s="1"/>
  <c r="AQ121" i="32"/>
  <c r="L107" i="10"/>
  <c r="U126" i="33"/>
  <c r="BB102" i="32"/>
  <c r="BB121" i="32" s="1"/>
  <c r="BA121" i="32"/>
  <c r="P111" i="10"/>
  <c r="Y122" i="33"/>
  <c r="AD102" i="32"/>
  <c r="AD121" i="32" s="1"/>
  <c r="AC121" i="32"/>
  <c r="BE27" i="104"/>
  <c r="BE27" i="98"/>
  <c r="BD27" i="71"/>
  <c r="Q122" i="33"/>
  <c r="H111" i="10"/>
  <c r="H51" i="32"/>
  <c r="I51" i="32"/>
  <c r="M65" i="13"/>
  <c r="M59" i="13"/>
  <c r="J928" i="97"/>
  <c r="P17" i="33"/>
  <c r="P123" i="33"/>
  <c r="G128" i="10"/>
  <c r="AF8" i="33"/>
  <c r="AI99" i="32"/>
  <c r="AJ99" i="32" s="1"/>
  <c r="J99" i="32"/>
  <c r="AK99" i="32"/>
  <c r="AL99" i="32" s="1"/>
  <c r="G73" i="71"/>
  <c r="G18" i="71"/>
  <c r="AD18" i="98"/>
  <c r="AD73" i="98"/>
  <c r="X126" i="33"/>
  <c r="O107" i="10"/>
  <c r="S94" i="32"/>
  <c r="T94" i="32" s="1"/>
  <c r="Z11" i="75"/>
  <c r="AI7" i="33"/>
  <c r="AK122" i="33"/>
  <c r="AB111" i="10"/>
  <c r="AQ21" i="104"/>
  <c r="AQ21" i="98"/>
  <c r="F22" i="59"/>
  <c r="X25" i="103"/>
  <c r="M25" i="89"/>
  <c r="F56" i="13"/>
  <c r="F66" i="13" s="1"/>
  <c r="F114" i="10"/>
  <c r="AP21" i="71"/>
  <c r="J24" i="32"/>
  <c r="U21" i="104"/>
  <c r="U76" i="104"/>
  <c r="G51" i="32"/>
  <c r="AP11" i="33"/>
  <c r="AP119" i="33"/>
  <c r="AJ927" i="97"/>
  <c r="P65" i="13"/>
  <c r="P69" i="13" s="1"/>
  <c r="P75" i="13" s="1"/>
  <c r="P59" i="13"/>
  <c r="AG86" i="33"/>
  <c r="C115" i="10"/>
  <c r="Y37" i="33" s="1"/>
  <c r="L86" i="33"/>
  <c r="L40" i="33"/>
  <c r="AG40" i="33"/>
  <c r="T40" i="33"/>
  <c r="T86" i="33"/>
  <c r="R86" i="33"/>
  <c r="R40" i="33"/>
  <c r="AM86" i="33"/>
  <c r="AN86" i="33"/>
  <c r="AC40" i="33"/>
  <c r="X86" i="33"/>
  <c r="AQ40" i="33"/>
  <c r="AI40" i="33"/>
  <c r="P40" i="33"/>
  <c r="AK86" i="33"/>
  <c r="X40" i="33"/>
  <c r="P86" i="33"/>
  <c r="AK40" i="33"/>
  <c r="Q86" i="33"/>
  <c r="AA86" i="33"/>
  <c r="Q40" i="33"/>
  <c r="AP86" i="33"/>
  <c r="AQ86" i="33"/>
  <c r="AE86" i="33"/>
  <c r="AA40" i="33"/>
  <c r="AP40" i="33"/>
  <c r="AI86" i="33"/>
  <c r="AM40" i="33"/>
  <c r="AN40" i="33"/>
  <c r="S40" i="33"/>
  <c r="S86" i="33"/>
  <c r="AE40" i="33"/>
  <c r="AC86" i="33"/>
  <c r="AE76" i="98"/>
  <c r="AE21" i="98"/>
  <c r="H20" i="98"/>
  <c r="H75" i="98"/>
  <c r="E145" i="10"/>
  <c r="E142" i="10" s="1"/>
  <c r="E23" i="10"/>
  <c r="I23" i="32" s="1"/>
  <c r="E72" i="10"/>
  <c r="E80" i="10" s="1"/>
  <c r="J23" i="32"/>
  <c r="F55" i="13"/>
  <c r="AQ20" i="104"/>
  <c r="AQ20" i="98"/>
  <c r="AP20" i="71"/>
  <c r="F21" i="59"/>
  <c r="I454" i="97"/>
  <c r="F110" i="10"/>
  <c r="X22" i="103"/>
  <c r="M22" i="89"/>
  <c r="F21" i="10"/>
  <c r="AG18" i="104"/>
  <c r="AG73" i="104"/>
  <c r="V40" i="33"/>
  <c r="V122" i="33"/>
  <c r="M111" i="10"/>
  <c r="AC7" i="33"/>
  <c r="T11" i="75"/>
  <c r="AR86" i="33"/>
  <c r="AB20" i="104"/>
  <c r="AB75" i="104"/>
  <c r="AP25" i="89"/>
  <c r="BT21" i="104"/>
  <c r="BT21" i="98"/>
  <c r="AI114" i="10"/>
  <c r="BA25" i="103"/>
  <c r="AL24" i="32"/>
  <c r="AI56" i="13"/>
  <c r="AI66" i="13" s="1"/>
  <c r="AL24" i="10"/>
  <c r="AE75" i="98"/>
  <c r="AE20" i="98"/>
  <c r="AW99" i="32"/>
  <c r="AX99" i="32" s="1"/>
  <c r="AD86" i="33"/>
  <c r="AE50" i="32"/>
  <c r="U65" i="13"/>
  <c r="U59" i="13"/>
  <c r="AA163" i="10"/>
  <c r="C149" i="10"/>
  <c r="C146" i="10" s="1"/>
  <c r="C24" i="10"/>
  <c r="C24" i="32" s="1"/>
  <c r="R74" i="13"/>
  <c r="AH50" i="32"/>
  <c r="AK77" i="104"/>
  <c r="Q126" i="33"/>
  <c r="H107" i="10"/>
  <c r="T74" i="13"/>
  <c r="AX22" i="103"/>
  <c r="AI454" i="97"/>
  <c r="BQ20" i="104"/>
  <c r="AM22" i="89"/>
  <c r="AF55" i="13"/>
  <c r="AI23" i="32"/>
  <c r="BP20" i="71"/>
  <c r="AF110" i="10"/>
  <c r="BQ20" i="98"/>
  <c r="AF21" i="10"/>
  <c r="AJ23" i="32"/>
  <c r="AG18" i="98"/>
  <c r="AG73" i="98"/>
  <c r="V8" i="33"/>
  <c r="AC56" i="13"/>
  <c r="AC66" i="13" s="1"/>
  <c r="BN21" i="98"/>
  <c r="AU25" i="103"/>
  <c r="BM21" i="71"/>
  <c r="AF24" i="32"/>
  <c r="BN21" i="104"/>
  <c r="AC114" i="10"/>
  <c r="AJ25" i="89"/>
  <c r="AG24" i="32"/>
  <c r="AB65" i="13"/>
  <c r="AB59" i="13"/>
  <c r="AI163" i="10"/>
  <c r="AJ146" i="10" s="1"/>
  <c r="V11" i="75"/>
  <c r="AE7" i="33"/>
  <c r="W163" i="10"/>
  <c r="AD11" i="75"/>
  <c r="AM7" i="33"/>
  <c r="AD8" i="33"/>
  <c r="R73" i="104"/>
  <c r="R18" i="104"/>
  <c r="AL23" i="10"/>
  <c r="BT20" i="98"/>
  <c r="AL23" i="32"/>
  <c r="AL454" i="97"/>
  <c r="BA22" i="103"/>
  <c r="AI110" i="10"/>
  <c r="BT20" i="104"/>
  <c r="AP22" i="89"/>
  <c r="AI55" i="13"/>
  <c r="AI21" i="10"/>
  <c r="G11" i="75"/>
  <c r="P7" i="33"/>
  <c r="L21" i="71"/>
  <c r="L76" i="71"/>
  <c r="L65" i="13"/>
  <c r="L59" i="13"/>
  <c r="BD102" i="32"/>
  <c r="BD121" i="32" s="1"/>
  <c r="BC121" i="32"/>
  <c r="T18" i="71"/>
  <c r="T73" i="71"/>
  <c r="BN20" i="98"/>
  <c r="AF454" i="97"/>
  <c r="AC55" i="13"/>
  <c r="AF23" i="32"/>
  <c r="AU22" i="103"/>
  <c r="BN20" i="104"/>
  <c r="AJ22" i="89"/>
  <c r="AC110" i="10"/>
  <c r="BM20" i="71"/>
  <c r="AC21" i="10"/>
  <c r="AG23" i="32"/>
  <c r="AH18" i="98"/>
  <c r="AH73" i="98"/>
  <c r="AA7" i="33"/>
  <c r="R11" i="75"/>
  <c r="O11" i="75"/>
  <c r="X7" i="33"/>
  <c r="U928" i="97"/>
  <c r="AA17" i="33"/>
  <c r="AA123" i="33"/>
  <c r="R128" i="10"/>
  <c r="T73" i="98"/>
  <c r="T18" i="98"/>
  <c r="M47" i="32"/>
  <c r="K50" i="32"/>
  <c r="AA99" i="32"/>
  <c r="AB99" i="32" s="1"/>
  <c r="AB8" i="33"/>
  <c r="K75" i="13"/>
  <c r="K73" i="13"/>
  <c r="K77" i="13"/>
  <c r="K76" i="13"/>
  <c r="AH73" i="71"/>
  <c r="AH18" i="71"/>
  <c r="W928" i="97"/>
  <c r="AC123" i="33"/>
  <c r="AC17" i="33"/>
  <c r="T128" i="10"/>
  <c r="AM119" i="33"/>
  <c r="AM11" i="33"/>
  <c r="AG927" i="97"/>
  <c r="AD126" i="33"/>
  <c r="U107" i="10"/>
  <c r="AE91" i="32" s="1"/>
  <c r="AF91" i="32" s="1"/>
  <c r="AE94" i="32"/>
  <c r="AF94" i="32" s="1"/>
  <c r="BL21" i="104"/>
  <c r="AA56" i="13"/>
  <c r="AA66" i="13" s="1"/>
  <c r="AA114" i="10"/>
  <c r="AS98" i="32" s="1"/>
  <c r="AT98" i="32" s="1"/>
  <c r="AH25" i="89"/>
  <c r="BK21" i="71"/>
  <c r="AS25" i="103"/>
  <c r="BL21" i="98"/>
  <c r="AD24" i="32"/>
  <c r="AM123" i="33"/>
  <c r="AM17" i="33"/>
  <c r="AG928" i="97"/>
  <c r="AD128" i="10"/>
  <c r="U21" i="71"/>
  <c r="U76" i="71"/>
  <c r="BE91" i="32"/>
  <c r="BF91" i="32" s="1"/>
  <c r="AJ928" i="97"/>
  <c r="AP123" i="33"/>
  <c r="AP17" i="33"/>
  <c r="AG128" i="10"/>
  <c r="I15" i="75"/>
  <c r="R10" i="33"/>
  <c r="C22" i="104"/>
  <c r="C77" i="104"/>
  <c r="AE76" i="104"/>
  <c r="AE21" i="104"/>
  <c r="AK22" i="104"/>
  <c r="I23" i="75"/>
  <c r="R16" i="33"/>
  <c r="S56" i="13"/>
  <c r="S66" i="13" s="1"/>
  <c r="Z25" i="89"/>
  <c r="AK25" i="103"/>
  <c r="S114" i="10"/>
  <c r="BD21" i="98"/>
  <c r="V24" i="32"/>
  <c r="BC21" i="71"/>
  <c r="BD21" i="104"/>
  <c r="W24" i="32"/>
  <c r="I27" i="71"/>
  <c r="AS28" i="71"/>
  <c r="I82" i="71"/>
  <c r="N81" i="10"/>
  <c r="V73" i="71"/>
  <c r="V18" i="71"/>
  <c r="AE75" i="104"/>
  <c r="AE20" i="104"/>
  <c r="AG74" i="13"/>
  <c r="AP7" i="33"/>
  <c r="AG11" i="75"/>
  <c r="W114" i="10"/>
  <c r="BG21" i="71"/>
  <c r="BH21" i="98"/>
  <c r="BH21" i="104"/>
  <c r="W56" i="13"/>
  <c r="W66" i="13" s="1"/>
  <c r="AD25" i="89"/>
  <c r="AO25" i="103"/>
  <c r="Z24" i="32"/>
  <c r="AA24" i="32"/>
  <c r="Z73" i="98"/>
  <c r="Z18" i="98"/>
  <c r="AK7" i="33"/>
  <c r="AB11" i="75"/>
  <c r="W81" i="10"/>
  <c r="X81" i="10"/>
  <c r="O21" i="104"/>
  <c r="O76" i="104"/>
  <c r="L20" i="71"/>
  <c r="L75" i="71"/>
  <c r="P76" i="104"/>
  <c r="P21" i="104"/>
  <c r="BI21" i="71"/>
  <c r="AQ25" i="103"/>
  <c r="BJ21" i="104"/>
  <c r="BJ21" i="98"/>
  <c r="Y56" i="13"/>
  <c r="Y66" i="13" s="1"/>
  <c r="Y114" i="10"/>
  <c r="AF25" i="89"/>
  <c r="AB24" i="32"/>
  <c r="AC24" i="32"/>
  <c r="L50" i="32"/>
  <c r="H76" i="104"/>
  <c r="H21" i="104"/>
  <c r="M20" i="98"/>
  <c r="M75" i="98"/>
  <c r="Q81" i="10"/>
  <c r="R81" i="10"/>
  <c r="K102" i="32"/>
  <c r="X49" i="32"/>
  <c r="M126" i="33"/>
  <c r="D107" i="10"/>
  <c r="Z454" i="97"/>
  <c r="BG20" i="71"/>
  <c r="W110" i="10"/>
  <c r="BH20" i="104"/>
  <c r="AD22" i="89"/>
  <c r="BH20" i="98"/>
  <c r="AO22" i="103"/>
  <c r="W55" i="13"/>
  <c r="Z23" i="32"/>
  <c r="W21" i="10"/>
  <c r="O50" i="32"/>
  <c r="AK22" i="98"/>
  <c r="D21" i="104"/>
  <c r="D76" i="104"/>
  <c r="S7" i="33"/>
  <c r="S4" i="33" s="1"/>
  <c r="J11" i="75"/>
  <c r="AH11" i="75"/>
  <c r="AQ7" i="33"/>
  <c r="H76" i="98"/>
  <c r="H21" i="98"/>
  <c r="N40" i="33"/>
  <c r="E115" i="10"/>
  <c r="N86" i="33"/>
  <c r="S21" i="32"/>
  <c r="O30" i="10"/>
  <c r="AZ18" i="98"/>
  <c r="O19" i="59"/>
  <c r="AZ18" i="104"/>
  <c r="AY18" i="71"/>
  <c r="J74" i="13"/>
  <c r="U98" i="32"/>
  <c r="V98" i="32" s="1"/>
  <c r="O111" i="10"/>
  <c r="X122" i="33"/>
  <c r="AK77" i="98"/>
  <c r="O49" i="32"/>
  <c r="P21" i="71"/>
  <c r="P76" i="71"/>
  <c r="AJ72" i="10"/>
  <c r="AI80" i="10"/>
  <c r="M75" i="104"/>
  <c r="M20" i="104"/>
  <c r="U23" i="32"/>
  <c r="BB20" i="104"/>
  <c r="Q21" i="59"/>
  <c r="Q55" i="13"/>
  <c r="T454" i="97"/>
  <c r="Q110" i="10"/>
  <c r="X22" i="89"/>
  <c r="T23" i="32"/>
  <c r="BA20" i="71"/>
  <c r="BB20" i="98"/>
  <c r="AI22" i="103"/>
  <c r="Q21" i="10"/>
  <c r="AB102" i="32"/>
  <c r="AB121" i="32" s="1"/>
  <c r="AA121" i="32"/>
  <c r="AK121" i="32"/>
  <c r="AL102" i="32"/>
  <c r="AL121" i="32" s="1"/>
  <c r="X10" i="75"/>
  <c r="X64" i="75"/>
  <c r="X63" i="75" s="1"/>
  <c r="X36" i="75"/>
  <c r="AH73" i="104"/>
  <c r="AH18" i="104"/>
  <c r="G18" i="98"/>
  <c r="G73" i="98"/>
  <c r="R49" i="32"/>
  <c r="O20" i="71"/>
  <c r="O75" i="71"/>
  <c r="AQ119" i="33"/>
  <c r="BE95" i="32"/>
  <c r="BF95" i="32" s="1"/>
  <c r="AK927" i="97"/>
  <c r="AQ11" i="33"/>
  <c r="AB76" i="104"/>
  <c r="AB21" i="104"/>
  <c r="X50" i="32"/>
  <c r="D25" i="32"/>
  <c r="O81" i="10"/>
  <c r="P75" i="104"/>
  <c r="P20" i="104"/>
  <c r="L49" i="32"/>
  <c r="H75" i="104"/>
  <c r="H20" i="104"/>
  <c r="I27" i="104"/>
  <c r="I82" i="104"/>
  <c r="AT28" i="104"/>
  <c r="K18" i="104"/>
  <c r="K73" i="104"/>
  <c r="BR27" i="98"/>
  <c r="BR27" i="104"/>
  <c r="BQ27" i="71"/>
  <c r="M76" i="104"/>
  <c r="M21" i="104"/>
  <c r="S81" i="10"/>
  <c r="T81" i="10"/>
  <c r="BG99" i="32"/>
  <c r="BH99" i="32" s="1"/>
  <c r="AR8" i="33"/>
  <c r="AK115" i="10"/>
  <c r="V18" i="104"/>
  <c r="V73" i="104"/>
  <c r="AB75" i="98"/>
  <c r="AB20" i="98"/>
  <c r="G69" i="13"/>
  <c r="G74" i="13" s="1"/>
  <c r="AH49" i="32"/>
  <c r="W40" i="33"/>
  <c r="I74" i="13"/>
  <c r="M40" i="33" l="1"/>
  <c r="M86" i="33"/>
  <c r="D22" i="71"/>
  <c r="D77" i="71"/>
  <c r="D77" i="104"/>
  <c r="D22" i="104"/>
  <c r="AJ22" i="104" s="1"/>
  <c r="X21" i="104"/>
  <c r="X76" i="104"/>
  <c r="D77" i="98"/>
  <c r="AJ77" i="98" s="1"/>
  <c r="D22" i="98"/>
  <c r="X111" i="10"/>
  <c r="AG122" i="33"/>
  <c r="X21" i="71"/>
  <c r="X76" i="71"/>
  <c r="X55" i="13"/>
  <c r="BH20" i="71"/>
  <c r="AE22" i="89"/>
  <c r="X21" i="10"/>
  <c r="AA454" i="97"/>
  <c r="AP22" i="103"/>
  <c r="X110" i="10"/>
  <c r="AK94" i="32" s="1"/>
  <c r="AL94" i="32" s="1"/>
  <c r="BI20" i="104"/>
  <c r="BI20" i="98"/>
  <c r="X76" i="98"/>
  <c r="X21" i="98"/>
  <c r="R78" i="75"/>
  <c r="T93" i="75"/>
  <c r="T29" i="75"/>
  <c r="T69" i="75"/>
  <c r="AG30" i="75"/>
  <c r="AG94" i="75"/>
  <c r="AG70" i="75"/>
  <c r="AG78" i="75"/>
  <c r="V94" i="75"/>
  <c r="V30" i="75"/>
  <c r="V70" i="75"/>
  <c r="AG29" i="75"/>
  <c r="AG93" i="75"/>
  <c r="AG69" i="75"/>
  <c r="Z78" i="75"/>
  <c r="AH94" i="75"/>
  <c r="AH30" i="75"/>
  <c r="AH70" i="75"/>
  <c r="G93" i="75"/>
  <c r="G29" i="75"/>
  <c r="G69" i="75"/>
  <c r="J77" i="75"/>
  <c r="AP4" i="33"/>
  <c r="T77" i="75"/>
  <c r="AD78" i="75"/>
  <c r="J78" i="75"/>
  <c r="I77" i="75"/>
  <c r="I93" i="75"/>
  <c r="I29" i="75"/>
  <c r="V78" i="75"/>
  <c r="I78" i="75"/>
  <c r="I94" i="75"/>
  <c r="I30" i="75"/>
  <c r="AH93" i="75"/>
  <c r="AH29" i="75"/>
  <c r="AH69" i="75"/>
  <c r="R93" i="75"/>
  <c r="R29" i="75"/>
  <c r="R69" i="75"/>
  <c r="AD93" i="75"/>
  <c r="AD29" i="75"/>
  <c r="AD69" i="75"/>
  <c r="G77" i="75"/>
  <c r="AH77" i="75"/>
  <c r="V77" i="75"/>
  <c r="AG77" i="75"/>
  <c r="J94" i="75"/>
  <c r="J30" i="75"/>
  <c r="J70" i="75"/>
  <c r="G78" i="75"/>
  <c r="Z30" i="75"/>
  <c r="Z94" i="75"/>
  <c r="Z70" i="75"/>
  <c r="AH78" i="75"/>
  <c r="T94" i="75"/>
  <c r="T30" i="75"/>
  <c r="T70" i="75"/>
  <c r="T78" i="75"/>
  <c r="R30" i="75"/>
  <c r="R94" i="75"/>
  <c r="R70" i="75"/>
  <c r="R77" i="75"/>
  <c r="Z93" i="75"/>
  <c r="Z29" i="75"/>
  <c r="Z69" i="75"/>
  <c r="J93" i="75"/>
  <c r="J29" i="75"/>
  <c r="J69" i="75"/>
  <c r="V93" i="75"/>
  <c r="V29" i="75"/>
  <c r="V69" i="75"/>
  <c r="Z77" i="75"/>
  <c r="AD77" i="75"/>
  <c r="G94" i="75"/>
  <c r="G30" i="75"/>
  <c r="G70" i="75"/>
  <c r="AD94" i="75"/>
  <c r="AD30" i="75"/>
  <c r="AD70" i="75"/>
  <c r="AR83" i="33"/>
  <c r="AD83" i="33"/>
  <c r="C163" i="10"/>
  <c r="R21" i="32"/>
  <c r="R47" i="32" s="1"/>
  <c r="AB37" i="33"/>
  <c r="AJ77" i="104"/>
  <c r="S82" i="10"/>
  <c r="Q83" i="10"/>
  <c r="U37" i="33"/>
  <c r="S83" i="10"/>
  <c r="Q82" i="10"/>
  <c r="W83" i="10"/>
  <c r="N82" i="10"/>
  <c r="F82" i="10"/>
  <c r="W82" i="10"/>
  <c r="N83" i="10"/>
  <c r="O37" i="33"/>
  <c r="AG91" i="32"/>
  <c r="AH91" i="32" s="1"/>
  <c r="O83" i="33"/>
  <c r="AJ142" i="10"/>
  <c r="Y82" i="10"/>
  <c r="D24" i="32"/>
  <c r="W76" i="98"/>
  <c r="W21" i="98"/>
  <c r="AA76" i="71"/>
  <c r="AA21" i="71"/>
  <c r="AI75" i="104"/>
  <c r="AI20" i="104"/>
  <c r="V15" i="75"/>
  <c r="AE10" i="33"/>
  <c r="Q65" i="13"/>
  <c r="Q59" i="13"/>
  <c r="Y76" i="71"/>
  <c r="Y21" i="71"/>
  <c r="AC135" i="33"/>
  <c r="AA135" i="33"/>
  <c r="AL126" i="33"/>
  <c r="AC107" i="10"/>
  <c r="AU94" i="32"/>
  <c r="AV94" i="32" s="1"/>
  <c r="AW94" i="32"/>
  <c r="AX94" i="32" s="1"/>
  <c r="AF50" i="32"/>
  <c r="AF65" i="13"/>
  <c r="AF59" i="13"/>
  <c r="AI76" i="98"/>
  <c r="AI21" i="98"/>
  <c r="P927" i="97"/>
  <c r="V119" i="33"/>
  <c r="V11" i="33"/>
  <c r="I49" i="32"/>
  <c r="F75" i="104"/>
  <c r="F20" i="104"/>
  <c r="Y20" i="98"/>
  <c r="Y75" i="98"/>
  <c r="N73" i="32"/>
  <c r="N60" i="32"/>
  <c r="N69" i="32"/>
  <c r="N62" i="32"/>
  <c r="N80" i="32"/>
  <c r="N79" i="32"/>
  <c r="N74" i="32"/>
  <c r="N67" i="32"/>
  <c r="N70" i="32"/>
  <c r="N64" i="32"/>
  <c r="N65" i="32"/>
  <c r="N59" i="32"/>
  <c r="N71" i="32"/>
  <c r="N61" i="32"/>
  <c r="N66" i="32"/>
  <c r="N55" i="32"/>
  <c r="N68" i="32"/>
  <c r="N78" i="32"/>
  <c r="N77" i="32"/>
  <c r="N75" i="32"/>
  <c r="N76" i="32"/>
  <c r="R15" i="75"/>
  <c r="AA10" i="33"/>
  <c r="M73" i="98"/>
  <c r="M18" i="98"/>
  <c r="U73" i="104"/>
  <c r="U18" i="104"/>
  <c r="BP27" i="104"/>
  <c r="AH29" i="32"/>
  <c r="BO27" i="71"/>
  <c r="BP27" i="98"/>
  <c r="H73" i="71"/>
  <c r="H18" i="71"/>
  <c r="BN28" i="71"/>
  <c r="AD82" i="71"/>
  <c r="AD27" i="71"/>
  <c r="AF76" i="98"/>
  <c r="AF21" i="98"/>
  <c r="AJ115" i="10"/>
  <c r="Q20" i="98"/>
  <c r="Q75" i="98"/>
  <c r="Q20" i="104"/>
  <c r="Q75" i="104"/>
  <c r="W75" i="104"/>
  <c r="W20" i="104"/>
  <c r="Z50" i="32"/>
  <c r="AG10" i="75"/>
  <c r="AG64" i="75"/>
  <c r="AG63" i="75" s="1"/>
  <c r="AG36" i="75"/>
  <c r="S21" i="104"/>
  <c r="S76" i="104"/>
  <c r="I14" i="75"/>
  <c r="I68" i="75"/>
  <c r="I67" i="75" s="1"/>
  <c r="I40" i="75"/>
  <c r="I39" i="75" s="1"/>
  <c r="AM16" i="33"/>
  <c r="AD23" i="75"/>
  <c r="AC75" i="104"/>
  <c r="AC20" i="104"/>
  <c r="G36" i="75"/>
  <c r="G64" i="75"/>
  <c r="G63" i="75" s="1"/>
  <c r="G10" i="75"/>
  <c r="AD7" i="33"/>
  <c r="AE4" i="33" s="1"/>
  <c r="U11" i="75"/>
  <c r="AJ49" i="32"/>
  <c r="AF75" i="104"/>
  <c r="AF20" i="104"/>
  <c r="U69" i="13"/>
  <c r="U74" i="13" s="1"/>
  <c r="J49" i="32"/>
  <c r="I50" i="32"/>
  <c r="F76" i="104"/>
  <c r="F21" i="104"/>
  <c r="P135" i="33"/>
  <c r="S927" i="97"/>
  <c r="Y11" i="33"/>
  <c r="Y119" i="33"/>
  <c r="F83" i="10"/>
  <c r="I82" i="10"/>
  <c r="I83" i="10"/>
  <c r="Z82" i="10"/>
  <c r="K83" i="10"/>
  <c r="V82" i="10"/>
  <c r="T83" i="10"/>
  <c r="X82" i="10"/>
  <c r="V83" i="10"/>
  <c r="AG82" i="10"/>
  <c r="K82" i="10"/>
  <c r="T82" i="10"/>
  <c r="AG83" i="10"/>
  <c r="AH82" i="10"/>
  <c r="G82" i="10"/>
  <c r="X83" i="10"/>
  <c r="Z83" i="10"/>
  <c r="AH83" i="10"/>
  <c r="AD83" i="10"/>
  <c r="R82" i="10"/>
  <c r="J83" i="10"/>
  <c r="J82" i="10"/>
  <c r="G83" i="10"/>
  <c r="AD82" i="10"/>
  <c r="R83" i="10"/>
  <c r="AE83" i="10"/>
  <c r="D81" i="10"/>
  <c r="L82" i="10"/>
  <c r="O82" i="10"/>
  <c r="D83" i="10"/>
  <c r="AB83" i="10"/>
  <c r="L83" i="10"/>
  <c r="P83" i="10"/>
  <c r="H82" i="10"/>
  <c r="U83" i="10"/>
  <c r="O83" i="10"/>
  <c r="P82" i="10"/>
  <c r="H83" i="10"/>
  <c r="U82" i="10"/>
  <c r="M83" i="10"/>
  <c r="AB82" i="10"/>
  <c r="M82" i="10"/>
  <c r="AE82" i="10"/>
  <c r="D82" i="10"/>
  <c r="AB49" i="32"/>
  <c r="K27" i="71"/>
  <c r="AU28" i="71"/>
  <c r="K82" i="71"/>
  <c r="AH37" i="33"/>
  <c r="Q76" i="98"/>
  <c r="Q21" i="98"/>
  <c r="AQ94" i="32"/>
  <c r="AR94" i="32" s="1"/>
  <c r="AJ126" i="33"/>
  <c r="AA107" i="10"/>
  <c r="AJ37" i="33"/>
  <c r="AS94" i="32"/>
  <c r="AT94" i="32" s="1"/>
  <c r="N76" i="98"/>
  <c r="N21" i="98"/>
  <c r="V17" i="33"/>
  <c r="V123" i="33"/>
  <c r="P928" i="97"/>
  <c r="M128" i="10"/>
  <c r="D11" i="75"/>
  <c r="M7" i="33"/>
  <c r="L73" i="104"/>
  <c r="L18" i="104"/>
  <c r="U73" i="71"/>
  <c r="U18" i="71"/>
  <c r="AO27" i="98"/>
  <c r="AN27" i="71"/>
  <c r="AO27" i="104"/>
  <c r="D27" i="59"/>
  <c r="AD75" i="13"/>
  <c r="AD77" i="13"/>
  <c r="AD73" i="13"/>
  <c r="AD76" i="13"/>
  <c r="W25" i="103"/>
  <c r="AP21" i="98"/>
  <c r="L25" i="89"/>
  <c r="AP21" i="104"/>
  <c r="H24" i="32"/>
  <c r="E114" i="10"/>
  <c r="AO21" i="71"/>
  <c r="E22" i="59"/>
  <c r="E56" i="13"/>
  <c r="E66" i="13" s="1"/>
  <c r="AE73" i="71"/>
  <c r="AE18" i="71"/>
  <c r="AE16" i="33"/>
  <c r="V23" i="75"/>
  <c r="N75" i="71"/>
  <c r="N20" i="71"/>
  <c r="AF76" i="104"/>
  <c r="AF21" i="104"/>
  <c r="Z83" i="33"/>
  <c r="AG27" i="104"/>
  <c r="AG82" i="104"/>
  <c r="BR28" i="104"/>
  <c r="AC75" i="71"/>
  <c r="AC20" i="71"/>
  <c r="V64" i="75"/>
  <c r="V63" i="75" s="1"/>
  <c r="V36" i="75"/>
  <c r="V10" i="75"/>
  <c r="K928" i="97"/>
  <c r="Q123" i="33"/>
  <c r="Q17" i="33"/>
  <c r="H128" i="10"/>
  <c r="AP18" i="71"/>
  <c r="F30" i="10"/>
  <c r="AQ18" i="98"/>
  <c r="AQ18" i="104"/>
  <c r="F19" i="59"/>
  <c r="J21" i="32"/>
  <c r="AA75" i="98"/>
  <c r="AA20" i="98"/>
  <c r="N76" i="71"/>
  <c r="N21" i="71"/>
  <c r="O73" i="98"/>
  <c r="O18" i="98"/>
  <c r="W75" i="98"/>
  <c r="W20" i="98"/>
  <c r="AC50" i="32"/>
  <c r="W76" i="71"/>
  <c r="W21" i="71"/>
  <c r="AH15" i="75"/>
  <c r="AQ10" i="33"/>
  <c r="U49" i="32"/>
  <c r="Y111" i="10"/>
  <c r="AH122" i="33"/>
  <c r="AO98" i="32"/>
  <c r="AP98" i="32" s="1"/>
  <c r="AM98" i="32"/>
  <c r="AN98" i="32" s="1"/>
  <c r="T23" i="75"/>
  <c r="AC16" i="33"/>
  <c r="AL49" i="32"/>
  <c r="AC76" i="98"/>
  <c r="AC21" i="98"/>
  <c r="F81" i="10"/>
  <c r="E83" i="10"/>
  <c r="E81" i="10"/>
  <c r="E82" i="10"/>
  <c r="O927" i="97"/>
  <c r="U119" i="33"/>
  <c r="U11" i="33"/>
  <c r="AC49" i="32"/>
  <c r="V27" i="98"/>
  <c r="V82" i="98"/>
  <c r="BG28" i="98"/>
  <c r="U50" i="32"/>
  <c r="AA65" i="13"/>
  <c r="AA69" i="13" s="1"/>
  <c r="AA59" i="13"/>
  <c r="N76" i="104"/>
  <c r="N21" i="104"/>
  <c r="AQ135" i="33"/>
  <c r="BE112" i="32"/>
  <c r="M37" i="33"/>
  <c r="Z27" i="71"/>
  <c r="Z82" i="71"/>
  <c r="BJ28" i="71"/>
  <c r="J15" i="75"/>
  <c r="S10" i="33"/>
  <c r="D73" i="98"/>
  <c r="D18" i="98"/>
  <c r="AD50" i="32"/>
  <c r="AF49" i="32"/>
  <c r="AI75" i="98"/>
  <c r="AI20" i="98"/>
  <c r="AD10" i="75"/>
  <c r="AD64" i="75"/>
  <c r="AD63" i="75" s="1"/>
  <c r="AD36" i="75"/>
  <c r="AG50" i="32"/>
  <c r="AF20" i="98"/>
  <c r="AF75" i="98"/>
  <c r="W22" i="103"/>
  <c r="H23" i="32"/>
  <c r="AP20" i="104"/>
  <c r="E55" i="13"/>
  <c r="AP20" i="98"/>
  <c r="AO20" i="71"/>
  <c r="L22" i="89"/>
  <c r="E21" i="59"/>
  <c r="E110" i="10"/>
  <c r="H454" i="97"/>
  <c r="E21" i="10"/>
  <c r="AG15" i="75"/>
  <c r="AP10" i="33"/>
  <c r="O122" i="33"/>
  <c r="F111" i="10"/>
  <c r="G99" i="32"/>
  <c r="T82" i="98"/>
  <c r="T27" i="98"/>
  <c r="BE28" i="98"/>
  <c r="BJ18" i="104"/>
  <c r="BI18" i="71"/>
  <c r="Y30" i="10"/>
  <c r="BJ18" i="98"/>
  <c r="AC21" i="32"/>
  <c r="AB21" i="32"/>
  <c r="BG28" i="104"/>
  <c r="V82" i="104"/>
  <c r="V27" i="104"/>
  <c r="K82" i="98"/>
  <c r="K27" i="98"/>
  <c r="AV28" i="98"/>
  <c r="T50" i="32"/>
  <c r="AD21" i="32"/>
  <c r="BL18" i="104"/>
  <c r="BL18" i="98"/>
  <c r="BK18" i="71"/>
  <c r="AA30" i="10"/>
  <c r="AE29" i="32" s="1"/>
  <c r="AJ83" i="33"/>
  <c r="W122" i="33"/>
  <c r="N111" i="10"/>
  <c r="S95" i="32" s="1"/>
  <c r="T95" i="32" s="1"/>
  <c r="Q98" i="32"/>
  <c r="R98" i="32" s="1"/>
  <c r="K23" i="75"/>
  <c r="T16" i="33"/>
  <c r="S928" i="97"/>
  <c r="U91" i="32"/>
  <c r="V91" i="32" s="1"/>
  <c r="Y17" i="33"/>
  <c r="Y123" i="33"/>
  <c r="P128" i="10"/>
  <c r="M18" i="71"/>
  <c r="M73" i="71"/>
  <c r="L73" i="98"/>
  <c r="L18" i="98"/>
  <c r="U18" i="98"/>
  <c r="U73" i="98"/>
  <c r="Z27" i="104"/>
  <c r="BK28" i="104"/>
  <c r="Z82" i="104"/>
  <c r="D18" i="104"/>
  <c r="D73" i="104"/>
  <c r="W7" i="33"/>
  <c r="N11" i="75"/>
  <c r="W49" i="32"/>
  <c r="AB126" i="33"/>
  <c r="AA94" i="32"/>
  <c r="AB94" i="32" s="1"/>
  <c r="S107" i="10"/>
  <c r="AC94" i="32"/>
  <c r="AD94" i="32" s="1"/>
  <c r="AC10" i="33"/>
  <c r="T15" i="75"/>
  <c r="BR28" i="71"/>
  <c r="AH82" i="71"/>
  <c r="AH27" i="71"/>
  <c r="AE135" i="33"/>
  <c r="W126" i="33"/>
  <c r="Q94" i="32"/>
  <c r="R94" i="32" s="1"/>
  <c r="N107" i="10"/>
  <c r="S91" i="32" s="1"/>
  <c r="T91" i="32" s="1"/>
  <c r="H73" i="98"/>
  <c r="H18" i="98"/>
  <c r="AI77" i="71"/>
  <c r="AL83" i="33"/>
  <c r="O69" i="13"/>
  <c r="O74" i="13" s="1"/>
  <c r="AF76" i="71"/>
  <c r="AF21" i="71"/>
  <c r="I28" i="75"/>
  <c r="Y83" i="33"/>
  <c r="M11" i="75"/>
  <c r="V7" i="33"/>
  <c r="N20" i="98"/>
  <c r="N75" i="98"/>
  <c r="L29" i="32"/>
  <c r="L73" i="32" s="1"/>
  <c r="H27" i="59"/>
  <c r="K29" i="32"/>
  <c r="K73" i="32" s="1"/>
  <c r="AR27" i="71"/>
  <c r="AS27" i="104"/>
  <c r="AS27" i="98"/>
  <c r="P11" i="75"/>
  <c r="Y7" i="33"/>
  <c r="Y4" i="33" s="1"/>
  <c r="BB18" i="104"/>
  <c r="BA18" i="71"/>
  <c r="Q30" i="10"/>
  <c r="Q19" i="59"/>
  <c r="T21" i="32"/>
  <c r="BB18" i="98"/>
  <c r="U21" i="32"/>
  <c r="U47" i="32" s="1"/>
  <c r="U95" i="32"/>
  <c r="V95" i="32" s="1"/>
  <c r="X11" i="33"/>
  <c r="R927" i="97"/>
  <c r="X119" i="33"/>
  <c r="AH36" i="75"/>
  <c r="AH64" i="75"/>
  <c r="AH63" i="75" s="1"/>
  <c r="AH10" i="75"/>
  <c r="S21" i="71"/>
  <c r="S76" i="71"/>
  <c r="I76" i="75"/>
  <c r="I22" i="75"/>
  <c r="I48" i="75"/>
  <c r="I47" i="75" s="1"/>
  <c r="BT18" i="104"/>
  <c r="BT18" i="98"/>
  <c r="AI30" i="10"/>
  <c r="AL21" i="10"/>
  <c r="AL21" i="32"/>
  <c r="BQ18" i="104"/>
  <c r="BQ18" i="98"/>
  <c r="AF30" i="10"/>
  <c r="BP18" i="71"/>
  <c r="AI21" i="32"/>
  <c r="AJ21" i="32"/>
  <c r="AJ47" i="32" s="1"/>
  <c r="O126" i="33"/>
  <c r="F107" i="10"/>
  <c r="BD28" i="71"/>
  <c r="T27" i="71"/>
  <c r="T82" i="71"/>
  <c r="C23" i="32"/>
  <c r="U22" i="103"/>
  <c r="C110" i="10"/>
  <c r="AJ32" i="33" s="1"/>
  <c r="AN20" i="104"/>
  <c r="AN20" i="98"/>
  <c r="C55" i="13"/>
  <c r="F454" i="97"/>
  <c r="J22" i="89"/>
  <c r="C21" i="59"/>
  <c r="AM20" i="71"/>
  <c r="C21" i="10"/>
  <c r="G23" i="32"/>
  <c r="AV28" i="104"/>
  <c r="K27" i="104"/>
  <c r="K82" i="104"/>
  <c r="X47" i="32"/>
  <c r="AN119" i="33"/>
  <c r="AH927" i="97"/>
  <c r="AY95" i="32"/>
  <c r="AZ95" i="32" s="1"/>
  <c r="AN11" i="33"/>
  <c r="N65" i="13"/>
  <c r="N59" i="13"/>
  <c r="AE64" i="75"/>
  <c r="AE63" i="75" s="1"/>
  <c r="AE36" i="75"/>
  <c r="AE10" i="75"/>
  <c r="AR37" i="33"/>
  <c r="T49" i="32"/>
  <c r="J10" i="75"/>
  <c r="J36" i="75"/>
  <c r="J64" i="75"/>
  <c r="J63" i="75" s="1"/>
  <c r="G75" i="13"/>
  <c r="G77" i="13"/>
  <c r="G73" i="13"/>
  <c r="G76" i="13"/>
  <c r="O73" i="71"/>
  <c r="O18" i="71"/>
  <c r="Z49" i="32"/>
  <c r="Y76" i="98"/>
  <c r="Y21" i="98"/>
  <c r="AB64" i="75"/>
  <c r="AB63" i="75" s="1"/>
  <c r="AB36" i="75"/>
  <c r="AB10" i="75"/>
  <c r="S76" i="98"/>
  <c r="S21" i="98"/>
  <c r="AM135" i="33"/>
  <c r="AA76" i="98"/>
  <c r="AA21" i="98"/>
  <c r="R23" i="75"/>
  <c r="AA16" i="33"/>
  <c r="AG49" i="32"/>
  <c r="AC65" i="13"/>
  <c r="AC59" i="13"/>
  <c r="AI65" i="13"/>
  <c r="AI59" i="13"/>
  <c r="V37" i="33"/>
  <c r="AF107" i="10"/>
  <c r="AO126" i="33"/>
  <c r="BA94" i="32"/>
  <c r="BB94" i="32" s="1"/>
  <c r="BC94" i="32"/>
  <c r="BD94" i="32" s="1"/>
  <c r="AL50" i="32"/>
  <c r="AK11" i="33"/>
  <c r="AK119" i="33"/>
  <c r="AE927" i="97"/>
  <c r="X123" i="33"/>
  <c r="R928" i="97"/>
  <c r="X17" i="33"/>
  <c r="O128" i="10"/>
  <c r="AF83" i="33"/>
  <c r="T27" i="104"/>
  <c r="BE28" i="104"/>
  <c r="T82" i="104"/>
  <c r="R27" i="98"/>
  <c r="BC28" i="98"/>
  <c r="R82" i="98"/>
  <c r="Y73" i="32"/>
  <c r="Y59" i="32"/>
  <c r="Y74" i="32"/>
  <c r="Y61" i="32"/>
  <c r="Y79" i="32"/>
  <c r="Y55" i="32"/>
  <c r="Y60" i="32"/>
  <c r="Y64" i="32"/>
  <c r="Y67" i="32"/>
  <c r="Y69" i="32"/>
  <c r="Y78" i="32"/>
  <c r="Y65" i="32"/>
  <c r="Y68" i="32"/>
  <c r="Y80" i="32"/>
  <c r="Y71" i="32"/>
  <c r="Y66" i="32"/>
  <c r="Y70" i="32"/>
  <c r="Y62" i="32"/>
  <c r="Y77" i="32"/>
  <c r="Y76" i="32"/>
  <c r="Y75" i="32"/>
  <c r="Q76" i="71"/>
  <c r="Q21" i="71"/>
  <c r="AA75" i="104"/>
  <c r="AA20" i="104"/>
  <c r="AE928" i="97"/>
  <c r="AK123" i="33"/>
  <c r="AK17" i="33"/>
  <c r="AB128" i="10"/>
  <c r="AF83" i="10"/>
  <c r="AJ22" i="98"/>
  <c r="AC82" i="10"/>
  <c r="M18" i="104"/>
  <c r="M73" i="104"/>
  <c r="Q4" i="33"/>
  <c r="L27" i="59"/>
  <c r="AV27" i="71"/>
  <c r="O29" i="32"/>
  <c r="AW27" i="98"/>
  <c r="AW27" i="104"/>
  <c r="AE21" i="32"/>
  <c r="M74" i="32"/>
  <c r="M60" i="32"/>
  <c r="M62" i="32"/>
  <c r="M79" i="32"/>
  <c r="M66" i="32"/>
  <c r="M70" i="32"/>
  <c r="M67" i="32"/>
  <c r="M64" i="32"/>
  <c r="M65" i="32"/>
  <c r="M59" i="32"/>
  <c r="M55" i="32"/>
  <c r="M71" i="32"/>
  <c r="M68" i="32"/>
  <c r="M80" i="32"/>
  <c r="M78" i="32"/>
  <c r="M61" i="32"/>
  <c r="M69" i="32"/>
  <c r="M77" i="32"/>
  <c r="M75" i="32"/>
  <c r="M76" i="32"/>
  <c r="Z27" i="98"/>
  <c r="Z82" i="98"/>
  <c r="BK28" i="98"/>
  <c r="W83" i="33"/>
  <c r="BD18" i="104"/>
  <c r="S30" i="10"/>
  <c r="V21" i="32"/>
  <c r="V47" i="32" s="1"/>
  <c r="BC18" i="71"/>
  <c r="BD18" i="98"/>
  <c r="W21" i="32"/>
  <c r="S20" i="71"/>
  <c r="S75" i="71"/>
  <c r="T4" i="33"/>
  <c r="AK73" i="32"/>
  <c r="AK68" i="32"/>
  <c r="AK80" i="32"/>
  <c r="AK65" i="32"/>
  <c r="AK70" i="32"/>
  <c r="AK62" i="32"/>
  <c r="AK78" i="32"/>
  <c r="AK74" i="32"/>
  <c r="AK69" i="32"/>
  <c r="AK66" i="32"/>
  <c r="AK55" i="32"/>
  <c r="AK67" i="32"/>
  <c r="AK71" i="32"/>
  <c r="AK59" i="32"/>
  <c r="AK79" i="32"/>
  <c r="AK61" i="32"/>
  <c r="AK60" i="32"/>
  <c r="AK64" i="32"/>
  <c r="AK77" i="32"/>
  <c r="AK76" i="32"/>
  <c r="AK75" i="32"/>
  <c r="Z15" i="75"/>
  <c r="AI10" i="33"/>
  <c r="Q49" i="32"/>
  <c r="AI22" i="71"/>
  <c r="AD27" i="98"/>
  <c r="BO28" i="98"/>
  <c r="AD82" i="98"/>
  <c r="I35" i="75"/>
  <c r="AI49" i="32"/>
  <c r="F20" i="98"/>
  <c r="F75" i="98"/>
  <c r="K99" i="32"/>
  <c r="Q119" i="33"/>
  <c r="Q11" i="33"/>
  <c r="K927" i="97"/>
  <c r="BB28" i="71"/>
  <c r="R82" i="71"/>
  <c r="R27" i="71"/>
  <c r="L18" i="71"/>
  <c r="L73" i="71"/>
  <c r="J27" i="104"/>
  <c r="J82" i="104"/>
  <c r="AU28" i="104"/>
  <c r="BA27" i="104"/>
  <c r="P27" i="59"/>
  <c r="BA27" i="98"/>
  <c r="AZ27" i="71"/>
  <c r="BO28" i="104"/>
  <c r="AD27" i="104"/>
  <c r="AD82" i="104"/>
  <c r="AK110" i="10"/>
  <c r="BG94" i="32"/>
  <c r="BH94" i="32" s="1"/>
  <c r="AR126" i="33"/>
  <c r="AI107" i="10"/>
  <c r="Q20" i="71"/>
  <c r="Q75" i="71"/>
  <c r="S47" i="32"/>
  <c r="AA49" i="32"/>
  <c r="W107" i="10"/>
  <c r="AF126" i="33"/>
  <c r="AI94" i="32"/>
  <c r="AJ94" i="32" s="1"/>
  <c r="J94" i="32"/>
  <c r="AP135" i="33"/>
  <c r="AA76" i="104"/>
  <c r="AA21" i="104"/>
  <c r="S37" i="33"/>
  <c r="L83" i="33"/>
  <c r="L37" i="33"/>
  <c r="L8" i="33"/>
  <c r="T37" i="33"/>
  <c r="AG37" i="33"/>
  <c r="AG83" i="33"/>
  <c r="R37" i="33"/>
  <c r="T83" i="33"/>
  <c r="R83" i="33"/>
  <c r="AN37" i="33"/>
  <c r="X37" i="33"/>
  <c r="AN83" i="33"/>
  <c r="X83" i="33"/>
  <c r="S83" i="33"/>
  <c r="AP37" i="33"/>
  <c r="AI83" i="33"/>
  <c r="AP83" i="33"/>
  <c r="AA83" i="33"/>
  <c r="AQ37" i="33"/>
  <c r="AK83" i="33"/>
  <c r="P37" i="33"/>
  <c r="AK37" i="33"/>
  <c r="P83" i="33"/>
  <c r="AM37" i="33"/>
  <c r="AE83" i="33"/>
  <c r="AI37" i="33"/>
  <c r="Q83" i="33"/>
  <c r="AM83" i="33"/>
  <c r="AE37" i="33"/>
  <c r="AC83" i="33"/>
  <c r="AA37" i="33"/>
  <c r="AQ83" i="33"/>
  <c r="AC37" i="33"/>
  <c r="Q37" i="33"/>
  <c r="F21" i="71"/>
  <c r="F76" i="71"/>
  <c r="Z75" i="13"/>
  <c r="Z73" i="13"/>
  <c r="Z77" i="13"/>
  <c r="Z76" i="13"/>
  <c r="Y75" i="104"/>
  <c r="Y20" i="104"/>
  <c r="AH7" i="33"/>
  <c r="AH4" i="33" s="1"/>
  <c r="Y11" i="75"/>
  <c r="S135" i="33"/>
  <c r="S65" i="13"/>
  <c r="S59" i="13"/>
  <c r="BS28" i="104"/>
  <c r="AH82" i="104"/>
  <c r="AH27" i="104"/>
  <c r="AE73" i="98"/>
  <c r="AE18" i="98"/>
  <c r="AY18" i="98"/>
  <c r="Q21" i="32"/>
  <c r="N19" i="59"/>
  <c r="AY18" i="104"/>
  <c r="N30" i="10"/>
  <c r="R29" i="32" s="1"/>
  <c r="AX18" i="71"/>
  <c r="L47" i="32"/>
  <c r="AL37" i="33"/>
  <c r="AF111" i="10"/>
  <c r="AO122" i="33"/>
  <c r="BA98" i="32"/>
  <c r="BB98" i="32" s="1"/>
  <c r="BC98" i="32"/>
  <c r="BD98" i="32" s="1"/>
  <c r="BG18" i="71"/>
  <c r="W30" i="10"/>
  <c r="BH18" i="98"/>
  <c r="BH18" i="104"/>
  <c r="AA21" i="32"/>
  <c r="Z21" i="32"/>
  <c r="W75" i="71"/>
  <c r="W20" i="71"/>
  <c r="V50" i="32"/>
  <c r="AI11" i="75"/>
  <c r="AR7" i="33"/>
  <c r="AT8" i="33"/>
  <c r="AG82" i="71"/>
  <c r="BQ28" i="71"/>
  <c r="AG27" i="71"/>
  <c r="Y94" i="32"/>
  <c r="Z94" i="32" s="1"/>
  <c r="Q107" i="10"/>
  <c r="W94" i="32"/>
  <c r="X94" i="32" s="1"/>
  <c r="Z126" i="33"/>
  <c r="AJ80" i="10"/>
  <c r="AI83" i="10"/>
  <c r="AI82" i="10"/>
  <c r="AI81" i="10"/>
  <c r="AJ81" i="10" s="1"/>
  <c r="O73" i="104"/>
  <c r="O18" i="104"/>
  <c r="N8" i="33"/>
  <c r="N37" i="33"/>
  <c r="N83" i="33"/>
  <c r="W65" i="13"/>
  <c r="W59" i="13"/>
  <c r="G928" i="97"/>
  <c r="M17" i="33"/>
  <c r="M123" i="33"/>
  <c r="D128" i="10"/>
  <c r="Y76" i="104"/>
  <c r="Y21" i="104"/>
  <c r="D73" i="13"/>
  <c r="D77" i="13"/>
  <c r="D76" i="13"/>
  <c r="W21" i="104"/>
  <c r="W76" i="104"/>
  <c r="S111" i="10"/>
  <c r="AA98" i="32"/>
  <c r="AB98" i="32" s="1"/>
  <c r="AB122" i="33"/>
  <c r="AC98" i="32"/>
  <c r="AD98" i="32" s="1"/>
  <c r="AG23" i="75"/>
  <c r="AP16" i="33"/>
  <c r="X928" i="97"/>
  <c r="AD123" i="33"/>
  <c r="AD17" i="33"/>
  <c r="U128" i="10"/>
  <c r="AG112" i="32" s="1"/>
  <c r="AD15" i="75"/>
  <c r="AM10" i="33"/>
  <c r="S11" i="75"/>
  <c r="AB7" i="33"/>
  <c r="AB4" i="33" s="1"/>
  <c r="AC30" i="10"/>
  <c r="AF21" i="32"/>
  <c r="BM18" i="71"/>
  <c r="BN18" i="98"/>
  <c r="BN18" i="104"/>
  <c r="AG21" i="32"/>
  <c r="AG47" i="32" s="1"/>
  <c r="L69" i="13"/>
  <c r="AL122" i="33"/>
  <c r="AU98" i="32"/>
  <c r="AV98" i="32" s="1"/>
  <c r="AC111" i="10"/>
  <c r="AW98" i="32"/>
  <c r="AX98" i="32" s="1"/>
  <c r="V83" i="33"/>
  <c r="AF75" i="71"/>
  <c r="AF20" i="71"/>
  <c r="U25" i="103"/>
  <c r="C56" i="13"/>
  <c r="C66" i="13" s="1"/>
  <c r="J25" i="89"/>
  <c r="AN21" i="98"/>
  <c r="C22" i="59"/>
  <c r="AM21" i="71"/>
  <c r="C114" i="10"/>
  <c r="AR36" i="33" s="1"/>
  <c r="AN21" i="104"/>
  <c r="G24" i="32"/>
  <c r="T64" i="75"/>
  <c r="T63" i="75" s="1"/>
  <c r="T10" i="75"/>
  <c r="T36" i="75"/>
  <c r="F75" i="71"/>
  <c r="F20" i="71"/>
  <c r="P74" i="13"/>
  <c r="AF37" i="33"/>
  <c r="G23" i="75"/>
  <c r="P16" i="33"/>
  <c r="AI135" i="33"/>
  <c r="R82" i="104"/>
  <c r="R27" i="104"/>
  <c r="BC28" i="104"/>
  <c r="D74" i="13"/>
  <c r="Y107" i="10"/>
  <c r="AH126" i="33"/>
  <c r="AO94" i="32"/>
  <c r="AP94" i="32" s="1"/>
  <c r="V82" i="71"/>
  <c r="BF28" i="71"/>
  <c r="V27" i="71"/>
  <c r="H74" i="13"/>
  <c r="Q21" i="104"/>
  <c r="Q76" i="104"/>
  <c r="AE49" i="32"/>
  <c r="Q50" i="32"/>
  <c r="AF82" i="10"/>
  <c r="G27" i="71"/>
  <c r="AQ28" i="71"/>
  <c r="G82" i="71"/>
  <c r="AH23" i="75"/>
  <c r="AQ16" i="33"/>
  <c r="AC83" i="10"/>
  <c r="H64" i="75"/>
  <c r="H63" i="75" s="1"/>
  <c r="H36" i="75"/>
  <c r="H10" i="75"/>
  <c r="O47" i="32"/>
  <c r="BM27" i="98"/>
  <c r="BL27" i="71"/>
  <c r="BM27" i="104"/>
  <c r="AU28" i="98"/>
  <c r="J82" i="98"/>
  <c r="J27" i="98"/>
  <c r="AO37" i="33"/>
  <c r="W37" i="33"/>
  <c r="S20" i="98"/>
  <c r="S75" i="98"/>
  <c r="P73" i="71"/>
  <c r="P18" i="71"/>
  <c r="AH27" i="98"/>
  <c r="BS28" i="98"/>
  <c r="AH82" i="98"/>
  <c r="Y83" i="10"/>
  <c r="N20" i="104"/>
  <c r="N75" i="104"/>
  <c r="K47" i="32"/>
  <c r="AC11" i="75"/>
  <c r="AL7" i="33"/>
  <c r="AL4" i="33" s="1"/>
  <c r="V75" i="13"/>
  <c r="V77" i="13"/>
  <c r="V73" i="13"/>
  <c r="V76" i="13"/>
  <c r="AC20" i="98"/>
  <c r="AC75" i="98"/>
  <c r="AC76" i="104"/>
  <c r="AC21" i="104"/>
  <c r="AI111" i="10"/>
  <c r="AK114" i="10"/>
  <c r="BG98" i="32"/>
  <c r="BH98" i="32" s="1"/>
  <c r="AR122" i="33"/>
  <c r="Y65" i="13"/>
  <c r="Y69" i="13" s="1"/>
  <c r="Y59" i="13"/>
  <c r="P29" i="32"/>
  <c r="AX27" i="104"/>
  <c r="M27" i="59"/>
  <c r="AW27" i="71"/>
  <c r="AX27" i="98"/>
  <c r="AB73" i="98"/>
  <c r="AB18" i="98"/>
  <c r="J23" i="75"/>
  <c r="S16" i="33"/>
  <c r="V49" i="32"/>
  <c r="Q11" i="75"/>
  <c r="Z7" i="33"/>
  <c r="O64" i="75"/>
  <c r="O63" i="75" s="1"/>
  <c r="O36" i="75"/>
  <c r="O10" i="75"/>
  <c r="AA20" i="71"/>
  <c r="AA75" i="71"/>
  <c r="P73" i="13"/>
  <c r="P77" i="13"/>
  <c r="P76" i="13"/>
  <c r="T135" i="33"/>
  <c r="K15" i="75"/>
  <c r="T10" i="33"/>
  <c r="G15" i="75"/>
  <c r="P10" i="33"/>
  <c r="G27" i="98"/>
  <c r="AR28" i="98"/>
  <c r="G82" i="98"/>
  <c r="AB18" i="71"/>
  <c r="AB73" i="71"/>
  <c r="J27" i="71"/>
  <c r="AT28" i="71"/>
  <c r="J82" i="71"/>
  <c r="J83" i="71" s="1"/>
  <c r="AO83" i="33"/>
  <c r="M11" i="33"/>
  <c r="G927" i="97"/>
  <c r="M119" i="33"/>
  <c r="P73" i="104"/>
  <c r="P18" i="104"/>
  <c r="K35" i="75"/>
  <c r="AD11" i="33"/>
  <c r="X927" i="97"/>
  <c r="AE95" i="32"/>
  <c r="AF95" i="32" s="1"/>
  <c r="AD119" i="33"/>
  <c r="U83" i="33"/>
  <c r="BR28" i="98"/>
  <c r="AG82" i="98"/>
  <c r="AG27" i="98"/>
  <c r="X35" i="75"/>
  <c r="S29" i="32"/>
  <c r="O27" i="59"/>
  <c r="AZ27" i="104"/>
  <c r="AZ27" i="98"/>
  <c r="AY27" i="71"/>
  <c r="AB50" i="32"/>
  <c r="AA50" i="32"/>
  <c r="W111" i="10"/>
  <c r="AF122" i="33"/>
  <c r="AI98" i="32"/>
  <c r="AJ98" i="32" s="1"/>
  <c r="AK98" i="32"/>
  <c r="AL98" i="32" s="1"/>
  <c r="J98" i="32"/>
  <c r="W50" i="32"/>
  <c r="R20" i="33"/>
  <c r="AJ122" i="33"/>
  <c r="AA111" i="10"/>
  <c r="AQ98" i="32"/>
  <c r="AR98" i="32" s="1"/>
  <c r="AB69" i="13"/>
  <c r="AB83" i="33"/>
  <c r="R64" i="75"/>
  <c r="R63" i="75" s="1"/>
  <c r="R36" i="75"/>
  <c r="R10" i="75"/>
  <c r="AD37" i="33"/>
  <c r="AJ163" i="10"/>
  <c r="AJ159" i="10"/>
  <c r="AJ138" i="10"/>
  <c r="AJ154" i="10"/>
  <c r="AJ150" i="10"/>
  <c r="AC76" i="71"/>
  <c r="AC21" i="71"/>
  <c r="AJ24" i="10"/>
  <c r="AI21" i="104"/>
  <c r="AI76" i="104"/>
  <c r="F65" i="13"/>
  <c r="F59" i="13"/>
  <c r="J50" i="32"/>
  <c r="F21" i="98"/>
  <c r="F76" i="98"/>
  <c r="Z36" i="75"/>
  <c r="Z64" i="75"/>
  <c r="Z63" i="75" s="1"/>
  <c r="Z10" i="75"/>
  <c r="W11" i="75"/>
  <c r="AF7" i="33"/>
  <c r="U123" i="33"/>
  <c r="O928" i="97"/>
  <c r="U17" i="33"/>
  <c r="L128" i="10"/>
  <c r="Z23" i="75"/>
  <c r="AI16" i="33"/>
  <c r="F11" i="75"/>
  <c r="O7" i="33"/>
  <c r="Y20" i="71"/>
  <c r="Y75" i="71"/>
  <c r="AH83" i="33"/>
  <c r="Y98" i="32"/>
  <c r="Z98" i="32" s="1"/>
  <c r="Q111" i="10"/>
  <c r="W98" i="32"/>
  <c r="X98" i="32" s="1"/>
  <c r="Z122" i="33"/>
  <c r="H75" i="13"/>
  <c r="H73" i="13"/>
  <c r="H77" i="13"/>
  <c r="H76" i="13"/>
  <c r="AD49" i="32"/>
  <c r="AJ7" i="33"/>
  <c r="AA11" i="75"/>
  <c r="AN17" i="33"/>
  <c r="AN123" i="33"/>
  <c r="AY91" i="32"/>
  <c r="AZ91" i="32" s="1"/>
  <c r="AH928" i="97"/>
  <c r="AE128" i="10"/>
  <c r="M69" i="13"/>
  <c r="M74" i="13" s="1"/>
  <c r="G82" i="104"/>
  <c r="AR28" i="104"/>
  <c r="G27" i="104"/>
  <c r="M83" i="33"/>
  <c r="AB18" i="104"/>
  <c r="AB73" i="104"/>
  <c r="BF27" i="104"/>
  <c r="BE27" i="71"/>
  <c r="X29" i="32"/>
  <c r="BF27" i="98"/>
  <c r="AF11" i="75"/>
  <c r="AO7" i="33"/>
  <c r="AO4" i="33" s="1"/>
  <c r="D73" i="71"/>
  <c r="D18" i="71"/>
  <c r="E163" i="10"/>
  <c r="AE69" i="13"/>
  <c r="AE74" i="13" s="1"/>
  <c r="S20" i="104"/>
  <c r="S75" i="104"/>
  <c r="P18" i="98"/>
  <c r="P73" i="98"/>
  <c r="AE18" i="104"/>
  <c r="AE73" i="104"/>
  <c r="H18" i="104"/>
  <c r="H73" i="104"/>
  <c r="AJ50" i="32"/>
  <c r="AI50" i="32"/>
  <c r="Z37" i="33"/>
  <c r="AA82" i="10"/>
  <c r="L11" i="75"/>
  <c r="U7" i="33"/>
  <c r="U4" i="33" s="1"/>
  <c r="AM20" i="33" l="1"/>
  <c r="AD28" i="75"/>
  <c r="I75" i="75"/>
  <c r="AR78" i="33"/>
  <c r="AM94" i="32"/>
  <c r="AN94" i="32" s="1"/>
  <c r="BI18" i="98"/>
  <c r="BI18" i="104"/>
  <c r="X30" i="10"/>
  <c r="BH18" i="71"/>
  <c r="X20" i="71"/>
  <c r="X75" i="71"/>
  <c r="X20" i="98"/>
  <c r="X75" i="98"/>
  <c r="X65" i="13"/>
  <c r="X69" i="13" s="1"/>
  <c r="X59" i="13"/>
  <c r="AG11" i="33"/>
  <c r="AG119" i="33"/>
  <c r="AA927" i="97"/>
  <c r="X75" i="104"/>
  <c r="X20" i="104"/>
  <c r="AG126" i="33"/>
  <c r="X107" i="10"/>
  <c r="AK17" i="75"/>
  <c r="AI70" i="75"/>
  <c r="O30" i="75"/>
  <c r="O94" i="75"/>
  <c r="O70" i="75"/>
  <c r="AE93" i="75"/>
  <c r="AE29" i="75"/>
  <c r="AE69" i="75"/>
  <c r="L78" i="75"/>
  <c r="AA69" i="75"/>
  <c r="M29" i="75"/>
  <c r="M93" i="75"/>
  <c r="M69" i="75"/>
  <c r="AE78" i="75"/>
  <c r="O93" i="75"/>
  <c r="O29" i="75"/>
  <c r="O69" i="75"/>
  <c r="D77" i="75"/>
  <c r="AB78" i="75"/>
  <c r="AB29" i="75"/>
  <c r="AB93" i="75"/>
  <c r="AB69" i="75"/>
  <c r="AI69" i="75"/>
  <c r="AK16" i="75"/>
  <c r="AL8" i="75"/>
  <c r="U78" i="75"/>
  <c r="AA70" i="75"/>
  <c r="H78" i="75"/>
  <c r="AE77" i="75"/>
  <c r="K78" i="75"/>
  <c r="K94" i="75"/>
  <c r="K30" i="75"/>
  <c r="U94" i="75"/>
  <c r="U30" i="75"/>
  <c r="U70" i="75"/>
  <c r="M78" i="75"/>
  <c r="L77" i="75"/>
  <c r="P77" i="75"/>
  <c r="G28" i="75"/>
  <c r="J28" i="75"/>
  <c r="L29" i="75"/>
  <c r="L93" i="75"/>
  <c r="L69" i="75"/>
  <c r="AB77" i="75"/>
  <c r="D93" i="75"/>
  <c r="D29" i="75"/>
  <c r="D69" i="75"/>
  <c r="AI29" i="75"/>
  <c r="P78" i="75"/>
  <c r="H29" i="75"/>
  <c r="H93" i="75"/>
  <c r="H69" i="75"/>
  <c r="M94" i="75"/>
  <c r="M30" i="75"/>
  <c r="M70" i="75"/>
  <c r="O78" i="75"/>
  <c r="M77" i="75"/>
  <c r="U77" i="75"/>
  <c r="G94" i="32"/>
  <c r="H94" i="32" s="1"/>
  <c r="P93" i="75"/>
  <c r="P29" i="75"/>
  <c r="P69" i="75"/>
  <c r="U93" i="75"/>
  <c r="U29" i="75"/>
  <c r="U69" i="75"/>
  <c r="P94" i="75"/>
  <c r="P30" i="75"/>
  <c r="P70" i="75"/>
  <c r="O77" i="75"/>
  <c r="D94" i="75"/>
  <c r="D30" i="75"/>
  <c r="D70" i="75"/>
  <c r="T20" i="33"/>
  <c r="V28" i="75"/>
  <c r="H77" i="75"/>
  <c r="AE30" i="75"/>
  <c r="AE94" i="75"/>
  <c r="AE70" i="75"/>
  <c r="L94" i="75"/>
  <c r="L30" i="75"/>
  <c r="L70" i="75"/>
  <c r="H94" i="75"/>
  <c r="H30" i="75"/>
  <c r="H70" i="75"/>
  <c r="D78" i="75"/>
  <c r="AB94" i="75"/>
  <c r="AB30" i="75"/>
  <c r="AB70" i="75"/>
  <c r="AL17" i="75"/>
  <c r="K77" i="75"/>
  <c r="K93" i="75"/>
  <c r="K29" i="75"/>
  <c r="R28" i="75"/>
  <c r="AI4" i="33"/>
  <c r="AH78" i="33"/>
  <c r="AJ82" i="10"/>
  <c r="AO78" i="33"/>
  <c r="Z82" i="33"/>
  <c r="AF36" i="33"/>
  <c r="AF32" i="33"/>
  <c r="AR32" i="33"/>
  <c r="AC4" i="33"/>
  <c r="Z36" i="33"/>
  <c r="AJ36" i="33"/>
  <c r="AR82" i="33"/>
  <c r="AH28" i="75"/>
  <c r="AG28" i="75"/>
  <c r="Z4" i="33"/>
  <c r="AB36" i="33"/>
  <c r="Z78" i="33"/>
  <c r="AO36" i="33"/>
  <c r="W32" i="33"/>
  <c r="AK76" i="104"/>
  <c r="O32" i="33"/>
  <c r="W82" i="33"/>
  <c r="O82" i="33"/>
  <c r="T28" i="75"/>
  <c r="AJ82" i="33"/>
  <c r="G98" i="32"/>
  <c r="AO82" i="33"/>
  <c r="AF78" i="33"/>
  <c r="AJ110" i="10"/>
  <c r="AO32" i="33"/>
  <c r="AB32" i="33"/>
  <c r="AL36" i="33"/>
  <c r="AB78" i="33"/>
  <c r="AH32" i="33"/>
  <c r="AL82" i="33"/>
  <c r="Z32" i="33"/>
  <c r="Z28" i="75"/>
  <c r="W78" i="33"/>
  <c r="Y77" i="13"/>
  <c r="Y73" i="13"/>
  <c r="Y76" i="13"/>
  <c r="Y75" i="13"/>
  <c r="Z48" i="75"/>
  <c r="Z47" i="75" s="1"/>
  <c r="Z22" i="75"/>
  <c r="Z76" i="75"/>
  <c r="Z75" i="75" s="1"/>
  <c r="AJ119" i="33"/>
  <c r="AJ11" i="33"/>
  <c r="AD927" i="97"/>
  <c r="AQ95" i="32"/>
  <c r="AR95" i="32" s="1"/>
  <c r="AY28" i="71"/>
  <c r="O82" i="71"/>
  <c r="O27" i="71"/>
  <c r="M135" i="33"/>
  <c r="N73" i="98"/>
  <c r="N18" i="98"/>
  <c r="BC27" i="71"/>
  <c r="BD27" i="104"/>
  <c r="BD27" i="98"/>
  <c r="V29" i="32"/>
  <c r="W29" i="32"/>
  <c r="W73" i="32" s="1"/>
  <c r="Y95" i="32"/>
  <c r="Z95" i="32" s="1"/>
  <c r="T927" i="97"/>
  <c r="W95" i="32"/>
  <c r="X95" i="32" s="1"/>
  <c r="Z119" i="33"/>
  <c r="Z11" i="33"/>
  <c r="H98" i="32"/>
  <c r="K40" i="75"/>
  <c r="K68" i="75"/>
  <c r="K67" i="75" s="1"/>
  <c r="K14" i="75"/>
  <c r="K28" i="75"/>
  <c r="AH17" i="33"/>
  <c r="AH123" i="33"/>
  <c r="AM91" i="32"/>
  <c r="AN91" i="32" s="1"/>
  <c r="AB928" i="97"/>
  <c r="Y128" i="10"/>
  <c r="AO91" i="32"/>
  <c r="AP91" i="32" s="1"/>
  <c r="L75" i="13"/>
  <c r="L73" i="13"/>
  <c r="L77" i="13"/>
  <c r="L76" i="13"/>
  <c r="S64" i="75"/>
  <c r="S63" i="75" s="1"/>
  <c r="S36" i="75"/>
  <c r="S10" i="75"/>
  <c r="AB11" i="33"/>
  <c r="AB119" i="33"/>
  <c r="AA95" i="32"/>
  <c r="AB95" i="32" s="1"/>
  <c r="V927" i="97"/>
  <c r="AC95" i="32"/>
  <c r="AD95" i="32" s="1"/>
  <c r="AJ83" i="10"/>
  <c r="Q47" i="32"/>
  <c r="S69" i="13"/>
  <c r="S74" i="13" s="1"/>
  <c r="Y36" i="75"/>
  <c r="Y10" i="75"/>
  <c r="Y64" i="75"/>
  <c r="Y63" i="75" s="1"/>
  <c r="AW28" i="104"/>
  <c r="L27" i="104"/>
  <c r="L82" i="104"/>
  <c r="AI69" i="13"/>
  <c r="AI74" i="13" s="1"/>
  <c r="W69" i="13"/>
  <c r="W74" i="13" s="1"/>
  <c r="AI47" i="32"/>
  <c r="T29" i="32"/>
  <c r="T73" i="32" s="1"/>
  <c r="BA27" i="71"/>
  <c r="BB27" i="104"/>
  <c r="BB27" i="98"/>
  <c r="Q27" i="59"/>
  <c r="U29" i="32"/>
  <c r="K68" i="32"/>
  <c r="K64" i="32"/>
  <c r="K62" i="32"/>
  <c r="K71" i="32"/>
  <c r="K74" i="32"/>
  <c r="K65" i="32"/>
  <c r="K55" i="32"/>
  <c r="K69" i="32"/>
  <c r="K66" i="32"/>
  <c r="K59" i="32"/>
  <c r="K79" i="32"/>
  <c r="K61" i="32"/>
  <c r="K78" i="32"/>
  <c r="K67" i="32"/>
  <c r="K60" i="32"/>
  <c r="K80" i="32"/>
  <c r="K70" i="32"/>
  <c r="K77" i="32"/>
  <c r="K75" i="32"/>
  <c r="K76" i="32"/>
  <c r="X4" i="33"/>
  <c r="W4" i="33"/>
  <c r="Y16" i="33"/>
  <c r="P23" i="75"/>
  <c r="AB47" i="32"/>
  <c r="AO18" i="71"/>
  <c r="AP18" i="98"/>
  <c r="E19" i="59"/>
  <c r="H21" i="32"/>
  <c r="AP18" i="104"/>
  <c r="E30" i="10"/>
  <c r="I29" i="32" s="1"/>
  <c r="E20" i="104"/>
  <c r="E75" i="104"/>
  <c r="F73" i="71"/>
  <c r="F18" i="71"/>
  <c r="E76" i="98"/>
  <c r="E21" i="98"/>
  <c r="AO28" i="104"/>
  <c r="D27" i="104"/>
  <c r="D82" i="104"/>
  <c r="D64" i="75"/>
  <c r="D63" i="75" s="1"/>
  <c r="D10" i="75"/>
  <c r="D36" i="75"/>
  <c r="U64" i="75"/>
  <c r="U63" i="75" s="1"/>
  <c r="U10" i="75"/>
  <c r="U36" i="75"/>
  <c r="AA4" i="33"/>
  <c r="AL78" i="33"/>
  <c r="BM28" i="104"/>
  <c r="AB27" i="104"/>
  <c r="AB82" i="104"/>
  <c r="AS8" i="33"/>
  <c r="L7" i="33"/>
  <c r="AS7" i="33" s="1"/>
  <c r="C11" i="75"/>
  <c r="AN21" i="10"/>
  <c r="AL29" i="32"/>
  <c r="BT27" i="104"/>
  <c r="AL30" i="10"/>
  <c r="AN7" i="10"/>
  <c r="BT27" i="98"/>
  <c r="AN14" i="10"/>
  <c r="AC47" i="32"/>
  <c r="BP27" i="71"/>
  <c r="AI29" i="32"/>
  <c r="AI73" i="32" s="1"/>
  <c r="BQ27" i="104"/>
  <c r="BQ27" i="98"/>
  <c r="AJ29" i="32"/>
  <c r="Q18" i="104"/>
  <c r="Q73" i="104"/>
  <c r="L79" i="32"/>
  <c r="L78" i="32"/>
  <c r="L69" i="32"/>
  <c r="L70" i="32"/>
  <c r="L62" i="32"/>
  <c r="L61" i="32"/>
  <c r="L66" i="32"/>
  <c r="L60" i="32"/>
  <c r="L64" i="32"/>
  <c r="L67" i="32"/>
  <c r="L65" i="32"/>
  <c r="L68" i="32"/>
  <c r="L71" i="32"/>
  <c r="L74" i="32"/>
  <c r="L80" i="32"/>
  <c r="L59" i="32"/>
  <c r="L55" i="32"/>
  <c r="L77" i="32"/>
  <c r="L76" i="32"/>
  <c r="L75" i="32"/>
  <c r="Y18" i="98"/>
  <c r="Y73" i="98"/>
  <c r="E107" i="10"/>
  <c r="N78" i="33"/>
  <c r="N126" i="33"/>
  <c r="N32" i="33"/>
  <c r="AD35" i="75"/>
  <c r="AA74" i="13"/>
  <c r="AQ20" i="33"/>
  <c r="J47" i="32"/>
  <c r="D82" i="98"/>
  <c r="AO28" i="98"/>
  <c r="D27" i="98"/>
  <c r="AD76" i="75"/>
  <c r="AD75" i="75" s="1"/>
  <c r="AD48" i="75"/>
  <c r="AD47" i="75" s="1"/>
  <c r="AD22" i="75"/>
  <c r="AG35" i="75"/>
  <c r="AE82" i="71"/>
  <c r="AE83" i="71" s="1"/>
  <c r="AE27" i="71"/>
  <c r="BO28" i="71"/>
  <c r="M15" i="75"/>
  <c r="V10" i="33"/>
  <c r="AF69" i="13"/>
  <c r="AF74" i="13" s="1"/>
  <c r="U27" i="98"/>
  <c r="U82" i="98"/>
  <c r="BF28" i="98"/>
  <c r="AZ28" i="98"/>
  <c r="O27" i="98"/>
  <c r="O82" i="98"/>
  <c r="J48" i="75"/>
  <c r="J47" i="75" s="1"/>
  <c r="J22" i="75"/>
  <c r="J76" i="75"/>
  <c r="J75" i="75" s="1"/>
  <c r="AJ114" i="10"/>
  <c r="BM28" i="98"/>
  <c r="AB82" i="98"/>
  <c r="AB27" i="98"/>
  <c r="G76" i="75"/>
  <c r="G75" i="75" s="1"/>
  <c r="G48" i="75"/>
  <c r="G47" i="75" s="1"/>
  <c r="G22" i="75"/>
  <c r="AL119" i="33"/>
  <c r="AU95" i="32"/>
  <c r="AV95" i="32" s="1"/>
  <c r="AL11" i="33"/>
  <c r="AF927" i="97"/>
  <c r="AW95" i="32"/>
  <c r="AX95" i="32" s="1"/>
  <c r="AC18" i="98"/>
  <c r="AC73" i="98"/>
  <c r="AD135" i="33"/>
  <c r="AE112" i="32"/>
  <c r="AK21" i="104"/>
  <c r="M16" i="33"/>
  <c r="D23" i="75"/>
  <c r="E11" i="75"/>
  <c r="N7" i="33"/>
  <c r="N4" i="33" s="1"/>
  <c r="AA47" i="32"/>
  <c r="AF123" i="33"/>
  <c r="AF17" i="33"/>
  <c r="Z928" i="97"/>
  <c r="J91" i="32"/>
  <c r="W128" i="10"/>
  <c r="AK91" i="32"/>
  <c r="AL91" i="32" s="1"/>
  <c r="AI91" i="32"/>
  <c r="AJ91" i="32" s="1"/>
  <c r="I84" i="75"/>
  <c r="AI20" i="33"/>
  <c r="L82" i="71"/>
  <c r="L83" i="71" s="1"/>
  <c r="L27" i="71"/>
  <c r="AV28" i="71"/>
  <c r="AK135" i="33"/>
  <c r="AK10" i="33"/>
  <c r="AB15" i="75"/>
  <c r="AB35" i="75"/>
  <c r="C75" i="98"/>
  <c r="C20" i="98"/>
  <c r="I928" i="97"/>
  <c r="O17" i="33"/>
  <c r="O123" i="33"/>
  <c r="F128" i="10"/>
  <c r="AF73" i="98"/>
  <c r="AF18" i="98"/>
  <c r="AI18" i="104"/>
  <c r="AI73" i="104"/>
  <c r="Q928" i="97"/>
  <c r="W17" i="33"/>
  <c r="Q91" i="32"/>
  <c r="R91" i="32" s="1"/>
  <c r="W123" i="33"/>
  <c r="N128" i="10"/>
  <c r="S112" i="32" s="1"/>
  <c r="T112" i="32" s="1"/>
  <c r="AH83" i="71"/>
  <c r="BK27" i="71"/>
  <c r="BL27" i="98"/>
  <c r="AD29" i="32"/>
  <c r="AD73" i="32" s="1"/>
  <c r="BL27" i="104"/>
  <c r="BI27" i="71"/>
  <c r="BJ27" i="104"/>
  <c r="BJ27" i="98"/>
  <c r="AB29" i="32"/>
  <c r="AC29" i="32"/>
  <c r="O36" i="33"/>
  <c r="BE125" i="32"/>
  <c r="BF112" i="32"/>
  <c r="BF125" i="32" s="1"/>
  <c r="L15" i="75"/>
  <c r="U10" i="33"/>
  <c r="AH14" i="75"/>
  <c r="AH68" i="75"/>
  <c r="AH67" i="75" s="1"/>
  <c r="AH40" i="75"/>
  <c r="AH39" i="75" s="1"/>
  <c r="I21" i="32"/>
  <c r="H23" i="75"/>
  <c r="Q16" i="33"/>
  <c r="E76" i="71"/>
  <c r="E21" i="71"/>
  <c r="AS91" i="32"/>
  <c r="AT91" i="32" s="1"/>
  <c r="AD928" i="97"/>
  <c r="AQ91" i="32"/>
  <c r="AR91" i="32" s="1"/>
  <c r="AJ123" i="33"/>
  <c r="AJ17" i="33"/>
  <c r="AA128" i="10"/>
  <c r="AS112" i="32" s="1"/>
  <c r="K83" i="71"/>
  <c r="U75" i="13"/>
  <c r="U77" i="13"/>
  <c r="U73" i="13"/>
  <c r="U76" i="13"/>
  <c r="AH73" i="32"/>
  <c r="AH70" i="32"/>
  <c r="AH69" i="32"/>
  <c r="AH55" i="32"/>
  <c r="AH78" i="32"/>
  <c r="AH67" i="32"/>
  <c r="AH59" i="32"/>
  <c r="AH74" i="32"/>
  <c r="AH79" i="32"/>
  <c r="AH65" i="32"/>
  <c r="AH71" i="32"/>
  <c r="AH60" i="32"/>
  <c r="AH66" i="32"/>
  <c r="AH64" i="32"/>
  <c r="AH68" i="32"/>
  <c r="AH62" i="32"/>
  <c r="AH80" i="32"/>
  <c r="AH61" i="32"/>
  <c r="AH77" i="32"/>
  <c r="AH76" i="32"/>
  <c r="AH75" i="32"/>
  <c r="M10" i="33"/>
  <c r="D15" i="75"/>
  <c r="AX28" i="104"/>
  <c r="M82" i="104"/>
  <c r="M27" i="104"/>
  <c r="H35" i="75"/>
  <c r="C21" i="98"/>
  <c r="C76" i="98"/>
  <c r="Q135" i="33"/>
  <c r="D27" i="71"/>
  <c r="D82" i="71"/>
  <c r="AH84" i="71" s="1"/>
  <c r="AN28" i="71"/>
  <c r="AQ4" i="33"/>
  <c r="AE27" i="98"/>
  <c r="BP28" i="98"/>
  <c r="AE82" i="98"/>
  <c r="W10" i="75"/>
  <c r="W36" i="75"/>
  <c r="W64" i="75"/>
  <c r="W63" i="75" s="1"/>
  <c r="BL28" i="71"/>
  <c r="AB27" i="71"/>
  <c r="AB82" i="71"/>
  <c r="AG76" i="75"/>
  <c r="AG75" i="75" s="1"/>
  <c r="AG22" i="75"/>
  <c r="AG48" i="75"/>
  <c r="AG47" i="75" s="1"/>
  <c r="H15" i="75"/>
  <c r="Q10" i="33"/>
  <c r="S18" i="104"/>
  <c r="S73" i="104"/>
  <c r="O55" i="32"/>
  <c r="O71" i="32"/>
  <c r="O78" i="32"/>
  <c r="O59" i="32"/>
  <c r="O66" i="32"/>
  <c r="O61" i="32"/>
  <c r="O74" i="32"/>
  <c r="O69" i="32"/>
  <c r="O62" i="32"/>
  <c r="O60" i="32"/>
  <c r="O79" i="32"/>
  <c r="O70" i="32"/>
  <c r="O65" i="32"/>
  <c r="O67" i="32"/>
  <c r="O80" i="32"/>
  <c r="O64" i="32"/>
  <c r="O68" i="32"/>
  <c r="O77" i="32"/>
  <c r="O76" i="32"/>
  <c r="O75" i="32"/>
  <c r="C65" i="13"/>
  <c r="C59" i="13"/>
  <c r="X71" i="32"/>
  <c r="X70" i="32"/>
  <c r="X78" i="32"/>
  <c r="X69" i="32"/>
  <c r="X66" i="32"/>
  <c r="X79" i="32"/>
  <c r="X68" i="32"/>
  <c r="X55" i="32"/>
  <c r="X74" i="32"/>
  <c r="X59" i="32"/>
  <c r="X80" i="32"/>
  <c r="X62" i="32"/>
  <c r="X64" i="32"/>
  <c r="X67" i="32"/>
  <c r="X65" i="32"/>
  <c r="X60" i="32"/>
  <c r="X61" i="32"/>
  <c r="X77" i="32"/>
  <c r="X76" i="32"/>
  <c r="X75" i="32"/>
  <c r="AN16" i="33"/>
  <c r="AE23" i="75"/>
  <c r="L23" i="75"/>
  <c r="U16" i="33"/>
  <c r="F69" i="13"/>
  <c r="AZ28" i="104"/>
  <c r="O82" i="104"/>
  <c r="O27" i="104"/>
  <c r="O35" i="75"/>
  <c r="AE66" i="32"/>
  <c r="AE59" i="32"/>
  <c r="AE62" i="32"/>
  <c r="AE60" i="32"/>
  <c r="AE65" i="32"/>
  <c r="AE70" i="32"/>
  <c r="AE78" i="32"/>
  <c r="AE68" i="32"/>
  <c r="AE61" i="32"/>
  <c r="AE71" i="32"/>
  <c r="AE64" i="32"/>
  <c r="AE80" i="32"/>
  <c r="AE67" i="32"/>
  <c r="AE74" i="32"/>
  <c r="AE55" i="32"/>
  <c r="AE69" i="32"/>
  <c r="AE79" i="32"/>
  <c r="AE77" i="32"/>
  <c r="AE76" i="32"/>
  <c r="AE75" i="32"/>
  <c r="G50" i="32"/>
  <c r="AC18" i="71"/>
  <c r="AC73" i="71"/>
  <c r="AD16" i="33"/>
  <c r="U23" i="75"/>
  <c r="AT7" i="33"/>
  <c r="AR4" i="33"/>
  <c r="W18" i="104"/>
  <c r="W73" i="104"/>
  <c r="K94" i="32"/>
  <c r="Z14" i="75"/>
  <c r="Z68" i="75"/>
  <c r="Z67" i="75" s="1"/>
  <c r="Z40" i="75"/>
  <c r="Z39" i="75" s="1"/>
  <c r="AB23" i="75"/>
  <c r="AK16" i="33"/>
  <c r="AS95" i="32"/>
  <c r="AT95" i="32" s="1"/>
  <c r="G49" i="32"/>
  <c r="C20" i="104"/>
  <c r="AJ20" i="104" s="1"/>
  <c r="C75" i="104"/>
  <c r="AF73" i="104"/>
  <c r="AF18" i="104"/>
  <c r="AH35" i="75"/>
  <c r="P64" i="75"/>
  <c r="P63" i="75" s="1"/>
  <c r="P36" i="75"/>
  <c r="P10" i="75"/>
  <c r="O75" i="13"/>
  <c r="O73" i="13"/>
  <c r="O77" i="13"/>
  <c r="O76" i="13"/>
  <c r="Y135" i="33"/>
  <c r="U112" i="32"/>
  <c r="V112" i="32" s="1"/>
  <c r="K22" i="75"/>
  <c r="K76" i="75"/>
  <c r="K75" i="75" s="1"/>
  <c r="K48" i="75"/>
  <c r="AA73" i="71"/>
  <c r="AA18" i="71"/>
  <c r="Y73" i="71"/>
  <c r="Y18" i="71"/>
  <c r="O119" i="33"/>
  <c r="I927" i="97"/>
  <c r="O11" i="33"/>
  <c r="AH36" i="33"/>
  <c r="N36" i="33"/>
  <c r="N82" i="33"/>
  <c r="N122" i="33"/>
  <c r="E111" i="10"/>
  <c r="I52" i="75"/>
  <c r="AE82" i="104"/>
  <c r="AE27" i="104"/>
  <c r="BP28" i="104"/>
  <c r="N69" i="13"/>
  <c r="AF4" i="33"/>
  <c r="AG4" i="33"/>
  <c r="Q73" i="71"/>
  <c r="Q18" i="71"/>
  <c r="AA91" i="32"/>
  <c r="AB91" i="32" s="1"/>
  <c r="AB17" i="33"/>
  <c r="V928" i="97"/>
  <c r="AB123" i="33"/>
  <c r="S128" i="10"/>
  <c r="AC91" i="32"/>
  <c r="AD91" i="32" s="1"/>
  <c r="T22" i="75"/>
  <c r="T76" i="75"/>
  <c r="T75" i="75" s="1"/>
  <c r="T48" i="75"/>
  <c r="T47" i="75" s="1"/>
  <c r="R35" i="75"/>
  <c r="P73" i="32"/>
  <c r="P70" i="32"/>
  <c r="P59" i="32"/>
  <c r="P61" i="32"/>
  <c r="P60" i="32"/>
  <c r="P78" i="32"/>
  <c r="P80" i="32"/>
  <c r="P79" i="32"/>
  <c r="P67" i="32"/>
  <c r="P66" i="32"/>
  <c r="P62" i="32"/>
  <c r="P69" i="32"/>
  <c r="P68" i="32"/>
  <c r="P64" i="32"/>
  <c r="P55" i="32"/>
  <c r="P65" i="32"/>
  <c r="P71" i="32"/>
  <c r="P74" i="32"/>
  <c r="P77" i="32"/>
  <c r="P76" i="32"/>
  <c r="P75" i="32"/>
  <c r="AF119" i="33"/>
  <c r="AF11" i="33"/>
  <c r="Z927" i="97"/>
  <c r="AI95" i="32"/>
  <c r="AJ95" i="32" s="1"/>
  <c r="AK95" i="32"/>
  <c r="AL95" i="32" s="1"/>
  <c r="J95" i="32"/>
  <c r="Y74" i="13"/>
  <c r="AL927" i="97"/>
  <c r="AR11" i="33"/>
  <c r="AK111" i="10"/>
  <c r="BG95" i="32"/>
  <c r="BH95" i="32" s="1"/>
  <c r="AR119" i="33"/>
  <c r="N18" i="71"/>
  <c r="N73" i="71"/>
  <c r="P27" i="71"/>
  <c r="P82" i="71"/>
  <c r="P83" i="71" s="1"/>
  <c r="AZ28" i="71"/>
  <c r="L64" i="75"/>
  <c r="L63" i="75" s="1"/>
  <c r="L10" i="75"/>
  <c r="L36" i="75"/>
  <c r="AE75" i="13"/>
  <c r="AE73" i="13"/>
  <c r="AE77" i="13"/>
  <c r="AE76" i="13"/>
  <c r="U82" i="71"/>
  <c r="U83" i="71" s="1"/>
  <c r="BE28" i="71"/>
  <c r="U27" i="71"/>
  <c r="M77" i="13"/>
  <c r="M73" i="13"/>
  <c r="M76" i="13"/>
  <c r="M75" i="13"/>
  <c r="AA36" i="75"/>
  <c r="AA64" i="75"/>
  <c r="AA63" i="75" s="1"/>
  <c r="AA10" i="75"/>
  <c r="AB75" i="13"/>
  <c r="AB73" i="13"/>
  <c r="AB77" i="13"/>
  <c r="AB76" i="13"/>
  <c r="P20" i="33"/>
  <c r="O73" i="32"/>
  <c r="AH22" i="75"/>
  <c r="AH76" i="75"/>
  <c r="AH75" i="75" s="1"/>
  <c r="AH48" i="75"/>
  <c r="AH47" i="75" s="1"/>
  <c r="C76" i="104"/>
  <c r="C21" i="104"/>
  <c r="AF47" i="32"/>
  <c r="AK11" i="75"/>
  <c r="AI36" i="75"/>
  <c r="AI10" i="75"/>
  <c r="AI64" i="75"/>
  <c r="AI63" i="75" s="1"/>
  <c r="W73" i="98"/>
  <c r="W18" i="98"/>
  <c r="N27" i="59"/>
  <c r="AX27" i="71"/>
  <c r="AY27" i="104"/>
  <c r="AY27" i="98"/>
  <c r="Q29" i="32"/>
  <c r="AB74" i="13"/>
  <c r="AL928" i="97"/>
  <c r="AK107" i="10"/>
  <c r="BG91" i="32"/>
  <c r="BH91" i="32" s="1"/>
  <c r="AR123" i="33"/>
  <c r="AN109" i="10"/>
  <c r="AR17" i="33"/>
  <c r="AI128" i="10"/>
  <c r="BA28" i="98"/>
  <c r="P27" i="98"/>
  <c r="P82" i="98"/>
  <c r="W47" i="32"/>
  <c r="X16" i="33"/>
  <c r="O23" i="75"/>
  <c r="BA91" i="32"/>
  <c r="BB91" i="32" s="1"/>
  <c r="AO123" i="33"/>
  <c r="AO17" i="33"/>
  <c r="AI928" i="97"/>
  <c r="AF128" i="10"/>
  <c r="BC91" i="32"/>
  <c r="BD91" i="32" s="1"/>
  <c r="AE35" i="75"/>
  <c r="AM18" i="71"/>
  <c r="AN18" i="98"/>
  <c r="C30" i="10"/>
  <c r="AN18" i="104"/>
  <c r="C19" i="59"/>
  <c r="G21" i="32"/>
  <c r="G47" i="32" s="1"/>
  <c r="T78" i="33"/>
  <c r="L32" i="33"/>
  <c r="L78" i="33"/>
  <c r="C107" i="10"/>
  <c r="O75" i="33" s="1"/>
  <c r="L126" i="33"/>
  <c r="R78" i="33"/>
  <c r="R32" i="33"/>
  <c r="S78" i="33"/>
  <c r="AI32" i="33"/>
  <c r="S32" i="33"/>
  <c r="AM78" i="33"/>
  <c r="AM32" i="33"/>
  <c r="AA32" i="33"/>
  <c r="T32" i="33"/>
  <c r="AG78" i="33"/>
  <c r="AI78" i="33"/>
  <c r="AE78" i="33"/>
  <c r="AA78" i="33"/>
  <c r="AE32" i="33"/>
  <c r="P32" i="33"/>
  <c r="AP78" i="33"/>
  <c r="AC78" i="33"/>
  <c r="AG32" i="33"/>
  <c r="AQ32" i="33"/>
  <c r="P78" i="33"/>
  <c r="AP32" i="33"/>
  <c r="AC32" i="33"/>
  <c r="AQ78" i="33"/>
  <c r="Y78" i="33"/>
  <c r="V78" i="33"/>
  <c r="Q32" i="33"/>
  <c r="AK78" i="33"/>
  <c r="AN78" i="33"/>
  <c r="U78" i="33"/>
  <c r="Q78" i="33"/>
  <c r="X32" i="33"/>
  <c r="M78" i="33"/>
  <c r="AN32" i="33"/>
  <c r="AD32" i="33"/>
  <c r="V32" i="33"/>
  <c r="M32" i="33"/>
  <c r="AK32" i="33"/>
  <c r="X78" i="33"/>
  <c r="Y32" i="33"/>
  <c r="U32" i="33"/>
  <c r="AD78" i="33"/>
  <c r="O78" i="33"/>
  <c r="AJ21" i="10"/>
  <c r="Q18" i="98"/>
  <c r="Q73" i="98"/>
  <c r="H82" i="98"/>
  <c r="H27" i="98"/>
  <c r="AS28" i="98"/>
  <c r="V4" i="33"/>
  <c r="T14" i="75"/>
  <c r="T40" i="75"/>
  <c r="T39" i="75" s="1"/>
  <c r="T68" i="75"/>
  <c r="T67" i="75" s="1"/>
  <c r="AA18" i="98"/>
  <c r="AA73" i="98"/>
  <c r="Y18" i="104"/>
  <c r="Y73" i="104"/>
  <c r="E20" i="71"/>
  <c r="E75" i="71"/>
  <c r="S20" i="33"/>
  <c r="AM4" i="33"/>
  <c r="F73" i="104"/>
  <c r="F18" i="104"/>
  <c r="V76" i="75"/>
  <c r="V75" i="75" s="1"/>
  <c r="V48" i="75"/>
  <c r="V47" i="75" s="1"/>
  <c r="V22" i="75"/>
  <c r="H50" i="32"/>
  <c r="G35" i="75"/>
  <c r="I80" i="75"/>
  <c r="AA20" i="33"/>
  <c r="Q69" i="13"/>
  <c r="Q74" i="13" s="1"/>
  <c r="AK76" i="98"/>
  <c r="AE15" i="75"/>
  <c r="AN10" i="33"/>
  <c r="AF18" i="71"/>
  <c r="AF73" i="71"/>
  <c r="AH112" i="32"/>
  <c r="AH125" i="32" s="1"/>
  <c r="AG125" i="32"/>
  <c r="H99" i="32"/>
  <c r="H49" i="32"/>
  <c r="V135" i="33"/>
  <c r="AF928" i="97"/>
  <c r="AL123" i="33"/>
  <c r="AL17" i="33"/>
  <c r="AU91" i="32"/>
  <c r="AV91" i="32" s="1"/>
  <c r="AC128" i="10"/>
  <c r="AW91" i="32"/>
  <c r="AX91" i="32" s="1"/>
  <c r="U135" i="33"/>
  <c r="R73" i="32"/>
  <c r="R69" i="32"/>
  <c r="R79" i="32"/>
  <c r="R62" i="32"/>
  <c r="R60" i="32"/>
  <c r="R64" i="32"/>
  <c r="R55" i="32"/>
  <c r="R71" i="32"/>
  <c r="R78" i="32"/>
  <c r="R80" i="32"/>
  <c r="R66" i="32"/>
  <c r="R70" i="32"/>
  <c r="R59" i="32"/>
  <c r="R61" i="32"/>
  <c r="R65" i="32"/>
  <c r="R74" i="32"/>
  <c r="R68" i="32"/>
  <c r="R67" i="32"/>
  <c r="R77" i="32"/>
  <c r="R75" i="32"/>
  <c r="R76" i="32"/>
  <c r="AC18" i="104"/>
  <c r="AC73" i="104"/>
  <c r="BF28" i="104"/>
  <c r="U27" i="104"/>
  <c r="U82" i="104"/>
  <c r="AN135" i="33"/>
  <c r="AY112" i="32"/>
  <c r="AK4" i="33"/>
  <c r="AJ4" i="33"/>
  <c r="P4" i="33"/>
  <c r="Z35" i="75"/>
  <c r="K98" i="32"/>
  <c r="S67" i="32"/>
  <c r="S68" i="32"/>
  <c r="S70" i="32"/>
  <c r="S59" i="32"/>
  <c r="S64" i="32"/>
  <c r="S71" i="32"/>
  <c r="S80" i="32"/>
  <c r="S66" i="32"/>
  <c r="S60" i="32"/>
  <c r="S62" i="32"/>
  <c r="S79" i="32"/>
  <c r="S65" i="32"/>
  <c r="S61" i="32"/>
  <c r="S74" i="32"/>
  <c r="S78" i="32"/>
  <c r="S69" i="32"/>
  <c r="S55" i="32"/>
  <c r="S77" i="32"/>
  <c r="S76" i="32"/>
  <c r="S75" i="32"/>
  <c r="G14" i="75"/>
  <c r="G68" i="75"/>
  <c r="G67" i="75" s="1"/>
  <c r="G40" i="75"/>
  <c r="G39" i="75" s="1"/>
  <c r="M27" i="98"/>
  <c r="M82" i="98"/>
  <c r="AX28" i="98"/>
  <c r="AD4" i="33"/>
  <c r="AF82" i="33"/>
  <c r="L122" i="33"/>
  <c r="C111" i="10"/>
  <c r="AJ79" i="33" s="1"/>
  <c r="L36" i="33"/>
  <c r="L82" i="33"/>
  <c r="R82" i="33"/>
  <c r="R36" i="33"/>
  <c r="AC36" i="33"/>
  <c r="AP82" i="33"/>
  <c r="AE36" i="33"/>
  <c r="S36" i="33"/>
  <c r="AG82" i="33"/>
  <c r="AP36" i="33"/>
  <c r="P82" i="33"/>
  <c r="AI36" i="33"/>
  <c r="P36" i="33"/>
  <c r="AA82" i="33"/>
  <c r="AI82" i="33"/>
  <c r="AA36" i="33"/>
  <c r="AQ36" i="33"/>
  <c r="AG36" i="33"/>
  <c r="T82" i="33"/>
  <c r="AQ82" i="33"/>
  <c r="AM36" i="33"/>
  <c r="AE82" i="33"/>
  <c r="AC82" i="33"/>
  <c r="T36" i="33"/>
  <c r="AM82" i="33"/>
  <c r="S82" i="33"/>
  <c r="AN82" i="33"/>
  <c r="Y82" i="33"/>
  <c r="V82" i="33"/>
  <c r="Q82" i="33"/>
  <c r="AD36" i="33"/>
  <c r="Q36" i="33"/>
  <c r="Y36" i="33"/>
  <c r="AD82" i="33"/>
  <c r="M36" i="33"/>
  <c r="M82" i="33"/>
  <c r="U82" i="33"/>
  <c r="AK82" i="33"/>
  <c r="AN36" i="33"/>
  <c r="U36" i="33"/>
  <c r="AK36" i="33"/>
  <c r="V36" i="33"/>
  <c r="X82" i="33"/>
  <c r="X36" i="33"/>
  <c r="BN27" i="104"/>
  <c r="BM27" i="71"/>
  <c r="BN27" i="98"/>
  <c r="AF29" i="32"/>
  <c r="AF73" i="32" s="1"/>
  <c r="AG29" i="32"/>
  <c r="AB82" i="33"/>
  <c r="Z123" i="33"/>
  <c r="W91" i="32"/>
  <c r="X91" i="32" s="1"/>
  <c r="T928" i="97"/>
  <c r="Z17" i="33"/>
  <c r="Q128" i="10"/>
  <c r="Y91" i="32"/>
  <c r="Z91" i="32" s="1"/>
  <c r="BH27" i="104"/>
  <c r="BH27" i="98"/>
  <c r="BG27" i="71"/>
  <c r="AA29" i="32"/>
  <c r="AA73" i="32" s="1"/>
  <c r="Z29" i="32"/>
  <c r="Z73" i="32" s="1"/>
  <c r="N18" i="104"/>
  <c r="N73" i="104"/>
  <c r="S73" i="32"/>
  <c r="S73" i="98"/>
  <c r="S18" i="98"/>
  <c r="R48" i="75"/>
  <c r="R47" i="75" s="1"/>
  <c r="R22" i="75"/>
  <c r="R76" i="75"/>
  <c r="R75" i="75" s="1"/>
  <c r="J35" i="75"/>
  <c r="C20" i="71"/>
  <c r="C75" i="71"/>
  <c r="AL47" i="32"/>
  <c r="AL73" i="32"/>
  <c r="T47" i="32"/>
  <c r="H82" i="104"/>
  <c r="AS28" i="104"/>
  <c r="H27" i="104"/>
  <c r="M64" i="75"/>
  <c r="M63" i="75" s="1"/>
  <c r="M10" i="75"/>
  <c r="M36" i="75"/>
  <c r="AC20" i="33"/>
  <c r="Q927" i="97"/>
  <c r="W11" i="33"/>
  <c r="W119" i="33"/>
  <c r="Q95" i="32"/>
  <c r="R95" i="32" s="1"/>
  <c r="AA73" i="104"/>
  <c r="AA18" i="104"/>
  <c r="AP20" i="33"/>
  <c r="E20" i="98"/>
  <c r="E75" i="98"/>
  <c r="AC69" i="13"/>
  <c r="AC74" i="13" s="1"/>
  <c r="J14" i="75"/>
  <c r="J27" i="75" s="1"/>
  <c r="J68" i="75"/>
  <c r="J67" i="75" s="1"/>
  <c r="J40" i="75"/>
  <c r="J39" i="75" s="1"/>
  <c r="AB927" i="97"/>
  <c r="AH11" i="33"/>
  <c r="AH119" i="33"/>
  <c r="AO95" i="32"/>
  <c r="AP95" i="32" s="1"/>
  <c r="AM95" i="32"/>
  <c r="AN95" i="32" s="1"/>
  <c r="F18" i="98"/>
  <c r="F73" i="98"/>
  <c r="E21" i="104"/>
  <c r="E76" i="104"/>
  <c r="M23" i="75"/>
  <c r="V16" i="33"/>
  <c r="P15" i="75"/>
  <c r="Y10" i="33"/>
  <c r="I27" i="75"/>
  <c r="R14" i="75"/>
  <c r="R68" i="75"/>
  <c r="R67" i="75" s="1"/>
  <c r="R40" i="75"/>
  <c r="R39" i="75" s="1"/>
  <c r="AE20" i="33"/>
  <c r="T35" i="75"/>
  <c r="L82" i="98"/>
  <c r="AW28" i="98"/>
  <c r="L27" i="98"/>
  <c r="X135" i="33"/>
  <c r="V35" i="75"/>
  <c r="AA75" i="13"/>
  <c r="AA77" i="13"/>
  <c r="AA73" i="13"/>
  <c r="AA76" i="13"/>
  <c r="AF36" i="75"/>
  <c r="AF64" i="75"/>
  <c r="AF63" i="75" s="1"/>
  <c r="AF10" i="75"/>
  <c r="U15" i="75"/>
  <c r="AD10" i="33"/>
  <c r="AD68" i="75"/>
  <c r="AD67" i="75" s="1"/>
  <c r="AD40" i="75"/>
  <c r="AD39" i="75" s="1"/>
  <c r="AD52" i="75" s="1"/>
  <c r="AD14" i="75"/>
  <c r="Z47" i="32"/>
  <c r="AI73" i="98"/>
  <c r="AI18" i="98"/>
  <c r="F64" i="75"/>
  <c r="F63" i="75" s="1"/>
  <c r="F36" i="75"/>
  <c r="F10" i="75"/>
  <c r="Q10" i="75"/>
  <c r="Q36" i="75"/>
  <c r="Q64" i="75"/>
  <c r="Q63" i="75" s="1"/>
  <c r="M27" i="71"/>
  <c r="M82" i="71"/>
  <c r="AW28" i="71"/>
  <c r="AC64" i="75"/>
  <c r="AC63" i="75" s="1"/>
  <c r="AC36" i="75"/>
  <c r="AC10" i="75"/>
  <c r="C21" i="71"/>
  <c r="C76" i="71"/>
  <c r="L74" i="13"/>
  <c r="W18" i="71"/>
  <c r="W73" i="71"/>
  <c r="BA95" i="32"/>
  <c r="BB95" i="32" s="1"/>
  <c r="AI927" i="97"/>
  <c r="AO11" i="33"/>
  <c r="AO119" i="33"/>
  <c r="BC95" i="32"/>
  <c r="BD95" i="32" s="1"/>
  <c r="P27" i="104"/>
  <c r="P82" i="104"/>
  <c r="BA28" i="104"/>
  <c r="S73" i="71"/>
  <c r="S18" i="71"/>
  <c r="AE47" i="32"/>
  <c r="AE73" i="32"/>
  <c r="X73" i="32"/>
  <c r="D23" i="32"/>
  <c r="C21" i="32"/>
  <c r="O15" i="75"/>
  <c r="X10" i="33"/>
  <c r="H27" i="71"/>
  <c r="AR28" i="71"/>
  <c r="H82" i="71"/>
  <c r="N64" i="75"/>
  <c r="N63" i="75" s="1"/>
  <c r="N36" i="75"/>
  <c r="N10" i="75"/>
  <c r="W36" i="33"/>
  <c r="AD47" i="32"/>
  <c r="AG14" i="75"/>
  <c r="AG68" i="75"/>
  <c r="AG67" i="75" s="1"/>
  <c r="AG40" i="75"/>
  <c r="AG39" i="75" s="1"/>
  <c r="E65" i="13"/>
  <c r="E59" i="13"/>
  <c r="AH82" i="33"/>
  <c r="AP27" i="71"/>
  <c r="F27" i="59"/>
  <c r="AQ27" i="98"/>
  <c r="AQ27" i="104"/>
  <c r="J29" i="32"/>
  <c r="J73" i="32" s="1"/>
  <c r="AJ78" i="33"/>
  <c r="AK21" i="98"/>
  <c r="AL32" i="33"/>
  <c r="V68" i="75"/>
  <c r="V67" i="75" s="1"/>
  <c r="V40" i="75"/>
  <c r="V39" i="75" s="1"/>
  <c r="V14" i="75"/>
  <c r="AI21" i="71" l="1"/>
  <c r="R27" i="75"/>
  <c r="AD20" i="33"/>
  <c r="AG10" i="33"/>
  <c r="X15" i="75"/>
  <c r="X70" i="75"/>
  <c r="X74" i="13"/>
  <c r="X75" i="13"/>
  <c r="X77" i="13"/>
  <c r="X73" i="13"/>
  <c r="X76" i="13"/>
  <c r="X69" i="75"/>
  <c r="X18" i="71"/>
  <c r="X73" i="71"/>
  <c r="Z80" i="75"/>
  <c r="M4" i="33"/>
  <c r="AJ21" i="98"/>
  <c r="BI27" i="104"/>
  <c r="BI27" i="98"/>
  <c r="BH27" i="71"/>
  <c r="K47" i="75"/>
  <c r="X73" i="104"/>
  <c r="X18" i="104"/>
  <c r="AK18" i="104" s="1"/>
  <c r="AG123" i="33"/>
  <c r="AG17" i="33"/>
  <c r="X128" i="10"/>
  <c r="AG135" i="33" s="1"/>
  <c r="X73" i="98"/>
  <c r="X18" i="98"/>
  <c r="AG27" i="75"/>
  <c r="V80" i="75"/>
  <c r="AI30" i="75"/>
  <c r="AA928" i="97"/>
  <c r="AN20" i="33"/>
  <c r="S78" i="75"/>
  <c r="Q30" i="75"/>
  <c r="Q94" i="75"/>
  <c r="Q70" i="75"/>
  <c r="Y78" i="75"/>
  <c r="N93" i="75"/>
  <c r="N29" i="75"/>
  <c r="N69" i="75"/>
  <c r="Q77" i="75"/>
  <c r="S29" i="75"/>
  <c r="S93" i="75"/>
  <c r="S69" i="75"/>
  <c r="AF93" i="75"/>
  <c r="AF29" i="75"/>
  <c r="AF69" i="75"/>
  <c r="N78" i="75"/>
  <c r="AM42" i="75"/>
  <c r="AC78" i="75"/>
  <c r="S77" i="75"/>
  <c r="O4" i="33"/>
  <c r="W93" i="75"/>
  <c r="W29" i="75"/>
  <c r="W69" i="75"/>
  <c r="AF94" i="75"/>
  <c r="AF30" i="75"/>
  <c r="AF70" i="75"/>
  <c r="AI77" i="75"/>
  <c r="AK24" i="75"/>
  <c r="AL24" i="75"/>
  <c r="Y30" i="75"/>
  <c r="Y94" i="75"/>
  <c r="Y70" i="75"/>
  <c r="N94" i="75"/>
  <c r="N30" i="75"/>
  <c r="N70" i="75"/>
  <c r="AM24" i="75"/>
  <c r="Q78" i="75"/>
  <c r="AL13" i="75"/>
  <c r="AK42" i="75"/>
  <c r="AC94" i="75"/>
  <c r="AC30" i="75"/>
  <c r="AC70" i="75"/>
  <c r="F94" i="75"/>
  <c r="F30" i="75"/>
  <c r="F70" i="75"/>
  <c r="F78" i="75"/>
  <c r="AL12" i="75"/>
  <c r="AM41" i="75"/>
  <c r="AK41" i="75"/>
  <c r="AI78" i="75"/>
  <c r="AK25" i="75"/>
  <c r="AL25" i="75"/>
  <c r="AM25" i="75"/>
  <c r="W77" i="75"/>
  <c r="AC93" i="75"/>
  <c r="AC29" i="75"/>
  <c r="AC69" i="75"/>
  <c r="AC77" i="75"/>
  <c r="S94" i="75"/>
  <c r="S30" i="75"/>
  <c r="S70" i="75"/>
  <c r="AL21" i="75"/>
  <c r="Y93" i="75"/>
  <c r="Y29" i="75"/>
  <c r="Y69" i="75"/>
  <c r="AJ75" i="104"/>
  <c r="Z27" i="75"/>
  <c r="AF78" i="75"/>
  <c r="N77" i="75"/>
  <c r="AL16" i="75"/>
  <c r="AL9" i="75"/>
  <c r="W78" i="75"/>
  <c r="F93" i="75"/>
  <c r="F29" i="75"/>
  <c r="F69" i="75"/>
  <c r="Y77" i="75"/>
  <c r="AL20" i="75"/>
  <c r="F77" i="75"/>
  <c r="Q29" i="75"/>
  <c r="Q93" i="75"/>
  <c r="Q69" i="75"/>
  <c r="W30" i="75"/>
  <c r="W94" i="75"/>
  <c r="W70" i="75"/>
  <c r="AF77" i="75"/>
  <c r="Z75" i="33"/>
  <c r="AG52" i="75"/>
  <c r="AG53" i="75" s="1"/>
  <c r="G80" i="75"/>
  <c r="AD80" i="75"/>
  <c r="Y20" i="33"/>
  <c r="Z84" i="75"/>
  <c r="L28" i="75"/>
  <c r="J84" i="75"/>
  <c r="J87" i="75" s="1"/>
  <c r="T84" i="75"/>
  <c r="T92" i="75" s="1"/>
  <c r="T95" i="75" s="1"/>
  <c r="R52" i="75"/>
  <c r="R53" i="75" s="1"/>
  <c r="AL29" i="33"/>
  <c r="M20" i="33"/>
  <c r="AJ76" i="98"/>
  <c r="V27" i="75"/>
  <c r="T27" i="75"/>
  <c r="AI20" i="71"/>
  <c r="G52" i="75"/>
  <c r="AJ21" i="104"/>
  <c r="V84" i="75"/>
  <c r="V92" i="75" s="1"/>
  <c r="V95" i="75" s="1"/>
  <c r="AK20" i="33"/>
  <c r="O29" i="33"/>
  <c r="AH33" i="33"/>
  <c r="AJ107" i="10"/>
  <c r="AG80" i="75"/>
  <c r="AI76" i="71"/>
  <c r="R80" i="75"/>
  <c r="Q20" i="33"/>
  <c r="AH52" i="75"/>
  <c r="AF75" i="33"/>
  <c r="AO79" i="33"/>
  <c r="AD27" i="75"/>
  <c r="AD53" i="75" s="1"/>
  <c r="AH80" i="75"/>
  <c r="AG84" i="75"/>
  <c r="AG87" i="75" s="1"/>
  <c r="AT112" i="32"/>
  <c r="AT125" i="32" s="1"/>
  <c r="AS125" i="32"/>
  <c r="S15" i="75"/>
  <c r="AB10" i="33"/>
  <c r="Y23" i="75"/>
  <c r="AH16" i="33"/>
  <c r="Z10" i="33"/>
  <c r="Q15" i="75"/>
  <c r="S82" i="98"/>
  <c r="S27" i="98"/>
  <c r="BD28" i="98"/>
  <c r="N73" i="13"/>
  <c r="N77" i="13"/>
  <c r="N76" i="13"/>
  <c r="N75" i="13"/>
  <c r="P35" i="75"/>
  <c r="C18" i="104"/>
  <c r="C73" i="104"/>
  <c r="AR29" i="33"/>
  <c r="Q68" i="32"/>
  <c r="Q64" i="32"/>
  <c r="Q59" i="32"/>
  <c r="Q80" i="32"/>
  <c r="Q71" i="32"/>
  <c r="Q65" i="32"/>
  <c r="Q74" i="32"/>
  <c r="Q78" i="32"/>
  <c r="Q61" i="32"/>
  <c r="Q55" i="32"/>
  <c r="Q62" i="32"/>
  <c r="Q66" i="32"/>
  <c r="Q67" i="32"/>
  <c r="Q60" i="32"/>
  <c r="Q79" i="32"/>
  <c r="Q70" i="32"/>
  <c r="Q69" i="32"/>
  <c r="Q77" i="32"/>
  <c r="Q76" i="32"/>
  <c r="Q75" i="32"/>
  <c r="AA35" i="75"/>
  <c r="AJ111" i="10"/>
  <c r="AF33" i="33"/>
  <c r="AB29" i="33"/>
  <c r="AB59" i="32"/>
  <c r="AB61" i="32"/>
  <c r="AB60" i="32"/>
  <c r="AB65" i="32"/>
  <c r="AB74" i="32"/>
  <c r="AB68" i="32"/>
  <c r="AB80" i="32"/>
  <c r="AB69" i="32"/>
  <c r="AB67" i="32"/>
  <c r="AB71" i="32"/>
  <c r="AB64" i="32"/>
  <c r="AB79" i="32"/>
  <c r="AB78" i="32"/>
  <c r="AB55" i="32"/>
  <c r="AB62" i="32"/>
  <c r="AB66" i="32"/>
  <c r="AB70" i="32"/>
  <c r="AB77" i="32"/>
  <c r="AB76" i="32"/>
  <c r="AB75" i="32"/>
  <c r="N17" i="33"/>
  <c r="N29" i="33"/>
  <c r="N75" i="33"/>
  <c r="N123" i="33"/>
  <c r="H928" i="97"/>
  <c r="E128" i="10"/>
  <c r="AL61" i="32"/>
  <c r="AL78" i="32"/>
  <c r="AL60" i="32"/>
  <c r="AL69" i="32"/>
  <c r="AL70" i="32"/>
  <c r="AL55" i="32"/>
  <c r="AL59" i="32"/>
  <c r="AL79" i="32"/>
  <c r="AL62" i="32"/>
  <c r="AL67" i="32"/>
  <c r="AL80" i="32"/>
  <c r="AL68" i="32"/>
  <c r="AL65" i="32"/>
  <c r="AL64" i="32"/>
  <c r="AL74" i="32"/>
  <c r="AL71" i="32"/>
  <c r="AL66" i="32"/>
  <c r="AL77" i="32"/>
  <c r="AL75" i="32"/>
  <c r="AL76" i="32"/>
  <c r="D35" i="75"/>
  <c r="Q82" i="104"/>
  <c r="BB28" i="104"/>
  <c r="Q27" i="104"/>
  <c r="Z79" i="33"/>
  <c r="S82" i="104"/>
  <c r="BD28" i="104"/>
  <c r="S27" i="104"/>
  <c r="AF15" i="75"/>
  <c r="AO10" i="33"/>
  <c r="AH10" i="33"/>
  <c r="Y15" i="75"/>
  <c r="W79" i="33"/>
  <c r="Y112" i="32"/>
  <c r="Z112" i="32" s="1"/>
  <c r="W112" i="32"/>
  <c r="X112" i="32" s="1"/>
  <c r="Z135" i="33"/>
  <c r="AG73" i="32"/>
  <c r="AG60" i="32"/>
  <c r="AG59" i="32"/>
  <c r="AG66" i="32"/>
  <c r="AG65" i="32"/>
  <c r="AG70" i="32"/>
  <c r="AG69" i="32"/>
  <c r="AG62" i="32"/>
  <c r="AG74" i="32"/>
  <c r="AG67" i="32"/>
  <c r="AG55" i="32"/>
  <c r="AG79" i="32"/>
  <c r="AG68" i="32"/>
  <c r="AG61" i="32"/>
  <c r="AG64" i="32"/>
  <c r="AG71" i="32"/>
  <c r="AG78" i="32"/>
  <c r="AG80" i="32"/>
  <c r="AG77" i="32"/>
  <c r="AG76" i="32"/>
  <c r="AG75" i="32"/>
  <c r="Q75" i="13"/>
  <c r="Q73" i="13"/>
  <c r="Q77" i="13"/>
  <c r="Q76" i="13"/>
  <c r="G84" i="75"/>
  <c r="AN27" i="98"/>
  <c r="C27" i="59"/>
  <c r="AM27" i="71"/>
  <c r="AN27" i="104"/>
  <c r="G29" i="32"/>
  <c r="AF23" i="75"/>
  <c r="AO16" i="33"/>
  <c r="AI23" i="75"/>
  <c r="AR16" i="33"/>
  <c r="AT17" i="33"/>
  <c r="N82" i="98"/>
  <c r="N27" i="98"/>
  <c r="AY28" i="98"/>
  <c r="S23" i="75"/>
  <c r="AB16" i="33"/>
  <c r="O33" i="33"/>
  <c r="AH84" i="75"/>
  <c r="L48" i="75"/>
  <c r="L47" i="75" s="1"/>
  <c r="L22" i="75"/>
  <c r="L76" i="75"/>
  <c r="L75" i="75" s="1"/>
  <c r="C69" i="13"/>
  <c r="C74" i="13" s="1"/>
  <c r="AH27" i="75"/>
  <c r="AH53" i="75" s="1"/>
  <c r="Y82" i="98"/>
  <c r="BJ28" i="98"/>
  <c r="Y27" i="98"/>
  <c r="F23" i="75"/>
  <c r="O16" i="33"/>
  <c r="I87" i="75"/>
  <c r="I88" i="75" s="1"/>
  <c r="I92" i="75"/>
  <c r="I95" i="75" s="1"/>
  <c r="I96" i="75" s="1"/>
  <c r="AF16" i="33"/>
  <c r="W23" i="75"/>
  <c r="AL33" i="33"/>
  <c r="AF75" i="13"/>
  <c r="AF77" i="13"/>
  <c r="AF73" i="13"/>
  <c r="AF76" i="13"/>
  <c r="AJ73" i="32"/>
  <c r="AJ64" i="32"/>
  <c r="AJ61" i="32"/>
  <c r="AJ62" i="32"/>
  <c r="AJ71" i="32"/>
  <c r="AJ70" i="32"/>
  <c r="AJ60" i="32"/>
  <c r="AJ78" i="32"/>
  <c r="AJ65" i="32"/>
  <c r="AJ69" i="32"/>
  <c r="AJ55" i="32"/>
  <c r="AJ66" i="32"/>
  <c r="AJ59" i="32"/>
  <c r="AJ79" i="32"/>
  <c r="AJ80" i="32"/>
  <c r="AJ67" i="32"/>
  <c r="AJ74" i="32"/>
  <c r="AJ68" i="32"/>
  <c r="AJ77" i="32"/>
  <c r="AJ75" i="32"/>
  <c r="AJ76" i="32"/>
  <c r="AJ30" i="10"/>
  <c r="E73" i="98"/>
  <c r="E18" i="98"/>
  <c r="Q27" i="71"/>
  <c r="Q82" i="71"/>
  <c r="BA28" i="71"/>
  <c r="AI75" i="13"/>
  <c r="AI77" i="13"/>
  <c r="AI73" i="13"/>
  <c r="AI76" i="13"/>
  <c r="AH135" i="33"/>
  <c r="AM112" i="32"/>
  <c r="AO112" i="32"/>
  <c r="K27" i="75"/>
  <c r="S27" i="71"/>
  <c r="S82" i="71"/>
  <c r="BC28" i="71"/>
  <c r="F82" i="71"/>
  <c r="G83" i="71" s="1"/>
  <c r="AP28" i="71"/>
  <c r="F27" i="71"/>
  <c r="U40" i="75"/>
  <c r="U39" i="75" s="1"/>
  <c r="U68" i="75"/>
  <c r="U67" i="75" s="1"/>
  <c r="U14" i="75"/>
  <c r="AF29" i="33"/>
  <c r="L75" i="33"/>
  <c r="L29" i="33"/>
  <c r="F928" i="97"/>
  <c r="L17" i="33"/>
  <c r="L123" i="33"/>
  <c r="C128" i="10"/>
  <c r="AH96" i="33" s="1"/>
  <c r="R75" i="33"/>
  <c r="R29" i="33"/>
  <c r="AE29" i="33"/>
  <c r="T29" i="33"/>
  <c r="AC29" i="33"/>
  <c r="AM75" i="33"/>
  <c r="AP29" i="33"/>
  <c r="AP75" i="33"/>
  <c r="S29" i="33"/>
  <c r="AQ75" i="33"/>
  <c r="AG75" i="33"/>
  <c r="P75" i="33"/>
  <c r="AA29" i="33"/>
  <c r="AM29" i="33"/>
  <c r="S75" i="33"/>
  <c r="AQ29" i="33"/>
  <c r="AG29" i="33"/>
  <c r="AI75" i="33"/>
  <c r="P29" i="33"/>
  <c r="AI29" i="33"/>
  <c r="T75" i="33"/>
  <c r="AA75" i="33"/>
  <c r="AC75" i="33"/>
  <c r="AE75" i="33"/>
  <c r="AD75" i="33"/>
  <c r="AN29" i="33"/>
  <c r="Q29" i="33"/>
  <c r="Y75" i="33"/>
  <c r="M75" i="33"/>
  <c r="AD29" i="33"/>
  <c r="Y29" i="33"/>
  <c r="AK29" i="33"/>
  <c r="M29" i="33"/>
  <c r="U29" i="33"/>
  <c r="X75" i="33"/>
  <c r="V29" i="33"/>
  <c r="V75" i="33"/>
  <c r="X29" i="33"/>
  <c r="U75" i="33"/>
  <c r="Q75" i="33"/>
  <c r="AK75" i="33"/>
  <c r="AN75" i="33"/>
  <c r="AF79" i="33"/>
  <c r="O79" i="33"/>
  <c r="AK73" i="104"/>
  <c r="AE22" i="75"/>
  <c r="AE76" i="75"/>
  <c r="AE75" i="75" s="1"/>
  <c r="AE48" i="75"/>
  <c r="AE47" i="75" s="1"/>
  <c r="H14" i="75"/>
  <c r="H40" i="75"/>
  <c r="H68" i="75"/>
  <c r="H67" i="75" s="1"/>
  <c r="H28" i="75"/>
  <c r="AJ135" i="33"/>
  <c r="AQ112" i="32"/>
  <c r="U20" i="33"/>
  <c r="BJ28" i="104"/>
  <c r="Y27" i="104"/>
  <c r="Y82" i="104"/>
  <c r="W135" i="33"/>
  <c r="Q112" i="32"/>
  <c r="R112" i="32" s="1"/>
  <c r="AE125" i="32"/>
  <c r="AF112" i="32"/>
  <c r="AF125" i="32" s="1"/>
  <c r="V83" i="71"/>
  <c r="V20" i="33"/>
  <c r="AF27" i="98"/>
  <c r="AF82" i="98"/>
  <c r="BQ28" i="98"/>
  <c r="AI82" i="98"/>
  <c r="AI27" i="98"/>
  <c r="BT28" i="98"/>
  <c r="C10" i="75"/>
  <c r="C36" i="75"/>
  <c r="AN36" i="75" s="1"/>
  <c r="C64" i="75"/>
  <c r="C63" i="75" s="1"/>
  <c r="E18" i="71"/>
  <c r="E73" i="71"/>
  <c r="T61" i="32"/>
  <c r="T68" i="32"/>
  <c r="T69" i="32"/>
  <c r="T79" i="32"/>
  <c r="T66" i="32"/>
  <c r="T64" i="32"/>
  <c r="T62" i="32"/>
  <c r="T59" i="32"/>
  <c r="T70" i="32"/>
  <c r="T60" i="32"/>
  <c r="T80" i="32"/>
  <c r="T71" i="32"/>
  <c r="T67" i="32"/>
  <c r="T78" i="32"/>
  <c r="T74" i="32"/>
  <c r="T55" i="32"/>
  <c r="T65" i="32"/>
  <c r="T77" i="32"/>
  <c r="T76" i="32"/>
  <c r="T75" i="32"/>
  <c r="Y35" i="75"/>
  <c r="AB79" i="33"/>
  <c r="S35" i="75"/>
  <c r="AH75" i="33"/>
  <c r="K80" i="75"/>
  <c r="AJ33" i="33"/>
  <c r="F27" i="98"/>
  <c r="F82" i="98"/>
  <c r="AQ28" i="98"/>
  <c r="H83" i="71"/>
  <c r="I83" i="71"/>
  <c r="M48" i="75"/>
  <c r="M47" i="75" s="1"/>
  <c r="M76" i="75"/>
  <c r="M75" i="75" s="1"/>
  <c r="M22" i="75"/>
  <c r="N15" i="75"/>
  <c r="W10" i="33"/>
  <c r="U48" i="75"/>
  <c r="U47" i="75" s="1"/>
  <c r="U22" i="75"/>
  <c r="U76" i="75"/>
  <c r="U75" i="75" s="1"/>
  <c r="AA82" i="71"/>
  <c r="AA83" i="71" s="1"/>
  <c r="BK28" i="71"/>
  <c r="AA27" i="71"/>
  <c r="N23" i="75"/>
  <c r="W16" i="33"/>
  <c r="AI82" i="104"/>
  <c r="BT28" i="104"/>
  <c r="AI27" i="104"/>
  <c r="Q23" i="75"/>
  <c r="Z16" i="33"/>
  <c r="O68" i="75"/>
  <c r="O67" i="75" s="1"/>
  <c r="O14" i="75"/>
  <c r="O40" i="75"/>
  <c r="O28" i="75"/>
  <c r="J52" i="75"/>
  <c r="J53" i="75" s="1"/>
  <c r="M28" i="75"/>
  <c r="Z74" i="32"/>
  <c r="Z55" i="32"/>
  <c r="Z64" i="32"/>
  <c r="Z59" i="32"/>
  <c r="Z80" i="32"/>
  <c r="Z68" i="32"/>
  <c r="Z61" i="32"/>
  <c r="Z62" i="32"/>
  <c r="Z60" i="32"/>
  <c r="Z66" i="32"/>
  <c r="Z69" i="32"/>
  <c r="Z67" i="32"/>
  <c r="Z79" i="32"/>
  <c r="Z71" i="32"/>
  <c r="Z65" i="32"/>
  <c r="Z70" i="32"/>
  <c r="Z78" i="32"/>
  <c r="Z77" i="32"/>
  <c r="Z75" i="32"/>
  <c r="Z76" i="32"/>
  <c r="BN28" i="98"/>
  <c r="AC27" i="98"/>
  <c r="AC82" i="98"/>
  <c r="Z87" i="75"/>
  <c r="Z92" i="75"/>
  <c r="Z95" i="75" s="1"/>
  <c r="AZ112" i="32"/>
  <c r="AZ125" i="32" s="1"/>
  <c r="AY125" i="32"/>
  <c r="AU112" i="32"/>
  <c r="AL135" i="33"/>
  <c r="AW112" i="32"/>
  <c r="C18" i="71"/>
  <c r="C73" i="71"/>
  <c r="AO75" i="33"/>
  <c r="N82" i="71"/>
  <c r="N83" i="71" s="1"/>
  <c r="AX28" i="71"/>
  <c r="N27" i="71"/>
  <c r="AJ76" i="104"/>
  <c r="AT11" i="33"/>
  <c r="AR10" i="33"/>
  <c r="AI15" i="75"/>
  <c r="G95" i="32"/>
  <c r="I53" i="75"/>
  <c r="O10" i="33"/>
  <c r="F15" i="75"/>
  <c r="W35" i="75"/>
  <c r="AJ29" i="33"/>
  <c r="L68" i="75"/>
  <c r="L67" i="75" s="1"/>
  <c r="L14" i="75"/>
  <c r="L40" i="75"/>
  <c r="L39" i="75" s="1"/>
  <c r="BI28" i="71"/>
  <c r="Y82" i="71"/>
  <c r="Y27" i="71"/>
  <c r="W29" i="33"/>
  <c r="AJ20" i="98"/>
  <c r="AC15" i="75"/>
  <c r="AL10" i="33"/>
  <c r="M40" i="75"/>
  <c r="M39" i="75" s="1"/>
  <c r="M14" i="75"/>
  <c r="M68" i="75"/>
  <c r="M67" i="75" s="1"/>
  <c r="AD84" i="75"/>
  <c r="BQ28" i="104"/>
  <c r="AF82" i="104"/>
  <c r="AF27" i="104"/>
  <c r="U28" i="75"/>
  <c r="AB73" i="32"/>
  <c r="AH29" i="33"/>
  <c r="K39" i="75"/>
  <c r="K52" i="75" s="1"/>
  <c r="K84" i="75"/>
  <c r="M83" i="71"/>
  <c r="AF74" i="32"/>
  <c r="AF66" i="32"/>
  <c r="AF78" i="32"/>
  <c r="AF59" i="32"/>
  <c r="AF65" i="32"/>
  <c r="AF70" i="32"/>
  <c r="AF80" i="32"/>
  <c r="AF71" i="32"/>
  <c r="AF62" i="32"/>
  <c r="AF68" i="32"/>
  <c r="AF60" i="32"/>
  <c r="AF79" i="32"/>
  <c r="AF61" i="32"/>
  <c r="AF64" i="32"/>
  <c r="AF55" i="32"/>
  <c r="AF69" i="32"/>
  <c r="AF67" i="32"/>
  <c r="AF77" i="32"/>
  <c r="AF75" i="32"/>
  <c r="AF76" i="32"/>
  <c r="E69" i="13"/>
  <c r="E74" i="13" s="1"/>
  <c r="D21" i="32"/>
  <c r="Q35" i="75"/>
  <c r="J80" i="75"/>
  <c r="M35" i="75"/>
  <c r="AA69" i="32"/>
  <c r="AA55" i="32"/>
  <c r="AA61" i="32"/>
  <c r="AA78" i="32"/>
  <c r="AA67" i="32"/>
  <c r="AA80" i="32"/>
  <c r="AA60" i="32"/>
  <c r="AA59" i="32"/>
  <c r="AA79" i="32"/>
  <c r="AA66" i="32"/>
  <c r="AA68" i="32"/>
  <c r="AA62" i="32"/>
  <c r="AA65" i="32"/>
  <c r="AA64" i="32"/>
  <c r="AA74" i="32"/>
  <c r="AA71" i="32"/>
  <c r="AA70" i="32"/>
  <c r="AA77" i="32"/>
  <c r="AA76" i="32"/>
  <c r="AA75" i="32"/>
  <c r="AC27" i="71"/>
  <c r="BM28" i="71"/>
  <c r="AC82" i="71"/>
  <c r="G27" i="75"/>
  <c r="AB135" i="33"/>
  <c r="AA112" i="32"/>
  <c r="AC112" i="32"/>
  <c r="N33" i="33"/>
  <c r="N119" i="33"/>
  <c r="H927" i="97"/>
  <c r="N79" i="33"/>
  <c r="N11" i="33"/>
  <c r="AB22" i="75"/>
  <c r="AB76" i="75"/>
  <c r="AB75" i="75" s="1"/>
  <c r="AB48" i="75"/>
  <c r="AB47" i="75" s="1"/>
  <c r="AJ16" i="33"/>
  <c r="AA23" i="75"/>
  <c r="AA82" i="104"/>
  <c r="AA27" i="104"/>
  <c r="BL28" i="104"/>
  <c r="W75" i="33"/>
  <c r="AJ75" i="98"/>
  <c r="AF135" i="33"/>
  <c r="AI112" i="32"/>
  <c r="J112" i="32"/>
  <c r="L95" i="32" s="1"/>
  <c r="AK112" i="32"/>
  <c r="AI60" i="32"/>
  <c r="AI71" i="32"/>
  <c r="AI68" i="32"/>
  <c r="AI74" i="32"/>
  <c r="AI64" i="32"/>
  <c r="AI61" i="32"/>
  <c r="AI59" i="32"/>
  <c r="AI80" i="32"/>
  <c r="AI55" i="32"/>
  <c r="AI67" i="32"/>
  <c r="AI65" i="32"/>
  <c r="AI70" i="32"/>
  <c r="AI78" i="32"/>
  <c r="AI62" i="32"/>
  <c r="AI79" i="32"/>
  <c r="AI66" i="32"/>
  <c r="AI69" i="32"/>
  <c r="AI77" i="32"/>
  <c r="AI76" i="32"/>
  <c r="AI75" i="32"/>
  <c r="AN30" i="10"/>
  <c r="U35" i="75"/>
  <c r="S75" i="13"/>
  <c r="S77" i="13"/>
  <c r="S73" i="13"/>
  <c r="S76" i="13"/>
  <c r="AO135" i="33"/>
  <c r="BA112" i="32"/>
  <c r="BC112" i="32"/>
  <c r="F75" i="13"/>
  <c r="F73" i="13"/>
  <c r="F77" i="13"/>
  <c r="F76" i="13"/>
  <c r="AC68" i="32"/>
  <c r="AC71" i="32"/>
  <c r="AC74" i="32"/>
  <c r="AC59" i="32"/>
  <c r="AC66" i="32"/>
  <c r="AC70" i="32"/>
  <c r="AC69" i="32"/>
  <c r="AC62" i="32"/>
  <c r="AC65" i="32"/>
  <c r="AC64" i="32"/>
  <c r="AC80" i="32"/>
  <c r="AC60" i="32"/>
  <c r="AC79" i="32"/>
  <c r="AC61" i="32"/>
  <c r="AC55" i="32"/>
  <c r="AC78" i="32"/>
  <c r="AC67" i="32"/>
  <c r="AC77" i="32"/>
  <c r="AC76" i="32"/>
  <c r="AC75" i="32"/>
  <c r="AB40" i="75"/>
  <c r="AB68" i="75"/>
  <c r="AB67" i="75" s="1"/>
  <c r="AB14" i="75"/>
  <c r="AB28" i="75"/>
  <c r="D76" i="75"/>
  <c r="D75" i="75" s="1"/>
  <c r="D22" i="75"/>
  <c r="D48" i="75"/>
  <c r="D47" i="75" s="1"/>
  <c r="D28" i="75"/>
  <c r="H47" i="32"/>
  <c r="W77" i="13"/>
  <c r="W73" i="13"/>
  <c r="W76" i="13"/>
  <c r="W75" i="13"/>
  <c r="AK18" i="98"/>
  <c r="R33" i="33"/>
  <c r="L79" i="33"/>
  <c r="L119" i="33"/>
  <c r="L11" i="33"/>
  <c r="F927" i="97"/>
  <c r="L33" i="33"/>
  <c r="R79" i="33"/>
  <c r="AI79" i="33"/>
  <c r="S79" i="33"/>
  <c r="P33" i="33"/>
  <c r="AP33" i="33"/>
  <c r="AG33" i="33"/>
  <c r="AE79" i="33"/>
  <c r="P79" i="33"/>
  <c r="T79" i="33"/>
  <c r="AE33" i="33"/>
  <c r="AQ79" i="33"/>
  <c r="AA79" i="33"/>
  <c r="AM33" i="33"/>
  <c r="AC79" i="33"/>
  <c r="T33" i="33"/>
  <c r="S33" i="33"/>
  <c r="AP79" i="33"/>
  <c r="AA33" i="33"/>
  <c r="AI33" i="33"/>
  <c r="AG79" i="33"/>
  <c r="AM79" i="33"/>
  <c r="AQ33" i="33"/>
  <c r="AC33" i="33"/>
  <c r="AD33" i="33"/>
  <c r="Q79" i="33"/>
  <c r="AN33" i="33"/>
  <c r="AK33" i="33"/>
  <c r="Q33" i="33"/>
  <c r="V79" i="33"/>
  <c r="Y79" i="33"/>
  <c r="U79" i="33"/>
  <c r="AN79" i="33"/>
  <c r="M33" i="33"/>
  <c r="AD79" i="33"/>
  <c r="V33" i="33"/>
  <c r="M79" i="33"/>
  <c r="U33" i="33"/>
  <c r="X79" i="33"/>
  <c r="Y33" i="33"/>
  <c r="X33" i="33"/>
  <c r="AK79" i="33"/>
  <c r="C73" i="98"/>
  <c r="C18" i="98"/>
  <c r="N27" i="104"/>
  <c r="N82" i="104"/>
  <c r="AY28" i="104"/>
  <c r="J79" i="32"/>
  <c r="J65" i="32"/>
  <c r="J68" i="32"/>
  <c r="J64" i="32"/>
  <c r="J80" i="32"/>
  <c r="J71" i="32"/>
  <c r="J62" i="32"/>
  <c r="J61" i="32"/>
  <c r="J66" i="32"/>
  <c r="J67" i="32"/>
  <c r="J69" i="32"/>
  <c r="J74" i="32"/>
  <c r="J55" i="32"/>
  <c r="J59" i="32"/>
  <c r="J78" i="32"/>
  <c r="J70" i="32"/>
  <c r="J60" i="32"/>
  <c r="J77" i="32"/>
  <c r="J76" i="32"/>
  <c r="J75" i="32"/>
  <c r="I59" i="32"/>
  <c r="I55" i="32"/>
  <c r="I78" i="32"/>
  <c r="I69" i="32"/>
  <c r="I66" i="32"/>
  <c r="I74" i="32"/>
  <c r="I61" i="32"/>
  <c r="I67" i="32"/>
  <c r="I71" i="32"/>
  <c r="I65" i="32"/>
  <c r="I60" i="32"/>
  <c r="I79" i="32"/>
  <c r="I70" i="32"/>
  <c r="I80" i="32"/>
  <c r="I68" i="32"/>
  <c r="I64" i="32"/>
  <c r="I62" i="32"/>
  <c r="I77" i="32"/>
  <c r="I76" i="32"/>
  <c r="I75" i="32"/>
  <c r="N35" i="75"/>
  <c r="AO33" i="33"/>
  <c r="AC35" i="75"/>
  <c r="P40" i="75"/>
  <c r="P39" i="75" s="1"/>
  <c r="P14" i="75"/>
  <c r="P68" i="75"/>
  <c r="P67" i="75" s="1"/>
  <c r="W82" i="71"/>
  <c r="W27" i="71"/>
  <c r="BG28" i="71"/>
  <c r="Z29" i="33"/>
  <c r="AC82" i="104"/>
  <c r="BN28" i="104"/>
  <c r="AC27" i="104"/>
  <c r="AL75" i="33"/>
  <c r="T80" i="75"/>
  <c r="AO29" i="33"/>
  <c r="AN119" i="10"/>
  <c r="BG112" i="32"/>
  <c r="BI125" i="32"/>
  <c r="AJ128" i="10"/>
  <c r="AR135" i="33"/>
  <c r="AK128" i="10"/>
  <c r="AK10" i="75"/>
  <c r="L35" i="75"/>
  <c r="AR33" i="33"/>
  <c r="W15" i="75"/>
  <c r="AF10" i="33"/>
  <c r="P28" i="75"/>
  <c r="Z52" i="75"/>
  <c r="H48" i="75"/>
  <c r="H47" i="75" s="1"/>
  <c r="H76" i="75"/>
  <c r="H75" i="75" s="1"/>
  <c r="H22" i="75"/>
  <c r="AD64" i="32"/>
  <c r="AD62" i="32"/>
  <c r="AD55" i="32"/>
  <c r="AD59" i="32"/>
  <c r="AD66" i="32"/>
  <c r="AD65" i="32"/>
  <c r="AD80" i="32"/>
  <c r="AD71" i="32"/>
  <c r="AD60" i="32"/>
  <c r="AD70" i="32"/>
  <c r="AD74" i="32"/>
  <c r="AD61" i="32"/>
  <c r="AD79" i="32"/>
  <c r="AD68" i="32"/>
  <c r="AD67" i="32"/>
  <c r="AD69" i="32"/>
  <c r="AD78" i="32"/>
  <c r="AD77" i="32"/>
  <c r="AD75" i="32"/>
  <c r="AD76" i="32"/>
  <c r="O135" i="33"/>
  <c r="G91" i="32"/>
  <c r="AL79" i="33"/>
  <c r="BP28" i="71"/>
  <c r="AF82" i="71"/>
  <c r="AF27" i="71"/>
  <c r="AP27" i="98"/>
  <c r="AP27" i="104"/>
  <c r="E27" i="59"/>
  <c r="AO27" i="71"/>
  <c r="H29" i="32"/>
  <c r="H73" i="32" s="1"/>
  <c r="P76" i="75"/>
  <c r="P75" i="75" s="1"/>
  <c r="P48" i="75"/>
  <c r="P47" i="75" s="1"/>
  <c r="P22" i="75"/>
  <c r="U73" i="32"/>
  <c r="U80" i="32"/>
  <c r="U79" i="32"/>
  <c r="U69" i="32"/>
  <c r="U65" i="32"/>
  <c r="U61" i="32"/>
  <c r="U74" i="32"/>
  <c r="U66" i="32"/>
  <c r="U71" i="32"/>
  <c r="U67" i="32"/>
  <c r="U78" i="32"/>
  <c r="U70" i="32"/>
  <c r="U59" i="32"/>
  <c r="U62" i="32"/>
  <c r="U64" i="32"/>
  <c r="U68" i="32"/>
  <c r="U55" i="32"/>
  <c r="U60" i="32"/>
  <c r="U77" i="32"/>
  <c r="U76" i="32"/>
  <c r="U75" i="32"/>
  <c r="Q73" i="32"/>
  <c r="W65" i="32"/>
  <c r="W59" i="32"/>
  <c r="W71" i="32"/>
  <c r="W55" i="32"/>
  <c r="W66" i="32"/>
  <c r="W78" i="32"/>
  <c r="W61" i="32"/>
  <c r="W62" i="32"/>
  <c r="W79" i="32"/>
  <c r="W74" i="32"/>
  <c r="W67" i="32"/>
  <c r="W64" i="32"/>
  <c r="W60" i="32"/>
  <c r="W68" i="32"/>
  <c r="W80" i="32"/>
  <c r="W69" i="32"/>
  <c r="W70" i="32"/>
  <c r="W77" i="32"/>
  <c r="W75" i="32"/>
  <c r="W76" i="32"/>
  <c r="W27" i="104"/>
  <c r="W82" i="104"/>
  <c r="BH28" i="104"/>
  <c r="Q82" i="98"/>
  <c r="BB28" i="98"/>
  <c r="Q27" i="98"/>
  <c r="F35" i="75"/>
  <c r="X20" i="33"/>
  <c r="V52" i="75"/>
  <c r="AQ28" i="104"/>
  <c r="F27" i="104"/>
  <c r="F82" i="104"/>
  <c r="AF35" i="75"/>
  <c r="AH79" i="33"/>
  <c r="AC73" i="13"/>
  <c r="AC77" i="13"/>
  <c r="AC76" i="13"/>
  <c r="AC75" i="13"/>
  <c r="W33" i="33"/>
  <c r="AI75" i="71"/>
  <c r="W27" i="98"/>
  <c r="W82" i="98"/>
  <c r="BH28" i="98"/>
  <c r="AC23" i="75"/>
  <c r="AL16" i="33"/>
  <c r="AE68" i="75"/>
  <c r="AE67" i="75" s="1"/>
  <c r="AE40" i="75"/>
  <c r="AE14" i="75"/>
  <c r="AE28" i="75"/>
  <c r="T52" i="75"/>
  <c r="O76" i="75"/>
  <c r="O75" i="75" s="1"/>
  <c r="O22" i="75"/>
  <c r="O48" i="75"/>
  <c r="O47" i="75" s="1"/>
  <c r="AR75" i="33"/>
  <c r="AK73" i="98"/>
  <c r="AK36" i="75"/>
  <c r="AI35" i="75"/>
  <c r="AR79" i="33"/>
  <c r="K95" i="32"/>
  <c r="R84" i="75"/>
  <c r="AB75" i="33"/>
  <c r="F74" i="13"/>
  <c r="D14" i="75"/>
  <c r="D40" i="75"/>
  <c r="D39" i="75" s="1"/>
  <c r="D68" i="75"/>
  <c r="D67" i="75" s="1"/>
  <c r="AJ75" i="33"/>
  <c r="I47" i="32"/>
  <c r="I73" i="32"/>
  <c r="BL28" i="98"/>
  <c r="AA82" i="98"/>
  <c r="AA27" i="98"/>
  <c r="K91" i="32"/>
  <c r="E10" i="75"/>
  <c r="E36" i="75"/>
  <c r="E64" i="75"/>
  <c r="E63" i="75" s="1"/>
  <c r="AC73" i="32"/>
  <c r="C29" i="32"/>
  <c r="E21" i="32" s="1"/>
  <c r="E18" i="104"/>
  <c r="E73" i="104"/>
  <c r="N74" i="13"/>
  <c r="AB33" i="33"/>
  <c r="Z33" i="33"/>
  <c r="V73" i="32"/>
  <c r="V71" i="32"/>
  <c r="V55" i="32"/>
  <c r="V66" i="32"/>
  <c r="V80" i="32"/>
  <c r="V61" i="32"/>
  <c r="V74" i="32"/>
  <c r="V79" i="32"/>
  <c r="V65" i="32"/>
  <c r="V67" i="32"/>
  <c r="V68" i="32"/>
  <c r="V69" i="32"/>
  <c r="V78" i="32"/>
  <c r="V59" i="32"/>
  <c r="V62" i="32"/>
  <c r="V64" i="32"/>
  <c r="V70" i="32"/>
  <c r="V60" i="32"/>
  <c r="V77" i="32"/>
  <c r="V76" i="32"/>
  <c r="V75" i="32"/>
  <c r="AA15" i="75"/>
  <c r="AJ10" i="33"/>
  <c r="Z96" i="75" l="1"/>
  <c r="AG92" i="75"/>
  <c r="AG95" i="75" s="1"/>
  <c r="AS4" i="33"/>
  <c r="O20" i="33"/>
  <c r="T53" i="75"/>
  <c r="G53" i="75"/>
  <c r="AF20" i="33"/>
  <c r="V96" i="75"/>
  <c r="T87" i="75"/>
  <c r="T88" i="75" s="1"/>
  <c r="J92" i="75"/>
  <c r="J95" i="75" s="1"/>
  <c r="AB83" i="71"/>
  <c r="AG88" i="75"/>
  <c r="BH28" i="71"/>
  <c r="X27" i="71"/>
  <c r="X82" i="71"/>
  <c r="X83" i="71" s="1"/>
  <c r="X27" i="98"/>
  <c r="X82" i="98"/>
  <c r="BI28" i="98"/>
  <c r="G112" i="32"/>
  <c r="I92" i="32" s="1"/>
  <c r="X82" i="104"/>
  <c r="BI28" i="104"/>
  <c r="X27" i="104"/>
  <c r="AG16" i="33"/>
  <c r="AG20" i="33" s="1"/>
  <c r="X23" i="75"/>
  <c r="X40" i="75"/>
  <c r="X14" i="75"/>
  <c r="X68" i="75"/>
  <c r="X67" i="75" s="1"/>
  <c r="E93" i="75"/>
  <c r="E29" i="75"/>
  <c r="E69" i="75"/>
  <c r="M84" i="75"/>
  <c r="AM50" i="75"/>
  <c r="AK50" i="75"/>
  <c r="AA78" i="75"/>
  <c r="AA94" i="75"/>
  <c r="AA30" i="75"/>
  <c r="AM49" i="75"/>
  <c r="AK49" i="75"/>
  <c r="AM21" i="75"/>
  <c r="AM46" i="75"/>
  <c r="AM13" i="75"/>
  <c r="AM9" i="75"/>
  <c r="AM38" i="75"/>
  <c r="AI94" i="75"/>
  <c r="AM17" i="75"/>
  <c r="E94" i="75"/>
  <c r="E30" i="75"/>
  <c r="E70" i="75"/>
  <c r="V53" i="75"/>
  <c r="AA77" i="75"/>
  <c r="AA93" i="75"/>
  <c r="AA29" i="75"/>
  <c r="Z53" i="75"/>
  <c r="E77" i="75"/>
  <c r="AN42" i="75"/>
  <c r="C94" i="75"/>
  <c r="C30" i="75"/>
  <c r="C70" i="75"/>
  <c r="AN49" i="75"/>
  <c r="C77" i="75"/>
  <c r="AN41" i="75"/>
  <c r="C93" i="75"/>
  <c r="C29" i="75"/>
  <c r="C69" i="75"/>
  <c r="E78" i="75"/>
  <c r="AN50" i="75"/>
  <c r="C78" i="75"/>
  <c r="AM45" i="75"/>
  <c r="AM37" i="75"/>
  <c r="AM12" i="75"/>
  <c r="AM8" i="75"/>
  <c r="AI93" i="75"/>
  <c r="AM20" i="75"/>
  <c r="AM16" i="75"/>
  <c r="AJ20" i="33"/>
  <c r="AJ73" i="98"/>
  <c r="L91" i="32"/>
  <c r="V87" i="75"/>
  <c r="V88" i="75" s="1"/>
  <c r="AE27" i="75"/>
  <c r="K53" i="75"/>
  <c r="M27" i="75"/>
  <c r="L84" i="75"/>
  <c r="L92" i="75" s="1"/>
  <c r="L95" i="75" s="1"/>
  <c r="O80" i="75"/>
  <c r="L80" i="75"/>
  <c r="P27" i="75"/>
  <c r="AJ96" i="33"/>
  <c r="C81" i="13"/>
  <c r="D80" i="75"/>
  <c r="M80" i="75"/>
  <c r="AB27" i="75"/>
  <c r="D27" i="75"/>
  <c r="O27" i="75"/>
  <c r="Z20" i="33"/>
  <c r="Z88" i="75"/>
  <c r="U80" i="75"/>
  <c r="P80" i="75"/>
  <c r="AJ18" i="98"/>
  <c r="D84" i="75"/>
  <c r="D87" i="75" s="1"/>
  <c r="I93" i="32"/>
  <c r="I107" i="32"/>
  <c r="I104" i="32"/>
  <c r="I103" i="32"/>
  <c r="H112" i="32"/>
  <c r="I96" i="32"/>
  <c r="I87" i="32"/>
  <c r="I89" i="32"/>
  <c r="I97" i="32"/>
  <c r="I111" i="32"/>
  <c r="I101" i="32"/>
  <c r="I90" i="32"/>
  <c r="I109" i="32"/>
  <c r="I88" i="32"/>
  <c r="I106" i="32"/>
  <c r="I105" i="32"/>
  <c r="I102" i="32"/>
  <c r="I99" i="32"/>
  <c r="I94" i="32"/>
  <c r="I98" i="32"/>
  <c r="AU11" i="33"/>
  <c r="AU12" i="33"/>
  <c r="AR20" i="33"/>
  <c r="AV16" i="33" s="1"/>
  <c r="AT10" i="33"/>
  <c r="AU13" i="33"/>
  <c r="W14" i="75"/>
  <c r="W40" i="75"/>
  <c r="W68" i="75"/>
  <c r="W67" i="75" s="1"/>
  <c r="W28" i="75"/>
  <c r="W83" i="71"/>
  <c r="BB112" i="32"/>
  <c r="BB125" i="32" s="1"/>
  <c r="BA125" i="32"/>
  <c r="AF96" i="33"/>
  <c r="AI14" i="75"/>
  <c r="AI40" i="75"/>
  <c r="AL15" i="75"/>
  <c r="AK15" i="75"/>
  <c r="AI68" i="75"/>
  <c r="AI67" i="75" s="1"/>
  <c r="AL19" i="75"/>
  <c r="AL7" i="75"/>
  <c r="AI28" i="75"/>
  <c r="AL11" i="75"/>
  <c r="O39" i="75"/>
  <c r="O52" i="75" s="1"/>
  <c r="O84" i="75"/>
  <c r="H27" i="75"/>
  <c r="S83" i="71"/>
  <c r="T83" i="71"/>
  <c r="C82" i="104"/>
  <c r="AN28" i="104"/>
  <c r="C27" i="104"/>
  <c r="O83" i="71"/>
  <c r="Q14" i="75"/>
  <c r="Q40" i="75"/>
  <c r="Q68" i="75"/>
  <c r="Q67" i="75" s="1"/>
  <c r="Q28" i="75"/>
  <c r="AC22" i="75"/>
  <c r="AC48" i="75"/>
  <c r="AC47" i="75" s="1"/>
  <c r="AC76" i="75"/>
  <c r="AC75" i="75" s="1"/>
  <c r="AD92" i="75"/>
  <c r="AD95" i="75" s="1"/>
  <c r="AD96" i="75" s="1"/>
  <c r="AD87" i="75"/>
  <c r="AD88" i="75" s="1"/>
  <c r="W50" i="33"/>
  <c r="U27" i="75"/>
  <c r="C82" i="71"/>
  <c r="AF84" i="71" s="1"/>
  <c r="C27" i="71"/>
  <c r="AM28" i="71"/>
  <c r="E35" i="75"/>
  <c r="AK35" i="75"/>
  <c r="C15" i="75"/>
  <c r="L10" i="33"/>
  <c r="AR112" i="32"/>
  <c r="AR125" i="32" s="1"/>
  <c r="AQ125" i="32"/>
  <c r="O50" i="33"/>
  <c r="BG125" i="32"/>
  <c r="BH112" i="32"/>
  <c r="BH125" i="32" s="1"/>
  <c r="P52" i="75"/>
  <c r="AB80" i="75"/>
  <c r="AC125" i="32"/>
  <c r="AD112" i="32"/>
  <c r="AD125" i="32" s="1"/>
  <c r="E75" i="13"/>
  <c r="E73" i="13"/>
  <c r="E77" i="13"/>
  <c r="E76" i="13"/>
  <c r="F14" i="75"/>
  <c r="F40" i="75"/>
  <c r="F68" i="75"/>
  <c r="F67" i="75" s="1"/>
  <c r="F28" i="75"/>
  <c r="W20" i="33"/>
  <c r="AS17" i="33"/>
  <c r="C23" i="75"/>
  <c r="L16" i="33"/>
  <c r="AS16" i="33" s="1"/>
  <c r="U52" i="75"/>
  <c r="AO125" i="32"/>
  <c r="AP112" i="32"/>
  <c r="AP125" i="32" s="1"/>
  <c r="AH92" i="75"/>
  <c r="AH95" i="75" s="1"/>
  <c r="AH87" i="75"/>
  <c r="AH88" i="75" s="1"/>
  <c r="AT16" i="33"/>
  <c r="AU16" i="33"/>
  <c r="C27" i="98"/>
  <c r="AN28" i="98"/>
  <c r="C82" i="98"/>
  <c r="AJ73" i="104"/>
  <c r="Y76" i="75"/>
  <c r="Y75" i="75" s="1"/>
  <c r="Y48" i="75"/>
  <c r="Y47" i="75" s="1"/>
  <c r="Y22" i="75"/>
  <c r="AC83" i="71"/>
  <c r="AD83" i="71"/>
  <c r="E27" i="104"/>
  <c r="AP28" i="104"/>
  <c r="E82" i="104"/>
  <c r="O96" i="33"/>
  <c r="AB39" i="75"/>
  <c r="AB52" i="75" s="1"/>
  <c r="AB84" i="75"/>
  <c r="AB112" i="32"/>
  <c r="AB125" i="32" s="1"/>
  <c r="AA125" i="32"/>
  <c r="M52" i="75"/>
  <c r="L52" i="75"/>
  <c r="AU125" i="32"/>
  <c r="AV112" i="32"/>
  <c r="AV125" i="32" s="1"/>
  <c r="N22" i="75"/>
  <c r="N76" i="75"/>
  <c r="N75" i="75" s="1"/>
  <c r="N48" i="75"/>
  <c r="N47" i="75" s="1"/>
  <c r="N40" i="75"/>
  <c r="N68" i="75"/>
  <c r="N67" i="75" s="1"/>
  <c r="N14" i="75"/>
  <c r="N28" i="75"/>
  <c r="AH50" i="33"/>
  <c r="W76" i="75"/>
  <c r="W75" i="75" s="1"/>
  <c r="W22" i="75"/>
  <c r="W48" i="75"/>
  <c r="W47" i="75" s="1"/>
  <c r="AI48" i="75"/>
  <c r="AK23" i="75"/>
  <c r="AI22" i="75"/>
  <c r="AK22" i="75" s="1"/>
  <c r="AI76" i="75"/>
  <c r="AI75" i="75" s="1"/>
  <c r="AL23" i="75"/>
  <c r="G92" i="75"/>
  <c r="G95" i="75" s="1"/>
  <c r="G96" i="75" s="1"/>
  <c r="G87" i="75"/>
  <c r="G88" i="75" s="1"/>
  <c r="Y40" i="75"/>
  <c r="Y68" i="75"/>
  <c r="Y67" i="75" s="1"/>
  <c r="Y14" i="75"/>
  <c r="Y28" i="75"/>
  <c r="N16" i="33"/>
  <c r="E23" i="75"/>
  <c r="AJ18" i="104"/>
  <c r="AB20" i="33"/>
  <c r="F22" i="75"/>
  <c r="F48" i="75"/>
  <c r="F47" i="75" s="1"/>
  <c r="F76" i="75"/>
  <c r="F75" i="75" s="1"/>
  <c r="R92" i="75"/>
  <c r="R95" i="75" s="1"/>
  <c r="R96" i="75" s="1"/>
  <c r="R87" i="75"/>
  <c r="R88" i="75" s="1"/>
  <c r="H91" i="32"/>
  <c r="I91" i="32"/>
  <c r="AI125" i="32"/>
  <c r="AJ112" i="32"/>
  <c r="AJ125" i="32" s="1"/>
  <c r="D52" i="75"/>
  <c r="E82" i="98"/>
  <c r="AP28" i="98"/>
  <c r="E27" i="98"/>
  <c r="AR96" i="33"/>
  <c r="BD112" i="32"/>
  <c r="BD125" i="32" s="1"/>
  <c r="BC125" i="32"/>
  <c r="AL112" i="32"/>
  <c r="AL125" i="32" s="1"/>
  <c r="AK125" i="32"/>
  <c r="AB50" i="33"/>
  <c r="T96" i="75"/>
  <c r="AL20" i="33"/>
  <c r="L27" i="75"/>
  <c r="AL96" i="33"/>
  <c r="Q76" i="75"/>
  <c r="Q75" i="75" s="1"/>
  <c r="Q48" i="75"/>
  <c r="Q47" i="75" s="1"/>
  <c r="Q22" i="75"/>
  <c r="C35" i="75"/>
  <c r="AN35" i="75" s="1"/>
  <c r="Q83" i="71"/>
  <c r="R83" i="71"/>
  <c r="AH20" i="33"/>
  <c r="J96" i="75"/>
  <c r="S68" i="75"/>
  <c r="S67" i="75" s="1"/>
  <c r="S40" i="75"/>
  <c r="S14" i="75"/>
  <c r="S28" i="75"/>
  <c r="H62" i="32"/>
  <c r="H60" i="32"/>
  <c r="H80" i="32"/>
  <c r="H65" i="32"/>
  <c r="H74" i="32"/>
  <c r="H67" i="32"/>
  <c r="H71" i="32"/>
  <c r="H66" i="32"/>
  <c r="H61" i="32"/>
  <c r="H59" i="32"/>
  <c r="H68" i="32"/>
  <c r="H79" i="32"/>
  <c r="H69" i="32"/>
  <c r="H70" i="32"/>
  <c r="H78" i="32"/>
  <c r="H55" i="32"/>
  <c r="H64" i="32"/>
  <c r="H77" i="32"/>
  <c r="H75" i="32"/>
  <c r="H76" i="32"/>
  <c r="AA76" i="75"/>
  <c r="AA22" i="75"/>
  <c r="AA48" i="75"/>
  <c r="AA47" i="75" s="1"/>
  <c r="AJ50" i="33"/>
  <c r="L96" i="33"/>
  <c r="L50" i="33"/>
  <c r="L135" i="33"/>
  <c r="R50" i="33"/>
  <c r="R96" i="33"/>
  <c r="AC96" i="33"/>
  <c r="AE50" i="33"/>
  <c r="AG50" i="33"/>
  <c r="AI50" i="33"/>
  <c r="S50" i="33"/>
  <c r="AC50" i="33"/>
  <c r="AI96" i="33"/>
  <c r="P96" i="33"/>
  <c r="AQ50" i="33"/>
  <c r="AG96" i="33"/>
  <c r="T96" i="33"/>
  <c r="AA50" i="33"/>
  <c r="AQ96" i="33"/>
  <c r="AM96" i="33"/>
  <c r="T50" i="33"/>
  <c r="AA96" i="33"/>
  <c r="P50" i="33"/>
  <c r="AM50" i="33"/>
  <c r="AP50" i="33"/>
  <c r="AE96" i="33"/>
  <c r="AP96" i="33"/>
  <c r="S96" i="33"/>
  <c r="Q96" i="33"/>
  <c r="Y96" i="33"/>
  <c r="X96" i="33"/>
  <c r="M96" i="33"/>
  <c r="AD50" i="33"/>
  <c r="X50" i="33"/>
  <c r="AN96" i="33"/>
  <c r="Y50" i="33"/>
  <c r="M50" i="33"/>
  <c r="AD96" i="33"/>
  <c r="Q50" i="33"/>
  <c r="V96" i="33"/>
  <c r="V50" i="33"/>
  <c r="AK96" i="33"/>
  <c r="AK50" i="33"/>
  <c r="U96" i="33"/>
  <c r="AN50" i="33"/>
  <c r="U50" i="33"/>
  <c r="W96" i="33"/>
  <c r="AA14" i="75"/>
  <c r="AA68" i="75"/>
  <c r="AA67" i="75" s="1"/>
  <c r="AA40" i="75"/>
  <c r="AA28" i="75"/>
  <c r="E13" i="32"/>
  <c r="E28" i="32"/>
  <c r="E14" i="32"/>
  <c r="E27" i="32"/>
  <c r="E9" i="32"/>
  <c r="E18" i="32"/>
  <c r="E19" i="32"/>
  <c r="E12" i="32"/>
  <c r="E7" i="32"/>
  <c r="E15" i="32"/>
  <c r="E8" i="32"/>
  <c r="E17" i="32"/>
  <c r="E16" i="32"/>
  <c r="E10" i="32"/>
  <c r="E22" i="32"/>
  <c r="D29" i="32"/>
  <c r="E26" i="32"/>
  <c r="E25" i="32"/>
  <c r="E24" i="32"/>
  <c r="E23" i="32"/>
  <c r="AE39" i="75"/>
  <c r="AE52" i="75" s="1"/>
  <c r="AE53" i="75" s="1"/>
  <c r="AE84" i="75"/>
  <c r="AO50" i="33"/>
  <c r="U84" i="75"/>
  <c r="L89" i="32"/>
  <c r="L111" i="32"/>
  <c r="L101" i="32"/>
  <c r="L109" i="32"/>
  <c r="L96" i="32"/>
  <c r="L90" i="32"/>
  <c r="L97" i="32"/>
  <c r="L93" i="32"/>
  <c r="L104" i="32"/>
  <c r="L106" i="32"/>
  <c r="L107" i="32"/>
  <c r="L108" i="32"/>
  <c r="L105" i="32"/>
  <c r="L88" i="32"/>
  <c r="L92" i="32"/>
  <c r="L87" i="32"/>
  <c r="L103" i="32"/>
  <c r="L110" i="32"/>
  <c r="K112" i="32"/>
  <c r="L102" i="32"/>
  <c r="L99" i="32"/>
  <c r="L98" i="32"/>
  <c r="L94" i="32"/>
  <c r="N10" i="33"/>
  <c r="E15" i="75"/>
  <c r="AB96" i="33"/>
  <c r="AC40" i="75"/>
  <c r="AC14" i="75"/>
  <c r="AC68" i="75"/>
  <c r="AC67" i="75" s="1"/>
  <c r="AC80" i="75" s="1"/>
  <c r="AC28" i="75"/>
  <c r="H95" i="32"/>
  <c r="I95" i="32"/>
  <c r="AL50" i="33"/>
  <c r="H80" i="75"/>
  <c r="AM125" i="32"/>
  <c r="AN112" i="32"/>
  <c r="AN125" i="32" s="1"/>
  <c r="S22" i="75"/>
  <c r="S48" i="75"/>
  <c r="S47" i="75" s="1"/>
  <c r="S76" i="75"/>
  <c r="S75" i="75" s="1"/>
  <c r="AF48" i="75"/>
  <c r="AF47" i="75" s="1"/>
  <c r="AF22" i="75"/>
  <c r="AF76" i="75"/>
  <c r="AF75" i="75" s="1"/>
  <c r="Z50" i="33"/>
  <c r="AO20" i="33"/>
  <c r="J88" i="75"/>
  <c r="M92" i="75"/>
  <c r="M95" i="75" s="1"/>
  <c r="M87" i="75"/>
  <c r="K92" i="75"/>
  <c r="K95" i="75" s="1"/>
  <c r="K96" i="75" s="1"/>
  <c r="K87" i="75"/>
  <c r="K88" i="75" s="1"/>
  <c r="E82" i="71"/>
  <c r="E27" i="71"/>
  <c r="AO28" i="71"/>
  <c r="Y83" i="71"/>
  <c r="Z83" i="71"/>
  <c r="AX112" i="32"/>
  <c r="AX125" i="32" s="1"/>
  <c r="AW125" i="32"/>
  <c r="AE80" i="75"/>
  <c r="AF83" i="71"/>
  <c r="AG83" i="71"/>
  <c r="AR50" i="33"/>
  <c r="AO96" i="33"/>
  <c r="AF50" i="33"/>
  <c r="AS11" i="33"/>
  <c r="H39" i="75"/>
  <c r="H52" i="75" s="1"/>
  <c r="H53" i="75" s="1"/>
  <c r="H84" i="75"/>
  <c r="C75" i="13"/>
  <c r="C73" i="13"/>
  <c r="C77" i="13"/>
  <c r="C76" i="13"/>
  <c r="C83" i="13" s="1"/>
  <c r="G73" i="32"/>
  <c r="G61" i="32"/>
  <c r="G62" i="32"/>
  <c r="G60" i="32"/>
  <c r="G71" i="32"/>
  <c r="G69" i="32"/>
  <c r="G66" i="32"/>
  <c r="G64" i="32"/>
  <c r="G68" i="32"/>
  <c r="G78" i="32"/>
  <c r="G80" i="32"/>
  <c r="G55" i="32"/>
  <c r="G74" i="32"/>
  <c r="G79" i="32"/>
  <c r="G67" i="32"/>
  <c r="G65" i="32"/>
  <c r="G70" i="32"/>
  <c r="G59" i="32"/>
  <c r="G77" i="32"/>
  <c r="G75" i="32"/>
  <c r="G76" i="32"/>
  <c r="Z96" i="33"/>
  <c r="AF14" i="75"/>
  <c r="AF68" i="75"/>
  <c r="AF67" i="75" s="1"/>
  <c r="AF40" i="75"/>
  <c r="AF28" i="75"/>
  <c r="N135" i="33"/>
  <c r="N50" i="33"/>
  <c r="N96" i="33"/>
  <c r="P84" i="75"/>
  <c r="I108" i="32" l="1"/>
  <c r="L87" i="75"/>
  <c r="AA75" i="75"/>
  <c r="AB53" i="75"/>
  <c r="D92" i="75"/>
  <c r="D95" i="75" s="1"/>
  <c r="M53" i="75"/>
  <c r="M88" i="75"/>
  <c r="D96" i="75"/>
  <c r="C80" i="13"/>
  <c r="D53" i="75"/>
  <c r="X78" i="75"/>
  <c r="X30" i="75"/>
  <c r="X94" i="75"/>
  <c r="X39" i="75"/>
  <c r="X22" i="75"/>
  <c r="X27" i="75" s="1"/>
  <c r="X76" i="75"/>
  <c r="X48" i="75"/>
  <c r="X84" i="75" s="1"/>
  <c r="X77" i="75"/>
  <c r="X93" i="75"/>
  <c r="X29" i="75"/>
  <c r="X28" i="75"/>
  <c r="P53" i="75"/>
  <c r="AF80" i="75"/>
  <c r="AA80" i="75"/>
  <c r="O53" i="75"/>
  <c r="L96" i="75"/>
  <c r="AJ82" i="98"/>
  <c r="W27" i="75"/>
  <c r="N27" i="75"/>
  <c r="Y27" i="75"/>
  <c r="M96" i="75"/>
  <c r="C82" i="13"/>
  <c r="N20" i="33"/>
  <c r="S80" i="75"/>
  <c r="N80" i="75"/>
  <c r="L20" i="33"/>
  <c r="AS20" i="33" s="1"/>
  <c r="AA27" i="75"/>
  <c r="AJ27" i="98"/>
  <c r="AF27" i="75"/>
  <c r="AC27" i="75"/>
  <c r="AK14" i="75"/>
  <c r="AI27" i="75"/>
  <c r="AK27" i="75" s="1"/>
  <c r="E68" i="75"/>
  <c r="E67" i="75" s="1"/>
  <c r="E40" i="75"/>
  <c r="E14" i="75"/>
  <c r="E28" i="75"/>
  <c r="AE92" i="75"/>
  <c r="AE95" i="75" s="1"/>
  <c r="AE87" i="75"/>
  <c r="AE88" i="75" s="1"/>
  <c r="AA39" i="75"/>
  <c r="AA52" i="75" s="1"/>
  <c r="AA84" i="75"/>
  <c r="S39" i="75"/>
  <c r="S52" i="75" s="1"/>
  <c r="S84" i="75"/>
  <c r="C48" i="75"/>
  <c r="C47" i="75" s="1"/>
  <c r="C76" i="75"/>
  <c r="C75" i="75" s="1"/>
  <c r="C22" i="75"/>
  <c r="AI27" i="71"/>
  <c r="AJ82" i="104"/>
  <c r="AK40" i="75"/>
  <c r="AI39" i="75"/>
  <c r="AI84" i="75"/>
  <c r="W80" i="75"/>
  <c r="D88" i="75"/>
  <c r="W39" i="75"/>
  <c r="W52" i="75" s="1"/>
  <c r="W84" i="75"/>
  <c r="L53" i="75"/>
  <c r="Q80" i="75"/>
  <c r="AC39" i="75"/>
  <c r="AC52" i="75" s="1"/>
  <c r="AC84" i="75"/>
  <c r="Y80" i="75"/>
  <c r="Q39" i="75"/>
  <c r="Q52" i="75" s="1"/>
  <c r="Q84" i="75"/>
  <c r="P92" i="75"/>
  <c r="P95" i="75" s="1"/>
  <c r="P96" i="75" s="1"/>
  <c r="P87" i="75"/>
  <c r="P88" i="75" s="1"/>
  <c r="H92" i="75"/>
  <c r="H95" i="75" s="1"/>
  <c r="H96" i="75" s="1"/>
  <c r="H87" i="75"/>
  <c r="H88" i="75" s="1"/>
  <c r="F83" i="71"/>
  <c r="E83" i="71"/>
  <c r="L88" i="75"/>
  <c r="Y39" i="75"/>
  <c r="Y52" i="75" s="1"/>
  <c r="Y84" i="75"/>
  <c r="AI47" i="75"/>
  <c r="AK48" i="75"/>
  <c r="N39" i="75"/>
  <c r="N52" i="75" s="1"/>
  <c r="N84" i="75"/>
  <c r="F80" i="75"/>
  <c r="Q27" i="75"/>
  <c r="AG84" i="71"/>
  <c r="D83" i="71"/>
  <c r="U87" i="75"/>
  <c r="U88" i="75" s="1"/>
  <c r="U92" i="75"/>
  <c r="U95" i="75" s="1"/>
  <c r="U96" i="75" s="1"/>
  <c r="U53" i="75"/>
  <c r="F27" i="75"/>
  <c r="C68" i="75"/>
  <c r="C67" i="75" s="1"/>
  <c r="C40" i="75"/>
  <c r="C14" i="75"/>
  <c r="C28" i="75"/>
  <c r="AJ27" i="104"/>
  <c r="O92" i="75"/>
  <c r="O95" i="75" s="1"/>
  <c r="O96" i="75" s="1"/>
  <c r="O87" i="75"/>
  <c r="O88" i="75" s="1"/>
  <c r="F39" i="75"/>
  <c r="F52" i="75" s="1"/>
  <c r="F84" i="75"/>
  <c r="AI80" i="75"/>
  <c r="AS10" i="33"/>
  <c r="AF39" i="75"/>
  <c r="AF52" i="75" s="1"/>
  <c r="AF84" i="75"/>
  <c r="S27" i="75"/>
  <c r="E48" i="75"/>
  <c r="E47" i="75" s="1"/>
  <c r="E76" i="75"/>
  <c r="E75" i="75" s="1"/>
  <c r="E22" i="75"/>
  <c r="AB92" i="75"/>
  <c r="AB95" i="75" s="1"/>
  <c r="AB96" i="75" s="1"/>
  <c r="AB87" i="75"/>
  <c r="AB88" i="75" s="1"/>
  <c r="BS28" i="71"/>
  <c r="AV10" i="33"/>
  <c r="AV19" i="33"/>
  <c r="AT20" i="33"/>
  <c r="AV21" i="33"/>
  <c r="AV13" i="33"/>
  <c r="AV7" i="33"/>
  <c r="Y53" i="75" l="1"/>
  <c r="X87" i="75"/>
  <c r="X92" i="75"/>
  <c r="X95" i="75" s="1"/>
  <c r="X47" i="75"/>
  <c r="X52" i="75" s="1"/>
  <c r="X53" i="75" s="1"/>
  <c r="X75" i="75"/>
  <c r="X80" i="75" s="1"/>
  <c r="AL40" i="75"/>
  <c r="W53" i="75"/>
  <c r="AF53" i="75"/>
  <c r="F53" i="75"/>
  <c r="N53" i="75"/>
  <c r="AL48" i="75"/>
  <c r="AC53" i="75"/>
  <c r="AN48" i="75"/>
  <c r="AA53" i="75"/>
  <c r="AI87" i="75"/>
  <c r="AM44" i="75"/>
  <c r="AI92" i="75"/>
  <c r="AI95" i="75" s="1"/>
  <c r="AM7" i="75"/>
  <c r="AM19" i="75"/>
  <c r="AM11" i="75"/>
  <c r="AM36" i="75"/>
  <c r="AM23" i="75"/>
  <c r="AM15" i="75"/>
  <c r="AC92" i="75"/>
  <c r="AC95" i="75" s="1"/>
  <c r="AC96" i="75" s="1"/>
  <c r="AC87" i="75"/>
  <c r="AC88" i="75" s="1"/>
  <c r="C27" i="75"/>
  <c r="AM40" i="75"/>
  <c r="E27" i="75"/>
  <c r="AM48" i="75"/>
  <c r="C39" i="75"/>
  <c r="C52" i="75" s="1"/>
  <c r="C84" i="75"/>
  <c r="AK47" i="75"/>
  <c r="AN47" i="75"/>
  <c r="AL47" i="75"/>
  <c r="AN40" i="75"/>
  <c r="S87" i="75"/>
  <c r="S88" i="75" s="1"/>
  <c r="S92" i="75"/>
  <c r="S95" i="75" s="1"/>
  <c r="S96" i="75" s="1"/>
  <c r="E39" i="75"/>
  <c r="E52" i="75" s="1"/>
  <c r="E84" i="75"/>
  <c r="F92" i="75"/>
  <c r="F95" i="75" s="1"/>
  <c r="F96" i="75" s="1"/>
  <c r="F87" i="75"/>
  <c r="F88" i="75" s="1"/>
  <c r="C80" i="75"/>
  <c r="Y92" i="75"/>
  <c r="Y95" i="75" s="1"/>
  <c r="Y96" i="75" s="1"/>
  <c r="Y87" i="75"/>
  <c r="Y88" i="75" s="1"/>
  <c r="W87" i="75"/>
  <c r="W88" i="75" s="1"/>
  <c r="W92" i="75"/>
  <c r="W95" i="75" s="1"/>
  <c r="W96" i="75" s="1"/>
  <c r="AK39" i="75"/>
  <c r="AL39" i="75"/>
  <c r="AL45" i="75"/>
  <c r="AL50" i="75"/>
  <c r="AL46" i="75"/>
  <c r="AL37" i="75"/>
  <c r="AL41" i="75"/>
  <c r="AL44" i="75"/>
  <c r="AL38" i="75"/>
  <c r="AL35" i="75"/>
  <c r="AI52" i="75"/>
  <c r="AK52" i="75" s="1"/>
  <c r="AL36" i="75"/>
  <c r="AL43" i="75"/>
  <c r="AL49" i="75"/>
  <c r="AL42" i="75"/>
  <c r="S53" i="75"/>
  <c r="E80" i="75"/>
  <c r="N87" i="75"/>
  <c r="N88" i="75" s="1"/>
  <c r="N92" i="75"/>
  <c r="N95" i="75" s="1"/>
  <c r="N96" i="75" s="1"/>
  <c r="Q87" i="75"/>
  <c r="Q88" i="75" s="1"/>
  <c r="Q92" i="75"/>
  <c r="Q95" i="75" s="1"/>
  <c r="Q96" i="75" s="1"/>
  <c r="AA92" i="75"/>
  <c r="AA95" i="75" s="1"/>
  <c r="AA96" i="75" s="1"/>
  <c r="AA87" i="75"/>
  <c r="AA88" i="75" s="1"/>
  <c r="AF92" i="75"/>
  <c r="AF95" i="75" s="1"/>
  <c r="AF87" i="75"/>
  <c r="AF88" i="75" s="1"/>
  <c r="Q53" i="75"/>
  <c r="X96" i="75" l="1"/>
  <c r="X88" i="75"/>
  <c r="AL54" i="75"/>
  <c r="AN39" i="75"/>
  <c r="E53" i="75"/>
  <c r="C53" i="75"/>
  <c r="AL55" i="75"/>
  <c r="AL56" i="75"/>
  <c r="E87" i="75"/>
  <c r="E88" i="75" s="1"/>
  <c r="E92" i="75"/>
  <c r="E95" i="75" s="1"/>
  <c r="E96" i="75" s="1"/>
  <c r="C87" i="75"/>
  <c r="C88" i="75" s="1"/>
  <c r="C92" i="75"/>
  <c r="C95" i="75" s="1"/>
  <c r="C96" i="75" s="1"/>
  <c r="AI88" i="75"/>
  <c r="AS78" i="44" l="1"/>
  <c r="AT161" i="44"/>
  <c r="AS76" i="44" l="1"/>
  <c r="AT159" i="44"/>
  <c r="AS79" i="44" l="1"/>
  <c r="AT162" i="44"/>
  <c r="AS102" i="44" l="1"/>
  <c r="AS77" i="44" l="1"/>
  <c r="AT160" i="44"/>
  <c r="AP39" i="5" l="1"/>
  <c r="F15" i="33" l="1"/>
  <c r="F16" i="33"/>
  <c r="F11" i="33"/>
  <c r="F9" i="33"/>
  <c r="AK132" i="44"/>
  <c r="F14" i="33"/>
  <c r="F18" i="33"/>
  <c r="F13" i="33"/>
  <c r="F8" i="33"/>
  <c r="AK140" i="44"/>
  <c r="AK138" i="44"/>
  <c r="AK137" i="44"/>
  <c r="AK135" i="44"/>
  <c r="AK142" i="44"/>
  <c r="AK139" i="44"/>
  <c r="AK133" i="44"/>
  <c r="AL916" i="97" l="1"/>
  <c r="AK167" i="44"/>
  <c r="AK194" i="44"/>
  <c r="G16" i="33"/>
  <c r="AL758" i="97"/>
  <c r="AK159" i="44"/>
  <c r="G8" i="33"/>
  <c r="AK186" i="44"/>
  <c r="AK130" i="44"/>
  <c r="AK164" i="44"/>
  <c r="AK191" i="44"/>
  <c r="AL891" i="97"/>
  <c r="G13" i="33"/>
  <c r="AK166" i="44"/>
  <c r="G15" i="33"/>
  <c r="AK193" i="44"/>
  <c r="AL879" i="97"/>
  <c r="G9" i="33"/>
  <c r="AK187" i="44"/>
  <c r="AL910" i="97"/>
  <c r="AK160" i="44"/>
  <c r="AL897" i="97"/>
  <c r="AK169" i="44"/>
  <c r="AK196" i="44"/>
  <c r="G18" i="33"/>
  <c r="G14" i="33"/>
  <c r="AK192" i="44"/>
  <c r="AL813" i="97"/>
  <c r="AK165" i="44"/>
  <c r="G11" i="33"/>
  <c r="AK162" i="44"/>
  <c r="AL801" i="97"/>
  <c r="AK189" i="44"/>
  <c r="H13" i="33" l="1"/>
  <c r="I13" i="33"/>
  <c r="AI91" i="10"/>
  <c r="G6" i="33"/>
  <c r="G27" i="33" s="1"/>
  <c r="AK152" i="44"/>
  <c r="AK184" i="44"/>
  <c r="I8" i="33"/>
  <c r="H8" i="33"/>
  <c r="AL648" i="97"/>
  <c r="AK211" i="44"/>
  <c r="AS158" i="44"/>
  <c r="AT158" i="44" s="1"/>
  <c r="AR75" i="44"/>
  <c r="AS75" i="44" s="1"/>
  <c r="AK157" i="44"/>
  <c r="I14" i="33"/>
  <c r="H14" i="33"/>
  <c r="I9" i="33"/>
  <c r="AL654" i="97"/>
  <c r="H9" i="33"/>
  <c r="AK212" i="44"/>
  <c r="H11" i="33"/>
  <c r="I11" i="33"/>
  <c r="AL642" i="97"/>
  <c r="AK213" i="44"/>
  <c r="H15" i="33"/>
  <c r="I15" i="33"/>
  <c r="H16" i="33"/>
  <c r="I16" i="33"/>
  <c r="H18" i="33"/>
  <c r="I18" i="33"/>
  <c r="AR56" i="33" l="1"/>
  <c r="AK206" i="44"/>
  <c r="AR103" i="33" s="1"/>
  <c r="AR105" i="33" s="1"/>
  <c r="AI90" i="10"/>
  <c r="AI45" i="10"/>
  <c r="AP36" i="89"/>
  <c r="H6" i="33"/>
  <c r="H27" i="33" s="1"/>
  <c r="BA36" i="103"/>
  <c r="AK179" i="44"/>
  <c r="I6" i="33"/>
  <c r="I27" i="33" s="1"/>
  <c r="AI39" i="10"/>
  <c r="AK214" i="44"/>
  <c r="AI44" i="10" l="1"/>
  <c r="AL930" i="97"/>
  <c r="AI86" i="10"/>
  <c r="AI38" i="10"/>
  <c r="AR104" i="33"/>
  <c r="AR106" i="33" s="1"/>
  <c r="AL932" i="97"/>
  <c r="AK215" i="44"/>
  <c r="AR59" i="33"/>
  <c r="AI85" i="10" l="1"/>
  <c r="AF39" i="5" l="1"/>
  <c r="AB39" i="5"/>
  <c r="AA39" i="5"/>
  <c r="V132" i="44" l="1"/>
  <c r="V139" i="44"/>
  <c r="V138" i="44"/>
  <c r="V137" i="44"/>
  <c r="V142" i="44"/>
  <c r="V135" i="44"/>
  <c r="V133" i="44"/>
  <c r="V140" i="44"/>
  <c r="W132" i="44"/>
  <c r="W135" i="44"/>
  <c r="W137" i="44"/>
  <c r="W139" i="44"/>
  <c r="W142" i="44"/>
  <c r="W140" i="44"/>
  <c r="W133" i="44"/>
  <c r="W138" i="44"/>
  <c r="AA142" i="44"/>
  <c r="AA139" i="44"/>
  <c r="AA133" i="44"/>
  <c r="AA138" i="44"/>
  <c r="AA132" i="44"/>
  <c r="AA137" i="44"/>
  <c r="AA135" i="44"/>
  <c r="AA140" i="44"/>
  <c r="AH39" i="5"/>
  <c r="U39" i="5"/>
  <c r="AJ39" i="5"/>
  <c r="M39" i="5"/>
  <c r="AC39" i="5"/>
  <c r="Z39" i="5"/>
  <c r="N39" i="5"/>
  <c r="Y39" i="5"/>
  <c r="AD39" i="5"/>
  <c r="S39" i="5"/>
  <c r="J39" i="5"/>
  <c r="AN39" i="5"/>
  <c r="R39" i="5"/>
  <c r="P39" i="5"/>
  <c r="AG39" i="5"/>
  <c r="O39" i="5"/>
  <c r="AB139" i="44" l="1"/>
  <c r="AB138" i="44"/>
  <c r="AB135" i="44"/>
  <c r="AB142" i="44"/>
  <c r="AB137" i="44"/>
  <c r="AB132" i="44"/>
  <c r="AB133" i="44"/>
  <c r="AB140" i="44"/>
  <c r="AA164" i="44"/>
  <c r="AA191" i="44"/>
  <c r="AB891" i="97"/>
  <c r="W191" i="44"/>
  <c r="W164" i="44"/>
  <c r="X891" i="97"/>
  <c r="AA159" i="44"/>
  <c r="AB758" i="97"/>
  <c r="AA186" i="44"/>
  <c r="AA130" i="44"/>
  <c r="W162" i="44"/>
  <c r="X801" i="97"/>
  <c r="W189" i="44"/>
  <c r="I133" i="44"/>
  <c r="I135" i="44"/>
  <c r="I138" i="44"/>
  <c r="I132" i="44"/>
  <c r="I137" i="44"/>
  <c r="I139" i="44"/>
  <c r="I140" i="44"/>
  <c r="I142" i="44"/>
  <c r="AA192" i="44"/>
  <c r="AB813" i="97"/>
  <c r="AA165" i="44"/>
  <c r="X758" i="97"/>
  <c r="W159" i="44"/>
  <c r="W186" i="44"/>
  <c r="W130" i="44"/>
  <c r="AB910" i="97"/>
  <c r="AA187" i="44"/>
  <c r="AA160" i="44"/>
  <c r="V194" i="44"/>
  <c r="W916" i="97"/>
  <c r="V167" i="44"/>
  <c r="P142" i="44"/>
  <c r="P139" i="44"/>
  <c r="P135" i="44"/>
  <c r="P137" i="44"/>
  <c r="P138" i="44"/>
  <c r="P132" i="44"/>
  <c r="P140" i="44"/>
  <c r="P133" i="44"/>
  <c r="AA193" i="44"/>
  <c r="AA166" i="44"/>
  <c r="AB879" i="97"/>
  <c r="V160" i="44"/>
  <c r="W910" i="97"/>
  <c r="V187" i="44"/>
  <c r="AB897" i="97"/>
  <c r="AA196" i="44"/>
  <c r="AA169" i="44"/>
  <c r="V162" i="44"/>
  <c r="W801" i="97"/>
  <c r="V189" i="44"/>
  <c r="Y133" i="44"/>
  <c r="Y142" i="44"/>
  <c r="Y137" i="44"/>
  <c r="Y132" i="44"/>
  <c r="Y140" i="44"/>
  <c r="Y139" i="44"/>
  <c r="Y138" i="44"/>
  <c r="Y135" i="44"/>
  <c r="AC133" i="44"/>
  <c r="AC132" i="44"/>
  <c r="AC140" i="44"/>
  <c r="AC139" i="44"/>
  <c r="AC137" i="44"/>
  <c r="AC138" i="44"/>
  <c r="AC135" i="44"/>
  <c r="AC142" i="44"/>
  <c r="U132" i="44"/>
  <c r="U137" i="44"/>
  <c r="U140" i="44"/>
  <c r="U138" i="44"/>
  <c r="U133" i="44"/>
  <c r="U142" i="44"/>
  <c r="U139" i="44"/>
  <c r="U135" i="44"/>
  <c r="V169" i="44"/>
  <c r="W897" i="97"/>
  <c r="V196" i="44"/>
  <c r="AI138" i="44"/>
  <c r="AI139" i="44"/>
  <c r="AI137" i="44"/>
  <c r="AI142" i="44"/>
  <c r="AI135" i="44"/>
  <c r="AI133" i="44"/>
  <c r="AI140" i="44"/>
  <c r="AI132" i="44"/>
  <c r="X133" i="44"/>
  <c r="X135" i="44"/>
  <c r="X138" i="44"/>
  <c r="X137" i="44"/>
  <c r="X139" i="44"/>
  <c r="X142" i="44"/>
  <c r="X140" i="44"/>
  <c r="X132" i="44"/>
  <c r="X813" i="97"/>
  <c r="W165" i="44"/>
  <c r="W192" i="44"/>
  <c r="W891" i="97"/>
  <c r="V164" i="44"/>
  <c r="V191" i="44"/>
  <c r="E133" i="44"/>
  <c r="E139" i="44"/>
  <c r="E142" i="44"/>
  <c r="E140" i="44"/>
  <c r="E135" i="44"/>
  <c r="E138" i="44"/>
  <c r="E137" i="44"/>
  <c r="E132" i="44"/>
  <c r="J142" i="44"/>
  <c r="J139" i="44"/>
  <c r="J138" i="44"/>
  <c r="J137" i="44"/>
  <c r="J133" i="44"/>
  <c r="J132" i="44"/>
  <c r="J140" i="44"/>
  <c r="J135" i="44"/>
  <c r="T140" i="44"/>
  <c r="T133" i="44"/>
  <c r="T138" i="44"/>
  <c r="T135" i="44"/>
  <c r="T137" i="44"/>
  <c r="T139" i="44"/>
  <c r="T142" i="44"/>
  <c r="T132" i="44"/>
  <c r="W160" i="44"/>
  <c r="X910" i="97"/>
  <c r="W187" i="44"/>
  <c r="V165" i="44"/>
  <c r="V192" i="44"/>
  <c r="W813" i="97"/>
  <c r="W167" i="44"/>
  <c r="X916" i="97"/>
  <c r="W194" i="44"/>
  <c r="V166" i="44"/>
  <c r="V193" i="44"/>
  <c r="W879" i="97"/>
  <c r="AE138" i="44"/>
  <c r="AE139" i="44"/>
  <c r="AE132" i="44"/>
  <c r="AE133" i="44"/>
  <c r="AE135" i="44"/>
  <c r="AE142" i="44"/>
  <c r="AE137" i="44"/>
  <c r="AE140" i="44"/>
  <c r="K133" i="44"/>
  <c r="K140" i="44"/>
  <c r="K139" i="44"/>
  <c r="K137" i="44"/>
  <c r="K135" i="44"/>
  <c r="K138" i="44"/>
  <c r="K142" i="44"/>
  <c r="K132" i="44"/>
  <c r="AA167" i="44"/>
  <c r="AB916" i="97"/>
  <c r="AA194" i="44"/>
  <c r="W169" i="44"/>
  <c r="X897" i="97"/>
  <c r="W196" i="44"/>
  <c r="V130" i="44"/>
  <c r="V159" i="44"/>
  <c r="V186" i="44"/>
  <c r="W758" i="97"/>
  <c r="M132" i="44"/>
  <c r="M133" i="44"/>
  <c r="M140" i="44"/>
  <c r="M137" i="44"/>
  <c r="M142" i="44"/>
  <c r="M135" i="44"/>
  <c r="M139" i="44"/>
  <c r="M138" i="44"/>
  <c r="N132" i="44"/>
  <c r="N140" i="44"/>
  <c r="N135" i="44"/>
  <c r="N133" i="44"/>
  <c r="N138" i="44"/>
  <c r="N142" i="44"/>
  <c r="N139" i="44"/>
  <c r="N137" i="44"/>
  <c r="H140" i="44"/>
  <c r="H132" i="44"/>
  <c r="H139" i="44"/>
  <c r="H142" i="44"/>
  <c r="H133" i="44"/>
  <c r="H138" i="44"/>
  <c r="H137" i="44"/>
  <c r="H135" i="44"/>
  <c r="AB801" i="97"/>
  <c r="AA189" i="44"/>
  <c r="AA162" i="44"/>
  <c r="W166" i="44"/>
  <c r="W193" i="44"/>
  <c r="X879" i="97"/>
  <c r="AL39" i="5"/>
  <c r="AE39" i="5"/>
  <c r="X39" i="5"/>
  <c r="V39" i="5"/>
  <c r="AO39" i="5"/>
  <c r="Q39" i="5"/>
  <c r="L39" i="5"/>
  <c r="W39" i="5"/>
  <c r="T39" i="5"/>
  <c r="K39" i="5"/>
  <c r="H166" i="44" l="1"/>
  <c r="I879" i="97"/>
  <c r="H193" i="44"/>
  <c r="M193" i="44"/>
  <c r="M166" i="44"/>
  <c r="N879" i="97"/>
  <c r="K160" i="44"/>
  <c r="L910" i="97"/>
  <c r="K187" i="44"/>
  <c r="T191" i="44"/>
  <c r="T164" i="44"/>
  <c r="U891" i="97"/>
  <c r="J169" i="44"/>
  <c r="K897" i="97"/>
  <c r="J196" i="44"/>
  <c r="AI194" i="44"/>
  <c r="AI167" i="44"/>
  <c r="AJ916" i="97"/>
  <c r="U169" i="44"/>
  <c r="V897" i="97"/>
  <c r="U196" i="44"/>
  <c r="AC130" i="44"/>
  <c r="AC159" i="44"/>
  <c r="AD758" i="97"/>
  <c r="AC186" i="44"/>
  <c r="V213" i="44"/>
  <c r="W642" i="97"/>
  <c r="P130" i="44"/>
  <c r="Q758" i="97"/>
  <c r="P159" i="44"/>
  <c r="P186" i="44"/>
  <c r="U91" i="10"/>
  <c r="W152" i="44"/>
  <c r="I165" i="44"/>
  <c r="J813" i="97"/>
  <c r="I192" i="44"/>
  <c r="G139" i="44"/>
  <c r="G140" i="44"/>
  <c r="G142" i="44"/>
  <c r="G137" i="44"/>
  <c r="G138" i="44"/>
  <c r="G133" i="44"/>
  <c r="G135" i="44"/>
  <c r="G132" i="44"/>
  <c r="H159" i="44"/>
  <c r="I758" i="97"/>
  <c r="H186" i="44"/>
  <c r="H130" i="44"/>
  <c r="M162" i="44"/>
  <c r="N801" i="97"/>
  <c r="M189" i="44"/>
  <c r="AE167" i="44"/>
  <c r="AF916" i="97"/>
  <c r="AE194" i="44"/>
  <c r="T162" i="44"/>
  <c r="U801" i="97"/>
  <c r="T189" i="44"/>
  <c r="E130" i="44"/>
  <c r="F758" i="97"/>
  <c r="E159" i="44"/>
  <c r="E186" i="44"/>
  <c r="AI187" i="44"/>
  <c r="AI160" i="44"/>
  <c r="AJ910" i="97"/>
  <c r="V910" i="97"/>
  <c r="U160" i="44"/>
  <c r="U187" i="44"/>
  <c r="AC187" i="44"/>
  <c r="AD910" i="97"/>
  <c r="AC160" i="44"/>
  <c r="P165" i="44"/>
  <c r="P192" i="44"/>
  <c r="Q813" i="97"/>
  <c r="W184" i="44"/>
  <c r="I162" i="44"/>
  <c r="J801" i="97"/>
  <c r="I189" i="44"/>
  <c r="O140" i="44"/>
  <c r="O137" i="44"/>
  <c r="O142" i="44"/>
  <c r="O133" i="44"/>
  <c r="O135" i="44"/>
  <c r="O132" i="44"/>
  <c r="O138" i="44"/>
  <c r="O139" i="44"/>
  <c r="AJ135" i="44"/>
  <c r="AJ138" i="44"/>
  <c r="AJ142" i="44"/>
  <c r="AJ137" i="44"/>
  <c r="AJ139" i="44"/>
  <c r="AJ133" i="44"/>
  <c r="AJ132" i="44"/>
  <c r="AJ140" i="44"/>
  <c r="Z133" i="44"/>
  <c r="Z139" i="44"/>
  <c r="Z138" i="44"/>
  <c r="Z137" i="44"/>
  <c r="Z142" i="44"/>
  <c r="Z135" i="44"/>
  <c r="Z132" i="44"/>
  <c r="Z140" i="44"/>
  <c r="I916" i="97"/>
  <c r="H167" i="44"/>
  <c r="H194" i="44"/>
  <c r="N897" i="97"/>
  <c r="M169" i="44"/>
  <c r="M196" i="44"/>
  <c r="AE164" i="44"/>
  <c r="AE191" i="44"/>
  <c r="AF891" i="97"/>
  <c r="T165" i="44"/>
  <c r="T192" i="44"/>
  <c r="U813" i="97"/>
  <c r="E164" i="44"/>
  <c r="E191" i="44"/>
  <c r="F891" i="97"/>
  <c r="AI162" i="44"/>
  <c r="AJ801" i="97"/>
  <c r="AI189" i="44"/>
  <c r="U165" i="44"/>
  <c r="U192" i="44"/>
  <c r="V813" i="97"/>
  <c r="Z801" i="97"/>
  <c r="Y162" i="44"/>
  <c r="Y189" i="44"/>
  <c r="Q891" i="97"/>
  <c r="P191" i="44"/>
  <c r="P164" i="44"/>
  <c r="X648" i="97"/>
  <c r="W157" i="44"/>
  <c r="W211" i="44"/>
  <c r="I160" i="44"/>
  <c r="I187" i="44"/>
  <c r="J910" i="97"/>
  <c r="N164" i="44"/>
  <c r="O891" i="97"/>
  <c r="N191" i="44"/>
  <c r="AF897" i="97"/>
  <c r="AE196" i="44"/>
  <c r="AE169" i="44"/>
  <c r="T160" i="44"/>
  <c r="T187" i="44"/>
  <c r="U910" i="97"/>
  <c r="U167" i="44"/>
  <c r="U194" i="44"/>
  <c r="V916" i="97"/>
  <c r="Q801" i="97"/>
  <c r="P189" i="44"/>
  <c r="P162" i="44"/>
  <c r="AA213" i="44"/>
  <c r="AB642" i="97"/>
  <c r="N166" i="44"/>
  <c r="O879" i="97"/>
  <c r="N193" i="44"/>
  <c r="N916" i="97"/>
  <c r="M194" i="44"/>
  <c r="M167" i="44"/>
  <c r="AE162" i="44"/>
  <c r="AE189" i="44"/>
  <c r="AF801" i="97"/>
  <c r="T167" i="44"/>
  <c r="T194" i="44"/>
  <c r="U916" i="97"/>
  <c r="E162" i="44"/>
  <c r="E189" i="44"/>
  <c r="F801" i="97"/>
  <c r="X194" i="44"/>
  <c r="X167" i="44"/>
  <c r="Y916" i="97"/>
  <c r="AJ891" i="97"/>
  <c r="AI164" i="44"/>
  <c r="AI191" i="44"/>
  <c r="U191" i="44"/>
  <c r="V891" i="97"/>
  <c r="U164" i="44"/>
  <c r="Y193" i="44"/>
  <c r="Z879" i="97"/>
  <c r="Y166" i="44"/>
  <c r="P166" i="44"/>
  <c r="Q879" i="97"/>
  <c r="P193" i="44"/>
  <c r="AB167" i="44"/>
  <c r="AC916" i="97"/>
  <c r="AB194" i="44"/>
  <c r="N891" i="97"/>
  <c r="M164" i="44"/>
  <c r="M191" i="44"/>
  <c r="E165" i="44"/>
  <c r="F813" i="97"/>
  <c r="E192" i="44"/>
  <c r="X130" i="44"/>
  <c r="Y758" i="97"/>
  <c r="X159" i="44"/>
  <c r="X186" i="44"/>
  <c r="AI169" i="44"/>
  <c r="AJ897" i="97"/>
  <c r="AI196" i="44"/>
  <c r="Z813" i="97"/>
  <c r="Y165" i="44"/>
  <c r="Y192" i="44"/>
  <c r="F137" i="44"/>
  <c r="F142" i="44"/>
  <c r="F135" i="44"/>
  <c r="F133" i="44"/>
  <c r="F132" i="44"/>
  <c r="F140" i="44"/>
  <c r="F139" i="44"/>
  <c r="F138" i="44"/>
  <c r="R133" i="44"/>
  <c r="R140" i="44"/>
  <c r="R142" i="44"/>
  <c r="R137" i="44"/>
  <c r="R132" i="44"/>
  <c r="R138" i="44"/>
  <c r="R135" i="44"/>
  <c r="R139" i="44"/>
  <c r="Q140" i="44"/>
  <c r="Q133" i="44"/>
  <c r="Q132" i="44"/>
  <c r="Q142" i="44"/>
  <c r="Q137" i="44"/>
  <c r="Q135" i="44"/>
  <c r="Q138" i="44"/>
  <c r="Q139" i="44"/>
  <c r="AG140" i="44"/>
  <c r="AG142" i="44"/>
  <c r="AG137" i="44"/>
  <c r="AG138" i="44"/>
  <c r="AG132" i="44"/>
  <c r="AG135" i="44"/>
  <c r="AG139" i="44"/>
  <c r="AG133" i="44"/>
  <c r="N196" i="44"/>
  <c r="N169" i="44"/>
  <c r="O897" i="97"/>
  <c r="M160" i="44"/>
  <c r="M187" i="44"/>
  <c r="N910" i="97"/>
  <c r="K159" i="44"/>
  <c r="K130" i="44"/>
  <c r="K186" i="44"/>
  <c r="L758" i="97"/>
  <c r="AF910" i="97"/>
  <c r="AE160" i="44"/>
  <c r="AE187" i="44"/>
  <c r="K801" i="97"/>
  <c r="J162" i="44"/>
  <c r="J189" i="44"/>
  <c r="E167" i="44"/>
  <c r="E194" i="44"/>
  <c r="F916" i="97"/>
  <c r="X169" i="44"/>
  <c r="Y897" i="97"/>
  <c r="X196" i="44"/>
  <c r="AI166" i="44"/>
  <c r="AJ879" i="97"/>
  <c r="AI193" i="44"/>
  <c r="U159" i="44"/>
  <c r="V758" i="97"/>
  <c r="U186" i="44"/>
  <c r="U130" i="44"/>
  <c r="Y194" i="44"/>
  <c r="Y167" i="44"/>
  <c r="Z916" i="97"/>
  <c r="Q897" i="97"/>
  <c r="P169" i="44"/>
  <c r="P196" i="44"/>
  <c r="W213" i="44"/>
  <c r="X642" i="97"/>
  <c r="AC910" i="97"/>
  <c r="AB160" i="44"/>
  <c r="AB187" i="44"/>
  <c r="N165" i="44"/>
  <c r="O813" i="97"/>
  <c r="N192" i="44"/>
  <c r="M159" i="44"/>
  <c r="M130" i="44"/>
  <c r="M186" i="44"/>
  <c r="N758" i="97"/>
  <c r="L897" i="97"/>
  <c r="K196" i="44"/>
  <c r="K169" i="44"/>
  <c r="AE130" i="44"/>
  <c r="AF758" i="97"/>
  <c r="AE186" i="44"/>
  <c r="AE159" i="44"/>
  <c r="J194" i="44"/>
  <c r="K916" i="97"/>
  <c r="J167" i="44"/>
  <c r="E169" i="44"/>
  <c r="F897" i="97"/>
  <c r="E196" i="44"/>
  <c r="Y879" i="97"/>
  <c r="X166" i="44"/>
  <c r="X193" i="44"/>
  <c r="AI165" i="44"/>
  <c r="AI192" i="44"/>
  <c r="AJ813" i="97"/>
  <c r="AC169" i="44"/>
  <c r="AC196" i="44"/>
  <c r="AD897" i="97"/>
  <c r="Y186" i="44"/>
  <c r="Y130" i="44"/>
  <c r="Y159" i="44"/>
  <c r="Z758" i="97"/>
  <c r="W654" i="97"/>
  <c r="V212" i="44"/>
  <c r="AA152" i="44"/>
  <c r="Y91" i="10"/>
  <c r="AB130" i="44"/>
  <c r="AB186" i="44"/>
  <c r="AC758" i="97"/>
  <c r="AB159" i="44"/>
  <c r="L132" i="44"/>
  <c r="L133" i="44"/>
  <c r="L137" i="44"/>
  <c r="L139" i="44"/>
  <c r="L140" i="44"/>
  <c r="L138" i="44"/>
  <c r="L142" i="44"/>
  <c r="L135" i="44"/>
  <c r="H189" i="44"/>
  <c r="I801" i="97"/>
  <c r="H162" i="44"/>
  <c r="N160" i="44"/>
  <c r="O910" i="97"/>
  <c r="N187" i="44"/>
  <c r="K165" i="44"/>
  <c r="K192" i="44"/>
  <c r="L813" i="97"/>
  <c r="AE166" i="44"/>
  <c r="AF879" i="97"/>
  <c r="AE193" i="44"/>
  <c r="J130" i="44"/>
  <c r="J159" i="44"/>
  <c r="J186" i="44"/>
  <c r="K758" i="97"/>
  <c r="E166" i="44"/>
  <c r="E193" i="44"/>
  <c r="F879" i="97"/>
  <c r="X164" i="44"/>
  <c r="X191" i="44"/>
  <c r="Y891" i="97"/>
  <c r="AD801" i="97"/>
  <c r="AC162" i="44"/>
  <c r="AC189" i="44"/>
  <c r="Y164" i="44"/>
  <c r="Z891" i="97"/>
  <c r="Y191" i="44"/>
  <c r="I169" i="44"/>
  <c r="J897" i="97"/>
  <c r="I196" i="44"/>
  <c r="AA184" i="44"/>
  <c r="AB164" i="44"/>
  <c r="AC891" i="97"/>
  <c r="AB191" i="44"/>
  <c r="S132" i="44"/>
  <c r="S140" i="44"/>
  <c r="S142" i="44"/>
  <c r="S139" i="44"/>
  <c r="S137" i="44"/>
  <c r="S135" i="44"/>
  <c r="S138" i="44"/>
  <c r="S133" i="44"/>
  <c r="H164" i="44"/>
  <c r="H191" i="44"/>
  <c r="I891" i="97"/>
  <c r="N162" i="44"/>
  <c r="O801" i="97"/>
  <c r="N189" i="44"/>
  <c r="V184" i="44"/>
  <c r="K162" i="44"/>
  <c r="L801" i="97"/>
  <c r="K189" i="44"/>
  <c r="AE165" i="44"/>
  <c r="AE192" i="44"/>
  <c r="AF813" i="97"/>
  <c r="W212" i="44"/>
  <c r="X654" i="97"/>
  <c r="J160" i="44"/>
  <c r="J187" i="44"/>
  <c r="K910" i="97"/>
  <c r="E160" i="44"/>
  <c r="E187" i="44"/>
  <c r="F910" i="97"/>
  <c r="Y813" i="97"/>
  <c r="X165" i="44"/>
  <c r="X192" i="44"/>
  <c r="AC165" i="44"/>
  <c r="AC192" i="44"/>
  <c r="AD813" i="97"/>
  <c r="Y196" i="44"/>
  <c r="Z897" i="97"/>
  <c r="Y169" i="44"/>
  <c r="I167" i="44"/>
  <c r="I194" i="44"/>
  <c r="J916" i="97"/>
  <c r="AC897" i="97"/>
  <c r="AB196" i="44"/>
  <c r="AB169" i="44"/>
  <c r="H165" i="44"/>
  <c r="H192" i="44"/>
  <c r="I813" i="97"/>
  <c r="O916" i="97"/>
  <c r="N167" i="44"/>
  <c r="N194" i="44"/>
  <c r="V157" i="44"/>
  <c r="W648" i="97"/>
  <c r="V211" i="44"/>
  <c r="V214" i="44" s="1"/>
  <c r="K164" i="44"/>
  <c r="K191" i="44"/>
  <c r="L891" i="97"/>
  <c r="U758" i="97"/>
  <c r="T159" i="44"/>
  <c r="T130" i="44"/>
  <c r="T186" i="44"/>
  <c r="J191" i="44"/>
  <c r="J164" i="44"/>
  <c r="K891" i="97"/>
  <c r="X189" i="44"/>
  <c r="X162" i="44"/>
  <c r="Y801" i="97"/>
  <c r="AC164" i="44"/>
  <c r="AD891" i="97"/>
  <c r="AC191" i="44"/>
  <c r="Y160" i="44"/>
  <c r="Z910" i="97"/>
  <c r="Y187" i="44"/>
  <c r="AB654" i="97"/>
  <c r="AA212" i="44"/>
  <c r="I166" i="44"/>
  <c r="I193" i="44"/>
  <c r="J879" i="97"/>
  <c r="AA211" i="44"/>
  <c r="AB648" i="97"/>
  <c r="AA157" i="44"/>
  <c r="AB162" i="44"/>
  <c r="AB189" i="44"/>
  <c r="AC801" i="97"/>
  <c r="I910" i="97"/>
  <c r="H187" i="44"/>
  <c r="H160" i="44"/>
  <c r="O758" i="97"/>
  <c r="N159" i="44"/>
  <c r="N130" i="44"/>
  <c r="N186" i="44"/>
  <c r="T91" i="10"/>
  <c r="V152" i="44"/>
  <c r="K166" i="44"/>
  <c r="L879" i="97"/>
  <c r="K193" i="44"/>
  <c r="T169" i="44"/>
  <c r="T196" i="44"/>
  <c r="U897" i="97"/>
  <c r="J165" i="44"/>
  <c r="J192" i="44"/>
  <c r="K813" i="97"/>
  <c r="X187" i="44"/>
  <c r="X160" i="44"/>
  <c r="Y910" i="97"/>
  <c r="U162" i="44"/>
  <c r="U189" i="44"/>
  <c r="V801" i="97"/>
  <c r="AC166" i="44"/>
  <c r="AD879" i="97"/>
  <c r="AC193" i="44"/>
  <c r="Q910" i="97"/>
  <c r="P160" i="44"/>
  <c r="P187" i="44"/>
  <c r="I191" i="44"/>
  <c r="J891" i="97"/>
  <c r="I164" i="44"/>
  <c r="AB165" i="44"/>
  <c r="AB192" i="44"/>
  <c r="AC813" i="97"/>
  <c r="H196" i="44"/>
  <c r="H169" i="44"/>
  <c r="I897" i="97"/>
  <c r="M165" i="44"/>
  <c r="N813" i="97"/>
  <c r="M192" i="44"/>
  <c r="K194" i="44"/>
  <c r="L916" i="97"/>
  <c r="K167" i="44"/>
  <c r="T193" i="44"/>
  <c r="U879" i="97"/>
  <c r="T166" i="44"/>
  <c r="J166" i="44"/>
  <c r="J193" i="44"/>
  <c r="K879" i="97"/>
  <c r="AI159" i="44"/>
  <c r="AI186" i="44"/>
  <c r="AI184" i="44" s="1"/>
  <c r="AJ758" i="97"/>
  <c r="AI130" i="44"/>
  <c r="V879" i="97"/>
  <c r="U193" i="44"/>
  <c r="U166" i="44"/>
  <c r="AD916" i="97"/>
  <c r="AC194" i="44"/>
  <c r="AC167" i="44"/>
  <c r="P167" i="44"/>
  <c r="P194" i="44"/>
  <c r="Q916" i="97"/>
  <c r="I159" i="44"/>
  <c r="J758" i="97"/>
  <c r="I130" i="44"/>
  <c r="I186" i="44"/>
  <c r="AC879" i="97"/>
  <c r="AB166" i="44"/>
  <c r="AB193" i="44"/>
  <c r="AK39" i="5"/>
  <c r="AM39" i="5"/>
  <c r="AI39" i="5"/>
  <c r="AF142" i="44" l="1"/>
  <c r="AF139" i="44"/>
  <c r="AF135" i="44"/>
  <c r="AF140" i="44"/>
  <c r="AF133" i="44"/>
  <c r="AF138" i="44"/>
  <c r="AF132" i="44"/>
  <c r="AF137" i="44"/>
  <c r="J648" i="97"/>
  <c r="I211" i="44"/>
  <c r="I157" i="44"/>
  <c r="X213" i="44"/>
  <c r="Y642" i="97"/>
  <c r="AI211" i="44"/>
  <c r="AI157" i="44"/>
  <c r="AJ648" i="97"/>
  <c r="AM159" i="44"/>
  <c r="AN159" i="44"/>
  <c r="L642" i="97"/>
  <c r="K213" i="44"/>
  <c r="J184" i="44"/>
  <c r="M157" i="44"/>
  <c r="M211" i="44"/>
  <c r="N648" i="97"/>
  <c r="S879" i="97"/>
  <c r="R166" i="44"/>
  <c r="R193" i="44"/>
  <c r="P813" i="97"/>
  <c r="O192" i="44"/>
  <c r="O165" i="44"/>
  <c r="F648" i="97"/>
  <c r="E157" i="44"/>
  <c r="E211" i="44"/>
  <c r="O654" i="97"/>
  <c r="N212" i="44"/>
  <c r="AB157" i="44"/>
  <c r="AB211" i="44"/>
  <c r="AC648" i="97"/>
  <c r="T39" i="10"/>
  <c r="AA36" i="89"/>
  <c r="AL36" i="103"/>
  <c r="V179" i="44"/>
  <c r="AC104" i="33" s="1"/>
  <c r="AC106" i="33" s="1"/>
  <c r="E212" i="44"/>
  <c r="F654" i="97"/>
  <c r="V206" i="44"/>
  <c r="AC103" i="33" s="1"/>
  <c r="AC105" i="33" s="1"/>
  <c r="AC56" i="33"/>
  <c r="AC59" i="33" s="1"/>
  <c r="S196" i="44"/>
  <c r="T897" i="97"/>
  <c r="S169" i="44"/>
  <c r="J157" i="44"/>
  <c r="J211" i="44"/>
  <c r="K648" i="97"/>
  <c r="AB184" i="44"/>
  <c r="K157" i="44"/>
  <c r="L648" i="97"/>
  <c r="K211" i="44"/>
  <c r="K214" i="44" s="1"/>
  <c r="AG191" i="44"/>
  <c r="AH891" i="97"/>
  <c r="AG164" i="44"/>
  <c r="S801" i="97"/>
  <c r="R189" i="44"/>
  <c r="R162" i="44"/>
  <c r="F162" i="44"/>
  <c r="G801" i="97"/>
  <c r="F189" i="44"/>
  <c r="V91" i="10"/>
  <c r="X152" i="44"/>
  <c r="W214" i="44"/>
  <c r="Z166" i="44"/>
  <c r="Z193" i="44"/>
  <c r="AA879" i="97"/>
  <c r="O159" i="44"/>
  <c r="P758" i="97"/>
  <c r="O130" i="44"/>
  <c r="O186" i="44"/>
  <c r="H184" i="44"/>
  <c r="AC157" i="44"/>
  <c r="AD648" i="97"/>
  <c r="AC211" i="44"/>
  <c r="AC214" i="44" s="1"/>
  <c r="AH138" i="44"/>
  <c r="AH135" i="44"/>
  <c r="AH142" i="44"/>
  <c r="AH139" i="44"/>
  <c r="AH133" i="44"/>
  <c r="AH140" i="44"/>
  <c r="AH132" i="44"/>
  <c r="AH137" i="44"/>
  <c r="AP56" i="33"/>
  <c r="AP59" i="33" s="1"/>
  <c r="AI206" i="44"/>
  <c r="AP103" i="33" s="1"/>
  <c r="AP105" i="33" s="1"/>
  <c r="P212" i="44"/>
  <c r="Q654" i="97"/>
  <c r="N211" i="44"/>
  <c r="O648" i="97"/>
  <c r="N157" i="44"/>
  <c r="S164" i="44"/>
  <c r="S191" i="44"/>
  <c r="T891" i="97"/>
  <c r="T879" i="97"/>
  <c r="S193" i="44"/>
  <c r="S166" i="44"/>
  <c r="H213" i="44"/>
  <c r="I642" i="97"/>
  <c r="K152" i="44"/>
  <c r="I91" i="10"/>
  <c r="AG165" i="44"/>
  <c r="AG192" i="44"/>
  <c r="AH813" i="97"/>
  <c r="F160" i="44"/>
  <c r="G910" i="97"/>
  <c r="F187" i="44"/>
  <c r="I212" i="44"/>
  <c r="J654" i="97"/>
  <c r="Z165" i="44"/>
  <c r="AA813" i="97"/>
  <c r="Z192" i="44"/>
  <c r="H152" i="44"/>
  <c r="F91" i="10"/>
  <c r="H212" i="44"/>
  <c r="I654" i="97"/>
  <c r="S167" i="44"/>
  <c r="S194" i="44"/>
  <c r="T916" i="97"/>
  <c r="H91" i="10"/>
  <c r="J152" i="44"/>
  <c r="Z91" i="10"/>
  <c r="AB152" i="44"/>
  <c r="AE211" i="44"/>
  <c r="AF648" i="97"/>
  <c r="AE157" i="44"/>
  <c r="AG196" i="44"/>
  <c r="AG169" i="44"/>
  <c r="AH897" i="97"/>
  <c r="R192" i="44"/>
  <c r="R165" i="44"/>
  <c r="S813" i="97"/>
  <c r="F196" i="44"/>
  <c r="F169" i="44"/>
  <c r="G897" i="97"/>
  <c r="AB36" i="89"/>
  <c r="W179" i="44"/>
  <c r="AD104" i="33" s="1"/>
  <c r="AD106" i="33" s="1"/>
  <c r="U39" i="10"/>
  <c r="AM36" i="103"/>
  <c r="Z160" i="44"/>
  <c r="AA910" i="97"/>
  <c r="Z187" i="44"/>
  <c r="P801" i="97"/>
  <c r="O162" i="44"/>
  <c r="O189" i="44"/>
  <c r="AC212" i="44"/>
  <c r="AD654" i="97"/>
  <c r="E152" i="44"/>
  <c r="C91" i="10"/>
  <c r="AC152" i="44"/>
  <c r="AA91" i="10"/>
  <c r="AD642" i="97"/>
  <c r="AC213" i="44"/>
  <c r="L189" i="44"/>
  <c r="M801" i="97"/>
  <c r="L162" i="44"/>
  <c r="AH916" i="97"/>
  <c r="AG194" i="44"/>
  <c r="AG167" i="44"/>
  <c r="U654" i="97"/>
  <c r="T212" i="44"/>
  <c r="I648" i="97"/>
  <c r="H157" i="44"/>
  <c r="H211" i="44"/>
  <c r="T184" i="44"/>
  <c r="J212" i="44"/>
  <c r="K654" i="97"/>
  <c r="O642" i="97"/>
  <c r="N213" i="44"/>
  <c r="L169" i="44"/>
  <c r="L196" i="44"/>
  <c r="M897" i="97"/>
  <c r="AM165" i="44"/>
  <c r="AN165" i="44"/>
  <c r="U184" i="44"/>
  <c r="N654" i="97"/>
  <c r="M212" i="44"/>
  <c r="Q166" i="44"/>
  <c r="R879" i="97"/>
  <c r="Q193" i="44"/>
  <c r="R191" i="44"/>
  <c r="R164" i="44"/>
  <c r="S891" i="97"/>
  <c r="F642" i="97"/>
  <c r="E213" i="44"/>
  <c r="AK758" i="97"/>
  <c r="AJ186" i="44"/>
  <c r="AJ130" i="44"/>
  <c r="AJ159" i="44"/>
  <c r="O196" i="44"/>
  <c r="P897" i="97"/>
  <c r="O169" i="44"/>
  <c r="G159" i="44"/>
  <c r="G186" i="44"/>
  <c r="H758" i="97"/>
  <c r="G130" i="44"/>
  <c r="U45" i="10"/>
  <c r="U44" i="10" s="1"/>
  <c r="U90" i="10"/>
  <c r="X932" i="97" s="1"/>
  <c r="AJ160" i="44"/>
  <c r="AJ187" i="44"/>
  <c r="AK910" i="97"/>
  <c r="O191" i="44"/>
  <c r="P891" i="97"/>
  <c r="O164" i="44"/>
  <c r="U642" i="97"/>
  <c r="T213" i="44"/>
  <c r="G189" i="44"/>
  <c r="H801" i="97"/>
  <c r="G162" i="44"/>
  <c r="P184" i="44"/>
  <c r="L654" i="97"/>
  <c r="K212" i="44"/>
  <c r="L166" i="44"/>
  <c r="L193" i="44"/>
  <c r="M879" i="97"/>
  <c r="T758" i="97"/>
  <c r="S159" i="44"/>
  <c r="S186" i="44"/>
  <c r="S130" i="44"/>
  <c r="Y90" i="10"/>
  <c r="AB932" i="97" s="1"/>
  <c r="Y45" i="10"/>
  <c r="Y44" i="10" s="1"/>
  <c r="AE184" i="44"/>
  <c r="U152" i="44"/>
  <c r="S91" i="10"/>
  <c r="R186" i="44"/>
  <c r="S758" i="97"/>
  <c r="R159" i="44"/>
  <c r="R130" i="44"/>
  <c r="G891" i="97"/>
  <c r="F164" i="44"/>
  <c r="F191" i="44"/>
  <c r="AI213" i="44"/>
  <c r="AJ642" i="97"/>
  <c r="AM162" i="44"/>
  <c r="AN162" i="44"/>
  <c r="AK916" i="97"/>
  <c r="AJ194" i="44"/>
  <c r="AJ167" i="44"/>
  <c r="O160" i="44"/>
  <c r="P910" i="97"/>
  <c r="O187" i="44"/>
  <c r="R91" i="10"/>
  <c r="T152" i="44"/>
  <c r="L165" i="44"/>
  <c r="L192" i="44"/>
  <c r="M813" i="97"/>
  <c r="AE152" i="44"/>
  <c r="AC91" i="10"/>
  <c r="AB212" i="44"/>
  <c r="AC654" i="97"/>
  <c r="J213" i="44"/>
  <c r="K642" i="97"/>
  <c r="Q165" i="44"/>
  <c r="R813" i="97"/>
  <c r="Q192" i="44"/>
  <c r="R196" i="44"/>
  <c r="R169" i="44"/>
  <c r="S897" i="97"/>
  <c r="V642" i="97"/>
  <c r="U213" i="44"/>
  <c r="AC642" i="97"/>
  <c r="AB213" i="44"/>
  <c r="Y212" i="44"/>
  <c r="Z654" i="97"/>
  <c r="U648" i="97"/>
  <c r="T211" i="44"/>
  <c r="T157" i="44"/>
  <c r="L194" i="44"/>
  <c r="M916" i="97"/>
  <c r="L167" i="44"/>
  <c r="U211" i="44"/>
  <c r="V648" i="97"/>
  <c r="U157" i="44"/>
  <c r="Q189" i="44"/>
  <c r="R801" i="97"/>
  <c r="Q162" i="44"/>
  <c r="R194" i="44"/>
  <c r="R167" i="44"/>
  <c r="S916" i="97"/>
  <c r="AJ166" i="44"/>
  <c r="AJ193" i="44"/>
  <c r="AK879" i="97"/>
  <c r="O167" i="44"/>
  <c r="P916" i="97"/>
  <c r="O194" i="44"/>
  <c r="U212" i="44"/>
  <c r="V654" i="97"/>
  <c r="G160" i="44"/>
  <c r="G187" i="44"/>
  <c r="H910" i="97"/>
  <c r="P211" i="44"/>
  <c r="Q648" i="97"/>
  <c r="P157" i="44"/>
  <c r="H813" i="97"/>
  <c r="G165" i="44"/>
  <c r="G192" i="44"/>
  <c r="AN167" i="44"/>
  <c r="AM167" i="44"/>
  <c r="Y213" i="44"/>
  <c r="Z642" i="97"/>
  <c r="AA758" i="97"/>
  <c r="Z186" i="44"/>
  <c r="Z159" i="44"/>
  <c r="Z130" i="44"/>
  <c r="AK897" i="97"/>
  <c r="AJ169" i="44"/>
  <c r="AJ196" i="44"/>
  <c r="G164" i="44"/>
  <c r="H891" i="97"/>
  <c r="G191" i="44"/>
  <c r="N91" i="10"/>
  <c r="P152" i="44"/>
  <c r="X930" i="97"/>
  <c r="Q164" i="44"/>
  <c r="Q191" i="44"/>
  <c r="R891" i="97"/>
  <c r="S910" i="97"/>
  <c r="R160" i="44"/>
  <c r="R187" i="44"/>
  <c r="P213" i="44"/>
  <c r="Q642" i="97"/>
  <c r="Z167" i="44"/>
  <c r="AA916" i="97"/>
  <c r="Z194" i="44"/>
  <c r="AJ164" i="44"/>
  <c r="AK891" i="97"/>
  <c r="AJ191" i="44"/>
  <c r="I184" i="44"/>
  <c r="Y654" i="97"/>
  <c r="X212" i="44"/>
  <c r="T90" i="10"/>
  <c r="W932" i="97" s="1"/>
  <c r="T45" i="10"/>
  <c r="T44" i="10" s="1"/>
  <c r="AQ36" i="103"/>
  <c r="Y39" i="10"/>
  <c r="AA179" i="44"/>
  <c r="AH104" i="33" s="1"/>
  <c r="AH106" i="33" s="1"/>
  <c r="AF36" i="89"/>
  <c r="G91" i="10"/>
  <c r="I152" i="44"/>
  <c r="AG91" i="10"/>
  <c r="AI152" i="44"/>
  <c r="N184" i="44"/>
  <c r="T813" i="97"/>
  <c r="S192" i="44"/>
  <c r="S165" i="44"/>
  <c r="M910" i="97"/>
  <c r="L187" i="44"/>
  <c r="L160" i="44"/>
  <c r="Y152" i="44"/>
  <c r="W91" i="10"/>
  <c r="AN166" i="44"/>
  <c r="AM166" i="44"/>
  <c r="AH879" i="97"/>
  <c r="AG193" i="44"/>
  <c r="AG166" i="44"/>
  <c r="Q159" i="44"/>
  <c r="Q186" i="44"/>
  <c r="R758" i="97"/>
  <c r="Q130" i="44"/>
  <c r="G879" i="97"/>
  <c r="F166" i="44"/>
  <c r="F193" i="44"/>
  <c r="AM169" i="44"/>
  <c r="AN169" i="44"/>
  <c r="AM164" i="44"/>
  <c r="AN164" i="44"/>
  <c r="Z162" i="44"/>
  <c r="AA801" i="97"/>
  <c r="Z189" i="44"/>
  <c r="AK813" i="97"/>
  <c r="AJ192" i="44"/>
  <c r="AJ165" i="44"/>
  <c r="J642" i="97"/>
  <c r="I213" i="44"/>
  <c r="AI212" i="44"/>
  <c r="AJ654" i="97"/>
  <c r="AM160" i="44"/>
  <c r="AN160" i="44"/>
  <c r="G169" i="44"/>
  <c r="G196" i="44"/>
  <c r="H897" i="97"/>
  <c r="AA206" i="44"/>
  <c r="AH103" i="33" s="1"/>
  <c r="AH105" i="33" s="1"/>
  <c r="AH56" i="33"/>
  <c r="AH59" i="33" s="1"/>
  <c r="S160" i="44"/>
  <c r="S187" i="44"/>
  <c r="T910" i="97"/>
  <c r="M891" i="97"/>
  <c r="L164" i="44"/>
  <c r="L191" i="44"/>
  <c r="Y157" i="44"/>
  <c r="Z648" i="97"/>
  <c r="Y211" i="44"/>
  <c r="AF654" i="97"/>
  <c r="AE212" i="44"/>
  <c r="AH910" i="97"/>
  <c r="AG187" i="44"/>
  <c r="AG160" i="44"/>
  <c r="Q196" i="44"/>
  <c r="Q169" i="44"/>
  <c r="R897" i="97"/>
  <c r="G813" i="97"/>
  <c r="F165" i="44"/>
  <c r="F192" i="44"/>
  <c r="AD132" i="44"/>
  <c r="AD135" i="44"/>
  <c r="AD142" i="44"/>
  <c r="AD133" i="44"/>
  <c r="AD138" i="44"/>
  <c r="AD139" i="44"/>
  <c r="AD140" i="44"/>
  <c r="AD137" i="44"/>
  <c r="N152" i="44"/>
  <c r="L91" i="10"/>
  <c r="AA214" i="44"/>
  <c r="AA215" i="44" s="1"/>
  <c r="T801" i="97"/>
  <c r="S162" i="44"/>
  <c r="S189" i="44"/>
  <c r="M758" i="97"/>
  <c r="L159" i="44"/>
  <c r="L186" i="44"/>
  <c r="L130" i="44"/>
  <c r="Y184" i="44"/>
  <c r="M184" i="44"/>
  <c r="AG162" i="44"/>
  <c r="AG189" i="44"/>
  <c r="AH801" i="97"/>
  <c r="R910" i="97"/>
  <c r="Q160" i="44"/>
  <c r="Q187" i="44"/>
  <c r="F194" i="44"/>
  <c r="F167" i="44"/>
  <c r="G916" i="97"/>
  <c r="X184" i="44"/>
  <c r="AE213" i="44"/>
  <c r="AF642" i="97"/>
  <c r="AA897" i="97"/>
  <c r="Z196" i="44"/>
  <c r="Z169" i="44"/>
  <c r="AJ162" i="44"/>
  <c r="AJ189" i="44"/>
  <c r="AK801" i="97"/>
  <c r="W206" i="44"/>
  <c r="AD103" i="33" s="1"/>
  <c r="AD105" i="33" s="1"/>
  <c r="AD56" i="33"/>
  <c r="AD59" i="33" s="1"/>
  <c r="G167" i="44"/>
  <c r="H916" i="97"/>
  <c r="G194" i="44"/>
  <c r="K91" i="10"/>
  <c r="M152" i="44"/>
  <c r="K184" i="44"/>
  <c r="AG186" i="44"/>
  <c r="AH758" i="97"/>
  <c r="AG130" i="44"/>
  <c r="AG159" i="44"/>
  <c r="Q167" i="44"/>
  <c r="R916" i="97"/>
  <c r="Q194" i="44"/>
  <c r="F186" i="44"/>
  <c r="F159" i="44"/>
  <c r="G758" i="97"/>
  <c r="F130" i="44"/>
  <c r="Y648" i="97"/>
  <c r="X211" i="44"/>
  <c r="X214" i="44" s="1"/>
  <c r="X157" i="44"/>
  <c r="AA891" i="97"/>
  <c r="Z164" i="44"/>
  <c r="Z191" i="44"/>
  <c r="O193" i="44"/>
  <c r="O166" i="44"/>
  <c r="P879" i="97"/>
  <c r="E184" i="44"/>
  <c r="M213" i="44"/>
  <c r="N642" i="97"/>
  <c r="G166" i="44"/>
  <c r="H879" i="97"/>
  <c r="G193" i="44"/>
  <c r="AC184" i="44"/>
  <c r="AE214" i="44" l="1"/>
  <c r="Y214" i="44"/>
  <c r="N214" i="44"/>
  <c r="W215" i="44"/>
  <c r="F152" i="44"/>
  <c r="D91" i="10"/>
  <c r="AG152" i="44"/>
  <c r="AE91" i="10"/>
  <c r="AD196" i="44"/>
  <c r="AE897" i="97"/>
  <c r="AD169" i="44"/>
  <c r="O91" i="10"/>
  <c r="Q152" i="44"/>
  <c r="AL164" i="44"/>
  <c r="AO164" i="44"/>
  <c r="T179" i="44"/>
  <c r="AA104" i="33" s="1"/>
  <c r="AA106" i="33" s="1"/>
  <c r="AJ36" i="103"/>
  <c r="R39" i="10"/>
  <c r="Y36" i="89"/>
  <c r="AA45" i="10"/>
  <c r="AA44" i="10" s="1"/>
  <c r="AA90" i="10"/>
  <c r="AD932" i="97" s="1"/>
  <c r="V215" i="44"/>
  <c r="AI879" i="97"/>
  <c r="AH193" i="44"/>
  <c r="AH166" i="44"/>
  <c r="M214" i="44"/>
  <c r="V39" i="10"/>
  <c r="AN36" i="103"/>
  <c r="AC36" i="89"/>
  <c r="X179" i="44"/>
  <c r="AE104" i="33" s="1"/>
  <c r="AE106" i="33" s="1"/>
  <c r="AK642" i="97"/>
  <c r="AJ213" i="44"/>
  <c r="AO162" i="44"/>
  <c r="AL162" i="44"/>
  <c r="R654" i="97"/>
  <c r="Q212" i="44"/>
  <c r="S213" i="44"/>
  <c r="T642" i="97"/>
  <c r="AD189" i="44"/>
  <c r="AE801" i="97"/>
  <c r="AD162" i="44"/>
  <c r="G212" i="44"/>
  <c r="H654" i="97"/>
  <c r="T214" i="44"/>
  <c r="T215" i="44" s="1"/>
  <c r="Q91" i="10"/>
  <c r="S152" i="44"/>
  <c r="U86" i="10"/>
  <c r="U85" i="10" s="1"/>
  <c r="U38" i="10"/>
  <c r="AU36" i="103"/>
  <c r="AE179" i="44"/>
  <c r="AL104" i="33" s="1"/>
  <c r="AL106" i="33" s="1"/>
  <c r="AC39" i="10"/>
  <c r="AJ36" i="89"/>
  <c r="F90" i="10"/>
  <c r="I932" i="97" s="1"/>
  <c r="F45" i="10"/>
  <c r="F44" i="10" s="1"/>
  <c r="N179" i="44"/>
  <c r="U104" i="33" s="1"/>
  <c r="U106" i="33" s="1"/>
  <c r="AD36" i="103"/>
  <c r="S36" i="89"/>
  <c r="L39" i="10"/>
  <c r="AH196" i="44"/>
  <c r="AI897" i="97"/>
  <c r="AH169" i="44"/>
  <c r="K39" i="10"/>
  <c r="M179" i="44"/>
  <c r="T104" i="33" s="1"/>
  <c r="T106" i="33" s="1"/>
  <c r="R36" i="89"/>
  <c r="AC36" i="103"/>
  <c r="Y36" i="103"/>
  <c r="I179" i="44"/>
  <c r="P104" i="33" s="1"/>
  <c r="P106" i="33" s="1"/>
  <c r="N36" i="89"/>
  <c r="G39" i="10"/>
  <c r="X215" i="44"/>
  <c r="AG184" i="44"/>
  <c r="AD130" i="44"/>
  <c r="AE758" i="97"/>
  <c r="AD186" i="44"/>
  <c r="AD159" i="44"/>
  <c r="Q184" i="44"/>
  <c r="Y86" i="10"/>
  <c r="Y85" i="10" s="1"/>
  <c r="Y38" i="10"/>
  <c r="N90" i="10"/>
  <c r="Q932" i="97" s="1"/>
  <c r="N45" i="10"/>
  <c r="N44" i="10" s="1"/>
  <c r="R642" i="97"/>
  <c r="Q213" i="44"/>
  <c r="R45" i="10"/>
  <c r="R44" i="10" s="1"/>
  <c r="R90" i="10"/>
  <c r="U932" i="97" s="1"/>
  <c r="S184" i="44"/>
  <c r="G152" i="44"/>
  <c r="E91" i="10"/>
  <c r="C90" i="10"/>
  <c r="F932" i="97" s="1"/>
  <c r="C45" i="10"/>
  <c r="I45" i="10"/>
  <c r="I44" i="10" s="1"/>
  <c r="I90" i="10"/>
  <c r="L932" i="97" s="1"/>
  <c r="AH189" i="44"/>
  <c r="AI801" i="97"/>
  <c r="AH162" i="44"/>
  <c r="E214" i="44"/>
  <c r="Q56" i="33"/>
  <c r="Q59" i="33" s="1"/>
  <c r="J206" i="44"/>
  <c r="Q103" i="33" s="1"/>
  <c r="Q105" i="33" s="1"/>
  <c r="I214" i="44"/>
  <c r="S211" i="44"/>
  <c r="T648" i="97"/>
  <c r="S157" i="44"/>
  <c r="AE215" i="44"/>
  <c r="N215" i="44"/>
  <c r="AH192" i="44"/>
  <c r="AH165" i="44"/>
  <c r="AI813" i="97"/>
  <c r="E179" i="44"/>
  <c r="L104" i="33" s="1"/>
  <c r="L106" i="33" s="1"/>
  <c r="J36" i="89"/>
  <c r="U36" i="103"/>
  <c r="C39" i="10"/>
  <c r="AG891" i="97"/>
  <c r="AF164" i="44"/>
  <c r="AF191" i="44"/>
  <c r="K45" i="10"/>
  <c r="K44" i="10" s="1"/>
  <c r="K90" i="10"/>
  <c r="N932" i="97" s="1"/>
  <c r="S648" i="97"/>
  <c r="R211" i="44"/>
  <c r="R157" i="44"/>
  <c r="Z90" i="10"/>
  <c r="AC932" i="97" s="1"/>
  <c r="Z45" i="10"/>
  <c r="Z44" i="10" s="1"/>
  <c r="AF130" i="44"/>
  <c r="AF186" i="44"/>
  <c r="AG758" i="97"/>
  <c r="AF159" i="44"/>
  <c r="AD36" i="89"/>
  <c r="AO36" i="103"/>
  <c r="W39" i="10"/>
  <c r="Z930" i="97" s="1"/>
  <c r="Y179" i="44"/>
  <c r="AF104" i="33" s="1"/>
  <c r="AF106" i="33" s="1"/>
  <c r="N206" i="44"/>
  <c r="U103" i="33" s="1"/>
  <c r="U105" i="33" s="1"/>
  <c r="U56" i="33"/>
  <c r="U59" i="33" s="1"/>
  <c r="P654" i="97"/>
  <c r="O212" i="44"/>
  <c r="G211" i="44"/>
  <c r="G157" i="44"/>
  <c r="H648" i="97"/>
  <c r="V45" i="10"/>
  <c r="V44" i="10" s="1"/>
  <c r="V90" i="10"/>
  <c r="Y932" i="97" s="1"/>
  <c r="K179" i="44"/>
  <c r="R104" i="33" s="1"/>
  <c r="R106" i="33" s="1"/>
  <c r="AA36" i="103"/>
  <c r="I39" i="10"/>
  <c r="L930" i="97" s="1"/>
  <c r="P36" i="89"/>
  <c r="G648" i="97"/>
  <c r="F211" i="44"/>
  <c r="F157" i="44"/>
  <c r="M206" i="44"/>
  <c r="T103" i="33" s="1"/>
  <c r="T105" i="33" s="1"/>
  <c r="T56" i="33"/>
  <c r="T59" i="33" s="1"/>
  <c r="S39" i="10"/>
  <c r="V930" i="97" s="1"/>
  <c r="Z36" i="89"/>
  <c r="AK36" i="103"/>
  <c r="U179" i="44"/>
  <c r="AB104" i="33" s="1"/>
  <c r="AB106" i="33" s="1"/>
  <c r="AO167" i="44"/>
  <c r="AL167" i="44"/>
  <c r="O930" i="97"/>
  <c r="AH36" i="89"/>
  <c r="AS36" i="103"/>
  <c r="AC179" i="44"/>
  <c r="AJ104" i="33" s="1"/>
  <c r="AJ106" i="33" s="1"/>
  <c r="AA39" i="10"/>
  <c r="AB206" i="44"/>
  <c r="AI103" i="33" s="1"/>
  <c r="AI105" i="33" s="1"/>
  <c r="AI56" i="33"/>
  <c r="AI59" i="33" s="1"/>
  <c r="AG813" i="97"/>
  <c r="AF165" i="44"/>
  <c r="AF192" i="44"/>
  <c r="L56" i="33"/>
  <c r="E206" i="44"/>
  <c r="L103" i="33" s="1"/>
  <c r="L105" i="33" s="1"/>
  <c r="AG213" i="44"/>
  <c r="AH642" i="97"/>
  <c r="F184" i="44"/>
  <c r="Y206" i="44"/>
  <c r="AF103" i="33" s="1"/>
  <c r="AF105" i="33" s="1"/>
  <c r="AF56" i="33"/>
  <c r="AF59" i="33" s="1"/>
  <c r="AD164" i="44"/>
  <c r="AD191" i="44"/>
  <c r="AE891" i="97"/>
  <c r="AG90" i="10"/>
  <c r="AJ932" i="97" s="1"/>
  <c r="AG45" i="10"/>
  <c r="AG44" i="10" s="1"/>
  <c r="S654" i="97"/>
  <c r="R212" i="44"/>
  <c r="AL169" i="44"/>
  <c r="AO169" i="44"/>
  <c r="R184" i="44"/>
  <c r="L213" i="44"/>
  <c r="M642" i="97"/>
  <c r="O213" i="44"/>
  <c r="P642" i="97"/>
  <c r="H90" i="10"/>
  <c r="K932" i="97" s="1"/>
  <c r="H45" i="10"/>
  <c r="H44" i="10" s="1"/>
  <c r="H206" i="44"/>
  <c r="O103" i="33" s="1"/>
  <c r="O105" i="33" s="1"/>
  <c r="O56" i="33"/>
  <c r="O59" i="33" s="1"/>
  <c r="AF187" i="44"/>
  <c r="AG910" i="97"/>
  <c r="AF160" i="44"/>
  <c r="R152" i="44"/>
  <c r="P91" i="10"/>
  <c r="X206" i="44"/>
  <c r="AE103" i="33" s="1"/>
  <c r="AE105" i="33" s="1"/>
  <c r="AE56" i="33"/>
  <c r="AE59" i="33" s="1"/>
  <c r="J91" i="10"/>
  <c r="L152" i="44"/>
  <c r="AD167" i="44"/>
  <c r="AE916" i="97"/>
  <c r="AD194" i="44"/>
  <c r="U36" i="89"/>
  <c r="N39" i="10"/>
  <c r="Q930" i="97" s="1"/>
  <c r="AF36" i="103"/>
  <c r="P179" i="44"/>
  <c r="W104" i="33" s="1"/>
  <c r="W106" i="33" s="1"/>
  <c r="U214" i="44"/>
  <c r="AC45" i="10"/>
  <c r="AC44" i="10" s="1"/>
  <c r="AC90" i="10"/>
  <c r="AF932" i="97" s="1"/>
  <c r="S90" i="10"/>
  <c r="V932" i="97" s="1"/>
  <c r="S45" i="10"/>
  <c r="S44" i="10" s="1"/>
  <c r="AH191" i="44"/>
  <c r="AH164" i="44"/>
  <c r="AI891" i="97"/>
  <c r="O184" i="44"/>
  <c r="G642" i="97"/>
  <c r="F213" i="44"/>
  <c r="J214" i="44"/>
  <c r="W930" i="97"/>
  <c r="T86" i="10"/>
  <c r="T85" i="10" s="1"/>
  <c r="T38" i="10"/>
  <c r="AG39" i="10"/>
  <c r="AI179" i="44"/>
  <c r="AY36" i="103"/>
  <c r="AN36" i="89"/>
  <c r="AN157" i="44"/>
  <c r="AM157" i="44"/>
  <c r="AF194" i="44"/>
  <c r="AF167" i="44"/>
  <c r="AG916" i="97"/>
  <c r="K206" i="44"/>
  <c r="R103" i="33" s="1"/>
  <c r="R105" i="33" s="1"/>
  <c r="R56" i="33"/>
  <c r="R59" i="33" s="1"/>
  <c r="Q211" i="44"/>
  <c r="Q214" i="44" s="1"/>
  <c r="R648" i="97"/>
  <c r="Q157" i="44"/>
  <c r="L90" i="10"/>
  <c r="O932" i="97" s="1"/>
  <c r="L45" i="10"/>
  <c r="L44" i="10" s="1"/>
  <c r="G184" i="44"/>
  <c r="L184" i="44"/>
  <c r="AE879" i="97"/>
  <c r="AD166" i="44"/>
  <c r="AD193" i="44"/>
  <c r="AG212" i="44"/>
  <c r="AH654" i="97"/>
  <c r="W90" i="10"/>
  <c r="Z932" i="97" s="1"/>
  <c r="W45" i="10"/>
  <c r="W44" i="10" s="1"/>
  <c r="G45" i="10"/>
  <c r="G44" i="10" s="1"/>
  <c r="G90" i="10"/>
  <c r="J932" i="97" s="1"/>
  <c r="P56" i="33"/>
  <c r="P59" i="33" s="1"/>
  <c r="I206" i="44"/>
  <c r="P103" i="33" s="1"/>
  <c r="P105" i="33" s="1"/>
  <c r="X91" i="10"/>
  <c r="Z152" i="44"/>
  <c r="AK648" i="97"/>
  <c r="AJ157" i="44"/>
  <c r="AJ211" i="44"/>
  <c r="AO159" i="44"/>
  <c r="AL159" i="44"/>
  <c r="T206" i="44"/>
  <c r="AA103" i="33" s="1"/>
  <c r="AA105" i="33" s="1"/>
  <c r="AA56" i="33"/>
  <c r="AA59" i="33" s="1"/>
  <c r="AI758" i="97"/>
  <c r="AH159" i="44"/>
  <c r="AH186" i="44"/>
  <c r="AH184" i="44" s="1"/>
  <c r="AH130" i="44"/>
  <c r="O152" i="44"/>
  <c r="M91" i="10"/>
  <c r="R213" i="44"/>
  <c r="S642" i="97"/>
  <c r="O36" i="89"/>
  <c r="Z36" i="103"/>
  <c r="H39" i="10"/>
  <c r="J179" i="44"/>
  <c r="Q104" i="33" s="1"/>
  <c r="Q106" i="33" s="1"/>
  <c r="AI214" i="44"/>
  <c r="AF162" i="44"/>
  <c r="AF189" i="44"/>
  <c r="AG801" i="97"/>
  <c r="Z213" i="44"/>
  <c r="AA642" i="97"/>
  <c r="L157" i="44"/>
  <c r="L211" i="44"/>
  <c r="M648" i="97"/>
  <c r="AD165" i="44"/>
  <c r="AD192" i="44"/>
  <c r="AE813" i="97"/>
  <c r="Z211" i="44"/>
  <c r="Z214" i="44" s="1"/>
  <c r="Z157" i="44"/>
  <c r="AA648" i="97"/>
  <c r="P214" i="44"/>
  <c r="P215" i="44" s="1"/>
  <c r="AO166" i="44"/>
  <c r="AL166" i="44"/>
  <c r="AL56" i="33"/>
  <c r="AL59" i="33" s="1"/>
  <c r="AE206" i="44"/>
  <c r="AL103" i="33" s="1"/>
  <c r="AL105" i="33" s="1"/>
  <c r="W56" i="33"/>
  <c r="W59" i="33" s="1"/>
  <c r="P206" i="44"/>
  <c r="W103" i="33" s="1"/>
  <c r="W105" i="33" s="1"/>
  <c r="AK654" i="97"/>
  <c r="AJ212" i="44"/>
  <c r="AO160" i="44"/>
  <c r="AL160" i="44"/>
  <c r="AJ152" i="44"/>
  <c r="AH91" i="10"/>
  <c r="H214" i="44"/>
  <c r="F212" i="44"/>
  <c r="G654" i="97"/>
  <c r="AI916" i="97"/>
  <c r="AH167" i="44"/>
  <c r="AH194" i="44"/>
  <c r="AB214" i="44"/>
  <c r="AF166" i="44"/>
  <c r="AF193" i="44"/>
  <c r="AG879" i="97"/>
  <c r="AJ56" i="33"/>
  <c r="AJ59" i="33" s="1"/>
  <c r="AC206" i="44"/>
  <c r="AJ103" i="33" s="1"/>
  <c r="AJ105" i="33" s="1"/>
  <c r="AG211" i="44"/>
  <c r="AH648" i="97"/>
  <c r="AG157" i="44"/>
  <c r="AD160" i="44"/>
  <c r="AE910" i="97"/>
  <c r="AD187" i="44"/>
  <c r="T654" i="97"/>
  <c r="S212" i="44"/>
  <c r="AO165" i="44"/>
  <c r="AL165" i="44"/>
  <c r="M654" i="97"/>
  <c r="L212" i="44"/>
  <c r="Z184" i="44"/>
  <c r="G213" i="44"/>
  <c r="H642" i="97"/>
  <c r="AB930" i="97"/>
  <c r="AJ184" i="44"/>
  <c r="U206" i="44"/>
  <c r="AB103" i="33" s="1"/>
  <c r="AB105" i="33" s="1"/>
  <c r="AB56" i="33"/>
  <c r="AB59" i="33" s="1"/>
  <c r="F39" i="10"/>
  <c r="I930" i="97" s="1"/>
  <c r="H179" i="44"/>
  <c r="O104" i="33" s="1"/>
  <c r="O106" i="33" s="1"/>
  <c r="M36" i="89"/>
  <c r="X36" i="103"/>
  <c r="AA654" i="97"/>
  <c r="Z212" i="44"/>
  <c r="AH160" i="44"/>
  <c r="AI910" i="97"/>
  <c r="AH187" i="44"/>
  <c r="O211" i="44"/>
  <c r="O214" i="44" s="1"/>
  <c r="P648" i="97"/>
  <c r="O157" i="44"/>
  <c r="Z39" i="10"/>
  <c r="AC930" i="97" s="1"/>
  <c r="AR36" i="103"/>
  <c r="AG36" i="89"/>
  <c r="AB179" i="44"/>
  <c r="AI104" i="33" s="1"/>
  <c r="AI106" i="33" s="1"/>
  <c r="Y930" i="97"/>
  <c r="AF196" i="44"/>
  <c r="AG897" i="97"/>
  <c r="AF169" i="44"/>
  <c r="J215" i="44" l="1"/>
  <c r="AI215" i="44"/>
  <c r="AH90" i="10"/>
  <c r="AH45" i="10"/>
  <c r="AJ91" i="10"/>
  <c r="AH206" i="44"/>
  <c r="AO103" i="33" s="1"/>
  <c r="AO105" i="33" s="1"/>
  <c r="AO56" i="33"/>
  <c r="AO59" i="33" s="1"/>
  <c r="P45" i="10"/>
  <c r="P44" i="10" s="1"/>
  <c r="P90" i="10"/>
  <c r="S932" i="97" s="1"/>
  <c r="F214" i="44"/>
  <c r="AD212" i="44"/>
  <c r="AE654" i="97"/>
  <c r="Q179" i="44"/>
  <c r="X104" i="33" s="1"/>
  <c r="X106" i="33" s="1"/>
  <c r="V36" i="89"/>
  <c r="AG36" i="103"/>
  <c r="O39" i="10"/>
  <c r="AP104" i="33"/>
  <c r="AP106" i="33" s="1"/>
  <c r="AN179" i="44"/>
  <c r="AM179" i="44"/>
  <c r="I86" i="10"/>
  <c r="I85" i="10" s="1"/>
  <c r="I38" i="10"/>
  <c r="AI642" i="97"/>
  <c r="AH213" i="44"/>
  <c r="L86" i="10"/>
  <c r="L85" i="10" s="1"/>
  <c r="L38" i="10"/>
  <c r="M215" i="44"/>
  <c r="T36" i="89"/>
  <c r="M39" i="10"/>
  <c r="AE36" i="103"/>
  <c r="O179" i="44"/>
  <c r="V104" i="33" s="1"/>
  <c r="V106" i="33" s="1"/>
  <c r="L214" i="44"/>
  <c r="L215" i="44" s="1"/>
  <c r="AJ214" i="44"/>
  <c r="AJ930" i="97"/>
  <c r="AG86" i="10"/>
  <c r="AG85" i="10" s="1"/>
  <c r="AG38" i="10"/>
  <c r="J90" i="10"/>
  <c r="M932" i="97" s="1"/>
  <c r="J45" i="10"/>
  <c r="J44" i="10" s="1"/>
  <c r="W86" i="10"/>
  <c r="W85" i="10" s="1"/>
  <c r="W38" i="10"/>
  <c r="J930" i="97"/>
  <c r="G86" i="10"/>
  <c r="G85" i="10" s="1"/>
  <c r="G38" i="10"/>
  <c r="AH212" i="44"/>
  <c r="AI654" i="97"/>
  <c r="AZ36" i="103"/>
  <c r="AJ179" i="44"/>
  <c r="AO36" i="89"/>
  <c r="AH39" i="10"/>
  <c r="AO157" i="44"/>
  <c r="AL157" i="44"/>
  <c r="Q215" i="44"/>
  <c r="Q90" i="10"/>
  <c r="T932" i="97" s="1"/>
  <c r="Q45" i="10"/>
  <c r="Q44" i="10" s="1"/>
  <c r="AG56" i="33"/>
  <c r="AG59" i="33" s="1"/>
  <c r="Z206" i="44"/>
  <c r="AG103" i="33" s="1"/>
  <c r="AG105" i="33" s="1"/>
  <c r="M90" i="10"/>
  <c r="P932" i="97" s="1"/>
  <c r="M45" i="10"/>
  <c r="M44" i="10" s="1"/>
  <c r="O45" i="10"/>
  <c r="O44" i="10" s="1"/>
  <c r="O90" i="10"/>
  <c r="R932" i="97" s="1"/>
  <c r="AD930" i="97"/>
  <c r="AA86" i="10"/>
  <c r="AA85" i="10" s="1"/>
  <c r="AA38" i="10"/>
  <c r="X45" i="10"/>
  <c r="X44" i="10" s="1"/>
  <c r="X90" i="10"/>
  <c r="AA932" i="97" s="1"/>
  <c r="S56" i="33"/>
  <c r="S59" i="33" s="1"/>
  <c r="L206" i="44"/>
  <c r="S103" i="33" s="1"/>
  <c r="S105" i="33" s="1"/>
  <c r="AF184" i="44"/>
  <c r="Q206" i="44"/>
  <c r="X103" i="33" s="1"/>
  <c r="X105" i="33" s="1"/>
  <c r="X56" i="33"/>
  <c r="X59" i="33" s="1"/>
  <c r="AL36" i="89"/>
  <c r="AE39" i="10"/>
  <c r="AG179" i="44"/>
  <c r="AN104" i="33" s="1"/>
  <c r="AN106" i="33" s="1"/>
  <c r="AW36" i="103"/>
  <c r="L179" i="44"/>
  <c r="S104" i="33" s="1"/>
  <c r="S106" i="33" s="1"/>
  <c r="AB36" i="103"/>
  <c r="J39" i="10"/>
  <c r="Q36" i="89"/>
  <c r="P930" i="97"/>
  <c r="AG214" i="44"/>
  <c r="H215" i="44"/>
  <c r="U215" i="44"/>
  <c r="AC215" i="44"/>
  <c r="AF211" i="44"/>
  <c r="AG648" i="97"/>
  <c r="AF157" i="44"/>
  <c r="S38" i="10"/>
  <c r="S86" i="10"/>
  <c r="S85" i="10" s="1"/>
  <c r="S179" i="44"/>
  <c r="Z104" i="33" s="1"/>
  <c r="Z106" i="33" s="1"/>
  <c r="Q39" i="10"/>
  <c r="AI36" i="103"/>
  <c r="X36" i="89"/>
  <c r="C44" i="10"/>
  <c r="AJ44" i="10" s="1"/>
  <c r="AJ45" i="10"/>
  <c r="AF91" i="10"/>
  <c r="AH152" i="44"/>
  <c r="N38" i="10"/>
  <c r="N86" i="10"/>
  <c r="N85" i="10" s="1"/>
  <c r="Y56" i="33"/>
  <c r="Y59" i="33" s="1"/>
  <c r="R206" i="44"/>
  <c r="Y103" i="33" s="1"/>
  <c r="Y105" i="33" s="1"/>
  <c r="M56" i="33"/>
  <c r="M59" i="33" s="1"/>
  <c r="F206" i="44"/>
  <c r="M103" i="33" s="1"/>
  <c r="M105" i="33" s="1"/>
  <c r="G214" i="44"/>
  <c r="AF152" i="44"/>
  <c r="AD91" i="10"/>
  <c r="F930" i="97"/>
  <c r="C38" i="10"/>
  <c r="AJ38" i="10" s="1"/>
  <c r="C86" i="10"/>
  <c r="C85" i="10" s="1"/>
  <c r="AJ39" i="10"/>
  <c r="S214" i="44"/>
  <c r="S215" i="44" s="1"/>
  <c r="E90" i="10"/>
  <c r="H932" i="97" s="1"/>
  <c r="E45" i="10"/>
  <c r="E44" i="10" s="1"/>
  <c r="AD211" i="44"/>
  <c r="AE648" i="97"/>
  <c r="AD157" i="44"/>
  <c r="AE642" i="97"/>
  <c r="AD213" i="44"/>
  <c r="AE45" i="10"/>
  <c r="AE44" i="10" s="1"/>
  <c r="AE90" i="10"/>
  <c r="AH932" i="97" s="1"/>
  <c r="Z179" i="44"/>
  <c r="AG104" i="33" s="1"/>
  <c r="AG106" i="33" s="1"/>
  <c r="AE36" i="89"/>
  <c r="X39" i="10"/>
  <c r="AP36" i="103"/>
  <c r="AF213" i="44"/>
  <c r="AG642" i="97"/>
  <c r="AH211" i="44"/>
  <c r="AH214" i="44" s="1"/>
  <c r="AI648" i="97"/>
  <c r="AH157" i="44"/>
  <c r="G206" i="44"/>
  <c r="N103" i="33" s="1"/>
  <c r="N105" i="33" s="1"/>
  <c r="N56" i="33"/>
  <c r="N59" i="33" s="1"/>
  <c r="Z38" i="10"/>
  <c r="Z86" i="10"/>
  <c r="Z85" i="10" s="1"/>
  <c r="F86" i="10"/>
  <c r="F85" i="10" s="1"/>
  <c r="F38" i="10"/>
  <c r="V56" i="33"/>
  <c r="V59" i="33" s="1"/>
  <c r="O206" i="44"/>
  <c r="V103" i="33" s="1"/>
  <c r="V105" i="33" s="1"/>
  <c r="AG654" i="97"/>
  <c r="AF212" i="44"/>
  <c r="D39" i="10"/>
  <c r="G930" i="97" s="1"/>
  <c r="K36" i="89"/>
  <c r="F179" i="44"/>
  <c r="M104" i="33" s="1"/>
  <c r="M106" i="33" s="1"/>
  <c r="V36" i="103"/>
  <c r="I215" i="44"/>
  <c r="AD184" i="44"/>
  <c r="N930" i="97"/>
  <c r="K38" i="10"/>
  <c r="K86" i="10"/>
  <c r="K85" i="10" s="1"/>
  <c r="AF930" i="97"/>
  <c r="AC38" i="10"/>
  <c r="AC86" i="10"/>
  <c r="AC85" i="10" s="1"/>
  <c r="S206" i="44"/>
  <c r="Z103" i="33" s="1"/>
  <c r="Z105" i="33" s="1"/>
  <c r="Z56" i="33"/>
  <c r="Z59" i="33" s="1"/>
  <c r="U930" i="97"/>
  <c r="R86" i="10"/>
  <c r="R85" i="10" s="1"/>
  <c r="R38" i="10"/>
  <c r="D90" i="10"/>
  <c r="G932" i="97" s="1"/>
  <c r="D45" i="10"/>
  <c r="D44" i="10" s="1"/>
  <c r="G179" i="44"/>
  <c r="N104" i="33" s="1"/>
  <c r="N106" i="33" s="1"/>
  <c r="E39" i="10"/>
  <c r="L36" i="89"/>
  <c r="W36" i="103"/>
  <c r="AB215" i="44"/>
  <c r="K930" i="97"/>
  <c r="H38" i="10"/>
  <c r="H86" i="10"/>
  <c r="H85" i="10" s="1"/>
  <c r="R179" i="44"/>
  <c r="Y104" i="33" s="1"/>
  <c r="Y106" i="33" s="1"/>
  <c r="W36" i="89"/>
  <c r="AH36" i="103"/>
  <c r="P39" i="10"/>
  <c r="S930" i="97" s="1"/>
  <c r="AB91" i="10"/>
  <c r="AD152" i="44"/>
  <c r="O215" i="44"/>
  <c r="AQ56" i="33"/>
  <c r="AQ59" i="33" s="1"/>
  <c r="AJ206" i="44"/>
  <c r="AQ103" i="33" s="1"/>
  <c r="AQ105" i="33" s="1"/>
  <c r="L59" i="33"/>
  <c r="AS56" i="33"/>
  <c r="R214" i="44"/>
  <c r="K215" i="44"/>
  <c r="E215" i="44"/>
  <c r="AG206" i="44"/>
  <c r="AN103" i="33" s="1"/>
  <c r="AN105" i="33" s="1"/>
  <c r="AN56" i="33"/>
  <c r="AN59" i="33" s="1"/>
  <c r="V86" i="10"/>
  <c r="V85" i="10" s="1"/>
  <c r="V38" i="10"/>
  <c r="Y215" i="44"/>
  <c r="F215" i="44" l="1"/>
  <c r="AD214" i="44"/>
  <c r="AJ215" i="44"/>
  <c r="AG215" i="44"/>
  <c r="H930" i="97"/>
  <c r="E86" i="10"/>
  <c r="E85" i="10" s="1"/>
  <c r="E38" i="10"/>
  <c r="X38" i="10"/>
  <c r="X86" i="10"/>
  <c r="X85" i="10" s="1"/>
  <c r="D86" i="10"/>
  <c r="D85" i="10" s="1"/>
  <c r="D38" i="10"/>
  <c r="AD45" i="10"/>
  <c r="AD44" i="10" s="1"/>
  <c r="AD90" i="10"/>
  <c r="AG932" i="97" s="1"/>
  <c r="AF45" i="10"/>
  <c r="AF44" i="10" s="1"/>
  <c r="AF90" i="10"/>
  <c r="AI932" i="97" s="1"/>
  <c r="AF214" i="44"/>
  <c r="AE38" i="10"/>
  <c r="AE86" i="10"/>
  <c r="AE85" i="10" s="1"/>
  <c r="AK39" i="10"/>
  <c r="AH86" i="10"/>
  <c r="AH38" i="10"/>
  <c r="AL39" i="10"/>
  <c r="AH930" i="97"/>
  <c r="AH179" i="44"/>
  <c r="AO104" i="33" s="1"/>
  <c r="AO106" i="33" s="1"/>
  <c r="AX36" i="103"/>
  <c r="AF39" i="10"/>
  <c r="AM36" i="89"/>
  <c r="AK930" i="97"/>
  <c r="AB90" i="10"/>
  <c r="AE932" i="97" s="1"/>
  <c r="AB45" i="10"/>
  <c r="AB44" i="10" s="1"/>
  <c r="AD179" i="44"/>
  <c r="AK104" i="33" s="1"/>
  <c r="AK106" i="33" s="1"/>
  <c r="AB39" i="10"/>
  <c r="AT36" i="103"/>
  <c r="AI36" i="89"/>
  <c r="G215" i="44"/>
  <c r="AQ104" i="33"/>
  <c r="AQ106" i="33" s="1"/>
  <c r="AO179" i="44"/>
  <c r="AL179" i="44"/>
  <c r="AD215" i="44"/>
  <c r="AM56" i="33"/>
  <c r="AM59" i="33" s="1"/>
  <c r="AF206" i="44"/>
  <c r="AM103" i="33" s="1"/>
  <c r="AM105" i="33" s="1"/>
  <c r="AA930" i="97"/>
  <c r="P86" i="10"/>
  <c r="P85" i="10" s="1"/>
  <c r="P38" i="10"/>
  <c r="Z215" i="44"/>
  <c r="T930" i="97"/>
  <c r="Q38" i="10"/>
  <c r="Q86" i="10"/>
  <c r="Q85" i="10" s="1"/>
  <c r="AD206" i="44"/>
  <c r="AK103" i="33" s="1"/>
  <c r="AK105" i="33" s="1"/>
  <c r="AK56" i="33"/>
  <c r="AK59" i="33" s="1"/>
  <c r="M38" i="10"/>
  <c r="M86" i="10"/>
  <c r="M85" i="10" s="1"/>
  <c r="AF179" i="44"/>
  <c r="AM104" i="33" s="1"/>
  <c r="AM106" i="33" s="1"/>
  <c r="AK36" i="89"/>
  <c r="AD39" i="10"/>
  <c r="AV36" i="103"/>
  <c r="R930" i="97"/>
  <c r="O86" i="10"/>
  <c r="O85" i="10" s="1"/>
  <c r="O38" i="10"/>
  <c r="AK45" i="10"/>
  <c r="AH44" i="10"/>
  <c r="AL45" i="10"/>
  <c r="J38" i="10"/>
  <c r="J86" i="10"/>
  <c r="J85" i="10" s="1"/>
  <c r="R215" i="44"/>
  <c r="M930" i="97"/>
  <c r="AJ90" i="10"/>
  <c r="AK932" i="97"/>
  <c r="AF86" i="10" l="1"/>
  <c r="AF85" i="10" s="1"/>
  <c r="AF38" i="10"/>
  <c r="AD38" i="10"/>
  <c r="AD86" i="10"/>
  <c r="AD85" i="10" s="1"/>
  <c r="AB38" i="10"/>
  <c r="AB86" i="10"/>
  <c r="AB85" i="10" s="1"/>
  <c r="AL38" i="10"/>
  <c r="AK38" i="10"/>
  <c r="AH85" i="10"/>
  <c r="AJ85" i="10" s="1"/>
  <c r="AJ86" i="10"/>
  <c r="AG930" i="97"/>
  <c r="AL44" i="10"/>
  <c r="AK44" i="10"/>
  <c r="AI930" i="97"/>
  <c r="AE930" i="97"/>
  <c r="AF215" i="44"/>
  <c r="AH215"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Leslie Chinery</author>
    <author>Andrew Pettit</author>
    <author>Lauren Pederson</author>
  </authors>
  <commentList>
    <comment ref="C14" authorId="0" shapeId="0" xr:uid="{16A00753-5FFD-4138-A29D-C09DB118A663}">
      <text>
        <r>
          <rPr>
            <b/>
            <sz val="9"/>
            <color indexed="81"/>
            <rFont val="Tahoma"/>
            <family val="2"/>
          </rPr>
          <t xml:space="preserve">Note to Source Lead: </t>
        </r>
        <r>
          <rPr>
            <sz val="9"/>
            <color indexed="81"/>
            <rFont val="Tahoma"/>
            <family val="2"/>
          </rPr>
          <t xml:space="preserve">This column is optional for when the CRF variable name does not match the data entered. Examples may include: 
1)  using category structure to provide estimates on country-specific source, 2) including partial estimate for a category, column can note source that is included) or 3) using more country specific labeling consistent with data. </t>
        </r>
      </text>
    </comment>
    <comment ref="F546" authorId="1" shapeId="0" xr:uid="{336F2C07-8FA5-46F7-80FE-57262AA6DDF9}">
      <text>
        <r>
          <rPr>
            <sz val="9"/>
            <color indexed="81"/>
            <rFont val="Tahoma"/>
            <family val="2"/>
          </rPr>
          <t>Fuel consumed in and emissions from Agriculture/Forestry/Fisheries are included under Other Manufacturing Industries and Construction (1.A.2.g).</t>
        </r>
      </text>
    </comment>
    <comment ref="G546" authorId="1" shapeId="0" xr:uid="{F17055C6-0D86-46EA-992B-74D19224598A}">
      <text>
        <r>
          <rPr>
            <sz val="9"/>
            <color indexed="81"/>
            <rFont val="Tahoma"/>
            <family val="2"/>
          </rPr>
          <t>Fuel consumed in and emissions from Agriculture/Forestry/Fisheries are included under Other Manufacturing Industries and Construction (1.A.2.g).</t>
        </r>
      </text>
    </comment>
    <comment ref="H546" authorId="1" shapeId="0" xr:uid="{946C0D21-1445-4B56-B9F2-1ADEFFBB797F}">
      <text>
        <r>
          <rPr>
            <sz val="9"/>
            <color indexed="81"/>
            <rFont val="Tahoma"/>
            <family val="2"/>
          </rPr>
          <t>Fuel consumed in and emissions from Agriculture/Forestry/Fisheries are included under Other Manufacturing Industries and Construction (1.A.2.g).</t>
        </r>
      </text>
    </comment>
    <comment ref="I546" authorId="1" shapeId="0" xr:uid="{A295471F-7494-424F-92DF-9EC4763B275F}">
      <text>
        <r>
          <rPr>
            <sz val="9"/>
            <color indexed="81"/>
            <rFont val="Tahoma"/>
            <family val="2"/>
          </rPr>
          <t>Fuel consumed in and emissions from Agriculture/Forestry/Fisheries are included under Other Manufacturing Industries and Construction (1.A.2.g).</t>
        </r>
      </text>
    </comment>
    <comment ref="J546" authorId="1" shapeId="0" xr:uid="{E0117B73-D693-4FC9-971D-853E82926250}">
      <text>
        <r>
          <rPr>
            <sz val="9"/>
            <color indexed="81"/>
            <rFont val="Tahoma"/>
            <family val="2"/>
          </rPr>
          <t>Fuel consumed in and emissions from Agriculture/Forestry/Fisheries are included under Other Manufacturing Industries and Construction (1.A.2.g).</t>
        </r>
      </text>
    </comment>
    <comment ref="K546" authorId="1" shapeId="0" xr:uid="{E6551C94-D17B-4856-AB59-C5ED3EDF7CBD}">
      <text>
        <r>
          <rPr>
            <sz val="9"/>
            <color indexed="81"/>
            <rFont val="Tahoma"/>
            <family val="2"/>
          </rPr>
          <t>Fuel consumed in and emissions from Agriculture/Forestry/Fisheries are included under Other Manufacturing Industries and Construction (1.A.2.g).</t>
        </r>
      </text>
    </comment>
    <comment ref="L546" authorId="1" shapeId="0" xr:uid="{8AD8D1A6-55DD-43DD-AC94-847AEC357319}">
      <text>
        <r>
          <rPr>
            <sz val="9"/>
            <color indexed="81"/>
            <rFont val="Tahoma"/>
            <family val="2"/>
          </rPr>
          <t>Fuel consumed in and emissions from Agriculture/Forestry/Fisheries are included under Other Manufacturing Industries and Construction (1.A.2.g).</t>
        </r>
      </text>
    </comment>
    <comment ref="M546" authorId="1" shapeId="0" xr:uid="{CC084D51-4DF0-4838-AE07-41D5A2DBE8FE}">
      <text>
        <r>
          <rPr>
            <sz val="9"/>
            <color indexed="81"/>
            <rFont val="Tahoma"/>
            <family val="2"/>
          </rPr>
          <t>Fuel consumed in and emissions from Agriculture/Forestry/Fisheries are included under Other Manufacturing Industries and Construction (1.A.2.g).</t>
        </r>
      </text>
    </comment>
    <comment ref="N546" authorId="1" shapeId="0" xr:uid="{BFE86693-AB4D-4071-AA16-40AA64316C45}">
      <text>
        <r>
          <rPr>
            <sz val="9"/>
            <color indexed="81"/>
            <rFont val="Tahoma"/>
            <family val="2"/>
          </rPr>
          <t>Fuel consumed in and emissions from Agriculture/Forestry/Fisheries are included under Other Manufacturing Industries and Construction (1.A.2.g).</t>
        </r>
      </text>
    </comment>
    <comment ref="O546" authorId="1" shapeId="0" xr:uid="{E837E4B0-5796-432B-BCE0-EE080AFBFC54}">
      <text>
        <r>
          <rPr>
            <sz val="9"/>
            <color indexed="81"/>
            <rFont val="Tahoma"/>
            <family val="2"/>
          </rPr>
          <t>Fuel consumed in and emissions from Agriculture/Forestry/Fisheries are included under Other Manufacturing Industries and Construction (1.A.2.g).</t>
        </r>
      </text>
    </comment>
    <comment ref="P546" authorId="1" shapeId="0" xr:uid="{2A33F047-96AD-4823-9F11-09F485FB8DB9}">
      <text>
        <r>
          <rPr>
            <sz val="9"/>
            <color indexed="81"/>
            <rFont val="Tahoma"/>
            <family val="2"/>
          </rPr>
          <t>Fuel consumed in and emissions from Agriculture/Forestry/Fisheries are included under Other Manufacturing Industries and Construction (1.A.2.g).</t>
        </r>
      </text>
    </comment>
    <comment ref="Q546" authorId="1" shapeId="0" xr:uid="{8A773289-4915-4F3F-BB22-EE975A004D44}">
      <text>
        <r>
          <rPr>
            <sz val="9"/>
            <color indexed="81"/>
            <rFont val="Tahoma"/>
            <family val="2"/>
          </rPr>
          <t>Fuel consumed in and emissions from Agriculture/Forestry/Fisheries are included under Other Manufacturing Industries and Construction (1.A.2.g).</t>
        </r>
      </text>
    </comment>
    <comment ref="R546" authorId="1" shapeId="0" xr:uid="{CA8843AD-527E-4F0D-985C-84106F9AA09B}">
      <text>
        <r>
          <rPr>
            <sz val="9"/>
            <color indexed="81"/>
            <rFont val="Tahoma"/>
            <family val="2"/>
          </rPr>
          <t>Fuel consumed in and emissions from Agriculture/Forestry/Fisheries are included under Other Manufacturing Industries and Construction (1.A.2.g).</t>
        </r>
      </text>
    </comment>
    <comment ref="S546" authorId="1" shapeId="0" xr:uid="{753D6758-73E1-4FBE-A57F-A8F0555F515F}">
      <text>
        <r>
          <rPr>
            <sz val="9"/>
            <color indexed="81"/>
            <rFont val="Tahoma"/>
            <family val="2"/>
          </rPr>
          <t>Fuel consumed in and emissions from Agriculture/Forestry/Fisheries are included under Other Manufacturing Industries and Construction (1.A.2.g).</t>
        </r>
      </text>
    </comment>
    <comment ref="T546" authorId="1" shapeId="0" xr:uid="{1B3425A7-32C7-4AD7-BA29-FFD6EC56CC34}">
      <text>
        <r>
          <rPr>
            <sz val="9"/>
            <color indexed="81"/>
            <rFont val="Tahoma"/>
            <family val="2"/>
          </rPr>
          <t>Fuel consumed in and emissions from Agriculture/Forestry/Fisheries are included under Other Manufacturing Industries and Construction (1.A.2.g).</t>
        </r>
      </text>
    </comment>
    <comment ref="U546" authorId="1" shapeId="0" xr:uid="{88F22F03-317C-4E5A-807D-F3419756EA11}">
      <text>
        <r>
          <rPr>
            <sz val="9"/>
            <color indexed="81"/>
            <rFont val="Tahoma"/>
            <family val="2"/>
          </rPr>
          <t>Fuel consumed in and emissions from Agriculture/Forestry/Fisheries are included under Other Manufacturing Industries and Construction (1.A.2.g).</t>
        </r>
      </text>
    </comment>
    <comment ref="V546" authorId="1" shapeId="0" xr:uid="{B8524A1B-8945-4675-8796-25F9FF8E1FB4}">
      <text>
        <r>
          <rPr>
            <sz val="9"/>
            <color indexed="81"/>
            <rFont val="Tahoma"/>
            <family val="2"/>
          </rPr>
          <t>Fuel consumed in and emissions from Agriculture/Forestry/Fisheries are included under Other Manufacturing Industries and Construction (1.A.2.g).</t>
        </r>
      </text>
    </comment>
    <comment ref="W546" authorId="1" shapeId="0" xr:uid="{FAF1C457-D049-4A5C-8185-1D18665FC468}">
      <text>
        <r>
          <rPr>
            <sz val="9"/>
            <color indexed="81"/>
            <rFont val="Tahoma"/>
            <family val="2"/>
          </rPr>
          <t>Fuel consumed in and emissions from Agriculture/Forestry/Fisheries are included under Other Manufacturing Industries and Construction (1.A.2.g).</t>
        </r>
      </text>
    </comment>
    <comment ref="X546" authorId="1" shapeId="0" xr:uid="{D5DBCEBF-1AA4-4152-883B-B2DA6C8E0675}">
      <text>
        <r>
          <rPr>
            <sz val="9"/>
            <color indexed="81"/>
            <rFont val="Tahoma"/>
            <family val="2"/>
          </rPr>
          <t>Fuel consumed in and emissions from Agriculture/Forestry/Fisheries are included under Other Manufacturing Industries and Construction (1.A.2.g).</t>
        </r>
      </text>
    </comment>
    <comment ref="Y546" authorId="1" shapeId="0" xr:uid="{D7120D45-BCD0-4826-B6E5-CF22F14102B6}">
      <text>
        <r>
          <rPr>
            <sz val="9"/>
            <color indexed="81"/>
            <rFont val="Tahoma"/>
            <family val="2"/>
          </rPr>
          <t>Fuel consumed in and emissions from Agriculture/Forestry/Fisheries are included under Other Manufacturing Industries and Construction (1.A.2.g).</t>
        </r>
      </text>
    </comment>
    <comment ref="Z546" authorId="1" shapeId="0" xr:uid="{22569C30-0EDA-4EBE-B15A-C5F933920007}">
      <text>
        <r>
          <rPr>
            <sz val="9"/>
            <color indexed="81"/>
            <rFont val="Tahoma"/>
            <family val="2"/>
          </rPr>
          <t>Fuel consumed in and emissions from Agriculture/Forestry/Fisheries are included under Other Manufacturing Industries and Construction (1.A.2.g).</t>
        </r>
      </text>
    </comment>
    <comment ref="AA546" authorId="1" shapeId="0" xr:uid="{541930E2-D3E9-4002-96F3-EA224E05E54D}">
      <text>
        <r>
          <rPr>
            <sz val="9"/>
            <color indexed="81"/>
            <rFont val="Tahoma"/>
            <family val="2"/>
          </rPr>
          <t>Fuel consumed in and emissions from Agriculture/Forestry/Fisheries are included under Other Manufacturing Industries and Construction (1.A.2.g).</t>
        </r>
      </text>
    </comment>
    <comment ref="AB546" authorId="1" shapeId="0" xr:uid="{DCDFB548-E204-43EF-A6B1-6B66867EC8E8}">
      <text>
        <r>
          <rPr>
            <sz val="9"/>
            <color indexed="81"/>
            <rFont val="Tahoma"/>
            <family val="2"/>
          </rPr>
          <t>Fuel consumed in and emissions from Agriculture/Forestry/Fisheries are included under Other Manufacturing Industries and Construction (1.A.2.g).</t>
        </r>
      </text>
    </comment>
    <comment ref="AC546" authorId="1" shapeId="0" xr:uid="{8902C457-2714-42F7-8FF3-2C45842E1A79}">
      <text>
        <r>
          <rPr>
            <sz val="9"/>
            <color indexed="81"/>
            <rFont val="Tahoma"/>
            <family val="2"/>
          </rPr>
          <t>Fuel consumed in and emissions from Agriculture/Forestry/Fisheries are included under Other Manufacturing Industries and Construction (1.A.2.g).</t>
        </r>
      </text>
    </comment>
    <comment ref="AD546" authorId="1" shapeId="0" xr:uid="{80E8390E-7A92-4CC3-AD40-0C125810AF36}">
      <text>
        <r>
          <rPr>
            <sz val="9"/>
            <color indexed="81"/>
            <rFont val="Tahoma"/>
            <family val="2"/>
          </rPr>
          <t>Fuel consumed in and emissions from Agriculture/Forestry/Fisheries are included under Other Manufacturing Industries and Construction (1.A.2.g).</t>
        </r>
      </text>
    </comment>
    <comment ref="AE546" authorId="1" shapeId="0" xr:uid="{92104727-0190-4D7E-BA04-9F571475C0A9}">
      <text>
        <r>
          <rPr>
            <sz val="9"/>
            <color indexed="81"/>
            <rFont val="Tahoma"/>
            <family val="2"/>
          </rPr>
          <t>Fuel consumed in and emissions from Agriculture/Forestry/Fisheries are included under Other Manufacturing Industries and Construction (1.A.2.g).</t>
        </r>
      </text>
    </comment>
    <comment ref="AF546" authorId="1" shapeId="0" xr:uid="{3BEC54BE-560A-4D21-A07B-E031525C3BB4}">
      <text>
        <r>
          <rPr>
            <sz val="9"/>
            <color indexed="81"/>
            <rFont val="Tahoma"/>
            <family val="2"/>
          </rPr>
          <t>Fuel consumed in and emissions from Agriculture/Forestry/Fisheries are included under Other Manufacturing Industries and Construction (1.A.2.g).</t>
        </r>
      </text>
    </comment>
    <comment ref="AG546" authorId="1" shapeId="0" xr:uid="{F1182A3A-CEB0-4CFE-BD2C-656F9E5CBF35}">
      <text>
        <r>
          <rPr>
            <sz val="9"/>
            <color indexed="81"/>
            <rFont val="Tahoma"/>
            <family val="2"/>
          </rPr>
          <t>Fuel consumed in and emissions from Agriculture/Forestry/Fisheries are included under Other Manufacturing Industries and Construction (1.A.2.g).</t>
        </r>
      </text>
    </comment>
    <comment ref="AH546" authorId="1" shapeId="0" xr:uid="{3458FC23-1E9F-4700-BDB0-D5AC65FC503F}">
      <text>
        <r>
          <rPr>
            <sz val="9"/>
            <color indexed="81"/>
            <rFont val="Tahoma"/>
            <family val="2"/>
          </rPr>
          <t>Fuel consumed in and emissions from Agriculture/Forestry/Fisheries are included under Other Manufacturing Industries and Construction (1.A.2.g).</t>
        </r>
      </text>
    </comment>
    <comment ref="AI546" authorId="1" shapeId="0" xr:uid="{6F5502D6-E183-4BAE-AC72-4B7F57F8CBE8}">
      <text>
        <r>
          <rPr>
            <sz val="9"/>
            <color indexed="81"/>
            <rFont val="Tahoma"/>
            <family val="2"/>
          </rPr>
          <t>Fuel consumed in and emissions from Agriculture/Forestry/Fisheries are included under Other Manufacturing Industries and Construction (1.A.2.g).</t>
        </r>
      </text>
    </comment>
    <comment ref="AJ546" authorId="1" shapeId="0" xr:uid="{888DBDF2-4629-48EC-B790-DDFB67A08EFC}">
      <text>
        <r>
          <rPr>
            <sz val="9"/>
            <color indexed="81"/>
            <rFont val="Tahoma"/>
            <family val="2"/>
          </rPr>
          <t>Fuel consumed in and emissions from Agriculture/Forestry/Fisheries are included under Other Manufacturing Industries and Construction (1.A.2.g).</t>
        </r>
      </text>
    </comment>
    <comment ref="AK546" authorId="1" shapeId="0" xr:uid="{62226B08-A426-48CC-B698-15C0676FB62F}">
      <text>
        <r>
          <rPr>
            <sz val="9"/>
            <color indexed="81"/>
            <rFont val="Tahoma"/>
            <family val="2"/>
          </rPr>
          <t>Fuel consumed in and emissions from Agriculture/Forestry/Fisheries are included under Other Manufacturing Industries and Construction (1.A.2.g).</t>
        </r>
      </text>
    </comment>
    <comment ref="F548" authorId="1" shapeId="0" xr:uid="{0730D552-6249-4385-BB50-5819E6987080}">
      <text>
        <r>
          <rPr>
            <sz val="9"/>
            <color indexed="81"/>
            <rFont val="Tahoma"/>
            <family val="2"/>
          </rPr>
          <t>Fuel consumed in and emissions from Agriculture/Forestry/Fisheries are included under Other Manufacturing Industries and Construction (1.A.2.g).</t>
        </r>
      </text>
    </comment>
    <comment ref="G548" authorId="1" shapeId="0" xr:uid="{6B547652-24F2-48DB-8D03-9F863595E8A5}">
      <text>
        <r>
          <rPr>
            <sz val="9"/>
            <color indexed="81"/>
            <rFont val="Tahoma"/>
            <family val="2"/>
          </rPr>
          <t>Fuel consumed in and emissions from Agriculture/Forestry/Fisheries are included under Other Manufacturing Industries and Construction (1.A.2.g).</t>
        </r>
      </text>
    </comment>
    <comment ref="H548" authorId="1" shapeId="0" xr:uid="{197B67A9-6E7E-4ABB-A65B-4692FBF4A3C3}">
      <text>
        <r>
          <rPr>
            <sz val="9"/>
            <color indexed="81"/>
            <rFont val="Tahoma"/>
            <family val="2"/>
          </rPr>
          <t>Fuel consumed in and emissions from Agriculture/Forestry/Fisheries are included under Other Manufacturing Industries and Construction (1.A.2.g).</t>
        </r>
      </text>
    </comment>
    <comment ref="I548" authorId="1" shapeId="0" xr:uid="{43467B17-B929-4F75-8AFF-7357920E4E05}">
      <text>
        <r>
          <rPr>
            <sz val="9"/>
            <color indexed="81"/>
            <rFont val="Tahoma"/>
            <family val="2"/>
          </rPr>
          <t>Fuel consumed in and emissions from Agriculture/Forestry/Fisheries are included under Other Manufacturing Industries and Construction (1.A.2.g).</t>
        </r>
      </text>
    </comment>
    <comment ref="J548" authorId="1" shapeId="0" xr:uid="{FB19FA38-D512-4346-81BB-49952E38042B}">
      <text>
        <r>
          <rPr>
            <sz val="9"/>
            <color indexed="81"/>
            <rFont val="Tahoma"/>
            <family val="2"/>
          </rPr>
          <t>Fuel consumed in and emissions from Agriculture/Forestry/Fisheries are included under Other Manufacturing Industries and Construction (1.A.2.g).</t>
        </r>
      </text>
    </comment>
    <comment ref="K548" authorId="1" shapeId="0" xr:uid="{AD58C64E-C64C-4AC2-98F7-61093FE36299}">
      <text>
        <r>
          <rPr>
            <sz val="9"/>
            <color indexed="81"/>
            <rFont val="Tahoma"/>
            <family val="2"/>
          </rPr>
          <t>Fuel consumed in and emissions from Agriculture/Forestry/Fisheries are included under Other Manufacturing Industries and Construction (1.A.2.g).</t>
        </r>
      </text>
    </comment>
    <comment ref="L548" authorId="1" shapeId="0" xr:uid="{A2C5F41C-DFE5-43F7-9270-37165ED7FB0C}">
      <text>
        <r>
          <rPr>
            <sz val="9"/>
            <color indexed="81"/>
            <rFont val="Tahoma"/>
            <family val="2"/>
          </rPr>
          <t>Fuel consumed in and emissions from Agriculture/Forestry/Fisheries are included under Other Manufacturing Industries and Construction (1.A.2.g).</t>
        </r>
      </text>
    </comment>
    <comment ref="M548" authorId="1" shapeId="0" xr:uid="{AC53AFAC-7361-43A2-A7A8-CD02733B4AB6}">
      <text>
        <r>
          <rPr>
            <sz val="9"/>
            <color indexed="81"/>
            <rFont val="Tahoma"/>
            <family val="2"/>
          </rPr>
          <t>Fuel consumed in and emissions from Agriculture/Forestry/Fisheries are included under Other Manufacturing Industries and Construction (1.A.2.g).</t>
        </r>
      </text>
    </comment>
    <comment ref="N548" authorId="1" shapeId="0" xr:uid="{9EB2F10E-5502-4189-BB2B-269811F2A72A}">
      <text>
        <r>
          <rPr>
            <sz val="9"/>
            <color indexed="81"/>
            <rFont val="Tahoma"/>
            <family val="2"/>
          </rPr>
          <t>Fuel consumed in and emissions from Agriculture/Forestry/Fisheries are included under Other Manufacturing Industries and Construction (1.A.2.g).</t>
        </r>
      </text>
    </comment>
    <comment ref="O548" authorId="1" shapeId="0" xr:uid="{291A0EA0-141B-4A35-9E2B-A9BD39CEC606}">
      <text>
        <r>
          <rPr>
            <sz val="9"/>
            <color indexed="81"/>
            <rFont val="Tahoma"/>
            <family val="2"/>
          </rPr>
          <t>Fuel consumed in and emissions from Agriculture/Forestry/Fisheries are included under Other Manufacturing Industries and Construction (1.A.2.g).</t>
        </r>
      </text>
    </comment>
    <comment ref="P548" authorId="1" shapeId="0" xr:uid="{ECD3BE23-A1E9-48AA-8F32-1891DD851495}">
      <text>
        <r>
          <rPr>
            <sz val="9"/>
            <color indexed="81"/>
            <rFont val="Tahoma"/>
            <family val="2"/>
          </rPr>
          <t>Fuel consumed in and emissions from Agriculture/Forestry/Fisheries are included under Other Manufacturing Industries and Construction (1.A.2.g).</t>
        </r>
      </text>
    </comment>
    <comment ref="Q548" authorId="1" shapeId="0" xr:uid="{4852AE4B-379C-44EA-8BC2-16A505414663}">
      <text>
        <r>
          <rPr>
            <sz val="9"/>
            <color indexed="81"/>
            <rFont val="Tahoma"/>
            <family val="2"/>
          </rPr>
          <t>Fuel consumed in and emissions from Agriculture/Forestry/Fisheries are included under Other Manufacturing Industries and Construction (1.A.2.g).</t>
        </r>
      </text>
    </comment>
    <comment ref="R548" authorId="1" shapeId="0" xr:uid="{AA7F057D-121E-438F-BDEF-2FABC3E0DB72}">
      <text>
        <r>
          <rPr>
            <sz val="9"/>
            <color indexed="81"/>
            <rFont val="Tahoma"/>
            <family val="2"/>
          </rPr>
          <t>Fuel consumed in and emissions from Agriculture/Forestry/Fisheries are included under Other Manufacturing Industries and Construction (1.A.2.g).</t>
        </r>
      </text>
    </comment>
    <comment ref="S548" authorId="1" shapeId="0" xr:uid="{DA6D2334-DB7D-4D5D-A13F-0C258C214DA6}">
      <text>
        <r>
          <rPr>
            <sz val="9"/>
            <color indexed="81"/>
            <rFont val="Tahoma"/>
            <family val="2"/>
          </rPr>
          <t>Fuel consumed in and emissions from Agriculture/Forestry/Fisheries are included under Other Manufacturing Industries and Construction (1.A.2.g).</t>
        </r>
      </text>
    </comment>
    <comment ref="T548" authorId="1" shapeId="0" xr:uid="{DF6FB95D-6C5C-43CC-B931-DADAE9120391}">
      <text>
        <r>
          <rPr>
            <sz val="9"/>
            <color indexed="81"/>
            <rFont val="Tahoma"/>
            <family val="2"/>
          </rPr>
          <t>Fuel consumed in and emissions from Agriculture/Forestry/Fisheries are included under Other Manufacturing Industries and Construction (1.A.2.g).</t>
        </r>
      </text>
    </comment>
    <comment ref="U548" authorId="1" shapeId="0" xr:uid="{26269BB6-4395-4307-92BD-2FDC622DE977}">
      <text>
        <r>
          <rPr>
            <sz val="9"/>
            <color indexed="81"/>
            <rFont val="Tahoma"/>
            <family val="2"/>
          </rPr>
          <t>Fuel consumed in and emissions from Agriculture/Forestry/Fisheries are included under Other Manufacturing Industries and Construction (1.A.2.g).</t>
        </r>
      </text>
    </comment>
    <comment ref="V548" authorId="1" shapeId="0" xr:uid="{F988500F-C945-49D7-B25C-EDB7CAEDFD4F}">
      <text>
        <r>
          <rPr>
            <sz val="9"/>
            <color indexed="81"/>
            <rFont val="Tahoma"/>
            <family val="2"/>
          </rPr>
          <t>Fuel consumed in and emissions from Agriculture/Forestry/Fisheries are included under Other Manufacturing Industries and Construction (1.A.2.g).</t>
        </r>
      </text>
    </comment>
    <comment ref="W548" authorId="1" shapeId="0" xr:uid="{58F7957C-E0DE-4F05-B813-075D296EE334}">
      <text>
        <r>
          <rPr>
            <sz val="9"/>
            <color indexed="81"/>
            <rFont val="Tahoma"/>
            <family val="2"/>
          </rPr>
          <t>Fuel consumed in and emissions from Agriculture/Forestry/Fisheries are included under Other Manufacturing Industries and Construction (1.A.2.g).</t>
        </r>
      </text>
    </comment>
    <comment ref="X548" authorId="1" shapeId="0" xr:uid="{E8DD043B-ED8A-46FC-9C1B-51D52995BD08}">
      <text>
        <r>
          <rPr>
            <sz val="9"/>
            <color indexed="81"/>
            <rFont val="Tahoma"/>
            <family val="2"/>
          </rPr>
          <t>Fuel consumed in and emissions from Agriculture/Forestry/Fisheries are included under Other Manufacturing Industries and Construction (1.A.2.g).</t>
        </r>
      </text>
    </comment>
    <comment ref="Y548" authorId="1" shapeId="0" xr:uid="{90829702-E63E-4F61-9D96-F9FC047914AB}">
      <text>
        <r>
          <rPr>
            <sz val="9"/>
            <color indexed="81"/>
            <rFont val="Tahoma"/>
            <family val="2"/>
          </rPr>
          <t>Fuel consumed in and emissions from Agriculture/Forestry/Fisheries are included under Other Manufacturing Industries and Construction (1.A.2.g).</t>
        </r>
      </text>
    </comment>
    <comment ref="Z548" authorId="1" shapeId="0" xr:uid="{3A013D52-1CF6-4B39-94E5-12079A69D2A8}">
      <text>
        <r>
          <rPr>
            <sz val="9"/>
            <color indexed="81"/>
            <rFont val="Tahoma"/>
            <family val="2"/>
          </rPr>
          <t>Fuel consumed in and emissions from Agriculture/Forestry/Fisheries are included under Other Manufacturing Industries and Construction (1.A.2.g).</t>
        </r>
      </text>
    </comment>
    <comment ref="AA548" authorId="1" shapeId="0" xr:uid="{8FB054CE-C2B1-4C0B-A63D-9BE3EFD44C6D}">
      <text>
        <r>
          <rPr>
            <sz val="9"/>
            <color indexed="81"/>
            <rFont val="Tahoma"/>
            <family val="2"/>
          </rPr>
          <t>Fuel consumed in and emissions from Agriculture/Forestry/Fisheries are included under Other Manufacturing Industries and Construction (1.A.2.g).</t>
        </r>
      </text>
    </comment>
    <comment ref="AB548" authorId="1" shapeId="0" xr:uid="{DDD230FD-694A-4551-81FD-DB133229FDFF}">
      <text>
        <r>
          <rPr>
            <sz val="9"/>
            <color indexed="81"/>
            <rFont val="Tahoma"/>
            <family val="2"/>
          </rPr>
          <t>Fuel consumed in and emissions from Agriculture/Forestry/Fisheries are included under Other Manufacturing Industries and Construction (1.A.2.g).</t>
        </r>
      </text>
    </comment>
    <comment ref="AC548" authorId="1" shapeId="0" xr:uid="{743C36CE-477E-4A13-AAC0-59103FC8DA34}">
      <text>
        <r>
          <rPr>
            <sz val="9"/>
            <color indexed="81"/>
            <rFont val="Tahoma"/>
            <family val="2"/>
          </rPr>
          <t>Fuel consumed in and emissions from Agriculture/Forestry/Fisheries are included under Other Manufacturing Industries and Construction (1.A.2.g).</t>
        </r>
      </text>
    </comment>
    <comment ref="AD548" authorId="1" shapeId="0" xr:uid="{60596EA8-D213-40F6-A3F5-20F9EFF1E250}">
      <text>
        <r>
          <rPr>
            <sz val="9"/>
            <color indexed="81"/>
            <rFont val="Tahoma"/>
            <family val="2"/>
          </rPr>
          <t>Fuel consumed in and emissions from Agriculture/Forestry/Fisheries are included under Other Manufacturing Industries and Construction (1.A.2.g).</t>
        </r>
      </text>
    </comment>
    <comment ref="AE548" authorId="1" shapeId="0" xr:uid="{0523CB5C-20EC-4556-A173-A03BA44DE491}">
      <text>
        <r>
          <rPr>
            <sz val="9"/>
            <color indexed="81"/>
            <rFont val="Tahoma"/>
            <family val="2"/>
          </rPr>
          <t>Fuel consumed in and emissions from Agriculture/Forestry/Fisheries are included under Other Manufacturing Industries and Construction (1.A.2.g).</t>
        </r>
      </text>
    </comment>
    <comment ref="AF548" authorId="1" shapeId="0" xr:uid="{AB227D66-B1C5-4394-9903-4F77FC3D7385}">
      <text>
        <r>
          <rPr>
            <sz val="9"/>
            <color indexed="81"/>
            <rFont val="Tahoma"/>
            <family val="2"/>
          </rPr>
          <t>Fuel consumed in and emissions from Agriculture/Forestry/Fisheries are included under Other Manufacturing Industries and Construction (1.A.2.g).</t>
        </r>
      </text>
    </comment>
    <comment ref="AG548" authorId="1" shapeId="0" xr:uid="{DBD31F14-417C-457A-B5BD-CFCE65D5F256}">
      <text>
        <r>
          <rPr>
            <sz val="9"/>
            <color indexed="81"/>
            <rFont val="Tahoma"/>
            <family val="2"/>
          </rPr>
          <t>Fuel consumed in and emissions from Agriculture/Forestry/Fisheries are included under Other Manufacturing Industries and Construction (1.A.2.g).</t>
        </r>
      </text>
    </comment>
    <comment ref="F551" authorId="1" shapeId="0" xr:uid="{A85C0784-82C2-4B54-941C-DCA117B6601C}">
      <text>
        <r>
          <rPr>
            <sz val="9"/>
            <color indexed="81"/>
            <rFont val="Tahoma"/>
            <family val="2"/>
          </rPr>
          <t>Fuel consumed in and emissions from Agriculture/Forestry/Fisheries are included under Other Manufacturing Industries and Construction (1.A.2.g).</t>
        </r>
      </text>
    </comment>
    <comment ref="G551" authorId="1" shapeId="0" xr:uid="{91DBFE4D-3E89-4107-8DBC-629D6A944F8D}">
      <text>
        <r>
          <rPr>
            <sz val="9"/>
            <color indexed="81"/>
            <rFont val="Tahoma"/>
            <family val="2"/>
          </rPr>
          <t>Fuel consumed in and emissions from Agriculture/Forestry/Fisheries are included under Other Manufacturing Industries and Construction (1.A.2.g).</t>
        </r>
      </text>
    </comment>
    <comment ref="H551" authorId="1" shapeId="0" xr:uid="{E626B4BE-5CEE-4336-AE24-3114839771AC}">
      <text>
        <r>
          <rPr>
            <sz val="9"/>
            <color indexed="81"/>
            <rFont val="Tahoma"/>
            <family val="2"/>
          </rPr>
          <t>Fuel consumed in and emissions from Agriculture/Forestry/Fisheries are included under Other Manufacturing Industries and Construction (1.A.2.g).</t>
        </r>
      </text>
    </comment>
    <comment ref="I551" authorId="1" shapeId="0" xr:uid="{82D35967-FAF6-4CD1-B5BA-460370424D3E}">
      <text>
        <r>
          <rPr>
            <sz val="9"/>
            <color indexed="81"/>
            <rFont val="Tahoma"/>
            <family val="2"/>
          </rPr>
          <t>Fuel consumed in and emissions from Agriculture/Forestry/Fisheries are included under Other Manufacturing Industries and Construction (1.A.2.g).</t>
        </r>
      </text>
    </comment>
    <comment ref="J551" authorId="1" shapeId="0" xr:uid="{693837BE-30A6-4EEA-BF3B-3822DE09237C}">
      <text>
        <r>
          <rPr>
            <sz val="9"/>
            <color indexed="81"/>
            <rFont val="Tahoma"/>
            <family val="2"/>
          </rPr>
          <t>Fuel consumed in and emissions from Agriculture/Forestry/Fisheries are included under Other Manufacturing Industries and Construction (1.A.2.g).</t>
        </r>
      </text>
    </comment>
    <comment ref="K551" authorId="1" shapeId="0" xr:uid="{0AD38894-7AA8-4437-9890-A46BAEF47897}">
      <text>
        <r>
          <rPr>
            <sz val="9"/>
            <color indexed="81"/>
            <rFont val="Tahoma"/>
            <family val="2"/>
          </rPr>
          <t>Fuel consumed in and emissions from Agriculture/Forestry/Fisheries are included under Other Manufacturing Industries and Construction (1.A.2.g).</t>
        </r>
      </text>
    </comment>
    <comment ref="L551" authorId="1" shapeId="0" xr:uid="{870B9E84-9B9F-4354-924C-E164243FBBE3}">
      <text>
        <r>
          <rPr>
            <sz val="9"/>
            <color indexed="81"/>
            <rFont val="Tahoma"/>
            <family val="2"/>
          </rPr>
          <t>Fuel consumed in and emissions from Agriculture/Forestry/Fisheries are included under Other Manufacturing Industries and Construction (1.A.2.g).</t>
        </r>
      </text>
    </comment>
    <comment ref="M551" authorId="1" shapeId="0" xr:uid="{462A6D2D-573C-4232-9FB1-F6BBCC9F0945}">
      <text>
        <r>
          <rPr>
            <sz val="9"/>
            <color indexed="81"/>
            <rFont val="Tahoma"/>
            <family val="2"/>
          </rPr>
          <t>Fuel consumed in and emissions from Agriculture/Forestry/Fisheries are included under Other Manufacturing Industries and Construction (1.A.2.g).</t>
        </r>
      </text>
    </comment>
    <comment ref="N551" authorId="1" shapeId="0" xr:uid="{90DC4852-F647-4802-B18A-96894BFFE55F}">
      <text>
        <r>
          <rPr>
            <sz val="9"/>
            <color indexed="81"/>
            <rFont val="Tahoma"/>
            <family val="2"/>
          </rPr>
          <t>Fuel consumed in and emissions from Agriculture/Forestry/Fisheries are included under Other Manufacturing Industries and Construction (1.A.2.g).</t>
        </r>
      </text>
    </comment>
    <comment ref="O551" authorId="1" shapeId="0" xr:uid="{6AF61F4A-0083-4E1C-A944-2D1DA91C95A6}">
      <text>
        <r>
          <rPr>
            <sz val="9"/>
            <color indexed="81"/>
            <rFont val="Tahoma"/>
            <family val="2"/>
          </rPr>
          <t>Fuel consumed in and emissions from Agriculture/Forestry/Fisheries are included under Other Manufacturing Industries and Construction (1.A.2.g).</t>
        </r>
      </text>
    </comment>
    <comment ref="P551" authorId="1" shapeId="0" xr:uid="{D3B947C8-8C8E-4E3C-82B7-1C0A39C2970A}">
      <text>
        <r>
          <rPr>
            <sz val="9"/>
            <color indexed="81"/>
            <rFont val="Tahoma"/>
            <family val="2"/>
          </rPr>
          <t>Fuel consumed in and emissions from Agriculture/Forestry/Fisheries are included under Other Manufacturing Industries and Construction (1.A.2.g).</t>
        </r>
      </text>
    </comment>
    <comment ref="Q551" authorId="1" shapeId="0" xr:uid="{E17649D9-1A24-4C31-BA76-42B581B344A0}">
      <text>
        <r>
          <rPr>
            <sz val="9"/>
            <color indexed="81"/>
            <rFont val="Tahoma"/>
            <family val="2"/>
          </rPr>
          <t>Fuel consumed in and emissions from Agriculture/Forestry/Fisheries are included under Other Manufacturing Industries and Construction (1.A.2.g).</t>
        </r>
      </text>
    </comment>
    <comment ref="R551" authorId="1" shapeId="0" xr:uid="{590CC212-3C58-44FA-A453-0F209C73DCBE}">
      <text>
        <r>
          <rPr>
            <sz val="9"/>
            <color indexed="81"/>
            <rFont val="Tahoma"/>
            <family val="2"/>
          </rPr>
          <t>Fuel consumed in and emissions from Agriculture/Forestry/Fisheries are included under Other Manufacturing Industries and Construction (1.A.2.g).</t>
        </r>
      </text>
    </comment>
    <comment ref="S551" authorId="1" shapeId="0" xr:uid="{0900C9E9-3B09-40B9-A2D7-DFEB6F774605}">
      <text>
        <r>
          <rPr>
            <sz val="9"/>
            <color indexed="81"/>
            <rFont val="Tahoma"/>
            <family val="2"/>
          </rPr>
          <t>Fuel consumed in and emissions from Agriculture/Forestry/Fisheries are included under Other Manufacturing Industries and Construction (1.A.2.g).</t>
        </r>
      </text>
    </comment>
    <comment ref="T551" authorId="1" shapeId="0" xr:uid="{9B64A772-CD64-450D-BF26-2D2C638D49FD}">
      <text>
        <r>
          <rPr>
            <sz val="9"/>
            <color indexed="81"/>
            <rFont val="Tahoma"/>
            <family val="2"/>
          </rPr>
          <t>Fuel consumed in and emissions from Agriculture/Forestry/Fisheries are included under Other Manufacturing Industries and Construction (1.A.2.g).</t>
        </r>
      </text>
    </comment>
    <comment ref="U551" authorId="1" shapeId="0" xr:uid="{CB2DDE03-DD6A-4BC3-8B89-609D428AF538}">
      <text>
        <r>
          <rPr>
            <sz val="9"/>
            <color indexed="81"/>
            <rFont val="Tahoma"/>
            <family val="2"/>
          </rPr>
          <t>Fuel consumed in and emissions from Agriculture/Forestry/Fisheries are included under Other Manufacturing Industries and Construction (1.A.2.g).</t>
        </r>
      </text>
    </comment>
    <comment ref="V551" authorId="1" shapeId="0" xr:uid="{E4A7951F-2DCC-4859-AE9A-077D03C8678B}">
      <text>
        <r>
          <rPr>
            <sz val="9"/>
            <color indexed="81"/>
            <rFont val="Tahoma"/>
            <family val="2"/>
          </rPr>
          <t>Fuel consumed in and emissions from Agriculture/Forestry/Fisheries are included under Other Manufacturing Industries and Construction (1.A.2.g).</t>
        </r>
      </text>
    </comment>
    <comment ref="W551" authorId="1" shapeId="0" xr:uid="{3AF18268-D8AE-4E06-874A-347C5E6F94A4}">
      <text>
        <r>
          <rPr>
            <sz val="9"/>
            <color indexed="81"/>
            <rFont val="Tahoma"/>
            <family val="2"/>
          </rPr>
          <t>Fuel consumed in and emissions from Agriculture/Forestry/Fisheries are included under Other Manufacturing Industries and Construction (1.A.2.g).</t>
        </r>
      </text>
    </comment>
    <comment ref="X551" authorId="1" shapeId="0" xr:uid="{B2C34EB1-5906-41DB-8DFA-2EA0F53D76E2}">
      <text>
        <r>
          <rPr>
            <sz val="9"/>
            <color indexed="81"/>
            <rFont val="Tahoma"/>
            <family val="2"/>
          </rPr>
          <t>Fuel consumed in and emissions from Agriculture/Forestry/Fisheries are included under Other Manufacturing Industries and Construction (1.A.2.g).</t>
        </r>
      </text>
    </comment>
    <comment ref="Y551" authorId="1" shapeId="0" xr:uid="{B8A220AD-2B74-48A2-9CC8-55EC59BBAEA8}">
      <text>
        <r>
          <rPr>
            <sz val="9"/>
            <color indexed="81"/>
            <rFont val="Tahoma"/>
            <family val="2"/>
          </rPr>
          <t>Fuel consumed in and emissions from Agriculture/Forestry/Fisheries are included under Other Manufacturing Industries and Construction (1.A.2.g).</t>
        </r>
      </text>
    </comment>
    <comment ref="Z551" authorId="1" shapeId="0" xr:uid="{553C18F1-3E8F-4FA5-9E9F-F822486FEAC3}">
      <text>
        <r>
          <rPr>
            <sz val="9"/>
            <color indexed="81"/>
            <rFont val="Tahoma"/>
            <family val="2"/>
          </rPr>
          <t>Fuel consumed in and emissions from Agriculture/Forestry/Fisheries are included under Other Manufacturing Industries and Construction (1.A.2.g).</t>
        </r>
      </text>
    </comment>
    <comment ref="AA551" authorId="1" shapeId="0" xr:uid="{63812380-E84C-4B17-961B-971BE7D6E67E}">
      <text>
        <r>
          <rPr>
            <sz val="9"/>
            <color indexed="81"/>
            <rFont val="Tahoma"/>
            <family val="2"/>
          </rPr>
          <t>Fuel consumed in and emissions from Agriculture/Forestry/Fisheries are included under Other Manufacturing Industries and Construction (1.A.2.g).</t>
        </r>
      </text>
    </comment>
    <comment ref="AB551" authorId="1" shapeId="0" xr:uid="{D47FC43A-D9E2-4027-A54A-C4C0BE820251}">
      <text>
        <r>
          <rPr>
            <sz val="9"/>
            <color indexed="81"/>
            <rFont val="Tahoma"/>
            <family val="2"/>
          </rPr>
          <t>Fuel consumed in and emissions from Agriculture/Forestry/Fisheries are included under Other Manufacturing Industries and Construction (1.A.2.g).</t>
        </r>
      </text>
    </comment>
    <comment ref="AC551" authorId="1" shapeId="0" xr:uid="{DAE6D4E7-51E3-449A-85CF-F9DE0AF0C24F}">
      <text>
        <r>
          <rPr>
            <sz val="9"/>
            <color indexed="81"/>
            <rFont val="Tahoma"/>
            <family val="2"/>
          </rPr>
          <t>Fuel consumed in and emissions from Agriculture/Forestry/Fisheries are included under Other Manufacturing Industries and Construction (1.A.2.g).</t>
        </r>
      </text>
    </comment>
    <comment ref="AD551" authorId="1" shapeId="0" xr:uid="{A56925F0-49CC-4D72-A774-D8B04D33D514}">
      <text>
        <r>
          <rPr>
            <sz val="9"/>
            <color indexed="81"/>
            <rFont val="Tahoma"/>
            <family val="2"/>
          </rPr>
          <t>Fuel consumed in and emissions from Agriculture/Forestry/Fisheries are included under Other Manufacturing Industries and Construction (1.A.2.g).</t>
        </r>
      </text>
    </comment>
    <comment ref="AE551" authorId="1" shapeId="0" xr:uid="{F1007D5C-DBBC-4FA8-9ED7-39BEDC3C523D}">
      <text>
        <r>
          <rPr>
            <sz val="9"/>
            <color indexed="81"/>
            <rFont val="Tahoma"/>
            <family val="2"/>
          </rPr>
          <t>Fuel consumed in and emissions from Agriculture/Forestry/Fisheries are included under Other Manufacturing Industries and Construction (1.A.2.g).</t>
        </r>
      </text>
    </comment>
    <comment ref="AF551" authorId="1" shapeId="0" xr:uid="{A9576042-8163-4248-A8CF-7021439D5675}">
      <text>
        <r>
          <rPr>
            <sz val="9"/>
            <color indexed="81"/>
            <rFont val="Tahoma"/>
            <family val="2"/>
          </rPr>
          <t>Fuel consumed in and emissions from Agriculture/Forestry/Fisheries are included under Other Manufacturing Industries and Construction (1.A.2.g).</t>
        </r>
      </text>
    </comment>
    <comment ref="AG551" authorId="1" shapeId="0" xr:uid="{C2056370-AE36-4D72-B640-524C000F5A6B}">
      <text>
        <r>
          <rPr>
            <sz val="9"/>
            <color indexed="81"/>
            <rFont val="Tahoma"/>
            <family val="2"/>
          </rPr>
          <t>Fuel consumed in and emissions from Agriculture/Forestry/Fisheries are included under Other Manufacturing Industries and Construction (1.A.2.g).</t>
        </r>
      </text>
    </comment>
    <comment ref="AH551" authorId="1" shapeId="0" xr:uid="{57239A25-6BE4-46DA-8079-EBF789C748C7}">
      <text>
        <r>
          <rPr>
            <sz val="9"/>
            <color indexed="81"/>
            <rFont val="Tahoma"/>
            <family val="2"/>
          </rPr>
          <t>Fuel consumed in and emissions from Agriculture/Forestry/Fisheries are included under Other Manufacturing Industries and Construction (1.A.2.g).</t>
        </r>
      </text>
    </comment>
    <comment ref="AI551" authorId="1" shapeId="0" xr:uid="{8B94B8CC-B20C-4CE2-A29A-59BD4EFD7593}">
      <text>
        <r>
          <rPr>
            <sz val="9"/>
            <color indexed="81"/>
            <rFont val="Tahoma"/>
            <family val="2"/>
          </rPr>
          <t>Fuel consumed in and emissions from Agriculture/Forestry/Fisheries are included under Other Manufacturing Industries and Construction (1.A.2.g).</t>
        </r>
      </text>
    </comment>
    <comment ref="AJ551" authorId="1" shapeId="0" xr:uid="{F32F72E4-5865-4A5D-B3A9-ABA96A386475}">
      <text>
        <r>
          <rPr>
            <sz val="9"/>
            <color indexed="81"/>
            <rFont val="Tahoma"/>
            <family val="2"/>
          </rPr>
          <t>Fuel consumed in and emissions from Agriculture/Forestry/Fisheries are included under Other Manufacturing Industries and Construction (1.A.2.g).</t>
        </r>
      </text>
    </comment>
    <comment ref="AK551" authorId="1" shapeId="0" xr:uid="{97664A06-4837-4248-9969-712654FCE66F}">
      <text>
        <r>
          <rPr>
            <sz val="9"/>
            <color indexed="81"/>
            <rFont val="Tahoma"/>
            <family val="2"/>
          </rPr>
          <t>Fuel consumed in and emissions from Agriculture/Forestry/Fisheries are included under Other Manufacturing Industries and Construction (1.A.2.g).</t>
        </r>
      </text>
    </comment>
    <comment ref="F553" authorId="1" shapeId="0" xr:uid="{CBF99D1A-F548-4357-8589-6CB7E5FD08A6}">
      <text>
        <r>
          <rPr>
            <sz val="9"/>
            <color indexed="81"/>
            <rFont val="Tahoma"/>
            <family val="2"/>
          </rPr>
          <t>Fuel consumed in and emissions from Agriculture/Forestry/Fisheries are included under Other Manufacturing Industries and Construction (1.A.2.g).</t>
        </r>
      </text>
    </comment>
    <comment ref="G553" authorId="1" shapeId="0" xr:uid="{85631A79-0CB4-4379-A2E4-01754B37ED62}">
      <text>
        <r>
          <rPr>
            <sz val="9"/>
            <color indexed="81"/>
            <rFont val="Tahoma"/>
            <family val="2"/>
          </rPr>
          <t>Fuel consumed in and emissions from Agriculture/Forestry/Fisheries are included under Other Manufacturing Industries and Construction (1.A.2.g).</t>
        </r>
      </text>
    </comment>
    <comment ref="H553" authorId="1" shapeId="0" xr:uid="{BAC09527-E6C6-434C-AFE8-D7ADBF9E38B6}">
      <text>
        <r>
          <rPr>
            <sz val="9"/>
            <color indexed="81"/>
            <rFont val="Tahoma"/>
            <family val="2"/>
          </rPr>
          <t>Fuel consumed in and emissions from Agriculture/Forestry/Fisheries are included under Other Manufacturing Industries and Construction (1.A.2.g).</t>
        </r>
      </text>
    </comment>
    <comment ref="I553" authorId="1" shapeId="0" xr:uid="{F131954E-6207-4B66-AAB6-96FC5C6984AD}">
      <text>
        <r>
          <rPr>
            <sz val="9"/>
            <color indexed="81"/>
            <rFont val="Tahoma"/>
            <family val="2"/>
          </rPr>
          <t>Fuel consumed in and emissions from Agriculture/Forestry/Fisheries are included under Other Manufacturing Industries and Construction (1.A.2.g).</t>
        </r>
      </text>
    </comment>
    <comment ref="J553" authorId="1" shapeId="0" xr:uid="{AE1603F2-6233-4F24-BC72-DD272195F93B}">
      <text>
        <r>
          <rPr>
            <sz val="9"/>
            <color indexed="81"/>
            <rFont val="Tahoma"/>
            <family val="2"/>
          </rPr>
          <t>Fuel consumed in and emissions from Agriculture/Forestry/Fisheries are included under Other Manufacturing Industries and Construction (1.A.2.g).</t>
        </r>
      </text>
    </comment>
    <comment ref="K553" authorId="1" shapeId="0" xr:uid="{C31FBE78-3489-4460-8C1A-7469EEE25BF5}">
      <text>
        <r>
          <rPr>
            <sz val="9"/>
            <color indexed="81"/>
            <rFont val="Tahoma"/>
            <family val="2"/>
          </rPr>
          <t>Fuel consumed in and emissions from Agriculture/Forestry/Fisheries are included under Other Manufacturing Industries and Construction (1.A.2.g).</t>
        </r>
      </text>
    </comment>
    <comment ref="L553" authorId="1" shapeId="0" xr:uid="{97405D6B-B7CA-4ACB-8058-684061358B57}">
      <text>
        <r>
          <rPr>
            <sz val="9"/>
            <color indexed="81"/>
            <rFont val="Tahoma"/>
            <family val="2"/>
          </rPr>
          <t>Fuel consumed in and emissions from Agriculture/Forestry/Fisheries are included under Other Manufacturing Industries and Construction (1.A.2.g).</t>
        </r>
      </text>
    </comment>
    <comment ref="M553" authorId="1" shapeId="0" xr:uid="{64E741CC-C6D3-4F1D-A9B8-199319755E11}">
      <text>
        <r>
          <rPr>
            <sz val="9"/>
            <color indexed="81"/>
            <rFont val="Tahoma"/>
            <family val="2"/>
          </rPr>
          <t>Fuel consumed in and emissions from Agriculture/Forestry/Fisheries are included under Other Manufacturing Industries and Construction (1.A.2.g).</t>
        </r>
      </text>
    </comment>
    <comment ref="N553" authorId="1" shapeId="0" xr:uid="{759BB987-841E-4801-BC0E-8C30C3B46BEB}">
      <text>
        <r>
          <rPr>
            <sz val="9"/>
            <color indexed="81"/>
            <rFont val="Tahoma"/>
            <family val="2"/>
          </rPr>
          <t>Fuel consumed in and emissions from Agriculture/Forestry/Fisheries are included under Other Manufacturing Industries and Construction (1.A.2.g).</t>
        </r>
      </text>
    </comment>
    <comment ref="O553" authorId="1" shapeId="0" xr:uid="{63ACB0F2-4D70-45A8-A438-8D4F527B3309}">
      <text>
        <r>
          <rPr>
            <sz val="9"/>
            <color indexed="81"/>
            <rFont val="Tahoma"/>
            <family val="2"/>
          </rPr>
          <t>Fuel consumed in and emissions from Agriculture/Forestry/Fisheries are included under Other Manufacturing Industries and Construction (1.A.2.g).</t>
        </r>
      </text>
    </comment>
    <comment ref="P553" authorId="1" shapeId="0" xr:uid="{CE2A77EB-4158-4591-8B27-0E5520654FA8}">
      <text>
        <r>
          <rPr>
            <sz val="9"/>
            <color indexed="81"/>
            <rFont val="Tahoma"/>
            <family val="2"/>
          </rPr>
          <t>Fuel consumed in and emissions from Agriculture/Forestry/Fisheries are included under Other Manufacturing Industries and Construction (1.A.2.g).</t>
        </r>
      </text>
    </comment>
    <comment ref="Q553" authorId="1" shapeId="0" xr:uid="{E602204D-E69B-46BD-A5C7-E563F45AF05A}">
      <text>
        <r>
          <rPr>
            <sz val="9"/>
            <color indexed="81"/>
            <rFont val="Tahoma"/>
            <family val="2"/>
          </rPr>
          <t>Fuel consumed in and emissions from Agriculture/Forestry/Fisheries are included under Other Manufacturing Industries and Construction (1.A.2.g).</t>
        </r>
      </text>
    </comment>
    <comment ref="R553" authorId="1" shapeId="0" xr:uid="{C9AB2523-CC20-485C-A403-4DEF9C950ED4}">
      <text>
        <r>
          <rPr>
            <sz val="9"/>
            <color indexed="81"/>
            <rFont val="Tahoma"/>
            <family val="2"/>
          </rPr>
          <t>Fuel consumed in and emissions from Agriculture/Forestry/Fisheries are included under Other Manufacturing Industries and Construction (1.A.2.g).</t>
        </r>
      </text>
    </comment>
    <comment ref="S553" authorId="1" shapeId="0" xr:uid="{24CEE179-DACD-45A6-A6AB-910C98BF21AD}">
      <text>
        <r>
          <rPr>
            <sz val="9"/>
            <color indexed="81"/>
            <rFont val="Tahoma"/>
            <family val="2"/>
          </rPr>
          <t>Fuel consumed in and emissions from Agriculture/Forestry/Fisheries are included under Other Manufacturing Industries and Construction (1.A.2.g).</t>
        </r>
      </text>
    </comment>
    <comment ref="T553" authorId="1" shapeId="0" xr:uid="{F6AA6644-D906-421D-AE52-D88ACE9741F3}">
      <text>
        <r>
          <rPr>
            <sz val="9"/>
            <color indexed="81"/>
            <rFont val="Tahoma"/>
            <family val="2"/>
          </rPr>
          <t>Fuel consumed in and emissions from Agriculture/Forestry/Fisheries are included under Other Manufacturing Industries and Construction (1.A.2.g).</t>
        </r>
      </text>
    </comment>
    <comment ref="U553" authorId="1" shapeId="0" xr:uid="{0D8555B4-C8D8-4C7E-B5A8-3688BBA27598}">
      <text>
        <r>
          <rPr>
            <sz val="9"/>
            <color indexed="81"/>
            <rFont val="Tahoma"/>
            <family val="2"/>
          </rPr>
          <t>Fuel consumed in and emissions from Agriculture/Forestry/Fisheries are included under Other Manufacturing Industries and Construction (1.A.2.g).</t>
        </r>
      </text>
    </comment>
    <comment ref="V553" authorId="1" shapeId="0" xr:uid="{5780D7FD-A96C-473F-9623-AF13496C3F5D}">
      <text>
        <r>
          <rPr>
            <sz val="9"/>
            <color indexed="81"/>
            <rFont val="Tahoma"/>
            <family val="2"/>
          </rPr>
          <t>Fuel consumed in and emissions from Agriculture/Forestry/Fisheries are included under Other Manufacturing Industries and Construction (1.A.2.g).</t>
        </r>
      </text>
    </comment>
    <comment ref="W553" authorId="1" shapeId="0" xr:uid="{BEC5D677-9097-4D4A-B775-CD359E5E5C6E}">
      <text>
        <r>
          <rPr>
            <sz val="9"/>
            <color indexed="81"/>
            <rFont val="Tahoma"/>
            <family val="2"/>
          </rPr>
          <t>Fuel consumed in and emissions from Agriculture/Forestry/Fisheries are included under Other Manufacturing Industries and Construction (1.A.2.g).</t>
        </r>
      </text>
    </comment>
    <comment ref="X553" authorId="1" shapeId="0" xr:uid="{8A396266-30DB-4445-A7F9-F2A4A63FA9EB}">
      <text>
        <r>
          <rPr>
            <sz val="9"/>
            <color indexed="81"/>
            <rFont val="Tahoma"/>
            <family val="2"/>
          </rPr>
          <t>Fuel consumed in and emissions from Agriculture/Forestry/Fisheries are included under Other Manufacturing Industries and Construction (1.A.2.g).</t>
        </r>
      </text>
    </comment>
    <comment ref="Y553" authorId="1" shapeId="0" xr:uid="{863A7D2F-2850-4EC0-BCF9-28B4677BAC37}">
      <text>
        <r>
          <rPr>
            <sz val="9"/>
            <color indexed="81"/>
            <rFont val="Tahoma"/>
            <family val="2"/>
          </rPr>
          <t>Fuel consumed in and emissions from Agriculture/Forestry/Fisheries are included under Other Manufacturing Industries and Construction (1.A.2.g).</t>
        </r>
      </text>
    </comment>
    <comment ref="Z553" authorId="1" shapeId="0" xr:uid="{13AD2334-9BD9-462E-9B5C-C7360133E191}">
      <text>
        <r>
          <rPr>
            <sz val="9"/>
            <color indexed="81"/>
            <rFont val="Tahoma"/>
            <family val="2"/>
          </rPr>
          <t>Fuel consumed in and emissions from Agriculture/Forestry/Fisheries are included under Other Manufacturing Industries and Construction (1.A.2.g).</t>
        </r>
      </text>
    </comment>
    <comment ref="AA553" authorId="1" shapeId="0" xr:uid="{A4B5BBE8-E631-4CF3-8B36-FDE716F8056F}">
      <text>
        <r>
          <rPr>
            <sz val="9"/>
            <color indexed="81"/>
            <rFont val="Tahoma"/>
            <family val="2"/>
          </rPr>
          <t>Fuel consumed in and emissions from Agriculture/Forestry/Fisheries are included under Other Manufacturing Industries and Construction (1.A.2.g).</t>
        </r>
      </text>
    </comment>
    <comment ref="AB553" authorId="1" shapeId="0" xr:uid="{C4FFCE91-08FE-4DBA-B40A-7632A9202F2E}">
      <text>
        <r>
          <rPr>
            <sz val="9"/>
            <color indexed="81"/>
            <rFont val="Tahoma"/>
            <family val="2"/>
          </rPr>
          <t>Fuel consumed in and emissions from Agriculture/Forestry/Fisheries are included under Other Manufacturing Industries and Construction (1.A.2.g).</t>
        </r>
      </text>
    </comment>
    <comment ref="AC553" authorId="1" shapeId="0" xr:uid="{E97F6ED5-3266-41F9-96B8-CFFC6740A7C5}">
      <text>
        <r>
          <rPr>
            <sz val="9"/>
            <color indexed="81"/>
            <rFont val="Tahoma"/>
            <family val="2"/>
          </rPr>
          <t>Fuel consumed in and emissions from Agriculture/Forestry/Fisheries are included under Other Manufacturing Industries and Construction (1.A.2.g).</t>
        </r>
      </text>
    </comment>
    <comment ref="AD553" authorId="1" shapeId="0" xr:uid="{3DD3EB81-764E-46FB-BC26-043FF8869282}">
      <text>
        <r>
          <rPr>
            <sz val="9"/>
            <color indexed="81"/>
            <rFont val="Tahoma"/>
            <family val="2"/>
          </rPr>
          <t>Fuel consumed in and emissions from Agriculture/Forestry/Fisheries are included under Other Manufacturing Industries and Construction (1.A.2.g).</t>
        </r>
      </text>
    </comment>
    <comment ref="AE553" authorId="1" shapeId="0" xr:uid="{1987F330-0B30-48F4-A9D5-5BD0F548E07A}">
      <text>
        <r>
          <rPr>
            <sz val="9"/>
            <color indexed="81"/>
            <rFont val="Tahoma"/>
            <family val="2"/>
          </rPr>
          <t>Fuel consumed in and emissions from Agriculture/Forestry/Fisheries are included under Other Manufacturing Industries and Construction (1.A.2.g).</t>
        </r>
      </text>
    </comment>
    <comment ref="AF553" authorId="1" shapeId="0" xr:uid="{BD1E838C-1604-489D-95A0-4B765645F14F}">
      <text>
        <r>
          <rPr>
            <sz val="9"/>
            <color indexed="81"/>
            <rFont val="Tahoma"/>
            <family val="2"/>
          </rPr>
          <t>Fuel consumed in and emissions from Agriculture/Forestry/Fisheries are included under Other Manufacturing Industries and Construction (1.A.2.g).</t>
        </r>
      </text>
    </comment>
    <comment ref="AG553" authorId="1" shapeId="0" xr:uid="{C7525882-B198-4BEB-ACD9-8AB3889E2966}">
      <text>
        <r>
          <rPr>
            <sz val="9"/>
            <color indexed="81"/>
            <rFont val="Tahoma"/>
            <family val="2"/>
          </rPr>
          <t>Fuel consumed in and emissions from Agriculture/Forestry/Fisheries are included under Other Manufacturing Industries and Construction (1.A.2.g).</t>
        </r>
      </text>
    </comment>
    <comment ref="F556" authorId="1" shapeId="0" xr:uid="{CEC34FD5-5864-4226-B1F4-2413839221D5}">
      <text>
        <r>
          <rPr>
            <sz val="9"/>
            <color indexed="81"/>
            <rFont val="Tahoma"/>
            <family val="2"/>
          </rPr>
          <t>Fuel consumed in and emissions from Agriculture/Forestry/Fisheries are included under Other Manufacturing Industries and Construction (1.A.2.g).</t>
        </r>
      </text>
    </comment>
    <comment ref="G556" authorId="1" shapeId="0" xr:uid="{0BD5E904-B3A9-40C8-8032-AD85E30B3572}">
      <text>
        <r>
          <rPr>
            <sz val="9"/>
            <color indexed="81"/>
            <rFont val="Tahoma"/>
            <family val="2"/>
          </rPr>
          <t>Fuel consumed in and emissions from Agriculture/Forestry/Fisheries are included under Other Manufacturing Industries and Construction (1.A.2.g).</t>
        </r>
      </text>
    </comment>
    <comment ref="H556" authorId="1" shapeId="0" xr:uid="{384228CE-075B-4A71-99D4-FE4FE527542B}">
      <text>
        <r>
          <rPr>
            <sz val="9"/>
            <color indexed="81"/>
            <rFont val="Tahoma"/>
            <family val="2"/>
          </rPr>
          <t>Fuel consumed in and emissions from Agriculture/Forestry/Fisheries are included under Other Manufacturing Industries and Construction (1.A.2.g).</t>
        </r>
      </text>
    </comment>
    <comment ref="I556" authorId="1" shapeId="0" xr:uid="{2D478CF3-3171-483B-8E8B-3E2915ED96FB}">
      <text>
        <r>
          <rPr>
            <sz val="9"/>
            <color indexed="81"/>
            <rFont val="Tahoma"/>
            <family val="2"/>
          </rPr>
          <t>Fuel consumed in and emissions from Agriculture/Forestry/Fisheries are included under Other Manufacturing Industries and Construction (1.A.2.g).</t>
        </r>
      </text>
    </comment>
    <comment ref="J556" authorId="1" shapeId="0" xr:uid="{F899EA60-6494-410D-83D5-3609FB8CD805}">
      <text>
        <r>
          <rPr>
            <sz val="9"/>
            <color indexed="81"/>
            <rFont val="Tahoma"/>
            <family val="2"/>
          </rPr>
          <t>Fuel consumed in and emissions from Agriculture/Forestry/Fisheries are included under Other Manufacturing Industries and Construction (1.A.2.g).</t>
        </r>
      </text>
    </comment>
    <comment ref="K556" authorId="1" shapeId="0" xr:uid="{BDF1F983-544D-4F18-8BB7-41FEB51099A0}">
      <text>
        <r>
          <rPr>
            <sz val="9"/>
            <color indexed="81"/>
            <rFont val="Tahoma"/>
            <family val="2"/>
          </rPr>
          <t>Fuel consumed in and emissions from Agriculture/Forestry/Fisheries are included under Other Manufacturing Industries and Construction (1.A.2.g).</t>
        </r>
      </text>
    </comment>
    <comment ref="L556" authorId="1" shapeId="0" xr:uid="{82E320A1-3F16-4F2E-884A-83D7F0B505CB}">
      <text>
        <r>
          <rPr>
            <sz val="9"/>
            <color indexed="81"/>
            <rFont val="Tahoma"/>
            <family val="2"/>
          </rPr>
          <t>Fuel consumed in and emissions from Agriculture/Forestry/Fisheries are included under Other Manufacturing Industries and Construction (1.A.2.g).</t>
        </r>
      </text>
    </comment>
    <comment ref="M556" authorId="1" shapeId="0" xr:uid="{82E7A81D-AEA2-46AC-941B-B3949FEC5E7E}">
      <text>
        <r>
          <rPr>
            <sz val="9"/>
            <color indexed="81"/>
            <rFont val="Tahoma"/>
            <family val="2"/>
          </rPr>
          <t>Fuel consumed in and emissions from Agriculture/Forestry/Fisheries are included under Other Manufacturing Industries and Construction (1.A.2.g).</t>
        </r>
      </text>
    </comment>
    <comment ref="N556" authorId="1" shapeId="0" xr:uid="{2BB81FF7-DB9A-4EE6-ACB0-386F8C4BDA73}">
      <text>
        <r>
          <rPr>
            <sz val="9"/>
            <color indexed="81"/>
            <rFont val="Tahoma"/>
            <family val="2"/>
          </rPr>
          <t>Fuel consumed in and emissions from Agriculture/Forestry/Fisheries are included under Other Manufacturing Industries and Construction (1.A.2.g).</t>
        </r>
      </text>
    </comment>
    <comment ref="O556" authorId="1" shapeId="0" xr:uid="{B69F2E78-B561-4C45-8FFB-8950A577B299}">
      <text>
        <r>
          <rPr>
            <sz val="9"/>
            <color indexed="81"/>
            <rFont val="Tahoma"/>
            <family val="2"/>
          </rPr>
          <t>Fuel consumed in and emissions from Agriculture/Forestry/Fisheries are included under Other Manufacturing Industries and Construction (1.A.2.g).</t>
        </r>
      </text>
    </comment>
    <comment ref="P556" authorId="1" shapeId="0" xr:uid="{7578BBA5-01F8-43FD-A307-AA69A9E8E9A1}">
      <text>
        <r>
          <rPr>
            <sz val="9"/>
            <color indexed="81"/>
            <rFont val="Tahoma"/>
            <family val="2"/>
          </rPr>
          <t>Fuel consumed in and emissions from Agriculture/Forestry/Fisheries are included under Other Manufacturing Industries and Construction (1.A.2.g).</t>
        </r>
      </text>
    </comment>
    <comment ref="Q556" authorId="1" shapeId="0" xr:uid="{AD2F5B51-BE25-4B90-B73F-75A25E11D009}">
      <text>
        <r>
          <rPr>
            <sz val="9"/>
            <color indexed="81"/>
            <rFont val="Tahoma"/>
            <family val="2"/>
          </rPr>
          <t>Fuel consumed in and emissions from Agriculture/Forestry/Fisheries are included under Other Manufacturing Industries and Construction (1.A.2.g).</t>
        </r>
      </text>
    </comment>
    <comment ref="R556" authorId="1" shapeId="0" xr:uid="{EB533882-5C31-446C-873B-A049C7622207}">
      <text>
        <r>
          <rPr>
            <sz val="9"/>
            <color indexed="81"/>
            <rFont val="Tahoma"/>
            <family val="2"/>
          </rPr>
          <t>Fuel consumed in and emissions from Agriculture/Forestry/Fisheries are included under Other Manufacturing Industries and Construction (1.A.2.g).</t>
        </r>
      </text>
    </comment>
    <comment ref="S556" authorId="1" shapeId="0" xr:uid="{DC96CB94-5440-4AA0-99B6-EB3030387C7F}">
      <text>
        <r>
          <rPr>
            <sz val="9"/>
            <color indexed="81"/>
            <rFont val="Tahoma"/>
            <family val="2"/>
          </rPr>
          <t>Fuel consumed in and emissions from Agriculture/Forestry/Fisheries are included under Other Manufacturing Industries and Construction (1.A.2.g).</t>
        </r>
      </text>
    </comment>
    <comment ref="T556" authorId="1" shapeId="0" xr:uid="{6A04C5A2-26B5-4BBF-AD8F-A5FAFF614325}">
      <text>
        <r>
          <rPr>
            <sz val="9"/>
            <color indexed="81"/>
            <rFont val="Tahoma"/>
            <family val="2"/>
          </rPr>
          <t>Fuel consumed in and emissions from Agriculture/Forestry/Fisheries are included under Other Manufacturing Industries and Construction (1.A.2.g).</t>
        </r>
      </text>
    </comment>
    <comment ref="U556" authorId="1" shapeId="0" xr:uid="{9FCCFC7F-37F3-4606-8BC8-83E2A13C6831}">
      <text>
        <r>
          <rPr>
            <sz val="9"/>
            <color indexed="81"/>
            <rFont val="Tahoma"/>
            <family val="2"/>
          </rPr>
          <t>Fuel consumed in and emissions from Agriculture/Forestry/Fisheries are included under Other Manufacturing Industries and Construction (1.A.2.g).</t>
        </r>
      </text>
    </comment>
    <comment ref="V556" authorId="1" shapeId="0" xr:uid="{3B16710F-B50D-4F4A-BD7F-6A3402226F91}">
      <text>
        <r>
          <rPr>
            <sz val="9"/>
            <color indexed="81"/>
            <rFont val="Tahoma"/>
            <family val="2"/>
          </rPr>
          <t>Fuel consumed in and emissions from Agriculture/Forestry/Fisheries are included under Other Manufacturing Industries and Construction (1.A.2.g).</t>
        </r>
      </text>
    </comment>
    <comment ref="W556" authorId="1" shapeId="0" xr:uid="{00267F08-3D64-4701-B79B-F4FB78EBFF90}">
      <text>
        <r>
          <rPr>
            <sz val="9"/>
            <color indexed="81"/>
            <rFont val="Tahoma"/>
            <family val="2"/>
          </rPr>
          <t>Fuel consumed in and emissions from Agriculture/Forestry/Fisheries are included under Other Manufacturing Industries and Construction (1.A.2.g).</t>
        </r>
      </text>
    </comment>
    <comment ref="X556" authorId="1" shapeId="0" xr:uid="{3976E2B1-50F3-4789-A9DC-F7C1FDEAA46D}">
      <text>
        <r>
          <rPr>
            <sz val="9"/>
            <color indexed="81"/>
            <rFont val="Tahoma"/>
            <family val="2"/>
          </rPr>
          <t>Fuel consumed in and emissions from Agriculture/Forestry/Fisheries are included under Other Manufacturing Industries and Construction (1.A.2.g).</t>
        </r>
      </text>
    </comment>
    <comment ref="Y556" authorId="1" shapeId="0" xr:uid="{5BEBB14B-601F-48B2-A530-07D9B7CF11F5}">
      <text>
        <r>
          <rPr>
            <sz val="9"/>
            <color indexed="81"/>
            <rFont val="Tahoma"/>
            <family val="2"/>
          </rPr>
          <t>Fuel consumed in and emissions from Agriculture/Forestry/Fisheries are included under Other Manufacturing Industries and Construction (1.A.2.g).</t>
        </r>
      </text>
    </comment>
    <comment ref="Z556" authorId="1" shapeId="0" xr:uid="{A1ED7A02-8A0D-436E-A450-279FC1A11556}">
      <text>
        <r>
          <rPr>
            <sz val="9"/>
            <color indexed="81"/>
            <rFont val="Tahoma"/>
            <family val="2"/>
          </rPr>
          <t>Fuel consumed in and emissions from Agriculture/Forestry/Fisheries are included under Other Manufacturing Industries and Construction (1.A.2.g).</t>
        </r>
      </text>
    </comment>
    <comment ref="AA556" authorId="1" shapeId="0" xr:uid="{2D80AAFF-EB61-4061-91B1-8B1D49E2DE1F}">
      <text>
        <r>
          <rPr>
            <sz val="9"/>
            <color indexed="81"/>
            <rFont val="Tahoma"/>
            <family val="2"/>
          </rPr>
          <t>Fuel consumed in and emissions from Agriculture/Forestry/Fisheries are included under Other Manufacturing Industries and Construction (1.A.2.g).</t>
        </r>
      </text>
    </comment>
    <comment ref="AB556" authorId="1" shapeId="0" xr:uid="{A28D208B-264D-4293-ACC4-1BBF8044351A}">
      <text>
        <r>
          <rPr>
            <sz val="9"/>
            <color indexed="81"/>
            <rFont val="Tahoma"/>
            <family val="2"/>
          </rPr>
          <t>Fuel consumed in and emissions from Agriculture/Forestry/Fisheries are included under Other Manufacturing Industries and Construction (1.A.2.g).</t>
        </r>
      </text>
    </comment>
    <comment ref="AC556" authorId="1" shapeId="0" xr:uid="{E462B62F-22A0-4345-BA8D-AFE253B775B6}">
      <text>
        <r>
          <rPr>
            <sz val="9"/>
            <color indexed="81"/>
            <rFont val="Tahoma"/>
            <family val="2"/>
          </rPr>
          <t>Fuel consumed in and emissions from Agriculture/Forestry/Fisheries are included under Other Manufacturing Industries and Construction (1.A.2.g).</t>
        </r>
      </text>
    </comment>
    <comment ref="AD556" authorId="1" shapeId="0" xr:uid="{D7CA3A00-4DAD-498D-875D-FEC6C9C9F5F8}">
      <text>
        <r>
          <rPr>
            <sz val="9"/>
            <color indexed="81"/>
            <rFont val="Tahoma"/>
            <family val="2"/>
          </rPr>
          <t>Fuel consumed in and emissions from Agriculture/Forestry/Fisheries are included under Other Manufacturing Industries and Construction (1.A.2.g).</t>
        </r>
      </text>
    </comment>
    <comment ref="AE556" authorId="1" shapeId="0" xr:uid="{BDAA3205-2323-4E7F-9363-63774F39BA04}">
      <text>
        <r>
          <rPr>
            <sz val="9"/>
            <color indexed="81"/>
            <rFont val="Tahoma"/>
            <family val="2"/>
          </rPr>
          <t>Fuel consumed in and emissions from Agriculture/Forestry/Fisheries are included under Other Manufacturing Industries and Construction (1.A.2.g).</t>
        </r>
      </text>
    </comment>
    <comment ref="AF556" authorId="1" shapeId="0" xr:uid="{FC518DA9-E241-40E8-BF19-DE1F46E4ACFF}">
      <text>
        <r>
          <rPr>
            <sz val="9"/>
            <color indexed="81"/>
            <rFont val="Tahoma"/>
            <family val="2"/>
          </rPr>
          <t>Fuel consumed in and emissions from Agriculture/Forestry/Fisheries are included under Other Manufacturing Industries and Construction (1.A.2.g).</t>
        </r>
      </text>
    </comment>
    <comment ref="AG556" authorId="1" shapeId="0" xr:uid="{93342EAE-8BA6-41B8-B2DC-802DA332EB48}">
      <text>
        <r>
          <rPr>
            <sz val="9"/>
            <color indexed="81"/>
            <rFont val="Tahoma"/>
            <family val="2"/>
          </rPr>
          <t>Fuel consumed in and emissions from Agriculture/Forestry/Fisheries are included under Other Manufacturing Industries and Construction (1.A.2.g).</t>
        </r>
      </text>
    </comment>
    <comment ref="AH556" authorId="1" shapeId="0" xr:uid="{CAEDCEDE-C900-4571-AF00-F234FBEFE424}">
      <text>
        <r>
          <rPr>
            <sz val="9"/>
            <color indexed="81"/>
            <rFont val="Tahoma"/>
            <family val="2"/>
          </rPr>
          <t>Fuel consumed in and emissions from Agriculture/Forestry/Fisheries are included under Other Manufacturing Industries and Construction (1.A.2.g).</t>
        </r>
      </text>
    </comment>
    <comment ref="AI556" authorId="1" shapeId="0" xr:uid="{77E2C358-7FF7-4A7F-BC93-32291D5A551E}">
      <text>
        <r>
          <rPr>
            <sz val="9"/>
            <color indexed="81"/>
            <rFont val="Tahoma"/>
            <family val="2"/>
          </rPr>
          <t>Fuel consumed in and emissions from Agriculture/Forestry/Fisheries are included under Other Manufacturing Industries and Construction (1.A.2.g).</t>
        </r>
      </text>
    </comment>
    <comment ref="AJ556" authorId="1" shapeId="0" xr:uid="{2C7E6D08-DB90-4E1A-97FB-F572C4AD4FF2}">
      <text>
        <r>
          <rPr>
            <sz val="9"/>
            <color indexed="81"/>
            <rFont val="Tahoma"/>
            <family val="2"/>
          </rPr>
          <t>Fuel consumed in and emissions from Agriculture/Forestry/Fisheries are included under Other Manufacturing Industries and Construction (1.A.2.g).</t>
        </r>
      </text>
    </comment>
    <comment ref="AK556" authorId="1" shapeId="0" xr:uid="{C7BFBD57-D0FE-48A9-B861-8A166DC28C28}">
      <text>
        <r>
          <rPr>
            <sz val="9"/>
            <color indexed="81"/>
            <rFont val="Tahoma"/>
            <family val="2"/>
          </rPr>
          <t>Fuel consumed in and emissions from Agriculture/Forestry/Fisheries are included under Other Manufacturing Industries and Construction (1.A.2.g).</t>
        </r>
      </text>
    </comment>
    <comment ref="F558" authorId="1" shapeId="0" xr:uid="{F4789EBD-9E0E-4165-9325-6C23FA7F18FE}">
      <text>
        <r>
          <rPr>
            <sz val="9"/>
            <color indexed="81"/>
            <rFont val="Tahoma"/>
            <family val="2"/>
          </rPr>
          <t>Fuel consumed in and emissions from Agriculture/Forestry/Fisheries are included under Other Manufacturing Industries and Construction (1.A.2.g).</t>
        </r>
      </text>
    </comment>
    <comment ref="G558" authorId="1" shapeId="0" xr:uid="{0806EF41-1084-4E9C-A305-CADF3E6CB4EC}">
      <text>
        <r>
          <rPr>
            <sz val="9"/>
            <color indexed="81"/>
            <rFont val="Tahoma"/>
            <family val="2"/>
          </rPr>
          <t>Fuel consumed in and emissions from Agriculture/Forestry/Fisheries are included under Other Manufacturing Industries and Construction (1.A.2.g).</t>
        </r>
      </text>
    </comment>
    <comment ref="H558" authorId="1" shapeId="0" xr:uid="{AC232CA0-C7F0-44CC-B6C2-2A268BCC9603}">
      <text>
        <r>
          <rPr>
            <sz val="9"/>
            <color indexed="81"/>
            <rFont val="Tahoma"/>
            <family val="2"/>
          </rPr>
          <t>Fuel consumed in and emissions from Agriculture/Forestry/Fisheries are included under Other Manufacturing Industries and Construction (1.A.2.g).</t>
        </r>
      </text>
    </comment>
    <comment ref="I558" authorId="1" shapeId="0" xr:uid="{CF45B6FD-18E3-4356-BE34-2A25D3AFA346}">
      <text>
        <r>
          <rPr>
            <sz val="9"/>
            <color indexed="81"/>
            <rFont val="Tahoma"/>
            <family val="2"/>
          </rPr>
          <t>Fuel consumed in and emissions from Agriculture/Forestry/Fisheries are included under Other Manufacturing Industries and Construction (1.A.2.g).</t>
        </r>
      </text>
    </comment>
    <comment ref="J558" authorId="1" shapeId="0" xr:uid="{122A9EA9-E641-467C-930A-74685ACD0773}">
      <text>
        <r>
          <rPr>
            <sz val="9"/>
            <color indexed="81"/>
            <rFont val="Tahoma"/>
            <family val="2"/>
          </rPr>
          <t>Fuel consumed in and emissions from Agriculture/Forestry/Fisheries are included under Other Manufacturing Industries and Construction (1.A.2.g).</t>
        </r>
      </text>
    </comment>
    <comment ref="K558" authorId="1" shapeId="0" xr:uid="{1108E0C9-E474-49AE-8951-FA2DE794AF83}">
      <text>
        <r>
          <rPr>
            <sz val="9"/>
            <color indexed="81"/>
            <rFont val="Tahoma"/>
            <family val="2"/>
          </rPr>
          <t>Fuel consumed in and emissions from Agriculture/Forestry/Fisheries are included under Other Manufacturing Industries and Construction (1.A.2.g).</t>
        </r>
      </text>
    </comment>
    <comment ref="L558" authorId="1" shapeId="0" xr:uid="{E410204E-2769-45C2-B2F8-62A045865C10}">
      <text>
        <r>
          <rPr>
            <sz val="9"/>
            <color indexed="81"/>
            <rFont val="Tahoma"/>
            <family val="2"/>
          </rPr>
          <t>Fuel consumed in and emissions from Agriculture/Forestry/Fisheries are included under Other Manufacturing Industries and Construction (1.A.2.g).</t>
        </r>
      </text>
    </comment>
    <comment ref="M558" authorId="1" shapeId="0" xr:uid="{2349CDB9-A17A-4D46-9DEC-EC21EC43B0E5}">
      <text>
        <r>
          <rPr>
            <sz val="9"/>
            <color indexed="81"/>
            <rFont val="Tahoma"/>
            <family val="2"/>
          </rPr>
          <t>Fuel consumed in and emissions from Agriculture/Forestry/Fisheries are included under Other Manufacturing Industries and Construction (1.A.2.g).</t>
        </r>
      </text>
    </comment>
    <comment ref="N558" authorId="1" shapeId="0" xr:uid="{5FA8E882-F5A2-4DD8-AD50-5BDAC88C5385}">
      <text>
        <r>
          <rPr>
            <sz val="9"/>
            <color indexed="81"/>
            <rFont val="Tahoma"/>
            <family val="2"/>
          </rPr>
          <t>Fuel consumed in and emissions from Agriculture/Forestry/Fisheries are included under Other Manufacturing Industries and Construction (1.A.2.g).</t>
        </r>
      </text>
    </comment>
    <comment ref="O558" authorId="1" shapeId="0" xr:uid="{8C399BB5-90BB-4758-B2CA-5E43D34E03D0}">
      <text>
        <r>
          <rPr>
            <sz val="9"/>
            <color indexed="81"/>
            <rFont val="Tahoma"/>
            <family val="2"/>
          </rPr>
          <t>Fuel consumed in and emissions from Agriculture/Forestry/Fisheries are included under Other Manufacturing Industries and Construction (1.A.2.g).</t>
        </r>
      </text>
    </comment>
    <comment ref="P558" authorId="1" shapeId="0" xr:uid="{64E4A951-9BA5-460C-9D46-49C3FFC5A267}">
      <text>
        <r>
          <rPr>
            <sz val="9"/>
            <color indexed="81"/>
            <rFont val="Tahoma"/>
            <family val="2"/>
          </rPr>
          <t>Fuel consumed in and emissions from Agriculture/Forestry/Fisheries are included under Other Manufacturing Industries and Construction (1.A.2.g).</t>
        </r>
      </text>
    </comment>
    <comment ref="Q558" authorId="1" shapeId="0" xr:uid="{544A20A0-2102-4E87-B818-D45B9E73557C}">
      <text>
        <r>
          <rPr>
            <sz val="9"/>
            <color indexed="81"/>
            <rFont val="Tahoma"/>
            <family val="2"/>
          </rPr>
          <t>Fuel consumed in and emissions from Agriculture/Forestry/Fisheries are included under Other Manufacturing Industries and Construction (1.A.2.g).</t>
        </r>
      </text>
    </comment>
    <comment ref="R558" authorId="1" shapeId="0" xr:uid="{5E4A2650-B6D9-42A5-A73A-15DBCD30FB42}">
      <text>
        <r>
          <rPr>
            <sz val="9"/>
            <color indexed="81"/>
            <rFont val="Tahoma"/>
            <family val="2"/>
          </rPr>
          <t>Fuel consumed in and emissions from Agriculture/Forestry/Fisheries are included under Other Manufacturing Industries and Construction (1.A.2.g).</t>
        </r>
      </text>
    </comment>
    <comment ref="S558" authorId="1" shapeId="0" xr:uid="{631537BB-A119-4DC7-9CA9-F3CC9CA4B34B}">
      <text>
        <r>
          <rPr>
            <sz val="9"/>
            <color indexed="81"/>
            <rFont val="Tahoma"/>
            <family val="2"/>
          </rPr>
          <t>Fuel consumed in and emissions from Agriculture/Forestry/Fisheries are included under Other Manufacturing Industries and Construction (1.A.2.g).</t>
        </r>
      </text>
    </comment>
    <comment ref="T558" authorId="1" shapeId="0" xr:uid="{132A29BB-59E0-41E6-9871-F0B87BA9AD9C}">
      <text>
        <r>
          <rPr>
            <sz val="9"/>
            <color indexed="81"/>
            <rFont val="Tahoma"/>
            <family val="2"/>
          </rPr>
          <t>Fuel consumed in and emissions from Agriculture/Forestry/Fisheries are included under Other Manufacturing Industries and Construction (1.A.2.g).</t>
        </r>
      </text>
    </comment>
    <comment ref="U558" authorId="1" shapeId="0" xr:uid="{1542EE34-5D8D-4554-AA30-3D31BE4A36D9}">
      <text>
        <r>
          <rPr>
            <sz val="9"/>
            <color indexed="81"/>
            <rFont val="Tahoma"/>
            <family val="2"/>
          </rPr>
          <t>Fuel consumed in and emissions from Agriculture/Forestry/Fisheries are included under Other Manufacturing Industries and Construction (1.A.2.g).</t>
        </r>
      </text>
    </comment>
    <comment ref="V558" authorId="1" shapeId="0" xr:uid="{DD5877D5-5F3E-4072-A6EF-2E89B1808AEA}">
      <text>
        <r>
          <rPr>
            <sz val="9"/>
            <color indexed="81"/>
            <rFont val="Tahoma"/>
            <family val="2"/>
          </rPr>
          <t>Fuel consumed in and emissions from Agriculture/Forestry/Fisheries are included under Other Manufacturing Industries and Construction (1.A.2.g).</t>
        </r>
      </text>
    </comment>
    <comment ref="W558" authorId="1" shapeId="0" xr:uid="{A14B9060-E316-4E84-95FC-DB315501EF01}">
      <text>
        <r>
          <rPr>
            <sz val="9"/>
            <color indexed="81"/>
            <rFont val="Tahoma"/>
            <family val="2"/>
          </rPr>
          <t>Fuel consumed in and emissions from Agriculture/Forestry/Fisheries are included under Other Manufacturing Industries and Construction (1.A.2.g).</t>
        </r>
      </text>
    </comment>
    <comment ref="X558" authorId="1" shapeId="0" xr:uid="{50F25ED5-0C27-48EF-B04B-D5826E936226}">
      <text>
        <r>
          <rPr>
            <sz val="9"/>
            <color indexed="81"/>
            <rFont val="Tahoma"/>
            <family val="2"/>
          </rPr>
          <t>Fuel consumed in and emissions from Agriculture/Forestry/Fisheries are included under Other Manufacturing Industries and Construction (1.A.2.g).</t>
        </r>
      </text>
    </comment>
    <comment ref="Y558" authorId="1" shapeId="0" xr:uid="{187C0B61-D74F-4A3D-845C-859C0EBF69A8}">
      <text>
        <r>
          <rPr>
            <sz val="9"/>
            <color indexed="81"/>
            <rFont val="Tahoma"/>
            <family val="2"/>
          </rPr>
          <t>Fuel consumed in and emissions from Agriculture/Forestry/Fisheries are included under Other Manufacturing Industries and Construction (1.A.2.g).</t>
        </r>
      </text>
    </comment>
    <comment ref="Z558" authorId="1" shapeId="0" xr:uid="{631541E8-F729-44F7-8B45-CFA2A3BC5414}">
      <text>
        <r>
          <rPr>
            <sz val="9"/>
            <color indexed="81"/>
            <rFont val="Tahoma"/>
            <family val="2"/>
          </rPr>
          <t>Fuel consumed in and emissions from Agriculture/Forestry/Fisheries are included under Other Manufacturing Industries and Construction (1.A.2.g).</t>
        </r>
      </text>
    </comment>
    <comment ref="AA558" authorId="1" shapeId="0" xr:uid="{19C6E98A-675A-4229-B2EA-9DF1C7999F7A}">
      <text>
        <r>
          <rPr>
            <sz val="9"/>
            <color indexed="81"/>
            <rFont val="Tahoma"/>
            <family val="2"/>
          </rPr>
          <t>Fuel consumed in and emissions from Agriculture/Forestry/Fisheries are included under Other Manufacturing Industries and Construction (1.A.2.g).</t>
        </r>
      </text>
    </comment>
    <comment ref="AB558" authorId="1" shapeId="0" xr:uid="{051469B8-02D1-4A6A-B0B9-95EEEF231A59}">
      <text>
        <r>
          <rPr>
            <sz val="9"/>
            <color indexed="81"/>
            <rFont val="Tahoma"/>
            <family val="2"/>
          </rPr>
          <t>Fuel consumed in and emissions from Agriculture/Forestry/Fisheries are included under Other Manufacturing Industries and Construction (1.A.2.g).</t>
        </r>
      </text>
    </comment>
    <comment ref="AC558" authorId="1" shapeId="0" xr:uid="{F8EDF709-6850-41CF-8BAB-292D2E4C2EBA}">
      <text>
        <r>
          <rPr>
            <sz val="9"/>
            <color indexed="81"/>
            <rFont val="Tahoma"/>
            <family val="2"/>
          </rPr>
          <t>Fuel consumed in and emissions from Agriculture/Forestry/Fisheries are included under Other Manufacturing Industries and Construction (1.A.2.g).</t>
        </r>
      </text>
    </comment>
    <comment ref="AD558" authorId="1" shapeId="0" xr:uid="{BB47290C-0031-4286-A5E1-91BDBA9B6130}">
      <text>
        <r>
          <rPr>
            <sz val="9"/>
            <color indexed="81"/>
            <rFont val="Tahoma"/>
            <family val="2"/>
          </rPr>
          <t>Fuel consumed in and emissions from Agriculture/Forestry/Fisheries are included under Other Manufacturing Industries and Construction (1.A.2.g).</t>
        </r>
      </text>
    </comment>
    <comment ref="AE558" authorId="1" shapeId="0" xr:uid="{BCD7BB95-CC75-4974-B608-78244ABBDD37}">
      <text>
        <r>
          <rPr>
            <sz val="9"/>
            <color indexed="81"/>
            <rFont val="Tahoma"/>
            <family val="2"/>
          </rPr>
          <t>Fuel consumed in and emissions from Agriculture/Forestry/Fisheries are included under Other Manufacturing Industries and Construction (1.A.2.g).</t>
        </r>
      </text>
    </comment>
    <comment ref="AF558" authorId="1" shapeId="0" xr:uid="{69E49344-E744-4B5B-8FA3-32DDA542CD8C}">
      <text>
        <r>
          <rPr>
            <sz val="9"/>
            <color indexed="81"/>
            <rFont val="Tahoma"/>
            <family val="2"/>
          </rPr>
          <t>Fuel consumed in and emissions from Agriculture/Forestry/Fisheries are included under Other Manufacturing Industries and Construction (1.A.2.g).</t>
        </r>
      </text>
    </comment>
    <comment ref="AG558" authorId="1" shapeId="0" xr:uid="{9CFE91EA-3CCE-4C15-8B3C-01C4FCCD0FC1}">
      <text>
        <r>
          <rPr>
            <sz val="9"/>
            <color indexed="81"/>
            <rFont val="Tahoma"/>
            <family val="2"/>
          </rPr>
          <t>Fuel consumed in and emissions from Agriculture/Forestry/Fisheries are included under Other Manufacturing Industries and Construction (1.A.2.g).</t>
        </r>
      </text>
    </comment>
    <comment ref="AH558" authorId="1" shapeId="0" xr:uid="{FD86ED8F-396C-4351-9905-4BE3D27B8A6A}">
      <text>
        <r>
          <rPr>
            <sz val="9"/>
            <color indexed="81"/>
            <rFont val="Tahoma"/>
            <family val="2"/>
          </rPr>
          <t>Fuel consumed in and emissions from Agriculture/Forestry/Fisheries are included under Other Manufacturing Industries and Construction (1.A.2.g).</t>
        </r>
      </text>
    </comment>
    <comment ref="AI558" authorId="1" shapeId="0" xr:uid="{5F5716B9-CE36-40CE-A4D2-A07AA6B4E2F6}">
      <text>
        <r>
          <rPr>
            <sz val="9"/>
            <color indexed="81"/>
            <rFont val="Tahoma"/>
            <family val="2"/>
          </rPr>
          <t>Fuel consumed in and emissions from Agriculture/Forestry/Fisheries are included under Other Manufacturing Industries and Construction (1.A.2.g).</t>
        </r>
      </text>
    </comment>
    <comment ref="AJ558" authorId="1" shapeId="0" xr:uid="{2058A572-5DEB-4B68-B3F3-30E5E980D418}">
      <text>
        <r>
          <rPr>
            <sz val="9"/>
            <color indexed="81"/>
            <rFont val="Tahoma"/>
            <family val="2"/>
          </rPr>
          <t>Fuel consumed in and emissions from Agriculture/Forestry/Fisheries are included under Other Manufacturing Industries and Construction (1.A.2.g).</t>
        </r>
      </text>
    </comment>
    <comment ref="AK558" authorId="1" shapeId="0" xr:uid="{A79E6344-D027-47C1-A39E-ACFA0C0D2C63}">
      <text>
        <r>
          <rPr>
            <sz val="9"/>
            <color indexed="81"/>
            <rFont val="Tahoma"/>
            <family val="2"/>
          </rPr>
          <t>Fuel consumed in and emissions from Agriculture/Forestry/Fisheries are included under Other Manufacturing Industries and Construction (1.A.2.g).</t>
        </r>
      </text>
    </comment>
    <comment ref="F561" authorId="1" shapeId="0" xr:uid="{12F1C1E8-4C90-4F87-ADB4-3CCE7015EA60}">
      <text>
        <r>
          <rPr>
            <sz val="9"/>
            <color indexed="81"/>
            <rFont val="Tahoma"/>
            <family val="2"/>
          </rPr>
          <t>Fuel consumed in and emissions from Agriculture/Forestry/Fisheries are included under Other Manufacturing Industries and Construction (1.A.2.g).</t>
        </r>
      </text>
    </comment>
    <comment ref="G561" authorId="1" shapeId="0" xr:uid="{4259D321-059D-44AD-8495-DD06C6970097}">
      <text>
        <r>
          <rPr>
            <sz val="9"/>
            <color indexed="81"/>
            <rFont val="Tahoma"/>
            <family val="2"/>
          </rPr>
          <t>Fuel consumed in and emissions from Agriculture/Forestry/Fisheries are included under Other Manufacturing Industries and Construction (1.A.2.g).</t>
        </r>
      </text>
    </comment>
    <comment ref="H561" authorId="1" shapeId="0" xr:uid="{4F304F49-E93C-4046-9FDD-C107F4E9A085}">
      <text>
        <r>
          <rPr>
            <sz val="9"/>
            <color indexed="81"/>
            <rFont val="Tahoma"/>
            <family val="2"/>
          </rPr>
          <t>Fuel consumed in and emissions from Agriculture/Forestry/Fisheries are included under Other Manufacturing Industries and Construction (1.A.2.g).</t>
        </r>
      </text>
    </comment>
    <comment ref="I561" authorId="1" shapeId="0" xr:uid="{1BFD1E30-2A3A-4640-8782-9FD4426EA54E}">
      <text>
        <r>
          <rPr>
            <sz val="9"/>
            <color indexed="81"/>
            <rFont val="Tahoma"/>
            <family val="2"/>
          </rPr>
          <t>Fuel consumed in and emissions from Agriculture/Forestry/Fisheries are included under Other Manufacturing Industries and Construction (1.A.2.g).</t>
        </r>
      </text>
    </comment>
    <comment ref="J561" authorId="1" shapeId="0" xr:uid="{9CCF0D26-9E82-47AA-8D37-BF416DCB7C87}">
      <text>
        <r>
          <rPr>
            <sz val="9"/>
            <color indexed="81"/>
            <rFont val="Tahoma"/>
            <family val="2"/>
          </rPr>
          <t>Fuel consumed in and emissions from Agriculture/Forestry/Fisheries are included under Other Manufacturing Industries and Construction (1.A.2.g).</t>
        </r>
      </text>
    </comment>
    <comment ref="K561" authorId="1" shapeId="0" xr:uid="{10B44FC1-A109-43FA-A69E-FB0F27E6A059}">
      <text>
        <r>
          <rPr>
            <sz val="9"/>
            <color indexed="81"/>
            <rFont val="Tahoma"/>
            <family val="2"/>
          </rPr>
          <t>Fuel consumed in and emissions from Agriculture/Forestry/Fisheries are included under Other Manufacturing Industries and Construction (1.A.2.g).</t>
        </r>
      </text>
    </comment>
    <comment ref="L561" authorId="1" shapeId="0" xr:uid="{68B8EE85-8DC6-4890-943A-CB4C436EBE5E}">
      <text>
        <r>
          <rPr>
            <sz val="9"/>
            <color indexed="81"/>
            <rFont val="Tahoma"/>
            <family val="2"/>
          </rPr>
          <t>Fuel consumed in and emissions from Agriculture/Forestry/Fisheries are included under Other Manufacturing Industries and Construction (1.A.2.g).</t>
        </r>
      </text>
    </comment>
    <comment ref="M561" authorId="1" shapeId="0" xr:uid="{45730432-4804-42CF-8A10-7463F921B3F1}">
      <text>
        <r>
          <rPr>
            <sz val="9"/>
            <color indexed="81"/>
            <rFont val="Tahoma"/>
            <family val="2"/>
          </rPr>
          <t>Fuel consumed in and emissions from Agriculture/Forestry/Fisheries are included under Other Manufacturing Industries and Construction (1.A.2.g).</t>
        </r>
      </text>
    </comment>
    <comment ref="N561" authorId="1" shapeId="0" xr:uid="{4F672D45-222E-4579-8767-61C873435C04}">
      <text>
        <r>
          <rPr>
            <sz val="9"/>
            <color indexed="81"/>
            <rFont val="Tahoma"/>
            <family val="2"/>
          </rPr>
          <t>Fuel consumed in and emissions from Agriculture/Forestry/Fisheries are included under Other Manufacturing Industries and Construction (1.A.2.g).</t>
        </r>
      </text>
    </comment>
    <comment ref="O561" authorId="1" shapeId="0" xr:uid="{0AC7A728-6CB0-4373-82B4-37B57867909A}">
      <text>
        <r>
          <rPr>
            <sz val="9"/>
            <color indexed="81"/>
            <rFont val="Tahoma"/>
            <family val="2"/>
          </rPr>
          <t>Fuel consumed in and emissions from Agriculture/Forestry/Fisheries are included under Other Manufacturing Industries and Construction (1.A.2.g).</t>
        </r>
      </text>
    </comment>
    <comment ref="P561" authorId="1" shapeId="0" xr:uid="{C99B5242-57A2-4FEE-9529-0AD8BC6D4829}">
      <text>
        <r>
          <rPr>
            <sz val="9"/>
            <color indexed="81"/>
            <rFont val="Tahoma"/>
            <family val="2"/>
          </rPr>
          <t>Fuel consumed in and emissions from Agriculture/Forestry/Fisheries are included under Other Manufacturing Industries and Construction (1.A.2.g).</t>
        </r>
      </text>
    </comment>
    <comment ref="Q561" authorId="1" shapeId="0" xr:uid="{8274DEBE-63B1-4011-A99D-572A1F142AFC}">
      <text>
        <r>
          <rPr>
            <sz val="9"/>
            <color indexed="81"/>
            <rFont val="Tahoma"/>
            <family val="2"/>
          </rPr>
          <t>Fuel consumed in and emissions from Agriculture/Forestry/Fisheries are included under Other Manufacturing Industries and Construction (1.A.2.g).</t>
        </r>
      </text>
    </comment>
    <comment ref="R561" authorId="1" shapeId="0" xr:uid="{A4B277D0-A5EC-4B80-AB55-1FDD3C4F116C}">
      <text>
        <r>
          <rPr>
            <sz val="9"/>
            <color indexed="81"/>
            <rFont val="Tahoma"/>
            <family val="2"/>
          </rPr>
          <t>Fuel consumed in and emissions from Agriculture/Forestry/Fisheries are included under Other Manufacturing Industries and Construction (1.A.2.g).</t>
        </r>
      </text>
    </comment>
    <comment ref="S561" authorId="1" shapeId="0" xr:uid="{2CEF0EBD-D46B-4FF2-9696-301AF40A502B}">
      <text>
        <r>
          <rPr>
            <sz val="9"/>
            <color indexed="81"/>
            <rFont val="Tahoma"/>
            <family val="2"/>
          </rPr>
          <t>Fuel consumed in and emissions from Agriculture/Forestry/Fisheries are included under Other Manufacturing Industries and Construction (1.A.2.g).</t>
        </r>
      </text>
    </comment>
    <comment ref="T561" authorId="1" shapeId="0" xr:uid="{60CD4BF5-5B42-4699-BFBE-DC803EBC455D}">
      <text>
        <r>
          <rPr>
            <sz val="9"/>
            <color indexed="81"/>
            <rFont val="Tahoma"/>
            <family val="2"/>
          </rPr>
          <t>Fuel consumed in and emissions from Agriculture/Forestry/Fisheries are included under Other Manufacturing Industries and Construction (1.A.2.g).</t>
        </r>
      </text>
    </comment>
    <comment ref="U561" authorId="1" shapeId="0" xr:uid="{F66BB548-FC02-4409-8DD6-E6C7A64BC79D}">
      <text>
        <r>
          <rPr>
            <sz val="9"/>
            <color indexed="81"/>
            <rFont val="Tahoma"/>
            <family val="2"/>
          </rPr>
          <t>Fuel consumed in and emissions from Agriculture/Forestry/Fisheries are included under Other Manufacturing Industries and Construction (1.A.2.g).</t>
        </r>
      </text>
    </comment>
    <comment ref="V561" authorId="1" shapeId="0" xr:uid="{4931CEAD-0642-4096-8EF9-1489C9D57765}">
      <text>
        <r>
          <rPr>
            <sz val="9"/>
            <color indexed="81"/>
            <rFont val="Tahoma"/>
            <family val="2"/>
          </rPr>
          <t>Fuel consumed in and emissions from Agriculture/Forestry/Fisheries are included under Other Manufacturing Industries and Construction (1.A.2.g).</t>
        </r>
      </text>
    </comment>
    <comment ref="W561" authorId="1" shapeId="0" xr:uid="{52B9AF4C-33B0-43AA-9C22-EF69DC7BAA69}">
      <text>
        <r>
          <rPr>
            <sz val="9"/>
            <color indexed="81"/>
            <rFont val="Tahoma"/>
            <family val="2"/>
          </rPr>
          <t>Fuel consumed in and emissions from Agriculture/Forestry/Fisheries are included under Other Manufacturing Industries and Construction (1.A.2.g).</t>
        </r>
      </text>
    </comment>
    <comment ref="X561" authorId="1" shapeId="0" xr:uid="{B10FA686-9600-4D97-B30B-31C43CFA7098}">
      <text>
        <r>
          <rPr>
            <sz val="9"/>
            <color indexed="81"/>
            <rFont val="Tahoma"/>
            <family val="2"/>
          </rPr>
          <t>Fuel consumed in and emissions from Agriculture/Forestry/Fisheries are included under Other Manufacturing Industries and Construction (1.A.2.g).</t>
        </r>
      </text>
    </comment>
    <comment ref="Y561" authorId="1" shapeId="0" xr:uid="{7A229AA3-F29D-41DD-AFA6-ACB6A1AEA9AE}">
      <text>
        <r>
          <rPr>
            <sz val="9"/>
            <color indexed="81"/>
            <rFont val="Tahoma"/>
            <family val="2"/>
          </rPr>
          <t>Fuel consumed in and emissions from Agriculture/Forestry/Fisheries are included under Other Manufacturing Industries and Construction (1.A.2.g).</t>
        </r>
      </text>
    </comment>
    <comment ref="Z561" authorId="1" shapeId="0" xr:uid="{23CB9710-1FB1-4C3E-A4A0-647B678175B3}">
      <text>
        <r>
          <rPr>
            <sz val="9"/>
            <color indexed="81"/>
            <rFont val="Tahoma"/>
            <family val="2"/>
          </rPr>
          <t>Fuel consumed in and emissions from Agriculture/Forestry/Fisheries are included under Other Manufacturing Industries and Construction (1.A.2.g).</t>
        </r>
      </text>
    </comment>
    <comment ref="AA561" authorId="1" shapeId="0" xr:uid="{AF954A21-A44A-48E4-BD0C-9373705AD328}">
      <text>
        <r>
          <rPr>
            <sz val="9"/>
            <color indexed="81"/>
            <rFont val="Tahoma"/>
            <family val="2"/>
          </rPr>
          <t>Fuel consumed in and emissions from Agriculture/Forestry/Fisheries are included under Other Manufacturing Industries and Construction (1.A.2.g).</t>
        </r>
      </text>
    </comment>
    <comment ref="AB561" authorId="1" shapeId="0" xr:uid="{835A14D4-E3FA-4EE3-A9E4-5A97F946EFED}">
      <text>
        <r>
          <rPr>
            <sz val="9"/>
            <color indexed="81"/>
            <rFont val="Tahoma"/>
            <family val="2"/>
          </rPr>
          <t>Fuel consumed in and emissions from Agriculture/Forestry/Fisheries are included under Other Manufacturing Industries and Construction (1.A.2.g).</t>
        </r>
      </text>
    </comment>
    <comment ref="AC561" authorId="1" shapeId="0" xr:uid="{EAC2919B-2294-4008-A442-6E3DE7A67122}">
      <text>
        <r>
          <rPr>
            <sz val="9"/>
            <color indexed="81"/>
            <rFont val="Tahoma"/>
            <family val="2"/>
          </rPr>
          <t>Fuel consumed in and emissions from Agriculture/Forestry/Fisheries are included under Other Manufacturing Industries and Construction (1.A.2.g).</t>
        </r>
      </text>
    </comment>
    <comment ref="AD561" authorId="1" shapeId="0" xr:uid="{2E1A2D57-029E-40BF-9168-4AEFA52760E2}">
      <text>
        <r>
          <rPr>
            <sz val="9"/>
            <color indexed="81"/>
            <rFont val="Tahoma"/>
            <family val="2"/>
          </rPr>
          <t>Fuel consumed in and emissions from Agriculture/Forestry/Fisheries are included under Other Manufacturing Industries and Construction (1.A.2.g).</t>
        </r>
      </text>
    </comment>
    <comment ref="AE561" authorId="1" shapeId="0" xr:uid="{2220D21F-CC3F-4BD1-A315-BA3770745BDA}">
      <text>
        <r>
          <rPr>
            <sz val="9"/>
            <color indexed="81"/>
            <rFont val="Tahoma"/>
            <family val="2"/>
          </rPr>
          <t>Fuel consumed in and emissions from Agriculture/Forestry/Fisheries are included under Other Manufacturing Industries and Construction (1.A.2.g).</t>
        </r>
      </text>
    </comment>
    <comment ref="AF561" authorId="1" shapeId="0" xr:uid="{F452EAF8-A639-472A-A023-CAA84890A1D5}">
      <text>
        <r>
          <rPr>
            <sz val="9"/>
            <color indexed="81"/>
            <rFont val="Tahoma"/>
            <family val="2"/>
          </rPr>
          <t>Fuel consumed in and emissions from Agriculture/Forestry/Fisheries are included under Other Manufacturing Industries and Construction (1.A.2.g).</t>
        </r>
      </text>
    </comment>
    <comment ref="AG561" authorId="1" shapeId="0" xr:uid="{3AA2744E-E745-4AE0-BFDF-714D862FDF07}">
      <text>
        <r>
          <rPr>
            <sz val="9"/>
            <color indexed="81"/>
            <rFont val="Tahoma"/>
            <family val="2"/>
          </rPr>
          <t>Fuel consumed in and emissions from Agriculture/Forestry/Fisheries are included under Other Manufacturing Industries and Construction (1.A.2.g).</t>
        </r>
      </text>
    </comment>
    <comment ref="AH561" authorId="1" shapeId="0" xr:uid="{254BBFC5-A0F0-40A9-8EF6-24BBFD28E9F1}">
      <text>
        <r>
          <rPr>
            <sz val="9"/>
            <color indexed="81"/>
            <rFont val="Tahoma"/>
            <family val="2"/>
          </rPr>
          <t>Fuel consumed in and emissions from Agriculture/Forestry/Fisheries are included under Other Manufacturing Industries and Construction (1.A.2.g).</t>
        </r>
      </text>
    </comment>
    <comment ref="AI561" authorId="1" shapeId="0" xr:uid="{B5AF3E76-B1C7-438B-890D-511333A6B5F3}">
      <text>
        <r>
          <rPr>
            <sz val="9"/>
            <color indexed="81"/>
            <rFont val="Tahoma"/>
            <family val="2"/>
          </rPr>
          <t>Fuel consumed in and emissions from Agriculture/Forestry/Fisheries are included under Other Manufacturing Industries and Construction (1.A.2.g).</t>
        </r>
      </text>
    </comment>
    <comment ref="AJ561" authorId="1" shapeId="0" xr:uid="{A60A787A-95F3-456B-B3D2-168E5E7CAF7B}">
      <text>
        <r>
          <rPr>
            <sz val="9"/>
            <color indexed="81"/>
            <rFont val="Tahoma"/>
            <family val="2"/>
          </rPr>
          <t>Fuel consumed in and emissions from Agriculture/Forestry/Fisheries are included under Other Manufacturing Industries and Construction (1.A.2.g).</t>
        </r>
      </text>
    </comment>
    <comment ref="AK561" authorId="1" shapeId="0" xr:uid="{56B30F77-BE56-463E-929E-310E9CD45B85}">
      <text>
        <r>
          <rPr>
            <sz val="9"/>
            <color indexed="81"/>
            <rFont val="Tahoma"/>
            <family val="2"/>
          </rPr>
          <t>Fuel consumed in and emissions from Agriculture/Forestry/Fisheries are included under Other Manufacturing Industries and Construction (1.A.2.g).</t>
        </r>
      </text>
    </comment>
    <comment ref="F563" authorId="1" shapeId="0" xr:uid="{AD5C6A9C-363C-4FB4-B70A-50249FCF7497}">
      <text>
        <r>
          <rPr>
            <sz val="9"/>
            <color indexed="81"/>
            <rFont val="Tahoma"/>
            <family val="2"/>
          </rPr>
          <t>Fuel consumed in and emissions from Agriculture/Forestry/Fisheries are included under Other Manufacturing Industries and Construction (1.A.2.g).</t>
        </r>
      </text>
    </comment>
    <comment ref="G563" authorId="1" shapeId="0" xr:uid="{0F8FA71A-5F15-405C-A0F1-D912C9A763B5}">
      <text>
        <r>
          <rPr>
            <sz val="9"/>
            <color indexed="81"/>
            <rFont val="Tahoma"/>
            <family val="2"/>
          </rPr>
          <t>Fuel consumed in and emissions from Agriculture/Forestry/Fisheries are included under Other Manufacturing Industries and Construction (1.A.2.g).</t>
        </r>
      </text>
    </comment>
    <comment ref="H563" authorId="1" shapeId="0" xr:uid="{1D2C7178-4470-4394-A2B3-F32376710FC4}">
      <text>
        <r>
          <rPr>
            <sz val="9"/>
            <color indexed="81"/>
            <rFont val="Tahoma"/>
            <family val="2"/>
          </rPr>
          <t>Fuel consumed in and emissions from Agriculture/Forestry/Fisheries are included under Other Manufacturing Industries and Construction (1.A.2.g).</t>
        </r>
      </text>
    </comment>
    <comment ref="I563" authorId="1" shapeId="0" xr:uid="{DEE79A8F-F754-4310-9748-F0E89AB567D5}">
      <text>
        <r>
          <rPr>
            <sz val="9"/>
            <color indexed="81"/>
            <rFont val="Tahoma"/>
            <family val="2"/>
          </rPr>
          <t>Fuel consumed in and emissions from Agriculture/Forestry/Fisheries are included under Other Manufacturing Industries and Construction (1.A.2.g).</t>
        </r>
      </text>
    </comment>
    <comment ref="J563" authorId="1" shapeId="0" xr:uid="{21C85755-5C75-4172-9359-539F3945A9AF}">
      <text>
        <r>
          <rPr>
            <sz val="9"/>
            <color indexed="81"/>
            <rFont val="Tahoma"/>
            <family val="2"/>
          </rPr>
          <t>Fuel consumed in and emissions from Agriculture/Forestry/Fisheries are included under Other Manufacturing Industries and Construction (1.A.2.g).</t>
        </r>
      </text>
    </comment>
    <comment ref="K563" authorId="1" shapeId="0" xr:uid="{7AE28E0D-104D-4071-ABC3-9E069CD8DB90}">
      <text>
        <r>
          <rPr>
            <sz val="9"/>
            <color indexed="81"/>
            <rFont val="Tahoma"/>
            <family val="2"/>
          </rPr>
          <t>Fuel consumed in and emissions from Agriculture/Forestry/Fisheries are included under Other Manufacturing Industries and Construction (1.A.2.g).</t>
        </r>
      </text>
    </comment>
    <comment ref="L563" authorId="1" shapeId="0" xr:uid="{05ADA8B2-371C-4953-A5F4-E637B9EF692A}">
      <text>
        <r>
          <rPr>
            <sz val="9"/>
            <color indexed="81"/>
            <rFont val="Tahoma"/>
            <family val="2"/>
          </rPr>
          <t>Fuel consumed in and emissions from Agriculture/Forestry/Fisheries are included under Other Manufacturing Industries and Construction (1.A.2.g).</t>
        </r>
      </text>
    </comment>
    <comment ref="M563" authorId="1" shapeId="0" xr:uid="{95DCF07E-7C60-452D-BC3D-4B72A4DFC145}">
      <text>
        <r>
          <rPr>
            <sz val="9"/>
            <color indexed="81"/>
            <rFont val="Tahoma"/>
            <family val="2"/>
          </rPr>
          <t>Fuel consumed in and emissions from Agriculture/Forestry/Fisheries are included under Other Manufacturing Industries and Construction (1.A.2.g).</t>
        </r>
      </text>
    </comment>
    <comment ref="N563" authorId="1" shapeId="0" xr:uid="{92E7B876-A51F-4CA1-B6D3-C60AE38FC761}">
      <text>
        <r>
          <rPr>
            <sz val="9"/>
            <color indexed="81"/>
            <rFont val="Tahoma"/>
            <family val="2"/>
          </rPr>
          <t>Fuel consumed in and emissions from Agriculture/Forestry/Fisheries are included under Other Manufacturing Industries and Construction (1.A.2.g).</t>
        </r>
      </text>
    </comment>
    <comment ref="O563" authorId="1" shapeId="0" xr:uid="{57F57810-63A3-4FC7-AA17-43D971A1E1B7}">
      <text>
        <r>
          <rPr>
            <sz val="9"/>
            <color indexed="81"/>
            <rFont val="Tahoma"/>
            <family val="2"/>
          </rPr>
          <t>Fuel consumed in and emissions from Agriculture/Forestry/Fisheries are included under Other Manufacturing Industries and Construction (1.A.2.g).</t>
        </r>
      </text>
    </comment>
    <comment ref="P563" authorId="1" shapeId="0" xr:uid="{4F824B8B-4D19-4205-AAC3-157B8AF8733B}">
      <text>
        <r>
          <rPr>
            <sz val="9"/>
            <color indexed="81"/>
            <rFont val="Tahoma"/>
            <family val="2"/>
          </rPr>
          <t>Fuel consumed in and emissions from Agriculture/Forestry/Fisheries are included under Other Manufacturing Industries and Construction (1.A.2.g).</t>
        </r>
      </text>
    </comment>
    <comment ref="Q563" authorId="1" shapeId="0" xr:uid="{B9732F82-846A-4D3D-BCF3-9C8D4DEE89B9}">
      <text>
        <r>
          <rPr>
            <sz val="9"/>
            <color indexed="81"/>
            <rFont val="Tahoma"/>
            <family val="2"/>
          </rPr>
          <t>Fuel consumed in and emissions from Agriculture/Forestry/Fisheries are included under Other Manufacturing Industries and Construction (1.A.2.g).</t>
        </r>
      </text>
    </comment>
    <comment ref="R563" authorId="1" shapeId="0" xr:uid="{942482AD-B249-4F0E-A265-2F4477B49112}">
      <text>
        <r>
          <rPr>
            <sz val="9"/>
            <color indexed="81"/>
            <rFont val="Tahoma"/>
            <family val="2"/>
          </rPr>
          <t>Fuel consumed in and emissions from Agriculture/Forestry/Fisheries are included under Other Manufacturing Industries and Construction (1.A.2.g).</t>
        </r>
      </text>
    </comment>
    <comment ref="S563" authorId="1" shapeId="0" xr:uid="{4026AECF-70B3-47D0-AE60-95563763E289}">
      <text>
        <r>
          <rPr>
            <sz val="9"/>
            <color indexed="81"/>
            <rFont val="Tahoma"/>
            <family val="2"/>
          </rPr>
          <t>Fuel consumed in and emissions from Agriculture/Forestry/Fisheries are included under Other Manufacturing Industries and Construction (1.A.2.g).</t>
        </r>
      </text>
    </comment>
    <comment ref="T563" authorId="1" shapeId="0" xr:uid="{362BD814-C5FC-4A51-8100-6AE3D048B704}">
      <text>
        <r>
          <rPr>
            <sz val="9"/>
            <color indexed="81"/>
            <rFont val="Tahoma"/>
            <family val="2"/>
          </rPr>
          <t>Fuel consumed in and emissions from Agriculture/Forestry/Fisheries are included under Other Manufacturing Industries and Construction (1.A.2.g).</t>
        </r>
      </text>
    </comment>
    <comment ref="U563" authorId="1" shapeId="0" xr:uid="{E900CC5C-9B9B-45E2-BEC8-0FAFAFFA85B7}">
      <text>
        <r>
          <rPr>
            <sz val="9"/>
            <color indexed="81"/>
            <rFont val="Tahoma"/>
            <family val="2"/>
          </rPr>
          <t>Fuel consumed in and emissions from Agriculture/Forestry/Fisheries are included under Other Manufacturing Industries and Construction (1.A.2.g).</t>
        </r>
      </text>
    </comment>
    <comment ref="V563" authorId="1" shapeId="0" xr:uid="{A84F2D43-21E2-4C53-9305-51417AE24D06}">
      <text>
        <r>
          <rPr>
            <sz val="9"/>
            <color indexed="81"/>
            <rFont val="Tahoma"/>
            <family val="2"/>
          </rPr>
          <t>Fuel consumed in and emissions from Agriculture/Forestry/Fisheries are included under Other Manufacturing Industries and Construction (1.A.2.g).</t>
        </r>
      </text>
    </comment>
    <comment ref="W563" authorId="1" shapeId="0" xr:uid="{245A8D18-9F5B-4ED9-B761-42CD32F08D95}">
      <text>
        <r>
          <rPr>
            <sz val="9"/>
            <color indexed="81"/>
            <rFont val="Tahoma"/>
            <family val="2"/>
          </rPr>
          <t>Fuel consumed in and emissions from Agriculture/Forestry/Fisheries are included under Other Manufacturing Industries and Construction (1.A.2.g).</t>
        </r>
      </text>
    </comment>
    <comment ref="X563" authorId="1" shapeId="0" xr:uid="{FA39FA21-1B13-44C3-88D9-9787ECE837B7}">
      <text>
        <r>
          <rPr>
            <sz val="9"/>
            <color indexed="81"/>
            <rFont val="Tahoma"/>
            <family val="2"/>
          </rPr>
          <t>Fuel consumed in and emissions from Agriculture/Forestry/Fisheries are included under Other Manufacturing Industries and Construction (1.A.2.g).</t>
        </r>
      </text>
    </comment>
    <comment ref="Y563" authorId="1" shapeId="0" xr:uid="{7C69B4F3-82B6-4A57-BB17-9A87A406C2C3}">
      <text>
        <r>
          <rPr>
            <sz val="9"/>
            <color indexed="81"/>
            <rFont val="Tahoma"/>
            <family val="2"/>
          </rPr>
          <t>Fuel consumed in and emissions from Agriculture/Forestry/Fisheries are included under Other Manufacturing Industries and Construction (1.A.2.g).</t>
        </r>
      </text>
    </comment>
    <comment ref="Z563" authorId="1" shapeId="0" xr:uid="{AF6DEBA6-255A-4070-812D-021163E4758C}">
      <text>
        <r>
          <rPr>
            <sz val="9"/>
            <color indexed="81"/>
            <rFont val="Tahoma"/>
            <family val="2"/>
          </rPr>
          <t>Fuel consumed in and emissions from Agriculture/Forestry/Fisheries are included under Other Manufacturing Industries and Construction (1.A.2.g).</t>
        </r>
      </text>
    </comment>
    <comment ref="AA563" authorId="1" shapeId="0" xr:uid="{21FAF647-CF80-4AB1-AD88-D90ACB7F72BC}">
      <text>
        <r>
          <rPr>
            <sz val="9"/>
            <color indexed="81"/>
            <rFont val="Tahoma"/>
            <family val="2"/>
          </rPr>
          <t>Fuel consumed in and emissions from Agriculture/Forestry/Fisheries are included under Other Manufacturing Industries and Construction (1.A.2.g).</t>
        </r>
      </text>
    </comment>
    <comment ref="AB563" authorId="1" shapeId="0" xr:uid="{3D6E71CE-C413-4FE7-BC6F-74281ABA4123}">
      <text>
        <r>
          <rPr>
            <sz val="9"/>
            <color indexed="81"/>
            <rFont val="Tahoma"/>
            <family val="2"/>
          </rPr>
          <t>Fuel consumed in and emissions from Agriculture/Forestry/Fisheries are included under Other Manufacturing Industries and Construction (1.A.2.g).</t>
        </r>
      </text>
    </comment>
    <comment ref="AC563" authorId="1" shapeId="0" xr:uid="{ECE49A57-7235-4C3B-8667-01699F83666D}">
      <text>
        <r>
          <rPr>
            <sz val="9"/>
            <color indexed="81"/>
            <rFont val="Tahoma"/>
            <family val="2"/>
          </rPr>
          <t>Fuel consumed in and emissions from Agriculture/Forestry/Fisheries are included under Other Manufacturing Industries and Construction (1.A.2.g).</t>
        </r>
      </text>
    </comment>
    <comment ref="AD563" authorId="1" shapeId="0" xr:uid="{49295277-F43E-43A8-AF5D-95404FB5CB94}">
      <text>
        <r>
          <rPr>
            <sz val="9"/>
            <color indexed="81"/>
            <rFont val="Tahoma"/>
            <family val="2"/>
          </rPr>
          <t>Fuel consumed in and emissions from Agriculture/Forestry/Fisheries are included under Other Manufacturing Industries and Construction (1.A.2.g).</t>
        </r>
      </text>
    </comment>
    <comment ref="AE563" authorId="1" shapeId="0" xr:uid="{03F74861-DBDC-40B7-A8C2-D9C8340D684D}">
      <text>
        <r>
          <rPr>
            <sz val="9"/>
            <color indexed="81"/>
            <rFont val="Tahoma"/>
            <family val="2"/>
          </rPr>
          <t>Fuel consumed in and emissions from Agriculture/Forestry/Fisheries are included under Other Manufacturing Industries and Construction (1.A.2.g).</t>
        </r>
      </text>
    </comment>
    <comment ref="AF563" authorId="1" shapeId="0" xr:uid="{5483F286-16E5-4116-B2B4-58773C30BF18}">
      <text>
        <r>
          <rPr>
            <sz val="9"/>
            <color indexed="81"/>
            <rFont val="Tahoma"/>
            <family val="2"/>
          </rPr>
          <t>Fuel consumed in and emissions from Agriculture/Forestry/Fisheries are included under Other Manufacturing Industries and Construction (1.A.2.g).</t>
        </r>
      </text>
    </comment>
    <comment ref="AG563" authorId="1" shapeId="0" xr:uid="{6B0FC908-A18C-4497-847D-8FAA0D0867CA}">
      <text>
        <r>
          <rPr>
            <sz val="9"/>
            <color indexed="81"/>
            <rFont val="Tahoma"/>
            <family val="2"/>
          </rPr>
          <t>Fuel consumed in and emissions from Agriculture/Forestry/Fisheries are included under Other Manufacturing Industries and Construction (1.A.2.g).</t>
        </r>
      </text>
    </comment>
    <comment ref="AH563" authorId="1" shapeId="0" xr:uid="{3C652B10-FDA3-4FE2-9B1A-4D7DC3BC573B}">
      <text>
        <r>
          <rPr>
            <sz val="9"/>
            <color indexed="81"/>
            <rFont val="Tahoma"/>
            <family val="2"/>
          </rPr>
          <t>Fuel consumed in and emissions from Agriculture/Forestry/Fisheries are included under Other Manufacturing Industries and Construction (1.A.2.g).</t>
        </r>
      </text>
    </comment>
    <comment ref="AI563" authorId="1" shapeId="0" xr:uid="{90FB7B94-A79A-4E2D-9024-5A8D33E80F4F}">
      <text>
        <r>
          <rPr>
            <sz val="9"/>
            <color indexed="81"/>
            <rFont val="Tahoma"/>
            <family val="2"/>
          </rPr>
          <t>Fuel consumed in and emissions from Agriculture/Forestry/Fisheries are included under Other Manufacturing Industries and Construction (1.A.2.g).</t>
        </r>
      </text>
    </comment>
    <comment ref="AJ563" authorId="1" shapeId="0" xr:uid="{E0428284-357A-4555-A948-5CD4FE664DB4}">
      <text>
        <r>
          <rPr>
            <sz val="9"/>
            <color indexed="81"/>
            <rFont val="Tahoma"/>
            <family val="2"/>
          </rPr>
          <t>Fuel consumed in and emissions from Agriculture/Forestry/Fisheries are included under Other Manufacturing Industries and Construction (1.A.2.g).</t>
        </r>
      </text>
    </comment>
    <comment ref="AK563" authorId="1" shapeId="0" xr:uid="{A3FFF748-42D0-441C-98FA-B2D808E6739B}">
      <text>
        <r>
          <rPr>
            <sz val="9"/>
            <color indexed="81"/>
            <rFont val="Tahoma"/>
            <family val="2"/>
          </rPr>
          <t>Fuel consumed in and emissions from Agriculture/Forestry/Fisheries are included under Other Manufacturing Industries and Construction (1.A.2.g).</t>
        </r>
      </text>
    </comment>
    <comment ref="F566" authorId="1" shapeId="0" xr:uid="{9668F941-6074-47FF-9504-34846EC973DF}">
      <text>
        <r>
          <rPr>
            <sz val="9"/>
            <color indexed="81"/>
            <rFont val="Tahoma"/>
            <family val="2"/>
          </rPr>
          <t>Fuel consumed in and emissions from Agriculture/Forestry/Fisheries are included under Other Manufacturing Industries and Construction (1.A.2.g).</t>
        </r>
      </text>
    </comment>
    <comment ref="G566" authorId="1" shapeId="0" xr:uid="{E3156DB2-547B-4F11-8293-5385E6ACD60F}">
      <text>
        <r>
          <rPr>
            <sz val="9"/>
            <color indexed="81"/>
            <rFont val="Tahoma"/>
            <family val="2"/>
          </rPr>
          <t>Fuel consumed in and emissions from Agriculture/Forestry/Fisheries are included under Other Manufacturing Industries and Construction (1.A.2.g).</t>
        </r>
      </text>
    </comment>
    <comment ref="H566" authorId="1" shapeId="0" xr:uid="{59F0F19B-F845-472B-8A9F-735FE36E2AE6}">
      <text>
        <r>
          <rPr>
            <sz val="9"/>
            <color indexed="81"/>
            <rFont val="Tahoma"/>
            <family val="2"/>
          </rPr>
          <t>Fuel consumed in and emissions from Agriculture/Forestry/Fisheries are included under Other Manufacturing Industries and Construction (1.A.2.g).</t>
        </r>
      </text>
    </comment>
    <comment ref="I566" authorId="1" shapeId="0" xr:uid="{4B41490D-1A12-43F7-AF4B-E57237DCE782}">
      <text>
        <r>
          <rPr>
            <sz val="9"/>
            <color indexed="81"/>
            <rFont val="Tahoma"/>
            <family val="2"/>
          </rPr>
          <t>Fuel consumed in and emissions from Agriculture/Forestry/Fisheries are included under Other Manufacturing Industries and Construction (1.A.2.g).</t>
        </r>
      </text>
    </comment>
    <comment ref="J566" authorId="1" shapeId="0" xr:uid="{9553B751-542B-4C97-85E9-6DB45FADE4C3}">
      <text>
        <r>
          <rPr>
            <sz val="9"/>
            <color indexed="81"/>
            <rFont val="Tahoma"/>
            <family val="2"/>
          </rPr>
          <t>Fuel consumed in and emissions from Agriculture/Forestry/Fisheries are included under Other Manufacturing Industries and Construction (1.A.2.g).</t>
        </r>
      </text>
    </comment>
    <comment ref="K566" authorId="1" shapeId="0" xr:uid="{786B51D0-B032-4662-B4C1-1EDA24C9347F}">
      <text>
        <r>
          <rPr>
            <sz val="9"/>
            <color indexed="81"/>
            <rFont val="Tahoma"/>
            <family val="2"/>
          </rPr>
          <t>Fuel consumed in and emissions from Agriculture/Forestry/Fisheries are included under Other Manufacturing Industries and Construction (1.A.2.g).</t>
        </r>
      </text>
    </comment>
    <comment ref="L566" authorId="1" shapeId="0" xr:uid="{F346B985-6F03-4F3B-A30E-06E6CC7B54DB}">
      <text>
        <r>
          <rPr>
            <sz val="9"/>
            <color indexed="81"/>
            <rFont val="Tahoma"/>
            <family val="2"/>
          </rPr>
          <t>Fuel consumed in and emissions from Agriculture/Forestry/Fisheries are included under Other Manufacturing Industries and Construction (1.A.2.g).</t>
        </r>
      </text>
    </comment>
    <comment ref="M566" authorId="1" shapeId="0" xr:uid="{06E7E087-AADB-4DA2-B015-B9600626D978}">
      <text>
        <r>
          <rPr>
            <sz val="9"/>
            <color indexed="81"/>
            <rFont val="Tahoma"/>
            <family val="2"/>
          </rPr>
          <t>Fuel consumed in and emissions from Agriculture/Forestry/Fisheries are included under Other Manufacturing Industries and Construction (1.A.2.g).</t>
        </r>
      </text>
    </comment>
    <comment ref="N566" authorId="1" shapeId="0" xr:uid="{1D14269E-4869-42E8-AC3B-F92C08A10CBE}">
      <text>
        <r>
          <rPr>
            <sz val="9"/>
            <color indexed="81"/>
            <rFont val="Tahoma"/>
            <family val="2"/>
          </rPr>
          <t>Fuel consumed in and emissions from Agriculture/Forestry/Fisheries are included under Other Manufacturing Industries and Construction (1.A.2.g).</t>
        </r>
      </text>
    </comment>
    <comment ref="O566" authorId="1" shapeId="0" xr:uid="{4B0E646E-F59B-4DF3-90A9-293A68B4EC29}">
      <text>
        <r>
          <rPr>
            <sz val="9"/>
            <color indexed="81"/>
            <rFont val="Tahoma"/>
            <family val="2"/>
          </rPr>
          <t>Fuel consumed in and emissions from Agriculture/Forestry/Fisheries are included under Other Manufacturing Industries and Construction (1.A.2.g).</t>
        </r>
      </text>
    </comment>
    <comment ref="P566" authorId="1" shapeId="0" xr:uid="{9B63F2AB-9CFF-4869-BA2D-ADE837C3C079}">
      <text>
        <r>
          <rPr>
            <sz val="9"/>
            <color indexed="81"/>
            <rFont val="Tahoma"/>
            <family val="2"/>
          </rPr>
          <t>Fuel consumed in and emissions from Agriculture/Forestry/Fisheries are included under Other Manufacturing Industries and Construction (1.A.2.g).</t>
        </r>
      </text>
    </comment>
    <comment ref="Q566" authorId="1" shapeId="0" xr:uid="{EADC4D75-7A62-4090-8E2B-C30B0F18F6AF}">
      <text>
        <r>
          <rPr>
            <sz val="9"/>
            <color indexed="81"/>
            <rFont val="Tahoma"/>
            <family val="2"/>
          </rPr>
          <t>Fuel consumed in and emissions from Agriculture/Forestry/Fisheries are included under Other Manufacturing Industries and Construction (1.A.2.g).</t>
        </r>
      </text>
    </comment>
    <comment ref="R566" authorId="1" shapeId="0" xr:uid="{142DCB47-9CF0-4573-9134-19127D50BD12}">
      <text>
        <r>
          <rPr>
            <sz val="9"/>
            <color indexed="81"/>
            <rFont val="Tahoma"/>
            <family val="2"/>
          </rPr>
          <t>Fuel consumed in and emissions from Agriculture/Forestry/Fisheries are included under Other Manufacturing Industries and Construction (1.A.2.g).</t>
        </r>
      </text>
    </comment>
    <comment ref="S566" authorId="1" shapeId="0" xr:uid="{ACC32F60-80A6-4423-85E4-A5CA0AAD89D1}">
      <text>
        <r>
          <rPr>
            <sz val="9"/>
            <color indexed="81"/>
            <rFont val="Tahoma"/>
            <family val="2"/>
          </rPr>
          <t>Fuel consumed in and emissions from Agriculture/Forestry/Fisheries are included under Other Manufacturing Industries and Construction (1.A.2.g).</t>
        </r>
      </text>
    </comment>
    <comment ref="T566" authorId="1" shapeId="0" xr:uid="{42C4CB58-6882-4EF4-A7D9-1099B8F46738}">
      <text>
        <r>
          <rPr>
            <sz val="9"/>
            <color indexed="81"/>
            <rFont val="Tahoma"/>
            <family val="2"/>
          </rPr>
          <t>Fuel consumed in and emissions from Agriculture/Forestry/Fisheries are included under Other Manufacturing Industries and Construction (1.A.2.g).</t>
        </r>
      </text>
    </comment>
    <comment ref="U566" authorId="1" shapeId="0" xr:uid="{B463D6AD-1C7F-4BF8-B6C8-C3511D38B33D}">
      <text>
        <r>
          <rPr>
            <sz val="9"/>
            <color indexed="81"/>
            <rFont val="Tahoma"/>
            <family val="2"/>
          </rPr>
          <t>Fuel consumed in and emissions from Agriculture/Forestry/Fisheries are included under Other Manufacturing Industries and Construction (1.A.2.g).</t>
        </r>
      </text>
    </comment>
    <comment ref="V566" authorId="1" shapeId="0" xr:uid="{A8330214-6096-41E5-A4F6-381D2C7435CD}">
      <text>
        <r>
          <rPr>
            <sz val="9"/>
            <color indexed="81"/>
            <rFont val="Tahoma"/>
            <family val="2"/>
          </rPr>
          <t>Fuel consumed in and emissions from Agriculture/Forestry/Fisheries are included under Other Manufacturing Industries and Construction (1.A.2.g).</t>
        </r>
      </text>
    </comment>
    <comment ref="W566" authorId="1" shapeId="0" xr:uid="{319611B7-1149-4952-A42C-33C9AF0E65F4}">
      <text>
        <r>
          <rPr>
            <sz val="9"/>
            <color indexed="81"/>
            <rFont val="Tahoma"/>
            <family val="2"/>
          </rPr>
          <t>Fuel consumed in and emissions from Agriculture/Forestry/Fisheries are included under Other Manufacturing Industries and Construction (1.A.2.g).</t>
        </r>
      </text>
    </comment>
    <comment ref="X566" authorId="1" shapeId="0" xr:uid="{6CD1F87A-3AA2-4293-A13C-7148D4FB46CC}">
      <text>
        <r>
          <rPr>
            <sz val="9"/>
            <color indexed="81"/>
            <rFont val="Tahoma"/>
            <family val="2"/>
          </rPr>
          <t>Fuel consumed in and emissions from Agriculture/Forestry/Fisheries are included under Other Manufacturing Industries and Construction (1.A.2.g).</t>
        </r>
      </text>
    </comment>
    <comment ref="Y566" authorId="1" shapeId="0" xr:uid="{C53121C4-899E-42BD-BBC3-849332C9FBC7}">
      <text>
        <r>
          <rPr>
            <sz val="9"/>
            <color indexed="81"/>
            <rFont val="Tahoma"/>
            <family val="2"/>
          </rPr>
          <t>Fuel consumed in and emissions from Agriculture/Forestry/Fisheries are included under Other Manufacturing Industries and Construction (1.A.2.g).</t>
        </r>
      </text>
    </comment>
    <comment ref="Z566" authorId="1" shapeId="0" xr:uid="{33DDDB9D-3B17-47C2-B731-575D184A23A7}">
      <text>
        <r>
          <rPr>
            <sz val="9"/>
            <color indexed="81"/>
            <rFont val="Tahoma"/>
            <family val="2"/>
          </rPr>
          <t>Fuel consumed in and emissions from Agriculture/Forestry/Fisheries are included under Other Manufacturing Industries and Construction (1.A.2.g).</t>
        </r>
      </text>
    </comment>
    <comment ref="AA566" authorId="1" shapeId="0" xr:uid="{73648CA6-E070-4C91-9E54-ACD24CA43BBF}">
      <text>
        <r>
          <rPr>
            <sz val="9"/>
            <color indexed="81"/>
            <rFont val="Tahoma"/>
            <family val="2"/>
          </rPr>
          <t>Fuel consumed in and emissions from Agriculture/Forestry/Fisheries are included under Other Manufacturing Industries and Construction (1.A.2.g).</t>
        </r>
      </text>
    </comment>
    <comment ref="AB566" authorId="1" shapeId="0" xr:uid="{03432FEC-8975-49C2-A929-53F575A59222}">
      <text>
        <r>
          <rPr>
            <sz val="9"/>
            <color indexed="81"/>
            <rFont val="Tahoma"/>
            <family val="2"/>
          </rPr>
          <t>Fuel consumed in and emissions from Agriculture/Forestry/Fisheries are included under Other Manufacturing Industries and Construction (1.A.2.g).</t>
        </r>
      </text>
    </comment>
    <comment ref="AC566" authorId="1" shapeId="0" xr:uid="{EEEF5048-13CE-487B-A025-DB52427CCD4B}">
      <text>
        <r>
          <rPr>
            <sz val="9"/>
            <color indexed="81"/>
            <rFont val="Tahoma"/>
            <family val="2"/>
          </rPr>
          <t>Fuel consumed in and emissions from Agriculture/Forestry/Fisheries are included under Other Manufacturing Industries and Construction (1.A.2.g).</t>
        </r>
      </text>
    </comment>
    <comment ref="AD566" authorId="1" shapeId="0" xr:uid="{1A3E2617-0F8A-4CA5-8B07-4D736B071C54}">
      <text>
        <r>
          <rPr>
            <sz val="9"/>
            <color indexed="81"/>
            <rFont val="Tahoma"/>
            <family val="2"/>
          </rPr>
          <t>Fuel consumed in and emissions from Agriculture/Forestry/Fisheries are included under Other Manufacturing Industries and Construction (1.A.2.g).</t>
        </r>
      </text>
    </comment>
    <comment ref="AE566" authorId="1" shapeId="0" xr:uid="{8608A8BD-AEC2-4B6F-AA17-5A2E39A0032D}">
      <text>
        <r>
          <rPr>
            <sz val="9"/>
            <color indexed="81"/>
            <rFont val="Tahoma"/>
            <family val="2"/>
          </rPr>
          <t>Fuel consumed in and emissions from Agriculture/Forestry/Fisheries are included under Other Manufacturing Industries and Construction (1.A.2.g).</t>
        </r>
      </text>
    </comment>
    <comment ref="AF566" authorId="1" shapeId="0" xr:uid="{1F016414-35D5-4854-AA47-655F01CA647A}">
      <text>
        <r>
          <rPr>
            <sz val="9"/>
            <color indexed="81"/>
            <rFont val="Tahoma"/>
            <family val="2"/>
          </rPr>
          <t>Fuel consumed in and emissions from Agriculture/Forestry/Fisheries are included under Other Manufacturing Industries and Construction (1.A.2.g).</t>
        </r>
      </text>
    </comment>
    <comment ref="AG566" authorId="1" shapeId="0" xr:uid="{B4532A09-66ED-4449-927B-C83464B75282}">
      <text>
        <r>
          <rPr>
            <sz val="9"/>
            <color indexed="81"/>
            <rFont val="Tahoma"/>
            <family val="2"/>
          </rPr>
          <t>Fuel consumed in and emissions from Agriculture/Forestry/Fisheries are included under Other Manufacturing Industries and Construction (1.A.2.g).</t>
        </r>
      </text>
    </comment>
    <comment ref="AH566" authorId="1" shapeId="0" xr:uid="{DC28B0D2-F8FE-48EF-BCB1-1FE4DD5AB48F}">
      <text>
        <r>
          <rPr>
            <sz val="9"/>
            <color indexed="81"/>
            <rFont val="Tahoma"/>
            <family val="2"/>
          </rPr>
          <t>Fuel consumed in and emissions from Agriculture/Forestry/Fisheries are included under Other Manufacturing Industries and Construction (1.A.2.g).</t>
        </r>
      </text>
    </comment>
    <comment ref="AI566" authorId="1" shapeId="0" xr:uid="{55C757AE-D278-4302-B049-D6CCA4CA971A}">
      <text>
        <r>
          <rPr>
            <sz val="9"/>
            <color indexed="81"/>
            <rFont val="Tahoma"/>
            <family val="2"/>
          </rPr>
          <t>Fuel consumed in and emissions from Agriculture/Forestry/Fisheries are included under Other Manufacturing Industries and Construction (1.A.2.g).</t>
        </r>
      </text>
    </comment>
    <comment ref="AJ566" authorId="1" shapeId="0" xr:uid="{D13BDFAC-ADE1-4B14-8EAB-51EB5A810F15}">
      <text>
        <r>
          <rPr>
            <sz val="9"/>
            <color indexed="81"/>
            <rFont val="Tahoma"/>
            <family val="2"/>
          </rPr>
          <t>Fuel consumed in and emissions from Agriculture/Forestry/Fisheries are included under Other Manufacturing Industries and Construction (1.A.2.g).</t>
        </r>
      </text>
    </comment>
    <comment ref="AK566" authorId="1" shapeId="0" xr:uid="{3574EACF-4949-4A84-A1C8-E8462F69A12F}">
      <text>
        <r>
          <rPr>
            <sz val="9"/>
            <color indexed="81"/>
            <rFont val="Tahoma"/>
            <family val="2"/>
          </rPr>
          <t>Fuel consumed in and emissions from Agriculture/Forestry/Fisheries are included under Other Manufacturing Industries and Construction (1.A.2.g).</t>
        </r>
      </text>
    </comment>
    <comment ref="F568" authorId="1" shapeId="0" xr:uid="{C1E98055-CAB9-4327-B17F-430B1764CBE3}">
      <text>
        <r>
          <rPr>
            <sz val="9"/>
            <color indexed="81"/>
            <rFont val="Tahoma"/>
            <family val="2"/>
          </rPr>
          <t>Fuel consumed in and emissions from Agriculture/Forestry/Fisheries are included under Other Manufacturing Industries and Construction (1.A.2.g).</t>
        </r>
      </text>
    </comment>
    <comment ref="G568" authorId="1" shapeId="0" xr:uid="{51680899-320D-4A91-AAF0-E03F53DC9CD6}">
      <text>
        <r>
          <rPr>
            <sz val="9"/>
            <color indexed="81"/>
            <rFont val="Tahoma"/>
            <family val="2"/>
          </rPr>
          <t>Fuel consumed in and emissions from Agriculture/Forestry/Fisheries are included under Other Manufacturing Industries and Construction (1.A.2.g).</t>
        </r>
      </text>
    </comment>
    <comment ref="H568" authorId="1" shapeId="0" xr:uid="{FE36D4F2-7302-4801-9FE5-330680E995DE}">
      <text>
        <r>
          <rPr>
            <sz val="9"/>
            <color indexed="81"/>
            <rFont val="Tahoma"/>
            <family val="2"/>
          </rPr>
          <t>Fuel consumed in and emissions from Agriculture/Forestry/Fisheries are included under Other Manufacturing Industries and Construction (1.A.2.g).</t>
        </r>
      </text>
    </comment>
    <comment ref="I568" authorId="1" shapeId="0" xr:uid="{D1A871D6-D445-4819-8213-41EF100FE1AD}">
      <text>
        <r>
          <rPr>
            <sz val="9"/>
            <color indexed="81"/>
            <rFont val="Tahoma"/>
            <family val="2"/>
          </rPr>
          <t>Fuel consumed in and emissions from Agriculture/Forestry/Fisheries are included under Other Manufacturing Industries and Construction (1.A.2.g).</t>
        </r>
      </text>
    </comment>
    <comment ref="J568" authorId="1" shapeId="0" xr:uid="{387CF409-3BE4-45AB-B0DC-EEC09D2152F6}">
      <text>
        <r>
          <rPr>
            <sz val="9"/>
            <color indexed="81"/>
            <rFont val="Tahoma"/>
            <family val="2"/>
          </rPr>
          <t>Fuel consumed in and emissions from Agriculture/Forestry/Fisheries are included under Other Manufacturing Industries and Construction (1.A.2.g).</t>
        </r>
      </text>
    </comment>
    <comment ref="K568" authorId="1" shapeId="0" xr:uid="{EB7E8642-B142-4873-BE4F-5179648B396C}">
      <text>
        <r>
          <rPr>
            <sz val="9"/>
            <color indexed="81"/>
            <rFont val="Tahoma"/>
            <family val="2"/>
          </rPr>
          <t>Fuel consumed in and emissions from Agriculture/Forestry/Fisheries are included under Other Manufacturing Industries and Construction (1.A.2.g).</t>
        </r>
      </text>
    </comment>
    <comment ref="L568" authorId="1" shapeId="0" xr:uid="{EADECE03-F186-47B5-A002-24B79B58E3AB}">
      <text>
        <r>
          <rPr>
            <sz val="9"/>
            <color indexed="81"/>
            <rFont val="Tahoma"/>
            <family val="2"/>
          </rPr>
          <t>Fuel consumed in and emissions from Agriculture/Forestry/Fisheries are included under Other Manufacturing Industries and Construction (1.A.2.g).</t>
        </r>
      </text>
    </comment>
    <comment ref="M568" authorId="1" shapeId="0" xr:uid="{78762E04-8860-402D-943D-3FF66C069191}">
      <text>
        <r>
          <rPr>
            <sz val="9"/>
            <color indexed="81"/>
            <rFont val="Tahoma"/>
            <family val="2"/>
          </rPr>
          <t>Fuel consumed in and emissions from Agriculture/Forestry/Fisheries are included under Other Manufacturing Industries and Construction (1.A.2.g).</t>
        </r>
      </text>
    </comment>
    <comment ref="N568" authorId="1" shapeId="0" xr:uid="{B3DCC6CB-F646-4D97-AC0A-34776465B73C}">
      <text>
        <r>
          <rPr>
            <sz val="9"/>
            <color indexed="81"/>
            <rFont val="Tahoma"/>
            <family val="2"/>
          </rPr>
          <t>Fuel consumed in and emissions from Agriculture/Forestry/Fisheries are included under Other Manufacturing Industries and Construction (1.A.2.g).</t>
        </r>
      </text>
    </comment>
    <comment ref="O568" authorId="1" shapeId="0" xr:uid="{5BF95113-4AAA-44FF-B5F0-946ABF119A88}">
      <text>
        <r>
          <rPr>
            <sz val="9"/>
            <color indexed="81"/>
            <rFont val="Tahoma"/>
            <family val="2"/>
          </rPr>
          <t>Fuel consumed in and emissions from Agriculture/Forestry/Fisheries are included under Other Manufacturing Industries and Construction (1.A.2.g).</t>
        </r>
      </text>
    </comment>
    <comment ref="P568" authorId="1" shapeId="0" xr:uid="{7DD25997-8647-4436-90A2-1D9FBFED0ABE}">
      <text>
        <r>
          <rPr>
            <sz val="9"/>
            <color indexed="81"/>
            <rFont val="Tahoma"/>
            <family val="2"/>
          </rPr>
          <t>Fuel consumed in and emissions from Agriculture/Forestry/Fisheries are included under Other Manufacturing Industries and Construction (1.A.2.g).</t>
        </r>
      </text>
    </comment>
    <comment ref="Q568" authorId="1" shapeId="0" xr:uid="{8FA27CF0-33F5-44B1-BDBA-71B4D6113947}">
      <text>
        <r>
          <rPr>
            <sz val="9"/>
            <color indexed="81"/>
            <rFont val="Tahoma"/>
            <family val="2"/>
          </rPr>
          <t>Fuel consumed in and emissions from Agriculture/Forestry/Fisheries are included under Other Manufacturing Industries and Construction (1.A.2.g).</t>
        </r>
      </text>
    </comment>
    <comment ref="R568" authorId="1" shapeId="0" xr:uid="{8F82C84A-40BD-413A-A81A-83EC3347E48A}">
      <text>
        <r>
          <rPr>
            <sz val="9"/>
            <color indexed="81"/>
            <rFont val="Tahoma"/>
            <family val="2"/>
          </rPr>
          <t>Fuel consumed in and emissions from Agriculture/Forestry/Fisheries are included under Other Manufacturing Industries and Construction (1.A.2.g).</t>
        </r>
      </text>
    </comment>
    <comment ref="S568" authorId="1" shapeId="0" xr:uid="{592B2414-D87A-4881-92AE-1E63FE99D27C}">
      <text>
        <r>
          <rPr>
            <sz val="9"/>
            <color indexed="81"/>
            <rFont val="Tahoma"/>
            <family val="2"/>
          </rPr>
          <t>Fuel consumed in and emissions from Agriculture/Forestry/Fisheries are included under Other Manufacturing Industries and Construction (1.A.2.g).</t>
        </r>
      </text>
    </comment>
    <comment ref="T568" authorId="1" shapeId="0" xr:uid="{BB3C1C94-46C8-414C-939E-9CEDD2EDF074}">
      <text>
        <r>
          <rPr>
            <sz val="9"/>
            <color indexed="81"/>
            <rFont val="Tahoma"/>
            <family val="2"/>
          </rPr>
          <t>Fuel consumed in and emissions from Agriculture/Forestry/Fisheries are included under Other Manufacturing Industries and Construction (1.A.2.g).</t>
        </r>
      </text>
    </comment>
    <comment ref="U568" authorId="1" shapeId="0" xr:uid="{B3C11D50-A16E-4E68-B5DE-7E425206DFD3}">
      <text>
        <r>
          <rPr>
            <sz val="9"/>
            <color indexed="81"/>
            <rFont val="Tahoma"/>
            <family val="2"/>
          </rPr>
          <t>Fuel consumed in and emissions from Agriculture/Forestry/Fisheries are included under Other Manufacturing Industries and Construction (1.A.2.g).</t>
        </r>
      </text>
    </comment>
    <comment ref="V568" authorId="1" shapeId="0" xr:uid="{6CBE9A37-864F-45E0-935C-A835D764AC66}">
      <text>
        <r>
          <rPr>
            <sz val="9"/>
            <color indexed="81"/>
            <rFont val="Tahoma"/>
            <family val="2"/>
          </rPr>
          <t>Fuel consumed in and emissions from Agriculture/Forestry/Fisheries are included under Other Manufacturing Industries and Construction (1.A.2.g).</t>
        </r>
      </text>
    </comment>
    <comment ref="W568" authorId="1" shapeId="0" xr:uid="{770D5B53-86BA-4E56-AF81-61CF312DED81}">
      <text>
        <r>
          <rPr>
            <sz val="9"/>
            <color indexed="81"/>
            <rFont val="Tahoma"/>
            <family val="2"/>
          </rPr>
          <t>Fuel consumed in and emissions from Agriculture/Forestry/Fisheries are included under Other Manufacturing Industries and Construction (1.A.2.g).</t>
        </r>
      </text>
    </comment>
    <comment ref="X568" authorId="1" shapeId="0" xr:uid="{7FB8508F-689A-4811-8E02-C988438F232A}">
      <text>
        <r>
          <rPr>
            <sz val="9"/>
            <color indexed="81"/>
            <rFont val="Tahoma"/>
            <family val="2"/>
          </rPr>
          <t>Fuel consumed in and emissions from Agriculture/Forestry/Fisheries are included under Other Manufacturing Industries and Construction (1.A.2.g).</t>
        </r>
      </text>
    </comment>
    <comment ref="Y568" authorId="1" shapeId="0" xr:uid="{ABCC034C-9AE7-48D9-A366-0D737872A82A}">
      <text>
        <r>
          <rPr>
            <sz val="9"/>
            <color indexed="81"/>
            <rFont val="Tahoma"/>
            <family val="2"/>
          </rPr>
          <t>Fuel consumed in and emissions from Agriculture/Forestry/Fisheries are included under Other Manufacturing Industries and Construction (1.A.2.g).</t>
        </r>
      </text>
    </comment>
    <comment ref="Z568" authorId="1" shapeId="0" xr:uid="{87614D3D-6C95-4EDC-9F14-70D76AAAB3C4}">
      <text>
        <r>
          <rPr>
            <sz val="9"/>
            <color indexed="81"/>
            <rFont val="Tahoma"/>
            <family val="2"/>
          </rPr>
          <t>Fuel consumed in and emissions from Agriculture/Forestry/Fisheries are included under Other Manufacturing Industries and Construction (1.A.2.g).</t>
        </r>
      </text>
    </comment>
    <comment ref="AA568" authorId="1" shapeId="0" xr:uid="{E249AB82-B02D-40FD-B451-CEDD3F12CB9B}">
      <text>
        <r>
          <rPr>
            <sz val="9"/>
            <color indexed="81"/>
            <rFont val="Tahoma"/>
            <family val="2"/>
          </rPr>
          <t>Fuel consumed in and emissions from Agriculture/Forestry/Fisheries are included under Other Manufacturing Industries and Construction (1.A.2.g).</t>
        </r>
      </text>
    </comment>
    <comment ref="AB568" authorId="1" shapeId="0" xr:uid="{F1E7A1EF-82BD-4923-B9F3-E2F90725AB8E}">
      <text>
        <r>
          <rPr>
            <sz val="9"/>
            <color indexed="81"/>
            <rFont val="Tahoma"/>
            <family val="2"/>
          </rPr>
          <t>Fuel consumed in and emissions from Agriculture/Forestry/Fisheries are included under Other Manufacturing Industries and Construction (1.A.2.g).</t>
        </r>
      </text>
    </comment>
    <comment ref="AC568" authorId="1" shapeId="0" xr:uid="{81A7A7EF-FF92-4254-A20A-F50210632C3A}">
      <text>
        <r>
          <rPr>
            <sz val="9"/>
            <color indexed="81"/>
            <rFont val="Tahoma"/>
            <family val="2"/>
          </rPr>
          <t>Fuel consumed in and emissions from Agriculture/Forestry/Fisheries are included under Other Manufacturing Industries and Construction (1.A.2.g).</t>
        </r>
      </text>
    </comment>
    <comment ref="AD568" authorId="1" shapeId="0" xr:uid="{7F0846A7-71D4-49A2-A3D5-3D6243639B82}">
      <text>
        <r>
          <rPr>
            <sz val="9"/>
            <color indexed="81"/>
            <rFont val="Tahoma"/>
            <family val="2"/>
          </rPr>
          <t>Fuel consumed in and emissions from Agriculture/Forestry/Fisheries are included under Other Manufacturing Industries and Construction (1.A.2.g).</t>
        </r>
      </text>
    </comment>
    <comment ref="AE568" authorId="1" shapeId="0" xr:uid="{6EA65780-4D09-4114-8A42-D6B71CECF910}">
      <text>
        <r>
          <rPr>
            <sz val="9"/>
            <color indexed="81"/>
            <rFont val="Tahoma"/>
            <family val="2"/>
          </rPr>
          <t>Fuel consumed in and emissions from Agriculture/Forestry/Fisheries are included under Other Manufacturing Industries and Construction (1.A.2.g).</t>
        </r>
      </text>
    </comment>
    <comment ref="AF568" authorId="1" shapeId="0" xr:uid="{E0180193-594C-48CB-9C57-3FDA4F50D18A}">
      <text>
        <r>
          <rPr>
            <sz val="9"/>
            <color indexed="81"/>
            <rFont val="Tahoma"/>
            <family val="2"/>
          </rPr>
          <t>Fuel consumed in and emissions from Agriculture/Forestry/Fisheries are included under Other Manufacturing Industries and Construction (1.A.2.g).</t>
        </r>
      </text>
    </comment>
    <comment ref="AG568" authorId="1" shapeId="0" xr:uid="{BA231C96-6CF7-4EE3-AD1F-BFCCAB7F1CBC}">
      <text>
        <r>
          <rPr>
            <sz val="9"/>
            <color indexed="81"/>
            <rFont val="Tahoma"/>
            <family val="2"/>
          </rPr>
          <t>Fuel consumed in and emissions from Agriculture/Forestry/Fisheries are included under Other Manufacturing Industries and Construction (1.A.2.g).</t>
        </r>
      </text>
    </comment>
    <comment ref="AH568" authorId="1" shapeId="0" xr:uid="{5CBCB706-FCF2-4C56-8F13-DD64FA083B58}">
      <text>
        <r>
          <rPr>
            <sz val="9"/>
            <color indexed="81"/>
            <rFont val="Tahoma"/>
            <family val="2"/>
          </rPr>
          <t>Fuel consumed in and emissions from Agriculture/Forestry/Fisheries are included under Other Manufacturing Industries and Construction (1.A.2.g).</t>
        </r>
      </text>
    </comment>
    <comment ref="AI568" authorId="1" shapeId="0" xr:uid="{7BF750EB-E8F5-41B8-88D7-EA11CFD3E18A}">
      <text>
        <r>
          <rPr>
            <sz val="9"/>
            <color indexed="81"/>
            <rFont val="Tahoma"/>
            <family val="2"/>
          </rPr>
          <t>Fuel consumed in and emissions from Agriculture/Forestry/Fisheries are included under Other Manufacturing Industries and Construction (1.A.2.g).</t>
        </r>
      </text>
    </comment>
    <comment ref="AJ568" authorId="1" shapeId="0" xr:uid="{601ECBCB-7AF5-42A7-9A9B-77E3E471E35E}">
      <text>
        <r>
          <rPr>
            <sz val="9"/>
            <color indexed="81"/>
            <rFont val="Tahoma"/>
            <family val="2"/>
          </rPr>
          <t>Fuel consumed in and emissions from Agriculture/Forestry/Fisheries are included under Other Manufacturing Industries and Construction (1.A.2.g).</t>
        </r>
      </text>
    </comment>
    <comment ref="AK568" authorId="1" shapeId="0" xr:uid="{16AB629C-D24B-4E5C-8C4A-71B52FFA9F30}">
      <text>
        <r>
          <rPr>
            <sz val="9"/>
            <color indexed="81"/>
            <rFont val="Tahoma"/>
            <family val="2"/>
          </rPr>
          <t>Fuel consumed in and emissions from Agriculture/Forestry/Fisheries are included under Other Manufacturing Industries and Construction (1.A.2.g).</t>
        </r>
      </text>
    </comment>
    <comment ref="F577" authorId="1" shapeId="0" xr:uid="{6DF507F6-B153-481F-97EE-D38F1A794984}">
      <text>
        <r>
          <rPr>
            <sz val="9"/>
            <color indexed="81"/>
            <rFont val="Tahoma"/>
            <family val="2"/>
          </rPr>
          <t>Fuel consumed in and emissions from Agriculture/Forestry/Fisheries are included under Other Manufacturing Industries and Construction (1.A.2.g).</t>
        </r>
      </text>
    </comment>
    <comment ref="G577" authorId="1" shapeId="0" xr:uid="{4BEE0A6C-1E60-46FD-B0B2-8AB6C931B7EB}">
      <text>
        <r>
          <rPr>
            <sz val="9"/>
            <color indexed="81"/>
            <rFont val="Tahoma"/>
            <family val="2"/>
          </rPr>
          <t>Fuel consumed in and emissions from Agriculture/Forestry/Fisheries are included under Other Manufacturing Industries and Construction (1.A.2.g).</t>
        </r>
      </text>
    </comment>
    <comment ref="H577" authorId="1" shapeId="0" xr:uid="{6070C5B7-1004-4428-8E2F-961103836A1F}">
      <text>
        <r>
          <rPr>
            <sz val="9"/>
            <color indexed="81"/>
            <rFont val="Tahoma"/>
            <family val="2"/>
          </rPr>
          <t>Fuel consumed in and emissions from Agriculture/Forestry/Fisheries are included under Other Manufacturing Industries and Construction (1.A.2.g).</t>
        </r>
      </text>
    </comment>
    <comment ref="I577" authorId="1" shapeId="0" xr:uid="{3F4D59F4-07F8-44A7-8208-A73569DCBD7E}">
      <text>
        <r>
          <rPr>
            <sz val="9"/>
            <color indexed="81"/>
            <rFont val="Tahoma"/>
            <family val="2"/>
          </rPr>
          <t>Fuel consumed in and emissions from Agriculture/Forestry/Fisheries are included under Other Manufacturing Industries and Construction (1.A.2.g).</t>
        </r>
      </text>
    </comment>
    <comment ref="J577" authorId="1" shapeId="0" xr:uid="{6B00D5FF-724C-4217-BB4D-C8FC8A736E64}">
      <text>
        <r>
          <rPr>
            <sz val="9"/>
            <color indexed="81"/>
            <rFont val="Tahoma"/>
            <family val="2"/>
          </rPr>
          <t>Fuel consumed in and emissions from Agriculture/Forestry/Fisheries are included under Other Manufacturing Industries and Construction (1.A.2.g).</t>
        </r>
      </text>
    </comment>
    <comment ref="K577" authorId="1" shapeId="0" xr:uid="{2AFA357D-5810-4461-AEC5-EFC32F69CF22}">
      <text>
        <r>
          <rPr>
            <sz val="9"/>
            <color indexed="81"/>
            <rFont val="Tahoma"/>
            <family val="2"/>
          </rPr>
          <t>Fuel consumed in and emissions from Agriculture/Forestry/Fisheries are included under Other Manufacturing Industries and Construction (1.A.2.g).</t>
        </r>
      </text>
    </comment>
    <comment ref="L577" authorId="1" shapeId="0" xr:uid="{9BC36947-EBCC-43B3-B523-D879EBBB905D}">
      <text>
        <r>
          <rPr>
            <sz val="9"/>
            <color indexed="81"/>
            <rFont val="Tahoma"/>
            <family val="2"/>
          </rPr>
          <t>Fuel consumed in and emissions from Agriculture/Forestry/Fisheries are included under Other Manufacturing Industries and Construction (1.A.2.g).</t>
        </r>
      </text>
    </comment>
    <comment ref="M577" authorId="1" shapeId="0" xr:uid="{67361149-030E-41AB-ACEF-FFAB0229641D}">
      <text>
        <r>
          <rPr>
            <sz val="9"/>
            <color indexed="81"/>
            <rFont val="Tahoma"/>
            <family val="2"/>
          </rPr>
          <t>Fuel consumed in and emissions from Agriculture/Forestry/Fisheries are included under Other Manufacturing Industries and Construction (1.A.2.g).</t>
        </r>
      </text>
    </comment>
    <comment ref="N577" authorId="1" shapeId="0" xr:uid="{10C2BCC9-9DFB-4035-88BF-2C2E685DEB26}">
      <text>
        <r>
          <rPr>
            <sz val="9"/>
            <color indexed="81"/>
            <rFont val="Tahoma"/>
            <family val="2"/>
          </rPr>
          <t>Fuel consumed in and emissions from Agriculture/Forestry/Fisheries are included under Other Manufacturing Industries and Construction (1.A.2.g).</t>
        </r>
      </text>
    </comment>
    <comment ref="O577" authorId="1" shapeId="0" xr:uid="{6691C6EB-B8A3-4EDD-AEE6-D05FF80F5DC2}">
      <text>
        <r>
          <rPr>
            <sz val="9"/>
            <color indexed="81"/>
            <rFont val="Tahoma"/>
            <family val="2"/>
          </rPr>
          <t>Fuel consumed in and emissions from Agriculture/Forestry/Fisheries are included under Other Manufacturing Industries and Construction (1.A.2.g).</t>
        </r>
      </text>
    </comment>
    <comment ref="P577" authorId="1" shapeId="0" xr:uid="{C3544111-F055-403E-A809-938101BC7DBE}">
      <text>
        <r>
          <rPr>
            <sz val="9"/>
            <color indexed="81"/>
            <rFont val="Tahoma"/>
            <family val="2"/>
          </rPr>
          <t>Fuel consumed in and emissions from Agriculture/Forestry/Fisheries are included under Other Manufacturing Industries and Construction (1.A.2.g).</t>
        </r>
      </text>
    </comment>
    <comment ref="Q577" authorId="1" shapeId="0" xr:uid="{34274622-EFA4-448D-B4F6-1BFBF3098E8A}">
      <text>
        <r>
          <rPr>
            <sz val="9"/>
            <color indexed="81"/>
            <rFont val="Tahoma"/>
            <family val="2"/>
          </rPr>
          <t>Fuel consumed in and emissions from Agriculture/Forestry/Fisheries are included under Other Manufacturing Industries and Construction (1.A.2.g).</t>
        </r>
      </text>
    </comment>
    <comment ref="R577" authorId="1" shapeId="0" xr:uid="{6708D3EA-0BF6-4468-A5DC-917625F4A18C}">
      <text>
        <r>
          <rPr>
            <sz val="9"/>
            <color indexed="81"/>
            <rFont val="Tahoma"/>
            <family val="2"/>
          </rPr>
          <t>Fuel consumed in and emissions from Agriculture/Forestry/Fisheries are included under Other Manufacturing Industries and Construction (1.A.2.g).</t>
        </r>
      </text>
    </comment>
    <comment ref="S577" authorId="1" shapeId="0" xr:uid="{29A01D89-0762-4BE9-B421-980C03ACC40E}">
      <text>
        <r>
          <rPr>
            <sz val="9"/>
            <color indexed="81"/>
            <rFont val="Tahoma"/>
            <family val="2"/>
          </rPr>
          <t>Fuel consumed in and emissions from Agriculture/Forestry/Fisheries are included under Other Manufacturing Industries and Construction (1.A.2.g).</t>
        </r>
      </text>
    </comment>
    <comment ref="T577" authorId="1" shapeId="0" xr:uid="{570B405C-0440-45AC-B11C-0F89338FCE06}">
      <text>
        <r>
          <rPr>
            <sz val="9"/>
            <color indexed="81"/>
            <rFont val="Tahoma"/>
            <family val="2"/>
          </rPr>
          <t>Fuel consumed in and emissions from Agriculture/Forestry/Fisheries are included under Other Manufacturing Industries and Construction (1.A.2.g).</t>
        </r>
      </text>
    </comment>
    <comment ref="U577" authorId="1" shapeId="0" xr:uid="{2D8FEBBD-B518-42B6-8A02-C8A7A77704D6}">
      <text>
        <r>
          <rPr>
            <sz val="9"/>
            <color indexed="81"/>
            <rFont val="Tahoma"/>
            <family val="2"/>
          </rPr>
          <t>Fuel consumed in and emissions from Agriculture/Forestry/Fisheries are included under Other Manufacturing Industries and Construction (1.A.2.g).</t>
        </r>
      </text>
    </comment>
    <comment ref="V577" authorId="1" shapeId="0" xr:uid="{B0CE34B8-37A1-462A-91D6-D67FF729B697}">
      <text>
        <r>
          <rPr>
            <sz val="9"/>
            <color indexed="81"/>
            <rFont val="Tahoma"/>
            <family val="2"/>
          </rPr>
          <t>Fuel consumed in and emissions from Agriculture/Forestry/Fisheries are included under Other Manufacturing Industries and Construction (1.A.2.g).</t>
        </r>
      </text>
    </comment>
    <comment ref="W577" authorId="1" shapeId="0" xr:uid="{A777498C-1E34-4F7E-BFD5-6BB24F7DCAFE}">
      <text>
        <r>
          <rPr>
            <sz val="9"/>
            <color indexed="81"/>
            <rFont val="Tahoma"/>
            <family val="2"/>
          </rPr>
          <t>Fuel consumed in and emissions from Agriculture/Forestry/Fisheries are included under Other Manufacturing Industries and Construction (1.A.2.g).</t>
        </r>
      </text>
    </comment>
    <comment ref="X577" authorId="1" shapeId="0" xr:uid="{4029E33E-D99C-47D8-B639-1A44F38DFE83}">
      <text>
        <r>
          <rPr>
            <sz val="9"/>
            <color indexed="81"/>
            <rFont val="Tahoma"/>
            <family val="2"/>
          </rPr>
          <t>Fuel consumed in and emissions from Agriculture/Forestry/Fisheries are included under Other Manufacturing Industries and Construction (1.A.2.g).</t>
        </r>
      </text>
    </comment>
    <comment ref="Y577" authorId="1" shapeId="0" xr:uid="{0E31829B-839B-45A3-9CBD-EF5232365352}">
      <text>
        <r>
          <rPr>
            <sz val="9"/>
            <color indexed="81"/>
            <rFont val="Tahoma"/>
            <family val="2"/>
          </rPr>
          <t>Fuel consumed in and emissions from Agriculture/Forestry/Fisheries are included under Other Manufacturing Industries and Construction (1.A.2.g).</t>
        </r>
      </text>
    </comment>
    <comment ref="Z577" authorId="1" shapeId="0" xr:uid="{74F83544-9D25-4E70-BB0D-79A5F76262ED}">
      <text>
        <r>
          <rPr>
            <sz val="9"/>
            <color indexed="81"/>
            <rFont val="Tahoma"/>
            <family val="2"/>
          </rPr>
          <t>Fuel consumed in and emissions from Agriculture/Forestry/Fisheries are included under Other Manufacturing Industries and Construction (1.A.2.g).</t>
        </r>
      </text>
    </comment>
    <comment ref="AA577" authorId="1" shapeId="0" xr:uid="{30CDCBB0-0ADD-4565-AB6A-24D3E852E5CD}">
      <text>
        <r>
          <rPr>
            <sz val="9"/>
            <color indexed="81"/>
            <rFont val="Tahoma"/>
            <family val="2"/>
          </rPr>
          <t>Fuel consumed in and emissions from Agriculture/Forestry/Fisheries are included under Other Manufacturing Industries and Construction (1.A.2.g).</t>
        </r>
      </text>
    </comment>
    <comment ref="AB577" authorId="1" shapeId="0" xr:uid="{64A40E79-CC4C-4771-ACC0-C9DA2ECCCCA1}">
      <text>
        <r>
          <rPr>
            <sz val="9"/>
            <color indexed="81"/>
            <rFont val="Tahoma"/>
            <family val="2"/>
          </rPr>
          <t>Fuel consumed in and emissions from Agriculture/Forestry/Fisheries are included under Other Manufacturing Industries and Construction (1.A.2.g).</t>
        </r>
      </text>
    </comment>
    <comment ref="AC577" authorId="1" shapeId="0" xr:uid="{87CE5860-3F62-478E-854E-09692FD2260E}">
      <text>
        <r>
          <rPr>
            <sz val="9"/>
            <color indexed="81"/>
            <rFont val="Tahoma"/>
            <family val="2"/>
          </rPr>
          <t>Fuel consumed in and emissions from Agriculture/Forestry/Fisheries are included under Other Manufacturing Industries and Construction (1.A.2.g).</t>
        </r>
      </text>
    </comment>
    <comment ref="AD577" authorId="1" shapeId="0" xr:uid="{8C46908A-DD30-4126-8B5D-7BBE2DCB4805}">
      <text>
        <r>
          <rPr>
            <sz val="9"/>
            <color indexed="81"/>
            <rFont val="Tahoma"/>
            <family val="2"/>
          </rPr>
          <t>Fuel consumed in and emissions from Agriculture/Forestry/Fisheries are included under Other Manufacturing Industries and Construction (1.A.2.g).</t>
        </r>
      </text>
    </comment>
    <comment ref="AE577" authorId="1" shapeId="0" xr:uid="{BA56D040-3252-4DCC-90FC-AF3DDBC21F74}">
      <text>
        <r>
          <rPr>
            <sz val="9"/>
            <color indexed="81"/>
            <rFont val="Tahoma"/>
            <family val="2"/>
          </rPr>
          <t>Fuel consumed in and emissions from Agriculture/Forestry/Fisheries are included under Other Manufacturing Industries and Construction (1.A.2.g).</t>
        </r>
      </text>
    </comment>
    <comment ref="AF577" authorId="1" shapeId="0" xr:uid="{F38DB1AB-D83A-4E00-AFF3-58B9A3000857}">
      <text>
        <r>
          <rPr>
            <sz val="9"/>
            <color indexed="81"/>
            <rFont val="Tahoma"/>
            <family val="2"/>
          </rPr>
          <t>Fuel consumed in and emissions from Agriculture/Forestry/Fisheries are included under Other Manufacturing Industries and Construction (1.A.2.g).</t>
        </r>
      </text>
    </comment>
    <comment ref="AG577" authorId="1" shapeId="0" xr:uid="{310AF5F9-7762-4437-B704-34473C93A296}">
      <text>
        <r>
          <rPr>
            <sz val="9"/>
            <color indexed="81"/>
            <rFont val="Tahoma"/>
            <family val="2"/>
          </rPr>
          <t>Fuel consumed in and emissions from Agriculture/Forestry/Fisheries are included under Other Manufacturing Industries and Construction (1.A.2.g).</t>
        </r>
      </text>
    </comment>
    <comment ref="AH577" authorId="1" shapeId="0" xr:uid="{2C39973B-C7E9-44CD-B5EF-D9F73FA1739A}">
      <text>
        <r>
          <rPr>
            <sz val="9"/>
            <color indexed="81"/>
            <rFont val="Tahoma"/>
            <family val="2"/>
          </rPr>
          <t>Fuel consumed in and emissions from Agriculture/Forestry/Fisheries are included under Other Manufacturing Industries and Construction (1.A.2.g).</t>
        </r>
      </text>
    </comment>
    <comment ref="AI577" authorId="1" shapeId="0" xr:uid="{B3A16E25-6577-4DBE-84A8-6B53E8B66169}">
      <text>
        <r>
          <rPr>
            <sz val="9"/>
            <color indexed="81"/>
            <rFont val="Tahoma"/>
            <family val="2"/>
          </rPr>
          <t>Fuel consumed in and emissions from Agriculture/Forestry/Fisheries are included under Other Manufacturing Industries and Construction (1.A.2.g).</t>
        </r>
      </text>
    </comment>
    <comment ref="AJ577" authorId="1" shapeId="0" xr:uid="{D8CDD498-572A-4A3C-AF9E-1C7999A72AD2}">
      <text>
        <r>
          <rPr>
            <sz val="9"/>
            <color indexed="81"/>
            <rFont val="Tahoma"/>
            <family val="2"/>
          </rPr>
          <t>Fuel consumed in and emissions from Agriculture/Forestry/Fisheries are included under Other Manufacturing Industries and Construction (1.A.2.g).</t>
        </r>
      </text>
    </comment>
    <comment ref="AK577" authorId="1" shapeId="0" xr:uid="{F0DC6573-0341-4EF3-88E1-08D83B227F8F}">
      <text>
        <r>
          <rPr>
            <sz val="9"/>
            <color indexed="81"/>
            <rFont val="Tahoma"/>
            <family val="2"/>
          </rPr>
          <t>Fuel consumed in and emissions from Agriculture/Forestry/Fisheries are included under Other Manufacturing Industries and Construction (1.A.2.g).</t>
        </r>
      </text>
    </comment>
    <comment ref="F579" authorId="1" shapeId="0" xr:uid="{B72A792B-90B8-458E-A218-AE0844A5834B}">
      <text>
        <r>
          <rPr>
            <sz val="9"/>
            <color indexed="81"/>
            <rFont val="Tahoma"/>
            <family val="2"/>
          </rPr>
          <t>Fuel consumed in and emissions from Agriculture/Forestry/Fisheries are included under Other Manufacturing Industries and Construction (1.A.2.g).</t>
        </r>
      </text>
    </comment>
    <comment ref="G579" authorId="1" shapeId="0" xr:uid="{05D2F3B2-F8D9-45BA-99C0-43D485454424}">
      <text>
        <r>
          <rPr>
            <sz val="9"/>
            <color indexed="81"/>
            <rFont val="Tahoma"/>
            <family val="2"/>
          </rPr>
          <t>Fuel consumed in and emissions from Agriculture/Forestry/Fisheries are included under Other Manufacturing Industries and Construction (1.A.2.g).</t>
        </r>
      </text>
    </comment>
    <comment ref="H579" authorId="1" shapeId="0" xr:uid="{9B46AAA1-EEC3-49B0-8B8A-9DAE7F436B06}">
      <text>
        <r>
          <rPr>
            <sz val="9"/>
            <color indexed="81"/>
            <rFont val="Tahoma"/>
            <family val="2"/>
          </rPr>
          <t>Fuel consumed in and emissions from Agriculture/Forestry/Fisheries are included under Other Manufacturing Industries and Construction (1.A.2.g).</t>
        </r>
      </text>
    </comment>
    <comment ref="I579" authorId="1" shapeId="0" xr:uid="{C4A884E1-79AD-4C20-9F4E-FF4C7A7D0E1D}">
      <text>
        <r>
          <rPr>
            <sz val="9"/>
            <color indexed="81"/>
            <rFont val="Tahoma"/>
            <family val="2"/>
          </rPr>
          <t>Fuel consumed in and emissions from Agriculture/Forestry/Fisheries are included under Other Manufacturing Industries and Construction (1.A.2.g).</t>
        </r>
      </text>
    </comment>
    <comment ref="J579" authorId="1" shapeId="0" xr:uid="{F1AE1A70-EEBE-4231-A169-6C5922951F4D}">
      <text>
        <r>
          <rPr>
            <sz val="9"/>
            <color indexed="81"/>
            <rFont val="Tahoma"/>
            <family val="2"/>
          </rPr>
          <t>Fuel consumed in and emissions from Agriculture/Forestry/Fisheries are included under Other Manufacturing Industries and Construction (1.A.2.g).</t>
        </r>
      </text>
    </comment>
    <comment ref="K579" authorId="1" shapeId="0" xr:uid="{19C1F276-7D0B-4DD0-BB6A-0C51708B19CC}">
      <text>
        <r>
          <rPr>
            <sz val="9"/>
            <color indexed="81"/>
            <rFont val="Tahoma"/>
            <family val="2"/>
          </rPr>
          <t>Fuel consumed in and emissions from Agriculture/Forestry/Fisheries are included under Other Manufacturing Industries and Construction (1.A.2.g).</t>
        </r>
      </text>
    </comment>
    <comment ref="L579" authorId="1" shapeId="0" xr:uid="{5088D983-7501-403D-8744-53C13BAEE662}">
      <text>
        <r>
          <rPr>
            <sz val="9"/>
            <color indexed="81"/>
            <rFont val="Tahoma"/>
            <family val="2"/>
          </rPr>
          <t>Fuel consumed in and emissions from Agriculture/Forestry/Fisheries are included under Other Manufacturing Industries and Construction (1.A.2.g).</t>
        </r>
      </text>
    </comment>
    <comment ref="M579" authorId="1" shapeId="0" xr:uid="{45BB5B1F-07F9-409A-94CF-806A8E56A5DB}">
      <text>
        <r>
          <rPr>
            <sz val="9"/>
            <color indexed="81"/>
            <rFont val="Tahoma"/>
            <family val="2"/>
          </rPr>
          <t>Fuel consumed in and emissions from Agriculture/Forestry/Fisheries are included under Other Manufacturing Industries and Construction (1.A.2.g).</t>
        </r>
      </text>
    </comment>
    <comment ref="N579" authorId="1" shapeId="0" xr:uid="{F024F7AF-A7D6-47C3-91EC-0591C5AF7B11}">
      <text>
        <r>
          <rPr>
            <sz val="9"/>
            <color indexed="81"/>
            <rFont val="Tahoma"/>
            <family val="2"/>
          </rPr>
          <t>Fuel consumed in and emissions from Agriculture/Forestry/Fisheries are included under Other Manufacturing Industries and Construction (1.A.2.g).</t>
        </r>
      </text>
    </comment>
    <comment ref="O579" authorId="1" shapeId="0" xr:uid="{59D96DE7-9E3E-4F23-9377-A7DCBB2E7497}">
      <text>
        <r>
          <rPr>
            <sz val="9"/>
            <color indexed="81"/>
            <rFont val="Tahoma"/>
            <family val="2"/>
          </rPr>
          <t>Fuel consumed in and emissions from Agriculture/Forestry/Fisheries are included under Other Manufacturing Industries and Construction (1.A.2.g).</t>
        </r>
      </text>
    </comment>
    <comment ref="P579" authorId="1" shapeId="0" xr:uid="{B093D98D-0698-490C-BFA8-B8C2A00A7A6D}">
      <text>
        <r>
          <rPr>
            <sz val="9"/>
            <color indexed="81"/>
            <rFont val="Tahoma"/>
            <family val="2"/>
          </rPr>
          <t>Fuel consumed in and emissions from Agriculture/Forestry/Fisheries are included under Other Manufacturing Industries and Construction (1.A.2.g).</t>
        </r>
      </text>
    </comment>
    <comment ref="Q579" authorId="1" shapeId="0" xr:uid="{9D10E5A6-CFF5-4798-B5BF-89D394063F30}">
      <text>
        <r>
          <rPr>
            <sz val="9"/>
            <color indexed="81"/>
            <rFont val="Tahoma"/>
            <family val="2"/>
          </rPr>
          <t>Fuel consumed in and emissions from Agriculture/Forestry/Fisheries are included under Other Manufacturing Industries and Construction (1.A.2.g).</t>
        </r>
      </text>
    </comment>
    <comment ref="R579" authorId="1" shapeId="0" xr:uid="{C3180AC1-DB84-41B6-8107-DB8F5663826F}">
      <text>
        <r>
          <rPr>
            <sz val="9"/>
            <color indexed="81"/>
            <rFont val="Tahoma"/>
            <family val="2"/>
          </rPr>
          <t>Fuel consumed in and emissions from Agriculture/Forestry/Fisheries are included under Other Manufacturing Industries and Construction (1.A.2.g).</t>
        </r>
      </text>
    </comment>
    <comment ref="S579" authorId="1" shapeId="0" xr:uid="{DB772A86-4127-48F0-B2EF-BD6C1BDADFA4}">
      <text>
        <r>
          <rPr>
            <sz val="9"/>
            <color indexed="81"/>
            <rFont val="Tahoma"/>
            <family val="2"/>
          </rPr>
          <t>Fuel consumed in and emissions from Agriculture/Forestry/Fisheries are included under Other Manufacturing Industries and Construction (1.A.2.g).</t>
        </r>
      </text>
    </comment>
    <comment ref="T579" authorId="1" shapeId="0" xr:uid="{AFCF7CF9-C08C-437C-AEC1-8125254E5EF8}">
      <text>
        <r>
          <rPr>
            <sz val="9"/>
            <color indexed="81"/>
            <rFont val="Tahoma"/>
            <family val="2"/>
          </rPr>
          <t>Fuel consumed in and emissions from Agriculture/Forestry/Fisheries are included under Other Manufacturing Industries and Construction (1.A.2.g).</t>
        </r>
      </text>
    </comment>
    <comment ref="U579" authorId="1" shapeId="0" xr:uid="{8E79C1C3-6A90-426C-B910-DFEEDB6AB06A}">
      <text>
        <r>
          <rPr>
            <sz val="9"/>
            <color indexed="81"/>
            <rFont val="Tahoma"/>
            <family val="2"/>
          </rPr>
          <t>Fuel consumed in and emissions from Agriculture/Forestry/Fisheries are included under Other Manufacturing Industries and Construction (1.A.2.g).</t>
        </r>
      </text>
    </comment>
    <comment ref="V579" authorId="1" shapeId="0" xr:uid="{CFD8E24E-FA38-426E-8661-90FE0CA64458}">
      <text>
        <r>
          <rPr>
            <sz val="9"/>
            <color indexed="81"/>
            <rFont val="Tahoma"/>
            <family val="2"/>
          </rPr>
          <t>Fuel consumed in and emissions from Agriculture/Forestry/Fisheries are included under Other Manufacturing Industries and Construction (1.A.2.g).</t>
        </r>
      </text>
    </comment>
    <comment ref="W579" authorId="1" shapeId="0" xr:uid="{0AF67F45-C037-4441-8194-5A4E384DA224}">
      <text>
        <r>
          <rPr>
            <sz val="9"/>
            <color indexed="81"/>
            <rFont val="Tahoma"/>
            <family val="2"/>
          </rPr>
          <t>Fuel consumed in and emissions from Agriculture/Forestry/Fisheries are included under Other Manufacturing Industries and Construction (1.A.2.g).</t>
        </r>
      </text>
    </comment>
    <comment ref="X579" authorId="1" shapeId="0" xr:uid="{DE785B47-6192-421A-A8B1-8B381E92A7C8}">
      <text>
        <r>
          <rPr>
            <sz val="9"/>
            <color indexed="81"/>
            <rFont val="Tahoma"/>
            <family val="2"/>
          </rPr>
          <t>Fuel consumed in and emissions from Agriculture/Forestry/Fisheries are included under Other Manufacturing Industries and Construction (1.A.2.g).</t>
        </r>
      </text>
    </comment>
    <comment ref="Y579" authorId="1" shapeId="0" xr:uid="{4912C9B1-3054-4496-9056-ECD3CDB110D0}">
      <text>
        <r>
          <rPr>
            <sz val="9"/>
            <color indexed="81"/>
            <rFont val="Tahoma"/>
            <family val="2"/>
          </rPr>
          <t>Fuel consumed in and emissions from Agriculture/Forestry/Fisheries are included under Other Manufacturing Industries and Construction (1.A.2.g).</t>
        </r>
      </text>
    </comment>
    <comment ref="Z579" authorId="1" shapeId="0" xr:uid="{1AE8F27E-B888-475B-B0FB-6CFC655CFE2C}">
      <text>
        <r>
          <rPr>
            <sz val="9"/>
            <color indexed="81"/>
            <rFont val="Tahoma"/>
            <family val="2"/>
          </rPr>
          <t>Fuel consumed in and emissions from Agriculture/Forestry/Fisheries are included under Other Manufacturing Industries and Construction (1.A.2.g).</t>
        </r>
      </text>
    </comment>
    <comment ref="AA579" authorId="1" shapeId="0" xr:uid="{6A9D0035-A7A8-47F5-AC5C-57F97AD6AEFA}">
      <text>
        <r>
          <rPr>
            <sz val="9"/>
            <color indexed="81"/>
            <rFont val="Tahoma"/>
            <family val="2"/>
          </rPr>
          <t>Fuel consumed in and emissions from Agriculture/Forestry/Fisheries are included under Other Manufacturing Industries and Construction (1.A.2.g).</t>
        </r>
      </text>
    </comment>
    <comment ref="AB579" authorId="1" shapeId="0" xr:uid="{44ED129E-E0CE-4EE2-9DFD-ECA0E8EFF2D4}">
      <text>
        <r>
          <rPr>
            <sz val="9"/>
            <color indexed="81"/>
            <rFont val="Tahoma"/>
            <family val="2"/>
          </rPr>
          <t>Fuel consumed in and emissions from Agriculture/Forestry/Fisheries are included under Other Manufacturing Industries and Construction (1.A.2.g).</t>
        </r>
      </text>
    </comment>
    <comment ref="AC579" authorId="1" shapeId="0" xr:uid="{11F56A06-62D6-47B7-9DFC-EA29ECDE994D}">
      <text>
        <r>
          <rPr>
            <sz val="9"/>
            <color indexed="81"/>
            <rFont val="Tahoma"/>
            <family val="2"/>
          </rPr>
          <t>Fuel consumed in and emissions from Agriculture/Forestry/Fisheries are included under Other Manufacturing Industries and Construction (1.A.2.g).</t>
        </r>
      </text>
    </comment>
    <comment ref="AD579" authorId="1" shapeId="0" xr:uid="{E410509A-DDB4-4F3A-AAB7-AB9932CAA013}">
      <text>
        <r>
          <rPr>
            <sz val="9"/>
            <color indexed="81"/>
            <rFont val="Tahoma"/>
            <family val="2"/>
          </rPr>
          <t>Fuel consumed in and emissions from Agriculture/Forestry/Fisheries are included under Other Manufacturing Industries and Construction (1.A.2.g).</t>
        </r>
      </text>
    </comment>
    <comment ref="AE579" authorId="1" shapeId="0" xr:uid="{5A04D2FF-F557-465D-870D-B9255FE9F6E5}">
      <text>
        <r>
          <rPr>
            <sz val="9"/>
            <color indexed="81"/>
            <rFont val="Tahoma"/>
            <family val="2"/>
          </rPr>
          <t>Fuel consumed in and emissions from Agriculture/Forestry/Fisheries are included under Other Manufacturing Industries and Construction (1.A.2.g).</t>
        </r>
      </text>
    </comment>
    <comment ref="AF579" authorId="1" shapeId="0" xr:uid="{97EF7488-9731-449F-BC90-6C7074659125}">
      <text>
        <r>
          <rPr>
            <sz val="9"/>
            <color indexed="81"/>
            <rFont val="Tahoma"/>
            <family val="2"/>
          </rPr>
          <t>Fuel consumed in and emissions from Agriculture/Forestry/Fisheries are included under Other Manufacturing Industries and Construction (1.A.2.g).</t>
        </r>
      </text>
    </comment>
    <comment ref="AG579" authorId="1" shapeId="0" xr:uid="{60D65EF0-F89F-4070-8F72-A20C1C516AB3}">
      <text>
        <r>
          <rPr>
            <sz val="9"/>
            <color indexed="81"/>
            <rFont val="Tahoma"/>
            <family val="2"/>
          </rPr>
          <t>Fuel consumed in and emissions from Agriculture/Forestry/Fisheries are included under Other Manufacturing Industries and Construction (1.A.2.g).</t>
        </r>
      </text>
    </comment>
    <comment ref="AH579" authorId="1" shapeId="0" xr:uid="{12EA7872-EE72-49E2-BC01-6B147C272070}">
      <text>
        <r>
          <rPr>
            <sz val="9"/>
            <color indexed="81"/>
            <rFont val="Tahoma"/>
            <family val="2"/>
          </rPr>
          <t>Fuel consumed in and emissions from Agriculture/Forestry/Fisheries are included under Other Manufacturing Industries and Construction (1.A.2.g).</t>
        </r>
      </text>
    </comment>
    <comment ref="AI579" authorId="1" shapeId="0" xr:uid="{38CDA1DD-4163-4C6B-982E-AA79C0E13611}">
      <text>
        <r>
          <rPr>
            <sz val="9"/>
            <color indexed="81"/>
            <rFont val="Tahoma"/>
            <family val="2"/>
          </rPr>
          <t>Fuel consumed in and emissions from Agriculture/Forestry/Fisheries are included under Other Manufacturing Industries and Construction (1.A.2.g).</t>
        </r>
      </text>
    </comment>
    <comment ref="AJ579" authorId="1" shapeId="0" xr:uid="{7507642D-716A-48FC-8820-B9DEBE63D150}">
      <text>
        <r>
          <rPr>
            <sz val="9"/>
            <color indexed="81"/>
            <rFont val="Tahoma"/>
            <family val="2"/>
          </rPr>
          <t>Fuel consumed in and emissions from Agriculture/Forestry/Fisheries are included under Other Manufacturing Industries and Construction (1.A.2.g).</t>
        </r>
      </text>
    </comment>
    <comment ref="AK579" authorId="1" shapeId="0" xr:uid="{E9D0DFF2-CD1D-42E8-999E-E5091E8A8F5D}">
      <text>
        <r>
          <rPr>
            <sz val="9"/>
            <color indexed="81"/>
            <rFont val="Tahoma"/>
            <family val="2"/>
          </rPr>
          <t>Fuel consumed in and emissions from Agriculture/Forestry/Fisheries are included under Other Manufacturing Industries and Construction (1.A.2.g).</t>
        </r>
      </text>
    </comment>
    <comment ref="F582" authorId="1" shapeId="0" xr:uid="{0C074F31-8222-443C-A50A-32EA614586EE}">
      <text>
        <r>
          <rPr>
            <sz val="9"/>
            <color indexed="81"/>
            <rFont val="Tahoma"/>
            <family val="2"/>
          </rPr>
          <t>Fuel consumed in and emissions from Agriculture/Forestry/Fisheries are included under Other Manufacturing Industries and Construction (1.A.2.g).</t>
        </r>
      </text>
    </comment>
    <comment ref="G582" authorId="1" shapeId="0" xr:uid="{6672B7CC-7F74-4F3B-B2AE-611207704B24}">
      <text>
        <r>
          <rPr>
            <sz val="9"/>
            <color indexed="81"/>
            <rFont val="Tahoma"/>
            <family val="2"/>
          </rPr>
          <t>Fuel consumed in and emissions from Agriculture/Forestry/Fisheries are included under Other Manufacturing Industries and Construction (1.A.2.g).</t>
        </r>
      </text>
    </comment>
    <comment ref="H582" authorId="1" shapeId="0" xr:uid="{CA1BE520-BE68-4EC8-AC41-FCFEB5DB3965}">
      <text>
        <r>
          <rPr>
            <sz val="9"/>
            <color indexed="81"/>
            <rFont val="Tahoma"/>
            <family val="2"/>
          </rPr>
          <t>Fuel consumed in and emissions from Agriculture/Forestry/Fisheries are included under Other Manufacturing Industries and Construction (1.A.2.g).</t>
        </r>
      </text>
    </comment>
    <comment ref="I582" authorId="1" shapeId="0" xr:uid="{640469E6-1349-4122-963B-B960A9369374}">
      <text>
        <r>
          <rPr>
            <sz val="9"/>
            <color indexed="81"/>
            <rFont val="Tahoma"/>
            <family val="2"/>
          </rPr>
          <t>Fuel consumed in and emissions from Agriculture/Forestry/Fisheries are included under Other Manufacturing Industries and Construction (1.A.2.g).</t>
        </r>
      </text>
    </comment>
    <comment ref="J582" authorId="1" shapeId="0" xr:uid="{F0FE6953-EF3E-4E9F-98B9-FA84B0342851}">
      <text>
        <r>
          <rPr>
            <sz val="9"/>
            <color indexed="81"/>
            <rFont val="Tahoma"/>
            <family val="2"/>
          </rPr>
          <t>Fuel consumed in and emissions from Agriculture/Forestry/Fisheries are included under Other Manufacturing Industries and Construction (1.A.2.g).</t>
        </r>
      </text>
    </comment>
    <comment ref="K582" authorId="1" shapeId="0" xr:uid="{FF929D90-4961-428C-8CF2-E5DAA37F4336}">
      <text>
        <r>
          <rPr>
            <sz val="9"/>
            <color indexed="81"/>
            <rFont val="Tahoma"/>
            <family val="2"/>
          </rPr>
          <t>Fuel consumed in and emissions from Agriculture/Forestry/Fisheries are included under Other Manufacturing Industries and Construction (1.A.2.g).</t>
        </r>
      </text>
    </comment>
    <comment ref="L582" authorId="1" shapeId="0" xr:uid="{6D0AF9F3-5536-4D44-9BCC-95B094DA6563}">
      <text>
        <r>
          <rPr>
            <sz val="9"/>
            <color indexed="81"/>
            <rFont val="Tahoma"/>
            <family val="2"/>
          </rPr>
          <t>Fuel consumed in and emissions from Agriculture/Forestry/Fisheries are included under Other Manufacturing Industries and Construction (1.A.2.g).</t>
        </r>
      </text>
    </comment>
    <comment ref="M582" authorId="1" shapeId="0" xr:uid="{F4D88807-06C1-4FDF-9294-B419C0EAB0C0}">
      <text>
        <r>
          <rPr>
            <sz val="9"/>
            <color indexed="81"/>
            <rFont val="Tahoma"/>
            <family val="2"/>
          </rPr>
          <t>Fuel consumed in and emissions from Agriculture/Forestry/Fisheries are included under Other Manufacturing Industries and Construction (1.A.2.g).</t>
        </r>
      </text>
    </comment>
    <comment ref="N582" authorId="1" shapeId="0" xr:uid="{C663289C-EEB0-4225-962E-269EC867B336}">
      <text>
        <r>
          <rPr>
            <sz val="9"/>
            <color indexed="81"/>
            <rFont val="Tahoma"/>
            <family val="2"/>
          </rPr>
          <t>Fuel consumed in and emissions from Agriculture/Forestry/Fisheries are included under Other Manufacturing Industries and Construction (1.A.2.g).</t>
        </r>
      </text>
    </comment>
    <comment ref="O582" authorId="1" shapeId="0" xr:uid="{4D897FE2-BD68-4515-BB42-65C2EDCA8A9D}">
      <text>
        <r>
          <rPr>
            <sz val="9"/>
            <color indexed="81"/>
            <rFont val="Tahoma"/>
            <family val="2"/>
          </rPr>
          <t>Fuel consumed in and emissions from Agriculture/Forestry/Fisheries are included under Other Manufacturing Industries and Construction (1.A.2.g).</t>
        </r>
      </text>
    </comment>
    <comment ref="P582" authorId="1" shapeId="0" xr:uid="{D86E893F-320B-4196-B241-6045D4E8F1F9}">
      <text>
        <r>
          <rPr>
            <sz val="9"/>
            <color indexed="81"/>
            <rFont val="Tahoma"/>
            <family val="2"/>
          </rPr>
          <t>Fuel consumed in and emissions from Agriculture/Forestry/Fisheries are included under Other Manufacturing Industries and Construction (1.A.2.g).</t>
        </r>
      </text>
    </comment>
    <comment ref="Q582" authorId="1" shapeId="0" xr:uid="{60005447-DDDE-4844-A9B3-86F99675CEE5}">
      <text>
        <r>
          <rPr>
            <sz val="9"/>
            <color indexed="81"/>
            <rFont val="Tahoma"/>
            <family val="2"/>
          </rPr>
          <t>Fuel consumed in and emissions from Agriculture/Forestry/Fisheries are included under Other Manufacturing Industries and Construction (1.A.2.g).</t>
        </r>
      </text>
    </comment>
    <comment ref="R582" authorId="1" shapeId="0" xr:uid="{01F851CB-292A-4484-A98F-448A08E35BFC}">
      <text>
        <r>
          <rPr>
            <sz val="9"/>
            <color indexed="81"/>
            <rFont val="Tahoma"/>
            <family val="2"/>
          </rPr>
          <t>Fuel consumed in and emissions from Agriculture/Forestry/Fisheries are included under Other Manufacturing Industries and Construction (1.A.2.g).</t>
        </r>
      </text>
    </comment>
    <comment ref="S582" authorId="1" shapeId="0" xr:uid="{90F768DC-B900-4C04-A038-B2CAF740DF38}">
      <text>
        <r>
          <rPr>
            <sz val="9"/>
            <color indexed="81"/>
            <rFont val="Tahoma"/>
            <family val="2"/>
          </rPr>
          <t>Fuel consumed in and emissions from Agriculture/Forestry/Fisheries are included under Other Manufacturing Industries and Construction (1.A.2.g).</t>
        </r>
      </text>
    </comment>
    <comment ref="T582" authorId="1" shapeId="0" xr:uid="{06D7C7CC-8DB8-4CBB-92FB-10A84A8D43BF}">
      <text>
        <r>
          <rPr>
            <sz val="9"/>
            <color indexed="81"/>
            <rFont val="Tahoma"/>
            <family val="2"/>
          </rPr>
          <t>Fuel consumed in and emissions from Agriculture/Forestry/Fisheries are included under Other Manufacturing Industries and Construction (1.A.2.g).</t>
        </r>
      </text>
    </comment>
    <comment ref="U582" authorId="1" shapeId="0" xr:uid="{E0D1A283-45C4-445C-ABA7-A6E764C1EEF5}">
      <text>
        <r>
          <rPr>
            <sz val="9"/>
            <color indexed="81"/>
            <rFont val="Tahoma"/>
            <family val="2"/>
          </rPr>
          <t>Fuel consumed in and emissions from Agriculture/Forestry/Fisheries are included under Other Manufacturing Industries and Construction (1.A.2.g).</t>
        </r>
      </text>
    </comment>
    <comment ref="V582" authorId="1" shapeId="0" xr:uid="{991FAA87-A86A-4685-8D4A-21C40B422AB9}">
      <text>
        <r>
          <rPr>
            <sz val="9"/>
            <color indexed="81"/>
            <rFont val="Tahoma"/>
            <family val="2"/>
          </rPr>
          <t>Fuel consumed in and emissions from Agriculture/Forestry/Fisheries are included under Other Manufacturing Industries and Construction (1.A.2.g).</t>
        </r>
      </text>
    </comment>
    <comment ref="W582" authorId="1" shapeId="0" xr:uid="{B41294DA-FF66-4C35-B8F5-B6415DD32D79}">
      <text>
        <r>
          <rPr>
            <sz val="9"/>
            <color indexed="81"/>
            <rFont val="Tahoma"/>
            <family val="2"/>
          </rPr>
          <t>Fuel consumed in and emissions from Agriculture/Forestry/Fisheries are included under Other Manufacturing Industries and Construction (1.A.2.g).</t>
        </r>
      </text>
    </comment>
    <comment ref="X582" authorId="1" shapeId="0" xr:uid="{78B731E5-842D-47A8-9601-032BF1435D3B}">
      <text>
        <r>
          <rPr>
            <sz val="9"/>
            <color indexed="81"/>
            <rFont val="Tahoma"/>
            <family val="2"/>
          </rPr>
          <t>Fuel consumed in and emissions from Agriculture/Forestry/Fisheries are included under Other Manufacturing Industries and Construction (1.A.2.g).</t>
        </r>
      </text>
    </comment>
    <comment ref="Y582" authorId="1" shapeId="0" xr:uid="{E1BD793C-B1C8-49EC-9E82-577C49D6A92C}">
      <text>
        <r>
          <rPr>
            <sz val="9"/>
            <color indexed="81"/>
            <rFont val="Tahoma"/>
            <family val="2"/>
          </rPr>
          <t>Fuel consumed in and emissions from Agriculture/Forestry/Fisheries are included under Other Manufacturing Industries and Construction (1.A.2.g).</t>
        </r>
      </text>
    </comment>
    <comment ref="Z582" authorId="1" shapeId="0" xr:uid="{DCD6C059-B58D-460D-A567-3E14A41CDAA1}">
      <text>
        <r>
          <rPr>
            <sz val="9"/>
            <color indexed="81"/>
            <rFont val="Tahoma"/>
            <family val="2"/>
          </rPr>
          <t>Fuel consumed in and emissions from Agriculture/Forestry/Fisheries are included under Other Manufacturing Industries and Construction (1.A.2.g).</t>
        </r>
      </text>
    </comment>
    <comment ref="AA582" authorId="1" shapeId="0" xr:uid="{AD815FBA-73CF-42A8-BD60-A7A550D0FD45}">
      <text>
        <r>
          <rPr>
            <sz val="9"/>
            <color indexed="81"/>
            <rFont val="Tahoma"/>
            <family val="2"/>
          </rPr>
          <t>Fuel consumed in and emissions from Agriculture/Forestry/Fisheries are included under Other Manufacturing Industries and Construction (1.A.2.g).</t>
        </r>
      </text>
    </comment>
    <comment ref="AB582" authorId="1" shapeId="0" xr:uid="{7DA59A17-6C94-4E73-BCB1-3AA5096438BE}">
      <text>
        <r>
          <rPr>
            <sz val="9"/>
            <color indexed="81"/>
            <rFont val="Tahoma"/>
            <family val="2"/>
          </rPr>
          <t>Fuel consumed in and emissions from Agriculture/Forestry/Fisheries are included under Other Manufacturing Industries and Construction (1.A.2.g).</t>
        </r>
      </text>
    </comment>
    <comment ref="AC582" authorId="1" shapeId="0" xr:uid="{90697E12-B2E0-4865-8072-78C7336DFDD1}">
      <text>
        <r>
          <rPr>
            <sz val="9"/>
            <color indexed="81"/>
            <rFont val="Tahoma"/>
            <family val="2"/>
          </rPr>
          <t>Fuel consumed in and emissions from Agriculture/Forestry/Fisheries are included under Other Manufacturing Industries and Construction (1.A.2.g).</t>
        </r>
      </text>
    </comment>
    <comment ref="AD582" authorId="1" shapeId="0" xr:uid="{5DD910CD-7493-4B0B-A810-1AB7262649A1}">
      <text>
        <r>
          <rPr>
            <sz val="9"/>
            <color indexed="81"/>
            <rFont val="Tahoma"/>
            <family val="2"/>
          </rPr>
          <t>Fuel consumed in and emissions from Agriculture/Forestry/Fisheries are included under Other Manufacturing Industries and Construction (1.A.2.g).</t>
        </r>
      </text>
    </comment>
    <comment ref="AE582" authorId="1" shapeId="0" xr:uid="{7A6B36ED-42E4-4A0A-91CD-10C0CBAD7199}">
      <text>
        <r>
          <rPr>
            <sz val="9"/>
            <color indexed="81"/>
            <rFont val="Tahoma"/>
            <family val="2"/>
          </rPr>
          <t>Fuel consumed in and emissions from Agriculture/Forestry/Fisheries are included under Other Manufacturing Industries and Construction (1.A.2.g).</t>
        </r>
      </text>
    </comment>
    <comment ref="AF582" authorId="1" shapeId="0" xr:uid="{F78178EA-3B0F-489D-818D-45CCFA9F0351}">
      <text>
        <r>
          <rPr>
            <sz val="9"/>
            <color indexed="81"/>
            <rFont val="Tahoma"/>
            <family val="2"/>
          </rPr>
          <t>Fuel consumed in and emissions from Agriculture/Forestry/Fisheries are included under Other Manufacturing Industries and Construction (1.A.2.g).</t>
        </r>
      </text>
    </comment>
    <comment ref="AG582" authorId="1" shapeId="0" xr:uid="{643056CA-2A95-4E83-9A0C-633967ECC34D}">
      <text>
        <r>
          <rPr>
            <sz val="9"/>
            <color indexed="81"/>
            <rFont val="Tahoma"/>
            <family val="2"/>
          </rPr>
          <t>Fuel consumed in and emissions from Agriculture/Forestry/Fisheries are included under Other Manufacturing Industries and Construction (1.A.2.g).</t>
        </r>
      </text>
    </comment>
    <comment ref="AH582" authorId="1" shapeId="0" xr:uid="{92192278-9844-4B55-93BF-7656C26682CB}">
      <text>
        <r>
          <rPr>
            <sz val="9"/>
            <color indexed="81"/>
            <rFont val="Tahoma"/>
            <family val="2"/>
          </rPr>
          <t>Fuel consumed in and emissions from Agriculture/Forestry/Fisheries are included under Other Manufacturing Industries and Construction (1.A.2.g).</t>
        </r>
      </text>
    </comment>
    <comment ref="AI582" authorId="1" shapeId="0" xr:uid="{3E28155B-605F-4DE2-A2DE-B72B10911A00}">
      <text>
        <r>
          <rPr>
            <sz val="9"/>
            <color indexed="81"/>
            <rFont val="Tahoma"/>
            <family val="2"/>
          </rPr>
          <t>Fuel consumed in and emissions from Agriculture/Forestry/Fisheries are included under Other Manufacturing Industries and Construction (1.A.2.g).</t>
        </r>
      </text>
    </comment>
    <comment ref="AJ582" authorId="1" shapeId="0" xr:uid="{58A00D34-74E0-4712-8E89-FFD152DF33F9}">
      <text>
        <r>
          <rPr>
            <sz val="9"/>
            <color indexed="81"/>
            <rFont val="Tahoma"/>
            <family val="2"/>
          </rPr>
          <t>Fuel consumed in and emissions from Agriculture/Forestry/Fisheries are included under Other Manufacturing Industries and Construction (1.A.2.g).</t>
        </r>
      </text>
    </comment>
    <comment ref="AK582" authorId="1" shapeId="0" xr:uid="{5ADFF408-F73C-405E-983E-7790FCF6040E}">
      <text>
        <r>
          <rPr>
            <sz val="9"/>
            <color indexed="81"/>
            <rFont val="Tahoma"/>
            <family val="2"/>
          </rPr>
          <t>Fuel consumed in and emissions from Agriculture/Forestry/Fisheries are included under Other Manufacturing Industries and Construction (1.A.2.g).</t>
        </r>
      </text>
    </comment>
    <comment ref="F584" authorId="1" shapeId="0" xr:uid="{D0E00217-6754-4ECE-8CEE-D686003F1EAF}">
      <text>
        <r>
          <rPr>
            <sz val="9"/>
            <color indexed="81"/>
            <rFont val="Tahoma"/>
            <family val="2"/>
          </rPr>
          <t>Fuel consumed in and emissions from Agriculture/Forestry/Fisheries are included under Other Manufacturing Industries and Construction (1.A.2.g).</t>
        </r>
      </text>
    </comment>
    <comment ref="G584" authorId="1" shapeId="0" xr:uid="{F24BC610-0E4B-480C-97BA-ABC298D47581}">
      <text>
        <r>
          <rPr>
            <sz val="9"/>
            <color indexed="81"/>
            <rFont val="Tahoma"/>
            <family val="2"/>
          </rPr>
          <t>Fuel consumed in and emissions from Agriculture/Forestry/Fisheries are included under Other Manufacturing Industries and Construction (1.A.2.g).</t>
        </r>
      </text>
    </comment>
    <comment ref="H584" authorId="1" shapeId="0" xr:uid="{34C1D0D2-E0DC-4969-B1F2-22DA5517DF7C}">
      <text>
        <r>
          <rPr>
            <sz val="9"/>
            <color indexed="81"/>
            <rFont val="Tahoma"/>
            <family val="2"/>
          </rPr>
          <t>Fuel consumed in and emissions from Agriculture/Forestry/Fisheries are included under Other Manufacturing Industries and Construction (1.A.2.g).</t>
        </r>
      </text>
    </comment>
    <comment ref="I584" authorId="1" shapeId="0" xr:uid="{7FDDD684-31E2-4A5A-B1BC-23BB14A65ECE}">
      <text>
        <r>
          <rPr>
            <sz val="9"/>
            <color indexed="81"/>
            <rFont val="Tahoma"/>
            <family val="2"/>
          </rPr>
          <t>Fuel consumed in and emissions from Agriculture/Forestry/Fisheries are included under Other Manufacturing Industries and Construction (1.A.2.g).</t>
        </r>
      </text>
    </comment>
    <comment ref="J584" authorId="1" shapeId="0" xr:uid="{4BD520F7-AF20-48A1-B33E-B9F462A730D9}">
      <text>
        <r>
          <rPr>
            <sz val="9"/>
            <color indexed="81"/>
            <rFont val="Tahoma"/>
            <family val="2"/>
          </rPr>
          <t>Fuel consumed in and emissions from Agriculture/Forestry/Fisheries are included under Other Manufacturing Industries and Construction (1.A.2.g).</t>
        </r>
      </text>
    </comment>
    <comment ref="K584" authorId="1" shapeId="0" xr:uid="{E4264EF3-1586-4D98-A636-E5178DF4CD61}">
      <text>
        <r>
          <rPr>
            <sz val="9"/>
            <color indexed="81"/>
            <rFont val="Tahoma"/>
            <family val="2"/>
          </rPr>
          <t>Fuel consumed in and emissions from Agriculture/Forestry/Fisheries are included under Other Manufacturing Industries and Construction (1.A.2.g).</t>
        </r>
      </text>
    </comment>
    <comment ref="L584" authorId="1" shapeId="0" xr:uid="{A48CAC9C-675B-4C17-9241-EFA8E884939F}">
      <text>
        <r>
          <rPr>
            <sz val="9"/>
            <color indexed="81"/>
            <rFont val="Tahoma"/>
            <family val="2"/>
          </rPr>
          <t>Fuel consumed in and emissions from Agriculture/Forestry/Fisheries are included under Other Manufacturing Industries and Construction (1.A.2.g).</t>
        </r>
      </text>
    </comment>
    <comment ref="M584" authorId="1" shapeId="0" xr:uid="{7E65194A-62A0-4593-879E-DA7329F7D620}">
      <text>
        <r>
          <rPr>
            <sz val="9"/>
            <color indexed="81"/>
            <rFont val="Tahoma"/>
            <family val="2"/>
          </rPr>
          <t>Fuel consumed in and emissions from Agriculture/Forestry/Fisheries are included under Other Manufacturing Industries and Construction (1.A.2.g).</t>
        </r>
      </text>
    </comment>
    <comment ref="N584" authorId="1" shapeId="0" xr:uid="{C9A8A3F4-A13F-493B-A83A-A3F0BB08E68B}">
      <text>
        <r>
          <rPr>
            <sz val="9"/>
            <color indexed="81"/>
            <rFont val="Tahoma"/>
            <family val="2"/>
          </rPr>
          <t>Fuel consumed in and emissions from Agriculture/Forestry/Fisheries are included under Other Manufacturing Industries and Construction (1.A.2.g).</t>
        </r>
      </text>
    </comment>
    <comment ref="O584" authorId="1" shapeId="0" xr:uid="{E326BBDF-F93D-46F6-B67B-01AB63B768E7}">
      <text>
        <r>
          <rPr>
            <sz val="9"/>
            <color indexed="81"/>
            <rFont val="Tahoma"/>
            <family val="2"/>
          </rPr>
          <t>Fuel consumed in and emissions from Agriculture/Forestry/Fisheries are included under Other Manufacturing Industries and Construction (1.A.2.g).</t>
        </r>
      </text>
    </comment>
    <comment ref="P584" authorId="1" shapeId="0" xr:uid="{6490BDB8-0657-4694-83E7-E0D2DD06B7F0}">
      <text>
        <r>
          <rPr>
            <sz val="9"/>
            <color indexed="81"/>
            <rFont val="Tahoma"/>
            <family val="2"/>
          </rPr>
          <t>Fuel consumed in and emissions from Agriculture/Forestry/Fisheries are included under Other Manufacturing Industries and Construction (1.A.2.g).</t>
        </r>
      </text>
    </comment>
    <comment ref="Q584" authorId="1" shapeId="0" xr:uid="{C4655C80-8922-46A7-976C-FD3BD2FEEF8D}">
      <text>
        <r>
          <rPr>
            <sz val="9"/>
            <color indexed="81"/>
            <rFont val="Tahoma"/>
            <family val="2"/>
          </rPr>
          <t>Fuel consumed in and emissions from Agriculture/Forestry/Fisheries are included under Other Manufacturing Industries and Construction (1.A.2.g).</t>
        </r>
      </text>
    </comment>
    <comment ref="R584" authorId="1" shapeId="0" xr:uid="{42F28153-05B3-4427-A09F-E58792FA54B1}">
      <text>
        <r>
          <rPr>
            <sz val="9"/>
            <color indexed="81"/>
            <rFont val="Tahoma"/>
            <family val="2"/>
          </rPr>
          <t>Fuel consumed in and emissions from Agriculture/Forestry/Fisheries are included under Other Manufacturing Industries and Construction (1.A.2.g).</t>
        </r>
      </text>
    </comment>
    <comment ref="S584" authorId="1" shapeId="0" xr:uid="{1B6AD259-BDC3-46A6-8971-7218FE1041F9}">
      <text>
        <r>
          <rPr>
            <sz val="9"/>
            <color indexed="81"/>
            <rFont val="Tahoma"/>
            <family val="2"/>
          </rPr>
          <t>Fuel consumed in and emissions from Agriculture/Forestry/Fisheries are included under Other Manufacturing Industries and Construction (1.A.2.g).</t>
        </r>
      </text>
    </comment>
    <comment ref="T584" authorId="1" shapeId="0" xr:uid="{42968F23-E9A4-4460-80A8-24DC0721812B}">
      <text>
        <r>
          <rPr>
            <sz val="9"/>
            <color indexed="81"/>
            <rFont val="Tahoma"/>
            <family val="2"/>
          </rPr>
          <t>Fuel consumed in and emissions from Agriculture/Forestry/Fisheries are included under Other Manufacturing Industries and Construction (1.A.2.g).</t>
        </r>
      </text>
    </comment>
    <comment ref="U584" authorId="1" shapeId="0" xr:uid="{CB72FA0A-AE7A-4F7C-AB07-5900EE7B8536}">
      <text>
        <r>
          <rPr>
            <sz val="9"/>
            <color indexed="81"/>
            <rFont val="Tahoma"/>
            <family val="2"/>
          </rPr>
          <t>Fuel consumed in and emissions from Agriculture/Forestry/Fisheries are included under Other Manufacturing Industries and Construction (1.A.2.g).</t>
        </r>
      </text>
    </comment>
    <comment ref="V584" authorId="1" shapeId="0" xr:uid="{9840ED27-84E8-4ACE-8BD5-C168F40A3F78}">
      <text>
        <r>
          <rPr>
            <sz val="9"/>
            <color indexed="81"/>
            <rFont val="Tahoma"/>
            <family val="2"/>
          </rPr>
          <t>Fuel consumed in and emissions from Agriculture/Forestry/Fisheries are included under Other Manufacturing Industries and Construction (1.A.2.g).</t>
        </r>
      </text>
    </comment>
    <comment ref="W584" authorId="1" shapeId="0" xr:uid="{4CF081DD-5704-4906-A68F-BD83DECCF079}">
      <text>
        <r>
          <rPr>
            <sz val="9"/>
            <color indexed="81"/>
            <rFont val="Tahoma"/>
            <family val="2"/>
          </rPr>
          <t>Fuel consumed in and emissions from Agriculture/Forestry/Fisheries are included under Other Manufacturing Industries and Construction (1.A.2.g).</t>
        </r>
      </text>
    </comment>
    <comment ref="X584" authorId="1" shapeId="0" xr:uid="{2C485C0C-FED9-4E3D-BE45-583E56360CD1}">
      <text>
        <r>
          <rPr>
            <sz val="9"/>
            <color indexed="81"/>
            <rFont val="Tahoma"/>
            <family val="2"/>
          </rPr>
          <t>Fuel consumed in and emissions from Agriculture/Forestry/Fisheries are included under Other Manufacturing Industries and Construction (1.A.2.g).</t>
        </r>
      </text>
    </comment>
    <comment ref="Y584" authorId="1" shapeId="0" xr:uid="{37210B1B-BD1F-401F-ACB0-64858B31F4F2}">
      <text>
        <r>
          <rPr>
            <sz val="9"/>
            <color indexed="81"/>
            <rFont val="Tahoma"/>
            <family val="2"/>
          </rPr>
          <t>Fuel consumed in and emissions from Agriculture/Forestry/Fisheries are included under Other Manufacturing Industries and Construction (1.A.2.g).</t>
        </r>
      </text>
    </comment>
    <comment ref="Z584" authorId="1" shapeId="0" xr:uid="{8137A3D2-8635-4CAC-B067-DE0E63B7B141}">
      <text>
        <r>
          <rPr>
            <sz val="9"/>
            <color indexed="81"/>
            <rFont val="Tahoma"/>
            <family val="2"/>
          </rPr>
          <t>Fuel consumed in and emissions from Agriculture/Forestry/Fisheries are included under Other Manufacturing Industries and Construction (1.A.2.g).</t>
        </r>
      </text>
    </comment>
    <comment ref="AA584" authorId="1" shapeId="0" xr:uid="{157F9462-446F-473D-AA85-CA805D0599DD}">
      <text>
        <r>
          <rPr>
            <sz val="9"/>
            <color indexed="81"/>
            <rFont val="Tahoma"/>
            <family val="2"/>
          </rPr>
          <t>Fuel consumed in and emissions from Agriculture/Forestry/Fisheries are included under Other Manufacturing Industries and Construction (1.A.2.g).</t>
        </r>
      </text>
    </comment>
    <comment ref="AB584" authorId="1" shapeId="0" xr:uid="{4299DD87-9840-4156-9ED1-373974C25A2B}">
      <text>
        <r>
          <rPr>
            <sz val="9"/>
            <color indexed="81"/>
            <rFont val="Tahoma"/>
            <family val="2"/>
          </rPr>
          <t>Fuel consumed in and emissions from Agriculture/Forestry/Fisheries are included under Other Manufacturing Industries and Construction (1.A.2.g).</t>
        </r>
      </text>
    </comment>
    <comment ref="AC584" authorId="1" shapeId="0" xr:uid="{A8D27BCA-6D8A-4543-82EB-83475F2C5D4D}">
      <text>
        <r>
          <rPr>
            <sz val="9"/>
            <color indexed="81"/>
            <rFont val="Tahoma"/>
            <family val="2"/>
          </rPr>
          <t>Fuel consumed in and emissions from Agriculture/Forestry/Fisheries are included under Other Manufacturing Industries and Construction (1.A.2.g).</t>
        </r>
      </text>
    </comment>
    <comment ref="AD584" authorId="1" shapeId="0" xr:uid="{67AEE33F-4608-477A-984D-F4728780CB50}">
      <text>
        <r>
          <rPr>
            <sz val="9"/>
            <color indexed="81"/>
            <rFont val="Tahoma"/>
            <family val="2"/>
          </rPr>
          <t>Fuel consumed in and emissions from Agriculture/Forestry/Fisheries are included under Other Manufacturing Industries and Construction (1.A.2.g).</t>
        </r>
      </text>
    </comment>
    <comment ref="AE584" authorId="1" shapeId="0" xr:uid="{1A0FD780-99B7-4F9C-89A6-01969975A15D}">
      <text>
        <r>
          <rPr>
            <sz val="9"/>
            <color indexed="81"/>
            <rFont val="Tahoma"/>
            <family val="2"/>
          </rPr>
          <t>Fuel consumed in and emissions from Agriculture/Forestry/Fisheries are included under Other Manufacturing Industries and Construction (1.A.2.g).</t>
        </r>
      </text>
    </comment>
    <comment ref="AF584" authorId="1" shapeId="0" xr:uid="{5CBB1FD0-9C06-44E7-ACAB-58EDB9903122}">
      <text>
        <r>
          <rPr>
            <sz val="9"/>
            <color indexed="81"/>
            <rFont val="Tahoma"/>
            <family val="2"/>
          </rPr>
          <t>Fuel consumed in and emissions from Agriculture/Forestry/Fisheries are included under Other Manufacturing Industries and Construction (1.A.2.g).</t>
        </r>
      </text>
    </comment>
    <comment ref="AG584" authorId="1" shapeId="0" xr:uid="{1B622CE9-D907-4836-A0FF-1CDECB0A2711}">
      <text>
        <r>
          <rPr>
            <sz val="9"/>
            <color indexed="81"/>
            <rFont val="Tahoma"/>
            <family val="2"/>
          </rPr>
          <t>Fuel consumed in and emissions from Agriculture/Forestry/Fisheries are included under Other Manufacturing Industries and Construction (1.A.2.g).</t>
        </r>
      </text>
    </comment>
    <comment ref="AH584" authorId="1" shapeId="0" xr:uid="{A16DB5B2-DBCB-44E7-BF4F-98C854192CF8}">
      <text>
        <r>
          <rPr>
            <sz val="9"/>
            <color indexed="81"/>
            <rFont val="Tahoma"/>
            <family val="2"/>
          </rPr>
          <t>Fuel consumed in and emissions from Agriculture/Forestry/Fisheries are included under Other Manufacturing Industries and Construction (1.A.2.g).</t>
        </r>
      </text>
    </comment>
    <comment ref="AI584" authorId="1" shapeId="0" xr:uid="{879A1ACD-74CB-414B-BF55-79CC0008A92E}">
      <text>
        <r>
          <rPr>
            <sz val="9"/>
            <color indexed="81"/>
            <rFont val="Tahoma"/>
            <family val="2"/>
          </rPr>
          <t>Fuel consumed in and emissions from Agriculture/Forestry/Fisheries are included under Other Manufacturing Industries and Construction (1.A.2.g).</t>
        </r>
      </text>
    </comment>
    <comment ref="AJ584" authorId="1" shapeId="0" xr:uid="{C17986CC-F638-424B-A6A4-4E85D6A7DCC7}">
      <text>
        <r>
          <rPr>
            <sz val="9"/>
            <color indexed="81"/>
            <rFont val="Tahoma"/>
            <family val="2"/>
          </rPr>
          <t>Fuel consumed in and emissions from Agriculture/Forestry/Fisheries are included under Other Manufacturing Industries and Construction (1.A.2.g).</t>
        </r>
      </text>
    </comment>
    <comment ref="AK584" authorId="1" shapeId="0" xr:uid="{A550E9F7-2B5F-4BB7-B58C-E207CFC8215F}">
      <text>
        <r>
          <rPr>
            <sz val="9"/>
            <color indexed="81"/>
            <rFont val="Tahoma"/>
            <family val="2"/>
          </rPr>
          <t>Fuel consumed in and emissions from Agriculture/Forestry/Fisheries are included under Other Manufacturing Industries and Construction (1.A.2.g).</t>
        </r>
      </text>
    </comment>
    <comment ref="F587" authorId="1" shapeId="0" xr:uid="{79825499-37E8-423F-BBEA-C8083C0E5CB6}">
      <text>
        <r>
          <rPr>
            <sz val="9"/>
            <color indexed="81"/>
            <rFont val="Tahoma"/>
            <family val="2"/>
          </rPr>
          <t>Fuel consumed in and emissions from Agriculture/Forestry/Fisheries are included under Other Manufacturing Industries and Construction (1.A.2.g).</t>
        </r>
      </text>
    </comment>
    <comment ref="G587" authorId="1" shapeId="0" xr:uid="{0B28A5AC-6416-4D45-AEBD-22111F3E48C3}">
      <text>
        <r>
          <rPr>
            <sz val="9"/>
            <color indexed="81"/>
            <rFont val="Tahoma"/>
            <family val="2"/>
          </rPr>
          <t>Fuel consumed in and emissions from Agriculture/Forestry/Fisheries are included under Other Manufacturing Industries and Construction (1.A.2.g).</t>
        </r>
      </text>
    </comment>
    <comment ref="H587" authorId="1" shapeId="0" xr:uid="{BE7459A5-958A-41D1-BE00-8E7B9AD48E10}">
      <text>
        <r>
          <rPr>
            <sz val="9"/>
            <color indexed="81"/>
            <rFont val="Tahoma"/>
            <family val="2"/>
          </rPr>
          <t>Fuel consumed in and emissions from Agriculture/Forestry/Fisheries are included under Other Manufacturing Industries and Construction (1.A.2.g).</t>
        </r>
      </text>
    </comment>
    <comment ref="I587" authorId="1" shapeId="0" xr:uid="{33BE17B3-B31F-485D-9A75-FCB55D2F9536}">
      <text>
        <r>
          <rPr>
            <sz val="9"/>
            <color indexed="81"/>
            <rFont val="Tahoma"/>
            <family val="2"/>
          </rPr>
          <t>Fuel consumed in and emissions from Agriculture/Forestry/Fisheries are included under Other Manufacturing Industries and Construction (1.A.2.g).</t>
        </r>
      </text>
    </comment>
    <comment ref="J587" authorId="1" shapeId="0" xr:uid="{0D131D3E-A563-4664-8774-013353A632A4}">
      <text>
        <r>
          <rPr>
            <sz val="9"/>
            <color indexed="81"/>
            <rFont val="Tahoma"/>
            <family val="2"/>
          </rPr>
          <t>Fuel consumed in and emissions from Agriculture/Forestry/Fisheries are included under Other Manufacturing Industries and Construction (1.A.2.g).</t>
        </r>
      </text>
    </comment>
    <comment ref="K587" authorId="1" shapeId="0" xr:uid="{F8703E14-0DAD-431A-B1E1-F05544D99C90}">
      <text>
        <r>
          <rPr>
            <sz val="9"/>
            <color indexed="81"/>
            <rFont val="Tahoma"/>
            <family val="2"/>
          </rPr>
          <t>Fuel consumed in and emissions from Agriculture/Forestry/Fisheries are included under Other Manufacturing Industries and Construction (1.A.2.g).</t>
        </r>
      </text>
    </comment>
    <comment ref="L587" authorId="1" shapeId="0" xr:uid="{96C9EFEE-8C6B-4440-B26B-BCA4BC3B455E}">
      <text>
        <r>
          <rPr>
            <sz val="9"/>
            <color indexed="81"/>
            <rFont val="Tahoma"/>
            <family val="2"/>
          </rPr>
          <t>Fuel consumed in and emissions from Agriculture/Forestry/Fisheries are included under Other Manufacturing Industries and Construction (1.A.2.g).</t>
        </r>
      </text>
    </comment>
    <comment ref="M587" authorId="1" shapeId="0" xr:uid="{FCA29C6A-9614-4FB2-A12E-B4923FFC7656}">
      <text>
        <r>
          <rPr>
            <sz val="9"/>
            <color indexed="81"/>
            <rFont val="Tahoma"/>
            <family val="2"/>
          </rPr>
          <t>Fuel consumed in and emissions from Agriculture/Forestry/Fisheries are included under Other Manufacturing Industries and Construction (1.A.2.g).</t>
        </r>
      </text>
    </comment>
    <comment ref="N587" authorId="1" shapeId="0" xr:uid="{85AA712A-F763-4486-B366-944CFA16D08A}">
      <text>
        <r>
          <rPr>
            <sz val="9"/>
            <color indexed="81"/>
            <rFont val="Tahoma"/>
            <family val="2"/>
          </rPr>
          <t>Fuel consumed in and emissions from Agriculture/Forestry/Fisheries are included under Other Manufacturing Industries and Construction (1.A.2.g).</t>
        </r>
      </text>
    </comment>
    <comment ref="O587" authorId="1" shapeId="0" xr:uid="{4A1E4B71-BA9A-4E20-87D1-DB43E41450CF}">
      <text>
        <r>
          <rPr>
            <sz val="9"/>
            <color indexed="81"/>
            <rFont val="Tahoma"/>
            <family val="2"/>
          </rPr>
          <t>Fuel consumed in and emissions from Agriculture/Forestry/Fisheries are included under Other Manufacturing Industries and Construction (1.A.2.g).</t>
        </r>
      </text>
    </comment>
    <comment ref="P587" authorId="1" shapeId="0" xr:uid="{E6FBC7C5-17DF-46EF-B8F4-FBA0338538F1}">
      <text>
        <r>
          <rPr>
            <sz val="9"/>
            <color indexed="81"/>
            <rFont val="Tahoma"/>
            <family val="2"/>
          </rPr>
          <t>Fuel consumed in and emissions from Agriculture/Forestry/Fisheries are included under Other Manufacturing Industries and Construction (1.A.2.g).</t>
        </r>
      </text>
    </comment>
    <comment ref="Q587" authorId="1" shapeId="0" xr:uid="{ABB03CFE-28C6-4471-B624-A10C845A5552}">
      <text>
        <r>
          <rPr>
            <sz val="9"/>
            <color indexed="81"/>
            <rFont val="Tahoma"/>
            <family val="2"/>
          </rPr>
          <t>Fuel consumed in and emissions from Agriculture/Forestry/Fisheries are included under Other Manufacturing Industries and Construction (1.A.2.g).</t>
        </r>
      </text>
    </comment>
    <comment ref="R587" authorId="1" shapeId="0" xr:uid="{877F0B18-F785-4020-9FD0-4AB05A2F5A14}">
      <text>
        <r>
          <rPr>
            <sz val="9"/>
            <color indexed="81"/>
            <rFont val="Tahoma"/>
            <family val="2"/>
          </rPr>
          <t>Fuel consumed in and emissions from Agriculture/Forestry/Fisheries are included under Other Manufacturing Industries and Construction (1.A.2.g).</t>
        </r>
      </text>
    </comment>
    <comment ref="S587" authorId="1" shapeId="0" xr:uid="{0F56420D-B792-48D8-8AA2-707EC3014735}">
      <text>
        <r>
          <rPr>
            <sz val="9"/>
            <color indexed="81"/>
            <rFont val="Tahoma"/>
            <family val="2"/>
          </rPr>
          <t>Fuel consumed in and emissions from Agriculture/Forestry/Fisheries are included under Other Manufacturing Industries and Construction (1.A.2.g).</t>
        </r>
      </text>
    </comment>
    <comment ref="T587" authorId="1" shapeId="0" xr:uid="{08A70F26-DF64-4029-9A39-CFCBAF1B98F1}">
      <text>
        <r>
          <rPr>
            <sz val="9"/>
            <color indexed="81"/>
            <rFont val="Tahoma"/>
            <family val="2"/>
          </rPr>
          <t>Fuel consumed in and emissions from Agriculture/Forestry/Fisheries are included under Other Manufacturing Industries and Construction (1.A.2.g).</t>
        </r>
      </text>
    </comment>
    <comment ref="U587" authorId="1" shapeId="0" xr:uid="{E7144737-B27D-41EF-9A22-5806411017EF}">
      <text>
        <r>
          <rPr>
            <sz val="9"/>
            <color indexed="81"/>
            <rFont val="Tahoma"/>
            <family val="2"/>
          </rPr>
          <t>Fuel consumed in and emissions from Agriculture/Forestry/Fisheries are included under Other Manufacturing Industries and Construction (1.A.2.g).</t>
        </r>
      </text>
    </comment>
    <comment ref="V587" authorId="1" shapeId="0" xr:uid="{0261CD08-E794-4FFD-83A8-F7D60903A0DA}">
      <text>
        <r>
          <rPr>
            <sz val="9"/>
            <color indexed="81"/>
            <rFont val="Tahoma"/>
            <family val="2"/>
          </rPr>
          <t>Fuel consumed in and emissions from Agriculture/Forestry/Fisheries are included under Other Manufacturing Industries and Construction (1.A.2.g).</t>
        </r>
      </text>
    </comment>
    <comment ref="W587" authorId="1" shapeId="0" xr:uid="{33670B28-9250-444C-B8D3-96D1CBABD651}">
      <text>
        <r>
          <rPr>
            <sz val="9"/>
            <color indexed="81"/>
            <rFont val="Tahoma"/>
            <family val="2"/>
          </rPr>
          <t>Fuel consumed in and emissions from Agriculture/Forestry/Fisheries are included under Other Manufacturing Industries and Construction (1.A.2.g).</t>
        </r>
      </text>
    </comment>
    <comment ref="X587" authorId="1" shapeId="0" xr:uid="{5282F002-AAD1-4666-B3BE-E7C51E125B90}">
      <text>
        <r>
          <rPr>
            <sz val="9"/>
            <color indexed="81"/>
            <rFont val="Tahoma"/>
            <family val="2"/>
          </rPr>
          <t>Fuel consumed in and emissions from Agriculture/Forestry/Fisheries are included under Other Manufacturing Industries and Construction (1.A.2.g).</t>
        </r>
      </text>
    </comment>
    <comment ref="Y587" authorId="1" shapeId="0" xr:uid="{6DD5E83B-E86B-460A-98CB-CF20941598E6}">
      <text>
        <r>
          <rPr>
            <sz val="9"/>
            <color indexed="81"/>
            <rFont val="Tahoma"/>
            <family val="2"/>
          </rPr>
          <t>Fuel consumed in and emissions from Agriculture/Forestry/Fisheries are included under Other Manufacturing Industries and Construction (1.A.2.g).</t>
        </r>
      </text>
    </comment>
    <comment ref="Z587" authorId="1" shapeId="0" xr:uid="{DA3E7D61-D615-4E79-99B5-6CE1D1EBC738}">
      <text>
        <r>
          <rPr>
            <sz val="9"/>
            <color indexed="81"/>
            <rFont val="Tahoma"/>
            <family val="2"/>
          </rPr>
          <t>Fuel consumed in and emissions from Agriculture/Forestry/Fisheries are included under Other Manufacturing Industries and Construction (1.A.2.g).</t>
        </r>
      </text>
    </comment>
    <comment ref="AA587" authorId="1" shapeId="0" xr:uid="{D90C7872-87C6-469A-B170-B4CDE11476D1}">
      <text>
        <r>
          <rPr>
            <sz val="9"/>
            <color indexed="81"/>
            <rFont val="Tahoma"/>
            <family val="2"/>
          </rPr>
          <t>Fuel consumed in and emissions from Agriculture/Forestry/Fisheries are included under Other Manufacturing Industries and Construction (1.A.2.g).</t>
        </r>
      </text>
    </comment>
    <comment ref="AB587" authorId="1" shapeId="0" xr:uid="{F98D0333-A18D-4B96-9CFA-14D4121633CD}">
      <text>
        <r>
          <rPr>
            <sz val="9"/>
            <color indexed="81"/>
            <rFont val="Tahoma"/>
            <family val="2"/>
          </rPr>
          <t>Fuel consumed in and emissions from Agriculture/Forestry/Fisheries are included under Other Manufacturing Industries and Construction (1.A.2.g).</t>
        </r>
      </text>
    </comment>
    <comment ref="AC587" authorId="1" shapeId="0" xr:uid="{17952806-5692-4D7B-919C-4F9C0DD5A561}">
      <text>
        <r>
          <rPr>
            <sz val="9"/>
            <color indexed="81"/>
            <rFont val="Tahoma"/>
            <family val="2"/>
          </rPr>
          <t>Fuel consumed in and emissions from Agriculture/Forestry/Fisheries are included under Other Manufacturing Industries and Construction (1.A.2.g).</t>
        </r>
      </text>
    </comment>
    <comment ref="AD587" authorId="1" shapeId="0" xr:uid="{85A3CCD3-1932-4827-8B6C-CB0E71BDE363}">
      <text>
        <r>
          <rPr>
            <sz val="9"/>
            <color indexed="81"/>
            <rFont val="Tahoma"/>
            <family val="2"/>
          </rPr>
          <t>Fuel consumed in and emissions from Agriculture/Forestry/Fisheries are included under Other Manufacturing Industries and Construction (1.A.2.g).</t>
        </r>
      </text>
    </comment>
    <comment ref="AE587" authorId="1" shapeId="0" xr:uid="{6A160F55-066E-49E5-94CD-31AE34579C4B}">
      <text>
        <r>
          <rPr>
            <sz val="9"/>
            <color indexed="81"/>
            <rFont val="Tahoma"/>
            <family val="2"/>
          </rPr>
          <t>Fuel consumed in and emissions from Agriculture/Forestry/Fisheries are included under Other Manufacturing Industries and Construction (1.A.2.g).</t>
        </r>
      </text>
    </comment>
    <comment ref="AF587" authorId="1" shapeId="0" xr:uid="{AC58B4C6-B642-4179-8E1F-567B79BC9C6D}">
      <text>
        <r>
          <rPr>
            <sz val="9"/>
            <color indexed="81"/>
            <rFont val="Tahoma"/>
            <family val="2"/>
          </rPr>
          <t>Fuel consumed in and emissions from Agriculture/Forestry/Fisheries are included under Other Manufacturing Industries and Construction (1.A.2.g).</t>
        </r>
      </text>
    </comment>
    <comment ref="AG587" authorId="1" shapeId="0" xr:uid="{BC606804-00C9-4EC7-A70E-B20EB9EA1ED0}">
      <text>
        <r>
          <rPr>
            <sz val="9"/>
            <color indexed="81"/>
            <rFont val="Tahoma"/>
            <family val="2"/>
          </rPr>
          <t>Fuel consumed in and emissions from Agriculture/Forestry/Fisheries are included under Other Manufacturing Industries and Construction (1.A.2.g).</t>
        </r>
      </text>
    </comment>
    <comment ref="AH587" authorId="1" shapeId="0" xr:uid="{66296156-054B-4318-8673-82D0F9946BAC}">
      <text>
        <r>
          <rPr>
            <sz val="9"/>
            <color indexed="81"/>
            <rFont val="Tahoma"/>
            <family val="2"/>
          </rPr>
          <t>Fuel consumed in and emissions from Agriculture/Forestry/Fisheries are included under Other Manufacturing Industries and Construction (1.A.2.g).</t>
        </r>
      </text>
    </comment>
    <comment ref="AI587" authorId="1" shapeId="0" xr:uid="{10739B55-ED53-4A19-A875-23C0F6E4C3BC}">
      <text>
        <r>
          <rPr>
            <sz val="9"/>
            <color indexed="81"/>
            <rFont val="Tahoma"/>
            <family val="2"/>
          </rPr>
          <t>Fuel consumed in and emissions from Agriculture/Forestry/Fisheries are included under Other Manufacturing Industries and Construction (1.A.2.g).</t>
        </r>
      </text>
    </comment>
    <comment ref="AJ587" authorId="1" shapeId="0" xr:uid="{CFB7206A-3C19-47D9-B53D-15FC546A82B8}">
      <text>
        <r>
          <rPr>
            <sz val="9"/>
            <color indexed="81"/>
            <rFont val="Tahoma"/>
            <family val="2"/>
          </rPr>
          <t>Fuel consumed in and emissions from Agriculture/Forestry/Fisheries are included under Other Manufacturing Industries and Construction (1.A.2.g).</t>
        </r>
      </text>
    </comment>
    <comment ref="AK587" authorId="1" shapeId="0" xr:uid="{09AE2940-CC1B-4986-9035-BC5442B96BCA}">
      <text>
        <r>
          <rPr>
            <sz val="9"/>
            <color indexed="81"/>
            <rFont val="Tahoma"/>
            <family val="2"/>
          </rPr>
          <t>Fuel consumed in and emissions from Agriculture/Forestry/Fisheries are included under Other Manufacturing Industries and Construction (1.A.2.g).</t>
        </r>
      </text>
    </comment>
    <comment ref="F589" authorId="1" shapeId="0" xr:uid="{FC1DF589-049E-406C-AAC6-79CD710916ED}">
      <text>
        <r>
          <rPr>
            <sz val="9"/>
            <color indexed="81"/>
            <rFont val="Tahoma"/>
            <family val="2"/>
          </rPr>
          <t>Fuel consumed in and emissions from Agriculture/Forestry/Fisheries are included under Other Manufacturing Industries and Construction (1.A.2.g).</t>
        </r>
      </text>
    </comment>
    <comment ref="G589" authorId="1" shapeId="0" xr:uid="{EE511AB6-800D-4EE9-8858-FCA77CA187BC}">
      <text>
        <r>
          <rPr>
            <sz val="9"/>
            <color indexed="81"/>
            <rFont val="Tahoma"/>
            <family val="2"/>
          </rPr>
          <t>Fuel consumed in and emissions from Agriculture/Forestry/Fisheries are included under Other Manufacturing Industries and Construction (1.A.2.g).</t>
        </r>
      </text>
    </comment>
    <comment ref="H589" authorId="1" shapeId="0" xr:uid="{4DF64E7A-4D90-40B3-AA6A-EEB59384DD95}">
      <text>
        <r>
          <rPr>
            <sz val="9"/>
            <color indexed="81"/>
            <rFont val="Tahoma"/>
            <family val="2"/>
          </rPr>
          <t>Fuel consumed in and emissions from Agriculture/Forestry/Fisheries are included under Other Manufacturing Industries and Construction (1.A.2.g).</t>
        </r>
      </text>
    </comment>
    <comment ref="I589" authorId="1" shapeId="0" xr:uid="{F4A44CCF-94FB-4D2A-B440-54056865CC25}">
      <text>
        <r>
          <rPr>
            <sz val="9"/>
            <color indexed="81"/>
            <rFont val="Tahoma"/>
            <family val="2"/>
          </rPr>
          <t>Fuel consumed in and emissions from Agriculture/Forestry/Fisheries are included under Other Manufacturing Industries and Construction (1.A.2.g).</t>
        </r>
      </text>
    </comment>
    <comment ref="J589" authorId="1" shapeId="0" xr:uid="{1DF3D31D-CC08-487A-8051-5382B76344E6}">
      <text>
        <r>
          <rPr>
            <sz val="9"/>
            <color indexed="81"/>
            <rFont val="Tahoma"/>
            <family val="2"/>
          </rPr>
          <t>Fuel consumed in and emissions from Agriculture/Forestry/Fisheries are included under Other Manufacturing Industries and Construction (1.A.2.g).</t>
        </r>
      </text>
    </comment>
    <comment ref="K589" authorId="1" shapeId="0" xr:uid="{D613FAF3-AAA7-4975-B98C-1E65DE2199E4}">
      <text>
        <r>
          <rPr>
            <sz val="9"/>
            <color indexed="81"/>
            <rFont val="Tahoma"/>
            <family val="2"/>
          </rPr>
          <t>Fuel consumed in and emissions from Agriculture/Forestry/Fisheries are included under Other Manufacturing Industries and Construction (1.A.2.g).</t>
        </r>
      </text>
    </comment>
    <comment ref="L589" authorId="1" shapeId="0" xr:uid="{B329331B-215B-488C-9D0C-84E19B9CE981}">
      <text>
        <r>
          <rPr>
            <sz val="9"/>
            <color indexed="81"/>
            <rFont val="Tahoma"/>
            <family val="2"/>
          </rPr>
          <t>Fuel consumed in and emissions from Agriculture/Forestry/Fisheries are included under Other Manufacturing Industries and Construction (1.A.2.g).</t>
        </r>
      </text>
    </comment>
    <comment ref="M589" authorId="1" shapeId="0" xr:uid="{FB39C6B0-D7F4-4408-8EC7-FA03B2F8EFD0}">
      <text>
        <r>
          <rPr>
            <sz val="9"/>
            <color indexed="81"/>
            <rFont val="Tahoma"/>
            <family val="2"/>
          </rPr>
          <t>Fuel consumed in and emissions from Agriculture/Forestry/Fisheries are included under Other Manufacturing Industries and Construction (1.A.2.g).</t>
        </r>
      </text>
    </comment>
    <comment ref="N589" authorId="1" shapeId="0" xr:uid="{27A672E5-D918-4F1F-ABF6-6C24E455DB01}">
      <text>
        <r>
          <rPr>
            <sz val="9"/>
            <color indexed="81"/>
            <rFont val="Tahoma"/>
            <family val="2"/>
          </rPr>
          <t>Fuel consumed in and emissions from Agriculture/Forestry/Fisheries are included under Other Manufacturing Industries and Construction (1.A.2.g).</t>
        </r>
      </text>
    </comment>
    <comment ref="O589" authorId="1" shapeId="0" xr:uid="{79DFE839-B8E2-4FC4-8225-8C8066E474D8}">
      <text>
        <r>
          <rPr>
            <sz val="9"/>
            <color indexed="81"/>
            <rFont val="Tahoma"/>
            <family val="2"/>
          </rPr>
          <t>Fuel consumed in and emissions from Agriculture/Forestry/Fisheries are included under Other Manufacturing Industries and Construction (1.A.2.g).</t>
        </r>
      </text>
    </comment>
    <comment ref="P589" authorId="1" shapeId="0" xr:uid="{E1AE9E34-43CB-4E94-8F97-D948EDAF946D}">
      <text>
        <r>
          <rPr>
            <sz val="9"/>
            <color indexed="81"/>
            <rFont val="Tahoma"/>
            <family val="2"/>
          </rPr>
          <t>Fuel consumed in and emissions from Agriculture/Forestry/Fisheries are included under Other Manufacturing Industries and Construction (1.A.2.g).</t>
        </r>
      </text>
    </comment>
    <comment ref="Q589" authorId="1" shapeId="0" xr:uid="{5AD7C868-09ED-48E7-94E4-268D440A38C3}">
      <text>
        <r>
          <rPr>
            <sz val="9"/>
            <color indexed="81"/>
            <rFont val="Tahoma"/>
            <family val="2"/>
          </rPr>
          <t>Fuel consumed in and emissions from Agriculture/Forestry/Fisheries are included under Other Manufacturing Industries and Construction (1.A.2.g).</t>
        </r>
      </text>
    </comment>
    <comment ref="R589" authorId="1" shapeId="0" xr:uid="{397FC65F-7A3E-4D23-92C2-BBAC7AD59FF3}">
      <text>
        <r>
          <rPr>
            <sz val="9"/>
            <color indexed="81"/>
            <rFont val="Tahoma"/>
            <family val="2"/>
          </rPr>
          <t>Fuel consumed in and emissions from Agriculture/Forestry/Fisheries are included under Other Manufacturing Industries and Construction (1.A.2.g).</t>
        </r>
      </text>
    </comment>
    <comment ref="S589" authorId="1" shapeId="0" xr:uid="{90DB2988-94CC-4998-B9CC-7CE37389FD54}">
      <text>
        <r>
          <rPr>
            <sz val="9"/>
            <color indexed="81"/>
            <rFont val="Tahoma"/>
            <family val="2"/>
          </rPr>
          <t>Fuel consumed in and emissions from Agriculture/Forestry/Fisheries are included under Other Manufacturing Industries and Construction (1.A.2.g).</t>
        </r>
      </text>
    </comment>
    <comment ref="T589" authorId="1" shapeId="0" xr:uid="{CF4A395E-A3D2-4851-99AD-20C40FCFD2DF}">
      <text>
        <r>
          <rPr>
            <sz val="9"/>
            <color indexed="81"/>
            <rFont val="Tahoma"/>
            <family val="2"/>
          </rPr>
          <t>Fuel consumed in and emissions from Agriculture/Forestry/Fisheries are included under Other Manufacturing Industries and Construction (1.A.2.g).</t>
        </r>
      </text>
    </comment>
    <comment ref="U589" authorId="1" shapeId="0" xr:uid="{6FBB7472-A75D-4194-8A28-D0740AAF8911}">
      <text>
        <r>
          <rPr>
            <sz val="9"/>
            <color indexed="81"/>
            <rFont val="Tahoma"/>
            <family val="2"/>
          </rPr>
          <t>Fuel consumed in and emissions from Agriculture/Forestry/Fisheries are included under Other Manufacturing Industries and Construction (1.A.2.g).</t>
        </r>
      </text>
    </comment>
    <comment ref="V589" authorId="1" shapeId="0" xr:uid="{45EAFD91-6401-4085-8107-B3C7CFB3E30B}">
      <text>
        <r>
          <rPr>
            <sz val="9"/>
            <color indexed="81"/>
            <rFont val="Tahoma"/>
            <family val="2"/>
          </rPr>
          <t>Fuel consumed in and emissions from Agriculture/Forestry/Fisheries are included under Other Manufacturing Industries and Construction (1.A.2.g).</t>
        </r>
      </text>
    </comment>
    <comment ref="W589" authorId="1" shapeId="0" xr:uid="{1029366A-1EB6-47A0-B087-0855BC78462A}">
      <text>
        <r>
          <rPr>
            <sz val="9"/>
            <color indexed="81"/>
            <rFont val="Tahoma"/>
            <family val="2"/>
          </rPr>
          <t>Fuel consumed in and emissions from Agriculture/Forestry/Fisheries are included under Other Manufacturing Industries and Construction (1.A.2.g).</t>
        </r>
      </text>
    </comment>
    <comment ref="X589" authorId="1" shapeId="0" xr:uid="{11FD68AA-4E64-4C7B-8ABB-6939A322FD24}">
      <text>
        <r>
          <rPr>
            <sz val="9"/>
            <color indexed="81"/>
            <rFont val="Tahoma"/>
            <family val="2"/>
          </rPr>
          <t>Fuel consumed in and emissions from Agriculture/Forestry/Fisheries are included under Other Manufacturing Industries and Construction (1.A.2.g).</t>
        </r>
      </text>
    </comment>
    <comment ref="Y589" authorId="1" shapeId="0" xr:uid="{46F23D32-214A-4477-9041-2B993C0975AA}">
      <text>
        <r>
          <rPr>
            <sz val="9"/>
            <color indexed="81"/>
            <rFont val="Tahoma"/>
            <family val="2"/>
          </rPr>
          <t>Fuel consumed in and emissions from Agriculture/Forestry/Fisheries are included under Other Manufacturing Industries and Construction (1.A.2.g).</t>
        </r>
      </text>
    </comment>
    <comment ref="Z589" authorId="1" shapeId="0" xr:uid="{BA6F154D-330E-429B-B671-6A1B6C35555A}">
      <text>
        <r>
          <rPr>
            <sz val="9"/>
            <color indexed="81"/>
            <rFont val="Tahoma"/>
            <family val="2"/>
          </rPr>
          <t>Fuel consumed in and emissions from Agriculture/Forestry/Fisheries are included under Other Manufacturing Industries and Construction (1.A.2.g).</t>
        </r>
      </text>
    </comment>
    <comment ref="AA589" authorId="1" shapeId="0" xr:uid="{0AA7E2ED-44B4-4018-AA38-7BC72BA3F992}">
      <text>
        <r>
          <rPr>
            <sz val="9"/>
            <color indexed="81"/>
            <rFont val="Tahoma"/>
            <family val="2"/>
          </rPr>
          <t>Fuel consumed in and emissions from Agriculture/Forestry/Fisheries are included under Other Manufacturing Industries and Construction (1.A.2.g).</t>
        </r>
      </text>
    </comment>
    <comment ref="AB589" authorId="1" shapeId="0" xr:uid="{F892AB69-E1CD-492C-9C35-25E3D1E55049}">
      <text>
        <r>
          <rPr>
            <sz val="9"/>
            <color indexed="81"/>
            <rFont val="Tahoma"/>
            <family val="2"/>
          </rPr>
          <t>Fuel consumed in and emissions from Agriculture/Forestry/Fisheries are included under Other Manufacturing Industries and Construction (1.A.2.g).</t>
        </r>
      </text>
    </comment>
    <comment ref="AC589" authorId="1" shapeId="0" xr:uid="{BE26E4AA-7C0E-48B7-9BBB-5C5C9AD51619}">
      <text>
        <r>
          <rPr>
            <sz val="9"/>
            <color indexed="81"/>
            <rFont val="Tahoma"/>
            <family val="2"/>
          </rPr>
          <t>Fuel consumed in and emissions from Agriculture/Forestry/Fisheries are included under Other Manufacturing Industries and Construction (1.A.2.g).</t>
        </r>
      </text>
    </comment>
    <comment ref="AD589" authorId="1" shapeId="0" xr:uid="{8D9FD7D8-68CF-46F2-B9BC-F713466ACBC6}">
      <text>
        <r>
          <rPr>
            <sz val="9"/>
            <color indexed="81"/>
            <rFont val="Tahoma"/>
            <family val="2"/>
          </rPr>
          <t>Fuel consumed in and emissions from Agriculture/Forestry/Fisheries are included under Other Manufacturing Industries and Construction (1.A.2.g).</t>
        </r>
      </text>
    </comment>
    <comment ref="AE589" authorId="1" shapeId="0" xr:uid="{6745075B-A04C-42E9-BFD6-53DE08122AE8}">
      <text>
        <r>
          <rPr>
            <sz val="9"/>
            <color indexed="81"/>
            <rFont val="Tahoma"/>
            <family val="2"/>
          </rPr>
          <t>Fuel consumed in and emissions from Agriculture/Forestry/Fisheries are included under Other Manufacturing Industries and Construction (1.A.2.g).</t>
        </r>
      </text>
    </comment>
    <comment ref="AF589" authorId="1" shapeId="0" xr:uid="{68CF5FDF-100B-4BF0-BF96-592BC70D0A16}">
      <text>
        <r>
          <rPr>
            <sz val="9"/>
            <color indexed="81"/>
            <rFont val="Tahoma"/>
            <family val="2"/>
          </rPr>
          <t>Fuel consumed in and emissions from Agriculture/Forestry/Fisheries are included under Other Manufacturing Industries and Construction (1.A.2.g).</t>
        </r>
      </text>
    </comment>
    <comment ref="AG589" authorId="1" shapeId="0" xr:uid="{73FE4281-3517-4B18-877C-FBC8B4D281D8}">
      <text>
        <r>
          <rPr>
            <sz val="9"/>
            <color indexed="81"/>
            <rFont val="Tahoma"/>
            <family val="2"/>
          </rPr>
          <t>Fuel consumed in and emissions from Agriculture/Forestry/Fisheries are included under Other Manufacturing Industries and Construction (1.A.2.g).</t>
        </r>
      </text>
    </comment>
    <comment ref="AH589" authorId="1" shapeId="0" xr:uid="{89B620E0-51F8-4357-9979-B9930D20D9B1}">
      <text>
        <r>
          <rPr>
            <sz val="9"/>
            <color indexed="81"/>
            <rFont val="Tahoma"/>
            <family val="2"/>
          </rPr>
          <t>Fuel consumed in and emissions from Agriculture/Forestry/Fisheries are included under Other Manufacturing Industries and Construction (1.A.2.g).</t>
        </r>
      </text>
    </comment>
    <comment ref="AI589" authorId="1" shapeId="0" xr:uid="{446E11FA-BE03-44F0-9A52-5FBDDCBA1161}">
      <text>
        <r>
          <rPr>
            <sz val="9"/>
            <color indexed="81"/>
            <rFont val="Tahoma"/>
            <family val="2"/>
          </rPr>
          <t>Fuel consumed in and emissions from Agriculture/Forestry/Fisheries are included under Other Manufacturing Industries and Construction (1.A.2.g).</t>
        </r>
      </text>
    </comment>
    <comment ref="AJ589" authorId="1" shapeId="0" xr:uid="{429D8E30-9B57-47CC-BBEE-2E9DBEAF4FA4}">
      <text>
        <r>
          <rPr>
            <sz val="9"/>
            <color indexed="81"/>
            <rFont val="Tahoma"/>
            <family val="2"/>
          </rPr>
          <t>Fuel consumed in and emissions from Agriculture/Forestry/Fisheries are included under Other Manufacturing Industries and Construction (1.A.2.g).</t>
        </r>
      </text>
    </comment>
    <comment ref="AK589" authorId="1" shapeId="0" xr:uid="{D296CD65-EE5E-4457-9E74-E88E41C6CAAD}">
      <text>
        <r>
          <rPr>
            <sz val="9"/>
            <color indexed="81"/>
            <rFont val="Tahoma"/>
            <family val="2"/>
          </rPr>
          <t>Fuel consumed in and emissions from Agriculture/Forestry/Fisheries are included under Other Manufacturing Industries and Construction (1.A.2.g).</t>
        </r>
      </text>
    </comment>
    <comment ref="F592" authorId="1" shapeId="0" xr:uid="{750E8740-AAB1-4DA3-9D4B-94312F9EFBDD}">
      <text>
        <r>
          <rPr>
            <sz val="9"/>
            <color indexed="81"/>
            <rFont val="Tahoma"/>
            <family val="2"/>
          </rPr>
          <t>Fuel consumed in and emissions from Agriculture/Forestry/Fisheries are included under Other Manufacturing Industries and Construction (1.A.2.g).</t>
        </r>
      </text>
    </comment>
    <comment ref="G592" authorId="1" shapeId="0" xr:uid="{3C3CE1C0-BB54-4F48-9925-DE85A27C3ACE}">
      <text>
        <r>
          <rPr>
            <sz val="9"/>
            <color indexed="81"/>
            <rFont val="Tahoma"/>
            <family val="2"/>
          </rPr>
          <t>Fuel consumed in and emissions from Agriculture/Forestry/Fisheries are included under Other Manufacturing Industries and Construction (1.A.2.g).</t>
        </r>
      </text>
    </comment>
    <comment ref="H592" authorId="1" shapeId="0" xr:uid="{F04E106C-561C-4D5A-8BEB-0E8F084CB106}">
      <text>
        <r>
          <rPr>
            <sz val="9"/>
            <color indexed="81"/>
            <rFont val="Tahoma"/>
            <family val="2"/>
          </rPr>
          <t>Fuel consumed in and emissions from Agriculture/Forestry/Fisheries are included under Other Manufacturing Industries and Construction (1.A.2.g).</t>
        </r>
      </text>
    </comment>
    <comment ref="I592" authorId="1" shapeId="0" xr:uid="{1C40262D-47E6-4210-AE68-3671D4CC76EE}">
      <text>
        <r>
          <rPr>
            <sz val="9"/>
            <color indexed="81"/>
            <rFont val="Tahoma"/>
            <family val="2"/>
          </rPr>
          <t>Fuel consumed in and emissions from Agriculture/Forestry/Fisheries are included under Other Manufacturing Industries and Construction (1.A.2.g).</t>
        </r>
      </text>
    </comment>
    <comment ref="J592" authorId="1" shapeId="0" xr:uid="{F3537583-6BF9-4965-85A8-CF18FBF57229}">
      <text>
        <r>
          <rPr>
            <sz val="9"/>
            <color indexed="81"/>
            <rFont val="Tahoma"/>
            <family val="2"/>
          </rPr>
          <t>Fuel consumed in and emissions from Agriculture/Forestry/Fisheries are included under Other Manufacturing Industries and Construction (1.A.2.g).</t>
        </r>
      </text>
    </comment>
    <comment ref="K592" authorId="1" shapeId="0" xr:uid="{A4F3CFA1-6186-41D5-BE4E-DEF07547EB18}">
      <text>
        <r>
          <rPr>
            <sz val="9"/>
            <color indexed="81"/>
            <rFont val="Tahoma"/>
            <family val="2"/>
          </rPr>
          <t>Fuel consumed in and emissions from Agriculture/Forestry/Fisheries are included under Other Manufacturing Industries and Construction (1.A.2.g).</t>
        </r>
      </text>
    </comment>
    <comment ref="L592" authorId="1" shapeId="0" xr:uid="{01B8EC0A-CEBA-4E7A-8833-15F8A989ADB2}">
      <text>
        <r>
          <rPr>
            <sz val="9"/>
            <color indexed="81"/>
            <rFont val="Tahoma"/>
            <family val="2"/>
          </rPr>
          <t>Fuel consumed in and emissions from Agriculture/Forestry/Fisheries are included under Other Manufacturing Industries and Construction (1.A.2.g).</t>
        </r>
      </text>
    </comment>
    <comment ref="M592" authorId="1" shapeId="0" xr:uid="{F6769BA9-B6BB-4605-ADC2-1E4F3DC16ED4}">
      <text>
        <r>
          <rPr>
            <sz val="9"/>
            <color indexed="81"/>
            <rFont val="Tahoma"/>
            <family val="2"/>
          </rPr>
          <t>Fuel consumed in and emissions from Agriculture/Forestry/Fisheries are included under Other Manufacturing Industries and Construction (1.A.2.g).</t>
        </r>
      </text>
    </comment>
    <comment ref="N592" authorId="1" shapeId="0" xr:uid="{3115ACDB-B523-4E36-82CE-E654CBAFFC98}">
      <text>
        <r>
          <rPr>
            <sz val="9"/>
            <color indexed="81"/>
            <rFont val="Tahoma"/>
            <family val="2"/>
          </rPr>
          <t>Fuel consumed in and emissions from Agriculture/Forestry/Fisheries are included under Other Manufacturing Industries and Construction (1.A.2.g).</t>
        </r>
      </text>
    </comment>
    <comment ref="O592" authorId="1" shapeId="0" xr:uid="{B589F70F-E8A2-4D0B-AFFE-C30E162E6320}">
      <text>
        <r>
          <rPr>
            <sz val="9"/>
            <color indexed="81"/>
            <rFont val="Tahoma"/>
            <family val="2"/>
          </rPr>
          <t>Fuel consumed in and emissions from Agriculture/Forestry/Fisheries are included under Other Manufacturing Industries and Construction (1.A.2.g).</t>
        </r>
      </text>
    </comment>
    <comment ref="P592" authorId="1" shapeId="0" xr:uid="{D27E664C-4606-4079-A49A-6706BCBDAF73}">
      <text>
        <r>
          <rPr>
            <sz val="9"/>
            <color indexed="81"/>
            <rFont val="Tahoma"/>
            <family val="2"/>
          </rPr>
          <t>Fuel consumed in and emissions from Agriculture/Forestry/Fisheries are included under Other Manufacturing Industries and Construction (1.A.2.g).</t>
        </r>
      </text>
    </comment>
    <comment ref="Q592" authorId="1" shapeId="0" xr:uid="{0AAD7DC6-B62F-4546-9EC3-7526CAF5B659}">
      <text>
        <r>
          <rPr>
            <sz val="9"/>
            <color indexed="81"/>
            <rFont val="Tahoma"/>
            <family val="2"/>
          </rPr>
          <t>Fuel consumed in and emissions from Agriculture/Forestry/Fisheries are included under Other Manufacturing Industries and Construction (1.A.2.g).</t>
        </r>
      </text>
    </comment>
    <comment ref="R592" authorId="1" shapeId="0" xr:uid="{AE2D6AB2-3D91-4D99-9665-6ECA23895C5F}">
      <text>
        <r>
          <rPr>
            <sz val="9"/>
            <color indexed="81"/>
            <rFont val="Tahoma"/>
            <family val="2"/>
          </rPr>
          <t>Fuel consumed in and emissions from Agriculture/Forestry/Fisheries are included under Other Manufacturing Industries and Construction (1.A.2.g).</t>
        </r>
      </text>
    </comment>
    <comment ref="S592" authorId="1" shapeId="0" xr:uid="{65112BA3-9320-417C-969B-DD431193C064}">
      <text>
        <r>
          <rPr>
            <sz val="9"/>
            <color indexed="81"/>
            <rFont val="Tahoma"/>
            <family val="2"/>
          </rPr>
          <t>Fuel consumed in and emissions from Agriculture/Forestry/Fisheries are included under Other Manufacturing Industries and Construction (1.A.2.g).</t>
        </r>
      </text>
    </comment>
    <comment ref="T592" authorId="1" shapeId="0" xr:uid="{E93164BC-77E6-459D-B695-42BECB614D1D}">
      <text>
        <r>
          <rPr>
            <sz val="9"/>
            <color indexed="81"/>
            <rFont val="Tahoma"/>
            <family val="2"/>
          </rPr>
          <t>Fuel consumed in and emissions from Agriculture/Forestry/Fisheries are included under Other Manufacturing Industries and Construction (1.A.2.g).</t>
        </r>
      </text>
    </comment>
    <comment ref="U592" authorId="1" shapeId="0" xr:uid="{E8F16D9B-9EC6-4EB1-B8CD-FD3F52881D0A}">
      <text>
        <r>
          <rPr>
            <sz val="9"/>
            <color indexed="81"/>
            <rFont val="Tahoma"/>
            <family val="2"/>
          </rPr>
          <t>Fuel consumed in and emissions from Agriculture/Forestry/Fisheries are included under Other Manufacturing Industries and Construction (1.A.2.g).</t>
        </r>
      </text>
    </comment>
    <comment ref="V592" authorId="1" shapeId="0" xr:uid="{DE1F0660-A946-45A7-A964-FE86549E1D64}">
      <text>
        <r>
          <rPr>
            <sz val="9"/>
            <color indexed="81"/>
            <rFont val="Tahoma"/>
            <family val="2"/>
          </rPr>
          <t>Fuel consumed in and emissions from Agriculture/Forestry/Fisheries are included under Other Manufacturing Industries and Construction (1.A.2.g).</t>
        </r>
      </text>
    </comment>
    <comment ref="W592" authorId="1" shapeId="0" xr:uid="{A460490C-3200-4057-8CCE-786B8B0C13E0}">
      <text>
        <r>
          <rPr>
            <sz val="9"/>
            <color indexed="81"/>
            <rFont val="Tahoma"/>
            <family val="2"/>
          </rPr>
          <t>Fuel consumed in and emissions from Agriculture/Forestry/Fisheries are included under Other Manufacturing Industries and Construction (1.A.2.g).</t>
        </r>
      </text>
    </comment>
    <comment ref="X592" authorId="1" shapeId="0" xr:uid="{054D441D-F004-40D5-9188-3A62CC116A40}">
      <text>
        <r>
          <rPr>
            <sz val="9"/>
            <color indexed="81"/>
            <rFont val="Tahoma"/>
            <family val="2"/>
          </rPr>
          <t>Fuel consumed in and emissions from Agriculture/Forestry/Fisheries are included under Other Manufacturing Industries and Construction (1.A.2.g).</t>
        </r>
      </text>
    </comment>
    <comment ref="Y592" authorId="1" shapeId="0" xr:uid="{93A5A5C3-F38E-4E70-B307-3CE66D74C37B}">
      <text>
        <r>
          <rPr>
            <sz val="9"/>
            <color indexed="81"/>
            <rFont val="Tahoma"/>
            <family val="2"/>
          </rPr>
          <t>Fuel consumed in and emissions from Agriculture/Forestry/Fisheries are included under Other Manufacturing Industries and Construction (1.A.2.g).</t>
        </r>
      </text>
    </comment>
    <comment ref="Z592" authorId="1" shapeId="0" xr:uid="{5840B152-E569-461C-BE31-6F1DF1A2EED2}">
      <text>
        <r>
          <rPr>
            <sz val="9"/>
            <color indexed="81"/>
            <rFont val="Tahoma"/>
            <family val="2"/>
          </rPr>
          <t>Fuel consumed in and emissions from Agriculture/Forestry/Fisheries are included under Other Manufacturing Industries and Construction (1.A.2.g).</t>
        </r>
      </text>
    </comment>
    <comment ref="AA592" authorId="1" shapeId="0" xr:uid="{F9EBD257-F0A1-4675-AF40-439A7492456C}">
      <text>
        <r>
          <rPr>
            <sz val="9"/>
            <color indexed="81"/>
            <rFont val="Tahoma"/>
            <family val="2"/>
          </rPr>
          <t>Fuel consumed in and emissions from Agriculture/Forestry/Fisheries are included under Other Manufacturing Industries and Construction (1.A.2.g).</t>
        </r>
      </text>
    </comment>
    <comment ref="AB592" authorId="1" shapeId="0" xr:uid="{32D4C262-9DEC-457D-A9D2-BE3325ECF441}">
      <text>
        <r>
          <rPr>
            <sz val="9"/>
            <color indexed="81"/>
            <rFont val="Tahoma"/>
            <family val="2"/>
          </rPr>
          <t>Fuel consumed in and emissions from Agriculture/Forestry/Fisheries are included under Other Manufacturing Industries and Construction (1.A.2.g).</t>
        </r>
      </text>
    </comment>
    <comment ref="AC592" authorId="1" shapeId="0" xr:uid="{C44834B3-6700-4BBA-8F9C-6D38AA576E04}">
      <text>
        <r>
          <rPr>
            <sz val="9"/>
            <color indexed="81"/>
            <rFont val="Tahoma"/>
            <family val="2"/>
          </rPr>
          <t>Fuel consumed in and emissions from Agriculture/Forestry/Fisheries are included under Other Manufacturing Industries and Construction (1.A.2.g).</t>
        </r>
      </text>
    </comment>
    <comment ref="AD592" authorId="1" shapeId="0" xr:uid="{3C006071-22E6-49FE-95AD-AC43EE28B805}">
      <text>
        <r>
          <rPr>
            <sz val="9"/>
            <color indexed="81"/>
            <rFont val="Tahoma"/>
            <family val="2"/>
          </rPr>
          <t>Fuel consumed in and emissions from Agriculture/Forestry/Fisheries are included under Other Manufacturing Industries and Construction (1.A.2.g).</t>
        </r>
      </text>
    </comment>
    <comment ref="AE592" authorId="1" shapeId="0" xr:uid="{90DC3821-B04D-45CF-A851-28794C899332}">
      <text>
        <r>
          <rPr>
            <sz val="9"/>
            <color indexed="81"/>
            <rFont val="Tahoma"/>
            <family val="2"/>
          </rPr>
          <t>Fuel consumed in and emissions from Agriculture/Forestry/Fisheries are included under Other Manufacturing Industries and Construction (1.A.2.g).</t>
        </r>
      </text>
    </comment>
    <comment ref="AF592" authorId="1" shapeId="0" xr:uid="{3992911A-8C14-4D69-B568-992F3C33C931}">
      <text>
        <r>
          <rPr>
            <sz val="9"/>
            <color indexed="81"/>
            <rFont val="Tahoma"/>
            <family val="2"/>
          </rPr>
          <t>Fuel consumed in and emissions from Agriculture/Forestry/Fisheries are included under Other Manufacturing Industries and Construction (1.A.2.g).</t>
        </r>
      </text>
    </comment>
    <comment ref="AG592" authorId="1" shapeId="0" xr:uid="{7B17CD36-2DEF-4DE6-8285-FA80E5323F8A}">
      <text>
        <r>
          <rPr>
            <sz val="9"/>
            <color indexed="81"/>
            <rFont val="Tahoma"/>
            <family val="2"/>
          </rPr>
          <t>Fuel consumed in and emissions from Agriculture/Forestry/Fisheries are included under Other Manufacturing Industries and Construction (1.A.2.g).</t>
        </r>
      </text>
    </comment>
    <comment ref="AH592" authorId="1" shapeId="0" xr:uid="{79648027-3A90-40CD-8452-83110F822EA6}">
      <text>
        <r>
          <rPr>
            <sz val="9"/>
            <color indexed="81"/>
            <rFont val="Tahoma"/>
            <family val="2"/>
          </rPr>
          <t>Fuel consumed in and emissions from Agriculture/Forestry/Fisheries are included under Other Manufacturing Industries and Construction (1.A.2.g).</t>
        </r>
      </text>
    </comment>
    <comment ref="AI592" authorId="1" shapeId="0" xr:uid="{45D70C79-5E24-4EFF-8F3E-35FAD2E2C878}">
      <text>
        <r>
          <rPr>
            <sz val="9"/>
            <color indexed="81"/>
            <rFont val="Tahoma"/>
            <family val="2"/>
          </rPr>
          <t>Fuel consumed in and emissions from Agriculture/Forestry/Fisheries are included under Other Manufacturing Industries and Construction (1.A.2.g).</t>
        </r>
      </text>
    </comment>
    <comment ref="AJ592" authorId="1" shapeId="0" xr:uid="{25326B69-7B87-425F-BCEF-F8A23C0C8333}">
      <text>
        <r>
          <rPr>
            <sz val="9"/>
            <color indexed="81"/>
            <rFont val="Tahoma"/>
            <family val="2"/>
          </rPr>
          <t>Fuel consumed in and emissions from Agriculture/Forestry/Fisheries are included under Other Manufacturing Industries and Construction (1.A.2.g).</t>
        </r>
      </text>
    </comment>
    <comment ref="AK592" authorId="1" shapeId="0" xr:uid="{8449BAB0-05B3-4E22-9537-157831BD116B}">
      <text>
        <r>
          <rPr>
            <sz val="9"/>
            <color indexed="81"/>
            <rFont val="Tahoma"/>
            <family val="2"/>
          </rPr>
          <t>Fuel consumed in and emissions from Agriculture/Forestry/Fisheries are included under Other Manufacturing Industries and Construction (1.A.2.g).</t>
        </r>
      </text>
    </comment>
    <comment ref="F594" authorId="1" shapeId="0" xr:uid="{FDC6F4E1-9035-46BD-BAC1-E3B2A5A73337}">
      <text>
        <r>
          <rPr>
            <sz val="9"/>
            <color indexed="81"/>
            <rFont val="Tahoma"/>
            <family val="2"/>
          </rPr>
          <t>Fuel consumed in and emissions from Agriculture/Forestry/Fisheries are included under Other Manufacturing Industries and Construction (1.A.2.g).</t>
        </r>
      </text>
    </comment>
    <comment ref="G594" authorId="1" shapeId="0" xr:uid="{F8704F1D-023D-48B5-95DA-957B290EC5C2}">
      <text>
        <r>
          <rPr>
            <sz val="9"/>
            <color indexed="81"/>
            <rFont val="Tahoma"/>
            <family val="2"/>
          </rPr>
          <t>Fuel consumed in and emissions from Agriculture/Forestry/Fisheries are included under Other Manufacturing Industries and Construction (1.A.2.g).</t>
        </r>
      </text>
    </comment>
    <comment ref="H594" authorId="1" shapeId="0" xr:uid="{48535520-496B-4812-98E3-0D407851B09B}">
      <text>
        <r>
          <rPr>
            <sz val="9"/>
            <color indexed="81"/>
            <rFont val="Tahoma"/>
            <family val="2"/>
          </rPr>
          <t>Fuel consumed in and emissions from Agriculture/Forestry/Fisheries are included under Other Manufacturing Industries and Construction (1.A.2.g).</t>
        </r>
      </text>
    </comment>
    <comment ref="I594" authorId="1" shapeId="0" xr:uid="{25BDDEC2-7D4A-4519-A689-0C7D10922D48}">
      <text>
        <r>
          <rPr>
            <sz val="9"/>
            <color indexed="81"/>
            <rFont val="Tahoma"/>
            <family val="2"/>
          </rPr>
          <t>Fuel consumed in and emissions from Agriculture/Forestry/Fisheries are included under Other Manufacturing Industries and Construction (1.A.2.g).</t>
        </r>
      </text>
    </comment>
    <comment ref="J594" authorId="1" shapeId="0" xr:uid="{159B65BE-97AA-4370-8AAA-C3A28B53001F}">
      <text>
        <r>
          <rPr>
            <sz val="9"/>
            <color indexed="81"/>
            <rFont val="Tahoma"/>
            <family val="2"/>
          </rPr>
          <t>Fuel consumed in and emissions from Agriculture/Forestry/Fisheries are included under Other Manufacturing Industries and Construction (1.A.2.g).</t>
        </r>
      </text>
    </comment>
    <comment ref="K594" authorId="1" shapeId="0" xr:uid="{E6C6D0F1-A587-474C-A621-25E792B6B5A4}">
      <text>
        <r>
          <rPr>
            <sz val="9"/>
            <color indexed="81"/>
            <rFont val="Tahoma"/>
            <family val="2"/>
          </rPr>
          <t>Fuel consumed in and emissions from Agriculture/Forestry/Fisheries are included under Other Manufacturing Industries and Construction (1.A.2.g).</t>
        </r>
      </text>
    </comment>
    <comment ref="L594" authorId="1" shapeId="0" xr:uid="{33A13102-FE1F-4B59-A558-31AD59B26E7C}">
      <text>
        <r>
          <rPr>
            <sz val="9"/>
            <color indexed="81"/>
            <rFont val="Tahoma"/>
            <family val="2"/>
          </rPr>
          <t>Fuel consumed in and emissions from Agriculture/Forestry/Fisheries are included under Other Manufacturing Industries and Construction (1.A.2.g).</t>
        </r>
      </text>
    </comment>
    <comment ref="M594" authorId="1" shapeId="0" xr:uid="{E7D6A8ED-D411-4B38-B36E-7BB1604269EA}">
      <text>
        <r>
          <rPr>
            <sz val="9"/>
            <color indexed="81"/>
            <rFont val="Tahoma"/>
            <family val="2"/>
          </rPr>
          <t>Fuel consumed in and emissions from Agriculture/Forestry/Fisheries are included under Other Manufacturing Industries and Construction (1.A.2.g).</t>
        </r>
      </text>
    </comment>
    <comment ref="N594" authorId="1" shapeId="0" xr:uid="{7C12D617-C283-4B9E-BC2E-A7C65B41AEF9}">
      <text>
        <r>
          <rPr>
            <sz val="9"/>
            <color indexed="81"/>
            <rFont val="Tahoma"/>
            <family val="2"/>
          </rPr>
          <t>Fuel consumed in and emissions from Agriculture/Forestry/Fisheries are included under Other Manufacturing Industries and Construction (1.A.2.g).</t>
        </r>
      </text>
    </comment>
    <comment ref="O594" authorId="1" shapeId="0" xr:uid="{5A63A093-9537-4CAD-8EB3-4F080FD076E6}">
      <text>
        <r>
          <rPr>
            <sz val="9"/>
            <color indexed="81"/>
            <rFont val="Tahoma"/>
            <family val="2"/>
          </rPr>
          <t>Fuel consumed in and emissions from Agriculture/Forestry/Fisheries are included under Other Manufacturing Industries and Construction (1.A.2.g).</t>
        </r>
      </text>
    </comment>
    <comment ref="P594" authorId="1" shapeId="0" xr:uid="{E542E67D-45B8-405B-8BF2-E86C0BF08C01}">
      <text>
        <r>
          <rPr>
            <sz val="9"/>
            <color indexed="81"/>
            <rFont val="Tahoma"/>
            <family val="2"/>
          </rPr>
          <t>Fuel consumed in and emissions from Agriculture/Forestry/Fisheries are included under Other Manufacturing Industries and Construction (1.A.2.g).</t>
        </r>
      </text>
    </comment>
    <comment ref="Q594" authorId="1" shapeId="0" xr:uid="{6F594F4D-251E-4904-85AE-15BE87FB1D20}">
      <text>
        <r>
          <rPr>
            <sz val="9"/>
            <color indexed="81"/>
            <rFont val="Tahoma"/>
            <family val="2"/>
          </rPr>
          <t>Fuel consumed in and emissions from Agriculture/Forestry/Fisheries are included under Other Manufacturing Industries and Construction (1.A.2.g).</t>
        </r>
      </text>
    </comment>
    <comment ref="R594" authorId="1" shapeId="0" xr:uid="{C68083A6-EDB7-4E0C-B4ED-21FD3FF1183D}">
      <text>
        <r>
          <rPr>
            <sz val="9"/>
            <color indexed="81"/>
            <rFont val="Tahoma"/>
            <family val="2"/>
          </rPr>
          <t>Fuel consumed in and emissions from Agriculture/Forestry/Fisheries are included under Other Manufacturing Industries and Construction (1.A.2.g).</t>
        </r>
      </text>
    </comment>
    <comment ref="S594" authorId="1" shapeId="0" xr:uid="{C53CB1EF-CA0D-44C8-838C-2B383DCD0B4B}">
      <text>
        <r>
          <rPr>
            <sz val="9"/>
            <color indexed="81"/>
            <rFont val="Tahoma"/>
            <family val="2"/>
          </rPr>
          <t>Fuel consumed in and emissions from Agriculture/Forestry/Fisheries are included under Other Manufacturing Industries and Construction (1.A.2.g).</t>
        </r>
      </text>
    </comment>
    <comment ref="T594" authorId="1" shapeId="0" xr:uid="{23691F92-8F43-44EB-A1FB-F561D2AC9C1D}">
      <text>
        <r>
          <rPr>
            <sz val="9"/>
            <color indexed="81"/>
            <rFont val="Tahoma"/>
            <family val="2"/>
          </rPr>
          <t>Fuel consumed in and emissions from Agriculture/Forestry/Fisheries are included under Other Manufacturing Industries and Construction (1.A.2.g).</t>
        </r>
      </text>
    </comment>
    <comment ref="U594" authorId="1" shapeId="0" xr:uid="{6512AD1D-134A-4E27-8F7D-C3B9E9724658}">
      <text>
        <r>
          <rPr>
            <sz val="9"/>
            <color indexed="81"/>
            <rFont val="Tahoma"/>
            <family val="2"/>
          </rPr>
          <t>Fuel consumed in and emissions from Agriculture/Forestry/Fisheries are included under Other Manufacturing Industries and Construction (1.A.2.g).</t>
        </r>
      </text>
    </comment>
    <comment ref="V594" authorId="1" shapeId="0" xr:uid="{37EF648A-DF42-486A-8D6B-A807F0722452}">
      <text>
        <r>
          <rPr>
            <sz val="9"/>
            <color indexed="81"/>
            <rFont val="Tahoma"/>
            <family val="2"/>
          </rPr>
          <t>Fuel consumed in and emissions from Agriculture/Forestry/Fisheries are included under Other Manufacturing Industries and Construction (1.A.2.g).</t>
        </r>
      </text>
    </comment>
    <comment ref="W594" authorId="1" shapeId="0" xr:uid="{4D2046EC-94A7-4676-BAB3-363841D297E7}">
      <text>
        <r>
          <rPr>
            <sz val="9"/>
            <color indexed="81"/>
            <rFont val="Tahoma"/>
            <family val="2"/>
          </rPr>
          <t>Fuel consumed in and emissions from Agriculture/Forestry/Fisheries are included under Other Manufacturing Industries and Construction (1.A.2.g).</t>
        </r>
      </text>
    </comment>
    <comment ref="X594" authorId="1" shapeId="0" xr:uid="{8C06B0A5-79E6-4FBD-AE46-727D45C6F3A1}">
      <text>
        <r>
          <rPr>
            <sz val="9"/>
            <color indexed="81"/>
            <rFont val="Tahoma"/>
            <family val="2"/>
          </rPr>
          <t>Fuel consumed in and emissions from Agriculture/Forestry/Fisheries are included under Other Manufacturing Industries and Construction (1.A.2.g).</t>
        </r>
      </text>
    </comment>
    <comment ref="Y594" authorId="1" shapeId="0" xr:uid="{FA946E1A-0CC0-47F5-96DC-BF436A2D9812}">
      <text>
        <r>
          <rPr>
            <sz val="9"/>
            <color indexed="81"/>
            <rFont val="Tahoma"/>
            <family val="2"/>
          </rPr>
          <t>Fuel consumed in and emissions from Agriculture/Forestry/Fisheries are included under Other Manufacturing Industries and Construction (1.A.2.g).</t>
        </r>
      </text>
    </comment>
    <comment ref="Z594" authorId="1" shapeId="0" xr:uid="{E8444DEC-4B1C-4E5E-9A00-46904F1EAC5A}">
      <text>
        <r>
          <rPr>
            <sz val="9"/>
            <color indexed="81"/>
            <rFont val="Tahoma"/>
            <family val="2"/>
          </rPr>
          <t>Fuel consumed in and emissions from Agriculture/Forestry/Fisheries are included under Other Manufacturing Industries and Construction (1.A.2.g).</t>
        </r>
      </text>
    </comment>
    <comment ref="AA594" authorId="1" shapeId="0" xr:uid="{AB4D1AB7-06C8-477C-A039-2A36A24D4774}">
      <text>
        <r>
          <rPr>
            <sz val="9"/>
            <color indexed="81"/>
            <rFont val="Tahoma"/>
            <family val="2"/>
          </rPr>
          <t>Fuel consumed in and emissions from Agriculture/Forestry/Fisheries are included under Other Manufacturing Industries and Construction (1.A.2.g).</t>
        </r>
      </text>
    </comment>
    <comment ref="AB594" authorId="1" shapeId="0" xr:uid="{883A2C47-1D1D-45FE-B743-8409E41A3718}">
      <text>
        <r>
          <rPr>
            <sz val="9"/>
            <color indexed="81"/>
            <rFont val="Tahoma"/>
            <family val="2"/>
          </rPr>
          <t>Fuel consumed in and emissions from Agriculture/Forestry/Fisheries are included under Other Manufacturing Industries and Construction (1.A.2.g).</t>
        </r>
      </text>
    </comment>
    <comment ref="AC594" authorId="1" shapeId="0" xr:uid="{B028CF2D-FD94-42D4-A08E-A00E1DB21804}">
      <text>
        <r>
          <rPr>
            <sz val="9"/>
            <color indexed="81"/>
            <rFont val="Tahoma"/>
            <family val="2"/>
          </rPr>
          <t>Fuel consumed in and emissions from Agriculture/Forestry/Fisheries are included under Other Manufacturing Industries and Construction (1.A.2.g).</t>
        </r>
      </text>
    </comment>
    <comment ref="AD594" authorId="1" shapeId="0" xr:uid="{8F7A5A38-0D8E-44F0-912C-B01411F13BDB}">
      <text>
        <r>
          <rPr>
            <sz val="9"/>
            <color indexed="81"/>
            <rFont val="Tahoma"/>
            <family val="2"/>
          </rPr>
          <t>Fuel consumed in and emissions from Agriculture/Forestry/Fisheries are included under Other Manufacturing Industries and Construction (1.A.2.g).</t>
        </r>
      </text>
    </comment>
    <comment ref="AE594" authorId="1" shapeId="0" xr:uid="{CFBE2D53-650C-46C5-87DB-EAED22AEDB42}">
      <text>
        <r>
          <rPr>
            <sz val="9"/>
            <color indexed="81"/>
            <rFont val="Tahoma"/>
            <family val="2"/>
          </rPr>
          <t>Fuel consumed in and emissions from Agriculture/Forestry/Fisheries are included under Other Manufacturing Industries and Construction (1.A.2.g).</t>
        </r>
      </text>
    </comment>
    <comment ref="AF594" authorId="1" shapeId="0" xr:uid="{C98B4DBB-9BC4-4EA4-A188-59EC02F49CD5}">
      <text>
        <r>
          <rPr>
            <sz val="9"/>
            <color indexed="81"/>
            <rFont val="Tahoma"/>
            <family val="2"/>
          </rPr>
          <t>Fuel consumed in and emissions from Agriculture/Forestry/Fisheries are included under Other Manufacturing Industries and Construction (1.A.2.g).</t>
        </r>
      </text>
    </comment>
    <comment ref="AG594" authorId="1" shapeId="0" xr:uid="{050CC159-1E5C-49DA-A689-91559F03375D}">
      <text>
        <r>
          <rPr>
            <sz val="9"/>
            <color indexed="81"/>
            <rFont val="Tahoma"/>
            <family val="2"/>
          </rPr>
          <t>Fuel consumed in and emissions from Agriculture/Forestry/Fisheries are included under Other Manufacturing Industries and Construction (1.A.2.g).</t>
        </r>
      </text>
    </comment>
    <comment ref="AH594" authorId="1" shapeId="0" xr:uid="{12C54BB8-C9EC-4F83-ABBE-854EA0D515C7}">
      <text>
        <r>
          <rPr>
            <sz val="9"/>
            <color indexed="81"/>
            <rFont val="Tahoma"/>
            <family val="2"/>
          </rPr>
          <t>Fuel consumed in and emissions from Agriculture/Forestry/Fisheries are included under Other Manufacturing Industries and Construction (1.A.2.g).</t>
        </r>
      </text>
    </comment>
    <comment ref="AI594" authorId="1" shapeId="0" xr:uid="{292A6A8C-FA2D-442D-ABFA-04E52B42AD10}">
      <text>
        <r>
          <rPr>
            <sz val="9"/>
            <color indexed="81"/>
            <rFont val="Tahoma"/>
            <family val="2"/>
          </rPr>
          <t>Fuel consumed in and emissions from Agriculture/Forestry/Fisheries are included under Other Manufacturing Industries and Construction (1.A.2.g).</t>
        </r>
      </text>
    </comment>
    <comment ref="AJ594" authorId="1" shapeId="0" xr:uid="{A589C7AA-D07A-43F5-A7B4-5BF5E764CFED}">
      <text>
        <r>
          <rPr>
            <sz val="9"/>
            <color indexed="81"/>
            <rFont val="Tahoma"/>
            <family val="2"/>
          </rPr>
          <t>Fuel consumed in and emissions from Agriculture/Forestry/Fisheries are included under Other Manufacturing Industries and Construction (1.A.2.g).</t>
        </r>
      </text>
    </comment>
    <comment ref="AK594" authorId="1" shapeId="0" xr:uid="{D4FD245B-4D00-4594-AF25-A7AC3B5C63EA}">
      <text>
        <r>
          <rPr>
            <sz val="9"/>
            <color indexed="81"/>
            <rFont val="Tahoma"/>
            <family val="2"/>
          </rPr>
          <t>Fuel consumed in and emissions from Agriculture/Forestry/Fisheries are included under Other Manufacturing Industries and Construction (1.A.2.g).</t>
        </r>
      </text>
    </comment>
    <comment ref="F597" authorId="1" shapeId="0" xr:uid="{438CB46B-F1D3-444E-9F02-9F5230B0DB22}">
      <text>
        <r>
          <rPr>
            <sz val="9"/>
            <color indexed="81"/>
            <rFont val="Tahoma"/>
            <family val="2"/>
          </rPr>
          <t>Fuel consumed in and emissions from Agriculture/Forestry/Fisheries are included under Other Manufacturing Industries and Construction (1.A.2.g).</t>
        </r>
      </text>
    </comment>
    <comment ref="G597" authorId="1" shapeId="0" xr:uid="{EEED4C4A-5C21-4B88-9AD2-4987709FF67D}">
      <text>
        <r>
          <rPr>
            <sz val="9"/>
            <color indexed="81"/>
            <rFont val="Tahoma"/>
            <family val="2"/>
          </rPr>
          <t>Fuel consumed in and emissions from Agriculture/Forestry/Fisheries are included under Other Manufacturing Industries and Construction (1.A.2.g).</t>
        </r>
      </text>
    </comment>
    <comment ref="H597" authorId="1" shapeId="0" xr:uid="{C034C4F5-851D-45E1-88CD-A9A076A9E37E}">
      <text>
        <r>
          <rPr>
            <sz val="9"/>
            <color indexed="81"/>
            <rFont val="Tahoma"/>
            <family val="2"/>
          </rPr>
          <t>Fuel consumed in and emissions from Agriculture/Forestry/Fisheries are included under Other Manufacturing Industries and Construction (1.A.2.g).</t>
        </r>
      </text>
    </comment>
    <comment ref="I597" authorId="1" shapeId="0" xr:uid="{3BA7DD4D-E2AD-4CC7-9367-598727793C7E}">
      <text>
        <r>
          <rPr>
            <sz val="9"/>
            <color indexed="81"/>
            <rFont val="Tahoma"/>
            <family val="2"/>
          </rPr>
          <t>Fuel consumed in and emissions from Agriculture/Forestry/Fisheries are included under Other Manufacturing Industries and Construction (1.A.2.g).</t>
        </r>
      </text>
    </comment>
    <comment ref="J597" authorId="1" shapeId="0" xr:uid="{595BC3A6-2CB3-4AF5-9FB7-16CC37DCD988}">
      <text>
        <r>
          <rPr>
            <sz val="9"/>
            <color indexed="81"/>
            <rFont val="Tahoma"/>
            <family val="2"/>
          </rPr>
          <t>Fuel consumed in and emissions from Agriculture/Forestry/Fisheries are included under Other Manufacturing Industries and Construction (1.A.2.g).</t>
        </r>
      </text>
    </comment>
    <comment ref="K597" authorId="1" shapeId="0" xr:uid="{9672BE04-2680-4642-9025-754F8365D0D0}">
      <text>
        <r>
          <rPr>
            <sz val="9"/>
            <color indexed="81"/>
            <rFont val="Tahoma"/>
            <family val="2"/>
          </rPr>
          <t>Fuel consumed in and emissions from Agriculture/Forestry/Fisheries are included under Other Manufacturing Industries and Construction (1.A.2.g).</t>
        </r>
      </text>
    </comment>
    <comment ref="L597" authorId="1" shapeId="0" xr:uid="{AE8B15A3-3644-448A-A71F-0E811F8C1479}">
      <text>
        <r>
          <rPr>
            <sz val="9"/>
            <color indexed="81"/>
            <rFont val="Tahoma"/>
            <family val="2"/>
          </rPr>
          <t>Fuel consumed in and emissions from Agriculture/Forestry/Fisheries are included under Other Manufacturing Industries and Construction (1.A.2.g).</t>
        </r>
      </text>
    </comment>
    <comment ref="M597" authorId="1" shapeId="0" xr:uid="{BB267C53-C0EA-403B-8714-BD6A487E769A}">
      <text>
        <r>
          <rPr>
            <sz val="9"/>
            <color indexed="81"/>
            <rFont val="Tahoma"/>
            <family val="2"/>
          </rPr>
          <t>Fuel consumed in and emissions from Agriculture/Forestry/Fisheries are included under Other Manufacturing Industries and Construction (1.A.2.g).</t>
        </r>
      </text>
    </comment>
    <comment ref="N597" authorId="1" shapeId="0" xr:uid="{6DF42FC9-6128-4859-A7A0-9DE34CB09459}">
      <text>
        <r>
          <rPr>
            <sz val="9"/>
            <color indexed="81"/>
            <rFont val="Tahoma"/>
            <family val="2"/>
          </rPr>
          <t>Fuel consumed in and emissions from Agriculture/Forestry/Fisheries are included under Other Manufacturing Industries and Construction (1.A.2.g).</t>
        </r>
      </text>
    </comment>
    <comment ref="O597" authorId="1" shapeId="0" xr:uid="{4EBB7883-A47A-4E94-8598-6B18143AA064}">
      <text>
        <r>
          <rPr>
            <sz val="9"/>
            <color indexed="81"/>
            <rFont val="Tahoma"/>
            <family val="2"/>
          </rPr>
          <t>Fuel consumed in and emissions from Agriculture/Forestry/Fisheries are included under Other Manufacturing Industries and Construction (1.A.2.g).</t>
        </r>
      </text>
    </comment>
    <comment ref="P597" authorId="1" shapeId="0" xr:uid="{D591DA16-893D-4023-BF0D-B2648ED71C8E}">
      <text>
        <r>
          <rPr>
            <sz val="9"/>
            <color indexed="81"/>
            <rFont val="Tahoma"/>
            <family val="2"/>
          </rPr>
          <t>Fuel consumed in and emissions from Agriculture/Forestry/Fisheries are included under Other Manufacturing Industries and Construction (1.A.2.g).</t>
        </r>
      </text>
    </comment>
    <comment ref="Q597" authorId="1" shapeId="0" xr:uid="{E1A6A19E-F2D4-4826-8444-0C3F930A967D}">
      <text>
        <r>
          <rPr>
            <sz val="9"/>
            <color indexed="81"/>
            <rFont val="Tahoma"/>
            <family val="2"/>
          </rPr>
          <t>Fuel consumed in and emissions from Agriculture/Forestry/Fisheries are included under Other Manufacturing Industries and Construction (1.A.2.g).</t>
        </r>
      </text>
    </comment>
    <comment ref="R597" authorId="1" shapeId="0" xr:uid="{660A559A-738B-4AF3-A915-0D1A64FA8508}">
      <text>
        <r>
          <rPr>
            <sz val="9"/>
            <color indexed="81"/>
            <rFont val="Tahoma"/>
            <family val="2"/>
          </rPr>
          <t>Fuel consumed in and emissions from Agriculture/Forestry/Fisheries are included under Other Manufacturing Industries and Construction (1.A.2.g).</t>
        </r>
      </text>
    </comment>
    <comment ref="S597" authorId="1" shapeId="0" xr:uid="{DB8F2A43-95BB-4867-8406-CC1C6D965D6E}">
      <text>
        <r>
          <rPr>
            <sz val="9"/>
            <color indexed="81"/>
            <rFont val="Tahoma"/>
            <family val="2"/>
          </rPr>
          <t>Fuel consumed in and emissions from Agriculture/Forestry/Fisheries are included under Other Manufacturing Industries and Construction (1.A.2.g).</t>
        </r>
      </text>
    </comment>
    <comment ref="T597" authorId="1" shapeId="0" xr:uid="{318083FD-3441-4926-964D-9983C4124EF8}">
      <text>
        <r>
          <rPr>
            <sz val="9"/>
            <color indexed="81"/>
            <rFont val="Tahoma"/>
            <family val="2"/>
          </rPr>
          <t>Fuel consumed in and emissions from Agriculture/Forestry/Fisheries are included under Other Manufacturing Industries and Construction (1.A.2.g).</t>
        </r>
      </text>
    </comment>
    <comment ref="U597" authorId="1" shapeId="0" xr:uid="{D5CB8459-B02B-4A2A-BAD9-60DEA4650937}">
      <text>
        <r>
          <rPr>
            <sz val="9"/>
            <color indexed="81"/>
            <rFont val="Tahoma"/>
            <family val="2"/>
          </rPr>
          <t>Fuel consumed in and emissions from Agriculture/Forestry/Fisheries are included under Other Manufacturing Industries and Construction (1.A.2.g).</t>
        </r>
      </text>
    </comment>
    <comment ref="V597" authorId="1" shapeId="0" xr:uid="{C9F7AB1F-F478-4168-BF88-E668335F874D}">
      <text>
        <r>
          <rPr>
            <sz val="9"/>
            <color indexed="81"/>
            <rFont val="Tahoma"/>
            <family val="2"/>
          </rPr>
          <t>Fuel consumed in and emissions from Agriculture/Forestry/Fisheries are included under Other Manufacturing Industries and Construction (1.A.2.g).</t>
        </r>
      </text>
    </comment>
    <comment ref="W597" authorId="1" shapeId="0" xr:uid="{EAB766EA-8E04-4C07-8DA0-F90E29D76649}">
      <text>
        <r>
          <rPr>
            <sz val="9"/>
            <color indexed="81"/>
            <rFont val="Tahoma"/>
            <family val="2"/>
          </rPr>
          <t>Fuel consumed in and emissions from Agriculture/Forestry/Fisheries are included under Other Manufacturing Industries and Construction (1.A.2.g).</t>
        </r>
      </text>
    </comment>
    <comment ref="X597" authorId="1" shapeId="0" xr:uid="{54B9640D-1800-4211-9DFB-940E186E5B7D}">
      <text>
        <r>
          <rPr>
            <sz val="9"/>
            <color indexed="81"/>
            <rFont val="Tahoma"/>
            <family val="2"/>
          </rPr>
          <t>Fuel consumed in and emissions from Agriculture/Forestry/Fisheries are included under Other Manufacturing Industries and Construction (1.A.2.g).</t>
        </r>
      </text>
    </comment>
    <comment ref="Y597" authorId="1" shapeId="0" xr:uid="{32611B1F-23F4-4751-8E65-AB918A60C357}">
      <text>
        <r>
          <rPr>
            <sz val="9"/>
            <color indexed="81"/>
            <rFont val="Tahoma"/>
            <family val="2"/>
          </rPr>
          <t>Fuel consumed in and emissions from Agriculture/Forestry/Fisheries are included under Other Manufacturing Industries and Construction (1.A.2.g).</t>
        </r>
      </text>
    </comment>
    <comment ref="Z597" authorId="1" shapeId="0" xr:uid="{42ADE1FA-7088-4D03-A01C-23C9BD558ECC}">
      <text>
        <r>
          <rPr>
            <sz val="9"/>
            <color indexed="81"/>
            <rFont val="Tahoma"/>
            <family val="2"/>
          </rPr>
          <t>Fuel consumed in and emissions from Agriculture/Forestry/Fisheries are included under Other Manufacturing Industries and Construction (1.A.2.g).</t>
        </r>
      </text>
    </comment>
    <comment ref="AA597" authorId="1" shapeId="0" xr:uid="{8C9846F0-E3E7-4463-B345-91426EF83F65}">
      <text>
        <r>
          <rPr>
            <sz val="9"/>
            <color indexed="81"/>
            <rFont val="Tahoma"/>
            <family val="2"/>
          </rPr>
          <t>Fuel consumed in and emissions from Agriculture/Forestry/Fisheries are included under Other Manufacturing Industries and Construction (1.A.2.g).</t>
        </r>
      </text>
    </comment>
    <comment ref="AB597" authorId="1" shapeId="0" xr:uid="{DFD095F1-4F56-4EF1-BF30-E25E48C4FBB4}">
      <text>
        <r>
          <rPr>
            <sz val="9"/>
            <color indexed="81"/>
            <rFont val="Tahoma"/>
            <family val="2"/>
          </rPr>
          <t>Fuel consumed in and emissions from Agriculture/Forestry/Fisheries are included under Other Manufacturing Industries and Construction (1.A.2.g).</t>
        </r>
      </text>
    </comment>
    <comment ref="AC597" authorId="1" shapeId="0" xr:uid="{AE8EE3E7-AC63-43B3-A093-132D3E5A4919}">
      <text>
        <r>
          <rPr>
            <sz val="9"/>
            <color indexed="81"/>
            <rFont val="Tahoma"/>
            <family val="2"/>
          </rPr>
          <t>Fuel consumed in and emissions from Agriculture/Forestry/Fisheries are included under Other Manufacturing Industries and Construction (1.A.2.g).</t>
        </r>
      </text>
    </comment>
    <comment ref="AD597" authorId="1" shapeId="0" xr:uid="{5E992B3F-DB0B-48C6-8A70-FB6119B65794}">
      <text>
        <r>
          <rPr>
            <sz val="9"/>
            <color indexed="81"/>
            <rFont val="Tahoma"/>
            <family val="2"/>
          </rPr>
          <t>Fuel consumed in and emissions from Agriculture/Forestry/Fisheries are included under Other Manufacturing Industries and Construction (1.A.2.g).</t>
        </r>
      </text>
    </comment>
    <comment ref="AE597" authorId="1" shapeId="0" xr:uid="{97621620-06B3-4C2A-9E3D-89C74B558D6D}">
      <text>
        <r>
          <rPr>
            <sz val="9"/>
            <color indexed="81"/>
            <rFont val="Tahoma"/>
            <family val="2"/>
          </rPr>
          <t>Fuel consumed in and emissions from Agriculture/Forestry/Fisheries are included under Other Manufacturing Industries and Construction (1.A.2.g).</t>
        </r>
      </text>
    </comment>
    <comment ref="AF597" authorId="1" shapeId="0" xr:uid="{11A54940-8778-47E1-8D8F-21770A318AC3}">
      <text>
        <r>
          <rPr>
            <sz val="9"/>
            <color indexed="81"/>
            <rFont val="Tahoma"/>
            <family val="2"/>
          </rPr>
          <t>Fuel consumed in and emissions from Agriculture/Forestry/Fisheries are included under Other Manufacturing Industries and Construction (1.A.2.g).</t>
        </r>
      </text>
    </comment>
    <comment ref="AG597" authorId="1" shapeId="0" xr:uid="{1E8C43F5-EDFF-474D-80B0-11A580867240}">
      <text>
        <r>
          <rPr>
            <sz val="9"/>
            <color indexed="81"/>
            <rFont val="Tahoma"/>
            <family val="2"/>
          </rPr>
          <t>Fuel consumed in and emissions from Agriculture/Forestry/Fisheries are included under Other Manufacturing Industries and Construction (1.A.2.g).</t>
        </r>
      </text>
    </comment>
    <comment ref="AH597" authorId="1" shapeId="0" xr:uid="{7C4F0E18-F0A0-4351-BDD5-23CEC5219A2D}">
      <text>
        <r>
          <rPr>
            <sz val="9"/>
            <color indexed="81"/>
            <rFont val="Tahoma"/>
            <family val="2"/>
          </rPr>
          <t>Fuel consumed in and emissions from Agriculture/Forestry/Fisheries are included under Other Manufacturing Industries and Construction (1.A.2.g).</t>
        </r>
      </text>
    </comment>
    <comment ref="AI597" authorId="1" shapeId="0" xr:uid="{9BB922BC-8E51-415F-9728-470D207EEA86}">
      <text>
        <r>
          <rPr>
            <sz val="9"/>
            <color indexed="81"/>
            <rFont val="Tahoma"/>
            <family val="2"/>
          </rPr>
          <t>Fuel consumed in and emissions from Agriculture/Forestry/Fisheries are included under Other Manufacturing Industries and Construction (1.A.2.g).</t>
        </r>
      </text>
    </comment>
    <comment ref="AJ597" authorId="1" shapeId="0" xr:uid="{1AC576AE-EE9A-45F3-AECE-FC5774CC5284}">
      <text>
        <r>
          <rPr>
            <sz val="9"/>
            <color indexed="81"/>
            <rFont val="Tahoma"/>
            <family val="2"/>
          </rPr>
          <t>Fuel consumed in and emissions from Agriculture/Forestry/Fisheries are included under Other Manufacturing Industries and Construction (1.A.2.g).</t>
        </r>
      </text>
    </comment>
    <comment ref="AK597" authorId="1" shapeId="0" xr:uid="{791AF93A-F904-43DC-B452-F1A31724A4B3}">
      <text>
        <r>
          <rPr>
            <sz val="9"/>
            <color indexed="81"/>
            <rFont val="Tahoma"/>
            <family val="2"/>
          </rPr>
          <t>Fuel consumed in and emissions from Agriculture/Forestry/Fisheries are included under Other Manufacturing Industries and Construction (1.A.2.g).</t>
        </r>
      </text>
    </comment>
    <comment ref="F599" authorId="1" shapeId="0" xr:uid="{4404327B-1CB0-4C32-82EE-AF8731047CCE}">
      <text>
        <r>
          <rPr>
            <sz val="9"/>
            <color indexed="81"/>
            <rFont val="Tahoma"/>
            <family val="2"/>
          </rPr>
          <t>Fuel consumed in and emissions from Agriculture/Forestry/Fisheries are included under Other Manufacturing Industries and Construction (1.A.2.g).</t>
        </r>
      </text>
    </comment>
    <comment ref="G599" authorId="1" shapeId="0" xr:uid="{B488F215-BEBF-4B63-8138-17BE0C52B9C0}">
      <text>
        <r>
          <rPr>
            <sz val="9"/>
            <color indexed="81"/>
            <rFont val="Tahoma"/>
            <family val="2"/>
          </rPr>
          <t>Fuel consumed in and emissions from Agriculture/Forestry/Fisheries are included under Other Manufacturing Industries and Construction (1.A.2.g).</t>
        </r>
      </text>
    </comment>
    <comment ref="H599" authorId="1" shapeId="0" xr:uid="{4504FC89-D12B-4B51-9F16-49FEDE5E5DA1}">
      <text>
        <r>
          <rPr>
            <sz val="9"/>
            <color indexed="81"/>
            <rFont val="Tahoma"/>
            <family val="2"/>
          </rPr>
          <t>Fuel consumed in and emissions from Agriculture/Forestry/Fisheries are included under Other Manufacturing Industries and Construction (1.A.2.g).</t>
        </r>
      </text>
    </comment>
    <comment ref="I599" authorId="1" shapeId="0" xr:uid="{3C044CC4-0D67-4922-8BE6-B67A5DB2DED6}">
      <text>
        <r>
          <rPr>
            <sz val="9"/>
            <color indexed="81"/>
            <rFont val="Tahoma"/>
            <family val="2"/>
          </rPr>
          <t>Fuel consumed in and emissions from Agriculture/Forestry/Fisheries are included under Other Manufacturing Industries and Construction (1.A.2.g).</t>
        </r>
      </text>
    </comment>
    <comment ref="J599" authorId="1" shapeId="0" xr:uid="{EC020C4E-F3AD-4FDC-B57A-77FBD3765170}">
      <text>
        <r>
          <rPr>
            <sz val="9"/>
            <color indexed="81"/>
            <rFont val="Tahoma"/>
            <family val="2"/>
          </rPr>
          <t>Fuel consumed in and emissions from Agriculture/Forestry/Fisheries are included under Other Manufacturing Industries and Construction (1.A.2.g).</t>
        </r>
      </text>
    </comment>
    <comment ref="K599" authorId="1" shapeId="0" xr:uid="{959C57E1-51FC-43E3-BF8D-6E390C8722CB}">
      <text>
        <r>
          <rPr>
            <sz val="9"/>
            <color indexed="81"/>
            <rFont val="Tahoma"/>
            <family val="2"/>
          </rPr>
          <t>Fuel consumed in and emissions from Agriculture/Forestry/Fisheries are included under Other Manufacturing Industries and Construction (1.A.2.g).</t>
        </r>
      </text>
    </comment>
    <comment ref="L599" authorId="1" shapeId="0" xr:uid="{25845EFD-87AB-4DFD-A489-EE54F8E188BC}">
      <text>
        <r>
          <rPr>
            <sz val="9"/>
            <color indexed="81"/>
            <rFont val="Tahoma"/>
            <family val="2"/>
          </rPr>
          <t>Fuel consumed in and emissions from Agriculture/Forestry/Fisheries are included under Other Manufacturing Industries and Construction (1.A.2.g).</t>
        </r>
      </text>
    </comment>
    <comment ref="M599" authorId="1" shapeId="0" xr:uid="{D0CADF54-B7C7-41D9-AA8B-BD668DA1D99F}">
      <text>
        <r>
          <rPr>
            <sz val="9"/>
            <color indexed="81"/>
            <rFont val="Tahoma"/>
            <family val="2"/>
          </rPr>
          <t>Fuel consumed in and emissions from Agriculture/Forestry/Fisheries are included under Other Manufacturing Industries and Construction (1.A.2.g).</t>
        </r>
      </text>
    </comment>
    <comment ref="N599" authorId="1" shapeId="0" xr:uid="{E06093B6-5797-4A3D-ABA0-5BA24FA494FC}">
      <text>
        <r>
          <rPr>
            <sz val="9"/>
            <color indexed="81"/>
            <rFont val="Tahoma"/>
            <family val="2"/>
          </rPr>
          <t>Fuel consumed in and emissions from Agriculture/Forestry/Fisheries are included under Other Manufacturing Industries and Construction (1.A.2.g).</t>
        </r>
      </text>
    </comment>
    <comment ref="O599" authorId="1" shapeId="0" xr:uid="{02D656E6-6EBB-4B50-886B-A5E66237EBFF}">
      <text>
        <r>
          <rPr>
            <sz val="9"/>
            <color indexed="81"/>
            <rFont val="Tahoma"/>
            <family val="2"/>
          </rPr>
          <t>Fuel consumed in and emissions from Agriculture/Forestry/Fisheries are included under Other Manufacturing Industries and Construction (1.A.2.g).</t>
        </r>
      </text>
    </comment>
    <comment ref="P599" authorId="1" shapeId="0" xr:uid="{57C7947E-6DED-4003-AE5A-39A832F137E8}">
      <text>
        <r>
          <rPr>
            <sz val="9"/>
            <color indexed="81"/>
            <rFont val="Tahoma"/>
            <family val="2"/>
          </rPr>
          <t>Fuel consumed in and emissions from Agriculture/Forestry/Fisheries are included under Other Manufacturing Industries and Construction (1.A.2.g).</t>
        </r>
      </text>
    </comment>
    <comment ref="Q599" authorId="1" shapeId="0" xr:uid="{52DF1ACB-C484-4DD8-A53E-F3D356D8A173}">
      <text>
        <r>
          <rPr>
            <sz val="9"/>
            <color indexed="81"/>
            <rFont val="Tahoma"/>
            <family val="2"/>
          </rPr>
          <t>Fuel consumed in and emissions from Agriculture/Forestry/Fisheries are included under Other Manufacturing Industries and Construction (1.A.2.g).</t>
        </r>
      </text>
    </comment>
    <comment ref="R599" authorId="1" shapeId="0" xr:uid="{F5A1A73A-EEE5-4408-941B-3EB4DD07CB63}">
      <text>
        <r>
          <rPr>
            <sz val="9"/>
            <color indexed="81"/>
            <rFont val="Tahoma"/>
            <family val="2"/>
          </rPr>
          <t>Fuel consumed in and emissions from Agriculture/Forestry/Fisheries are included under Other Manufacturing Industries and Construction (1.A.2.g).</t>
        </r>
      </text>
    </comment>
    <comment ref="S599" authorId="1" shapeId="0" xr:uid="{B4CB2137-FE22-40BC-86A2-7E0068C01EF0}">
      <text>
        <r>
          <rPr>
            <sz val="9"/>
            <color indexed="81"/>
            <rFont val="Tahoma"/>
            <family val="2"/>
          </rPr>
          <t>Fuel consumed in and emissions from Agriculture/Forestry/Fisheries are included under Other Manufacturing Industries and Construction (1.A.2.g).</t>
        </r>
      </text>
    </comment>
    <comment ref="T599" authorId="1" shapeId="0" xr:uid="{B2BC682A-0593-4850-8ED4-5FCB22EFC782}">
      <text>
        <r>
          <rPr>
            <sz val="9"/>
            <color indexed="81"/>
            <rFont val="Tahoma"/>
            <family val="2"/>
          </rPr>
          <t>Fuel consumed in and emissions from Agriculture/Forestry/Fisheries are included under Other Manufacturing Industries and Construction (1.A.2.g).</t>
        </r>
      </text>
    </comment>
    <comment ref="U599" authorId="1" shapeId="0" xr:uid="{EC2AB0E9-542B-48E2-BED8-8F1E16A37923}">
      <text>
        <r>
          <rPr>
            <sz val="9"/>
            <color indexed="81"/>
            <rFont val="Tahoma"/>
            <family val="2"/>
          </rPr>
          <t>Fuel consumed in and emissions from Agriculture/Forestry/Fisheries are included under Other Manufacturing Industries and Construction (1.A.2.g).</t>
        </r>
      </text>
    </comment>
    <comment ref="V599" authorId="1" shapeId="0" xr:uid="{7F723204-DFCF-4358-818C-9D5838E5314A}">
      <text>
        <r>
          <rPr>
            <sz val="9"/>
            <color indexed="81"/>
            <rFont val="Tahoma"/>
            <family val="2"/>
          </rPr>
          <t>Fuel consumed in and emissions from Agriculture/Forestry/Fisheries are included under Other Manufacturing Industries and Construction (1.A.2.g).</t>
        </r>
      </text>
    </comment>
    <comment ref="W599" authorId="1" shapeId="0" xr:uid="{08EB21AF-92D1-48AB-AAE9-9143039B7527}">
      <text>
        <r>
          <rPr>
            <sz val="9"/>
            <color indexed="81"/>
            <rFont val="Tahoma"/>
            <family val="2"/>
          </rPr>
          <t>Fuel consumed in and emissions from Agriculture/Forestry/Fisheries are included under Other Manufacturing Industries and Construction (1.A.2.g).</t>
        </r>
      </text>
    </comment>
    <comment ref="X599" authorId="1" shapeId="0" xr:uid="{BF78739A-46DB-4028-A153-1EA25E141FD4}">
      <text>
        <r>
          <rPr>
            <sz val="9"/>
            <color indexed="81"/>
            <rFont val="Tahoma"/>
            <family val="2"/>
          </rPr>
          <t>Fuel consumed in and emissions from Agriculture/Forestry/Fisheries are included under Other Manufacturing Industries and Construction (1.A.2.g).</t>
        </r>
      </text>
    </comment>
    <comment ref="Y599" authorId="1" shapeId="0" xr:uid="{285A2B60-08C4-4649-985E-2EB85036173F}">
      <text>
        <r>
          <rPr>
            <sz val="9"/>
            <color indexed="81"/>
            <rFont val="Tahoma"/>
            <family val="2"/>
          </rPr>
          <t>Fuel consumed in and emissions from Agriculture/Forestry/Fisheries are included under Other Manufacturing Industries and Construction (1.A.2.g).</t>
        </r>
      </text>
    </comment>
    <comment ref="Z599" authorId="1" shapeId="0" xr:uid="{05D4C7D6-2C69-4B7C-820E-07CA3B25CDB3}">
      <text>
        <r>
          <rPr>
            <sz val="9"/>
            <color indexed="81"/>
            <rFont val="Tahoma"/>
            <family val="2"/>
          </rPr>
          <t>Fuel consumed in and emissions from Agriculture/Forestry/Fisheries are included under Other Manufacturing Industries and Construction (1.A.2.g).</t>
        </r>
      </text>
    </comment>
    <comment ref="AA599" authorId="1" shapeId="0" xr:uid="{64177666-35C4-4703-A1CD-37F9D496EC9F}">
      <text>
        <r>
          <rPr>
            <sz val="9"/>
            <color indexed="81"/>
            <rFont val="Tahoma"/>
            <family val="2"/>
          </rPr>
          <t>Fuel consumed in and emissions from Agriculture/Forestry/Fisheries are included under Other Manufacturing Industries and Construction (1.A.2.g).</t>
        </r>
      </text>
    </comment>
    <comment ref="AB599" authorId="1" shapeId="0" xr:uid="{2413D839-388F-4E6D-A039-861881A43340}">
      <text>
        <r>
          <rPr>
            <sz val="9"/>
            <color indexed="81"/>
            <rFont val="Tahoma"/>
            <family val="2"/>
          </rPr>
          <t>Fuel consumed in and emissions from Agriculture/Forestry/Fisheries are included under Other Manufacturing Industries and Construction (1.A.2.g).</t>
        </r>
      </text>
    </comment>
    <comment ref="AC599" authorId="1" shapeId="0" xr:uid="{28FBE752-B354-44E5-9DC7-293F709F2315}">
      <text>
        <r>
          <rPr>
            <sz val="9"/>
            <color indexed="81"/>
            <rFont val="Tahoma"/>
            <family val="2"/>
          </rPr>
          <t>Fuel consumed in and emissions from Agriculture/Forestry/Fisheries are included under Other Manufacturing Industries and Construction (1.A.2.g).</t>
        </r>
      </text>
    </comment>
    <comment ref="AD599" authorId="1" shapeId="0" xr:uid="{8D2F04DB-EF91-48B2-8FBE-8160EAED37C2}">
      <text>
        <r>
          <rPr>
            <sz val="9"/>
            <color indexed="81"/>
            <rFont val="Tahoma"/>
            <family val="2"/>
          </rPr>
          <t>Fuel consumed in and emissions from Agriculture/Forestry/Fisheries are included under Other Manufacturing Industries and Construction (1.A.2.g).</t>
        </r>
      </text>
    </comment>
    <comment ref="AE599" authorId="1" shapeId="0" xr:uid="{7F3F1E47-E514-4CF2-A06C-EA01B5F2794A}">
      <text>
        <r>
          <rPr>
            <sz val="9"/>
            <color indexed="81"/>
            <rFont val="Tahoma"/>
            <family val="2"/>
          </rPr>
          <t>Fuel consumed in and emissions from Agriculture/Forestry/Fisheries are included under Other Manufacturing Industries and Construction (1.A.2.g).</t>
        </r>
      </text>
    </comment>
    <comment ref="AF599" authorId="1" shapeId="0" xr:uid="{EB9FF02E-E9C7-433E-B6E1-751DD1206F96}">
      <text>
        <r>
          <rPr>
            <sz val="9"/>
            <color indexed="81"/>
            <rFont val="Tahoma"/>
            <family val="2"/>
          </rPr>
          <t>Fuel consumed in and emissions from Agriculture/Forestry/Fisheries are included under Other Manufacturing Industries and Construction (1.A.2.g).</t>
        </r>
      </text>
    </comment>
    <comment ref="AG599" authorId="1" shapeId="0" xr:uid="{B3AC04D5-FED1-446A-805C-4E03F1BE202D}">
      <text>
        <r>
          <rPr>
            <sz val="9"/>
            <color indexed="81"/>
            <rFont val="Tahoma"/>
            <family val="2"/>
          </rPr>
          <t>Fuel consumed in and emissions from Agriculture/Forestry/Fisheries are included under Other Manufacturing Industries and Construction (1.A.2.g).</t>
        </r>
      </text>
    </comment>
    <comment ref="AH599" authorId="1" shapeId="0" xr:uid="{6B1D3FB9-B765-408B-9CBD-B3A22AF2F020}">
      <text>
        <r>
          <rPr>
            <sz val="9"/>
            <color indexed="81"/>
            <rFont val="Tahoma"/>
            <family val="2"/>
          </rPr>
          <t>Fuel consumed in and emissions from Agriculture/Forestry/Fisheries are included under Other Manufacturing Industries and Construction (1.A.2.g).</t>
        </r>
      </text>
    </comment>
    <comment ref="AI599" authorId="1" shapeId="0" xr:uid="{BD81699A-8160-45D4-871E-4352DB061395}">
      <text>
        <r>
          <rPr>
            <sz val="9"/>
            <color indexed="81"/>
            <rFont val="Tahoma"/>
            <family val="2"/>
          </rPr>
          <t>Fuel consumed in and emissions from Agriculture/Forestry/Fisheries are included under Other Manufacturing Industries and Construction (1.A.2.g).</t>
        </r>
      </text>
    </comment>
    <comment ref="AJ599" authorId="1" shapeId="0" xr:uid="{D2CD6117-9551-448F-BCA5-E310B37ECBFE}">
      <text>
        <r>
          <rPr>
            <sz val="9"/>
            <color indexed="81"/>
            <rFont val="Tahoma"/>
            <family val="2"/>
          </rPr>
          <t>Fuel consumed in and emissions from Agriculture/Forestry/Fisheries are included under Other Manufacturing Industries and Construction (1.A.2.g).</t>
        </r>
      </text>
    </comment>
    <comment ref="AK599" authorId="1" shapeId="0" xr:uid="{DF144F4D-B613-4D7D-B76F-CE9842A87B09}">
      <text>
        <r>
          <rPr>
            <sz val="9"/>
            <color indexed="81"/>
            <rFont val="Tahoma"/>
            <family val="2"/>
          </rPr>
          <t>Fuel consumed in and emissions from Agriculture/Forestry/Fisheries are included under Other Manufacturing Industries and Construction (1.A.2.g).</t>
        </r>
      </text>
    </comment>
    <comment ref="F621" authorId="2" shapeId="0" xr:uid="{5693F060-292B-4CB0-9055-776A02D75A06}">
      <text>
        <r>
          <rPr>
            <sz val="8"/>
            <color indexed="81"/>
            <rFont val="Tahoma"/>
            <family val="2"/>
          </rPr>
          <t>US Territories began consuming Natural Gas in 2000.</t>
        </r>
      </text>
    </comment>
    <comment ref="G621" authorId="2" shapeId="0" xr:uid="{FE5C1607-B18B-4C84-95CD-E5582AD7C0BB}">
      <text>
        <r>
          <rPr>
            <sz val="8"/>
            <color indexed="81"/>
            <rFont val="Tahoma"/>
            <family val="2"/>
          </rPr>
          <t>US Territories began consuming Natural Gas in 2000.</t>
        </r>
      </text>
    </comment>
    <comment ref="H621" authorId="2" shapeId="0" xr:uid="{C82C6DFD-061C-4642-8ED1-6CA75340D6F3}">
      <text>
        <r>
          <rPr>
            <sz val="8"/>
            <color indexed="81"/>
            <rFont val="Tahoma"/>
            <family val="2"/>
          </rPr>
          <t>US Territories began consuming Natural Gas in 2000.</t>
        </r>
      </text>
    </comment>
    <comment ref="I621" authorId="2" shapeId="0" xr:uid="{DDF888A6-CFB6-410E-A15B-7A7511E725F9}">
      <text>
        <r>
          <rPr>
            <sz val="8"/>
            <color indexed="81"/>
            <rFont val="Tahoma"/>
            <family val="2"/>
          </rPr>
          <t>US Territories began consuming Natural Gas in 2000.</t>
        </r>
      </text>
    </comment>
    <comment ref="J621" authorId="2" shapeId="0" xr:uid="{79AEA5FA-4552-469D-A2D1-F44123863CAB}">
      <text>
        <r>
          <rPr>
            <sz val="8"/>
            <color indexed="81"/>
            <rFont val="Tahoma"/>
            <family val="2"/>
          </rPr>
          <t>US Territories began consuming Natural Gas in 2000.</t>
        </r>
      </text>
    </comment>
    <comment ref="K621" authorId="2" shapeId="0" xr:uid="{B9AB494D-83CD-4398-8D89-C1661E02ED9C}">
      <text>
        <r>
          <rPr>
            <sz val="8"/>
            <color indexed="81"/>
            <rFont val="Tahoma"/>
            <family val="2"/>
          </rPr>
          <t>US Territories began consuming Natural Gas in 2000.</t>
        </r>
      </text>
    </comment>
    <comment ref="L621" authorId="2" shapeId="0" xr:uid="{9CE7F9F4-F932-4E2B-A5AC-67CF964894BA}">
      <text>
        <r>
          <rPr>
            <sz val="8"/>
            <color indexed="81"/>
            <rFont val="Tahoma"/>
            <family val="2"/>
          </rPr>
          <t>US Territories began consuming Natural Gas in 2000.</t>
        </r>
      </text>
    </comment>
    <comment ref="M621" authorId="2" shapeId="0" xr:uid="{15395457-1A3F-4F9B-9ACF-425E715C4AF0}">
      <text>
        <r>
          <rPr>
            <sz val="8"/>
            <color indexed="81"/>
            <rFont val="Tahoma"/>
            <family val="2"/>
          </rPr>
          <t>US Territories began consuming Natural Gas in 2000.</t>
        </r>
      </text>
    </comment>
    <comment ref="N621" authorId="2" shapeId="0" xr:uid="{0C0D54FC-B070-4BBD-8CBE-AFBC16CD78B1}">
      <text>
        <r>
          <rPr>
            <sz val="8"/>
            <color indexed="81"/>
            <rFont val="Tahoma"/>
            <family val="2"/>
          </rPr>
          <t>US Territories began consuming Natural Gas in 2000.</t>
        </r>
      </text>
    </comment>
    <comment ref="O621" authorId="2" shapeId="0" xr:uid="{CA1FB2D8-EFE5-4B95-BBEC-646A48B8AEB9}">
      <text>
        <r>
          <rPr>
            <sz val="8"/>
            <color indexed="81"/>
            <rFont val="Tahoma"/>
            <family val="2"/>
          </rPr>
          <t>US Territories began consuming Natural Gas in 2000.</t>
        </r>
      </text>
    </comment>
    <comment ref="F623" authorId="2" shapeId="0" xr:uid="{E233FA6C-153B-4E9F-B289-FAF52C9BCFC7}">
      <text>
        <r>
          <rPr>
            <sz val="8"/>
            <color indexed="81"/>
            <rFont val="Tahoma"/>
            <family val="2"/>
          </rPr>
          <t>US Territories began consuming Natural Gas in 2000.</t>
        </r>
      </text>
    </comment>
    <comment ref="G623" authorId="2" shapeId="0" xr:uid="{5723F5B3-1B15-4A0F-AFAB-D0F2215E1C4A}">
      <text>
        <r>
          <rPr>
            <sz val="8"/>
            <color indexed="81"/>
            <rFont val="Tahoma"/>
            <family val="2"/>
          </rPr>
          <t>US Territories began consuming Natural Gas in 2000.</t>
        </r>
      </text>
    </comment>
    <comment ref="H623" authorId="2" shapeId="0" xr:uid="{BDE88C5C-BEB2-44D1-8064-E3A9DD519133}">
      <text>
        <r>
          <rPr>
            <sz val="8"/>
            <color indexed="81"/>
            <rFont val="Tahoma"/>
            <family val="2"/>
          </rPr>
          <t>US Territories began consuming Natural Gas in 2000.</t>
        </r>
      </text>
    </comment>
    <comment ref="I623" authorId="2" shapeId="0" xr:uid="{7D8BBAE6-D3CF-4F5F-84CF-CE51E3334C59}">
      <text>
        <r>
          <rPr>
            <sz val="8"/>
            <color indexed="81"/>
            <rFont val="Tahoma"/>
            <family val="2"/>
          </rPr>
          <t>US Territories began consuming Natural Gas in 2000.</t>
        </r>
      </text>
    </comment>
    <comment ref="J623" authorId="2" shapeId="0" xr:uid="{B9D7C83C-5183-462D-9D68-13465EB515AF}">
      <text>
        <r>
          <rPr>
            <sz val="8"/>
            <color indexed="81"/>
            <rFont val="Tahoma"/>
            <family val="2"/>
          </rPr>
          <t>US Territories began consuming Natural Gas in 2000.</t>
        </r>
      </text>
    </comment>
    <comment ref="K623" authorId="2" shapeId="0" xr:uid="{64786771-A3DE-45EC-9A37-C46CAC84A329}">
      <text>
        <r>
          <rPr>
            <sz val="8"/>
            <color indexed="81"/>
            <rFont val="Tahoma"/>
            <family val="2"/>
          </rPr>
          <t>US Territories began consuming Natural Gas in 2000.</t>
        </r>
      </text>
    </comment>
    <comment ref="L623" authorId="2" shapeId="0" xr:uid="{EF9AA4B3-8E4F-416F-8A38-97A2D636820F}">
      <text>
        <r>
          <rPr>
            <sz val="8"/>
            <color indexed="81"/>
            <rFont val="Tahoma"/>
            <family val="2"/>
          </rPr>
          <t>US Territories began consuming Natural Gas in 2000.</t>
        </r>
      </text>
    </comment>
    <comment ref="M623" authorId="2" shapeId="0" xr:uid="{E74445EB-2442-4587-8CF9-D1E91DD3A8C0}">
      <text>
        <r>
          <rPr>
            <sz val="8"/>
            <color indexed="81"/>
            <rFont val="Tahoma"/>
            <family val="2"/>
          </rPr>
          <t>US Territories began consuming Natural Gas in 2000.</t>
        </r>
      </text>
    </comment>
    <comment ref="N623" authorId="2" shapeId="0" xr:uid="{16136758-F63F-47B3-98F8-4C0CD29FEFEF}">
      <text>
        <r>
          <rPr>
            <sz val="8"/>
            <color indexed="81"/>
            <rFont val="Tahoma"/>
            <family val="2"/>
          </rPr>
          <t>US Territories began consuming Natural Gas in 2000.</t>
        </r>
      </text>
    </comment>
    <comment ref="O623" authorId="2" shapeId="0" xr:uid="{6A7B578A-0E65-4579-AA44-D207D01B3CB5}">
      <text>
        <r>
          <rPr>
            <sz val="8"/>
            <color indexed="81"/>
            <rFont val="Tahoma"/>
            <family val="2"/>
          </rPr>
          <t>US Territories began consuming Natural Gas in 2000.</t>
        </r>
      </text>
    </comment>
    <comment ref="F727" authorId="2" shapeId="0" xr:uid="{B300C08E-780B-40E2-8180-DB712CCAFAC5}">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G727" authorId="2" shapeId="0" xr:uid="{8A8987C6-ED3A-4A97-82E8-13EB23E120EF}">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H727" authorId="2" shapeId="0" xr:uid="{BE5B3E9D-49F3-4C90-918E-8DD341BA88F2}">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I727" authorId="2" shapeId="0" xr:uid="{8E86EF25-0D8A-4F7D-93C8-58DF40D04315}">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J727" authorId="2" shapeId="0" xr:uid="{64A52281-7188-4180-BB83-D36E57B7F46F}">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K727" authorId="2" shapeId="0" xr:uid="{B9B9B2BC-6DF4-42E6-87E0-6E832BA400C3}">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L727" authorId="2" shapeId="0" xr:uid="{7706BDA8-E584-4AE2-9503-9B18EF97E80D}">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M727" authorId="2" shapeId="0" xr:uid="{9AD67AC1-36F0-4087-870C-931F1A5006B3}">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N727" authorId="2" shapeId="0" xr:uid="{1124018A-D905-4E6D-9AC9-12321F881FF8}">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O727" authorId="2" shapeId="0" xr:uid="{4498AFFE-FEFA-4DA6-A183-8240AAA3085B}">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P727" authorId="2" shapeId="0" xr:uid="{6B3C2BD7-D455-4FF9-BBDE-6B2170B0E863}">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Q727" authorId="2" shapeId="0" xr:uid="{50F9BACE-A4FD-42C6-A0B7-D29E16F2DFA8}">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R727" authorId="2" shapeId="0" xr:uid="{0E82FF14-B560-458F-98B1-E534492B4EE7}">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S727" authorId="2" shapeId="0" xr:uid="{670AF976-40A6-4E6C-B0E8-61D0E41728CA}">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T727" authorId="2" shapeId="0" xr:uid="{5BF85C36-E6AC-4129-B57A-3EF1271AFE4A}">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U727" authorId="2" shapeId="0" xr:uid="{BDF79087-CD51-4B9F-949D-EFD402B81BD0}">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V727" authorId="2" shapeId="0" xr:uid="{DD3097D4-B9C3-491D-A088-D21BF6872771}">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W727" authorId="2" shapeId="0" xr:uid="{D66D9A22-7F73-4B99-ACA5-DA69244B900F}">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X727" authorId="2" shapeId="0" xr:uid="{F92549C1-E7AC-4A87-91F0-1A7BED9E0FDB}">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iron and steel production.</t>
        </r>
      </text>
    </comment>
    <comment ref="F745" authorId="2" shapeId="0" xr:uid="{E24EFCCB-3946-4F13-B3C9-277B35210427}">
      <text>
        <r>
          <rPr>
            <sz val="8"/>
            <color indexed="81"/>
            <rFont val="Tahoma"/>
            <family val="2"/>
          </rPr>
          <t>Emissions from feedstocks and non-energy use of fuels are reported in "1.A.5  Other".</t>
        </r>
      </text>
    </comment>
    <comment ref="G745" authorId="2" shapeId="0" xr:uid="{2FAC1971-A1BF-404E-97D8-59DF5E1D302F}">
      <text>
        <r>
          <rPr>
            <sz val="8"/>
            <color indexed="81"/>
            <rFont val="Tahoma"/>
            <family val="2"/>
          </rPr>
          <t>Emissions from feedstocks and non-energy use of fuels are reported in "1.A.5  Other".</t>
        </r>
      </text>
    </comment>
    <comment ref="H745" authorId="2" shapeId="0" xr:uid="{EBEC11EF-C0C1-4B7E-8CDB-43ECBFBE85F0}">
      <text>
        <r>
          <rPr>
            <sz val="8"/>
            <color indexed="81"/>
            <rFont val="Tahoma"/>
            <family val="2"/>
          </rPr>
          <t>Emissions from feedstocks and non-energy use of fuels are reported in "1.A.5  Other".</t>
        </r>
      </text>
    </comment>
    <comment ref="I745" authorId="2" shapeId="0" xr:uid="{B92ED4A7-D962-4EF9-A8FD-BAD808F32BF2}">
      <text>
        <r>
          <rPr>
            <sz val="8"/>
            <color indexed="81"/>
            <rFont val="Tahoma"/>
            <family val="2"/>
          </rPr>
          <t>Emissions from feedstocks and non-energy use of fuels are reported in "1.A.5  Other".</t>
        </r>
      </text>
    </comment>
    <comment ref="J745" authorId="2" shapeId="0" xr:uid="{1BE1097B-B37D-448D-A1D4-F5B99F434DBA}">
      <text>
        <r>
          <rPr>
            <sz val="8"/>
            <color indexed="81"/>
            <rFont val="Tahoma"/>
            <family val="2"/>
          </rPr>
          <t>Emissions from feedstocks and non-energy use of fuels are reported in "1.A.5  Other".</t>
        </r>
      </text>
    </comment>
    <comment ref="K745" authorId="2" shapeId="0" xr:uid="{ADB25A7A-017E-4E5E-8D73-5EE71C93C998}">
      <text>
        <r>
          <rPr>
            <sz val="8"/>
            <color indexed="81"/>
            <rFont val="Tahoma"/>
            <family val="2"/>
          </rPr>
          <t>Emissions from feedstocks and non-energy use of fuels are reported in "1.A.5  Other".</t>
        </r>
      </text>
    </comment>
    <comment ref="L745" authorId="2" shapeId="0" xr:uid="{70AF814E-5618-4C8B-815F-D8FE98C94238}">
      <text>
        <r>
          <rPr>
            <sz val="8"/>
            <color indexed="81"/>
            <rFont val="Tahoma"/>
            <family val="2"/>
          </rPr>
          <t>Emissions from feedstocks and non-energy use of fuels are reported in "1.A.5  Other".</t>
        </r>
      </text>
    </comment>
    <comment ref="M745" authorId="2" shapeId="0" xr:uid="{F1EA5595-5C8C-44F5-894C-03B4ED3CC3F4}">
      <text>
        <r>
          <rPr>
            <sz val="8"/>
            <color indexed="81"/>
            <rFont val="Tahoma"/>
            <family val="2"/>
          </rPr>
          <t>Emissions from feedstocks and non-energy use of fuels are reported in "1.A.5  Other".</t>
        </r>
      </text>
    </comment>
    <comment ref="N745" authorId="2" shapeId="0" xr:uid="{D2A3BD0C-A634-4FB4-9EC6-C0CD27D59435}">
      <text>
        <r>
          <rPr>
            <sz val="8"/>
            <color indexed="81"/>
            <rFont val="Tahoma"/>
            <family val="2"/>
          </rPr>
          <t>Emissions from feedstocks and non-energy use of fuels are reported in "1.A.5  Other".</t>
        </r>
      </text>
    </comment>
    <comment ref="O745" authorId="2" shapeId="0" xr:uid="{4F9460DE-0F4A-42D5-871D-45FE4217AAF4}">
      <text>
        <r>
          <rPr>
            <sz val="8"/>
            <color indexed="81"/>
            <rFont val="Tahoma"/>
            <family val="2"/>
          </rPr>
          <t>Emissions from feedstocks and non-energy use of fuels are reported in "1.A.5  Other".</t>
        </r>
      </text>
    </comment>
    <comment ref="P745" authorId="2" shapeId="0" xr:uid="{D05CB649-9550-446B-9052-7866C4798F7B}">
      <text>
        <r>
          <rPr>
            <sz val="8"/>
            <color indexed="81"/>
            <rFont val="Tahoma"/>
            <family val="2"/>
          </rPr>
          <t>Emissions from feedstocks and non-energy use of fuels are reported in "1.A.5  Other".</t>
        </r>
      </text>
    </comment>
    <comment ref="Q745" authorId="2" shapeId="0" xr:uid="{A195A12E-1805-48AE-9407-F76E8A0CE0CF}">
      <text>
        <r>
          <rPr>
            <sz val="8"/>
            <color indexed="81"/>
            <rFont val="Tahoma"/>
            <family val="2"/>
          </rPr>
          <t>Emissions from feedstocks and non-energy use of fuels are reported in "1.A.5  Other".</t>
        </r>
      </text>
    </comment>
    <comment ref="R745" authorId="2" shapeId="0" xr:uid="{C44D9D17-B88C-4762-850E-D94C4D1B7772}">
      <text>
        <r>
          <rPr>
            <sz val="8"/>
            <color indexed="81"/>
            <rFont val="Tahoma"/>
            <family val="2"/>
          </rPr>
          <t>Emissions from feedstocks and non-energy use of fuels are reported in "1.A.5  Other".</t>
        </r>
      </text>
    </comment>
    <comment ref="S745" authorId="2" shapeId="0" xr:uid="{20D24C6F-567C-49F1-B9DF-72626AEBBE2B}">
      <text>
        <r>
          <rPr>
            <sz val="8"/>
            <color indexed="81"/>
            <rFont val="Tahoma"/>
            <family val="2"/>
          </rPr>
          <t>Emissions from feedstocks and non-energy use of fuels are reported in "1.A.5  Other".</t>
        </r>
      </text>
    </comment>
    <comment ref="T745" authorId="2" shapeId="0" xr:uid="{EBE1578B-99CA-4042-B8E7-6692640B8B81}">
      <text>
        <r>
          <rPr>
            <sz val="8"/>
            <color indexed="81"/>
            <rFont val="Tahoma"/>
            <family val="2"/>
          </rPr>
          <t>Emissions from feedstocks and non-energy use of fuels are reported in "1.A.5  Other".</t>
        </r>
      </text>
    </comment>
    <comment ref="U745" authorId="2" shapeId="0" xr:uid="{17375811-BFF2-40C8-997E-3B44B36EC9AD}">
      <text>
        <r>
          <rPr>
            <sz val="8"/>
            <color indexed="81"/>
            <rFont val="Tahoma"/>
            <family val="2"/>
          </rPr>
          <t>Emissions from feedstocks and non-energy use of fuels are reported in "1.A.5  Other".</t>
        </r>
      </text>
    </comment>
    <comment ref="V745" authorId="2" shapeId="0" xr:uid="{1BE952F8-C758-42D1-B420-0777A3F48C31}">
      <text>
        <r>
          <rPr>
            <sz val="8"/>
            <color indexed="81"/>
            <rFont val="Tahoma"/>
            <family val="2"/>
          </rPr>
          <t>Emissions from feedstocks and non-energy use of fuels are reported in "1.A.5  Other".</t>
        </r>
      </text>
    </comment>
    <comment ref="W745" authorId="2" shapeId="0" xr:uid="{069723EB-3186-4A42-80B8-A33BC852B650}">
      <text>
        <r>
          <rPr>
            <sz val="8"/>
            <color indexed="81"/>
            <rFont val="Tahoma"/>
            <family val="2"/>
          </rPr>
          <t>Emissions from feedstocks and non-energy use of fuels are reported in "1.A.5  Other".</t>
        </r>
      </text>
    </comment>
    <comment ref="X745" authorId="2" shapeId="0" xr:uid="{FCD2EC44-E971-4BDC-8B8B-A687B113DE6A}">
      <text>
        <r>
          <rPr>
            <sz val="8"/>
            <color indexed="81"/>
            <rFont val="Tahoma"/>
            <family val="2"/>
          </rPr>
          <t>Emissions from feedstocks and non-energy use of fuels are reported in "1.A.5  Other".</t>
        </r>
      </text>
    </comment>
    <comment ref="F746" authorId="2" shapeId="0" xr:uid="{C13DBF5C-D4B7-49FA-BF52-A0E4D6B25E0E}">
      <text>
        <r>
          <rPr>
            <sz val="8"/>
            <color indexed="81"/>
            <rFont val="Tahoma"/>
            <family val="2"/>
          </rPr>
          <t>Emissions from feedstocks and non-energy use of fuels are reported in "1.A.5  Other".</t>
        </r>
      </text>
    </comment>
    <comment ref="G746" authorId="2" shapeId="0" xr:uid="{4D35E179-116B-4988-B0B4-86B404362828}">
      <text>
        <r>
          <rPr>
            <sz val="8"/>
            <color indexed="81"/>
            <rFont val="Tahoma"/>
            <family val="2"/>
          </rPr>
          <t>Emissions from feedstocks and non-energy use of fuels are reported in "1.A.5  Other".</t>
        </r>
      </text>
    </comment>
    <comment ref="H746" authorId="2" shapeId="0" xr:uid="{3117D8E0-6D70-4B90-9314-FB39E8D49A62}">
      <text>
        <r>
          <rPr>
            <sz val="8"/>
            <color indexed="81"/>
            <rFont val="Tahoma"/>
            <family val="2"/>
          </rPr>
          <t>Emissions from feedstocks and non-energy use of fuels are reported in "1.A.5  Other".</t>
        </r>
      </text>
    </comment>
    <comment ref="I746" authorId="2" shapeId="0" xr:uid="{65431207-661B-4455-BDFC-C1F050122842}">
      <text>
        <r>
          <rPr>
            <sz val="8"/>
            <color indexed="81"/>
            <rFont val="Tahoma"/>
            <family val="2"/>
          </rPr>
          <t>Emissions from feedstocks and non-energy use of fuels are reported in "1.A.5  Other".</t>
        </r>
      </text>
    </comment>
    <comment ref="J746" authorId="2" shapeId="0" xr:uid="{30B4A5AF-7C0D-4FBC-A0AF-CF9D0EEFDC64}">
      <text>
        <r>
          <rPr>
            <sz val="8"/>
            <color indexed="81"/>
            <rFont val="Tahoma"/>
            <family val="2"/>
          </rPr>
          <t>Emissions from feedstocks and non-energy use of fuels are reported in "1.A.5  Other".</t>
        </r>
      </text>
    </comment>
    <comment ref="K746" authorId="2" shapeId="0" xr:uid="{14F54AD5-FF2E-4B31-B3E8-2E4DED353DF1}">
      <text>
        <r>
          <rPr>
            <sz val="8"/>
            <color indexed="81"/>
            <rFont val="Tahoma"/>
            <family val="2"/>
          </rPr>
          <t>Emissions from feedstocks and non-energy use of fuels are reported in "1.A.5  Other".</t>
        </r>
      </text>
    </comment>
    <comment ref="L746" authorId="2" shapeId="0" xr:uid="{94F0FEFD-7BF9-4E3A-956D-2A9EC6C96C2D}">
      <text>
        <r>
          <rPr>
            <sz val="8"/>
            <color indexed="81"/>
            <rFont val="Tahoma"/>
            <family val="2"/>
          </rPr>
          <t>Emissions from feedstocks and non-energy use of fuels are reported in "1.A.5  Other".</t>
        </r>
      </text>
    </comment>
    <comment ref="M746" authorId="2" shapeId="0" xr:uid="{423AFFC0-DB51-4311-B25C-17D37367ADA6}">
      <text>
        <r>
          <rPr>
            <sz val="8"/>
            <color indexed="81"/>
            <rFont val="Tahoma"/>
            <family val="2"/>
          </rPr>
          <t>Emissions from feedstocks and non-energy use of fuels are reported in "1.A.5  Other".</t>
        </r>
      </text>
    </comment>
    <comment ref="N746" authorId="2" shapeId="0" xr:uid="{3514D730-8A64-4BA0-A4CD-A17951B85FC7}">
      <text>
        <r>
          <rPr>
            <sz val="8"/>
            <color indexed="81"/>
            <rFont val="Tahoma"/>
            <family val="2"/>
          </rPr>
          <t>Emissions from feedstocks and non-energy use of fuels are reported in "1.A.5  Other".</t>
        </r>
      </text>
    </comment>
    <comment ref="O746" authorId="2" shapeId="0" xr:uid="{99885C57-C6CF-4BC6-B391-4C4A00E8293C}">
      <text>
        <r>
          <rPr>
            <sz val="8"/>
            <color indexed="81"/>
            <rFont val="Tahoma"/>
            <family val="2"/>
          </rPr>
          <t>Emissions from feedstocks and non-energy use of fuels are reported in "1.A.5  Other".</t>
        </r>
      </text>
    </comment>
    <comment ref="P746" authorId="2" shapeId="0" xr:uid="{39BECF2C-CE03-41AC-83BF-4FF13978BF50}">
      <text>
        <r>
          <rPr>
            <sz val="8"/>
            <color indexed="81"/>
            <rFont val="Tahoma"/>
            <family val="2"/>
          </rPr>
          <t>Emissions from feedstocks and non-energy use of fuels are reported in "1.A.5  Other".</t>
        </r>
      </text>
    </comment>
    <comment ref="Q746" authorId="2" shapeId="0" xr:uid="{E6BF5AA3-9658-41C0-8F24-03658DCCCB1B}">
      <text>
        <r>
          <rPr>
            <sz val="8"/>
            <color indexed="81"/>
            <rFont val="Tahoma"/>
            <family val="2"/>
          </rPr>
          <t>Emissions from feedstocks and non-energy use of fuels are reported in "1.A.5  Other".</t>
        </r>
      </text>
    </comment>
    <comment ref="R746" authorId="2" shapeId="0" xr:uid="{750A9B76-A461-4155-80B3-48E5C82BA128}">
      <text>
        <r>
          <rPr>
            <sz val="8"/>
            <color indexed="81"/>
            <rFont val="Tahoma"/>
            <family val="2"/>
          </rPr>
          <t>Emissions from feedstocks and non-energy use of fuels are reported in "1.A.5  Other".</t>
        </r>
      </text>
    </comment>
    <comment ref="S746" authorId="2" shapeId="0" xr:uid="{7C1ECED3-6CFC-4256-BE1B-4157C29C9B62}">
      <text>
        <r>
          <rPr>
            <sz val="8"/>
            <color indexed="81"/>
            <rFont val="Tahoma"/>
            <family val="2"/>
          </rPr>
          <t>Emissions from feedstocks and non-energy use of fuels are reported in "1.A.5  Other".</t>
        </r>
      </text>
    </comment>
    <comment ref="T746" authorId="2" shapeId="0" xr:uid="{1B679BA2-8AEA-475A-84D2-34FB7187027D}">
      <text>
        <r>
          <rPr>
            <sz val="8"/>
            <color indexed="81"/>
            <rFont val="Tahoma"/>
            <family val="2"/>
          </rPr>
          <t>Emissions from feedstocks and non-energy use of fuels are reported in "1.A.5  Other".</t>
        </r>
      </text>
    </comment>
    <comment ref="U746" authorId="2" shapeId="0" xr:uid="{491170D4-2115-4638-A818-FE6D607468B6}">
      <text>
        <r>
          <rPr>
            <sz val="8"/>
            <color indexed="81"/>
            <rFont val="Tahoma"/>
            <family val="2"/>
          </rPr>
          <t>Emissions from feedstocks and non-energy use of fuels are reported in "1.A.5  Other".</t>
        </r>
      </text>
    </comment>
    <comment ref="V746" authorId="2" shapeId="0" xr:uid="{C5127600-2835-43DE-9144-33F959014D0E}">
      <text>
        <r>
          <rPr>
            <sz val="8"/>
            <color indexed="81"/>
            <rFont val="Tahoma"/>
            <family val="2"/>
          </rPr>
          <t>Emissions from feedstocks and non-energy use of fuels are reported in "1.A.5  Other".</t>
        </r>
      </text>
    </comment>
    <comment ref="W746" authorId="2" shapeId="0" xr:uid="{4E4C3919-0D5A-4571-9265-D22A1B17845D}">
      <text>
        <r>
          <rPr>
            <sz val="8"/>
            <color indexed="81"/>
            <rFont val="Tahoma"/>
            <family val="2"/>
          </rPr>
          <t>Emissions from feedstocks and non-energy use of fuels are reported in "1.A.5  Other".</t>
        </r>
      </text>
    </comment>
    <comment ref="X746" authorId="2" shapeId="0" xr:uid="{9CABA027-9200-472D-83BA-0BBDEFBB4823}">
      <text>
        <r>
          <rPr>
            <sz val="8"/>
            <color indexed="81"/>
            <rFont val="Tahoma"/>
            <family val="2"/>
          </rPr>
          <t>Emissions from feedstocks and non-energy use of fuels are reported in "1.A.5  Other".</t>
        </r>
      </text>
    </comment>
    <comment ref="F747" authorId="2" shapeId="0" xr:uid="{5291CB77-0FCC-4DFA-9F35-14BA1A81A149}">
      <text>
        <r>
          <rPr>
            <sz val="8"/>
            <color indexed="81"/>
            <rFont val="Tahoma"/>
            <family val="2"/>
          </rPr>
          <t>Emissions from feedstocks and non-energy use of fuels are reported in "1.A.5  Other".</t>
        </r>
      </text>
    </comment>
    <comment ref="G747" authorId="2" shapeId="0" xr:uid="{7AEE4D8D-BFA1-4C05-BA5E-936F4AC3CF84}">
      <text>
        <r>
          <rPr>
            <sz val="8"/>
            <color indexed="81"/>
            <rFont val="Tahoma"/>
            <family val="2"/>
          </rPr>
          <t>Emissions from feedstocks and non-energy use of fuels are reported in "1.A.5  Other".</t>
        </r>
      </text>
    </comment>
    <comment ref="H747" authorId="2" shapeId="0" xr:uid="{D44CFF7A-A866-4951-B654-1D5F5B269EF6}">
      <text>
        <r>
          <rPr>
            <sz val="8"/>
            <color indexed="81"/>
            <rFont val="Tahoma"/>
            <family val="2"/>
          </rPr>
          <t>Emissions from feedstocks and non-energy use of fuels are reported in "1.A.5  Other".</t>
        </r>
      </text>
    </comment>
    <comment ref="I747" authorId="2" shapeId="0" xr:uid="{4B494C38-7CC2-40A7-8BB3-12AC91E4484E}">
      <text>
        <r>
          <rPr>
            <sz val="8"/>
            <color indexed="81"/>
            <rFont val="Tahoma"/>
            <family val="2"/>
          </rPr>
          <t>Emissions from feedstocks and non-energy use of fuels are reported in "1.A.5  Other".</t>
        </r>
      </text>
    </comment>
    <comment ref="J747" authorId="2" shapeId="0" xr:uid="{29590E9A-E895-4589-8BF5-4E7BE056572C}">
      <text>
        <r>
          <rPr>
            <sz val="8"/>
            <color indexed="81"/>
            <rFont val="Tahoma"/>
            <family val="2"/>
          </rPr>
          <t>Emissions from feedstocks and non-energy use of fuels are reported in "1.A.5  Other".</t>
        </r>
      </text>
    </comment>
    <comment ref="K747" authorId="2" shapeId="0" xr:uid="{98315416-1BCC-4646-8411-9A75991D0FED}">
      <text>
        <r>
          <rPr>
            <sz val="8"/>
            <color indexed="81"/>
            <rFont val="Tahoma"/>
            <family val="2"/>
          </rPr>
          <t>Emissions from feedstocks and non-energy use of fuels are reported in "1.A.5  Other".</t>
        </r>
      </text>
    </comment>
    <comment ref="L747" authorId="2" shapeId="0" xr:uid="{A1A03ECC-331D-4DD8-B67A-82E54B8F4CFD}">
      <text>
        <r>
          <rPr>
            <sz val="8"/>
            <color indexed="81"/>
            <rFont val="Tahoma"/>
            <family val="2"/>
          </rPr>
          <t>Emissions from feedstocks and non-energy use of fuels are reported in "1.A.5  Other".</t>
        </r>
      </text>
    </comment>
    <comment ref="M747" authorId="2" shapeId="0" xr:uid="{1C19C082-899E-4663-82E8-B764900CB7EC}">
      <text>
        <r>
          <rPr>
            <sz val="8"/>
            <color indexed="81"/>
            <rFont val="Tahoma"/>
            <family val="2"/>
          </rPr>
          <t>Emissions from feedstocks and non-energy use of fuels are reported in "1.A.5  Other".</t>
        </r>
      </text>
    </comment>
    <comment ref="N747" authorId="2" shapeId="0" xr:uid="{8101E6D3-BE71-4E4D-BDA7-1F6F33D0A139}">
      <text>
        <r>
          <rPr>
            <sz val="8"/>
            <color indexed="81"/>
            <rFont val="Tahoma"/>
            <family val="2"/>
          </rPr>
          <t>Emissions from feedstocks and non-energy use of fuels are reported in "1.A.5  Other".</t>
        </r>
      </text>
    </comment>
    <comment ref="O747" authorId="2" shapeId="0" xr:uid="{E991F256-5AF3-436D-89F3-AAFB2A9ABF0C}">
      <text>
        <r>
          <rPr>
            <sz val="8"/>
            <color indexed="81"/>
            <rFont val="Tahoma"/>
            <family val="2"/>
          </rPr>
          <t>Emissions from feedstocks and non-energy use of fuels are reported in "1.A.5  Other".</t>
        </r>
      </text>
    </comment>
    <comment ref="P747" authorId="2" shapeId="0" xr:uid="{4DCE27B4-0566-4233-AFAA-6F9652B7DD74}">
      <text>
        <r>
          <rPr>
            <sz val="8"/>
            <color indexed="81"/>
            <rFont val="Tahoma"/>
            <family val="2"/>
          </rPr>
          <t>Emissions from feedstocks and non-energy use of fuels are reported in "1.A.5  Other".</t>
        </r>
      </text>
    </comment>
    <comment ref="Q747" authorId="2" shapeId="0" xr:uid="{E35A9980-908A-4432-B194-A15931FE03AB}">
      <text>
        <r>
          <rPr>
            <sz val="8"/>
            <color indexed="81"/>
            <rFont val="Tahoma"/>
            <family val="2"/>
          </rPr>
          <t>Emissions from feedstocks and non-energy use of fuels are reported in "1.A.5  Other".</t>
        </r>
      </text>
    </comment>
    <comment ref="R747" authorId="2" shapeId="0" xr:uid="{AE47E44E-8286-428B-87A3-E1F1431F2577}">
      <text>
        <r>
          <rPr>
            <sz val="8"/>
            <color indexed="81"/>
            <rFont val="Tahoma"/>
            <family val="2"/>
          </rPr>
          <t>Emissions from feedstocks and non-energy use of fuels are reported in "1.A.5  Other".</t>
        </r>
      </text>
    </comment>
    <comment ref="S747" authorId="2" shapeId="0" xr:uid="{1F867CB1-BBE8-491E-8157-28FD651049DB}">
      <text>
        <r>
          <rPr>
            <sz val="8"/>
            <color indexed="81"/>
            <rFont val="Tahoma"/>
            <family val="2"/>
          </rPr>
          <t>Emissions from feedstocks and non-energy use of fuels are reported in "1.A.5  Other".</t>
        </r>
      </text>
    </comment>
    <comment ref="T747" authorId="2" shapeId="0" xr:uid="{1211FCBF-ACC4-43F6-82E4-E906E62022B4}">
      <text>
        <r>
          <rPr>
            <sz val="8"/>
            <color indexed="81"/>
            <rFont val="Tahoma"/>
            <family val="2"/>
          </rPr>
          <t>Emissions from feedstocks and non-energy use of fuels are reported in "1.A.5  Other".</t>
        </r>
      </text>
    </comment>
    <comment ref="U747" authorId="2" shapeId="0" xr:uid="{861C1748-8129-4320-B9BD-69E2D270453D}">
      <text>
        <r>
          <rPr>
            <sz val="8"/>
            <color indexed="81"/>
            <rFont val="Tahoma"/>
            <family val="2"/>
          </rPr>
          <t>Emissions from feedstocks and non-energy use of fuels are reported in "1.A.5  Other".</t>
        </r>
      </text>
    </comment>
    <comment ref="V747" authorId="2" shapeId="0" xr:uid="{9CF9F1A2-1DA3-47F7-B23E-F1EC950E738E}">
      <text>
        <r>
          <rPr>
            <sz val="8"/>
            <color indexed="81"/>
            <rFont val="Tahoma"/>
            <family val="2"/>
          </rPr>
          <t>Emissions from feedstocks and non-energy use of fuels are reported in "1.A.5  Other".</t>
        </r>
      </text>
    </comment>
    <comment ref="W747" authorId="2" shapeId="0" xr:uid="{1CBF3E0C-DAD3-44E4-B31B-43EB0A8B4054}">
      <text>
        <r>
          <rPr>
            <sz val="8"/>
            <color indexed="81"/>
            <rFont val="Tahoma"/>
            <family val="2"/>
          </rPr>
          <t>Emissions from feedstocks and non-energy use of fuels are reported in "1.A.5  Other".</t>
        </r>
      </text>
    </comment>
    <comment ref="X747" authorId="2" shapeId="0" xr:uid="{D20A83F7-A818-47FA-ADB7-E20ACED9AE56}">
      <text>
        <r>
          <rPr>
            <sz val="8"/>
            <color indexed="81"/>
            <rFont val="Tahoma"/>
            <family val="2"/>
          </rPr>
          <t>Emissions from feedstocks and non-energy use of fuels are reported in "1.A.5  Other".</t>
        </r>
      </text>
    </comment>
    <comment ref="F757" authorId="2" shapeId="0" xr:uid="{8101ACEF-27F0-44C2-B036-760A2DBEF93B}">
      <text>
        <r>
          <rPr>
            <sz val="8"/>
            <color indexed="81"/>
            <rFont val="Tahoma"/>
            <family val="2"/>
          </rPr>
          <t>Emissions from feedstocks and non-energy use of fuels are reported in "1.A.5  Other".</t>
        </r>
      </text>
    </comment>
    <comment ref="G757" authorId="2" shapeId="0" xr:uid="{DDE1639C-4BA9-4263-B91E-F14B6A604C4D}">
      <text>
        <r>
          <rPr>
            <sz val="8"/>
            <color indexed="81"/>
            <rFont val="Tahoma"/>
            <family val="2"/>
          </rPr>
          <t>Emissions from feedstocks and non-energy use of fuels are reported in "1.A.5  Other".</t>
        </r>
      </text>
    </comment>
    <comment ref="H757" authorId="2" shapeId="0" xr:uid="{DDAACD27-21AE-451F-A02B-A05EA0F8BB77}">
      <text>
        <r>
          <rPr>
            <sz val="8"/>
            <color indexed="81"/>
            <rFont val="Tahoma"/>
            <family val="2"/>
          </rPr>
          <t>Emissions from feedstocks and non-energy use of fuels are reported in "1.A.5  Other".</t>
        </r>
      </text>
    </comment>
    <comment ref="I757" authorId="2" shapeId="0" xr:uid="{A2E68B6D-39B9-402D-AA4F-6BD1B798D0D1}">
      <text>
        <r>
          <rPr>
            <sz val="8"/>
            <color indexed="81"/>
            <rFont val="Tahoma"/>
            <family val="2"/>
          </rPr>
          <t>Emissions from feedstocks and non-energy use of fuels are reported in "1.A.5  Other".</t>
        </r>
      </text>
    </comment>
    <comment ref="J757" authorId="2" shapeId="0" xr:uid="{FB99EDFC-2E6A-4257-A1A5-0721401240F1}">
      <text>
        <r>
          <rPr>
            <sz val="8"/>
            <color indexed="81"/>
            <rFont val="Tahoma"/>
            <family val="2"/>
          </rPr>
          <t>Emissions from feedstocks and non-energy use of fuels are reported in "1.A.5  Other".</t>
        </r>
      </text>
    </comment>
    <comment ref="K757" authorId="2" shapeId="0" xr:uid="{4B27E356-1057-4196-A74B-41B3753E4A56}">
      <text>
        <r>
          <rPr>
            <sz val="8"/>
            <color indexed="81"/>
            <rFont val="Tahoma"/>
            <family val="2"/>
          </rPr>
          <t>Emissions from feedstocks and non-energy use of fuels are reported in "1.A.5  Other".</t>
        </r>
      </text>
    </comment>
    <comment ref="L757" authorId="2" shapeId="0" xr:uid="{617663A5-CAC6-4FA9-91F6-85874E70AC3D}">
      <text>
        <r>
          <rPr>
            <sz val="8"/>
            <color indexed="81"/>
            <rFont val="Tahoma"/>
            <family val="2"/>
          </rPr>
          <t>Emissions from feedstocks and non-energy use of fuels are reported in "1.A.5  Other".</t>
        </r>
      </text>
    </comment>
    <comment ref="M757" authorId="2" shapeId="0" xr:uid="{BF6B2800-49A0-4C6B-8FB0-563B5FCD382F}">
      <text>
        <r>
          <rPr>
            <sz val="8"/>
            <color indexed="81"/>
            <rFont val="Tahoma"/>
            <family val="2"/>
          </rPr>
          <t>Emissions from feedstocks and non-energy use of fuels are reported in "1.A.5  Other".</t>
        </r>
      </text>
    </comment>
    <comment ref="N757" authorId="2" shapeId="0" xr:uid="{AF22DE98-DF8F-49DC-A061-D640E03D5356}">
      <text>
        <r>
          <rPr>
            <sz val="8"/>
            <color indexed="81"/>
            <rFont val="Tahoma"/>
            <family val="2"/>
          </rPr>
          <t>Emissions from feedstocks and non-energy use of fuels are reported in "1.A.5  Other".</t>
        </r>
      </text>
    </comment>
    <comment ref="O757" authorId="2" shapeId="0" xr:uid="{2D8FE71B-DD87-4A7B-9DD1-0C8A065A5BB8}">
      <text>
        <r>
          <rPr>
            <sz val="8"/>
            <color indexed="81"/>
            <rFont val="Tahoma"/>
            <family val="2"/>
          </rPr>
          <t>Emissions from feedstocks and non-energy use of fuels are reported in "1.A.5  Other".</t>
        </r>
      </text>
    </comment>
    <comment ref="P757" authorId="2" shapeId="0" xr:uid="{9D1B7448-43FA-4BBF-A5CB-5BF14251009C}">
      <text>
        <r>
          <rPr>
            <sz val="8"/>
            <color indexed="81"/>
            <rFont val="Tahoma"/>
            <family val="2"/>
          </rPr>
          <t>Emissions from feedstocks and non-energy use of fuels are reported in "1.A.5  Other".</t>
        </r>
      </text>
    </comment>
    <comment ref="Q757" authorId="2" shapeId="0" xr:uid="{23C9B650-92CF-4480-868F-FAA0AD64D51D}">
      <text>
        <r>
          <rPr>
            <sz val="8"/>
            <color indexed="81"/>
            <rFont val="Tahoma"/>
            <family val="2"/>
          </rPr>
          <t>Emissions from feedstocks and non-energy use of fuels are reported in "1.A.5  Other".</t>
        </r>
      </text>
    </comment>
    <comment ref="R757" authorId="2" shapeId="0" xr:uid="{E8CF5725-A762-44CD-99F4-E69BF68F4F7F}">
      <text>
        <r>
          <rPr>
            <sz val="8"/>
            <color indexed="81"/>
            <rFont val="Tahoma"/>
            <family val="2"/>
          </rPr>
          <t>Emissions from feedstocks and non-energy use of fuels are reported in "1.A.5  Other".</t>
        </r>
      </text>
    </comment>
    <comment ref="S757" authorId="2" shapeId="0" xr:uid="{E185E670-CFC2-4F57-83C4-D78B2AEB2EC4}">
      <text>
        <r>
          <rPr>
            <sz val="8"/>
            <color indexed="81"/>
            <rFont val="Tahoma"/>
            <family val="2"/>
          </rPr>
          <t>Emissions from feedstocks and non-energy use of fuels are reported in "1.A.5  Other".</t>
        </r>
      </text>
    </comment>
    <comment ref="T757" authorId="2" shapeId="0" xr:uid="{DCD96A15-FBCC-4786-9791-571A6BFFF33F}">
      <text>
        <r>
          <rPr>
            <sz val="8"/>
            <color indexed="81"/>
            <rFont val="Tahoma"/>
            <family val="2"/>
          </rPr>
          <t>Emissions from feedstocks and non-energy use of fuels are reported in "1.A.5  Other".</t>
        </r>
      </text>
    </comment>
    <comment ref="U757" authorId="2" shapeId="0" xr:uid="{2441DBBD-89B2-4D0C-A6D0-BC8375DC505E}">
      <text>
        <r>
          <rPr>
            <sz val="8"/>
            <color indexed="81"/>
            <rFont val="Tahoma"/>
            <family val="2"/>
          </rPr>
          <t>Emissions from feedstocks and non-energy use of fuels are reported in "1.A.5  Other".</t>
        </r>
      </text>
    </comment>
    <comment ref="V757" authorId="2" shapeId="0" xr:uid="{38E095CC-E777-4B88-A56F-0B02F9D77624}">
      <text>
        <r>
          <rPr>
            <sz val="8"/>
            <color indexed="81"/>
            <rFont val="Tahoma"/>
            <family val="2"/>
          </rPr>
          <t>Emissions from feedstocks and non-energy use of fuels are reported in "1.A.5  Other".</t>
        </r>
      </text>
    </comment>
    <comment ref="W757" authorId="2" shapeId="0" xr:uid="{72A3AF0C-33EE-4369-9DF9-157BAB3FBEC4}">
      <text>
        <r>
          <rPr>
            <sz val="8"/>
            <color indexed="81"/>
            <rFont val="Tahoma"/>
            <family val="2"/>
          </rPr>
          <t>Emissions from feedstocks and non-energy use of fuels are reported in "1.A.5  Other".</t>
        </r>
      </text>
    </comment>
    <comment ref="X757" authorId="2" shapeId="0" xr:uid="{EB6F2B72-DAF8-4677-8980-3913735C72B2}">
      <text>
        <r>
          <rPr>
            <sz val="8"/>
            <color indexed="81"/>
            <rFont val="Tahoma"/>
            <family val="2"/>
          </rPr>
          <t>Emissions from feedstocks and non-energy use of fuels are reported in "1.A.5  Other".</t>
        </r>
      </text>
    </comment>
    <comment ref="F776" authorId="2" shapeId="0" xr:uid="{153D66A3-709C-418D-9CD8-82F20FA0C400}">
      <text>
        <r>
          <rPr>
            <sz val="8"/>
            <color indexed="81"/>
            <rFont val="Tahoma"/>
            <family val="2"/>
          </rPr>
          <t>Emissions from feedstocks and non-energy use of fuels are reported in "1.A.5  Other".</t>
        </r>
      </text>
    </comment>
    <comment ref="G776" authorId="2" shapeId="0" xr:uid="{C989245E-17EC-4388-BB3E-4ACE60E4D13A}">
      <text>
        <r>
          <rPr>
            <sz val="8"/>
            <color indexed="81"/>
            <rFont val="Tahoma"/>
            <family val="2"/>
          </rPr>
          <t>Emissions from feedstocks and non-energy use of fuels are reported in "1.A.5  Other".</t>
        </r>
      </text>
    </comment>
    <comment ref="H776" authorId="2" shapeId="0" xr:uid="{A4E68098-86D6-4F5F-B23A-B8F8F6C51FD5}">
      <text>
        <r>
          <rPr>
            <sz val="8"/>
            <color indexed="81"/>
            <rFont val="Tahoma"/>
            <family val="2"/>
          </rPr>
          <t>Emissions from feedstocks and non-energy use of fuels are reported in "1.A.5  Other".</t>
        </r>
      </text>
    </comment>
    <comment ref="I776" authorId="2" shapeId="0" xr:uid="{CE3CBDB2-7083-4216-B3CF-5D50917B4C48}">
      <text>
        <r>
          <rPr>
            <sz val="8"/>
            <color indexed="81"/>
            <rFont val="Tahoma"/>
            <family val="2"/>
          </rPr>
          <t>Emissions from feedstocks and non-energy use of fuels are reported in "1.A.5  Other".</t>
        </r>
      </text>
    </comment>
    <comment ref="J776" authorId="2" shapeId="0" xr:uid="{BB85C0A8-34D4-4814-B839-A37DAD4DAB9F}">
      <text>
        <r>
          <rPr>
            <sz val="8"/>
            <color indexed="81"/>
            <rFont val="Tahoma"/>
            <family val="2"/>
          </rPr>
          <t>Emissions from feedstocks and non-energy use of fuels are reported in "1.A.5  Other".</t>
        </r>
      </text>
    </comment>
    <comment ref="K776" authorId="2" shapeId="0" xr:uid="{038E8CF9-82B2-4454-AC13-EC98BEF2B0FD}">
      <text>
        <r>
          <rPr>
            <sz val="8"/>
            <color indexed="81"/>
            <rFont val="Tahoma"/>
            <family val="2"/>
          </rPr>
          <t>Emissions from feedstocks and non-energy use of fuels are reported in "1.A.5  Other".</t>
        </r>
      </text>
    </comment>
    <comment ref="L776" authorId="2" shapeId="0" xr:uid="{5E5CED50-4A0C-4455-A7AA-A045D869209D}">
      <text>
        <r>
          <rPr>
            <sz val="8"/>
            <color indexed="81"/>
            <rFont val="Tahoma"/>
            <family val="2"/>
          </rPr>
          <t>Emissions from feedstocks and non-energy use of fuels are reported in "1.A.5  Other".</t>
        </r>
      </text>
    </comment>
    <comment ref="M776" authorId="2" shapeId="0" xr:uid="{CD20F3F8-FBCC-4D9F-A189-0462127461EB}">
      <text>
        <r>
          <rPr>
            <sz val="8"/>
            <color indexed="81"/>
            <rFont val="Tahoma"/>
            <family val="2"/>
          </rPr>
          <t>Emissions from feedstocks and non-energy use of fuels are reported in "1.A.5  Other".</t>
        </r>
      </text>
    </comment>
    <comment ref="N776" authorId="2" shapeId="0" xr:uid="{1780F39A-243A-4641-A465-EF6581EFC908}">
      <text>
        <r>
          <rPr>
            <sz val="8"/>
            <color indexed="81"/>
            <rFont val="Tahoma"/>
            <family val="2"/>
          </rPr>
          <t>Emissions from feedstocks and non-energy use of fuels are reported in "1.A.5  Other".</t>
        </r>
      </text>
    </comment>
    <comment ref="O776" authorId="2" shapeId="0" xr:uid="{43573103-9F94-42DA-B93C-E03777DAB2F8}">
      <text>
        <r>
          <rPr>
            <sz val="8"/>
            <color indexed="81"/>
            <rFont val="Tahoma"/>
            <family val="2"/>
          </rPr>
          <t>Emissions from feedstocks and non-energy use of fuels are reported in "1.A.5  Other".</t>
        </r>
      </text>
    </comment>
    <comment ref="P776" authorId="2" shapeId="0" xr:uid="{C775F545-F815-4868-8E0A-50F5DB0FC591}">
      <text>
        <r>
          <rPr>
            <sz val="8"/>
            <color indexed="81"/>
            <rFont val="Tahoma"/>
            <family val="2"/>
          </rPr>
          <t>Emissions from feedstocks and non-energy use of fuels are reported in "1.A.5  Other".</t>
        </r>
      </text>
    </comment>
    <comment ref="Q776" authorId="2" shapeId="0" xr:uid="{17CCBFC1-2DDD-4C68-9F44-DA246030EB5A}">
      <text>
        <r>
          <rPr>
            <sz val="8"/>
            <color indexed="81"/>
            <rFont val="Tahoma"/>
            <family val="2"/>
          </rPr>
          <t>Emissions from feedstocks and non-energy use of fuels are reported in "1.A.5  Other".</t>
        </r>
      </text>
    </comment>
    <comment ref="R776" authorId="2" shapeId="0" xr:uid="{DF485D85-C383-43E5-8366-8E5E5FABDCF9}">
      <text>
        <r>
          <rPr>
            <sz val="8"/>
            <color indexed="81"/>
            <rFont val="Tahoma"/>
            <family val="2"/>
          </rPr>
          <t>Emissions from feedstocks and non-energy use of fuels are reported in "1.A.5  Other".</t>
        </r>
      </text>
    </comment>
    <comment ref="S776" authorId="2" shapeId="0" xr:uid="{F36B5BA8-2F77-474A-B0B9-6316B3609F43}">
      <text>
        <r>
          <rPr>
            <sz val="8"/>
            <color indexed="81"/>
            <rFont val="Tahoma"/>
            <family val="2"/>
          </rPr>
          <t>Emissions from feedstocks and non-energy use of fuels are reported in "1.A.5  Other".</t>
        </r>
      </text>
    </comment>
    <comment ref="T776" authorId="2" shapeId="0" xr:uid="{03625583-AA5E-476D-B1FD-10F71D9EA2E9}">
      <text>
        <r>
          <rPr>
            <sz val="8"/>
            <color indexed="81"/>
            <rFont val="Tahoma"/>
            <family val="2"/>
          </rPr>
          <t>Emissions from feedstocks and non-energy use of fuels are reported in "1.A.5  Other".</t>
        </r>
      </text>
    </comment>
    <comment ref="U776" authorId="2" shapeId="0" xr:uid="{EACDD2B6-6E49-4772-A238-CCCCE27FD700}">
      <text>
        <r>
          <rPr>
            <sz val="8"/>
            <color indexed="81"/>
            <rFont val="Tahoma"/>
            <family val="2"/>
          </rPr>
          <t>Emissions from feedstocks and non-energy use of fuels are reported in "1.A.5  Other".</t>
        </r>
      </text>
    </comment>
    <comment ref="V776" authorId="2" shapeId="0" xr:uid="{CBFDBC0E-738A-4A98-91BE-CA4AB678D63D}">
      <text>
        <r>
          <rPr>
            <sz val="8"/>
            <color indexed="81"/>
            <rFont val="Tahoma"/>
            <family val="2"/>
          </rPr>
          <t>Emissions from feedstocks and non-energy use of fuels are reported in "1.A.5  Other".</t>
        </r>
      </text>
    </comment>
    <comment ref="W776" authorId="2" shapeId="0" xr:uid="{234D9AD1-2676-4B48-B833-7663B40E7018}">
      <text>
        <r>
          <rPr>
            <sz val="8"/>
            <color indexed="81"/>
            <rFont val="Tahoma"/>
            <family val="2"/>
          </rPr>
          <t>Emissions from feedstocks and non-energy use of fuels are reported in "1.A.5  Other".</t>
        </r>
      </text>
    </comment>
    <comment ref="X776" authorId="2" shapeId="0" xr:uid="{C653BA79-83C3-4DD7-BFBA-F2F784126ABF}">
      <text>
        <r>
          <rPr>
            <sz val="8"/>
            <color indexed="81"/>
            <rFont val="Tahoma"/>
            <family val="2"/>
          </rPr>
          <t>Emissions from feedstocks and non-energy use of fuels are reported in "1.A.5  Other".</t>
        </r>
      </text>
    </comment>
    <comment ref="F777" authorId="2" shapeId="0" xr:uid="{E1B5A806-7A92-4E54-83FD-C5483FE1141F}">
      <text>
        <r>
          <rPr>
            <sz val="8"/>
            <color indexed="81"/>
            <rFont val="Tahoma"/>
            <family val="2"/>
          </rPr>
          <t>Emissions from feedstocks and non-energy use of fuels are reported in "1.A.5  Other".</t>
        </r>
      </text>
    </comment>
    <comment ref="G777" authorId="2" shapeId="0" xr:uid="{93A46D19-BC2A-4DAE-A129-E2884D0B75C3}">
      <text>
        <r>
          <rPr>
            <sz val="8"/>
            <color indexed="81"/>
            <rFont val="Tahoma"/>
            <family val="2"/>
          </rPr>
          <t>Emissions from feedstocks and non-energy use of fuels are reported in "1.A.5  Other".</t>
        </r>
      </text>
    </comment>
    <comment ref="H777" authorId="2" shapeId="0" xr:uid="{384369CB-6674-402A-8C39-F34B92F2160E}">
      <text>
        <r>
          <rPr>
            <sz val="8"/>
            <color indexed="81"/>
            <rFont val="Tahoma"/>
            <family val="2"/>
          </rPr>
          <t>Emissions from feedstocks and non-energy use of fuels are reported in "1.A.5  Other".</t>
        </r>
      </text>
    </comment>
    <comment ref="I777" authorId="2" shapeId="0" xr:uid="{7BBE557C-D0E8-4574-B25C-22669E22145D}">
      <text>
        <r>
          <rPr>
            <sz val="8"/>
            <color indexed="81"/>
            <rFont val="Tahoma"/>
            <family val="2"/>
          </rPr>
          <t>Emissions from feedstocks and non-energy use of fuels are reported in "1.A.5  Other".</t>
        </r>
      </text>
    </comment>
    <comment ref="J777" authorId="2" shapeId="0" xr:uid="{4A50AA84-C9A2-4A45-9C15-FFAF3148EE58}">
      <text>
        <r>
          <rPr>
            <sz val="8"/>
            <color indexed="81"/>
            <rFont val="Tahoma"/>
            <family val="2"/>
          </rPr>
          <t>Emissions from feedstocks and non-energy use of fuels are reported in "1.A.5  Other".</t>
        </r>
      </text>
    </comment>
    <comment ref="K777" authorId="2" shapeId="0" xr:uid="{0D76A817-50E7-4976-816B-1FABA29731D1}">
      <text>
        <r>
          <rPr>
            <sz val="8"/>
            <color indexed="81"/>
            <rFont val="Tahoma"/>
            <family val="2"/>
          </rPr>
          <t>Emissions from feedstocks and non-energy use of fuels are reported in "1.A.5  Other".</t>
        </r>
      </text>
    </comment>
    <comment ref="L777" authorId="2" shapeId="0" xr:uid="{288E0104-7F7B-4C9A-824C-941FC10DE800}">
      <text>
        <r>
          <rPr>
            <sz val="8"/>
            <color indexed="81"/>
            <rFont val="Tahoma"/>
            <family val="2"/>
          </rPr>
          <t>Emissions from feedstocks and non-energy use of fuels are reported in "1.A.5  Other".</t>
        </r>
      </text>
    </comment>
    <comment ref="M777" authorId="2" shapeId="0" xr:uid="{C09AB834-F5CA-4813-85C6-02AA8CD5ED2F}">
      <text>
        <r>
          <rPr>
            <sz val="8"/>
            <color indexed="81"/>
            <rFont val="Tahoma"/>
            <family val="2"/>
          </rPr>
          <t>Emissions from feedstocks and non-energy use of fuels are reported in "1.A.5  Other".</t>
        </r>
      </text>
    </comment>
    <comment ref="N777" authorId="2" shapeId="0" xr:uid="{BD66F92C-C082-4CEE-9FFF-C26A97A08424}">
      <text>
        <r>
          <rPr>
            <sz val="8"/>
            <color indexed="81"/>
            <rFont val="Tahoma"/>
            <family val="2"/>
          </rPr>
          <t>Emissions from feedstocks and non-energy use of fuels are reported in "1.A.5  Other".</t>
        </r>
      </text>
    </comment>
    <comment ref="O777" authorId="2" shapeId="0" xr:uid="{6139E6A4-B7C8-4413-9DA2-BDF5B8A970C1}">
      <text>
        <r>
          <rPr>
            <sz val="8"/>
            <color indexed="81"/>
            <rFont val="Tahoma"/>
            <family val="2"/>
          </rPr>
          <t>Emissions from feedstocks and non-energy use of fuels are reported in "1.A.5  Other".</t>
        </r>
      </text>
    </comment>
    <comment ref="P777" authorId="2" shapeId="0" xr:uid="{BD1EB5A2-73BB-4E0C-8297-A474BA78119E}">
      <text>
        <r>
          <rPr>
            <sz val="8"/>
            <color indexed="81"/>
            <rFont val="Tahoma"/>
            <family val="2"/>
          </rPr>
          <t>Emissions from feedstocks and non-energy use of fuels are reported in "1.A.5  Other".</t>
        </r>
      </text>
    </comment>
    <comment ref="Q777" authorId="2" shapeId="0" xr:uid="{8F87B78A-6302-46D4-9D05-6C2B4825D7EF}">
      <text>
        <r>
          <rPr>
            <sz val="8"/>
            <color indexed="81"/>
            <rFont val="Tahoma"/>
            <family val="2"/>
          </rPr>
          <t>Emissions from feedstocks and non-energy use of fuels are reported in "1.A.5  Other".</t>
        </r>
      </text>
    </comment>
    <comment ref="R777" authorId="2" shapeId="0" xr:uid="{A9CE081F-56D2-4EF5-B677-A1AFC620DCCB}">
      <text>
        <r>
          <rPr>
            <sz val="8"/>
            <color indexed="81"/>
            <rFont val="Tahoma"/>
            <family val="2"/>
          </rPr>
          <t>Emissions from feedstocks and non-energy use of fuels are reported in "1.A.5  Other".</t>
        </r>
      </text>
    </comment>
    <comment ref="S777" authorId="2" shapeId="0" xr:uid="{451C60C7-41A1-4B3D-9DED-DAD9A8417491}">
      <text>
        <r>
          <rPr>
            <sz val="8"/>
            <color indexed="81"/>
            <rFont val="Tahoma"/>
            <family val="2"/>
          </rPr>
          <t>Emissions from feedstocks and non-energy use of fuels are reported in "1.A.5  Other".</t>
        </r>
      </text>
    </comment>
    <comment ref="T777" authorId="2" shapeId="0" xr:uid="{037A93BC-2918-4328-84B7-25C23880D1E4}">
      <text>
        <r>
          <rPr>
            <sz val="8"/>
            <color indexed="81"/>
            <rFont val="Tahoma"/>
            <family val="2"/>
          </rPr>
          <t>Emissions from feedstocks and non-energy use of fuels are reported in "1.A.5  Other".</t>
        </r>
      </text>
    </comment>
    <comment ref="U777" authorId="2" shapeId="0" xr:uid="{B175E434-210E-412E-A505-00CA40422BA3}">
      <text>
        <r>
          <rPr>
            <sz val="8"/>
            <color indexed="81"/>
            <rFont val="Tahoma"/>
            <family val="2"/>
          </rPr>
          <t>Emissions from feedstocks and non-energy use of fuels are reported in "1.A.5  Other".</t>
        </r>
      </text>
    </comment>
    <comment ref="V777" authorId="2" shapeId="0" xr:uid="{81A7757C-A520-40E9-A744-DC9BC617D6B6}">
      <text>
        <r>
          <rPr>
            <sz val="8"/>
            <color indexed="81"/>
            <rFont val="Tahoma"/>
            <family val="2"/>
          </rPr>
          <t>Emissions from feedstocks and non-energy use of fuels are reported in "1.A.5  Other".</t>
        </r>
      </text>
    </comment>
    <comment ref="W777" authorId="2" shapeId="0" xr:uid="{813C7F89-1500-4374-87EA-4917AD9A8D78}">
      <text>
        <r>
          <rPr>
            <sz val="8"/>
            <color indexed="81"/>
            <rFont val="Tahoma"/>
            <family val="2"/>
          </rPr>
          <t>Emissions from feedstocks and non-energy use of fuels are reported in "1.A.5  Other".</t>
        </r>
      </text>
    </comment>
    <comment ref="X777" authorId="2" shapeId="0" xr:uid="{F5B5A635-7526-4123-BDBD-ABC52B7CFF2F}">
      <text>
        <r>
          <rPr>
            <sz val="8"/>
            <color indexed="81"/>
            <rFont val="Tahoma"/>
            <family val="2"/>
          </rPr>
          <t>Emissions from feedstocks and non-energy use of fuels are reported in "1.A.5  Other".</t>
        </r>
      </text>
    </comment>
    <comment ref="F778" authorId="2" shapeId="0" xr:uid="{682FABD0-F40C-4F06-8A4B-06EA7C9E6428}">
      <text>
        <r>
          <rPr>
            <sz val="8"/>
            <color indexed="81"/>
            <rFont val="Tahoma"/>
            <family val="2"/>
          </rPr>
          <t>Emissions from feedstocks and non-energy use of fuels are reported in "1.A.5  Other".</t>
        </r>
      </text>
    </comment>
    <comment ref="G778" authorId="2" shapeId="0" xr:uid="{11D0B0B2-81F4-4D20-9D99-D6A581CB52D4}">
      <text>
        <r>
          <rPr>
            <sz val="8"/>
            <color indexed="81"/>
            <rFont val="Tahoma"/>
            <family val="2"/>
          </rPr>
          <t>Emissions from feedstocks and non-energy use of fuels are reported in "1.A.5  Other".</t>
        </r>
      </text>
    </comment>
    <comment ref="H778" authorId="2" shapeId="0" xr:uid="{15311D9A-B23F-42DC-BA5A-76BC19A14C4F}">
      <text>
        <r>
          <rPr>
            <sz val="8"/>
            <color indexed="81"/>
            <rFont val="Tahoma"/>
            <family val="2"/>
          </rPr>
          <t>Emissions from feedstocks and non-energy use of fuels are reported in "1.A.5  Other".</t>
        </r>
      </text>
    </comment>
    <comment ref="I778" authorId="2" shapeId="0" xr:uid="{00BBF2E2-81FD-469F-B36F-A26BC1965087}">
      <text>
        <r>
          <rPr>
            <sz val="8"/>
            <color indexed="81"/>
            <rFont val="Tahoma"/>
            <family val="2"/>
          </rPr>
          <t>Emissions from feedstocks and non-energy use of fuels are reported in "1.A.5  Other".</t>
        </r>
      </text>
    </comment>
    <comment ref="J778" authorId="2" shapeId="0" xr:uid="{4C6DC092-539E-487A-9810-D24D20F0D761}">
      <text>
        <r>
          <rPr>
            <sz val="8"/>
            <color indexed="81"/>
            <rFont val="Tahoma"/>
            <family val="2"/>
          </rPr>
          <t>Emissions from feedstocks and non-energy use of fuels are reported in "1.A.5  Other".</t>
        </r>
      </text>
    </comment>
    <comment ref="K778" authorId="2" shapeId="0" xr:uid="{61E52FAB-E0CF-4801-9B73-09F9657C5C3F}">
      <text>
        <r>
          <rPr>
            <sz val="8"/>
            <color indexed="81"/>
            <rFont val="Tahoma"/>
            <family val="2"/>
          </rPr>
          <t>Emissions from feedstocks and non-energy use of fuels are reported in "1.A.5  Other".</t>
        </r>
      </text>
    </comment>
    <comment ref="L778" authorId="2" shapeId="0" xr:uid="{E1B4F8D7-FA06-4301-93CA-C1893EC5B6D7}">
      <text>
        <r>
          <rPr>
            <sz val="8"/>
            <color indexed="81"/>
            <rFont val="Tahoma"/>
            <family val="2"/>
          </rPr>
          <t>Emissions from feedstocks and non-energy use of fuels are reported in "1.A.5  Other".</t>
        </r>
      </text>
    </comment>
    <comment ref="M778" authorId="2" shapeId="0" xr:uid="{3786CE2F-AE89-4462-B2B6-887312D1E5BA}">
      <text>
        <r>
          <rPr>
            <sz val="8"/>
            <color indexed="81"/>
            <rFont val="Tahoma"/>
            <family val="2"/>
          </rPr>
          <t>Emissions from feedstocks and non-energy use of fuels are reported in "1.A.5  Other".</t>
        </r>
      </text>
    </comment>
    <comment ref="N778" authorId="2" shapeId="0" xr:uid="{3D28F13F-850A-4FE8-9072-B270B98D505B}">
      <text>
        <r>
          <rPr>
            <sz val="8"/>
            <color indexed="81"/>
            <rFont val="Tahoma"/>
            <family val="2"/>
          </rPr>
          <t>Emissions from feedstocks and non-energy use of fuels are reported in "1.A.5  Other".</t>
        </r>
      </text>
    </comment>
    <comment ref="O778" authorId="2" shapeId="0" xr:uid="{9308F3CF-4059-415A-BC00-9F07CD483CF1}">
      <text>
        <r>
          <rPr>
            <sz val="8"/>
            <color indexed="81"/>
            <rFont val="Tahoma"/>
            <family val="2"/>
          </rPr>
          <t>Emissions from feedstocks and non-energy use of fuels are reported in "1.A.5  Other".</t>
        </r>
      </text>
    </comment>
    <comment ref="P778" authorId="2" shapeId="0" xr:uid="{B2503847-7E2C-4C7D-81DE-5C3108C1406C}">
      <text>
        <r>
          <rPr>
            <sz val="8"/>
            <color indexed="81"/>
            <rFont val="Tahoma"/>
            <family val="2"/>
          </rPr>
          <t>Emissions from feedstocks and non-energy use of fuels are reported in "1.A.5  Other".</t>
        </r>
      </text>
    </comment>
    <comment ref="Q778" authorId="2" shapeId="0" xr:uid="{B831F7C3-7BB1-43AA-BDA9-32BC3B692DC2}">
      <text>
        <r>
          <rPr>
            <sz val="8"/>
            <color indexed="81"/>
            <rFont val="Tahoma"/>
            <family val="2"/>
          </rPr>
          <t>Emissions from feedstocks and non-energy use of fuels are reported in "1.A.5  Other".</t>
        </r>
      </text>
    </comment>
    <comment ref="R778" authorId="2" shapeId="0" xr:uid="{D1029976-8366-4264-AC09-BE9C38BC9FC2}">
      <text>
        <r>
          <rPr>
            <sz val="8"/>
            <color indexed="81"/>
            <rFont val="Tahoma"/>
            <family val="2"/>
          </rPr>
          <t>Emissions from feedstocks and non-energy use of fuels are reported in "1.A.5  Other".</t>
        </r>
      </text>
    </comment>
    <comment ref="S778" authorId="2" shapeId="0" xr:uid="{1B3EB514-FE4D-4B4F-9531-69E13963DC40}">
      <text>
        <r>
          <rPr>
            <sz val="8"/>
            <color indexed="81"/>
            <rFont val="Tahoma"/>
            <family val="2"/>
          </rPr>
          <t>Emissions from feedstocks and non-energy use of fuels are reported in "1.A.5  Other".</t>
        </r>
      </text>
    </comment>
    <comment ref="T778" authorId="2" shapeId="0" xr:uid="{EDD9A1FA-9EA4-4CE2-BEF0-68500CB64679}">
      <text>
        <r>
          <rPr>
            <sz val="8"/>
            <color indexed="81"/>
            <rFont val="Tahoma"/>
            <family val="2"/>
          </rPr>
          <t>Emissions from feedstocks and non-energy use of fuels are reported in "1.A.5  Other".</t>
        </r>
      </text>
    </comment>
    <comment ref="U778" authorId="2" shapeId="0" xr:uid="{334AE854-A910-48A4-A8B0-5A853C889F68}">
      <text>
        <r>
          <rPr>
            <sz val="8"/>
            <color indexed="81"/>
            <rFont val="Tahoma"/>
            <family val="2"/>
          </rPr>
          <t>Emissions from feedstocks and non-energy use of fuels are reported in "1.A.5  Other".</t>
        </r>
      </text>
    </comment>
    <comment ref="V778" authorId="2" shapeId="0" xr:uid="{0A56E046-FF75-4207-AA9D-BDFCB60394E9}">
      <text>
        <r>
          <rPr>
            <sz val="8"/>
            <color indexed="81"/>
            <rFont val="Tahoma"/>
            <family val="2"/>
          </rPr>
          <t>Emissions from feedstocks and non-energy use of fuels are reported in "1.A.5  Other".</t>
        </r>
      </text>
    </comment>
    <comment ref="W778" authorId="2" shapeId="0" xr:uid="{4368E3AE-F51D-42A5-9399-61C6054F1F68}">
      <text>
        <r>
          <rPr>
            <sz val="8"/>
            <color indexed="81"/>
            <rFont val="Tahoma"/>
            <family val="2"/>
          </rPr>
          <t>Emissions from feedstocks and non-energy use of fuels are reported in "1.A.5  Other".</t>
        </r>
      </text>
    </comment>
    <comment ref="X778" authorId="2" shapeId="0" xr:uid="{06F3C5DF-0D79-42E4-B97B-FDE9F6AA7655}">
      <text>
        <r>
          <rPr>
            <sz val="8"/>
            <color indexed="81"/>
            <rFont val="Tahoma"/>
            <family val="2"/>
          </rPr>
          <t>Emissions from feedstocks and non-energy use of fuels are reported in "1.A.5  Other".</t>
        </r>
      </text>
    </comment>
    <comment ref="F800" authorId="2" shapeId="0" xr:uid="{29BEC7DD-2D78-47A0-8F58-8C0E45F1618F}">
      <text>
        <r>
          <rPr>
            <sz val="8"/>
            <color indexed="81"/>
            <rFont val="Tahoma"/>
            <family val="2"/>
          </rPr>
          <t>Emissions from feedstocks and non-energy use of fuels are reported in "1.A.5  Other".</t>
        </r>
      </text>
    </comment>
    <comment ref="G800" authorId="2" shapeId="0" xr:uid="{DE395C24-D407-4DE7-8454-C4434660CF22}">
      <text>
        <r>
          <rPr>
            <sz val="8"/>
            <color indexed="81"/>
            <rFont val="Tahoma"/>
            <family val="2"/>
          </rPr>
          <t>Emissions from feedstocks and non-energy use of fuels are reported in "1.A.5  Other".</t>
        </r>
      </text>
    </comment>
    <comment ref="H800" authorId="2" shapeId="0" xr:uid="{30264B79-FC78-401C-99FD-76F1E0C20437}">
      <text>
        <r>
          <rPr>
            <sz val="8"/>
            <color indexed="81"/>
            <rFont val="Tahoma"/>
            <family val="2"/>
          </rPr>
          <t>Emissions from feedstocks and non-energy use of fuels are reported in "1.A.5  Other".</t>
        </r>
      </text>
    </comment>
    <comment ref="I800" authorId="2" shapeId="0" xr:uid="{4EADF2D5-EFF0-427F-B9A0-A819360A128C}">
      <text>
        <r>
          <rPr>
            <sz val="8"/>
            <color indexed="81"/>
            <rFont val="Tahoma"/>
            <family val="2"/>
          </rPr>
          <t>Emissions from feedstocks and non-energy use of fuels are reported in "1.A.5  Other".</t>
        </r>
      </text>
    </comment>
    <comment ref="J800" authorId="2" shapeId="0" xr:uid="{ED9E0628-0ECA-4B73-85C8-CFAF970D2FBD}">
      <text>
        <r>
          <rPr>
            <sz val="8"/>
            <color indexed="81"/>
            <rFont val="Tahoma"/>
            <family val="2"/>
          </rPr>
          <t>Emissions from feedstocks and non-energy use of fuels are reported in "1.A.5  Other".</t>
        </r>
      </text>
    </comment>
    <comment ref="K800" authorId="2" shapeId="0" xr:uid="{351A032A-9388-43CD-AB54-3BF7E02E24B3}">
      <text>
        <r>
          <rPr>
            <sz val="8"/>
            <color indexed="81"/>
            <rFont val="Tahoma"/>
            <family val="2"/>
          </rPr>
          <t>Emissions from feedstocks and non-energy use of fuels are reported in "1.A.5  Other".</t>
        </r>
      </text>
    </comment>
    <comment ref="L800" authorId="2" shapeId="0" xr:uid="{5D99D3C8-B938-4C92-9821-6AB70F7A54E9}">
      <text>
        <r>
          <rPr>
            <sz val="8"/>
            <color indexed="81"/>
            <rFont val="Tahoma"/>
            <family val="2"/>
          </rPr>
          <t>Emissions from feedstocks and non-energy use of fuels are reported in "1.A.5  Other".</t>
        </r>
      </text>
    </comment>
    <comment ref="M800" authorId="2" shapeId="0" xr:uid="{4132F736-0448-46BC-AF2A-237D14116689}">
      <text>
        <r>
          <rPr>
            <sz val="8"/>
            <color indexed="81"/>
            <rFont val="Tahoma"/>
            <family val="2"/>
          </rPr>
          <t>Emissions from feedstocks and non-energy use of fuels are reported in "1.A.5  Other".</t>
        </r>
      </text>
    </comment>
    <comment ref="N800" authorId="2" shapeId="0" xr:uid="{E345A2FB-5598-4EF5-8008-C4A72ED3FD58}">
      <text>
        <r>
          <rPr>
            <sz val="8"/>
            <color indexed="81"/>
            <rFont val="Tahoma"/>
            <family val="2"/>
          </rPr>
          <t>Emissions from feedstocks and non-energy use of fuels are reported in "1.A.5  Other".</t>
        </r>
      </text>
    </comment>
    <comment ref="O800" authorId="2" shapeId="0" xr:uid="{44368897-C22D-442C-A725-7ED55E1F004F}">
      <text>
        <r>
          <rPr>
            <sz val="8"/>
            <color indexed="81"/>
            <rFont val="Tahoma"/>
            <family val="2"/>
          </rPr>
          <t>Emissions from feedstocks and non-energy use of fuels are reported in "1.A.5  Other".</t>
        </r>
      </text>
    </comment>
    <comment ref="P800" authorId="2" shapeId="0" xr:uid="{8495E265-6B31-483D-B38F-5094ACEA0043}">
      <text>
        <r>
          <rPr>
            <sz val="8"/>
            <color indexed="81"/>
            <rFont val="Tahoma"/>
            <family val="2"/>
          </rPr>
          <t>Emissions from feedstocks and non-energy use of fuels are reported in "1.A.5  Other".</t>
        </r>
      </text>
    </comment>
    <comment ref="Q800" authorId="2" shapeId="0" xr:uid="{E299CA53-703A-4A85-BAE6-A77E127137FE}">
      <text>
        <r>
          <rPr>
            <sz val="8"/>
            <color indexed="81"/>
            <rFont val="Tahoma"/>
            <family val="2"/>
          </rPr>
          <t>Emissions from feedstocks and non-energy use of fuels are reported in "1.A.5  Other".</t>
        </r>
      </text>
    </comment>
    <comment ref="R800" authorId="2" shapeId="0" xr:uid="{A655B05C-8D9D-4969-9FB8-FCA555B84F29}">
      <text>
        <r>
          <rPr>
            <sz val="8"/>
            <color indexed="81"/>
            <rFont val="Tahoma"/>
            <family val="2"/>
          </rPr>
          <t>Emissions from feedstocks and non-energy use of fuels are reported in "1.A.5  Other".</t>
        </r>
      </text>
    </comment>
    <comment ref="S800" authorId="2" shapeId="0" xr:uid="{F7094650-EC6E-43A2-815F-A3F465C332CF}">
      <text>
        <r>
          <rPr>
            <sz val="8"/>
            <color indexed="81"/>
            <rFont val="Tahoma"/>
            <family val="2"/>
          </rPr>
          <t>Emissions from feedstocks and non-energy use of fuels are reported in "1.A.5  Other".</t>
        </r>
      </text>
    </comment>
    <comment ref="T800" authorId="2" shapeId="0" xr:uid="{B5413688-6777-4ECE-A129-3F3B4C769AAE}">
      <text>
        <r>
          <rPr>
            <sz val="8"/>
            <color indexed="81"/>
            <rFont val="Tahoma"/>
            <family val="2"/>
          </rPr>
          <t>Emissions from feedstocks and non-energy use of fuels are reported in "1.A.5  Other".</t>
        </r>
      </text>
    </comment>
    <comment ref="U800" authorId="2" shapeId="0" xr:uid="{223E69B8-8CAA-4586-8DBF-98399AC7BFF0}">
      <text>
        <r>
          <rPr>
            <sz val="8"/>
            <color indexed="81"/>
            <rFont val="Tahoma"/>
            <family val="2"/>
          </rPr>
          <t>Emissions from feedstocks and non-energy use of fuels are reported in "1.A.5  Other".</t>
        </r>
      </text>
    </comment>
    <comment ref="V800" authorId="2" shapeId="0" xr:uid="{8C6AF403-30AE-4EE9-823E-6B9B9C9327A0}">
      <text>
        <r>
          <rPr>
            <sz val="8"/>
            <color indexed="81"/>
            <rFont val="Tahoma"/>
            <family val="2"/>
          </rPr>
          <t>Emissions from feedstocks and non-energy use of fuels are reported in "1.A.5  Other".</t>
        </r>
      </text>
    </comment>
    <comment ref="W800" authorId="2" shapeId="0" xr:uid="{8A0B58C6-3918-49FC-B16D-144DE8A7C58C}">
      <text>
        <r>
          <rPr>
            <sz val="8"/>
            <color indexed="81"/>
            <rFont val="Tahoma"/>
            <family val="2"/>
          </rPr>
          <t>Emissions from feedstocks and non-energy use of fuels are reported in "1.A.5  Other".</t>
        </r>
      </text>
    </comment>
    <comment ref="X800" authorId="2" shapeId="0" xr:uid="{FF8C2C5E-F0B3-4945-BBC1-3DE32E1240A3}">
      <text>
        <r>
          <rPr>
            <sz val="8"/>
            <color indexed="81"/>
            <rFont val="Tahoma"/>
            <family val="2"/>
          </rPr>
          <t>Emissions from feedstocks and non-energy use of fuels are reported in "1.A.5  Other".</t>
        </r>
      </text>
    </comment>
    <comment ref="F806" authorId="2" shapeId="0" xr:uid="{6C7A50B1-8214-4C3C-92B1-98C09ADA2412}">
      <text>
        <r>
          <rPr>
            <sz val="8"/>
            <color indexed="81"/>
            <rFont val="Tahoma"/>
            <family val="2"/>
          </rPr>
          <t>Emissions from feedstocks and non-energy use of fuels are reported in "1.A.5  Other".</t>
        </r>
      </text>
    </comment>
    <comment ref="G806" authorId="2" shapeId="0" xr:uid="{FB8A2383-4779-4EF0-8C12-19A5CB80B8E4}">
      <text>
        <r>
          <rPr>
            <sz val="8"/>
            <color indexed="81"/>
            <rFont val="Tahoma"/>
            <family val="2"/>
          </rPr>
          <t>Emissions from feedstocks and non-energy use of fuels are reported in "1.A.5  Other".</t>
        </r>
      </text>
    </comment>
    <comment ref="H806" authorId="2" shapeId="0" xr:uid="{FAD64146-2BD9-44E7-B3FC-B18CBDEC3950}">
      <text>
        <r>
          <rPr>
            <sz val="8"/>
            <color indexed="81"/>
            <rFont val="Tahoma"/>
            <family val="2"/>
          </rPr>
          <t>Emissions from feedstocks and non-energy use of fuels are reported in "1.A.5  Other".</t>
        </r>
      </text>
    </comment>
    <comment ref="I806" authorId="2" shapeId="0" xr:uid="{4359AE20-1FF6-4FBD-8058-7619D8742714}">
      <text>
        <r>
          <rPr>
            <sz val="8"/>
            <color indexed="81"/>
            <rFont val="Tahoma"/>
            <family val="2"/>
          </rPr>
          <t>Emissions from feedstocks and non-energy use of fuels are reported in "1.A.5  Other".</t>
        </r>
      </text>
    </comment>
    <comment ref="J806" authorId="2" shapeId="0" xr:uid="{1969A3BC-B4C2-4A9F-AFFC-947B3AB50C48}">
      <text>
        <r>
          <rPr>
            <sz val="8"/>
            <color indexed="81"/>
            <rFont val="Tahoma"/>
            <family val="2"/>
          </rPr>
          <t>Emissions from feedstocks and non-energy use of fuels are reported in "1.A.5  Other".</t>
        </r>
      </text>
    </comment>
    <comment ref="K806" authorId="2" shapeId="0" xr:uid="{A3BB435F-D5B0-4F54-9CB8-F35FA95D672B}">
      <text>
        <r>
          <rPr>
            <sz val="8"/>
            <color indexed="81"/>
            <rFont val="Tahoma"/>
            <family val="2"/>
          </rPr>
          <t>Emissions from feedstocks and non-energy use of fuels are reported in "1.A.5  Other".</t>
        </r>
      </text>
    </comment>
    <comment ref="L806" authorId="2" shapeId="0" xr:uid="{1A23130F-81D0-4E80-8CA2-146C4250D087}">
      <text>
        <r>
          <rPr>
            <sz val="8"/>
            <color indexed="81"/>
            <rFont val="Tahoma"/>
            <family val="2"/>
          </rPr>
          <t>Emissions from feedstocks and non-energy use of fuels are reported in "1.A.5  Other".</t>
        </r>
      </text>
    </comment>
    <comment ref="M806" authorId="2" shapeId="0" xr:uid="{989F22B0-E6E8-4C4A-9E8D-A2381C204A4E}">
      <text>
        <r>
          <rPr>
            <sz val="8"/>
            <color indexed="81"/>
            <rFont val="Tahoma"/>
            <family val="2"/>
          </rPr>
          <t>Emissions from feedstocks and non-energy use of fuels are reported in "1.A.5  Other".</t>
        </r>
      </text>
    </comment>
    <comment ref="N806" authorId="2" shapeId="0" xr:uid="{361DAE18-2230-4889-B21C-926DEA3C9C8F}">
      <text>
        <r>
          <rPr>
            <sz val="8"/>
            <color indexed="81"/>
            <rFont val="Tahoma"/>
            <family val="2"/>
          </rPr>
          <t>Emissions from feedstocks and non-energy use of fuels are reported in "1.A.5  Other".</t>
        </r>
      </text>
    </comment>
    <comment ref="O806" authorId="2" shapeId="0" xr:uid="{27BBB6F3-B031-4026-9AC8-5EE137052AC0}">
      <text>
        <r>
          <rPr>
            <sz val="8"/>
            <color indexed="81"/>
            <rFont val="Tahoma"/>
            <family val="2"/>
          </rPr>
          <t>Emissions from feedstocks and non-energy use of fuels are reported in "1.A.5  Other".</t>
        </r>
      </text>
    </comment>
    <comment ref="P806" authorId="2" shapeId="0" xr:uid="{4C067FB3-6C61-4F57-A847-6399FA16B370}">
      <text>
        <r>
          <rPr>
            <sz val="8"/>
            <color indexed="81"/>
            <rFont val="Tahoma"/>
            <family val="2"/>
          </rPr>
          <t>Emissions from feedstocks and non-energy use of fuels are reported in "1.A.5  Other".</t>
        </r>
      </text>
    </comment>
    <comment ref="Q806" authorId="2" shapeId="0" xr:uid="{95ADBCA1-EED4-4F8B-AE0B-E4AE0A7F3DA3}">
      <text>
        <r>
          <rPr>
            <sz val="8"/>
            <color indexed="81"/>
            <rFont val="Tahoma"/>
            <family val="2"/>
          </rPr>
          <t>Emissions from feedstocks and non-energy use of fuels are reported in "1.A.5  Other".</t>
        </r>
      </text>
    </comment>
    <comment ref="R806" authorId="2" shapeId="0" xr:uid="{4B4BC35D-5C67-4DDE-A4AF-FB04BF648AA0}">
      <text>
        <r>
          <rPr>
            <sz val="8"/>
            <color indexed="81"/>
            <rFont val="Tahoma"/>
            <family val="2"/>
          </rPr>
          <t>Emissions from feedstocks and non-energy use of fuels are reported in "1.A.5  Other".</t>
        </r>
      </text>
    </comment>
    <comment ref="S806" authorId="2" shapeId="0" xr:uid="{DD26C792-0CB8-4F16-AE67-910EDC93A370}">
      <text>
        <r>
          <rPr>
            <sz val="8"/>
            <color indexed="81"/>
            <rFont val="Tahoma"/>
            <family val="2"/>
          </rPr>
          <t>Emissions from feedstocks and non-energy use of fuels are reported in "1.A.5  Other".</t>
        </r>
      </text>
    </comment>
    <comment ref="T806" authorId="2" shapeId="0" xr:uid="{51C2BF5B-4BB3-4468-92A7-3419223A10BD}">
      <text>
        <r>
          <rPr>
            <sz val="8"/>
            <color indexed="81"/>
            <rFont val="Tahoma"/>
            <family val="2"/>
          </rPr>
          <t>Emissions from feedstocks and non-energy use of fuels are reported in "1.A.5  Other".</t>
        </r>
      </text>
    </comment>
    <comment ref="U806" authorId="2" shapeId="0" xr:uid="{45178924-8359-48B0-A7F4-46CE8D4112C9}">
      <text>
        <r>
          <rPr>
            <sz val="8"/>
            <color indexed="81"/>
            <rFont val="Tahoma"/>
            <family val="2"/>
          </rPr>
          <t>Emissions from feedstocks and non-energy use of fuels are reported in "1.A.5  Other".</t>
        </r>
      </text>
    </comment>
    <comment ref="V806" authorId="2" shapeId="0" xr:uid="{8912C9AB-2200-4A13-B6CE-E21EAF486D2E}">
      <text>
        <r>
          <rPr>
            <sz val="8"/>
            <color indexed="81"/>
            <rFont val="Tahoma"/>
            <family val="2"/>
          </rPr>
          <t>Emissions from feedstocks and non-energy use of fuels are reported in "1.A.5  Other".</t>
        </r>
      </text>
    </comment>
    <comment ref="W806" authorId="2" shapeId="0" xr:uid="{6617E663-E986-48F7-B690-47B5DFBD08EC}">
      <text>
        <r>
          <rPr>
            <sz val="8"/>
            <color indexed="81"/>
            <rFont val="Tahoma"/>
            <family val="2"/>
          </rPr>
          <t>Emissions from feedstocks and non-energy use of fuels are reported in "1.A.5  Other".</t>
        </r>
      </text>
    </comment>
    <comment ref="X806" authorId="2" shapeId="0" xr:uid="{7F565CFB-6083-45AF-9E54-A51A695BF0B2}">
      <text>
        <r>
          <rPr>
            <sz val="8"/>
            <color indexed="81"/>
            <rFont val="Tahoma"/>
            <family val="2"/>
          </rPr>
          <t>Emissions from feedstocks and non-energy use of fuels are reported in "1.A.5  Other".</t>
        </r>
      </text>
    </comment>
    <comment ref="F812" authorId="2" shapeId="0" xr:uid="{B207705D-45DB-4E07-BF36-DEE75E30A921}">
      <text>
        <r>
          <rPr>
            <sz val="8"/>
            <color indexed="81"/>
            <rFont val="Tahoma"/>
            <family val="2"/>
          </rPr>
          <t>Emissions from feedstocks and non-energy use of fuels are reported in "1.A.5  Other".</t>
        </r>
      </text>
    </comment>
    <comment ref="G812" authorId="2" shapeId="0" xr:uid="{4EEAC4B2-1FCA-4808-96DF-9FDF28613E7A}">
      <text>
        <r>
          <rPr>
            <sz val="8"/>
            <color indexed="81"/>
            <rFont val="Tahoma"/>
            <family val="2"/>
          </rPr>
          <t>Emissions from feedstocks and non-energy use of fuels are reported in "1.A.5  Other".</t>
        </r>
      </text>
    </comment>
    <comment ref="H812" authorId="2" shapeId="0" xr:uid="{B01A39EA-5DE0-4573-BDC0-BF267A4759FE}">
      <text>
        <r>
          <rPr>
            <sz val="8"/>
            <color indexed="81"/>
            <rFont val="Tahoma"/>
            <family val="2"/>
          </rPr>
          <t>Emissions from feedstocks and non-energy use of fuels are reported in "1.A.5  Other".</t>
        </r>
      </text>
    </comment>
    <comment ref="I812" authorId="2" shapeId="0" xr:uid="{063853B6-E7EA-4206-9BDD-9A7368338759}">
      <text>
        <r>
          <rPr>
            <sz val="8"/>
            <color indexed="81"/>
            <rFont val="Tahoma"/>
            <family val="2"/>
          </rPr>
          <t>Emissions from feedstocks and non-energy use of fuels are reported in "1.A.5  Other".</t>
        </r>
      </text>
    </comment>
    <comment ref="J812" authorId="2" shapeId="0" xr:uid="{CAEB746C-D825-49F7-A899-6DED34B93BAC}">
      <text>
        <r>
          <rPr>
            <sz val="8"/>
            <color indexed="81"/>
            <rFont val="Tahoma"/>
            <family val="2"/>
          </rPr>
          <t>Emissions from feedstocks and non-energy use of fuels are reported in "1.A.5  Other".</t>
        </r>
      </text>
    </comment>
    <comment ref="K812" authorId="2" shapeId="0" xr:uid="{1F275628-C331-40B9-93B0-5B90DC144AEB}">
      <text>
        <r>
          <rPr>
            <sz val="8"/>
            <color indexed="81"/>
            <rFont val="Tahoma"/>
            <family val="2"/>
          </rPr>
          <t>Emissions from feedstocks and non-energy use of fuels are reported in "1.A.5  Other".</t>
        </r>
      </text>
    </comment>
    <comment ref="L812" authorId="2" shapeId="0" xr:uid="{89225C64-5908-4CAF-A66B-4BF2FAC006CB}">
      <text>
        <r>
          <rPr>
            <sz val="8"/>
            <color indexed="81"/>
            <rFont val="Tahoma"/>
            <family val="2"/>
          </rPr>
          <t>Emissions from feedstocks and non-energy use of fuels are reported in "1.A.5  Other".</t>
        </r>
      </text>
    </comment>
    <comment ref="M812" authorId="2" shapeId="0" xr:uid="{6868D6E6-0486-48E1-90B8-F15811B66FAE}">
      <text>
        <r>
          <rPr>
            <sz val="8"/>
            <color indexed="81"/>
            <rFont val="Tahoma"/>
            <family val="2"/>
          </rPr>
          <t>Emissions from feedstocks and non-energy use of fuels are reported in "1.A.5  Other".</t>
        </r>
      </text>
    </comment>
    <comment ref="N812" authorId="2" shapeId="0" xr:uid="{F2BB840A-7A23-4753-B694-FC6D331CAC02}">
      <text>
        <r>
          <rPr>
            <sz val="8"/>
            <color indexed="81"/>
            <rFont val="Tahoma"/>
            <family val="2"/>
          </rPr>
          <t>Emissions from feedstocks and non-energy use of fuels are reported in "1.A.5  Other".</t>
        </r>
      </text>
    </comment>
    <comment ref="O812" authorId="2" shapeId="0" xr:uid="{925E59BA-A4F0-4048-B547-FE43FDC01248}">
      <text>
        <r>
          <rPr>
            <sz val="8"/>
            <color indexed="81"/>
            <rFont val="Tahoma"/>
            <family val="2"/>
          </rPr>
          <t>Emissions from feedstocks and non-energy use of fuels are reported in "1.A.5  Other".</t>
        </r>
      </text>
    </comment>
    <comment ref="P812" authorId="2" shapeId="0" xr:uid="{2B776EDA-A346-4C81-8AFB-5FE79283597B}">
      <text>
        <r>
          <rPr>
            <sz val="8"/>
            <color indexed="81"/>
            <rFont val="Tahoma"/>
            <family val="2"/>
          </rPr>
          <t>Emissions from feedstocks and non-energy use of fuels are reported in "1.A.5  Other".</t>
        </r>
      </text>
    </comment>
    <comment ref="Q812" authorId="2" shapeId="0" xr:uid="{0B1BBD89-EACA-4B56-AA15-A754219E6EB2}">
      <text>
        <r>
          <rPr>
            <sz val="8"/>
            <color indexed="81"/>
            <rFont val="Tahoma"/>
            <family val="2"/>
          </rPr>
          <t>Emissions from feedstocks and non-energy use of fuels are reported in "1.A.5  Other".</t>
        </r>
      </text>
    </comment>
    <comment ref="R812" authorId="2" shapeId="0" xr:uid="{47C466D9-C51C-4C04-AA34-E983576212CD}">
      <text>
        <r>
          <rPr>
            <sz val="8"/>
            <color indexed="81"/>
            <rFont val="Tahoma"/>
            <family val="2"/>
          </rPr>
          <t>Emissions from feedstocks and non-energy use of fuels are reported in "1.A.5  Other".</t>
        </r>
      </text>
    </comment>
    <comment ref="S812" authorId="2" shapeId="0" xr:uid="{2DF879E2-9817-4AD9-893C-EC7FDBA95E80}">
      <text>
        <r>
          <rPr>
            <sz val="8"/>
            <color indexed="81"/>
            <rFont val="Tahoma"/>
            <family val="2"/>
          </rPr>
          <t>Emissions from feedstocks and non-energy use of fuels are reported in "1.A.5  Other".</t>
        </r>
      </text>
    </comment>
    <comment ref="T812" authorId="2" shapeId="0" xr:uid="{B592A75C-207C-489A-BD70-AFF406ADFF64}">
      <text>
        <r>
          <rPr>
            <sz val="8"/>
            <color indexed="81"/>
            <rFont val="Tahoma"/>
            <family val="2"/>
          </rPr>
          <t>Emissions from feedstocks and non-energy use of fuels are reported in "1.A.5  Other".</t>
        </r>
      </text>
    </comment>
    <comment ref="U812" authorId="2" shapeId="0" xr:uid="{268603E2-C9C2-4EAB-8776-D90CF7FEBAD8}">
      <text>
        <r>
          <rPr>
            <sz val="8"/>
            <color indexed="81"/>
            <rFont val="Tahoma"/>
            <family val="2"/>
          </rPr>
          <t>Emissions from feedstocks and non-energy use of fuels are reported in "1.A.5  Other".</t>
        </r>
      </text>
    </comment>
    <comment ref="V812" authorId="2" shapeId="0" xr:uid="{ADB46E6E-3B1A-4451-908D-8702CAA05FA1}">
      <text>
        <r>
          <rPr>
            <sz val="8"/>
            <color indexed="81"/>
            <rFont val="Tahoma"/>
            <family val="2"/>
          </rPr>
          <t>Emissions from feedstocks and non-energy use of fuels are reported in "1.A.5  Other".</t>
        </r>
      </text>
    </comment>
    <comment ref="W812" authorId="2" shapeId="0" xr:uid="{68DC6B8F-13EC-4BB3-94A9-605C9321AB88}">
      <text>
        <r>
          <rPr>
            <sz val="8"/>
            <color indexed="81"/>
            <rFont val="Tahoma"/>
            <family val="2"/>
          </rPr>
          <t>Emissions from feedstocks and non-energy use of fuels are reported in "1.A.5  Other".</t>
        </r>
      </text>
    </comment>
    <comment ref="X812" authorId="2" shapeId="0" xr:uid="{3F2A3008-31E3-45EE-830D-F15C55D8578C}">
      <text>
        <r>
          <rPr>
            <sz val="8"/>
            <color indexed="81"/>
            <rFont val="Tahoma"/>
            <family val="2"/>
          </rPr>
          <t>Emissions from feedstocks and non-energy use of fuels are reported in "1.A.5  Other".</t>
        </r>
      </text>
    </comment>
    <comment ref="F842" authorId="2" shapeId="0" xr:uid="{CCBBBC7B-BF6A-4FD9-9908-3BD4FBA71EF3}">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G842" authorId="2" shapeId="0" xr:uid="{0748F97B-475E-4A7D-93B5-5FE3DEF16304}">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H842" authorId="2" shapeId="0" xr:uid="{10DA40C2-8731-4095-9F5D-E75658B7AE41}">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I842" authorId="2" shapeId="0" xr:uid="{ECE92444-184A-4409-BE0A-29B1DD102CA0}">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J842" authorId="2" shapeId="0" xr:uid="{D9AB4624-AF42-465D-9F13-D8748431B63D}">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K842" authorId="2" shapeId="0" xr:uid="{9EC583FC-F020-470E-925F-A82C0CFEF626}">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L842" authorId="2" shapeId="0" xr:uid="{B7D26666-2B91-4C5A-BE60-9C89266027D5}">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M842" authorId="2" shapeId="0" xr:uid="{AC577722-7E20-4CDB-BD1A-F504C0B283EA}">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N842" authorId="2" shapeId="0" xr:uid="{818E96C6-6992-4A01-95C4-512E94570D9B}">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O842" authorId="2" shapeId="0" xr:uid="{BE140CDA-69A6-446F-B6EE-17ED5D31B766}">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P842" authorId="2" shapeId="0" xr:uid="{DD4F8FBE-DF35-48B6-AC1C-9676524F3270}">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Q842" authorId="2" shapeId="0" xr:uid="{4C985142-FB6A-4516-93C9-818DAFA4D5BF}">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R842" authorId="2" shapeId="0" xr:uid="{C94D05A6-D4B6-41F6-9965-F516338165E7}">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S842" authorId="2" shapeId="0" xr:uid="{01542224-3670-4EF5-BB2E-CCB20AD76812}">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T842" authorId="2" shapeId="0" xr:uid="{A1FCB76C-CFBA-4D22-BEEE-1FC8768CE4E3}">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U842" authorId="2" shapeId="0" xr:uid="{E9ECEDA3-623A-4874-ADD1-D867067886F1}">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V842" authorId="2" shapeId="0" xr:uid="{43935E88-FB40-475B-B62A-F9F8C155E189}">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W842" authorId="2" shapeId="0" xr:uid="{0A241544-89E1-4D46-93CE-AE493D530BAD}">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X842" authorId="2" shapeId="0" xr:uid="{AD53F34F-3FD0-4980-8259-EB15AC68A02F}">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feroalloy production, titanium dioxide production, aluminum production, ammonia production, and silicon carbide production.</t>
        </r>
      </text>
    </comment>
    <comment ref="F854" authorId="2" shapeId="0" xr:uid="{B83EC6BE-B57B-496E-80F3-E6C6729CF9F2}">
      <text>
        <r>
          <rPr>
            <sz val="8"/>
            <color indexed="81"/>
            <rFont val="Tahoma"/>
            <family val="2"/>
          </rPr>
          <t>Emissions from feedstocks and non-energy use of fuels are reported in "1.A.5  Other".</t>
        </r>
      </text>
    </comment>
    <comment ref="G854" authorId="2" shapeId="0" xr:uid="{DAE7F850-DFEC-4450-9CDE-2104BA630786}">
      <text>
        <r>
          <rPr>
            <sz val="8"/>
            <color indexed="81"/>
            <rFont val="Tahoma"/>
            <family val="2"/>
          </rPr>
          <t>Emissions from feedstocks and non-energy use of fuels are reported in "1.A.5  Other".</t>
        </r>
      </text>
    </comment>
    <comment ref="H854" authorId="2" shapeId="0" xr:uid="{356D15FC-C729-4F28-82A3-972DB4EBADFF}">
      <text>
        <r>
          <rPr>
            <sz val="8"/>
            <color indexed="81"/>
            <rFont val="Tahoma"/>
            <family val="2"/>
          </rPr>
          <t>Emissions from feedstocks and non-energy use of fuels are reported in "1.A.5  Other".</t>
        </r>
      </text>
    </comment>
    <comment ref="I854" authorId="2" shapeId="0" xr:uid="{8E4BB971-A924-4468-9BF4-EDA2DC3C2B9B}">
      <text>
        <r>
          <rPr>
            <sz val="8"/>
            <color indexed="81"/>
            <rFont val="Tahoma"/>
            <family val="2"/>
          </rPr>
          <t>Emissions from feedstocks and non-energy use of fuels are reported in "1.A.5  Other".</t>
        </r>
      </text>
    </comment>
    <comment ref="J854" authorId="2" shapeId="0" xr:uid="{2423F10B-D655-4C1B-9014-156C88E38FC3}">
      <text>
        <r>
          <rPr>
            <sz val="8"/>
            <color indexed="81"/>
            <rFont val="Tahoma"/>
            <family val="2"/>
          </rPr>
          <t>Emissions from feedstocks and non-energy use of fuels are reported in "1.A.5  Other".</t>
        </r>
      </text>
    </comment>
    <comment ref="K854" authorId="2" shapeId="0" xr:uid="{FBF7C1CC-0356-4A4D-8C0E-9F385856B360}">
      <text>
        <r>
          <rPr>
            <sz val="8"/>
            <color indexed="81"/>
            <rFont val="Tahoma"/>
            <family val="2"/>
          </rPr>
          <t>Emissions from feedstocks and non-energy use of fuels are reported in "1.A.5  Other".</t>
        </r>
      </text>
    </comment>
    <comment ref="L854" authorId="2" shapeId="0" xr:uid="{AFF9D68F-1693-45BF-947B-C9EDBF2A55A2}">
      <text>
        <r>
          <rPr>
            <sz val="8"/>
            <color indexed="81"/>
            <rFont val="Tahoma"/>
            <family val="2"/>
          </rPr>
          <t>Emissions from feedstocks and non-energy use of fuels are reported in "1.A.5  Other".</t>
        </r>
      </text>
    </comment>
    <comment ref="M854" authorId="2" shapeId="0" xr:uid="{05E55457-34A8-4F65-B10A-1E4F34674C50}">
      <text>
        <r>
          <rPr>
            <sz val="8"/>
            <color indexed="81"/>
            <rFont val="Tahoma"/>
            <family val="2"/>
          </rPr>
          <t>Emissions from feedstocks and non-energy use of fuels are reported in "1.A.5  Other".</t>
        </r>
      </text>
    </comment>
    <comment ref="N854" authorId="2" shapeId="0" xr:uid="{50416E42-78B0-4C95-A974-D1AF1A7033F8}">
      <text>
        <r>
          <rPr>
            <sz val="8"/>
            <color indexed="81"/>
            <rFont val="Tahoma"/>
            <family val="2"/>
          </rPr>
          <t>Emissions from feedstocks and non-energy use of fuels are reported in "1.A.5  Other".</t>
        </r>
      </text>
    </comment>
    <comment ref="O854" authorId="2" shapeId="0" xr:uid="{BE0F28C4-BB7F-4C37-A8AE-4742207728D1}">
      <text>
        <r>
          <rPr>
            <sz val="8"/>
            <color indexed="81"/>
            <rFont val="Tahoma"/>
            <family val="2"/>
          </rPr>
          <t>Emissions from feedstocks and non-energy use of fuels are reported in "1.A.5  Other".</t>
        </r>
      </text>
    </comment>
    <comment ref="P854" authorId="2" shapeId="0" xr:uid="{D5A06C06-8741-4241-9A3F-4D3B94517BCD}">
      <text>
        <r>
          <rPr>
            <sz val="8"/>
            <color indexed="81"/>
            <rFont val="Tahoma"/>
            <family val="2"/>
          </rPr>
          <t>Emissions from feedstocks and non-energy use of fuels are reported in "1.A.5  Other".</t>
        </r>
      </text>
    </comment>
    <comment ref="Q854" authorId="2" shapeId="0" xr:uid="{7F45B0E9-B49B-4482-BB10-AF7BB6C28052}">
      <text>
        <r>
          <rPr>
            <sz val="8"/>
            <color indexed="81"/>
            <rFont val="Tahoma"/>
            <family val="2"/>
          </rPr>
          <t>Emissions from feedstocks and non-energy use of fuels are reported in "1.A.5  Other".</t>
        </r>
      </text>
    </comment>
    <comment ref="R854" authorId="2" shapeId="0" xr:uid="{BADCF4E1-6EF7-4EE7-B222-61187FDC7238}">
      <text>
        <r>
          <rPr>
            <sz val="8"/>
            <color indexed="81"/>
            <rFont val="Tahoma"/>
            <family val="2"/>
          </rPr>
          <t>Emissions from feedstocks and non-energy use of fuels are reported in "1.A.5  Other".</t>
        </r>
      </text>
    </comment>
    <comment ref="S854" authorId="2" shapeId="0" xr:uid="{88AEE7A6-D75F-48FB-94FB-BA9D3DE70F89}">
      <text>
        <r>
          <rPr>
            <sz val="8"/>
            <color indexed="81"/>
            <rFont val="Tahoma"/>
            <family val="2"/>
          </rPr>
          <t>Emissions from feedstocks and non-energy use of fuels are reported in "1.A.5  Other".</t>
        </r>
      </text>
    </comment>
    <comment ref="T854" authorId="2" shapeId="0" xr:uid="{A811CBF9-AE74-4EDC-A501-4785B41ACAFD}">
      <text>
        <r>
          <rPr>
            <sz val="8"/>
            <color indexed="81"/>
            <rFont val="Tahoma"/>
            <family val="2"/>
          </rPr>
          <t>Emissions from feedstocks and non-energy use of fuels are reported in "1.A.5  Other".</t>
        </r>
      </text>
    </comment>
    <comment ref="U854" authorId="2" shapeId="0" xr:uid="{5AEFD623-FAA7-457F-93ED-721384CA1F47}">
      <text>
        <r>
          <rPr>
            <sz val="8"/>
            <color indexed="81"/>
            <rFont val="Tahoma"/>
            <family val="2"/>
          </rPr>
          <t>Emissions from feedstocks and non-energy use of fuels are reported in "1.A.5  Other".</t>
        </r>
      </text>
    </comment>
    <comment ref="V854" authorId="2" shapeId="0" xr:uid="{53095CBA-B494-4F93-9280-849C30DD1D2B}">
      <text>
        <r>
          <rPr>
            <sz val="8"/>
            <color indexed="81"/>
            <rFont val="Tahoma"/>
            <family val="2"/>
          </rPr>
          <t>Emissions from feedstocks and non-energy use of fuels are reported in "1.A.5  Other".</t>
        </r>
      </text>
    </comment>
    <comment ref="W854" authorId="2" shapeId="0" xr:uid="{6CEC2EB2-1BE0-4B1C-8735-30A80FA3718B}">
      <text>
        <r>
          <rPr>
            <sz val="8"/>
            <color indexed="81"/>
            <rFont val="Tahoma"/>
            <family val="2"/>
          </rPr>
          <t>Emissions from feedstocks and non-energy use of fuels are reported in "1.A.5  Other".</t>
        </r>
      </text>
    </comment>
    <comment ref="X854" authorId="2" shapeId="0" xr:uid="{89B9BCCD-D7F8-4700-B4FC-FE972AA3288B}">
      <text>
        <r>
          <rPr>
            <sz val="8"/>
            <color indexed="81"/>
            <rFont val="Tahoma"/>
            <family val="2"/>
          </rPr>
          <t>Emissions from feedstocks and non-energy use of fuels are reported in "1.A.5  Other".</t>
        </r>
      </text>
    </comment>
    <comment ref="F855" authorId="2" shapeId="0" xr:uid="{434F33D6-B429-48C1-A862-BCFCFB5B67DB}">
      <text>
        <r>
          <rPr>
            <sz val="8"/>
            <color indexed="81"/>
            <rFont val="Tahoma"/>
            <family val="2"/>
          </rPr>
          <t>Emissions from feedstocks and non-energy use of fuels are reported in "1.A.5  Other".</t>
        </r>
      </text>
    </comment>
    <comment ref="G855" authorId="2" shapeId="0" xr:uid="{9CFA8CC2-C601-41E1-BBEB-2CE63624469F}">
      <text>
        <r>
          <rPr>
            <sz val="8"/>
            <color indexed="81"/>
            <rFont val="Tahoma"/>
            <family val="2"/>
          </rPr>
          <t>Emissions from feedstocks and non-energy use of fuels are reported in "1.A.5  Other".</t>
        </r>
      </text>
    </comment>
    <comment ref="H855" authorId="2" shapeId="0" xr:uid="{9C08F60E-8415-4447-95A3-CC1DFE15CCCF}">
      <text>
        <r>
          <rPr>
            <sz val="8"/>
            <color indexed="81"/>
            <rFont val="Tahoma"/>
            <family val="2"/>
          </rPr>
          <t>Emissions from feedstocks and non-energy use of fuels are reported in "1.A.5  Other".</t>
        </r>
      </text>
    </comment>
    <comment ref="I855" authorId="2" shapeId="0" xr:uid="{EFA67590-3C29-444F-B53B-CA1780807B5A}">
      <text>
        <r>
          <rPr>
            <sz val="8"/>
            <color indexed="81"/>
            <rFont val="Tahoma"/>
            <family val="2"/>
          </rPr>
          <t>Emissions from feedstocks and non-energy use of fuels are reported in "1.A.5  Other".</t>
        </r>
      </text>
    </comment>
    <comment ref="J855" authorId="2" shapeId="0" xr:uid="{8C5E4DB2-6D26-4406-B46F-F6A2B1DC0D80}">
      <text>
        <r>
          <rPr>
            <sz val="8"/>
            <color indexed="81"/>
            <rFont val="Tahoma"/>
            <family val="2"/>
          </rPr>
          <t>Emissions from feedstocks and non-energy use of fuels are reported in "1.A.5  Other".</t>
        </r>
      </text>
    </comment>
    <comment ref="K855" authorId="2" shapeId="0" xr:uid="{BD002EDC-0A27-4831-B8A4-7E05DE0BCB88}">
      <text>
        <r>
          <rPr>
            <sz val="8"/>
            <color indexed="81"/>
            <rFont val="Tahoma"/>
            <family val="2"/>
          </rPr>
          <t>Emissions from feedstocks and non-energy use of fuels are reported in "1.A.5  Other".</t>
        </r>
      </text>
    </comment>
    <comment ref="L855" authorId="2" shapeId="0" xr:uid="{9CBD3817-D0F6-469B-8236-615F9DF5DA17}">
      <text>
        <r>
          <rPr>
            <sz val="8"/>
            <color indexed="81"/>
            <rFont val="Tahoma"/>
            <family val="2"/>
          </rPr>
          <t>Emissions from feedstocks and non-energy use of fuels are reported in "1.A.5  Other".</t>
        </r>
      </text>
    </comment>
    <comment ref="M855" authorId="2" shapeId="0" xr:uid="{52AF7260-9AF2-460D-A810-4C6990FFC7F1}">
      <text>
        <r>
          <rPr>
            <sz val="8"/>
            <color indexed="81"/>
            <rFont val="Tahoma"/>
            <family val="2"/>
          </rPr>
          <t>Emissions from feedstocks and non-energy use of fuels are reported in "1.A.5  Other".</t>
        </r>
      </text>
    </comment>
    <comment ref="N855" authorId="2" shapeId="0" xr:uid="{73DD03BD-5035-4FCD-A3E1-E657A18AE99C}">
      <text>
        <r>
          <rPr>
            <sz val="8"/>
            <color indexed="81"/>
            <rFont val="Tahoma"/>
            <family val="2"/>
          </rPr>
          <t>Emissions from feedstocks and non-energy use of fuels are reported in "1.A.5  Other".</t>
        </r>
      </text>
    </comment>
    <comment ref="O855" authorId="2" shapeId="0" xr:uid="{CBD30AA8-1E00-49C7-B4D9-1A0B074A539A}">
      <text>
        <r>
          <rPr>
            <sz val="8"/>
            <color indexed="81"/>
            <rFont val="Tahoma"/>
            <family val="2"/>
          </rPr>
          <t>Emissions from feedstocks and non-energy use of fuels are reported in "1.A.5  Other".</t>
        </r>
      </text>
    </comment>
    <comment ref="P855" authorId="2" shapeId="0" xr:uid="{33E6B11A-11FD-41B5-8342-1132620A15E8}">
      <text>
        <r>
          <rPr>
            <sz val="8"/>
            <color indexed="81"/>
            <rFont val="Tahoma"/>
            <family val="2"/>
          </rPr>
          <t>Emissions from feedstocks and non-energy use of fuels are reported in "1.A.5  Other".</t>
        </r>
      </text>
    </comment>
    <comment ref="Q855" authorId="2" shapeId="0" xr:uid="{8F1A8095-6B50-4D4E-AE0D-93548E0053BB}">
      <text>
        <r>
          <rPr>
            <sz val="8"/>
            <color indexed="81"/>
            <rFont val="Tahoma"/>
            <family val="2"/>
          </rPr>
          <t>Emissions from feedstocks and non-energy use of fuels are reported in "1.A.5  Other".</t>
        </r>
      </text>
    </comment>
    <comment ref="R855" authorId="2" shapeId="0" xr:uid="{83673B79-61B3-4572-B318-D6F3BDC36FBE}">
      <text>
        <r>
          <rPr>
            <sz val="8"/>
            <color indexed="81"/>
            <rFont val="Tahoma"/>
            <family val="2"/>
          </rPr>
          <t>Emissions from feedstocks and non-energy use of fuels are reported in "1.A.5  Other".</t>
        </r>
      </text>
    </comment>
    <comment ref="S855" authorId="2" shapeId="0" xr:uid="{890D73FD-9721-4A08-9303-E5C5FA13C0BF}">
      <text>
        <r>
          <rPr>
            <sz val="8"/>
            <color indexed="81"/>
            <rFont val="Tahoma"/>
            <family val="2"/>
          </rPr>
          <t>Emissions from feedstocks and non-energy use of fuels are reported in "1.A.5  Other".</t>
        </r>
      </text>
    </comment>
    <comment ref="T855" authorId="2" shapeId="0" xr:uid="{A0E292BB-87A2-4270-A455-722E04E9A8C7}">
      <text>
        <r>
          <rPr>
            <sz val="8"/>
            <color indexed="81"/>
            <rFont val="Tahoma"/>
            <family val="2"/>
          </rPr>
          <t>Emissions from feedstocks and non-energy use of fuels are reported in "1.A.5  Other".</t>
        </r>
      </text>
    </comment>
    <comment ref="U855" authorId="2" shapeId="0" xr:uid="{1B2B66A5-2592-4CF3-BB92-695FC4A36008}">
      <text>
        <r>
          <rPr>
            <sz val="8"/>
            <color indexed="81"/>
            <rFont val="Tahoma"/>
            <family val="2"/>
          </rPr>
          <t>Emissions from feedstocks and non-energy use of fuels are reported in "1.A.5  Other".</t>
        </r>
      </text>
    </comment>
    <comment ref="V855" authorId="2" shapeId="0" xr:uid="{D83B4BB6-11CE-438C-BC1E-A5AC3025D89E}">
      <text>
        <r>
          <rPr>
            <sz val="8"/>
            <color indexed="81"/>
            <rFont val="Tahoma"/>
            <family val="2"/>
          </rPr>
          <t>Emissions from feedstocks and non-energy use of fuels are reported in "1.A.5  Other".</t>
        </r>
      </text>
    </comment>
    <comment ref="W855" authorId="2" shapeId="0" xr:uid="{E72933D6-9735-4EB8-9F72-09D56F78080B}">
      <text>
        <r>
          <rPr>
            <sz val="8"/>
            <color indexed="81"/>
            <rFont val="Tahoma"/>
            <family val="2"/>
          </rPr>
          <t>Emissions from feedstocks and non-energy use of fuels are reported in "1.A.5  Other".</t>
        </r>
      </text>
    </comment>
    <comment ref="X855" authorId="2" shapeId="0" xr:uid="{0F66DDAF-E926-4B81-BC3B-1B68C0E8C907}">
      <text>
        <r>
          <rPr>
            <sz val="8"/>
            <color indexed="81"/>
            <rFont val="Tahoma"/>
            <family val="2"/>
          </rPr>
          <t>Emissions from feedstocks and non-energy use of fuels are reported in "1.A.5  Other".</t>
        </r>
      </text>
    </comment>
    <comment ref="F856" authorId="2" shapeId="0" xr:uid="{47136947-F381-4A72-8A77-88FBE9065A39}">
      <text>
        <r>
          <rPr>
            <sz val="8"/>
            <color indexed="81"/>
            <rFont val="Tahoma"/>
            <family val="2"/>
          </rPr>
          <t>Emissions from feedstocks and non-energy use of fuels are reported in "1.A.5  Other".</t>
        </r>
      </text>
    </comment>
    <comment ref="G856" authorId="2" shapeId="0" xr:uid="{72522702-134A-4F81-9524-709F31DE8107}">
      <text>
        <r>
          <rPr>
            <sz val="8"/>
            <color indexed="81"/>
            <rFont val="Tahoma"/>
            <family val="2"/>
          </rPr>
          <t>Emissions from feedstocks and non-energy use of fuels are reported in "1.A.5  Other".</t>
        </r>
      </text>
    </comment>
    <comment ref="H856" authorId="2" shapeId="0" xr:uid="{458B372A-99C8-442D-87D6-731E77E7F5DE}">
      <text>
        <r>
          <rPr>
            <sz val="8"/>
            <color indexed="81"/>
            <rFont val="Tahoma"/>
            <family val="2"/>
          </rPr>
          <t>Emissions from feedstocks and non-energy use of fuels are reported in "1.A.5  Other".</t>
        </r>
      </text>
    </comment>
    <comment ref="I856" authorId="2" shapeId="0" xr:uid="{AD8848A8-1917-40B1-A4EF-BFAEDA7AB736}">
      <text>
        <r>
          <rPr>
            <sz val="8"/>
            <color indexed="81"/>
            <rFont val="Tahoma"/>
            <family val="2"/>
          </rPr>
          <t>Emissions from feedstocks and non-energy use of fuels are reported in "1.A.5  Other".</t>
        </r>
      </text>
    </comment>
    <comment ref="J856" authorId="2" shapeId="0" xr:uid="{6AE6BA45-FDE1-483F-B7BB-0FAD66A83B52}">
      <text>
        <r>
          <rPr>
            <sz val="8"/>
            <color indexed="81"/>
            <rFont val="Tahoma"/>
            <family val="2"/>
          </rPr>
          <t>Emissions from feedstocks and non-energy use of fuels are reported in "1.A.5  Other".</t>
        </r>
      </text>
    </comment>
    <comment ref="K856" authorId="2" shapeId="0" xr:uid="{26D7DDEA-E9BD-4290-9CF7-AB49EA482D33}">
      <text>
        <r>
          <rPr>
            <sz val="8"/>
            <color indexed="81"/>
            <rFont val="Tahoma"/>
            <family val="2"/>
          </rPr>
          <t>Emissions from feedstocks and non-energy use of fuels are reported in "1.A.5  Other".</t>
        </r>
      </text>
    </comment>
    <comment ref="L856" authorId="2" shapeId="0" xr:uid="{8C933990-3D96-49A3-8760-CC342897A437}">
      <text>
        <r>
          <rPr>
            <sz val="8"/>
            <color indexed="81"/>
            <rFont val="Tahoma"/>
            <family val="2"/>
          </rPr>
          <t>Emissions from feedstocks and non-energy use of fuels are reported in "1.A.5  Other".</t>
        </r>
      </text>
    </comment>
    <comment ref="M856" authorId="2" shapeId="0" xr:uid="{E4207715-9BCC-404E-8EA6-DB485A3CAA7F}">
      <text>
        <r>
          <rPr>
            <sz val="8"/>
            <color indexed="81"/>
            <rFont val="Tahoma"/>
            <family val="2"/>
          </rPr>
          <t>Emissions from feedstocks and non-energy use of fuels are reported in "1.A.5  Other".</t>
        </r>
      </text>
    </comment>
    <comment ref="N856" authorId="2" shapeId="0" xr:uid="{7C014461-402D-4DB8-856A-A91CC19F0B83}">
      <text>
        <r>
          <rPr>
            <sz val="8"/>
            <color indexed="81"/>
            <rFont val="Tahoma"/>
            <family val="2"/>
          </rPr>
          <t>Emissions from feedstocks and non-energy use of fuels are reported in "1.A.5  Other".</t>
        </r>
      </text>
    </comment>
    <comment ref="O856" authorId="2" shapeId="0" xr:uid="{209EF0CF-B144-4054-B161-53465C7001CF}">
      <text>
        <r>
          <rPr>
            <sz val="8"/>
            <color indexed="81"/>
            <rFont val="Tahoma"/>
            <family val="2"/>
          </rPr>
          <t>Emissions from feedstocks and non-energy use of fuels are reported in "1.A.5  Other".</t>
        </r>
      </text>
    </comment>
    <comment ref="P856" authorId="2" shapeId="0" xr:uid="{F96A12E3-6CCF-4341-8927-FE1D7AF12803}">
      <text>
        <r>
          <rPr>
            <sz val="8"/>
            <color indexed="81"/>
            <rFont val="Tahoma"/>
            <family val="2"/>
          </rPr>
          <t>Emissions from feedstocks and non-energy use of fuels are reported in "1.A.5  Other".</t>
        </r>
      </text>
    </comment>
    <comment ref="Q856" authorId="2" shapeId="0" xr:uid="{86BDE100-BA35-490D-975E-BEBABABB3D1F}">
      <text>
        <r>
          <rPr>
            <sz val="8"/>
            <color indexed="81"/>
            <rFont val="Tahoma"/>
            <family val="2"/>
          </rPr>
          <t>Emissions from feedstocks and non-energy use of fuels are reported in "1.A.5  Other".</t>
        </r>
      </text>
    </comment>
    <comment ref="R856" authorId="2" shapeId="0" xr:uid="{DC624DD4-970A-4915-8B8C-EF38C1D3F65B}">
      <text>
        <r>
          <rPr>
            <sz val="8"/>
            <color indexed="81"/>
            <rFont val="Tahoma"/>
            <family val="2"/>
          </rPr>
          <t>Emissions from feedstocks and non-energy use of fuels are reported in "1.A.5  Other".</t>
        </r>
      </text>
    </comment>
    <comment ref="S856" authorId="2" shapeId="0" xr:uid="{E0957E79-2679-47AF-B12A-E25DA58200E4}">
      <text>
        <r>
          <rPr>
            <sz val="8"/>
            <color indexed="81"/>
            <rFont val="Tahoma"/>
            <family val="2"/>
          </rPr>
          <t>Emissions from feedstocks and non-energy use of fuels are reported in "1.A.5  Other".</t>
        </r>
      </text>
    </comment>
    <comment ref="T856" authorId="2" shapeId="0" xr:uid="{4A4A058C-E1FD-4E72-AE59-8378051BC0B8}">
      <text>
        <r>
          <rPr>
            <sz val="8"/>
            <color indexed="81"/>
            <rFont val="Tahoma"/>
            <family val="2"/>
          </rPr>
          <t>Emissions from feedstocks and non-energy use of fuels are reported in "1.A.5  Other".</t>
        </r>
      </text>
    </comment>
    <comment ref="U856" authorId="2" shapeId="0" xr:uid="{B40FF1F8-342E-44F9-AB53-B0B6A99EA979}">
      <text>
        <r>
          <rPr>
            <sz val="8"/>
            <color indexed="81"/>
            <rFont val="Tahoma"/>
            <family val="2"/>
          </rPr>
          <t>Emissions from feedstocks and non-energy use of fuels are reported in "1.A.5  Other".</t>
        </r>
      </text>
    </comment>
    <comment ref="V856" authorId="2" shapeId="0" xr:uid="{7535C6CF-E429-4A14-BEC2-31358F8E863F}">
      <text>
        <r>
          <rPr>
            <sz val="8"/>
            <color indexed="81"/>
            <rFont val="Tahoma"/>
            <family val="2"/>
          </rPr>
          <t>Emissions from feedstocks and non-energy use of fuels are reported in "1.A.5  Other".</t>
        </r>
      </text>
    </comment>
    <comment ref="W856" authorId="2" shapeId="0" xr:uid="{259E3623-B813-4BEA-B877-0537FD8AD722}">
      <text>
        <r>
          <rPr>
            <sz val="8"/>
            <color indexed="81"/>
            <rFont val="Tahoma"/>
            <family val="2"/>
          </rPr>
          <t>Emissions from feedstocks and non-energy use of fuels are reported in "1.A.5  Other".</t>
        </r>
      </text>
    </comment>
    <comment ref="X856" authorId="2" shapeId="0" xr:uid="{5695D92E-744A-43F1-AB23-1F603A8C5796}">
      <text>
        <r>
          <rPr>
            <sz val="8"/>
            <color indexed="81"/>
            <rFont val="Tahoma"/>
            <family val="2"/>
          </rPr>
          <t>Emissions from feedstocks and non-energy use of fuels are reported in "1.A.5  Other".</t>
        </r>
      </text>
    </comment>
    <comment ref="F866" authorId="2" shapeId="0" xr:uid="{996E3C67-381F-4772-A39C-98F472DAFEB8}">
      <text>
        <r>
          <rPr>
            <sz val="8"/>
            <color indexed="81"/>
            <rFont val="Tahoma"/>
            <family val="2"/>
          </rPr>
          <t>Emissions from feedstocks and non-energy use of fuels are reported in "1.A.5  Other".</t>
        </r>
      </text>
    </comment>
    <comment ref="G866" authorId="2" shapeId="0" xr:uid="{FFB8A5F2-E392-4053-98B6-0D1A141DA306}">
      <text>
        <r>
          <rPr>
            <sz val="8"/>
            <color indexed="81"/>
            <rFont val="Tahoma"/>
            <family val="2"/>
          </rPr>
          <t>Emissions from feedstocks and non-energy use of fuels are reported in "1.A.5  Other".</t>
        </r>
      </text>
    </comment>
    <comment ref="H866" authorId="2" shapeId="0" xr:uid="{CA72860B-221E-4EB4-89DB-206A09101396}">
      <text>
        <r>
          <rPr>
            <sz val="8"/>
            <color indexed="81"/>
            <rFont val="Tahoma"/>
            <family val="2"/>
          </rPr>
          <t>Emissions from feedstocks and non-energy use of fuels are reported in "1.A.5  Other".</t>
        </r>
      </text>
    </comment>
    <comment ref="I866" authorId="2" shapeId="0" xr:uid="{0ED60421-426C-4458-A91E-659A4AB58DAC}">
      <text>
        <r>
          <rPr>
            <sz val="8"/>
            <color indexed="81"/>
            <rFont val="Tahoma"/>
            <family val="2"/>
          </rPr>
          <t>Emissions from feedstocks and non-energy use of fuels are reported in "1.A.5  Other".</t>
        </r>
      </text>
    </comment>
    <comment ref="J866" authorId="2" shapeId="0" xr:uid="{A80C61B3-3E85-4EF2-9D26-9677ADD33494}">
      <text>
        <r>
          <rPr>
            <sz val="8"/>
            <color indexed="81"/>
            <rFont val="Tahoma"/>
            <family val="2"/>
          </rPr>
          <t>Emissions from feedstocks and non-energy use of fuels are reported in "1.A.5  Other".</t>
        </r>
      </text>
    </comment>
    <comment ref="K866" authorId="2" shapeId="0" xr:uid="{5BED341E-15A7-4EA1-9ABC-59FA6FAAE5D5}">
      <text>
        <r>
          <rPr>
            <sz val="8"/>
            <color indexed="81"/>
            <rFont val="Tahoma"/>
            <family val="2"/>
          </rPr>
          <t>Emissions from feedstocks and non-energy use of fuels are reported in "1.A.5  Other".</t>
        </r>
      </text>
    </comment>
    <comment ref="L866" authorId="2" shapeId="0" xr:uid="{D339EF13-1E50-45EE-A3FB-87590E5CDC58}">
      <text>
        <r>
          <rPr>
            <sz val="8"/>
            <color indexed="81"/>
            <rFont val="Tahoma"/>
            <family val="2"/>
          </rPr>
          <t>Emissions from feedstocks and non-energy use of fuels are reported in "1.A.5  Other".</t>
        </r>
      </text>
    </comment>
    <comment ref="M866" authorId="2" shapeId="0" xr:uid="{609CAE1B-1BC4-4F2A-B9D8-83DD2587561B}">
      <text>
        <r>
          <rPr>
            <sz val="8"/>
            <color indexed="81"/>
            <rFont val="Tahoma"/>
            <family val="2"/>
          </rPr>
          <t>Emissions from feedstocks and non-energy use of fuels are reported in "1.A.5  Other".</t>
        </r>
      </text>
    </comment>
    <comment ref="N866" authorId="2" shapeId="0" xr:uid="{024B8B04-33A5-4B0A-B6C7-A9438CDB7515}">
      <text>
        <r>
          <rPr>
            <sz val="8"/>
            <color indexed="81"/>
            <rFont val="Tahoma"/>
            <family val="2"/>
          </rPr>
          <t>Emissions from feedstocks and non-energy use of fuels are reported in "1.A.5  Other".</t>
        </r>
      </text>
    </comment>
    <comment ref="O866" authorId="2" shapeId="0" xr:uid="{47CC58F2-FB19-48A5-A470-CA5C9B42CA16}">
      <text>
        <r>
          <rPr>
            <sz val="8"/>
            <color indexed="81"/>
            <rFont val="Tahoma"/>
            <family val="2"/>
          </rPr>
          <t>Emissions from feedstocks and non-energy use of fuels are reported in "1.A.5  Other".</t>
        </r>
      </text>
    </comment>
    <comment ref="P866" authorId="2" shapeId="0" xr:uid="{04977E57-A6ED-4139-8749-AD177E3E060A}">
      <text>
        <r>
          <rPr>
            <sz val="8"/>
            <color indexed="81"/>
            <rFont val="Tahoma"/>
            <family val="2"/>
          </rPr>
          <t>Emissions from feedstocks and non-energy use of fuels are reported in "1.A.5  Other".</t>
        </r>
      </text>
    </comment>
    <comment ref="Q866" authorId="2" shapeId="0" xr:uid="{ED480231-2A6A-4EFB-9AFD-36439E66C93D}">
      <text>
        <r>
          <rPr>
            <sz val="8"/>
            <color indexed="81"/>
            <rFont val="Tahoma"/>
            <family val="2"/>
          </rPr>
          <t>Emissions from feedstocks and non-energy use of fuels are reported in "1.A.5  Other".</t>
        </r>
      </text>
    </comment>
    <comment ref="R866" authorId="2" shapeId="0" xr:uid="{00E3F972-EDE4-4F64-9300-A060A313F78F}">
      <text>
        <r>
          <rPr>
            <sz val="8"/>
            <color indexed="81"/>
            <rFont val="Tahoma"/>
            <family val="2"/>
          </rPr>
          <t>Emissions from feedstocks and non-energy use of fuels are reported in "1.A.5  Other".</t>
        </r>
      </text>
    </comment>
    <comment ref="S866" authorId="2" shapeId="0" xr:uid="{22499ECF-25A9-4DED-A7B6-67CBE91507D8}">
      <text>
        <r>
          <rPr>
            <sz val="8"/>
            <color indexed="81"/>
            <rFont val="Tahoma"/>
            <family val="2"/>
          </rPr>
          <t>Emissions from feedstocks and non-energy use of fuels are reported in "1.A.5  Other".</t>
        </r>
      </text>
    </comment>
    <comment ref="T866" authorId="2" shapeId="0" xr:uid="{168E9D29-3092-4D4D-BB10-5FA4558C1CDD}">
      <text>
        <r>
          <rPr>
            <sz val="8"/>
            <color indexed="81"/>
            <rFont val="Tahoma"/>
            <family val="2"/>
          </rPr>
          <t>Emissions from feedstocks and non-energy use of fuels are reported in "1.A.5  Other".</t>
        </r>
      </text>
    </comment>
    <comment ref="U866" authorId="2" shapeId="0" xr:uid="{BCF7EEBD-3C19-41B1-8C5D-2AE250E47F03}">
      <text>
        <r>
          <rPr>
            <sz val="8"/>
            <color indexed="81"/>
            <rFont val="Tahoma"/>
            <family val="2"/>
          </rPr>
          <t>Emissions from feedstocks and non-energy use of fuels are reported in "1.A.5  Other".</t>
        </r>
      </text>
    </comment>
    <comment ref="V866" authorId="2" shapeId="0" xr:uid="{8CA91135-8885-445D-9493-79508175C376}">
      <text>
        <r>
          <rPr>
            <sz val="8"/>
            <color indexed="81"/>
            <rFont val="Tahoma"/>
            <family val="2"/>
          </rPr>
          <t>Emissions from feedstocks and non-energy use of fuels are reported in "1.A.5  Other".</t>
        </r>
      </text>
    </comment>
    <comment ref="W866" authorId="2" shapeId="0" xr:uid="{990DC131-6F1C-49D4-B0C0-7730058EA4F0}">
      <text>
        <r>
          <rPr>
            <sz val="8"/>
            <color indexed="81"/>
            <rFont val="Tahoma"/>
            <family val="2"/>
          </rPr>
          <t>Emissions from feedstocks and non-energy use of fuels are reported in "1.A.5  Other".</t>
        </r>
      </text>
    </comment>
    <comment ref="X866" authorId="2" shapeId="0" xr:uid="{A2916CA1-D224-4F1C-A4F1-B6E78EA4443D}">
      <text>
        <r>
          <rPr>
            <sz val="8"/>
            <color indexed="81"/>
            <rFont val="Tahoma"/>
            <family val="2"/>
          </rPr>
          <t>Emissions from feedstocks and non-energy use of fuels are reported in "1.A.5  Other".</t>
        </r>
      </text>
    </comment>
    <comment ref="F872" authorId="2" shapeId="0" xr:uid="{F6E48112-DEDF-4FCA-863A-99085EF06861}">
      <text>
        <r>
          <rPr>
            <sz val="8"/>
            <color indexed="81"/>
            <rFont val="Tahoma"/>
            <family val="2"/>
          </rPr>
          <t>Emissions from feedstocks and non-energy use of fuels are reported in "1.A.5  Other".</t>
        </r>
      </text>
    </comment>
    <comment ref="G872" authorId="2" shapeId="0" xr:uid="{E92423DA-61B6-4E99-8FC2-E8A8AFA91322}">
      <text>
        <r>
          <rPr>
            <sz val="8"/>
            <color indexed="81"/>
            <rFont val="Tahoma"/>
            <family val="2"/>
          </rPr>
          <t>Emissions from feedstocks and non-energy use of fuels are reported in "1.A.5  Other".</t>
        </r>
      </text>
    </comment>
    <comment ref="H872" authorId="2" shapeId="0" xr:uid="{88A81C23-9218-40A2-BE76-8D2108C1F064}">
      <text>
        <r>
          <rPr>
            <sz val="8"/>
            <color indexed="81"/>
            <rFont val="Tahoma"/>
            <family val="2"/>
          </rPr>
          <t>Emissions from feedstocks and non-energy use of fuels are reported in "1.A.5  Other".</t>
        </r>
      </text>
    </comment>
    <comment ref="I872" authorId="2" shapeId="0" xr:uid="{922A39D6-6995-4C26-8E60-3312913BCB2B}">
      <text>
        <r>
          <rPr>
            <sz val="8"/>
            <color indexed="81"/>
            <rFont val="Tahoma"/>
            <family val="2"/>
          </rPr>
          <t>Emissions from feedstocks and non-energy use of fuels are reported in "1.A.5  Other".</t>
        </r>
      </text>
    </comment>
    <comment ref="J872" authorId="2" shapeId="0" xr:uid="{2D547A9C-50BB-45EB-A7D0-9AF54092D9E5}">
      <text>
        <r>
          <rPr>
            <sz val="8"/>
            <color indexed="81"/>
            <rFont val="Tahoma"/>
            <family val="2"/>
          </rPr>
          <t>Emissions from feedstocks and non-energy use of fuels are reported in "1.A.5  Other".</t>
        </r>
      </text>
    </comment>
    <comment ref="K872" authorId="2" shapeId="0" xr:uid="{487E9ED8-EA8C-407A-A1AB-F0686620BB5B}">
      <text>
        <r>
          <rPr>
            <sz val="8"/>
            <color indexed="81"/>
            <rFont val="Tahoma"/>
            <family val="2"/>
          </rPr>
          <t>Emissions from feedstocks and non-energy use of fuels are reported in "1.A.5  Other".</t>
        </r>
      </text>
    </comment>
    <comment ref="L872" authorId="2" shapeId="0" xr:uid="{8E689047-CE9B-435B-8528-40EBFA17940D}">
      <text>
        <r>
          <rPr>
            <sz val="8"/>
            <color indexed="81"/>
            <rFont val="Tahoma"/>
            <family val="2"/>
          </rPr>
          <t>Emissions from feedstocks and non-energy use of fuels are reported in "1.A.5  Other".</t>
        </r>
      </text>
    </comment>
    <comment ref="M872" authorId="2" shapeId="0" xr:uid="{C90E34CF-F5DD-4217-8BFC-0E3810FD5AA4}">
      <text>
        <r>
          <rPr>
            <sz val="8"/>
            <color indexed="81"/>
            <rFont val="Tahoma"/>
            <family val="2"/>
          </rPr>
          <t>Emissions from feedstocks and non-energy use of fuels are reported in "1.A.5  Other".</t>
        </r>
      </text>
    </comment>
    <comment ref="N872" authorId="2" shapeId="0" xr:uid="{F6D6A284-A229-4FD4-9FA9-F560ABBE5C2A}">
      <text>
        <r>
          <rPr>
            <sz val="8"/>
            <color indexed="81"/>
            <rFont val="Tahoma"/>
            <family val="2"/>
          </rPr>
          <t>Emissions from feedstocks and non-energy use of fuels are reported in "1.A.5  Other".</t>
        </r>
      </text>
    </comment>
    <comment ref="O872" authorId="2" shapeId="0" xr:uid="{758FEC63-2A1C-46CF-B30C-333BD2C03AF5}">
      <text>
        <r>
          <rPr>
            <sz val="8"/>
            <color indexed="81"/>
            <rFont val="Tahoma"/>
            <family val="2"/>
          </rPr>
          <t>Emissions from feedstocks and non-energy use of fuels are reported in "1.A.5  Other".</t>
        </r>
      </text>
    </comment>
    <comment ref="P872" authorId="2" shapeId="0" xr:uid="{55EC67FA-06DD-40DB-B386-C306F0530DC9}">
      <text>
        <r>
          <rPr>
            <sz val="8"/>
            <color indexed="81"/>
            <rFont val="Tahoma"/>
            <family val="2"/>
          </rPr>
          <t>Emissions from feedstocks and non-energy use of fuels are reported in "1.A.5  Other".</t>
        </r>
      </text>
    </comment>
    <comment ref="Q872" authorId="2" shapeId="0" xr:uid="{092DE604-AC21-468D-A631-2EA74BFA1FD0}">
      <text>
        <r>
          <rPr>
            <sz val="8"/>
            <color indexed="81"/>
            <rFont val="Tahoma"/>
            <family val="2"/>
          </rPr>
          <t>Emissions from feedstocks and non-energy use of fuels are reported in "1.A.5  Other".</t>
        </r>
      </text>
    </comment>
    <comment ref="R872" authorId="2" shapeId="0" xr:uid="{A2EF4138-137E-4E84-B0BA-A0B0ADE21C46}">
      <text>
        <r>
          <rPr>
            <sz val="8"/>
            <color indexed="81"/>
            <rFont val="Tahoma"/>
            <family val="2"/>
          </rPr>
          <t>Emissions from feedstocks and non-energy use of fuels are reported in "1.A.5  Other".</t>
        </r>
      </text>
    </comment>
    <comment ref="S872" authorId="2" shapeId="0" xr:uid="{5F77983C-4B63-4AEF-9705-8AD775AEA63D}">
      <text>
        <r>
          <rPr>
            <sz val="8"/>
            <color indexed="81"/>
            <rFont val="Tahoma"/>
            <family val="2"/>
          </rPr>
          <t>Emissions from feedstocks and non-energy use of fuels are reported in "1.A.5  Other".</t>
        </r>
      </text>
    </comment>
    <comment ref="T872" authorId="2" shapeId="0" xr:uid="{80C877C9-43C6-4678-AE62-3618C8697F69}">
      <text>
        <r>
          <rPr>
            <sz val="8"/>
            <color indexed="81"/>
            <rFont val="Tahoma"/>
            <family val="2"/>
          </rPr>
          <t>Emissions from feedstocks and non-energy use of fuels are reported in "1.A.5  Other".</t>
        </r>
      </text>
    </comment>
    <comment ref="U872" authorId="2" shapeId="0" xr:uid="{EC19B2E7-95E6-4811-8688-9A614471E0E3}">
      <text>
        <r>
          <rPr>
            <sz val="8"/>
            <color indexed="81"/>
            <rFont val="Tahoma"/>
            <family val="2"/>
          </rPr>
          <t>Emissions from feedstocks and non-energy use of fuels are reported in "1.A.5  Other".</t>
        </r>
      </text>
    </comment>
    <comment ref="V872" authorId="2" shapeId="0" xr:uid="{75C9C11A-3F66-499F-9EF4-C04D99FDA9A0}">
      <text>
        <r>
          <rPr>
            <sz val="8"/>
            <color indexed="81"/>
            <rFont val="Tahoma"/>
            <family val="2"/>
          </rPr>
          <t>Emissions from feedstocks and non-energy use of fuels are reported in "1.A.5  Other".</t>
        </r>
      </text>
    </comment>
    <comment ref="W872" authorId="2" shapeId="0" xr:uid="{42C6E67A-F7E1-4716-A0A7-B9C4AB3C8328}">
      <text>
        <r>
          <rPr>
            <sz val="8"/>
            <color indexed="81"/>
            <rFont val="Tahoma"/>
            <family val="2"/>
          </rPr>
          <t>Emissions from feedstocks and non-energy use of fuels are reported in "1.A.5  Other".</t>
        </r>
      </text>
    </comment>
    <comment ref="X872" authorId="2" shapeId="0" xr:uid="{C7BACE2F-A4D7-440F-ACC7-12DA8BEC10E9}">
      <text>
        <r>
          <rPr>
            <sz val="8"/>
            <color indexed="81"/>
            <rFont val="Tahoma"/>
            <family val="2"/>
          </rPr>
          <t>Emissions from feedstocks and non-energy use of fuels are reported in "1.A.5  Other".</t>
        </r>
      </text>
    </comment>
    <comment ref="F878" authorId="2" shapeId="0" xr:uid="{960B8153-78D0-475C-9D4A-9864F92EE539}">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G878" authorId="2" shapeId="0" xr:uid="{416B6199-87A7-460B-8E87-C097CB09836D}">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H878" authorId="2" shapeId="0" xr:uid="{5494643A-5CD1-4BD3-A44C-EE438093E434}">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I878" authorId="2" shapeId="0" xr:uid="{762EC423-FD63-4AD9-B7A2-B523A8248AFE}">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J878" authorId="2" shapeId="0" xr:uid="{4FD642B5-A93A-488E-BBBD-0F093C662E97}">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K878" authorId="2" shapeId="0" xr:uid="{2369B64A-3226-4FDC-A6E3-42AC95233789}">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L878" authorId="2" shapeId="0" xr:uid="{424925F4-8591-43A4-BCB4-766C549536A2}">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M878" authorId="2" shapeId="0" xr:uid="{77020A5D-BB78-4603-B59D-A9C5CE0481A9}">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N878" authorId="2" shapeId="0" xr:uid="{06CF06ED-5403-486C-A005-965CDFE21980}">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O878" authorId="2" shapeId="0" xr:uid="{2439391D-A3FF-4D6B-9AF3-288CE2773319}">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P878" authorId="2" shapeId="0" xr:uid="{F8E3D000-BD8A-498D-9060-DC60764239FE}">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Q878" authorId="2" shapeId="0" xr:uid="{EDDBDAC0-3BF0-429A-9778-76F24E835DFA}">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R878" authorId="2" shapeId="0" xr:uid="{443C5BFA-8E87-4C42-8359-6D856FA8F551}">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S878" authorId="2" shapeId="0" xr:uid="{BA51FF31-DA79-4413-B63B-96FD61A6B579}">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T878" authorId="2" shapeId="0" xr:uid="{E5D76F1A-11F7-4E76-883B-FF4C71523D66}">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U878" authorId="2" shapeId="0" xr:uid="{1B0D88BB-5135-4EDD-85DC-8246EA8E2338}">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V878" authorId="2" shapeId="0" xr:uid="{975F8C35-8B62-41AF-A8BB-1DF6A1DCE9C4}">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W878" authorId="2" shapeId="0" xr:uid="{96444E25-5503-4548-882A-4EA5F88486CA}">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X878" authorId="2" shapeId="0" xr:uid="{58E76FFC-915B-43F9-B495-7382F506DBD6}">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carbon black manufacture.</t>
        </r>
      </text>
    </comment>
    <comment ref="F884" authorId="2" shapeId="0" xr:uid="{073E072E-5D7B-4492-9BB4-298395F411F8}">
      <text>
        <r>
          <rPr>
            <sz val="8"/>
            <color indexed="81"/>
            <rFont val="Tahoma"/>
            <family val="2"/>
          </rPr>
          <t>Emissions from feedstocks and non-energy use of fuels are reported in "1.A.5  Other".</t>
        </r>
      </text>
    </comment>
    <comment ref="G884" authorId="2" shapeId="0" xr:uid="{957E22BA-6B54-4D4C-96A9-5552C138CE69}">
      <text>
        <r>
          <rPr>
            <sz val="8"/>
            <color indexed="81"/>
            <rFont val="Tahoma"/>
            <family val="2"/>
          </rPr>
          <t>Emissions from feedstocks and non-energy use of fuels are reported in "1.A.5  Other".</t>
        </r>
      </text>
    </comment>
    <comment ref="H884" authorId="2" shapeId="0" xr:uid="{9E033CB1-8CD9-472C-BA3D-605FEFEFAE68}">
      <text>
        <r>
          <rPr>
            <sz val="8"/>
            <color indexed="81"/>
            <rFont val="Tahoma"/>
            <family val="2"/>
          </rPr>
          <t>Emissions from feedstocks and non-energy use of fuels are reported in "1.A.5  Other".</t>
        </r>
      </text>
    </comment>
    <comment ref="I884" authorId="2" shapeId="0" xr:uid="{16888AE8-6C19-4BE3-B8A3-EB0AD1151C27}">
      <text>
        <r>
          <rPr>
            <sz val="8"/>
            <color indexed="81"/>
            <rFont val="Tahoma"/>
            <family val="2"/>
          </rPr>
          <t>Emissions from feedstocks and non-energy use of fuels are reported in "1.A.5  Other".</t>
        </r>
      </text>
    </comment>
    <comment ref="J884" authorId="2" shapeId="0" xr:uid="{EB5251DE-9AF5-4B2E-A117-A1A0C43FE34C}">
      <text>
        <r>
          <rPr>
            <sz val="8"/>
            <color indexed="81"/>
            <rFont val="Tahoma"/>
            <family val="2"/>
          </rPr>
          <t>Emissions from feedstocks and non-energy use of fuels are reported in "1.A.5  Other".</t>
        </r>
      </text>
    </comment>
    <comment ref="K884" authorId="2" shapeId="0" xr:uid="{3FE254A0-E851-4E63-97C4-99CFDF198F15}">
      <text>
        <r>
          <rPr>
            <sz val="8"/>
            <color indexed="81"/>
            <rFont val="Tahoma"/>
            <family val="2"/>
          </rPr>
          <t>Emissions from feedstocks and non-energy use of fuels are reported in "1.A.5  Other".</t>
        </r>
      </text>
    </comment>
    <comment ref="L884" authorId="2" shapeId="0" xr:uid="{E81EA964-1F83-4CE7-8CA5-F9AC3BC7E636}">
      <text>
        <r>
          <rPr>
            <sz val="8"/>
            <color indexed="81"/>
            <rFont val="Tahoma"/>
            <family val="2"/>
          </rPr>
          <t>Emissions from feedstocks and non-energy use of fuels are reported in "1.A.5  Other".</t>
        </r>
      </text>
    </comment>
    <comment ref="M884" authorId="2" shapeId="0" xr:uid="{41D865C5-5F46-43DF-BF2B-01DC9E657E8D}">
      <text>
        <r>
          <rPr>
            <sz val="8"/>
            <color indexed="81"/>
            <rFont val="Tahoma"/>
            <family val="2"/>
          </rPr>
          <t>Emissions from feedstocks and non-energy use of fuels are reported in "1.A.5  Other".</t>
        </r>
      </text>
    </comment>
    <comment ref="N884" authorId="2" shapeId="0" xr:uid="{F499E83C-BD9F-4D95-812B-ACF1CB07A8BB}">
      <text>
        <r>
          <rPr>
            <sz val="8"/>
            <color indexed="81"/>
            <rFont val="Tahoma"/>
            <family val="2"/>
          </rPr>
          <t>Emissions from feedstocks and non-energy use of fuels are reported in "1.A.5  Other".</t>
        </r>
      </text>
    </comment>
    <comment ref="O884" authorId="2" shapeId="0" xr:uid="{D6E647DF-7769-4A90-8801-6D444C2D19E2}">
      <text>
        <r>
          <rPr>
            <sz val="8"/>
            <color indexed="81"/>
            <rFont val="Tahoma"/>
            <family val="2"/>
          </rPr>
          <t>Emissions from feedstocks and non-energy use of fuels are reported in "1.A.5  Other".</t>
        </r>
      </text>
    </comment>
    <comment ref="P884" authorId="2" shapeId="0" xr:uid="{DD0B8CFE-AB72-4C78-88A9-498073C0423E}">
      <text>
        <r>
          <rPr>
            <sz val="8"/>
            <color indexed="81"/>
            <rFont val="Tahoma"/>
            <family val="2"/>
          </rPr>
          <t>Emissions from feedstocks and non-energy use of fuels are reported in "1.A.5  Other".</t>
        </r>
      </text>
    </comment>
    <comment ref="Q884" authorId="2" shapeId="0" xr:uid="{D565067E-E31A-4267-B80E-41624AD492DA}">
      <text>
        <r>
          <rPr>
            <sz val="8"/>
            <color indexed="81"/>
            <rFont val="Tahoma"/>
            <family val="2"/>
          </rPr>
          <t>Emissions from feedstocks and non-energy use of fuels are reported in "1.A.5  Other".</t>
        </r>
      </text>
    </comment>
    <comment ref="R884" authorId="2" shapeId="0" xr:uid="{BF9ED46C-6F92-4203-8B4C-04778150FFBE}">
      <text>
        <r>
          <rPr>
            <sz val="8"/>
            <color indexed="81"/>
            <rFont val="Tahoma"/>
            <family val="2"/>
          </rPr>
          <t>Emissions from feedstocks and non-energy use of fuels are reported in "1.A.5  Other".</t>
        </r>
      </text>
    </comment>
    <comment ref="S884" authorId="2" shapeId="0" xr:uid="{17B51934-6CC2-497D-85C0-D798DB51C5D5}">
      <text>
        <r>
          <rPr>
            <sz val="8"/>
            <color indexed="81"/>
            <rFont val="Tahoma"/>
            <family val="2"/>
          </rPr>
          <t>Emissions from feedstocks and non-energy use of fuels are reported in "1.A.5  Other".</t>
        </r>
      </text>
    </comment>
    <comment ref="T884" authorId="2" shapeId="0" xr:uid="{865BFBCE-1A11-47E3-A493-FBE5F8233CE1}">
      <text>
        <r>
          <rPr>
            <sz val="8"/>
            <color indexed="81"/>
            <rFont val="Tahoma"/>
            <family val="2"/>
          </rPr>
          <t>Emissions from feedstocks and non-energy use of fuels are reported in "1.A.5  Other".</t>
        </r>
      </text>
    </comment>
    <comment ref="U884" authorId="2" shapeId="0" xr:uid="{CB9DCB46-82EC-40B4-88AF-6ABE1ED1F070}">
      <text>
        <r>
          <rPr>
            <sz val="8"/>
            <color indexed="81"/>
            <rFont val="Tahoma"/>
            <family val="2"/>
          </rPr>
          <t>Emissions from feedstocks and non-energy use of fuels are reported in "1.A.5  Other".</t>
        </r>
      </text>
    </comment>
    <comment ref="V884" authorId="2" shapeId="0" xr:uid="{663864BA-7217-4148-9098-7238E70292ED}">
      <text>
        <r>
          <rPr>
            <sz val="8"/>
            <color indexed="81"/>
            <rFont val="Tahoma"/>
            <family val="2"/>
          </rPr>
          <t>Emissions from feedstocks and non-energy use of fuels are reported in "1.A.5  Other".</t>
        </r>
      </text>
    </comment>
    <comment ref="W884" authorId="2" shapeId="0" xr:uid="{CD46317F-AFFB-4A11-B3D4-D3885DD65AC1}">
      <text>
        <r>
          <rPr>
            <sz val="8"/>
            <color indexed="81"/>
            <rFont val="Tahoma"/>
            <family val="2"/>
          </rPr>
          <t>Emissions from feedstocks and non-energy use of fuels are reported in "1.A.5  Other".</t>
        </r>
      </text>
    </comment>
    <comment ref="X884" authorId="2" shapeId="0" xr:uid="{4B075091-1A4D-440B-907B-A5C785A3FAD7}">
      <text>
        <r>
          <rPr>
            <sz val="8"/>
            <color indexed="81"/>
            <rFont val="Tahoma"/>
            <family val="2"/>
          </rPr>
          <t>Emissions from feedstocks and non-energy use of fuels are reported in "1.A.5  Other".</t>
        </r>
      </text>
    </comment>
    <comment ref="F890" authorId="2" shapeId="0" xr:uid="{FD48157A-2BE5-4A28-8565-E2C261CAB888}">
      <text>
        <r>
          <rPr>
            <sz val="8"/>
            <color indexed="81"/>
            <rFont val="Tahoma"/>
            <family val="2"/>
          </rPr>
          <t>Emissions from feedstocks and non-energy use of fuels are reported in "1.A.5  Other".</t>
        </r>
      </text>
    </comment>
    <comment ref="G890" authorId="2" shapeId="0" xr:uid="{A66844ED-1D78-43E7-9CD8-04BE2908B246}">
      <text>
        <r>
          <rPr>
            <sz val="8"/>
            <color indexed="81"/>
            <rFont val="Tahoma"/>
            <family val="2"/>
          </rPr>
          <t>Emissions from feedstocks and non-energy use of fuels are reported in "1.A.5  Other".</t>
        </r>
      </text>
    </comment>
    <comment ref="H890" authorId="2" shapeId="0" xr:uid="{BF4DC7D7-92C4-4103-B8D4-25087B0BB313}">
      <text>
        <r>
          <rPr>
            <sz val="8"/>
            <color indexed="81"/>
            <rFont val="Tahoma"/>
            <family val="2"/>
          </rPr>
          <t>Emissions from feedstocks and non-energy use of fuels are reported in "1.A.5  Other".</t>
        </r>
      </text>
    </comment>
    <comment ref="I890" authorId="2" shapeId="0" xr:uid="{AB91A651-3291-419B-A0E9-7C22A7F40CC6}">
      <text>
        <r>
          <rPr>
            <sz val="8"/>
            <color indexed="81"/>
            <rFont val="Tahoma"/>
            <family val="2"/>
          </rPr>
          <t>Emissions from feedstocks and non-energy use of fuels are reported in "1.A.5  Other".</t>
        </r>
      </text>
    </comment>
    <comment ref="J890" authorId="2" shapeId="0" xr:uid="{8CCF4F90-9BB1-4D2B-9B99-A6E06295779C}">
      <text>
        <r>
          <rPr>
            <sz val="8"/>
            <color indexed="81"/>
            <rFont val="Tahoma"/>
            <family val="2"/>
          </rPr>
          <t>Emissions from feedstocks and non-energy use of fuels are reported in "1.A.5  Other".</t>
        </r>
      </text>
    </comment>
    <comment ref="K890" authorId="2" shapeId="0" xr:uid="{8A995068-2ED2-459D-9EEA-2E3F6F1CFA8B}">
      <text>
        <r>
          <rPr>
            <sz val="8"/>
            <color indexed="81"/>
            <rFont val="Tahoma"/>
            <family val="2"/>
          </rPr>
          <t>Emissions from feedstocks and non-energy use of fuels are reported in "1.A.5  Other".</t>
        </r>
      </text>
    </comment>
    <comment ref="L890" authorId="2" shapeId="0" xr:uid="{AABEA081-F9BF-4569-B937-7EBEEA0E36F2}">
      <text>
        <r>
          <rPr>
            <sz val="8"/>
            <color indexed="81"/>
            <rFont val="Tahoma"/>
            <family val="2"/>
          </rPr>
          <t>Emissions from feedstocks and non-energy use of fuels are reported in "1.A.5  Other".</t>
        </r>
      </text>
    </comment>
    <comment ref="M890" authorId="2" shapeId="0" xr:uid="{DCB01AA9-3FB3-4A25-89C9-25D1A39F1B42}">
      <text>
        <r>
          <rPr>
            <sz val="8"/>
            <color indexed="81"/>
            <rFont val="Tahoma"/>
            <family val="2"/>
          </rPr>
          <t>Emissions from feedstocks and non-energy use of fuels are reported in "1.A.5  Other".</t>
        </r>
      </text>
    </comment>
    <comment ref="N890" authorId="2" shapeId="0" xr:uid="{BAF2D9A8-9FFC-4ACF-B5B6-F232BCEEBE47}">
      <text>
        <r>
          <rPr>
            <sz val="8"/>
            <color indexed="81"/>
            <rFont val="Tahoma"/>
            <family val="2"/>
          </rPr>
          <t>Emissions from feedstocks and non-energy use of fuels are reported in "1.A.5  Other".</t>
        </r>
      </text>
    </comment>
    <comment ref="O890" authorId="2" shapeId="0" xr:uid="{F4C10A4A-88A1-4377-99DA-E4E2FCD58938}">
      <text>
        <r>
          <rPr>
            <sz val="8"/>
            <color indexed="81"/>
            <rFont val="Tahoma"/>
            <family val="2"/>
          </rPr>
          <t>Emissions from feedstocks and non-energy use of fuels are reported in "1.A.5  Other".</t>
        </r>
      </text>
    </comment>
    <comment ref="P890" authorId="2" shapeId="0" xr:uid="{E896D523-F6E1-4734-B8CD-9B7C0D972F69}">
      <text>
        <r>
          <rPr>
            <sz val="8"/>
            <color indexed="81"/>
            <rFont val="Tahoma"/>
            <family val="2"/>
          </rPr>
          <t>Emissions from feedstocks and non-energy use of fuels are reported in "1.A.5  Other".</t>
        </r>
      </text>
    </comment>
    <comment ref="Q890" authorId="2" shapeId="0" xr:uid="{9AD0C293-0AE0-4BAE-B748-A1FB7FBAD7F9}">
      <text>
        <r>
          <rPr>
            <sz val="8"/>
            <color indexed="81"/>
            <rFont val="Tahoma"/>
            <family val="2"/>
          </rPr>
          <t>Emissions from feedstocks and non-energy use of fuels are reported in "1.A.5  Other".</t>
        </r>
      </text>
    </comment>
    <comment ref="R890" authorId="2" shapeId="0" xr:uid="{8320C3CD-ED8F-479F-A610-E1C3E345F418}">
      <text>
        <r>
          <rPr>
            <sz val="8"/>
            <color indexed="81"/>
            <rFont val="Tahoma"/>
            <family val="2"/>
          </rPr>
          <t>Emissions from feedstocks and non-energy use of fuels are reported in "1.A.5  Other".</t>
        </r>
      </text>
    </comment>
    <comment ref="S890" authorId="2" shapeId="0" xr:uid="{2142B246-07E7-4EB9-AE9A-00E43FF32AE4}">
      <text>
        <r>
          <rPr>
            <sz val="8"/>
            <color indexed="81"/>
            <rFont val="Tahoma"/>
            <family val="2"/>
          </rPr>
          <t>Emissions from feedstocks and non-energy use of fuels are reported in "1.A.5  Other".</t>
        </r>
      </text>
    </comment>
    <comment ref="T890" authorId="2" shapeId="0" xr:uid="{FE38007E-1BB1-4681-9262-096D61039793}">
      <text>
        <r>
          <rPr>
            <sz val="8"/>
            <color indexed="81"/>
            <rFont val="Tahoma"/>
            <family val="2"/>
          </rPr>
          <t>Emissions from feedstocks and non-energy use of fuels are reported in "1.A.5  Other".</t>
        </r>
      </text>
    </comment>
    <comment ref="U890" authorId="2" shapeId="0" xr:uid="{12E43CCD-31F6-4246-AF69-99221851AF0A}">
      <text>
        <r>
          <rPr>
            <sz val="8"/>
            <color indexed="81"/>
            <rFont val="Tahoma"/>
            <family val="2"/>
          </rPr>
          <t>Emissions from feedstocks and non-energy use of fuels are reported in "1.A.5  Other".</t>
        </r>
      </text>
    </comment>
    <comment ref="V890" authorId="2" shapeId="0" xr:uid="{CDE93E95-5F01-4C49-8BAA-F34B247CE562}">
      <text>
        <r>
          <rPr>
            <sz val="8"/>
            <color indexed="81"/>
            <rFont val="Tahoma"/>
            <family val="2"/>
          </rPr>
          <t>Emissions from feedstocks and non-energy use of fuels are reported in "1.A.5  Other".</t>
        </r>
      </text>
    </comment>
    <comment ref="W890" authorId="2" shapeId="0" xr:uid="{207B5CBE-E69B-4020-9BBF-36726BBE2C66}">
      <text>
        <r>
          <rPr>
            <sz val="8"/>
            <color indexed="81"/>
            <rFont val="Tahoma"/>
            <family val="2"/>
          </rPr>
          <t>Emissions from feedstocks and non-energy use of fuels are reported in "1.A.5  Other".</t>
        </r>
      </text>
    </comment>
    <comment ref="X890" authorId="2" shapeId="0" xr:uid="{770FFFB1-268D-49D3-9E85-B9965AAD4789}">
      <text>
        <r>
          <rPr>
            <sz val="8"/>
            <color indexed="81"/>
            <rFont val="Tahoma"/>
            <family val="2"/>
          </rPr>
          <t>Emissions from feedstocks and non-energy use of fuels are reported in "1.A.5  Other".</t>
        </r>
      </text>
    </comment>
    <comment ref="F896" authorId="2" shapeId="0" xr:uid="{B0FED9C0-81C7-427D-B0A7-BBDCC9F55064}">
      <text>
        <r>
          <rPr>
            <sz val="8"/>
            <color indexed="81"/>
            <rFont val="Tahoma"/>
            <family val="2"/>
          </rPr>
          <t>Emissions from feedstocks and non-energy use of fuels are reported in "1.A.5  Other".</t>
        </r>
      </text>
    </comment>
    <comment ref="G896" authorId="2" shapeId="0" xr:uid="{B2130F49-51E8-4A8A-A6B5-9F81497C86C7}">
      <text>
        <r>
          <rPr>
            <sz val="8"/>
            <color indexed="81"/>
            <rFont val="Tahoma"/>
            <family val="2"/>
          </rPr>
          <t>Emissions from feedstocks and non-energy use of fuels are reported in "1.A.5  Other".</t>
        </r>
      </text>
    </comment>
    <comment ref="H896" authorId="2" shapeId="0" xr:uid="{E9CCFE51-0BD9-4099-8D1C-E96E622D54A9}">
      <text>
        <r>
          <rPr>
            <sz val="8"/>
            <color indexed="81"/>
            <rFont val="Tahoma"/>
            <family val="2"/>
          </rPr>
          <t>Emissions from feedstocks and non-energy use of fuels are reported in "1.A.5  Other".</t>
        </r>
      </text>
    </comment>
    <comment ref="I896" authorId="2" shapeId="0" xr:uid="{DBB8ECC1-CCF3-400E-AB41-AC336698D7F3}">
      <text>
        <r>
          <rPr>
            <sz val="8"/>
            <color indexed="81"/>
            <rFont val="Tahoma"/>
            <family val="2"/>
          </rPr>
          <t>Emissions from feedstocks and non-energy use of fuels are reported in "1.A.5  Other".</t>
        </r>
      </text>
    </comment>
    <comment ref="J896" authorId="2" shapeId="0" xr:uid="{B2178496-E1D9-4149-B132-CABB137D18AF}">
      <text>
        <r>
          <rPr>
            <sz val="8"/>
            <color indexed="81"/>
            <rFont val="Tahoma"/>
            <family val="2"/>
          </rPr>
          <t>Emissions from feedstocks and non-energy use of fuels are reported in "1.A.5  Other".</t>
        </r>
      </text>
    </comment>
    <comment ref="K896" authorId="2" shapeId="0" xr:uid="{91017925-136D-41A0-91F0-5661BE018B5A}">
      <text>
        <r>
          <rPr>
            <sz val="8"/>
            <color indexed="81"/>
            <rFont val="Tahoma"/>
            <family val="2"/>
          </rPr>
          <t>Emissions from feedstocks and non-energy use of fuels are reported in "1.A.5  Other".</t>
        </r>
      </text>
    </comment>
    <comment ref="L896" authorId="2" shapeId="0" xr:uid="{B93011F4-8DF7-4BA0-B4D1-72AC08AD5BBB}">
      <text>
        <r>
          <rPr>
            <sz val="8"/>
            <color indexed="81"/>
            <rFont val="Tahoma"/>
            <family val="2"/>
          </rPr>
          <t>Emissions from feedstocks and non-energy use of fuels are reported in "1.A.5  Other".</t>
        </r>
      </text>
    </comment>
    <comment ref="M896" authorId="2" shapeId="0" xr:uid="{298DD464-ED86-4AFB-81C8-0126C63906F1}">
      <text>
        <r>
          <rPr>
            <sz val="8"/>
            <color indexed="81"/>
            <rFont val="Tahoma"/>
            <family val="2"/>
          </rPr>
          <t>Emissions from feedstocks and non-energy use of fuels are reported in "1.A.5  Other".</t>
        </r>
      </text>
    </comment>
    <comment ref="N896" authorId="2" shapeId="0" xr:uid="{E648D869-0FA3-4B28-B5E1-6ABD68AF1A5E}">
      <text>
        <r>
          <rPr>
            <sz val="8"/>
            <color indexed="81"/>
            <rFont val="Tahoma"/>
            <family val="2"/>
          </rPr>
          <t>Emissions from feedstocks and non-energy use of fuels are reported in "1.A.5  Other".</t>
        </r>
      </text>
    </comment>
    <comment ref="O896" authorId="2" shapeId="0" xr:uid="{046CF018-E1BB-4C49-9241-FBF3D4DD8B91}">
      <text>
        <r>
          <rPr>
            <sz val="8"/>
            <color indexed="81"/>
            <rFont val="Tahoma"/>
            <family val="2"/>
          </rPr>
          <t>Emissions from feedstocks and non-energy use of fuels are reported in "1.A.5  Other".</t>
        </r>
      </text>
    </comment>
    <comment ref="P896" authorId="2" shapeId="0" xr:uid="{FE242598-DF45-478E-B98C-F9737DD20AC7}">
      <text>
        <r>
          <rPr>
            <sz val="8"/>
            <color indexed="81"/>
            <rFont val="Tahoma"/>
            <family val="2"/>
          </rPr>
          <t>Emissions from feedstocks and non-energy use of fuels are reported in "1.A.5  Other".</t>
        </r>
      </text>
    </comment>
    <comment ref="Q896" authorId="2" shapeId="0" xr:uid="{6006305D-AEED-49DB-8372-DE97B4675DBD}">
      <text>
        <r>
          <rPr>
            <sz val="8"/>
            <color indexed="81"/>
            <rFont val="Tahoma"/>
            <family val="2"/>
          </rPr>
          <t>Emissions from feedstocks and non-energy use of fuels are reported in "1.A.5  Other".</t>
        </r>
      </text>
    </comment>
    <comment ref="R896" authorId="2" shapeId="0" xr:uid="{62F21CF2-F760-4FB5-A18F-0F80E2669C16}">
      <text>
        <r>
          <rPr>
            <sz val="8"/>
            <color indexed="81"/>
            <rFont val="Tahoma"/>
            <family val="2"/>
          </rPr>
          <t>Emissions from feedstocks and non-energy use of fuels are reported in "1.A.5  Other".</t>
        </r>
      </text>
    </comment>
    <comment ref="S896" authorId="2" shapeId="0" xr:uid="{979B0594-A2E2-4146-9EE1-852886329DA9}">
      <text>
        <r>
          <rPr>
            <sz val="8"/>
            <color indexed="81"/>
            <rFont val="Tahoma"/>
            <family val="2"/>
          </rPr>
          <t>Emissions from feedstocks and non-energy use of fuels are reported in "1.A.5  Other".</t>
        </r>
      </text>
    </comment>
    <comment ref="T896" authorId="2" shapeId="0" xr:uid="{BDE0DEB1-BA72-450D-A2A3-ECEAF74D9C3E}">
      <text>
        <r>
          <rPr>
            <sz val="8"/>
            <color indexed="81"/>
            <rFont val="Tahoma"/>
            <family val="2"/>
          </rPr>
          <t>Emissions from feedstocks and non-energy use of fuels are reported in "1.A.5  Other".</t>
        </r>
      </text>
    </comment>
    <comment ref="U896" authorId="2" shapeId="0" xr:uid="{3FB36561-42B2-44EB-914B-E7CA028783DA}">
      <text>
        <r>
          <rPr>
            <sz val="8"/>
            <color indexed="81"/>
            <rFont val="Tahoma"/>
            <family val="2"/>
          </rPr>
          <t>Emissions from feedstocks and non-energy use of fuels are reported in "1.A.5  Other".</t>
        </r>
      </text>
    </comment>
    <comment ref="V896" authorId="2" shapeId="0" xr:uid="{6BC75862-2B78-4B58-B588-93C425EAA0BE}">
      <text>
        <r>
          <rPr>
            <sz val="8"/>
            <color indexed="81"/>
            <rFont val="Tahoma"/>
            <family val="2"/>
          </rPr>
          <t>Emissions from feedstocks and non-energy use of fuels are reported in "1.A.5  Other".</t>
        </r>
      </text>
    </comment>
    <comment ref="W896" authorId="2" shapeId="0" xr:uid="{A79CA96D-61F2-45BF-89C1-5B8D452CA932}">
      <text>
        <r>
          <rPr>
            <sz val="8"/>
            <color indexed="81"/>
            <rFont val="Tahoma"/>
            <family val="2"/>
          </rPr>
          <t>Emissions from feedstocks and non-energy use of fuels are reported in "1.A.5  Other".</t>
        </r>
      </text>
    </comment>
    <comment ref="X896" authorId="2" shapeId="0" xr:uid="{6841ECD5-6A23-44E0-9C2C-3D247E6C21ED}">
      <text>
        <r>
          <rPr>
            <sz val="8"/>
            <color indexed="81"/>
            <rFont val="Tahoma"/>
            <family val="2"/>
          </rPr>
          <t>Emissions from feedstocks and non-energy use of fuels are reported in "1.A.5  Other".</t>
        </r>
      </text>
    </comment>
    <comment ref="F902" authorId="2" shapeId="0" xr:uid="{151A65B6-41FB-4D76-A070-210883549311}">
      <text>
        <r>
          <rPr>
            <sz val="8"/>
            <color indexed="81"/>
            <rFont val="Tahoma"/>
            <family val="2"/>
          </rPr>
          <t>Emissions from feedstocks and non-energy use of fuels are reported in "1.A.5  Other".</t>
        </r>
      </text>
    </comment>
    <comment ref="G902" authorId="2" shapeId="0" xr:uid="{C8C0D581-63E0-44AE-9D0E-A26749610D0F}">
      <text>
        <r>
          <rPr>
            <sz val="8"/>
            <color indexed="81"/>
            <rFont val="Tahoma"/>
            <family val="2"/>
          </rPr>
          <t>Emissions from feedstocks and non-energy use of fuels are reported in "1.A.5  Other".</t>
        </r>
      </text>
    </comment>
    <comment ref="H902" authorId="2" shapeId="0" xr:uid="{B08D0A3B-257E-438E-9CFA-79296A581FA7}">
      <text>
        <r>
          <rPr>
            <sz val="8"/>
            <color indexed="81"/>
            <rFont val="Tahoma"/>
            <family val="2"/>
          </rPr>
          <t>Emissions from feedstocks and non-energy use of fuels are reported in "1.A.5  Other".</t>
        </r>
      </text>
    </comment>
    <comment ref="I902" authorId="2" shapeId="0" xr:uid="{F17EFCEF-1C1A-4E2F-A9E2-9CC4044250CF}">
      <text>
        <r>
          <rPr>
            <sz val="8"/>
            <color indexed="81"/>
            <rFont val="Tahoma"/>
            <family val="2"/>
          </rPr>
          <t>Emissions from feedstocks and non-energy use of fuels are reported in "1.A.5  Other".</t>
        </r>
      </text>
    </comment>
    <comment ref="J902" authorId="2" shapeId="0" xr:uid="{86A5E0F0-F07B-4198-838E-EC6FA3976D6B}">
      <text>
        <r>
          <rPr>
            <sz val="8"/>
            <color indexed="81"/>
            <rFont val="Tahoma"/>
            <family val="2"/>
          </rPr>
          <t>Emissions from feedstocks and non-energy use of fuels are reported in "1.A.5  Other".</t>
        </r>
      </text>
    </comment>
    <comment ref="K902" authorId="2" shapeId="0" xr:uid="{4F65D750-254A-4556-933B-4C4CF947D788}">
      <text>
        <r>
          <rPr>
            <sz val="8"/>
            <color indexed="81"/>
            <rFont val="Tahoma"/>
            <family val="2"/>
          </rPr>
          <t>Emissions from feedstocks and non-energy use of fuels are reported in "1.A.5  Other".</t>
        </r>
      </text>
    </comment>
    <comment ref="L902" authorId="2" shapeId="0" xr:uid="{4EB6F370-2B69-4012-B0D8-9F7972D4911F}">
      <text>
        <r>
          <rPr>
            <sz val="8"/>
            <color indexed="81"/>
            <rFont val="Tahoma"/>
            <family val="2"/>
          </rPr>
          <t>Emissions from feedstocks and non-energy use of fuels are reported in "1.A.5  Other".</t>
        </r>
      </text>
    </comment>
    <comment ref="M902" authorId="2" shapeId="0" xr:uid="{537D3772-8B05-4849-A4A5-47F6BCA06437}">
      <text>
        <r>
          <rPr>
            <sz val="8"/>
            <color indexed="81"/>
            <rFont val="Tahoma"/>
            <family val="2"/>
          </rPr>
          <t>Emissions from feedstocks and non-energy use of fuels are reported in "1.A.5  Other".</t>
        </r>
      </text>
    </comment>
    <comment ref="N902" authorId="2" shapeId="0" xr:uid="{6711410C-EDC0-48B8-9ADE-75F7B8313B67}">
      <text>
        <r>
          <rPr>
            <sz val="8"/>
            <color indexed="81"/>
            <rFont val="Tahoma"/>
            <family val="2"/>
          </rPr>
          <t>Emissions from feedstocks and non-energy use of fuels are reported in "1.A.5  Other".</t>
        </r>
      </text>
    </comment>
    <comment ref="O902" authorId="2" shapeId="0" xr:uid="{15F537AB-089E-4A4E-A0AF-03397256FEC6}">
      <text>
        <r>
          <rPr>
            <sz val="8"/>
            <color indexed="81"/>
            <rFont val="Tahoma"/>
            <family val="2"/>
          </rPr>
          <t>Emissions from feedstocks and non-energy use of fuels are reported in "1.A.5  Other".</t>
        </r>
      </text>
    </comment>
    <comment ref="P902" authorId="2" shapeId="0" xr:uid="{5DD07970-F4F1-473F-8FF7-6F303615E582}">
      <text>
        <r>
          <rPr>
            <sz val="8"/>
            <color indexed="81"/>
            <rFont val="Tahoma"/>
            <family val="2"/>
          </rPr>
          <t>Emissions from feedstocks and non-energy use of fuels are reported in "1.A.5  Other".</t>
        </r>
      </text>
    </comment>
    <comment ref="Q902" authorId="2" shapeId="0" xr:uid="{5DA8798F-5216-4359-976D-5D2B8D482416}">
      <text>
        <r>
          <rPr>
            <sz val="8"/>
            <color indexed="81"/>
            <rFont val="Tahoma"/>
            <family val="2"/>
          </rPr>
          <t>Emissions from feedstocks and non-energy use of fuels are reported in "1.A.5  Other".</t>
        </r>
      </text>
    </comment>
    <comment ref="R902" authorId="2" shapeId="0" xr:uid="{34482901-E65D-414D-8027-116F762BB474}">
      <text>
        <r>
          <rPr>
            <sz val="8"/>
            <color indexed="81"/>
            <rFont val="Tahoma"/>
            <family val="2"/>
          </rPr>
          <t>Emissions from feedstocks and non-energy use of fuels are reported in "1.A.5  Other".</t>
        </r>
      </text>
    </comment>
    <comment ref="S902" authorId="2" shapeId="0" xr:uid="{EB70CB32-7C4E-444F-9E65-7E332D2F4B4B}">
      <text>
        <r>
          <rPr>
            <sz val="8"/>
            <color indexed="81"/>
            <rFont val="Tahoma"/>
            <family val="2"/>
          </rPr>
          <t>Emissions from feedstocks and non-energy use of fuels are reported in "1.A.5  Other".</t>
        </r>
      </text>
    </comment>
    <comment ref="T902" authorId="2" shapeId="0" xr:uid="{0BB39725-7D93-48B7-81F5-EDFC72C624CE}">
      <text>
        <r>
          <rPr>
            <sz val="8"/>
            <color indexed="81"/>
            <rFont val="Tahoma"/>
            <family val="2"/>
          </rPr>
          <t>Emissions from feedstocks and non-energy use of fuels are reported in "1.A.5  Other".</t>
        </r>
      </text>
    </comment>
    <comment ref="U902" authorId="2" shapeId="0" xr:uid="{22CBFA3D-F1F4-491F-87B2-F770E10C3762}">
      <text>
        <r>
          <rPr>
            <sz val="8"/>
            <color indexed="81"/>
            <rFont val="Tahoma"/>
            <family val="2"/>
          </rPr>
          <t>Emissions from feedstocks and non-energy use of fuels are reported in "1.A.5  Other".</t>
        </r>
      </text>
    </comment>
    <comment ref="V902" authorId="2" shapeId="0" xr:uid="{43407277-E40A-4767-900B-380B1E6091C3}">
      <text>
        <r>
          <rPr>
            <sz val="8"/>
            <color indexed="81"/>
            <rFont val="Tahoma"/>
            <family val="2"/>
          </rPr>
          <t>Emissions from feedstocks and non-energy use of fuels are reported in "1.A.5  Other".</t>
        </r>
      </text>
    </comment>
    <comment ref="W902" authorId="2" shapeId="0" xr:uid="{D77230C7-8EA6-4AE2-8F62-13E66FC78A01}">
      <text>
        <r>
          <rPr>
            <sz val="8"/>
            <color indexed="81"/>
            <rFont val="Tahoma"/>
            <family val="2"/>
          </rPr>
          <t>Emissions from feedstocks and non-energy use of fuels are reported in "1.A.5  Other".</t>
        </r>
      </text>
    </comment>
    <comment ref="X902" authorId="2" shapeId="0" xr:uid="{D29402EA-9C67-42EB-8C15-B671F9E6C7AA}">
      <text>
        <r>
          <rPr>
            <sz val="8"/>
            <color indexed="81"/>
            <rFont val="Tahoma"/>
            <family val="2"/>
          </rPr>
          <t>Emissions from feedstocks and non-energy use of fuels are reported in "1.A.5  Other".</t>
        </r>
      </text>
    </comment>
    <comment ref="F909" authorId="2" shapeId="0" xr:uid="{362D2509-4B6A-4B79-ACE3-EAE8BB5F4CAB}">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G909" authorId="2" shapeId="0" xr:uid="{C10FB339-BFCB-4020-A8AC-34A815BE8365}">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H909" authorId="2" shapeId="0" xr:uid="{A45CCD21-B340-4C6B-9111-C625EF355A70}">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I909" authorId="2" shapeId="0" xr:uid="{5C62DAF8-4307-4151-85DB-764DFE1A140A}">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J909" authorId="2" shapeId="0" xr:uid="{EFFA89F0-F770-4DBE-8374-6047950F1BCF}">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K909" authorId="2" shapeId="0" xr:uid="{3E79BA79-BDF4-4D17-AAA8-2C2F0A47F30C}">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L909" authorId="2" shapeId="0" xr:uid="{DAD1653D-A12A-45B4-A8D5-45E572FAC033}">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M909" authorId="2" shapeId="0" xr:uid="{8609E976-2483-4E03-BBC2-39808B3F2260}">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N909" authorId="2" shapeId="0" xr:uid="{C4392E77-D311-4E50-B4B0-BA042187346B}">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O909" authorId="2" shapeId="0" xr:uid="{FC8EE2B2-E347-4784-8F1B-B08A89AE767B}">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P909" authorId="2" shapeId="0" xr:uid="{76CBAB56-C396-4B14-BD8C-AAE6A82304B4}">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Q909" authorId="2" shapeId="0" xr:uid="{B4209205-8196-4DE7-B522-4AB8A65C362A}">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R909" authorId="2" shapeId="0" xr:uid="{182300DA-B4FC-4F3D-AC1C-E87608FB3055}">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S909" authorId="2" shapeId="0" xr:uid="{34F4EEE3-D843-4531-8AD5-D20638FF1D21}">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T909" authorId="2" shapeId="0" xr:uid="{DE6E4D78-19E8-444A-93FC-D4D83E90FA4E}">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U909" authorId="2" shapeId="0" xr:uid="{73B87FEB-66DE-4312-90FA-598A319E09F5}">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V909" authorId="2" shapeId="0" xr:uid="{B2DC98FE-4A7F-4BBB-AE38-3D82F7591FE2}">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W909" authorId="2" shapeId="0" xr:uid="{667D17E2-0143-4C0D-870C-DFB7BC5B0DD0}">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X909" authorId="2" shapeId="0" xr:uid="{8F70D945-E537-4170-A396-20287567EC1A}">
      <text>
        <r>
          <rPr>
            <sz val="8"/>
            <color indexed="81"/>
            <rFont val="Tahoma"/>
            <family val="2"/>
          </rPr>
          <t>Associated CO</t>
        </r>
        <r>
          <rPr>
            <vertAlign val="subscript"/>
            <sz val="8"/>
            <color indexed="81"/>
            <rFont val="Tahoma"/>
            <family val="2"/>
          </rPr>
          <t>2</t>
        </r>
        <r>
          <rPr>
            <sz val="8"/>
            <color indexed="81"/>
            <rFont val="Tahoma"/>
            <family val="2"/>
          </rPr>
          <t xml:space="preserve"> Emissions from Petroleum Coke are accounted for under the following in Industrial Processes: ammonia production, acetic acid and acetic ahydride production, and blast furnace and coke oven.</t>
        </r>
      </text>
    </comment>
    <comment ref="F915" authorId="2" shapeId="0" xr:uid="{8D7F0B96-8659-458D-AF11-0E988784261E}">
      <text>
        <r>
          <rPr>
            <sz val="8"/>
            <color indexed="81"/>
            <rFont val="Tahoma"/>
            <family val="2"/>
          </rPr>
          <t>Emissions from feedstocks and non-energy use of fuels are reported in "1.A.5  Other".</t>
        </r>
      </text>
    </comment>
    <comment ref="G915" authorId="2" shapeId="0" xr:uid="{055F6434-2BB2-4A14-A9D6-1EDB8CC14397}">
      <text>
        <r>
          <rPr>
            <sz val="8"/>
            <color indexed="81"/>
            <rFont val="Tahoma"/>
            <family val="2"/>
          </rPr>
          <t>Emissions from feedstocks and non-energy use of fuels are reported in "1.A.5  Other".</t>
        </r>
      </text>
    </comment>
    <comment ref="H915" authorId="2" shapeId="0" xr:uid="{06A4C96E-1F55-4FAD-86D1-A9EAC8CE7E41}">
      <text>
        <r>
          <rPr>
            <sz val="8"/>
            <color indexed="81"/>
            <rFont val="Tahoma"/>
            <family val="2"/>
          </rPr>
          <t>Emissions from feedstocks and non-energy use of fuels are reported in "1.A.5  Other".</t>
        </r>
      </text>
    </comment>
    <comment ref="I915" authorId="2" shapeId="0" xr:uid="{D23D9808-CE98-43EC-9230-291FF97A1180}">
      <text>
        <r>
          <rPr>
            <sz val="8"/>
            <color indexed="81"/>
            <rFont val="Tahoma"/>
            <family val="2"/>
          </rPr>
          <t>Emissions from feedstocks and non-energy use of fuels are reported in "1.A.5  Other".</t>
        </r>
      </text>
    </comment>
    <comment ref="J915" authorId="2" shapeId="0" xr:uid="{EAD0AAA6-2810-4606-B76E-719B137D84CA}">
      <text>
        <r>
          <rPr>
            <sz val="8"/>
            <color indexed="81"/>
            <rFont val="Tahoma"/>
            <family val="2"/>
          </rPr>
          <t>Emissions from feedstocks and non-energy use of fuels are reported in "1.A.5  Other".</t>
        </r>
      </text>
    </comment>
    <comment ref="K915" authorId="2" shapeId="0" xr:uid="{76F0DFFD-A503-4F87-A1A0-6C1625960267}">
      <text>
        <r>
          <rPr>
            <sz val="8"/>
            <color indexed="81"/>
            <rFont val="Tahoma"/>
            <family val="2"/>
          </rPr>
          <t>Emissions from feedstocks and non-energy use of fuels are reported in "1.A.5  Other".</t>
        </r>
      </text>
    </comment>
    <comment ref="L915" authorId="2" shapeId="0" xr:uid="{BCAFEE3A-F81C-49E1-8BE2-30FE47B104D0}">
      <text>
        <r>
          <rPr>
            <sz val="8"/>
            <color indexed="81"/>
            <rFont val="Tahoma"/>
            <family val="2"/>
          </rPr>
          <t>Emissions from feedstocks and non-energy use of fuels are reported in "1.A.5  Other".</t>
        </r>
      </text>
    </comment>
    <comment ref="M915" authorId="2" shapeId="0" xr:uid="{BE6545C4-D95D-42DB-8A24-FCD9417DD285}">
      <text>
        <r>
          <rPr>
            <sz val="8"/>
            <color indexed="81"/>
            <rFont val="Tahoma"/>
            <family val="2"/>
          </rPr>
          <t>Emissions from feedstocks and non-energy use of fuels are reported in "1.A.5  Other".</t>
        </r>
      </text>
    </comment>
    <comment ref="N915" authorId="2" shapeId="0" xr:uid="{6BDFE805-8001-4D9B-B452-3C802660E130}">
      <text>
        <r>
          <rPr>
            <sz val="8"/>
            <color indexed="81"/>
            <rFont val="Tahoma"/>
            <family val="2"/>
          </rPr>
          <t>Emissions from feedstocks and non-energy use of fuels are reported in "1.A.5  Other".</t>
        </r>
      </text>
    </comment>
    <comment ref="O915" authorId="2" shapeId="0" xr:uid="{B0FA28A2-8E31-48B7-9401-5A560AE6F4B1}">
      <text>
        <r>
          <rPr>
            <sz val="8"/>
            <color indexed="81"/>
            <rFont val="Tahoma"/>
            <family val="2"/>
          </rPr>
          <t>Emissions from feedstocks and non-energy use of fuels are reported in "1.A.5  Other".</t>
        </r>
      </text>
    </comment>
    <comment ref="P915" authorId="2" shapeId="0" xr:uid="{0BF7AFAE-BC42-412A-8901-55AD6638B173}">
      <text>
        <r>
          <rPr>
            <sz val="8"/>
            <color indexed="81"/>
            <rFont val="Tahoma"/>
            <family val="2"/>
          </rPr>
          <t>Emissions from feedstocks and non-energy use of fuels are reported in "1.A.5  Other".</t>
        </r>
      </text>
    </comment>
    <comment ref="Q915" authorId="2" shapeId="0" xr:uid="{F4FA2CC8-2944-42DB-B25E-6BF9DD29AC54}">
      <text>
        <r>
          <rPr>
            <sz val="8"/>
            <color indexed="81"/>
            <rFont val="Tahoma"/>
            <family val="2"/>
          </rPr>
          <t>Emissions from feedstocks and non-energy use of fuels are reported in "1.A.5  Other".</t>
        </r>
      </text>
    </comment>
    <comment ref="R915" authorId="2" shapeId="0" xr:uid="{FDE9DE34-DEAC-40C7-953E-644C42465090}">
      <text>
        <r>
          <rPr>
            <sz val="8"/>
            <color indexed="81"/>
            <rFont val="Tahoma"/>
            <family val="2"/>
          </rPr>
          <t>Emissions from feedstocks and non-energy use of fuels are reported in "1.A.5  Other".</t>
        </r>
      </text>
    </comment>
    <comment ref="S915" authorId="2" shapeId="0" xr:uid="{943C3331-32D0-4F64-8CBD-1C5AE2DF2CCC}">
      <text>
        <r>
          <rPr>
            <sz val="8"/>
            <color indexed="81"/>
            <rFont val="Tahoma"/>
            <family val="2"/>
          </rPr>
          <t>Emissions from feedstocks and non-energy use of fuels are reported in "1.A.5  Other".</t>
        </r>
      </text>
    </comment>
    <comment ref="T915" authorId="2" shapeId="0" xr:uid="{5F40A2F3-98FC-4064-89B0-B5F39AE8F2C9}">
      <text>
        <r>
          <rPr>
            <sz val="8"/>
            <color indexed="81"/>
            <rFont val="Tahoma"/>
            <family val="2"/>
          </rPr>
          <t>Emissions from feedstocks and non-energy use of fuels are reported in "1.A.5  Other".</t>
        </r>
      </text>
    </comment>
    <comment ref="U915" authorId="2" shapeId="0" xr:uid="{24F9AEB5-D36B-49BF-B3B5-754BC38BEC1F}">
      <text>
        <r>
          <rPr>
            <sz val="8"/>
            <color indexed="81"/>
            <rFont val="Tahoma"/>
            <family val="2"/>
          </rPr>
          <t>Emissions from feedstocks and non-energy use of fuels are reported in "1.A.5  Other".</t>
        </r>
      </text>
    </comment>
    <comment ref="V915" authorId="2" shapeId="0" xr:uid="{722438D0-5371-4FBB-B2B0-8B939ACC2590}">
      <text>
        <r>
          <rPr>
            <sz val="8"/>
            <color indexed="81"/>
            <rFont val="Tahoma"/>
            <family val="2"/>
          </rPr>
          <t>Emissions from feedstocks and non-energy use of fuels are reported in "1.A.5  Other".</t>
        </r>
      </text>
    </comment>
    <comment ref="W915" authorId="2" shapeId="0" xr:uid="{CEBBC62A-0F64-4C51-AABF-EED4BE95EC50}">
      <text>
        <r>
          <rPr>
            <sz val="8"/>
            <color indexed="81"/>
            <rFont val="Tahoma"/>
            <family val="2"/>
          </rPr>
          <t>Emissions from feedstocks and non-energy use of fuels are reported in "1.A.5  Other".</t>
        </r>
      </text>
    </comment>
    <comment ref="X915" authorId="2" shapeId="0" xr:uid="{1D53A9BE-94E0-4D20-88BE-6BA0EF1EC2E0}">
      <text>
        <r>
          <rPr>
            <sz val="8"/>
            <color indexed="81"/>
            <rFont val="Tahoma"/>
            <family val="2"/>
          </rPr>
          <t>Emissions from feedstocks and non-energy use of fuels are reported in "1.A.5  Other".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Desai, Mausami</author>
  </authors>
  <commentList>
    <comment ref="A16" authorId="0" shapeId="0" xr:uid="{A59F3DD6-F4E3-41F4-9799-3DA9F0A0405F}">
      <text>
        <r>
          <rPr>
            <b/>
            <sz val="9"/>
            <color indexed="81"/>
            <rFont val="Tahoma"/>
            <family val="2"/>
          </rPr>
          <t xml:space="preserve">This column should be GHG as shown for the April 2024 Report.
</t>
        </r>
      </text>
    </comment>
    <comment ref="M16" authorId="0" shapeId="0" xr:uid="{7BD6DD55-1AD8-4E55-A6BD-049107D84619}">
      <text>
        <r>
          <rPr>
            <b/>
            <sz val="9"/>
            <color indexed="81"/>
            <rFont val="Tahoma"/>
            <family val="2"/>
          </rPr>
          <t xml:space="preserve">Use "National" in this column for annual US GHGI if different methods will be used to compile national and state GHGI
</t>
        </r>
      </text>
    </comment>
    <comment ref="N16" authorId="0" shapeId="0" xr:uid="{0E0AA7DE-4A95-4044-834C-FFDEA3583DA4}">
      <text>
        <r>
          <rPr>
            <b/>
            <sz val="9"/>
            <color indexed="81"/>
            <rFont val="Tahoma"/>
            <family val="2"/>
          </rPr>
          <t>Note Y if reporting a memo items, HFEs, PFPMIEs, and non-PFCs, non-HFCs, and/or precursor gases. Blank or "N" will be included in national GHG totals</t>
        </r>
      </text>
    </comment>
    <comment ref="P16" authorId="0" shapeId="0" xr:uid="{9C56F8C3-6D76-42DA-9D41-82E454F5717A}">
      <text>
        <r>
          <rPr>
            <b/>
            <sz val="9"/>
            <color indexed="81"/>
            <rFont val="Tahoma"/>
            <family val="2"/>
          </rPr>
          <t>Leave this column blank or empty</t>
        </r>
        <r>
          <rPr>
            <sz val="9"/>
            <color indexed="81"/>
            <rFont val="Tahoma"/>
            <family val="2"/>
          </rPr>
          <t xml:space="preserve">
</t>
        </r>
      </text>
    </comment>
    <comment ref="R16" authorId="0" shapeId="0" xr:uid="{5C75C762-1FBE-405B-841B-7191ED48C43E}">
      <text>
        <r>
          <rPr>
            <b/>
            <sz val="9"/>
            <color indexed="81"/>
            <rFont val="Tahoma"/>
            <family val="2"/>
          </rPr>
          <t xml:space="preserve">GHG Data (i.e. emissions and removals) should be in Tg </t>
        </r>
      </text>
    </comment>
    <comment ref="T16" authorId="0" shapeId="0" xr:uid="{4FB77B3C-3ED3-4CD4-980C-2413DAF1B7A3}">
      <text>
        <r>
          <rPr>
            <b/>
            <sz val="9"/>
            <color indexed="81"/>
            <rFont val="Tahoma"/>
            <family val="2"/>
          </rPr>
          <t xml:space="preserve">This column should list AR5 GWP for each gas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Trevisan, Claire</author>
    <author>tc={29D9F2BE-CDD1-4455-9199-3A0D60303FD9}</author>
  </authors>
  <commentList>
    <comment ref="B11" authorId="0" shapeId="0" xr:uid="{05D67A9D-B2E9-435C-9ED8-3EEFC90A7485}">
      <text>
        <r>
          <rPr>
            <b/>
            <sz val="9"/>
            <color indexed="81"/>
            <rFont val="Tahoma"/>
            <family val="2"/>
          </rPr>
          <t>Trevisan, Claire:</t>
        </r>
        <r>
          <rPr>
            <sz val="9"/>
            <color indexed="81"/>
            <rFont val="Tahoma"/>
            <family val="2"/>
          </rPr>
          <t xml:space="preserve">
changed from NE to NO in BY20 ER</t>
        </r>
      </text>
    </comment>
    <comment ref="AH28" authorId="1" shapeId="0" xr:uid="{29D9F2BE-CDD1-4455-9199-3A0D60303FD9}">
      <text>
        <t>[Threaded comment]
Your version of Excel allows you to read this threaded comment; however, any edits to it will get removed if the file is opened in a newer version of Excel. Learn more: https://go.microsoft.com/fwlink/?linkid=870924
Comment:
    Note for FR: let's add a row under here for Electric Power. This will improve text updates and Summary updates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Carr, Emily</author>
  </authors>
  <commentList>
    <comment ref="B29" authorId="0" shapeId="0" xr:uid="{7F4FBCB8-939B-4373-BDB0-6CBCC65C020D}">
      <text>
        <r>
          <rPr>
            <b/>
            <sz val="9"/>
            <color indexed="81"/>
            <rFont val="Tahoma"/>
            <family val="2"/>
          </rPr>
          <t>Carr, Emily:</t>
        </r>
        <r>
          <rPr>
            <sz val="9"/>
            <color indexed="81"/>
            <rFont val="Tahoma"/>
            <family val="2"/>
          </rPr>
          <t xml:space="preserve">
Full table from ER/PR/FR Comparison tab col AK:end of CO2FFC from previous cycle.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Carr, Emily</author>
  </authors>
  <commentList>
    <comment ref="B29" authorId="0" shapeId="0" xr:uid="{1F630D5E-1A33-4A25-829D-52C11BA777FB}">
      <text>
        <r>
          <rPr>
            <b/>
            <sz val="9"/>
            <color indexed="81"/>
            <rFont val="Tahoma"/>
            <family val="2"/>
          </rPr>
          <t>Carr, Emily:</t>
        </r>
        <r>
          <rPr>
            <sz val="9"/>
            <color indexed="81"/>
            <rFont val="Tahoma"/>
            <family val="2"/>
          </rPr>
          <t xml:space="preserve">
Full table from ER/PR/FR Comparison tab col AK:end of CO2FFC from previous cycle.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Carr, Emily</author>
  </authors>
  <commentList>
    <comment ref="B29" authorId="0" shapeId="0" xr:uid="{C471E3EC-C4ED-437D-9603-E27561AD4EF4}">
      <text>
        <r>
          <rPr>
            <b/>
            <sz val="9"/>
            <color indexed="81"/>
            <rFont val="Tahoma"/>
            <family val="2"/>
          </rPr>
          <t>Carr, Emily:</t>
        </r>
        <r>
          <rPr>
            <sz val="9"/>
            <color indexed="81"/>
            <rFont val="Tahoma"/>
            <family val="2"/>
          </rPr>
          <t xml:space="preserve">
Full table from 20XX-1FR CO2FFC, 20XX-1PR tab col AK:end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Michael W. Gillenwater</author>
  </authors>
  <commentList>
    <comment ref="B35" authorId="0" shapeId="0" xr:uid="{00000000-0006-0000-0800-000001000000}">
      <text>
        <r>
          <rPr>
            <b/>
            <sz val="8"/>
            <color indexed="81"/>
            <rFont val="Tahoma"/>
            <family val="2"/>
          </rPr>
          <t xml:space="preserve">Michael W. Gillenwater:
</t>
        </r>
        <r>
          <rPr>
            <sz val="8"/>
            <color indexed="81"/>
            <rFont val="Tahoma"/>
            <family val="2"/>
          </rPr>
          <t>Lower because territories are included in total.</t>
        </r>
      </text>
    </comment>
    <comment ref="B36" authorId="0" shapeId="0" xr:uid="{00000000-0006-0000-0800-000002000000}">
      <text>
        <r>
          <rPr>
            <b/>
            <sz val="8"/>
            <color indexed="81"/>
            <rFont val="Tahoma"/>
            <family val="2"/>
          </rPr>
          <t xml:space="preserve">Michael W. Gillenwater:
</t>
        </r>
        <r>
          <rPr>
            <sz val="8"/>
            <color indexed="81"/>
            <rFont val="Tahoma"/>
            <family val="2"/>
          </rPr>
          <t>Lower because territories are included in total.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Michael W. Gillenwater</author>
  </authors>
  <commentList>
    <comment ref="B35" authorId="0" shapeId="0" xr:uid="{00000000-0006-0000-0900-000001000000}">
      <text>
        <r>
          <rPr>
            <b/>
            <sz val="8"/>
            <color indexed="81"/>
            <rFont val="Tahoma"/>
            <family val="2"/>
          </rPr>
          <t xml:space="preserve">Michael W. Gillenwater:
</t>
        </r>
        <r>
          <rPr>
            <sz val="8"/>
            <color indexed="81"/>
            <rFont val="Tahoma"/>
            <family val="2"/>
          </rPr>
          <t>L</t>
        </r>
        <r>
          <rPr>
            <sz val="8"/>
            <color indexed="81"/>
            <rFont val="Tahoma"/>
            <family val="2"/>
          </rPr>
          <t>ower because territories are included in total.</t>
        </r>
      </text>
    </comment>
    <comment ref="B36" authorId="0" shapeId="0" xr:uid="{00000000-0006-0000-0900-000002000000}">
      <text>
        <r>
          <rPr>
            <b/>
            <sz val="8"/>
            <color indexed="81"/>
            <rFont val="Tahoma"/>
            <family val="2"/>
          </rPr>
          <t xml:space="preserve">Michael W. Gillenwater:
</t>
        </r>
        <r>
          <rPr>
            <sz val="8"/>
            <color indexed="81"/>
            <rFont val="Tahoma"/>
            <family val="2"/>
          </rPr>
          <t>Lower because territories are included in total.</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John Venezia</author>
    <author>Dana P. Palmer</author>
    <author>Lauren Pederson</author>
    <author>Murali, Rani</author>
    <author>Carr, Emily</author>
    <author>Jaramillo, Diana</author>
  </authors>
  <commentList>
    <comment ref="D25" authorId="0" shapeId="0" xr:uid="{00000000-0006-0000-0A00-000001000000}">
      <text>
        <r>
          <rPr>
            <b/>
            <sz val="8"/>
            <color indexed="81"/>
            <rFont val="Tahoma"/>
            <family val="2"/>
          </rPr>
          <t xml:space="preserve">John Venezia:
</t>
        </r>
        <r>
          <rPr>
            <sz val="8"/>
            <color indexed="81"/>
            <rFont val="Tahoma"/>
            <family val="2"/>
          </rPr>
          <t>This is already being accounted for the the IP chapter, for iron and steel.</t>
        </r>
      </text>
    </comment>
    <comment ref="D55" authorId="1" shapeId="0" xr:uid="{00000000-0006-0000-0A00-000002000000}">
      <text>
        <r>
          <rPr>
            <sz val="8"/>
            <color indexed="81"/>
            <rFont val="Tahoma"/>
            <family val="2"/>
          </rPr>
          <t>Total motor gasoline consumption is corrected by subtracting the amount of ethanol blended with gasoline.  This ethanol is of biogenic orgin, and therefore the carbon emitted should not be accounted for under fossil fuel combustion.  It is assumed not to result in a net emission of carbon.</t>
        </r>
      </text>
    </comment>
    <comment ref="D64" authorId="2" shapeId="0" xr:uid="{00000000-0006-0000-0A00-000003000000}">
      <text>
        <r>
          <rPr>
            <b/>
            <sz val="8"/>
            <color indexed="81"/>
            <rFont val="Tahoma"/>
            <family val="2"/>
          </rPr>
          <t xml:space="preserve">Lauren Pederson:
</t>
        </r>
        <r>
          <rPr>
            <sz val="8"/>
            <color indexed="81"/>
            <rFont val="Tahoma"/>
            <family val="2"/>
          </rPr>
          <t>This is the same as kero-jet, so we are using the carbon content for Jet Fuel.</t>
        </r>
      </text>
    </comment>
    <comment ref="C73" authorId="3" shapeId="0" xr:uid="{00000000-0006-0000-0A00-000004000000}">
      <text>
        <r>
          <rPr>
            <sz val="9"/>
            <color indexed="81"/>
            <rFont val="Tahoma"/>
            <family val="2"/>
          </rPr>
          <t>The main purpose of this data is to allocate emissions from the electric power sector to the end use sectors. 
Residential and Commercial are as reported in MER. Industrial is interpreted as the sum of the "industrial" retail sales category and "direct use" category as reported in MER (Direct use is included so that emissions from direct use by the electric power sector is included in the industrial sector.)</t>
        </r>
      </text>
    </comment>
    <comment ref="C76" authorId="4" shapeId="0" xr:uid="{4436C543-DB0F-4EE5-A85E-6BA83D20F4B9}">
      <text>
        <r>
          <rPr>
            <b/>
            <sz val="9"/>
            <color indexed="81"/>
            <rFont val="Tahoma"/>
            <family val="2"/>
          </rPr>
          <t>Carr, Emily:</t>
        </r>
        <r>
          <rPr>
            <sz val="9"/>
            <color indexed="81"/>
            <rFont val="Tahoma"/>
            <family val="2"/>
          </rPr>
          <t xml:space="preserve">
Column name changed from "Electricity Retail Sales to the Residential Sector" to "Electricity Sales to the Ultimate Customers, Residential"</t>
        </r>
      </text>
    </comment>
    <comment ref="C77" authorId="4" shapeId="0" xr:uid="{AE5DE7BC-0FAF-4F0F-B86F-248672688B45}">
      <text>
        <r>
          <rPr>
            <b/>
            <sz val="9"/>
            <color indexed="81"/>
            <rFont val="Tahoma"/>
            <family val="2"/>
          </rPr>
          <t>Carr, Emily:</t>
        </r>
        <r>
          <rPr>
            <sz val="9"/>
            <color indexed="81"/>
            <rFont val="Tahoma"/>
            <family val="2"/>
          </rPr>
          <t xml:space="preserve">
Column name changed from "Electricity Retail Sales to the Commercial Sector" to "Electricity Sales to the Ultimate Customers, Commercial"</t>
        </r>
      </text>
    </comment>
    <comment ref="C78" authorId="4" shapeId="0" xr:uid="{640DD4D6-BB68-486A-9B5D-29E2B5D1DDEA}">
      <text>
        <r>
          <rPr>
            <b/>
            <sz val="9"/>
            <color indexed="81"/>
            <rFont val="Tahoma"/>
            <family val="2"/>
          </rPr>
          <t>Carr, Emily:</t>
        </r>
        <r>
          <rPr>
            <sz val="9"/>
            <color indexed="81"/>
            <rFont val="Tahoma"/>
            <family val="2"/>
          </rPr>
          <t xml:space="preserve">
Column name changed from "Electricity Retail Sales to the Industrial Sector" to "Electricity Sales to the Ultimate Customers, Industrial"</t>
        </r>
      </text>
    </comment>
    <comment ref="C79" authorId="4" shapeId="0" xr:uid="{2CF7705E-EE4B-4781-8D1D-47BC7719A5F7}">
      <text>
        <r>
          <rPr>
            <b/>
            <sz val="9"/>
            <color indexed="81"/>
            <rFont val="Tahoma"/>
            <family val="2"/>
          </rPr>
          <t>Carr, Emily:</t>
        </r>
        <r>
          <rPr>
            <sz val="9"/>
            <color indexed="81"/>
            <rFont val="Tahoma"/>
            <family val="2"/>
          </rPr>
          <t xml:space="preserve">
Column name changed from "Electricity Retail Sales to the Transportation Sector" to "Electricity Sales to Ultimate Customers, Transportation"</t>
        </r>
      </text>
    </comment>
    <comment ref="D79" authorId="3" shapeId="0" xr:uid="{00000000-0006-0000-0A00-000005000000}">
      <text>
        <r>
          <rPr>
            <sz val="9"/>
            <color indexed="81"/>
            <rFont val="Tahoma"/>
            <family val="2"/>
          </rPr>
          <t>Links to Transport.xls; including electricity used for EV charging in the residential and commercial sectors</t>
        </r>
      </text>
    </comment>
    <comment ref="D89" authorId="0" shapeId="0" xr:uid="{00000000-0006-0000-0A00-000006000000}">
      <text>
        <r>
          <rPr>
            <b/>
            <sz val="8"/>
            <color indexed="81"/>
            <rFont val="Tahoma"/>
            <family val="2"/>
          </rPr>
          <t>John Venezia:</t>
        </r>
        <r>
          <rPr>
            <sz val="8"/>
            <color indexed="81"/>
            <rFont val="Tahoma"/>
            <family val="2"/>
          </rPr>
          <t xml:space="preserve">
for uses other than iron &amp; steel</t>
        </r>
      </text>
    </comment>
    <comment ref="D91" authorId="5" shapeId="0" xr:uid="{00000000-0006-0000-0A00-000007000000}">
      <text>
        <r>
          <rPr>
            <b/>
            <sz val="9"/>
            <color indexed="81"/>
            <rFont val="Tahoma"/>
            <family val="2"/>
          </rPr>
          <t xml:space="preserve">Lauren Pederson:
</t>
        </r>
        <r>
          <rPr>
            <sz val="9"/>
            <color indexed="81"/>
            <rFont val="Tahoma"/>
            <family val="2"/>
          </rPr>
          <t>Correction for iron, steel, lead, and zinc from IP calcs.</t>
        </r>
        <r>
          <rPr>
            <sz val="9"/>
            <color indexed="81"/>
            <rFont val="Tahoma"/>
            <family val="2"/>
          </rPr>
          <t xml:space="preserve">
</t>
        </r>
      </text>
    </comment>
    <comment ref="D108" authorId="1" shapeId="0" xr:uid="{00000000-0006-0000-0A00-000008000000}">
      <text>
        <r>
          <rPr>
            <sz val="8"/>
            <color indexed="81"/>
            <rFont val="Tahoma"/>
            <family val="2"/>
          </rPr>
          <t xml:space="preserve">Total motor gasoline consumption is corrected by subtracting the amount of ethanol blended with gasoline.  This ethanol is of biogenic orgin, and therefore the carbon emitted should not be accounted for under fossil fuel combustion.  It is assumed not to result in a net emission of carbon.
</t>
        </r>
        <r>
          <rPr>
            <b/>
            <sz val="8"/>
            <color indexed="81"/>
            <rFont val="Tahoma"/>
            <family val="2"/>
          </rPr>
          <t>November 2019 update</t>
        </r>
        <r>
          <rPr>
            <sz val="8"/>
            <color indexed="81"/>
            <rFont val="Tahoma"/>
            <family val="2"/>
          </rPr>
          <t xml:space="preserve">: EIA motor gasoline statistics do not account for fuel ethanol from 1990 to 1992. Corrections made in the Distillate MoGas spreadsheet are removing ethanol across the time series. The adjustment here corrects  the years 1990-1992 by adding the amount of fuel ethanol removed back into the total motor gasoline consumption. </t>
        </r>
      </text>
    </comment>
    <comment ref="D112" authorId="1" shapeId="0" xr:uid="{00000000-0006-0000-0A00-000009000000}">
      <text>
        <r>
          <rPr>
            <sz val="8"/>
            <color indexed="81"/>
            <rFont val="Tahoma"/>
            <family val="2"/>
          </rPr>
          <t xml:space="preserve">Total motor gasoline consumption is corrected by subtracting the amount of ethanol blended with gasoline.  This ethanol is of biogenic orgin, and therefore the carbon emitted should not be accounted for under fossil fuel combustion.  It is assumed not to result in a net emission of carbon.
</t>
        </r>
        <r>
          <rPr>
            <b/>
            <sz val="8"/>
            <color indexed="81"/>
            <rFont val="Tahoma"/>
            <family val="2"/>
          </rPr>
          <t>November 2019 update</t>
        </r>
        <r>
          <rPr>
            <sz val="8"/>
            <color indexed="81"/>
            <rFont val="Tahoma"/>
            <family val="2"/>
          </rPr>
          <t xml:space="preserve">: EIA motor gasoline statistics do not account for fuel ethanol from 1990 to 1992. Corrections made in the Distillate MoGas spreadsheet are removing ethanol across the time series. The adjustment here corrects  the years 1990-1992 by adding the amount of fuel ethanol removed back into the total motor gasoline consumption. </t>
        </r>
      </text>
    </comment>
    <comment ref="D116" authorId="1" shapeId="0" xr:uid="{00000000-0006-0000-0A00-00000A000000}">
      <text>
        <r>
          <rPr>
            <sz val="8"/>
            <color indexed="81"/>
            <rFont val="Tahoma"/>
            <family val="2"/>
          </rPr>
          <t xml:space="preserve">Total motor gasoline consumption is corrected by subtracting the amount of ethanol blended with gasoline.  This ethanol is of biogenic orgin, and therefore the carbon emitted should not be accounted for under fossil fuel combustion.  It is assumed not to result in a net emission of carbon.
</t>
        </r>
        <r>
          <rPr>
            <b/>
            <sz val="8"/>
            <color indexed="81"/>
            <rFont val="Tahoma"/>
            <family val="2"/>
          </rPr>
          <t xml:space="preserve">
November 2019 update</t>
        </r>
        <r>
          <rPr>
            <sz val="8"/>
            <color indexed="81"/>
            <rFont val="Tahoma"/>
            <family val="2"/>
          </rPr>
          <t xml:space="preserve">: EIA motor gasoline statistics do not account for fuel ethanol from 1990 to 1992. Corrections made in the Distillate MoGas spreadsheet are removing ethanol across the time series. The adjustment here corrects  the years 1990-1992 by adding the amount of fuel ethanol removed back into the total motor gasoline consumption. </t>
        </r>
      </text>
    </comment>
    <comment ref="D126" authorId="3" shapeId="0" xr:uid="{00000000-0006-0000-0A00-00000B000000}">
      <text>
        <r>
          <rPr>
            <sz val="9"/>
            <color indexed="81"/>
            <rFont val="Tahoma"/>
            <family val="2"/>
          </rPr>
          <t xml:space="preserve">Residential electricity sales are adjusted for electricity used during electric vehicle charging in residential homes. 
Uncorrected electricity sales to the residential sector are obtained from EIA's Monthly Energy Review, Table 7.6 Electricity End Use.
Total electricity used for EV charging are obtained from Lou Browning (2018). The percent of total electricity use for EV charging allocated to the residential and commercial sectors is obtained from the Idaho National Laboratory. </t>
        </r>
      </text>
    </comment>
    <comment ref="D129" authorId="3" shapeId="0" xr:uid="{00000000-0006-0000-0A00-00000C000000}">
      <text>
        <r>
          <rPr>
            <sz val="9"/>
            <color indexed="81"/>
            <rFont val="Tahoma"/>
            <family val="2"/>
          </rPr>
          <t xml:space="preserve">Commercial electricity sales are adjusted for electricity used during electric vehicle charging in commercial facilities
Uncorrected electricity sales to the commercial sector are obtained from EIA's Monthly Energy Review, Table 7.6 Electricity End Use.
Total electricity used for EV charging are obtained from Lou Browning (2018). The percent of total electricity use for EV charging allocated to the residential and commercial sectors is obtained from the Idaho National Laboratory.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Murali, Rani</author>
    <author>Tamble, Grace</author>
    <author>Rubab Bhangu</author>
    <author>Lauren Pederson</author>
  </authors>
  <commentList>
    <comment ref="B5" authorId="0" shapeId="0" xr:uid="{00000000-0006-0000-0B00-000001000000}">
      <text>
        <r>
          <rPr>
            <sz val="9"/>
            <color indexed="81"/>
            <rFont val="Tahoma"/>
            <family val="2"/>
          </rPr>
          <t xml:space="preserve">Ethanol is added to the motor gasoline stream.  Prior to 1993, this addition was not captured in MoGas statistics.  For 1993 and after it is included in MoGas statistics, so the amount of ethanol added must be subtracted from total MoGas consumption so as not to include the associated carbon emissions.  </t>
        </r>
      </text>
    </comment>
    <comment ref="B12" authorId="0" shapeId="0" xr:uid="{00000000-0006-0000-0B00-000002000000}">
      <text>
        <r>
          <rPr>
            <sz val="9"/>
            <color indexed="81"/>
            <rFont val="Tahoma"/>
            <family val="2"/>
          </rPr>
          <t xml:space="preserve">Adjustment for coal consumption for the production of SNG. 
SNG is not included in natural gas consumed by the industrial sector in EIA's MER (i.e. statistics exclude supplemental gaseous fuels). SNG is accounted for in its primary energy category (e.g., gasification of coal). </t>
        </r>
      </text>
    </comment>
    <comment ref="B15" authorId="1" shapeId="0" xr:uid="{8FF2973D-083D-480E-94B5-B97B9CBAF4A0}">
      <text>
        <r>
          <rPr>
            <b/>
            <sz val="9"/>
            <color indexed="81"/>
            <rFont val="Tahoma"/>
            <family val="2"/>
          </rPr>
          <t>Tamble, Grace:</t>
        </r>
        <r>
          <rPr>
            <sz val="9"/>
            <color indexed="81"/>
            <rFont val="Tahoma"/>
            <family val="2"/>
          </rPr>
          <t xml:space="preserve">
Coal used to produce SNG that is exported to Canada. This is subtracted from industrial other coal consumption. 
Updated to link to SNG in IY2019 PR. </t>
        </r>
      </text>
    </comment>
    <comment ref="B16" authorId="1" shapeId="0" xr:uid="{445398C5-2FC6-417F-99F7-946E6BEF5029}">
      <text>
        <r>
          <rPr>
            <b/>
            <sz val="9"/>
            <color indexed="81"/>
            <rFont val="Tahoma"/>
            <family val="2"/>
          </rPr>
          <t>Tamble, Grace:</t>
        </r>
        <r>
          <rPr>
            <sz val="9"/>
            <color indexed="81"/>
            <rFont val="Tahoma"/>
            <family val="2"/>
          </rPr>
          <t xml:space="preserve">
In the Eastman Gas plant, industrial coal is converted to natural gas and then used in the production of acetic acid and acetic anhydride. Emissions from these processes are now estimated as part of NEU.</t>
        </r>
      </text>
    </comment>
    <comment ref="B18" authorId="2" shapeId="0" xr:uid="{00000000-0006-0000-0B00-000003000000}">
      <text>
        <r>
          <rPr>
            <sz val="8"/>
            <color indexed="81"/>
            <rFont val="Tahoma"/>
            <family val="2"/>
          </rPr>
          <t xml:space="preserve">'"Biomass gas" is typically landfill methane upgraded and sold to pipelines.  Since it is of biological origin, it is deducted from natural gas consumption. Technically, it ought to be deducted from all (not industrial) natural gas, but since the amount is small, the deduction is allocated solely to industrial natural gas.
</t>
        </r>
        <r>
          <rPr>
            <b/>
            <sz val="8"/>
            <color indexed="81"/>
            <rFont val="Tahoma"/>
            <family val="2"/>
          </rPr>
          <t xml:space="preserve">
Rubab Bhangu:</t>
        </r>
        <r>
          <rPr>
            <sz val="8"/>
            <color indexed="81"/>
            <rFont val="Tahoma"/>
            <family val="2"/>
          </rPr>
          <t xml:space="preserve">
EIA's numbers are corrected for biogas and natural gas beginning 90-08.</t>
        </r>
      </text>
    </comment>
    <comment ref="B23" authorId="0" shapeId="0" xr:uid="{00000000-0006-0000-0B00-000004000000}">
      <text>
        <r>
          <rPr>
            <sz val="9"/>
            <color indexed="81"/>
            <rFont val="Tahoma"/>
            <family val="2"/>
          </rPr>
          <t>'Ammonia is produced from natural gas, which is used as both a raw material feedstock and as a fuel for process heat in the ammonia production process. This is an industrial process, and emissions from this consumption are calculating in the industrial processes chapter. Therefore, consumption is removed from total fuel consumption ("Consumption input").</t>
        </r>
      </text>
    </comment>
    <comment ref="B28" authorId="0" shapeId="0" xr:uid="{00000000-0006-0000-0B00-000005000000}">
      <text>
        <r>
          <rPr>
            <sz val="9"/>
            <color indexed="81"/>
            <rFont val="Tahoma"/>
            <family val="2"/>
          </rPr>
          <t>According to EIA's Natural Gas Annual, blast furnace gas and coke oven gas are sent into the natural gas distribution system. Since we take these gases into account in the IP sector under Iron and Steel, we need to adjust industrial natural gas accordingly.</t>
        </r>
      </text>
    </comment>
    <comment ref="B34" authorId="0" shapeId="0" xr:uid="{00000000-0006-0000-0B00-000006000000}">
      <text>
        <r>
          <rPr>
            <b/>
            <sz val="9"/>
            <color indexed="81"/>
            <rFont val="Tahoma"/>
            <family val="2"/>
          </rPr>
          <t>Murali, Rani:</t>
        </r>
        <r>
          <rPr>
            <sz val="9"/>
            <color indexed="81"/>
            <rFont val="Tahoma"/>
            <family val="2"/>
          </rPr>
          <t xml:space="preserve">
'Iron and steel, lead, and zinc production is an industrial process in which coal coke is used as a raw material.  Production and use of coal coke for iron and steel, lead and zinc production is as an industrial process use, not a fuel use.  Iron and steel, lead and zinc production accounts for the major portion of consumption of coal coke in the U.S.; the total non-energy use of industrial coking coal, as reported by EIA, is adjusted downward to account for this consumption.  The reported amount of coking coal used in these processes is greater than the amount of coking coal reported as use by the EIA.  The excess amount of coking coal used in these processes that is greater than the amount reported from consumption, is subtracted from the industrial other coal fuel type.</t>
        </r>
      </text>
    </comment>
    <comment ref="B40" authorId="0" shapeId="0" xr:uid="{00000000-0006-0000-0B00-000007000000}">
      <text>
        <r>
          <rPr>
            <sz val="9"/>
            <color indexed="81"/>
            <rFont val="Tahoma"/>
            <family val="2"/>
          </rPr>
          <t>Petroleum Coke is used as a raw material in an number of industrial processes, primarily for the production of aluminum, ferroalloys, and titanium dioxide. Emissions from these processes are calculated in the industrial processes chapter, and consumption of pet coke for these purposes is removed from "non-energy use".</t>
        </r>
      </text>
    </comment>
    <comment ref="B47" authorId="3" shapeId="0" xr:uid="{00000000-0006-0000-0B00-000008000000}">
      <text>
        <r>
          <rPr>
            <b/>
            <sz val="8"/>
            <color indexed="81"/>
            <rFont val="Tahoma"/>
            <family val="2"/>
          </rPr>
          <t>Lauren Pederson:</t>
        </r>
        <r>
          <rPr>
            <sz val="8"/>
            <color indexed="81"/>
            <rFont val="Tahoma"/>
            <family val="2"/>
          </rPr>
          <t xml:space="preserve">
New for the 2005BY inventory Year</t>
        </r>
      </text>
    </comment>
    <comment ref="B49" authorId="0" shapeId="0" xr:uid="{00000000-0006-0000-0B00-000009000000}">
      <text>
        <r>
          <rPr>
            <sz val="9"/>
            <color indexed="81"/>
            <rFont val="Tahoma"/>
            <family val="2"/>
          </rPr>
          <t>All NEU residual fuel (from EIA-Perry) and some NEU "other oil" (from ICF calcs) are assumed to be used in the production of carbon black. Therefore, consumption of these fuels is adjusted to account for the amount of fuel used in the carbon black calculation. As 100% of NEU residual fuel is assumed to be used for carbon black, this value does not link to the NEU calcs page.</t>
        </r>
      </text>
    </comment>
    <comment ref="B55" authorId="0" shapeId="0" xr:uid="{00000000-0006-0000-0B00-00000A000000}">
      <text>
        <r>
          <rPr>
            <sz val="9"/>
            <color indexed="81"/>
            <rFont val="Tahoma"/>
            <family val="2"/>
          </rPr>
          <t>Natural gas, fuel oil, and coal are  fossil fuels used in the production of iron and steel. Therefore, the consumption of these fuels in industrial processes is subtracted from the industrial fossil fuel combustion sector to account for the amount of fuel used in the iron and steel calculation.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0C00-000001000000}">
      <text>
        <r>
          <rPr>
            <b/>
            <sz val="8"/>
            <color indexed="81"/>
            <rFont val="Tahoma"/>
            <family val="2"/>
          </rPr>
          <t>John Venezia:</t>
        </r>
        <r>
          <rPr>
            <sz val="8"/>
            <color indexed="81"/>
            <rFont val="Tahoma"/>
            <family val="2"/>
          </rPr>
          <t xml:space="preserve">
Domestic energy use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0D00-000001000000}">
      <text>
        <r>
          <rPr>
            <b/>
            <sz val="8"/>
            <color indexed="81"/>
            <rFont val="Tahoma"/>
            <family val="2"/>
          </rPr>
          <t>John Venezia:</t>
        </r>
        <r>
          <rPr>
            <sz val="8"/>
            <color indexed="81"/>
            <rFont val="Tahoma"/>
            <family val="2"/>
          </rPr>
          <t xml:space="preserve">
Domestic energy use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0E00-000001000000}">
      <text>
        <r>
          <rPr>
            <b/>
            <sz val="8"/>
            <color indexed="81"/>
            <rFont val="Tahoma"/>
            <family val="2"/>
          </rPr>
          <t>John Venezia:</t>
        </r>
        <r>
          <rPr>
            <sz val="8"/>
            <color indexed="81"/>
            <rFont val="Tahoma"/>
            <family val="2"/>
          </rPr>
          <t xml:space="preserve">
Domestic energy use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0F00-000001000000}">
      <text>
        <r>
          <rPr>
            <b/>
            <sz val="8"/>
            <color indexed="81"/>
            <rFont val="Tahoma"/>
            <family val="2"/>
          </rPr>
          <t>John Venezia:</t>
        </r>
        <r>
          <rPr>
            <sz val="8"/>
            <color indexed="81"/>
            <rFont val="Tahoma"/>
            <family val="2"/>
          </rPr>
          <t xml:space="preserve">
Domestic energy use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000-000001000000}">
      <text>
        <r>
          <rPr>
            <b/>
            <sz val="8"/>
            <color indexed="81"/>
            <rFont val="Tahoma"/>
            <family val="2"/>
          </rPr>
          <t>John Venezia:</t>
        </r>
        <r>
          <rPr>
            <sz val="8"/>
            <color indexed="81"/>
            <rFont val="Tahoma"/>
            <family val="2"/>
          </rPr>
          <t xml:space="preserve">
Domestic energy use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100-000001000000}">
      <text>
        <r>
          <rPr>
            <b/>
            <sz val="8"/>
            <color indexed="81"/>
            <rFont val="Tahoma"/>
            <family val="2"/>
          </rPr>
          <t>John Venezia:</t>
        </r>
        <r>
          <rPr>
            <sz val="8"/>
            <color indexed="81"/>
            <rFont val="Tahoma"/>
            <family val="2"/>
          </rPr>
          <t xml:space="preserve">
Domestic energy use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200-000001000000}">
      <text>
        <r>
          <rPr>
            <b/>
            <sz val="8"/>
            <color indexed="81"/>
            <rFont val="Tahoma"/>
            <family val="2"/>
          </rPr>
          <t>John Venezia:</t>
        </r>
        <r>
          <rPr>
            <sz val="8"/>
            <color indexed="81"/>
            <rFont val="Tahoma"/>
            <family val="2"/>
          </rPr>
          <t xml:space="preserve">
Domestic energy use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300-000001000000}">
      <text>
        <r>
          <rPr>
            <b/>
            <sz val="8"/>
            <color indexed="81"/>
            <rFont val="Tahoma"/>
            <family val="2"/>
          </rPr>
          <t>John Venezia:</t>
        </r>
        <r>
          <rPr>
            <sz val="8"/>
            <color indexed="81"/>
            <rFont val="Tahoma"/>
            <family val="2"/>
          </rPr>
          <t xml:space="preserve">
Domestic energy use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400-000001000000}">
      <text>
        <r>
          <rPr>
            <b/>
            <sz val="8"/>
            <color indexed="81"/>
            <rFont val="Tahoma"/>
            <family val="2"/>
          </rPr>
          <t>John Venezia:</t>
        </r>
        <r>
          <rPr>
            <sz val="8"/>
            <color indexed="81"/>
            <rFont val="Tahoma"/>
            <family val="2"/>
          </rPr>
          <t xml:space="preserve">
Domestic energy use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500-000001000000}">
      <text>
        <r>
          <rPr>
            <b/>
            <sz val="8"/>
            <color indexed="81"/>
            <rFont val="Tahoma"/>
            <family val="2"/>
          </rPr>
          <t>John Venezia:</t>
        </r>
        <r>
          <rPr>
            <sz val="8"/>
            <color indexed="81"/>
            <rFont val="Tahoma"/>
            <family val="2"/>
          </rPr>
          <t xml:space="preserve">
Domestic energy use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600-000001000000}">
      <text>
        <r>
          <rPr>
            <b/>
            <sz val="8"/>
            <color indexed="81"/>
            <rFont val="Tahoma"/>
            <family val="2"/>
          </rPr>
          <t>John Venezia:</t>
        </r>
        <r>
          <rPr>
            <sz val="8"/>
            <color indexed="81"/>
            <rFont val="Tahoma"/>
            <family val="2"/>
          </rPr>
          <t xml:space="preserve">
Domestic energy use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700-000001000000}">
      <text>
        <r>
          <rPr>
            <b/>
            <sz val="8"/>
            <color indexed="81"/>
            <rFont val="Tahoma"/>
            <family val="2"/>
          </rPr>
          <t>John Venezia:</t>
        </r>
        <r>
          <rPr>
            <sz val="8"/>
            <color indexed="81"/>
            <rFont val="Tahoma"/>
            <family val="2"/>
          </rPr>
          <t xml:space="preserve">
Domestic energy use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800-000001000000}">
      <text>
        <r>
          <rPr>
            <b/>
            <sz val="8"/>
            <color indexed="81"/>
            <rFont val="Tahoma"/>
            <family val="2"/>
          </rPr>
          <t>John Venezia:</t>
        </r>
        <r>
          <rPr>
            <sz val="8"/>
            <color indexed="81"/>
            <rFont val="Tahoma"/>
            <family val="2"/>
          </rPr>
          <t xml:space="preserve">
Domestic energy use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900-000001000000}">
      <text>
        <r>
          <rPr>
            <b/>
            <sz val="8"/>
            <color indexed="81"/>
            <rFont val="Tahoma"/>
            <family val="2"/>
          </rPr>
          <t>John Venezia:</t>
        </r>
        <r>
          <rPr>
            <sz val="8"/>
            <color indexed="81"/>
            <rFont val="Tahoma"/>
            <family val="2"/>
          </rPr>
          <t xml:space="preserve">
Domestic energy use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A00-000001000000}">
      <text>
        <r>
          <rPr>
            <b/>
            <sz val="8"/>
            <color indexed="81"/>
            <rFont val="Tahoma"/>
            <family val="2"/>
          </rPr>
          <t>John Venezia:</t>
        </r>
        <r>
          <rPr>
            <sz val="8"/>
            <color indexed="81"/>
            <rFont val="Tahoma"/>
            <family val="2"/>
          </rPr>
          <t xml:space="preserve">
Domestic energy use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B00-000001000000}">
      <text>
        <r>
          <rPr>
            <b/>
            <sz val="8"/>
            <color indexed="81"/>
            <rFont val="Tahoma"/>
            <family val="2"/>
          </rPr>
          <t>John Venezia:</t>
        </r>
        <r>
          <rPr>
            <sz val="8"/>
            <color indexed="81"/>
            <rFont val="Tahoma"/>
            <family val="2"/>
          </rPr>
          <t xml:space="preserve">
Domestic energy use</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C00-000001000000}">
      <text>
        <r>
          <rPr>
            <b/>
            <sz val="8"/>
            <color indexed="81"/>
            <rFont val="Tahoma"/>
            <family val="2"/>
          </rPr>
          <t>John Venezia:</t>
        </r>
        <r>
          <rPr>
            <sz val="8"/>
            <color indexed="81"/>
            <rFont val="Tahoma"/>
            <family val="2"/>
          </rPr>
          <t xml:space="preserve">
Domestic energy use</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D00-000001000000}">
      <text>
        <r>
          <rPr>
            <b/>
            <sz val="8"/>
            <color indexed="81"/>
            <rFont val="Tahoma"/>
            <family val="2"/>
          </rPr>
          <t>John Venezia:</t>
        </r>
        <r>
          <rPr>
            <sz val="8"/>
            <color indexed="81"/>
            <rFont val="Tahoma"/>
            <family val="2"/>
          </rPr>
          <t xml:space="preserve">
Domestic energy use</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E00-000001000000}">
      <text>
        <r>
          <rPr>
            <b/>
            <sz val="8"/>
            <color indexed="81"/>
            <rFont val="Tahoma"/>
            <family val="2"/>
          </rPr>
          <t>John Venezia:</t>
        </r>
        <r>
          <rPr>
            <sz val="8"/>
            <color indexed="81"/>
            <rFont val="Tahoma"/>
            <family val="2"/>
          </rPr>
          <t xml:space="preserve">
Domestic energy use</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1F00-000001000000}">
      <text>
        <r>
          <rPr>
            <b/>
            <sz val="8"/>
            <color indexed="81"/>
            <rFont val="Tahoma"/>
            <family val="2"/>
          </rPr>
          <t>John Venezia:</t>
        </r>
        <r>
          <rPr>
            <sz val="8"/>
            <color indexed="81"/>
            <rFont val="Tahoma"/>
            <family val="2"/>
          </rPr>
          <t xml:space="preserve">
Domestic energy use</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2000-000001000000}">
      <text>
        <r>
          <rPr>
            <b/>
            <sz val="8"/>
            <color indexed="81"/>
            <rFont val="Tahoma"/>
            <family val="2"/>
          </rPr>
          <t>John Venezia:</t>
        </r>
        <r>
          <rPr>
            <sz val="8"/>
            <color indexed="81"/>
            <rFont val="Tahoma"/>
            <family val="2"/>
          </rPr>
          <t xml:space="preserve">
Domestic energy use</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2100-000001000000}">
      <text>
        <r>
          <rPr>
            <b/>
            <sz val="8"/>
            <color indexed="81"/>
            <rFont val="Tahoma"/>
            <family val="2"/>
          </rPr>
          <t>John Venezia:</t>
        </r>
        <r>
          <rPr>
            <sz val="8"/>
            <color indexed="81"/>
            <rFont val="Tahoma"/>
            <family val="2"/>
          </rPr>
          <t xml:space="preserve">
Domestic energy use</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2200-000001000000}">
      <text>
        <r>
          <rPr>
            <b/>
            <sz val="8"/>
            <color indexed="81"/>
            <rFont val="Tahoma"/>
            <family val="2"/>
          </rPr>
          <t>John Venezia:</t>
        </r>
        <r>
          <rPr>
            <sz val="8"/>
            <color indexed="81"/>
            <rFont val="Tahoma"/>
            <family val="2"/>
          </rPr>
          <t xml:space="preserve">
Domestic energy use</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2300-000001000000}">
      <text>
        <r>
          <rPr>
            <b/>
            <sz val="8"/>
            <color indexed="81"/>
            <rFont val="Tahoma"/>
            <family val="2"/>
          </rPr>
          <t>John Venezia:</t>
        </r>
        <r>
          <rPr>
            <sz val="8"/>
            <color indexed="81"/>
            <rFont val="Tahoma"/>
            <family val="2"/>
          </rPr>
          <t xml:space="preserve">
Domestic energy use</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2400-000001000000}">
      <text>
        <r>
          <rPr>
            <b/>
            <sz val="8"/>
            <color indexed="81"/>
            <rFont val="Tahoma"/>
            <family val="2"/>
          </rPr>
          <t>John Venezia:</t>
        </r>
        <r>
          <rPr>
            <sz val="8"/>
            <color indexed="81"/>
            <rFont val="Tahoma"/>
            <family val="2"/>
          </rPr>
          <t xml:space="preserve">
Domestic energy use</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2500-000001000000}">
      <text>
        <r>
          <rPr>
            <b/>
            <sz val="8"/>
            <color indexed="81"/>
            <rFont val="Tahoma"/>
            <family val="2"/>
          </rPr>
          <t>John Venezia:</t>
        </r>
        <r>
          <rPr>
            <sz val="8"/>
            <color indexed="81"/>
            <rFont val="Tahoma"/>
            <family val="2"/>
          </rPr>
          <t xml:space="preserve">
Domestic energy use</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2600-000001000000}">
      <text>
        <r>
          <rPr>
            <b/>
            <sz val="8"/>
            <color indexed="81"/>
            <rFont val="Tahoma"/>
            <family val="2"/>
          </rPr>
          <t>John Venezia:</t>
        </r>
        <r>
          <rPr>
            <sz val="8"/>
            <color indexed="81"/>
            <rFont val="Tahoma"/>
            <family val="2"/>
          </rPr>
          <t xml:space="preserve">
Domestic energy use</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2700-000001000000}">
      <text>
        <r>
          <rPr>
            <b/>
            <sz val="8"/>
            <color indexed="81"/>
            <rFont val="Tahoma"/>
            <family val="2"/>
          </rPr>
          <t>John Venezia:</t>
        </r>
        <r>
          <rPr>
            <sz val="8"/>
            <color indexed="81"/>
            <rFont val="Tahoma"/>
            <family val="2"/>
          </rPr>
          <t xml:space="preserve">
Domestic energy use</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00000000-0006-0000-2800-000001000000}">
      <text>
        <r>
          <rPr>
            <b/>
            <sz val="8"/>
            <color indexed="81"/>
            <rFont val="Tahoma"/>
            <family val="2"/>
          </rPr>
          <t>John Venezia:</t>
        </r>
        <r>
          <rPr>
            <sz val="8"/>
            <color indexed="81"/>
            <rFont val="Tahoma"/>
            <family val="2"/>
          </rPr>
          <t xml:space="preserve">
Domestic energy use</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B7A00C64-80CA-4F24-9A6B-F326610C91FE}">
      <text>
        <r>
          <rPr>
            <b/>
            <sz val="8"/>
            <color indexed="81"/>
            <rFont val="Tahoma"/>
            <family val="2"/>
          </rPr>
          <t>John Venezia:</t>
        </r>
        <r>
          <rPr>
            <sz val="8"/>
            <color indexed="81"/>
            <rFont val="Tahoma"/>
            <family val="2"/>
          </rPr>
          <t xml:space="preserve">
Domestic energy use</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3E453DE6-4BAE-4FF2-A2B9-F9C61920C5E5}">
      <text>
        <r>
          <rPr>
            <b/>
            <sz val="8"/>
            <color indexed="81"/>
            <rFont val="Tahoma"/>
            <family val="2"/>
          </rPr>
          <t>John Venezia:</t>
        </r>
        <r>
          <rPr>
            <sz val="8"/>
            <color indexed="81"/>
            <rFont val="Tahoma"/>
            <family val="2"/>
          </rPr>
          <t xml:space="preserve">
Domestic energy use</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John Venezia</author>
  </authors>
  <commentList>
    <comment ref="R5" authorId="0" shapeId="0" xr:uid="{EBABA002-AB90-42C2-A1B8-416B4E1AF681}">
      <text>
        <r>
          <rPr>
            <b/>
            <sz val="8"/>
            <color indexed="81"/>
            <rFont val="Tahoma"/>
            <family val="2"/>
          </rPr>
          <t>John Venezia:</t>
        </r>
        <r>
          <rPr>
            <sz val="8"/>
            <color indexed="81"/>
            <rFont val="Tahoma"/>
            <family val="2"/>
          </rPr>
          <t xml:space="preserve">
Domestic energy use</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John Venezia</author>
    <author>tc={E9A91E1C-9761-48FF-BFDC-34A4D0360136}</author>
  </authors>
  <commentList>
    <comment ref="R5" authorId="0" shapeId="0" xr:uid="{3EF17F04-9F4B-4617-8705-FBA925E4FE43}">
      <text>
        <r>
          <rPr>
            <b/>
            <sz val="8"/>
            <color indexed="81"/>
            <rFont val="Tahoma"/>
            <family val="2"/>
          </rPr>
          <t>John Venezia:</t>
        </r>
        <r>
          <rPr>
            <sz val="8"/>
            <color indexed="81"/>
            <rFont val="Tahoma"/>
            <family val="2"/>
          </rPr>
          <t xml:space="preserve">
Domestic energy use</t>
        </r>
      </text>
    </comment>
    <comment ref="P25" authorId="1" shapeId="0" xr:uid="{E9A91E1C-9761-48FF-BFDC-34A4D0360136}">
      <text>
        <t>[Threaded comment]
Your version of Excel allows you to read this threaded comment; however, any edits to it will get removed if the file is opened in a newer version of Excel. Learn more: https://go.microsoft.com/fwlink/?linkid=870924
Comment:
    NEU subtraction is more than total consumption, so ICF and EPA decided to make this value 0 for PR cycle 2022.</t>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Lauren Pederson</author>
    <author>John Venezia</author>
    <author>Tamble, Grace</author>
  </authors>
  <commentList>
    <comment ref="C9" authorId="0" shapeId="0" xr:uid="{00000000-0006-0000-2900-000001000000}">
      <text>
        <r>
          <rPr>
            <sz val="8"/>
            <color indexed="81"/>
            <rFont val="Tahoma"/>
            <family val="2"/>
          </rPr>
          <t xml:space="preserve">The number is the sum of consumption of coal in short tons in Puerto Rico and US Virgin Islands only.  No data or insignificant values were available from the other territories.  
</t>
        </r>
      </text>
    </comment>
    <comment ref="Q9" authorId="1" shapeId="0" xr:uid="{00000000-0006-0000-2900-000002000000}">
      <text>
        <r>
          <rPr>
            <b/>
            <sz val="8"/>
            <color indexed="81"/>
            <rFont val="Tahoma"/>
            <family val="2"/>
          </rPr>
          <t>Lauren Pederson:</t>
        </r>
        <r>
          <rPr>
            <sz val="8"/>
            <color indexed="81"/>
            <rFont val="Tahoma"/>
            <family val="2"/>
          </rPr>
          <t xml:space="preserve">
AES Puerto Rico, a 454 megawatt coal-fired power CFB (circulating fluid bed) cogeneration (producing both electricity and steam) facility came on line in Guayama, Puerto Rico in November 29, 2002.</t>
        </r>
      </text>
    </comment>
    <comment ref="C10" authorId="2" shapeId="0" xr:uid="{00000000-0006-0000-2900-000003000000}">
      <text>
        <r>
          <rPr>
            <b/>
            <sz val="8"/>
            <color indexed="81"/>
            <rFont val="Tahoma"/>
            <family val="2"/>
          </rPr>
          <t>John Venezia:</t>
        </r>
        <r>
          <rPr>
            <sz val="8"/>
            <color indexed="81"/>
            <rFont val="Tahoma"/>
            <family val="2"/>
          </rPr>
          <t xml:space="preserve">
2000 is the first year with consumption data</t>
        </r>
      </text>
    </comment>
    <comment ref="N10" authorId="2" shapeId="0" xr:uid="{00000000-0006-0000-2900-000004000000}">
      <text>
        <r>
          <rPr>
            <b/>
            <sz val="8"/>
            <color indexed="81"/>
            <rFont val="Tahoma"/>
            <family val="2"/>
          </rPr>
          <t>John Venezia:</t>
        </r>
        <r>
          <rPr>
            <sz val="8"/>
            <color indexed="81"/>
            <rFont val="Tahoma"/>
            <family val="2"/>
          </rPr>
          <t xml:space="preserve">
Puerto rico is now consuming natural gas.
</t>
        </r>
      </text>
    </comment>
    <comment ref="C18" authorId="3" shapeId="0" xr:uid="{33FF69DC-83BF-45CE-B316-F33D1D598AEA}">
      <text>
        <r>
          <rPr>
            <b/>
            <sz val="9"/>
            <color indexed="81"/>
            <rFont val="Tahoma"/>
            <family val="2"/>
          </rPr>
          <t>Tamble, Grace:</t>
        </r>
        <r>
          <rPr>
            <sz val="9"/>
            <color indexed="81"/>
            <rFont val="Tahoma"/>
            <family val="2"/>
          </rPr>
          <t xml:space="preserve">
Lubricant data is only available from 1990-2009. 2010-forward is proxied. </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Murali, Rani</author>
    <author>DLekas</author>
  </authors>
  <commentList>
    <comment ref="A1" authorId="0" shapeId="0" xr:uid="{00000000-0006-0000-2A00-000001000000}">
      <text>
        <r>
          <rPr>
            <sz val="9"/>
            <color indexed="81"/>
            <rFont val="Tahoma"/>
            <family val="2"/>
          </rPr>
          <t>NOTE:  The estimate of CO2 emissions from consumption of jet fuel, residual fuel oil, and distillate fuel oil for avaition and marine international bunkers is used to correct the estimate of total fuel consumption and emissions from CO2 from fossil fuel combustion in the spreadsheet by the same name.</t>
        </r>
      </text>
    </comment>
    <comment ref="C21" authorId="1" shapeId="0" xr:uid="{00000000-0006-0000-2A00-000008000000}">
      <text>
        <r>
          <rPr>
            <b/>
            <sz val="8"/>
            <color indexed="81"/>
            <rFont val="Tahoma"/>
            <family val="2"/>
          </rPr>
          <t>DLekas:</t>
        </r>
        <r>
          <rPr>
            <sz val="8"/>
            <color indexed="81"/>
            <rFont val="Tahoma"/>
            <family val="2"/>
          </rPr>
          <t xml:space="preserve">
Subtracted from total Tg C for jet fuel, residual, and distillate in the yearly emission calc sheets.</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John Venezia</author>
    <author>A satisfied Microsoft Office user</author>
    <author>Tamble, Grace</author>
    <author>Jaramillo, Diana</author>
    <author>O'Malley, Katie</author>
  </authors>
  <commentList>
    <comment ref="D12" authorId="0" shapeId="0" xr:uid="{00000000-0006-0000-2B00-000001000000}">
      <text>
        <r>
          <rPr>
            <b/>
            <sz val="8"/>
            <color indexed="81"/>
            <rFont val="Tahoma"/>
            <family val="2"/>
          </rPr>
          <t xml:space="preserve">Claire Trevisan:
</t>
        </r>
        <r>
          <rPr>
            <sz val="8"/>
            <color indexed="81"/>
            <rFont val="Tahoma"/>
            <family val="2"/>
          </rPr>
          <t>Carbon content updated to be variable and added to annually variable CC table in FR cycle of IY19 (March 2021).</t>
        </r>
        <r>
          <rPr>
            <b/>
            <sz val="8"/>
            <color indexed="81"/>
            <rFont val="Tahoma"/>
            <family val="2"/>
          </rPr>
          <t xml:space="preserve">
Rubab Bhangu:
</t>
        </r>
        <r>
          <rPr>
            <sz val="8"/>
            <color indexed="81"/>
            <rFont val="Tahoma"/>
            <family val="2"/>
          </rPr>
          <t>On 1/18/2011, updated original value of "30.996 Tg C/QBtu" to the value provided by MRR (EPA 2010) so as to match the value presented in Annex2.2 (Methodology for Estimating the C Content of Fossil Fuels) Table A-36 (C Content Coeff. Used in this Report)</t>
        </r>
        <r>
          <rPr>
            <b/>
            <sz val="8"/>
            <color indexed="81"/>
            <rFont val="Tahoma"/>
            <family val="2"/>
          </rPr>
          <t xml:space="preserve">
John Venezia:</t>
        </r>
        <r>
          <rPr>
            <sz val="8"/>
            <color indexed="81"/>
            <rFont val="Tahoma"/>
            <family val="2"/>
          </rPr>
          <t xml:space="preserve">
Value provided by Robert Lanza (ICF) on 10/29/04. Based on analysis of remaining coking coal NOT used for iron and steel</t>
        </r>
      </text>
    </comment>
    <comment ref="F12" authorId="0" shapeId="0" xr:uid="{00000000-0006-0000-2B00-000002000000}">
      <text>
        <r>
          <rPr>
            <b/>
            <sz val="8"/>
            <color indexed="81"/>
            <rFont val="Tahoma"/>
            <family val="2"/>
          </rPr>
          <t>John Venezia:</t>
        </r>
        <r>
          <rPr>
            <sz val="8"/>
            <color indexed="81"/>
            <rFont val="Tahoma"/>
            <family val="2"/>
          </rPr>
          <t xml:space="preserve">
Changed to 0.10 from 0.75 in 9/05 per direction from Robert Lanza. The 0.75 value was for coal tar, which is now calculating in IP. This value is used for coking coal. No IPCC factor was available, so we assumed that the percentage of the carbon content emitted from the use of industrial coking coal in other metallurgical and industrial processes would be similar to the percentage of the carbon content emitted from the use of industrial coking coal in the metallurgical coke and iron and steel making process. This value is 90 percent [with some of the carbon being stored in the pig iron and steel produced and some being transformed into coal tar.]  </t>
        </r>
      </text>
    </comment>
    <comment ref="D14" authorId="1" shapeId="0" xr:uid="{00000000-0006-0000-2B00-000003000000}">
      <text>
        <r>
          <rPr>
            <b/>
            <sz val="8"/>
            <color indexed="81"/>
            <rFont val="Tahoma"/>
            <family val="2"/>
          </rPr>
          <t>ICF:</t>
        </r>
        <r>
          <rPr>
            <sz val="8"/>
            <color indexed="81"/>
            <rFont val="Tahoma"/>
            <family val="2"/>
          </rPr>
          <t xml:space="preserve">
From Louise Guey-Lee's (EIA) spreadsheets on emissions from coal consumption</t>
        </r>
      </text>
    </comment>
    <comment ref="C17" authorId="1" shapeId="0" xr:uid="{00000000-0006-0000-2B00-000004000000}">
      <text>
        <r>
          <rPr>
            <b/>
            <sz val="8"/>
            <color indexed="81"/>
            <rFont val="Tahoma"/>
            <family val="2"/>
          </rPr>
          <t>ICF:</t>
        </r>
        <r>
          <rPr>
            <sz val="8"/>
            <color indexed="81"/>
            <rFont val="Tahoma"/>
            <family val="2"/>
          </rPr>
          <t xml:space="preserve">
Value specific to US territories, which import mostly bituminous from Venezuela.  See Rypinski, 1994.</t>
        </r>
      </text>
    </comment>
    <comment ref="D17" authorId="1" shapeId="0" xr:uid="{00000000-0006-0000-2B00-000005000000}">
      <text>
        <r>
          <rPr>
            <b/>
            <sz val="8"/>
            <color indexed="81"/>
            <rFont val="Tahoma"/>
            <family val="2"/>
          </rPr>
          <t>ICF:</t>
        </r>
        <r>
          <rPr>
            <sz val="8"/>
            <color indexed="81"/>
            <rFont val="Tahoma"/>
            <family val="2"/>
          </rPr>
          <t xml:space="preserve">
Value specific to US territories, which import mostly bituminous from Venezuela.  See Rypinski, 1994.</t>
        </r>
      </text>
    </comment>
    <comment ref="I17" authorId="2" shapeId="0" xr:uid="{E9B05DAB-1C6E-4968-A1B2-03757778B760}">
      <text>
        <r>
          <rPr>
            <sz val="9"/>
            <color indexed="81"/>
            <rFont val="Tahoma"/>
            <family val="2"/>
          </rPr>
          <t xml:space="preserve">Used for Residential, Commercial, Transportation Sector LPG use. 100% Propane. </t>
        </r>
      </text>
    </comment>
    <comment ref="I18" authorId="0" shapeId="0" xr:uid="{00000000-0006-0000-2B00-000006000000}">
      <text>
        <r>
          <rPr>
            <sz val="8"/>
            <color indexed="81"/>
            <rFont val="Tahoma"/>
            <family val="2"/>
          </rPr>
          <t xml:space="preserve">Used for energy use (only) in Industrial Sector. Weighted factor. </t>
        </r>
      </text>
    </comment>
    <comment ref="I19" authorId="0" shapeId="0" xr:uid="{00000000-0006-0000-2B00-000007000000}">
      <text>
        <r>
          <rPr>
            <sz val="8"/>
            <color indexed="81"/>
            <rFont val="Tahoma"/>
            <family val="2"/>
          </rPr>
          <t xml:space="preserve">Used only for non-fuel use in the industrial sector. Weighted factor. </t>
        </r>
      </text>
    </comment>
    <comment ref="C23" authorId="3" shapeId="0" xr:uid="{00000000-0006-0000-2B00-000008000000}">
      <text>
        <r>
          <rPr>
            <b/>
            <sz val="9"/>
            <color indexed="81"/>
            <rFont val="Tahoma"/>
            <family val="2"/>
          </rPr>
          <t xml:space="preserve">Rubab Bhangu:
</t>
        </r>
        <r>
          <rPr>
            <sz val="9"/>
            <color indexed="81"/>
            <rFont val="Tahoma"/>
            <family val="2"/>
          </rPr>
          <t>most heat contents below are from Appendix A, Table A1 of the U.S. EIA AER</t>
        </r>
      </text>
    </comment>
    <comment ref="I23" authorId="4" shapeId="0" xr:uid="{1F34B769-FDB1-42D3-B10C-8A186D90E7EE}">
      <text>
        <r>
          <rPr>
            <b/>
            <sz val="9"/>
            <color indexed="81"/>
            <rFont val="Tahoma"/>
            <family val="2"/>
          </rPr>
          <t>O'Malley, Katie:</t>
        </r>
        <r>
          <rPr>
            <sz val="9"/>
            <color indexed="81"/>
            <rFont val="Tahoma"/>
            <family val="2"/>
          </rPr>
          <t xml:space="preserve">
Updated in BY19 to be zero for all years in accordance with EIA guidance</t>
        </r>
      </text>
    </comment>
    <comment ref="C26" authorId="2" shapeId="0" xr:uid="{9BECC3E1-EA94-4CDB-97EF-B16F5E48F41C}">
      <text>
        <r>
          <rPr>
            <b/>
            <sz val="9"/>
            <color indexed="81"/>
            <rFont val="Tahoma"/>
            <family val="2"/>
          </rPr>
          <t>Tamble, Grace:</t>
        </r>
        <r>
          <rPr>
            <sz val="9"/>
            <color indexed="81"/>
            <rFont val="Tahoma"/>
            <family val="2"/>
          </rPr>
          <t xml:space="preserve">
Changed to variable from 5.825 in IY2019 PR. </t>
        </r>
      </text>
    </comment>
    <comment ref="D26" authorId="2" shapeId="0" xr:uid="{C1C2B620-FB64-47EE-9C9F-98AFB00868F2}">
      <text>
        <r>
          <rPr>
            <b/>
            <sz val="9"/>
            <color indexed="81"/>
            <rFont val="Tahoma"/>
            <family val="2"/>
          </rPr>
          <t>Tamble, Grace:</t>
        </r>
        <r>
          <rPr>
            <sz val="9"/>
            <color indexed="81"/>
            <rFont val="Tahoma"/>
            <family val="2"/>
          </rPr>
          <t xml:space="preserve">
Changed from 20.17 in IY2019 PR.</t>
        </r>
      </text>
    </comment>
    <comment ref="I28" authorId="2" shapeId="0" xr:uid="{0F055D16-B22A-4D6F-9C23-BDC1C3F584B6}">
      <text>
        <r>
          <rPr>
            <b/>
            <sz val="9"/>
            <color indexed="81"/>
            <rFont val="Tahoma"/>
            <family val="2"/>
          </rPr>
          <t>Tamble, Grace:</t>
        </r>
        <r>
          <rPr>
            <sz val="9"/>
            <color indexed="81"/>
            <rFont val="Tahoma"/>
            <family val="2"/>
          </rPr>
          <t xml:space="preserve">
Added annual variable C content in FR2019. </t>
        </r>
      </text>
    </comment>
    <comment ref="E30" authorId="3" shapeId="0" xr:uid="{00000000-0006-0000-2B00-000009000000}">
      <text>
        <r>
          <rPr>
            <b/>
            <sz val="9"/>
            <color indexed="81"/>
            <rFont val="Tahoma"/>
            <family val="2"/>
          </rPr>
          <t xml:space="preserve">John Venezia:
</t>
        </r>
        <r>
          <rPr>
            <sz val="9"/>
            <color indexed="81"/>
            <rFont val="Tahoma"/>
            <family val="2"/>
          </rPr>
          <t>Changed 9/30/02 to match EIA value. Randy agrees that this is appropriate.</t>
        </r>
      </text>
    </comment>
    <comment ref="C31" authorId="2" shapeId="0" xr:uid="{736B44FF-FF39-4E3E-A0BC-1FE47706B926}">
      <text>
        <r>
          <rPr>
            <b/>
            <sz val="9"/>
            <color indexed="81"/>
            <rFont val="Tahoma"/>
            <family val="2"/>
          </rPr>
          <t>Tamble, Grace:</t>
        </r>
        <r>
          <rPr>
            <sz val="9"/>
            <color indexed="81"/>
            <rFont val="Tahoma"/>
            <family val="2"/>
          </rPr>
          <t xml:space="preserve">
Average Heat Content for all HGLs. Used for US Territories. </t>
        </r>
      </text>
    </comment>
    <comment ref="F42" authorId="0" shapeId="0" xr:uid="{00000000-0006-0000-2B00-00000A000000}">
      <text>
        <r>
          <rPr>
            <b/>
            <sz val="8"/>
            <color indexed="81"/>
            <rFont val="Tahoma"/>
            <family val="2"/>
          </rPr>
          <t>John Venezia:</t>
        </r>
        <r>
          <rPr>
            <sz val="8"/>
            <color indexed="81"/>
            <rFont val="Tahoma"/>
            <family val="2"/>
          </rPr>
          <t xml:space="preserve">
Changed to zero (from 100%) per analysis by Robert Lanza (ICF) on 10/29/04.
EIA defines "miscellaneous products" as "all finished products not classified elsewhere, e.g., Petrolatum, Lube refining byproducts (e.g., aromatic extracts and tars), "Absorption oils" (used in natural gas production), Ram-jet fuel, Petroleum rocket fuel, Synthetic natural gas feedstocks, and "Specialty oils".
Previously we had a storage factor of 100 percent for "miscellaneous products."  It seems unlikely that carbon in these products would be stored rather than emitted.  Petrolatum and specialty oils probably end up largely as solid waste or wastewater.  The jet fuel and rocket fuel and synthetic natural gas feedstocks are certainly emitted, and the other categories are unlikely to be rendered into durable goods [they are liquids so they certainly wouldn't be landfilled.]  </t>
        </r>
      </text>
    </comment>
    <comment ref="F43" authorId="0" shapeId="0" xr:uid="{00000000-0006-0000-2B00-00000B000000}">
      <text>
        <r>
          <rPr>
            <b/>
            <sz val="8"/>
            <color indexed="81"/>
            <rFont val="Tahoma"/>
            <family val="2"/>
          </rPr>
          <t>John Venezia:</t>
        </r>
        <r>
          <rPr>
            <sz val="8"/>
            <color indexed="81"/>
            <rFont val="Tahoma"/>
            <family val="2"/>
          </rPr>
          <t xml:space="preserve">
Assumed to be 10 percent per conversation Dana Palmer had with Art Rypinski, 12.16.97.  The other petroleum number for territories includes different fuels from the industrial and transportation sectors.  The main stored fuel type in this case is aphalt. VALUE COULD NOT BE REVISED B/C DATA IS PROPRIETARY. ASSUMED TO BE A MIZ OF VARIOUS FUELS, </t>
        </r>
        <r>
          <rPr>
            <i/>
            <sz val="8"/>
            <color indexed="81"/>
            <rFont val="Tahoma"/>
            <family val="2"/>
          </rPr>
          <t>NOT</t>
        </r>
        <r>
          <rPr>
            <sz val="8"/>
            <color indexed="81"/>
            <rFont val="Tahoma"/>
            <family val="2"/>
          </rPr>
          <t xml:space="preserve"> MOSTLY ASPHALT. SEE MY E-MAILS WITH MIKE GRILLOT AND STEPHANIE POLUMBO IN 2001.</t>
        </r>
      </text>
    </comment>
    <comment ref="C46" authorId="2" shapeId="0" xr:uid="{A9D280C5-D453-4B3F-8F8F-1EC26354230D}">
      <text>
        <r>
          <rPr>
            <b/>
            <sz val="9"/>
            <color indexed="81"/>
            <rFont val="Tahoma"/>
            <family val="2"/>
          </rPr>
          <t>Tamble, Grace:</t>
        </r>
        <r>
          <rPr>
            <sz val="9"/>
            <color indexed="81"/>
            <rFont val="Tahoma"/>
            <family val="2"/>
          </rPr>
          <t xml:space="preserve">
Updated Decemeber 2020. EIA MER Table A1</t>
        </r>
      </text>
    </comment>
    <comment ref="D46" authorId="2" shapeId="0" xr:uid="{16821BA6-B0FD-434C-9918-B373ED1356C0}">
      <text>
        <r>
          <rPr>
            <b/>
            <sz val="9"/>
            <color indexed="81"/>
            <rFont val="Tahoma"/>
            <family val="2"/>
          </rPr>
          <t>Tamble, Grace:</t>
        </r>
        <r>
          <rPr>
            <sz val="9"/>
            <color indexed="81"/>
            <rFont val="Tahoma"/>
            <family val="2"/>
          </rPr>
          <t xml:space="preserve">
Updated December 2020. EPA GHGRP Table C1</t>
        </r>
      </text>
    </comment>
    <comment ref="E58" authorId="0" shapeId="0" xr:uid="{00000000-0006-0000-2B00-00000D000000}">
      <text>
        <r>
          <rPr>
            <b/>
            <sz val="8"/>
            <color indexed="81"/>
            <rFont val="Tahoma"/>
            <family val="2"/>
          </rPr>
          <t>John Venezia:</t>
        </r>
        <r>
          <rPr>
            <sz val="8"/>
            <color indexed="81"/>
            <rFont val="Tahoma"/>
            <family val="2"/>
          </rPr>
          <t xml:space="preserve">
Revised in 12/05 per research done by ICF and OTAQ. This research indicates that the fraction oxidized for motor vehicles is almost 1.00 (versus 0.99). </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Murali, Rani</author>
    <author>John Venezia</author>
    <author>Carr, Emily</author>
  </authors>
  <commentList>
    <comment ref="B1" authorId="0" shapeId="0" xr:uid="{00000000-0006-0000-2C00-000001000000}">
      <text>
        <r>
          <rPr>
            <sz val="9"/>
            <color indexed="81"/>
            <rFont val="Tahoma"/>
            <family val="2"/>
          </rPr>
          <t xml:space="preserve">Non-energy use data are inputted here.  This sheet then estimates potential carbon emissions, adjusts for export of petrochemical feedstocks, and estimates carbon stored in products.  Finally, carbon emitted is estimated by subtracting the carbon stored from the adjusted potential emissions. For the Fuel Types with asterisks, it is assumed that all of the consumption is for non-energy uses. </t>
        </r>
      </text>
    </comment>
    <comment ref="D7" authorId="1" shapeId="0" xr:uid="{00000000-0006-0000-2C00-000002000000}">
      <text>
        <r>
          <rPr>
            <b/>
            <sz val="8"/>
            <color indexed="81"/>
            <rFont val="Tahoma"/>
            <family val="2"/>
          </rPr>
          <t>John Venezia:</t>
        </r>
        <r>
          <rPr>
            <sz val="8"/>
            <color indexed="81"/>
            <rFont val="Tahoma"/>
            <family val="2"/>
          </rPr>
          <t xml:space="preserve">
NEU uses (calculating as the difference between total consumption and consumption for iron &amp; steel)</t>
        </r>
      </text>
    </comment>
    <comment ref="D21" authorId="1" shapeId="0" xr:uid="{00000000-0006-0000-2C00-000003000000}">
      <text>
        <r>
          <rPr>
            <b/>
            <sz val="8"/>
            <color indexed="81"/>
            <rFont val="Tahoma"/>
            <family val="2"/>
          </rPr>
          <t>John Venezia:</t>
        </r>
        <r>
          <rPr>
            <sz val="8"/>
            <color indexed="81"/>
            <rFont val="Tahoma"/>
            <family val="2"/>
          </rPr>
          <t xml:space="preserve">
At present, wax consumption is based on data provided by the EIA, which are believed to incorporate EIA import/export information.  Comparison of import/export data from the International Trade Agency with those from the EIA showed that EIA may overestimate wax exports, which would potentially result in lower than actual wax consumption estimates.</t>
        </r>
      </text>
    </comment>
    <comment ref="D32" authorId="0" shapeId="0" xr:uid="{00000000-0006-0000-2C00-000004000000}">
      <text>
        <r>
          <rPr>
            <sz val="9"/>
            <color indexed="81"/>
            <rFont val="Tahoma"/>
            <family val="2"/>
          </rPr>
          <t>The following adjustments adjust petrochemical feedstocks for exports based on relative non-energy use consumption.</t>
        </r>
      </text>
    </comment>
    <comment ref="D43" authorId="1" shapeId="0" xr:uid="{00000000-0006-0000-2C00-000005000000}">
      <text>
        <r>
          <rPr>
            <b/>
            <sz val="8"/>
            <color indexed="81"/>
            <rFont val="Tahoma"/>
            <family val="2"/>
          </rPr>
          <t>John Venezia:</t>
        </r>
        <r>
          <rPr>
            <sz val="8"/>
            <color indexed="81"/>
            <rFont val="Tahoma"/>
            <family val="2"/>
          </rPr>
          <t xml:space="preserve">
Adjust 6 of the 7 "petrochemical feedstocks" for exports, based on their relative NEU consumption. Did not adjust for still gas, as is most likely not exported or imported. (Robert Lanza)</t>
        </r>
      </text>
    </comment>
    <comment ref="D51" authorId="1" shapeId="0" xr:uid="{00000000-0006-0000-2C00-000006000000}">
      <text>
        <r>
          <rPr>
            <b/>
            <sz val="8"/>
            <color indexed="81"/>
            <rFont val="Tahoma"/>
            <family val="2"/>
          </rPr>
          <t>John Venezia:</t>
        </r>
        <r>
          <rPr>
            <sz val="8"/>
            <color indexed="81"/>
            <rFont val="Tahoma"/>
            <family val="2"/>
          </rPr>
          <t xml:space="preserve">
Note this this is a negative formula.
</t>
        </r>
      </text>
    </comment>
    <comment ref="L85" authorId="0" shapeId="0" xr:uid="{00000000-0006-0000-2C00-000007000000}">
      <text>
        <r>
          <rPr>
            <b/>
            <sz val="9"/>
            <color indexed="81"/>
            <rFont val="Tahoma"/>
            <family val="2"/>
          </rPr>
          <t>ICF:</t>
        </r>
        <r>
          <rPr>
            <sz val="9"/>
            <color indexed="81"/>
            <rFont val="Tahoma"/>
            <family val="2"/>
          </rPr>
          <t xml:space="preserve">
Hardcoded as zero.</t>
        </r>
      </text>
    </comment>
    <comment ref="Y85" authorId="0" shapeId="0" xr:uid="{00000000-0006-0000-2C00-000008000000}">
      <text>
        <r>
          <rPr>
            <b/>
            <sz val="9"/>
            <color indexed="81"/>
            <rFont val="Tahoma"/>
            <family val="2"/>
          </rPr>
          <t>ICF:</t>
        </r>
        <r>
          <rPr>
            <sz val="9"/>
            <color indexed="81"/>
            <rFont val="Tahoma"/>
            <family val="2"/>
          </rPr>
          <t xml:space="preserve">
Hardcoded as zero.</t>
        </r>
      </text>
    </comment>
    <comment ref="Z85" authorId="0" shapeId="0" xr:uid="{00000000-0006-0000-2C00-000009000000}">
      <text>
        <r>
          <rPr>
            <b/>
            <sz val="9"/>
            <color indexed="81"/>
            <rFont val="Tahoma"/>
            <family val="2"/>
          </rPr>
          <t>ICF:</t>
        </r>
        <r>
          <rPr>
            <sz val="9"/>
            <color indexed="81"/>
            <rFont val="Tahoma"/>
            <family val="2"/>
          </rPr>
          <t xml:space="preserve">
Hardcoded as zero.</t>
        </r>
      </text>
    </comment>
    <comment ref="AA85" authorId="0" shapeId="0" xr:uid="{00000000-0006-0000-2C00-00000A000000}">
      <text>
        <r>
          <rPr>
            <b/>
            <sz val="9"/>
            <color indexed="81"/>
            <rFont val="Tahoma"/>
            <family val="2"/>
          </rPr>
          <t>ICF:</t>
        </r>
        <r>
          <rPr>
            <sz val="9"/>
            <color indexed="81"/>
            <rFont val="Tahoma"/>
            <family val="2"/>
          </rPr>
          <t xml:space="preserve">
Hardcoded as zero.</t>
        </r>
      </text>
    </comment>
    <comment ref="AB85" authorId="0" shapeId="0" xr:uid="{00000000-0006-0000-2C00-00000B000000}">
      <text>
        <r>
          <rPr>
            <b/>
            <sz val="9"/>
            <color indexed="81"/>
            <rFont val="Tahoma"/>
            <family val="2"/>
          </rPr>
          <t>ICF:</t>
        </r>
        <r>
          <rPr>
            <sz val="9"/>
            <color indexed="81"/>
            <rFont val="Tahoma"/>
            <family val="2"/>
          </rPr>
          <t xml:space="preserve">
Hardcoded as zero.</t>
        </r>
      </text>
    </comment>
    <comment ref="AC85" authorId="0" shapeId="0" xr:uid="{00000000-0006-0000-2C00-00000C000000}">
      <text>
        <r>
          <rPr>
            <b/>
            <sz val="9"/>
            <color indexed="81"/>
            <rFont val="Tahoma"/>
            <family val="2"/>
          </rPr>
          <t>ICF:</t>
        </r>
        <r>
          <rPr>
            <sz val="9"/>
            <color indexed="81"/>
            <rFont val="Tahoma"/>
            <family val="2"/>
          </rPr>
          <t xml:space="preserve">
Hardcoded as zero.</t>
        </r>
      </text>
    </comment>
    <comment ref="AD85" authorId="0" shapeId="0" xr:uid="{00000000-0006-0000-2C00-00000D000000}">
      <text>
        <r>
          <rPr>
            <b/>
            <sz val="9"/>
            <color indexed="81"/>
            <rFont val="Tahoma"/>
            <family val="2"/>
          </rPr>
          <t>ICF:</t>
        </r>
        <r>
          <rPr>
            <sz val="9"/>
            <color indexed="81"/>
            <rFont val="Tahoma"/>
            <family val="2"/>
          </rPr>
          <t xml:space="preserve">
Hardcoded as zero.</t>
        </r>
      </text>
    </comment>
    <comment ref="AE85" authorId="0" shapeId="0" xr:uid="{00000000-0006-0000-2C00-00000E000000}">
      <text>
        <r>
          <rPr>
            <b/>
            <sz val="9"/>
            <color indexed="81"/>
            <rFont val="Tahoma"/>
            <family val="2"/>
          </rPr>
          <t>ICF:</t>
        </r>
        <r>
          <rPr>
            <sz val="9"/>
            <color indexed="81"/>
            <rFont val="Tahoma"/>
            <family val="2"/>
          </rPr>
          <t xml:space="preserve">
Hardcoded as zero.</t>
        </r>
      </text>
    </comment>
    <comment ref="AF85" authorId="0" shapeId="0" xr:uid="{00000000-0006-0000-2C00-00000F000000}">
      <text>
        <r>
          <rPr>
            <b/>
            <sz val="9"/>
            <color indexed="81"/>
            <rFont val="Tahoma"/>
            <family val="2"/>
          </rPr>
          <t>ICF:</t>
        </r>
        <r>
          <rPr>
            <sz val="9"/>
            <color indexed="81"/>
            <rFont val="Tahoma"/>
            <family val="2"/>
          </rPr>
          <t xml:space="preserve">
Hardcoded as zero.</t>
        </r>
      </text>
    </comment>
    <comment ref="AG85" authorId="0" shapeId="0" xr:uid="{DB837CF9-401C-43FF-BC41-43B24CD43A44}">
      <text>
        <r>
          <rPr>
            <b/>
            <sz val="9"/>
            <color indexed="81"/>
            <rFont val="Tahoma"/>
            <family val="2"/>
          </rPr>
          <t>ICF:</t>
        </r>
        <r>
          <rPr>
            <sz val="9"/>
            <color indexed="81"/>
            <rFont val="Tahoma"/>
            <family val="2"/>
          </rPr>
          <t xml:space="preserve">
Hardcoded as zero.</t>
        </r>
      </text>
    </comment>
    <comment ref="AH85" authorId="0" shapeId="0" xr:uid="{E5084EF1-1FA9-49E9-B765-0C9946C1F893}">
      <text>
        <r>
          <rPr>
            <b/>
            <sz val="9"/>
            <color indexed="81"/>
            <rFont val="Tahoma"/>
            <family val="2"/>
          </rPr>
          <t>ICF:</t>
        </r>
        <r>
          <rPr>
            <sz val="9"/>
            <color indexed="81"/>
            <rFont val="Tahoma"/>
            <family val="2"/>
          </rPr>
          <t xml:space="preserve">
Hardcoded as zero.</t>
        </r>
      </text>
    </comment>
    <comment ref="AI85" authorId="0" shapeId="0" xr:uid="{7516C929-7685-407E-B4FF-579401C9262A}">
      <text>
        <r>
          <rPr>
            <b/>
            <sz val="9"/>
            <color indexed="81"/>
            <rFont val="Tahoma"/>
            <family val="2"/>
          </rPr>
          <t>ICF:</t>
        </r>
        <r>
          <rPr>
            <sz val="9"/>
            <color indexed="81"/>
            <rFont val="Tahoma"/>
            <family val="2"/>
          </rPr>
          <t xml:space="preserve">
Hardcoded as zero.</t>
        </r>
      </text>
    </comment>
    <comment ref="AJ85" authorId="2" shapeId="0" xr:uid="{6E36630D-E8BC-4484-A8EA-CD0E9CAC29D9}">
      <text>
        <r>
          <rPr>
            <b/>
            <sz val="9"/>
            <color indexed="81"/>
            <rFont val="Tahoma"/>
            <family val="2"/>
          </rPr>
          <t>Carr, Emily:</t>
        </r>
        <r>
          <rPr>
            <sz val="9"/>
            <color indexed="81"/>
            <rFont val="Tahoma"/>
            <family val="2"/>
          </rPr>
          <t xml:space="preserve">
Hardcoded as 0</t>
        </r>
      </text>
    </comment>
    <comment ref="AK85" authorId="2" shapeId="0" xr:uid="{16D34D5A-DCEE-4A20-B62F-31216AFCF989}">
      <text>
        <r>
          <rPr>
            <b/>
            <sz val="9"/>
            <color indexed="81"/>
            <rFont val="Tahoma"/>
            <family val="2"/>
          </rPr>
          <t>Carr, Emily:</t>
        </r>
        <r>
          <rPr>
            <sz val="9"/>
            <color indexed="81"/>
            <rFont val="Tahoma"/>
            <family val="2"/>
          </rPr>
          <t xml:space="preserve">
Hardcoded as 0</t>
        </r>
      </text>
    </comment>
    <comment ref="D99" authorId="0" shapeId="0" xr:uid="{00000000-0006-0000-2C00-000010000000}">
      <text>
        <r>
          <rPr>
            <sz val="9"/>
            <color indexed="81"/>
            <rFont val="Tahoma"/>
            <family val="2"/>
          </rPr>
          <t>C Storage summary links to these cells</t>
        </r>
      </text>
    </comment>
    <comment ref="D209" authorId="0" shapeId="0" xr:uid="{00000000-0006-0000-2C00-000011000000}">
      <text>
        <r>
          <rPr>
            <sz val="9"/>
            <color indexed="81"/>
            <rFont val="Tahoma"/>
            <family val="2"/>
          </rPr>
          <t>Reference approach links to these cells</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R Freed</author>
    <author>tc={5731CE68-C4A0-42E1-84DB-F43E8FCEDA2C}</author>
    <author>tc={7DE49492-ADB6-47F7-9962-E54753D4D12C}</author>
    <author>Carr, Emily</author>
    <author>Kerkezis, Georgia</author>
  </authors>
  <commentList>
    <comment ref="C5" authorId="0" shapeId="0" xr:uid="{00000000-0006-0000-2E00-000001000000}">
      <text>
        <r>
          <rPr>
            <b/>
            <sz val="8"/>
            <color indexed="81"/>
            <rFont val="Tahoma"/>
            <family val="2"/>
          </rPr>
          <t>R Freed:</t>
        </r>
        <r>
          <rPr>
            <sz val="8"/>
            <color indexed="81"/>
            <rFont val="Tahoma"/>
            <family val="2"/>
          </rPr>
          <t xml:space="preserve">
IP carbon has already been deducted.
Add note on Exporting.
Used Adjusted NEU Numbers.</t>
        </r>
      </text>
    </comment>
    <comment ref="D5" authorId="1" shapeId="0" xr:uid="{5731CE68-C4A0-42E1-84DB-F43E8FCEDA2C}">
      <text>
        <t>[Threaded comment]
Your version of Excel allows you to read this threaded comment; however, any edits to it will get removed if the file is opened in a newer version of Excel. Learn more: https://go.microsoft.com/fwlink/?linkid=870924
Comment:
    This column needs to be updated to use 2021 values</t>
      </text>
    </comment>
    <comment ref="F5" authorId="2" shapeId="0" xr:uid="{7DE49492-ADB6-47F7-9962-E54753D4D12C}">
      <text>
        <t>[Threaded comment]
Your version of Excel allows you to read this threaded comment; however, any edits to it will get removed if the file is opened in a newer version of Excel. Learn more: https://go.microsoft.com/fwlink/?linkid=870924
Comment:
    This column needs to be updated to use 2021 values</t>
      </text>
    </comment>
    <comment ref="E17" authorId="3" shapeId="0" xr:uid="{8C33A203-D575-4504-8189-9779499E0A32}">
      <text>
        <r>
          <rPr>
            <b/>
            <sz val="9"/>
            <color indexed="81"/>
            <rFont val="Tahoma"/>
            <family val="2"/>
          </rPr>
          <t>Carr, Emily:</t>
        </r>
        <r>
          <rPr>
            <sz val="9"/>
            <color indexed="81"/>
            <rFont val="Tahoma"/>
            <family val="2"/>
          </rPr>
          <t xml:space="preserve">
Use cell A17 for index matching</t>
        </r>
      </text>
    </comment>
    <comment ref="G17" authorId="3" shapeId="0" xr:uid="{B5496C4C-C9B0-4A7B-8C29-648A8A7055D2}">
      <text>
        <r>
          <rPr>
            <b/>
            <sz val="9"/>
            <color indexed="81"/>
            <rFont val="Tahoma"/>
            <family val="2"/>
          </rPr>
          <t>Carr, Emily:</t>
        </r>
        <r>
          <rPr>
            <sz val="9"/>
            <color indexed="81"/>
            <rFont val="Tahoma"/>
            <family val="2"/>
          </rPr>
          <t xml:space="preserve">
Use cell A17 for index matching</t>
        </r>
      </text>
    </comment>
    <comment ref="H17" authorId="3" shapeId="0" xr:uid="{24C1E3D9-E635-4291-A52C-1687B4706DC2}">
      <text>
        <r>
          <rPr>
            <b/>
            <sz val="9"/>
            <color indexed="81"/>
            <rFont val="Tahoma"/>
            <family val="2"/>
          </rPr>
          <t>Carr, Emily:</t>
        </r>
        <r>
          <rPr>
            <sz val="9"/>
            <color indexed="81"/>
            <rFont val="Tahoma"/>
            <family val="2"/>
          </rPr>
          <t xml:space="preserve">
Use cell A17 for index matching</t>
        </r>
      </text>
    </comment>
    <comment ref="I17" authorId="3" shapeId="0" xr:uid="{09195FE3-E75A-4364-99B7-46D142EC29CE}">
      <text>
        <r>
          <rPr>
            <b/>
            <sz val="9"/>
            <color indexed="81"/>
            <rFont val="Tahoma"/>
            <family val="2"/>
          </rPr>
          <t>Carr, Emily:</t>
        </r>
        <r>
          <rPr>
            <sz val="9"/>
            <color indexed="81"/>
            <rFont val="Tahoma"/>
            <family val="2"/>
          </rPr>
          <t xml:space="preserve">
Use cell A17 for index matching</t>
        </r>
      </text>
    </comment>
    <comment ref="C25" authorId="4" shapeId="0" xr:uid="{D7CA0F96-95E4-4468-9917-F821011B37C2}">
      <text>
        <r>
          <rPr>
            <b/>
            <sz val="9"/>
            <color indexed="81"/>
            <rFont val="Tahoma"/>
            <family val="2"/>
          </rPr>
          <t>Kerkezis, Georgia:</t>
        </r>
        <r>
          <rPr>
            <sz val="9"/>
            <color indexed="81"/>
            <rFont val="Tahoma"/>
            <family val="2"/>
          </rPr>
          <t xml:space="preserve">
Use cell A25 for index matching</t>
        </r>
      </text>
    </comment>
    <comment ref="E25" authorId="3" shapeId="0" xr:uid="{04F1E5FB-1CE0-4AE8-A8A9-7AA3C9045886}">
      <text>
        <r>
          <rPr>
            <b/>
            <sz val="9"/>
            <color indexed="81"/>
            <rFont val="Tahoma"/>
            <family val="2"/>
          </rPr>
          <t>Carr, Emily:</t>
        </r>
        <r>
          <rPr>
            <sz val="9"/>
            <color indexed="81"/>
            <rFont val="Tahoma"/>
            <family val="2"/>
          </rPr>
          <t xml:space="preserve">
Use cell A25 for index matching</t>
        </r>
      </text>
    </comment>
    <comment ref="G25" authorId="3" shapeId="0" xr:uid="{C07BD0E7-AB77-4A16-80DD-3E3D4FCBF48D}">
      <text>
        <r>
          <rPr>
            <b/>
            <sz val="9"/>
            <color indexed="81"/>
            <rFont val="Tahoma"/>
            <family val="2"/>
          </rPr>
          <t>Carr, Emily:</t>
        </r>
        <r>
          <rPr>
            <sz val="9"/>
            <color indexed="81"/>
            <rFont val="Tahoma"/>
            <family val="2"/>
          </rPr>
          <t xml:space="preserve">
Use cell A25 for index matching</t>
        </r>
      </text>
    </comment>
    <comment ref="H25" authorId="3" shapeId="0" xr:uid="{28958654-7AD9-4FD7-88BD-CC6CA36F71BB}">
      <text>
        <r>
          <rPr>
            <b/>
            <sz val="9"/>
            <color indexed="81"/>
            <rFont val="Tahoma"/>
            <family val="2"/>
          </rPr>
          <t>Carr, Emily:</t>
        </r>
        <r>
          <rPr>
            <sz val="9"/>
            <color indexed="81"/>
            <rFont val="Tahoma"/>
            <family val="2"/>
          </rPr>
          <t xml:space="preserve">
Use cell A25 for index matching</t>
        </r>
      </text>
    </comment>
    <comment ref="I25" authorId="3" shapeId="0" xr:uid="{9BC09378-ED34-4603-B3A4-AA2189EF9CB6}">
      <text>
        <r>
          <rPr>
            <b/>
            <sz val="9"/>
            <color indexed="81"/>
            <rFont val="Tahoma"/>
            <family val="2"/>
          </rPr>
          <t>Carr, Emily:</t>
        </r>
        <r>
          <rPr>
            <sz val="9"/>
            <color indexed="81"/>
            <rFont val="Tahoma"/>
            <family val="2"/>
          </rPr>
          <t xml:space="preserve">
Use cell A25 for index matching</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Carr, Emily</author>
  </authors>
  <commentList>
    <comment ref="A36" authorId="0" shapeId="0" xr:uid="{5E77D67B-280F-4F0F-8E7F-B1DB45AEA42B}">
      <text>
        <r>
          <rPr>
            <b/>
            <sz val="9"/>
            <color indexed="81"/>
            <rFont val="Tahoma"/>
            <family val="2"/>
          </rPr>
          <t>Carr, Emily:</t>
        </r>
        <r>
          <rPr>
            <sz val="9"/>
            <color indexed="81"/>
            <rFont val="Tahoma"/>
            <family val="2"/>
          </rPr>
          <t xml:space="preserve">
Column name changed from "Electricity Retail Sales to the Transportation Sector" to "Electricity Sales to Ultimate Customers, Transportation"</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Carr, Emily</author>
    <author>Murali, Rani</author>
  </authors>
  <commentList>
    <comment ref="BA33" authorId="0" shapeId="0" xr:uid="{F697A82A-003B-4F4B-973A-49F93F25E20E}">
      <text>
        <r>
          <rPr>
            <b/>
            <sz val="9"/>
            <color indexed="81"/>
            <rFont val="Tahoma"/>
            <family val="2"/>
          </rPr>
          <t>Carr, Emily:</t>
        </r>
        <r>
          <rPr>
            <sz val="9"/>
            <color indexed="81"/>
            <rFont val="Tahoma"/>
            <family val="2"/>
          </rPr>
          <t xml:space="preserve">
Data is from previous year's FR CO2FFC Non-Energy Use tab rows 5-28</t>
        </r>
      </text>
    </comment>
    <comment ref="B115" authorId="0" shapeId="0" xr:uid="{F48FEC20-5FB0-443D-AA9D-E31CD290DCB0}">
      <text>
        <r>
          <rPr>
            <b/>
            <sz val="9"/>
            <color indexed="81"/>
            <rFont val="Tahoma"/>
            <family val="2"/>
          </rPr>
          <t>Carr, Emily:</t>
        </r>
        <r>
          <rPr>
            <sz val="9"/>
            <color indexed="81"/>
            <rFont val="Tahoma"/>
            <family val="2"/>
          </rPr>
          <t xml:space="preserve">
From previous year's FR CO2FFC Consumption Input tab</t>
        </r>
      </text>
    </comment>
    <comment ref="D241" authorId="1" shapeId="0" xr:uid="{00000000-0006-0000-3100-000001000000}">
      <text>
        <r>
          <rPr>
            <sz val="9"/>
            <color indexed="81"/>
            <rFont val="Tahoma"/>
            <family val="2"/>
          </rPr>
          <t xml:space="preserve">Residential electricity sales are adjusted for electricity used during electric vehicle charging in residential homes. 
Uncorrected electricity sales to the residential sector are obtained from EIA's Monthly Energy Review, Table 7.6 Electricity End Use.
Total electricity used for EV charging are obtained from Lou Browning (2018). The percent of total electricity use for EV charging allocated to the residential and commercial sectors is obtained from the Idaho National Laboratory. </t>
        </r>
      </text>
    </comment>
    <comment ref="D244" authorId="1" shapeId="0" xr:uid="{00000000-0006-0000-3100-000002000000}">
      <text>
        <r>
          <rPr>
            <sz val="9"/>
            <color indexed="81"/>
            <rFont val="Tahoma"/>
            <family val="2"/>
          </rPr>
          <t xml:space="preserve">Commercial electricity sales are adjusted for electricity used during electric vehicle charging in commercial facilities
Uncorrected electricity sales to the commercial sector are obtained from EIA's Monthly Energy Review, Table 7.6 Electricity End Use.
Total electricity used for EV charging are obtained from Lou Browning (2018). The percent of total electricity use for EV charging allocated to the residential and commercial sectors is obtained from the Idaho National Laboratory. </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Michael W. Gillenwater</author>
  </authors>
  <commentList>
    <comment ref="B12" authorId="0" shapeId="0" xr:uid="{00000000-0006-0000-3200-000001000000}">
      <text>
        <r>
          <rPr>
            <b/>
            <sz val="10"/>
            <color indexed="81"/>
            <rFont val="Tahoma"/>
            <family val="2"/>
          </rPr>
          <t>Michael W. Gillenwater:</t>
        </r>
        <r>
          <rPr>
            <sz val="10"/>
            <color indexed="81"/>
            <rFont val="Tahoma"/>
            <family val="2"/>
          </rPr>
          <t xml:space="preserve">
Although Territories do consume electricity, the EIA utilities fuel consumption data includes only energy consumed for the generation of electricity within the 50 states, and does not include territories.</t>
        </r>
      </text>
    </comment>
    <comment ref="B28" authorId="0" shapeId="0" xr:uid="{00000000-0006-0000-3200-000002000000}">
      <text>
        <r>
          <rPr>
            <b/>
            <sz val="10"/>
            <color indexed="81"/>
            <rFont val="Tahoma"/>
            <family val="2"/>
          </rPr>
          <t>Michael W. Gillenwater:</t>
        </r>
        <r>
          <rPr>
            <sz val="10"/>
            <color indexed="81"/>
            <rFont val="Tahoma"/>
            <family val="2"/>
          </rPr>
          <t xml:space="preserve">
Although Territories do consume electricity, the EIA utilities fuel consumption data includes only energy consumed for the generation of electricity within the 50 states, and does not include territories.</t>
        </r>
      </text>
    </comment>
    <comment ref="B38" authorId="0" shapeId="0" xr:uid="{00000000-0006-0000-3200-000003000000}">
      <text>
        <r>
          <rPr>
            <b/>
            <sz val="10"/>
            <color indexed="81"/>
            <rFont val="Tahoma"/>
            <family val="2"/>
          </rPr>
          <t>Michael W. Gillenwater:</t>
        </r>
        <r>
          <rPr>
            <sz val="10"/>
            <color indexed="81"/>
            <rFont val="Tahoma"/>
            <family val="2"/>
          </rPr>
          <t xml:space="preserve">
Although Territories do consume electricity, the EIA utilities fuel consumption data includes only energy consumed for the generation of electricity within the 50 states, and does not include territories.</t>
        </r>
      </text>
    </comment>
    <comment ref="B48" authorId="0" shapeId="0" xr:uid="{00000000-0006-0000-3200-000004000000}">
      <text>
        <r>
          <rPr>
            <b/>
            <sz val="10"/>
            <color indexed="81"/>
            <rFont val="Tahoma"/>
            <family val="2"/>
          </rPr>
          <t>Michael W. Gillenwater:</t>
        </r>
        <r>
          <rPr>
            <sz val="10"/>
            <color indexed="81"/>
            <rFont val="Tahoma"/>
            <family val="2"/>
          </rPr>
          <t xml:space="preserve">
Although Territories do consume electricity, the EIA utilities fuel consumption data includes only energy consumed for the generation of electricity within the 50 states, and does not include territories.</t>
        </r>
      </text>
    </comment>
    <comment ref="B58" authorId="0" shapeId="0" xr:uid="{00000000-0006-0000-3200-000005000000}">
      <text>
        <r>
          <rPr>
            <b/>
            <sz val="10"/>
            <color indexed="81"/>
            <rFont val="Tahoma"/>
            <family val="2"/>
          </rPr>
          <t>Michael W. Gillenwater:</t>
        </r>
        <r>
          <rPr>
            <sz val="10"/>
            <color indexed="81"/>
            <rFont val="Tahoma"/>
            <family val="2"/>
          </rPr>
          <t xml:space="preserve">
Although Territories do consume electricity, the EIA utilities fuel consumption data includes only energy consumed for the generation of electricity within the 50 states, and does not include territories.</t>
        </r>
      </text>
    </comment>
    <comment ref="B68" authorId="0" shapeId="0" xr:uid="{00000000-0006-0000-3200-000006000000}">
      <text>
        <r>
          <rPr>
            <b/>
            <sz val="10"/>
            <color indexed="81"/>
            <rFont val="Tahoma"/>
            <family val="2"/>
          </rPr>
          <t>Michael W. Gillenwater:</t>
        </r>
        <r>
          <rPr>
            <sz val="10"/>
            <color indexed="81"/>
            <rFont val="Tahoma"/>
            <family val="2"/>
          </rPr>
          <t xml:space="preserve">
Although Territories do consume electricity, the EIA utilities fuel consumption data includes only energy consumed for the generation of electricity within the 50 states, and does not include territories.</t>
        </r>
      </text>
    </comment>
    <comment ref="B77" authorId="0" shapeId="0" xr:uid="{00000000-0006-0000-3200-000007000000}">
      <text>
        <r>
          <rPr>
            <b/>
            <sz val="10"/>
            <color indexed="81"/>
            <rFont val="Tahoma"/>
            <family val="2"/>
          </rPr>
          <t>Michael W. Gillenwater:</t>
        </r>
        <r>
          <rPr>
            <sz val="10"/>
            <color indexed="81"/>
            <rFont val="Tahoma"/>
            <family val="2"/>
          </rPr>
          <t xml:space="preserve">
Although Territories do consume electricity, the EIA utilities fuel consumption data includes only energy consumed for the generation of electricity within the 50 states, and does not include territories.</t>
        </r>
      </text>
    </comment>
    <comment ref="B84" authorId="0" shapeId="0" xr:uid="{00000000-0006-0000-3200-000008000000}">
      <text>
        <r>
          <rPr>
            <b/>
            <sz val="10"/>
            <color indexed="81"/>
            <rFont val="Tahoma"/>
            <family val="2"/>
          </rPr>
          <t>Michael W. Gillenwater:</t>
        </r>
        <r>
          <rPr>
            <sz val="10"/>
            <color indexed="81"/>
            <rFont val="Tahoma"/>
            <family val="2"/>
          </rPr>
          <t xml:space="preserve">
Although Territories do consume electricity, the EIA utilities fuel consumption data includes only energy consumed for the generation of electricity within the 50 states, and does not include territories.</t>
        </r>
      </text>
    </comment>
    <comment ref="B92" authorId="0" shapeId="0" xr:uid="{00000000-0006-0000-3200-000009000000}">
      <text>
        <r>
          <rPr>
            <b/>
            <sz val="10"/>
            <color indexed="81"/>
            <rFont val="Tahoma"/>
            <family val="2"/>
          </rPr>
          <t>Michael W. Gillenwater:</t>
        </r>
        <r>
          <rPr>
            <sz val="10"/>
            <color indexed="81"/>
            <rFont val="Tahoma"/>
            <family val="2"/>
          </rPr>
          <t xml:space="preserve">
Although Territories do consume electricity, the EIA utilities fuel consumption data includes only energy consumed for the generation of electricity within the 50 states, and does not include territories.</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LP</author>
  </authors>
  <commentList>
    <comment ref="B8" authorId="0" shapeId="0" xr:uid="{00000000-0006-0000-3300-000001000000}">
      <text>
        <r>
          <rPr>
            <b/>
            <sz val="8"/>
            <color indexed="81"/>
            <rFont val="Tahoma"/>
            <family val="2"/>
          </rPr>
          <t>LP:</t>
        </r>
        <r>
          <rPr>
            <sz val="8"/>
            <color indexed="81"/>
            <rFont val="Tahoma"/>
            <family val="2"/>
          </rPr>
          <t xml:space="preserve">
Includes electricity emissions for Rail.</t>
        </r>
      </text>
    </comment>
    <comment ref="B9" authorId="0" shapeId="0" xr:uid="{00000000-0006-0000-3300-000002000000}">
      <text>
        <r>
          <rPr>
            <b/>
            <sz val="8"/>
            <color indexed="81"/>
            <rFont val="Tahoma"/>
            <family val="2"/>
          </rPr>
          <t>LP:</t>
        </r>
        <r>
          <rPr>
            <sz val="8"/>
            <color indexed="81"/>
            <rFont val="Tahoma"/>
            <family val="2"/>
          </rPr>
          <t xml:space="preserve">
Includes electricity emissions for Rail.</t>
        </r>
      </text>
    </comment>
    <comment ref="B26" authorId="0" shapeId="0" xr:uid="{00000000-0006-0000-3300-000003000000}">
      <text>
        <r>
          <rPr>
            <b/>
            <sz val="8"/>
            <color indexed="81"/>
            <rFont val="Tahoma"/>
            <family val="2"/>
          </rPr>
          <t>LP:</t>
        </r>
        <r>
          <rPr>
            <sz val="8"/>
            <color indexed="81"/>
            <rFont val="Tahoma"/>
            <family val="2"/>
          </rPr>
          <t xml:space="preserve">
Includes CH4 and N2O emissions.</t>
        </r>
      </text>
    </comment>
    <comment ref="B51" authorId="0" shapeId="0" xr:uid="{00000000-0006-0000-3300-000004000000}">
      <text>
        <r>
          <rPr>
            <b/>
            <sz val="8"/>
            <color indexed="81"/>
            <rFont val="Tahoma"/>
            <family val="2"/>
          </rPr>
          <t>LP:</t>
        </r>
        <r>
          <rPr>
            <sz val="8"/>
            <color indexed="81"/>
            <rFont val="Tahoma"/>
            <family val="2"/>
          </rPr>
          <t xml:space="preserve">
Includes CH4 and N2O emissions.</t>
        </r>
      </text>
    </comment>
    <comment ref="B61" authorId="0" shapeId="0" xr:uid="{00000000-0006-0000-3300-000005000000}">
      <text>
        <r>
          <rPr>
            <b/>
            <sz val="8"/>
            <color indexed="81"/>
            <rFont val="Tahoma"/>
            <family val="2"/>
          </rPr>
          <t>LP:</t>
        </r>
        <r>
          <rPr>
            <sz val="8"/>
            <color indexed="81"/>
            <rFont val="Tahoma"/>
            <family val="2"/>
          </rPr>
          <t xml:space="preserve">
Includes electricity emissions for Rail.</t>
        </r>
      </text>
    </comment>
    <comment ref="B62" authorId="0" shapeId="0" xr:uid="{00000000-0006-0000-3300-000006000000}">
      <text>
        <r>
          <rPr>
            <b/>
            <sz val="8"/>
            <color indexed="81"/>
            <rFont val="Tahoma"/>
            <family val="2"/>
          </rPr>
          <t>LP:</t>
        </r>
        <r>
          <rPr>
            <sz val="8"/>
            <color indexed="81"/>
            <rFont val="Tahoma"/>
            <family val="2"/>
          </rPr>
          <t xml:space="preserve">
Includes electricity emissions for Rail.</t>
        </r>
      </text>
    </comment>
    <comment ref="B79" authorId="0" shapeId="0" xr:uid="{00000000-0006-0000-3300-000007000000}">
      <text>
        <r>
          <rPr>
            <b/>
            <sz val="8"/>
            <color indexed="81"/>
            <rFont val="Tahoma"/>
            <family val="2"/>
          </rPr>
          <t>LP:</t>
        </r>
        <r>
          <rPr>
            <sz val="8"/>
            <color indexed="81"/>
            <rFont val="Tahoma"/>
            <family val="2"/>
          </rPr>
          <t xml:space="preserve">
Includes CH4 and N2O emissions.</t>
        </r>
      </text>
    </comment>
  </commentList>
</comments>
</file>

<file path=xl/sharedStrings.xml><?xml version="1.0" encoding="utf-8"?>
<sst xmlns="http://schemas.openxmlformats.org/spreadsheetml/2006/main" count="34567" uniqueCount="2075">
  <si>
    <r>
      <t>CO</t>
    </r>
    <r>
      <rPr>
        <b/>
        <vertAlign val="subscript"/>
        <sz val="14"/>
        <color indexed="30"/>
        <rFont val="Arial"/>
        <family val="2"/>
      </rPr>
      <t>2</t>
    </r>
    <r>
      <rPr>
        <b/>
        <sz val="14"/>
        <color indexed="30"/>
        <rFont val="Arial"/>
        <family val="2"/>
      </rPr>
      <t xml:space="preserve"> Emissions from </t>
    </r>
    <r>
      <rPr>
        <b/>
        <sz val="14"/>
        <color indexed="30"/>
        <rFont val="Arial"/>
        <family val="2"/>
      </rPr>
      <t>Fossil Fuel Combustion in the United States</t>
    </r>
  </si>
  <si>
    <r>
      <t>Purpose:</t>
    </r>
    <r>
      <rPr>
        <sz val="10"/>
        <color indexed="30"/>
        <rFont val="Arial"/>
        <family val="2"/>
      </rPr>
      <t/>
    </r>
  </si>
  <si>
    <r>
      <t>Calculate CO</t>
    </r>
    <r>
      <rPr>
        <vertAlign val="subscript"/>
        <sz val="10"/>
        <rFont val="Arial"/>
        <family val="2"/>
      </rPr>
      <t>2</t>
    </r>
    <r>
      <rPr>
        <sz val="10"/>
        <rFont val="Arial"/>
        <family val="2"/>
      </rPr>
      <t xml:space="preserve"> emissions from fossil fuel combustion for Inventory of U.S. Greenhouse Gases</t>
    </r>
  </si>
  <si>
    <t>Inventory Year:</t>
  </si>
  <si>
    <t>1990-2022</t>
  </si>
  <si>
    <t>Source Category:</t>
  </si>
  <si>
    <t>Fossil Fuel Combustion (CRF Source Category 1A)</t>
  </si>
  <si>
    <r>
      <t>Data Sources:</t>
    </r>
    <r>
      <rPr>
        <sz val="10"/>
        <color indexed="30"/>
        <rFont val="Arial"/>
        <family val="2"/>
      </rPr>
      <t/>
    </r>
  </si>
  <si>
    <t>Energy Information Administration's (EIA) Monthly Energy Review (November 2023); Non-Energy Uses of Fuels emission estimates; International Bunker Fuel emission estimates; EIA's U.S. Territories fuel consumption data; EPA's IndCalcs emission estimates; Aluminum emission estimates; Biomass emission estimates; Mobile Combustion emission estimates; Stationary Combustion emission estimates; Synthetic Natural Gas adjustment data; 2006 IPCC Guidelines; Revised 1996 IPCC Guidelines.</t>
  </si>
  <si>
    <t>Prepared By:</t>
  </si>
  <si>
    <t>Fiona Wissell, Emily Carr, Georgia Kerkezis, and Isabella Scornaienchi, ICF</t>
  </si>
  <si>
    <t>Prepared For:</t>
  </si>
  <si>
    <t>U.S. Environmental Protection Agency (EPA)</t>
  </si>
  <si>
    <t>Date:</t>
  </si>
  <si>
    <t>Formatting Legend</t>
  </si>
  <si>
    <t>Data input cells</t>
  </si>
  <si>
    <t>Hardcoded cells</t>
  </si>
  <si>
    <t>Red text</t>
  </si>
  <si>
    <t>Proxy values</t>
  </si>
  <si>
    <t>Worksheet</t>
  </si>
  <si>
    <t>Contents</t>
  </si>
  <si>
    <t>CRF Reporter Input</t>
  </si>
  <si>
    <r>
      <t>CRF Reporter data input tab for CO</t>
    </r>
    <r>
      <rPr>
        <vertAlign val="subscript"/>
        <sz val="10"/>
        <color indexed="8"/>
        <rFont val="Arial"/>
        <family val="2"/>
      </rPr>
      <t>2</t>
    </r>
    <r>
      <rPr>
        <sz val="10"/>
        <color indexed="8"/>
        <rFont val="Arial"/>
        <family val="2"/>
      </rPr>
      <t xml:space="preserve"> from Fossil Fuel Combustion emission estimates</t>
    </r>
  </si>
  <si>
    <t>InvDB</t>
  </si>
  <si>
    <r>
      <t>CO</t>
    </r>
    <r>
      <rPr>
        <vertAlign val="subscript"/>
        <sz val="10"/>
        <color indexed="8"/>
        <rFont val="Arial"/>
        <family val="2"/>
      </rPr>
      <t>2</t>
    </r>
    <r>
      <rPr>
        <sz val="10"/>
        <color indexed="8"/>
        <rFont val="Arial"/>
        <family val="2"/>
      </rPr>
      <t xml:space="preserve"> from Fossil Fuel Combustion estimates for the Inventory database</t>
    </r>
  </si>
  <si>
    <t>Summary Table</t>
  </si>
  <si>
    <r>
      <t>Summary tables for CO</t>
    </r>
    <r>
      <rPr>
        <vertAlign val="subscript"/>
        <sz val="10"/>
        <color indexed="8"/>
        <rFont val="Arial"/>
        <family val="2"/>
      </rPr>
      <t>2</t>
    </r>
    <r>
      <rPr>
        <sz val="10"/>
        <color indexed="8"/>
        <rFont val="Arial"/>
        <family val="2"/>
      </rPr>
      <t xml:space="preserve"> emissions from fossil fuel combustion</t>
    </r>
  </si>
  <si>
    <t>2021FR Comparison</t>
  </si>
  <si>
    <r>
      <t xml:space="preserve">Comparison to previous cycle's emission estimates </t>
    </r>
    <r>
      <rPr>
        <i/>
        <sz val="10"/>
        <color theme="1"/>
        <rFont val="Arial"/>
        <family val="2"/>
      </rPr>
      <t>(Background Calculation Worksheet)</t>
    </r>
  </si>
  <si>
    <t>2021BY Comparison</t>
  </si>
  <si>
    <r>
      <t xml:space="preserve">Comparison to previous year's emission estimates </t>
    </r>
    <r>
      <rPr>
        <i/>
        <sz val="10"/>
        <color indexed="8"/>
        <rFont val="Arial"/>
        <family val="2"/>
      </rPr>
      <t>(Background Calculation Worksheet)</t>
    </r>
  </si>
  <si>
    <t>Yearly Change</t>
  </si>
  <si>
    <r>
      <t>Annual change in CO</t>
    </r>
    <r>
      <rPr>
        <vertAlign val="subscript"/>
        <sz val="10"/>
        <color indexed="8"/>
        <rFont val="Arial"/>
        <family val="2"/>
      </rPr>
      <t>2</t>
    </r>
    <r>
      <rPr>
        <sz val="10"/>
        <color indexed="8"/>
        <rFont val="Arial"/>
        <family val="2"/>
      </rPr>
      <t xml:space="preserve"> emissions from fossil fuel combustion</t>
    </r>
    <r>
      <rPr>
        <i/>
        <sz val="10"/>
        <color indexed="8"/>
        <rFont val="Arial"/>
        <family val="2"/>
      </rPr>
      <t xml:space="preserve"> (Background Calculation Worksheet)</t>
    </r>
  </si>
  <si>
    <t xml:space="preserve">Consumption (E) </t>
  </si>
  <si>
    <r>
      <t xml:space="preserve">Fossil fuel consumption for energy uses </t>
    </r>
    <r>
      <rPr>
        <i/>
        <sz val="10"/>
        <color indexed="8"/>
        <rFont val="Arial"/>
        <family val="2"/>
      </rPr>
      <t>(Background Calculation Worksheet)</t>
    </r>
  </si>
  <si>
    <t>Consumption (E + non-E)</t>
  </si>
  <si>
    <r>
      <t>Fossil fuel consumption for energy and non-energy uses</t>
    </r>
    <r>
      <rPr>
        <i/>
        <sz val="10"/>
        <color indexed="8"/>
        <rFont val="Arial"/>
        <family val="2"/>
      </rPr>
      <t xml:space="preserve"> (Background Calculation Worksheet)</t>
    </r>
  </si>
  <si>
    <t>Consumption Input</t>
  </si>
  <si>
    <r>
      <t>Fuel consumption data by fuel type and sector used for calculating CO</t>
    </r>
    <r>
      <rPr>
        <vertAlign val="subscript"/>
        <sz val="10"/>
        <color indexed="8"/>
        <rFont val="Arial"/>
        <family val="2"/>
      </rPr>
      <t>2</t>
    </r>
    <r>
      <rPr>
        <sz val="10"/>
        <color indexed="8"/>
        <rFont val="Arial"/>
        <family val="2"/>
      </rPr>
      <t xml:space="preserve"> emissions from fossil fuel combustion</t>
    </r>
    <r>
      <rPr>
        <i/>
        <sz val="10"/>
        <color indexed="8"/>
        <rFont val="Arial"/>
        <family val="2"/>
      </rPr>
      <t xml:space="preserve"> (Background Calculation Worksheet)</t>
    </r>
  </si>
  <si>
    <t>Corrections</t>
  </si>
  <si>
    <r>
      <t>Adjustments made to fuel consumption estimates prior to calculating emissions</t>
    </r>
    <r>
      <rPr>
        <i/>
        <sz val="10"/>
        <color indexed="8"/>
        <rFont val="Arial"/>
        <family val="2"/>
      </rPr>
      <t xml:space="preserve"> (Background Calculation Worksheet)</t>
    </r>
  </si>
  <si>
    <r>
      <t>Emissions calculations for 1990</t>
    </r>
    <r>
      <rPr>
        <i/>
        <sz val="10"/>
        <color indexed="8"/>
        <rFont val="Arial"/>
        <family val="2"/>
      </rPr>
      <t xml:space="preserve"> (Background Calculation Worksheet)</t>
    </r>
  </si>
  <si>
    <r>
      <t>Emissions calculations for 1991</t>
    </r>
    <r>
      <rPr>
        <i/>
        <sz val="10"/>
        <color indexed="8"/>
        <rFont val="Arial"/>
        <family val="2"/>
      </rPr>
      <t xml:space="preserve"> (Background Calculation Worksheet)</t>
    </r>
  </si>
  <si>
    <r>
      <t>Emissions calculations for 1992</t>
    </r>
    <r>
      <rPr>
        <i/>
        <sz val="10"/>
        <color indexed="8"/>
        <rFont val="Arial"/>
        <family val="2"/>
      </rPr>
      <t xml:space="preserve"> (Background Calculation Worksheet)</t>
    </r>
  </si>
  <si>
    <r>
      <t>Emissions calculations for 1993</t>
    </r>
    <r>
      <rPr>
        <i/>
        <sz val="10"/>
        <color indexed="8"/>
        <rFont val="Arial"/>
        <family val="2"/>
      </rPr>
      <t xml:space="preserve"> (Background Calculation Worksheet)</t>
    </r>
  </si>
  <si>
    <r>
      <t>Emissions calculations for 1994</t>
    </r>
    <r>
      <rPr>
        <i/>
        <sz val="10"/>
        <color indexed="8"/>
        <rFont val="Arial"/>
        <family val="2"/>
      </rPr>
      <t xml:space="preserve"> (Background Calculation Worksheet)</t>
    </r>
  </si>
  <si>
    <r>
      <t>Emissions calculations for 1995</t>
    </r>
    <r>
      <rPr>
        <i/>
        <sz val="10"/>
        <color indexed="8"/>
        <rFont val="Arial"/>
        <family val="2"/>
      </rPr>
      <t xml:space="preserve"> (Background Calculation Worksheet)</t>
    </r>
  </si>
  <si>
    <r>
      <t>Emissions calculations for 1996</t>
    </r>
    <r>
      <rPr>
        <i/>
        <sz val="10"/>
        <color indexed="8"/>
        <rFont val="Arial"/>
        <family val="2"/>
      </rPr>
      <t xml:space="preserve"> (Background Calculation Worksheet)</t>
    </r>
  </si>
  <si>
    <r>
      <t>Emissions calculations for 1997</t>
    </r>
    <r>
      <rPr>
        <i/>
        <sz val="10"/>
        <color indexed="8"/>
        <rFont val="Arial"/>
        <family val="2"/>
      </rPr>
      <t xml:space="preserve"> (Background Calculation Worksheet)</t>
    </r>
  </si>
  <si>
    <r>
      <t>Emissions calculations for 1998</t>
    </r>
    <r>
      <rPr>
        <i/>
        <sz val="10"/>
        <color indexed="8"/>
        <rFont val="Arial"/>
        <family val="2"/>
      </rPr>
      <t xml:space="preserve"> (Background Calculation Worksheet)</t>
    </r>
  </si>
  <si>
    <r>
      <t>Emissions calculations for 1999</t>
    </r>
    <r>
      <rPr>
        <i/>
        <sz val="10"/>
        <color indexed="8"/>
        <rFont val="Arial"/>
        <family val="2"/>
      </rPr>
      <t xml:space="preserve"> (Background Calculation Worksheet)</t>
    </r>
  </si>
  <si>
    <r>
      <t>Emissions calculations for 2000</t>
    </r>
    <r>
      <rPr>
        <i/>
        <sz val="10"/>
        <color indexed="8"/>
        <rFont val="Arial"/>
        <family val="2"/>
      </rPr>
      <t xml:space="preserve"> (Background Calculation Worksheet)</t>
    </r>
  </si>
  <si>
    <r>
      <t>Emissions calculations for 2001</t>
    </r>
    <r>
      <rPr>
        <i/>
        <sz val="10"/>
        <color indexed="8"/>
        <rFont val="Arial"/>
        <family val="2"/>
      </rPr>
      <t xml:space="preserve"> (Background Calculation Worksheet)</t>
    </r>
  </si>
  <si>
    <r>
      <t>Emissions calculations for 2002</t>
    </r>
    <r>
      <rPr>
        <i/>
        <sz val="10"/>
        <color indexed="8"/>
        <rFont val="Arial"/>
        <family val="2"/>
      </rPr>
      <t xml:space="preserve"> (Background Calculation Worksheet)</t>
    </r>
  </si>
  <si>
    <r>
      <t>Emissions calculations for 2003</t>
    </r>
    <r>
      <rPr>
        <i/>
        <sz val="10"/>
        <color indexed="8"/>
        <rFont val="Arial"/>
        <family val="2"/>
      </rPr>
      <t xml:space="preserve"> (Background Calculation Worksheet)</t>
    </r>
  </si>
  <si>
    <r>
      <t>Emissions calculations for 2004</t>
    </r>
    <r>
      <rPr>
        <i/>
        <sz val="10"/>
        <color indexed="8"/>
        <rFont val="Arial"/>
        <family val="2"/>
      </rPr>
      <t xml:space="preserve"> (Background Calculation Worksheet)</t>
    </r>
  </si>
  <si>
    <r>
      <t>Emissions calculations for 2005</t>
    </r>
    <r>
      <rPr>
        <i/>
        <sz val="10"/>
        <color indexed="8"/>
        <rFont val="Arial"/>
        <family val="2"/>
      </rPr>
      <t xml:space="preserve"> (Background Calculation Worksheet)</t>
    </r>
  </si>
  <si>
    <r>
      <t>Emissions calculations for 2006</t>
    </r>
    <r>
      <rPr>
        <i/>
        <sz val="10"/>
        <color indexed="8"/>
        <rFont val="Arial"/>
        <family val="2"/>
      </rPr>
      <t xml:space="preserve"> (Background Calculation Worksheet)</t>
    </r>
  </si>
  <si>
    <r>
      <t>Emissions calculations for 2007</t>
    </r>
    <r>
      <rPr>
        <i/>
        <sz val="10"/>
        <color indexed="8"/>
        <rFont val="Arial"/>
        <family val="2"/>
      </rPr>
      <t xml:space="preserve"> (Background Calculation Worksheet)</t>
    </r>
  </si>
  <si>
    <r>
      <t>Emissions calculations for 2008</t>
    </r>
    <r>
      <rPr>
        <i/>
        <sz val="10"/>
        <color indexed="8"/>
        <rFont val="Arial"/>
        <family val="2"/>
      </rPr>
      <t xml:space="preserve"> (Background Calculation Worksheet)</t>
    </r>
  </si>
  <si>
    <r>
      <t>Emissions calculations for 2009</t>
    </r>
    <r>
      <rPr>
        <i/>
        <sz val="10"/>
        <color indexed="8"/>
        <rFont val="Arial"/>
        <family val="2"/>
      </rPr>
      <t xml:space="preserve"> (Background Calculation Worksheet)</t>
    </r>
  </si>
  <si>
    <r>
      <t>Emissions calculations for 2010</t>
    </r>
    <r>
      <rPr>
        <i/>
        <sz val="10"/>
        <color indexed="8"/>
        <rFont val="Arial"/>
        <family val="2"/>
      </rPr>
      <t xml:space="preserve"> (Background Calculation Worksheet)</t>
    </r>
  </si>
  <si>
    <r>
      <t>Emissions calculations for 2011</t>
    </r>
    <r>
      <rPr>
        <i/>
        <sz val="10"/>
        <color indexed="8"/>
        <rFont val="Arial"/>
        <family val="2"/>
      </rPr>
      <t xml:space="preserve"> (Background Calculation Worksheet)</t>
    </r>
  </si>
  <si>
    <r>
      <t>Emissions calculations for 2012</t>
    </r>
    <r>
      <rPr>
        <i/>
        <sz val="10"/>
        <color indexed="8"/>
        <rFont val="Arial"/>
        <family val="2"/>
      </rPr>
      <t xml:space="preserve"> (Background Calculation Worksheet)</t>
    </r>
  </si>
  <si>
    <r>
      <t>Emissions calculations for 2013</t>
    </r>
    <r>
      <rPr>
        <i/>
        <sz val="10"/>
        <color indexed="8"/>
        <rFont val="Arial"/>
        <family val="2"/>
      </rPr>
      <t xml:space="preserve"> (Background Calculation Worksheet)</t>
    </r>
  </si>
  <si>
    <r>
      <t>Emissions calculations for 2014</t>
    </r>
    <r>
      <rPr>
        <i/>
        <sz val="10"/>
        <color indexed="8"/>
        <rFont val="Arial"/>
        <family val="2"/>
      </rPr>
      <t xml:space="preserve"> (Background Calculation Worksheet)</t>
    </r>
  </si>
  <si>
    <r>
      <t>Emissions calculations for 2015</t>
    </r>
    <r>
      <rPr>
        <i/>
        <sz val="10"/>
        <color indexed="8"/>
        <rFont val="Arial"/>
        <family val="2"/>
      </rPr>
      <t xml:space="preserve"> (Background Calculation Worksheet)</t>
    </r>
  </si>
  <si>
    <r>
      <t>Emissions calculations for 2016</t>
    </r>
    <r>
      <rPr>
        <i/>
        <sz val="10"/>
        <color indexed="8"/>
        <rFont val="Arial"/>
        <family val="2"/>
      </rPr>
      <t xml:space="preserve"> (Background Calculation Worksheet)</t>
    </r>
  </si>
  <si>
    <r>
      <t>Emissions calculations for 2017</t>
    </r>
    <r>
      <rPr>
        <i/>
        <sz val="10"/>
        <color indexed="8"/>
        <rFont val="Arial"/>
        <family val="2"/>
      </rPr>
      <t xml:space="preserve"> (Background Calculation Worksheet)</t>
    </r>
  </si>
  <si>
    <r>
      <t>Emissions calculations for 2018</t>
    </r>
    <r>
      <rPr>
        <i/>
        <sz val="10"/>
        <color indexed="8"/>
        <rFont val="Arial"/>
        <family val="2"/>
      </rPr>
      <t xml:space="preserve"> (Background Calculation Worksheet)</t>
    </r>
  </si>
  <si>
    <r>
      <t>Emissions calculations for 2019</t>
    </r>
    <r>
      <rPr>
        <i/>
        <sz val="10"/>
        <color indexed="8"/>
        <rFont val="Arial"/>
        <family val="2"/>
      </rPr>
      <t xml:space="preserve"> (Background Calculation Worksheet)</t>
    </r>
  </si>
  <si>
    <r>
      <t>Emissions calculations for 2020</t>
    </r>
    <r>
      <rPr>
        <i/>
        <sz val="10"/>
        <color indexed="8"/>
        <rFont val="Arial"/>
        <family val="2"/>
      </rPr>
      <t xml:space="preserve"> (Background Calculation Worksheet)</t>
    </r>
  </si>
  <si>
    <r>
      <t>Emissions calculations for 2021</t>
    </r>
    <r>
      <rPr>
        <i/>
        <sz val="10"/>
        <color indexed="8"/>
        <rFont val="Arial"/>
        <family val="2"/>
      </rPr>
      <t xml:space="preserve"> (Background Calculation Worksheet)</t>
    </r>
  </si>
  <si>
    <t>Emissions calculations for the current Inventory year</t>
  </si>
  <si>
    <t>US Territories</t>
  </si>
  <si>
    <t>Emissions from U.S. Territories</t>
  </si>
  <si>
    <t>International Bunker Fuels</t>
  </si>
  <si>
    <t>Emissions from International Bunker Fuels</t>
  </si>
  <si>
    <t>Factors</t>
  </si>
  <si>
    <r>
      <t>Emission factors used for calculating CO</t>
    </r>
    <r>
      <rPr>
        <vertAlign val="subscript"/>
        <sz val="10"/>
        <color indexed="8"/>
        <rFont val="Arial"/>
        <family val="2"/>
      </rPr>
      <t>2</t>
    </r>
    <r>
      <rPr>
        <sz val="10"/>
        <color indexed="8"/>
        <rFont val="Arial"/>
        <family val="2"/>
      </rPr>
      <t xml:space="preserve"> emissions from fossil fuel combustion</t>
    </r>
    <r>
      <rPr>
        <i/>
        <sz val="10"/>
        <color indexed="8"/>
        <rFont val="Arial"/>
        <family val="2"/>
      </rPr>
      <t xml:space="preserve"> (Background Calculation Worksheet)</t>
    </r>
  </si>
  <si>
    <t>Non-Energy use</t>
  </si>
  <si>
    <r>
      <t xml:space="preserve">Adjustments made to account for non-energy uses of fuels </t>
    </r>
    <r>
      <rPr>
        <i/>
        <sz val="10"/>
        <color indexed="8"/>
        <rFont val="Arial"/>
        <family val="2"/>
      </rPr>
      <t>(Background Calculation Worksheet)</t>
    </r>
  </si>
  <si>
    <t>Geothermal</t>
  </si>
  <si>
    <r>
      <t xml:space="preserve">Emissions from Geothermal </t>
    </r>
    <r>
      <rPr>
        <i/>
        <sz val="10"/>
        <color indexed="8"/>
        <rFont val="Arial"/>
        <family val="2"/>
      </rPr>
      <t>(Background Calculation Worksheet)</t>
    </r>
  </si>
  <si>
    <t>Inventory Table</t>
  </si>
  <si>
    <r>
      <t>Summary tables used in Inventory text</t>
    </r>
    <r>
      <rPr>
        <i/>
        <sz val="10"/>
        <color indexed="8"/>
        <rFont val="Arial"/>
        <family val="2"/>
      </rPr>
      <t xml:space="preserve"> (Background Calculation Worksheet)</t>
    </r>
  </si>
  <si>
    <t>OUTPUT to INDCALC</t>
  </si>
  <si>
    <r>
      <t>CO</t>
    </r>
    <r>
      <rPr>
        <vertAlign val="subscript"/>
        <sz val="10"/>
        <color indexed="8"/>
        <rFont val="Arial"/>
        <family val="2"/>
      </rPr>
      <t>2</t>
    </r>
    <r>
      <rPr>
        <sz val="10"/>
        <color indexed="8"/>
        <rFont val="Arial"/>
        <family val="2"/>
      </rPr>
      <t xml:space="preserve"> from fossil fuel combustion estimates used in EPA's IndCalcs spreadsheets</t>
    </r>
    <r>
      <rPr>
        <i/>
        <sz val="10"/>
        <color indexed="8"/>
        <rFont val="Arial"/>
        <family val="2"/>
      </rPr>
      <t xml:space="preserve"> (Background Calculation Worksheet)</t>
    </r>
  </si>
  <si>
    <t>OUTPUT to MOBILE</t>
  </si>
  <si>
    <r>
      <t>CO</t>
    </r>
    <r>
      <rPr>
        <vertAlign val="subscript"/>
        <sz val="10"/>
        <color indexed="8"/>
        <rFont val="Arial"/>
        <family val="2"/>
      </rPr>
      <t>2</t>
    </r>
    <r>
      <rPr>
        <sz val="10"/>
        <color indexed="8"/>
        <rFont val="Arial"/>
        <family val="2"/>
      </rPr>
      <t xml:space="preserve"> from fossil fuel combustion estimates used in mobile combustion calculations</t>
    </r>
    <r>
      <rPr>
        <i/>
        <sz val="10"/>
        <color indexed="8"/>
        <rFont val="Arial"/>
        <family val="2"/>
      </rPr>
      <t xml:space="preserve"> (Background Calculation Worksheet)</t>
    </r>
  </si>
  <si>
    <t>Consumption Input Diff.</t>
  </si>
  <si>
    <r>
      <t>Comparison to previous year's fuel consumption estimates</t>
    </r>
    <r>
      <rPr>
        <i/>
        <sz val="10"/>
        <color indexed="8"/>
        <rFont val="Arial"/>
        <family val="2"/>
      </rPr>
      <t xml:space="preserve"> (Background Calculation Worksheet)</t>
    </r>
  </si>
  <si>
    <t>Electricity Distributed</t>
  </si>
  <si>
    <r>
      <t>Apportions electricity related emissions to the 4 end-use sectors, based on their relative electricity consumption</t>
    </r>
    <r>
      <rPr>
        <i/>
        <sz val="10"/>
        <color indexed="8"/>
        <rFont val="Arial"/>
        <family val="2"/>
      </rPr>
      <t xml:space="preserve"> (Background Calculation Worksheet)</t>
    </r>
  </si>
  <si>
    <t>Gas-Level Emissions</t>
  </si>
  <si>
    <r>
      <t>Summarizes CO</t>
    </r>
    <r>
      <rPr>
        <vertAlign val="subscript"/>
        <sz val="10"/>
        <color indexed="8"/>
        <rFont val="Arial"/>
        <family val="2"/>
      </rPr>
      <t>2</t>
    </r>
    <r>
      <rPr>
        <sz val="10"/>
        <color indexed="8"/>
        <rFont val="Arial"/>
        <family val="2"/>
      </rPr>
      <t>, CH</t>
    </r>
    <r>
      <rPr>
        <vertAlign val="subscript"/>
        <sz val="10"/>
        <color indexed="8"/>
        <rFont val="Arial"/>
        <family val="2"/>
      </rPr>
      <t>4</t>
    </r>
    <r>
      <rPr>
        <sz val="10"/>
        <color indexed="8"/>
        <rFont val="Arial"/>
        <family val="2"/>
      </rPr>
      <t>, and N</t>
    </r>
    <r>
      <rPr>
        <vertAlign val="subscript"/>
        <sz val="10"/>
        <color indexed="8"/>
        <rFont val="Arial"/>
        <family val="2"/>
      </rPr>
      <t>2</t>
    </r>
    <r>
      <rPr>
        <sz val="10"/>
        <color indexed="8"/>
        <rFont val="Arial"/>
        <family val="2"/>
      </rPr>
      <t xml:space="preserve">O emissions from fossil fuel combustion </t>
    </r>
    <r>
      <rPr>
        <i/>
        <sz val="10"/>
        <color indexed="8"/>
        <rFont val="Arial"/>
        <family val="2"/>
      </rPr>
      <t>(Background Calculation Worksheet)</t>
    </r>
  </si>
  <si>
    <t>Source Lead Input for CRF Reporter</t>
  </si>
  <si>
    <t>1.AA Fuel Combustion - Sectoral approach and 1.AD Feedstocks, reductants and other non-energy use of fuels</t>
  </si>
  <si>
    <t xml:space="preserve">Updated: </t>
  </si>
  <si>
    <t>IE</t>
  </si>
  <si>
    <t>Yes</t>
  </si>
  <si>
    <t>The CRF Reporter is a separate, required component of the submission to the UNFCCC. The Inventory compilers are tasked with organizing and reporting out the data on this tab. We need your help to ensure that the CRFs represent your Inventory data, methods, and assumptions. The CRF forms the basis of the U.S.'s UNFCCC review and thus may get more scrutiny than the Inventory report itself. This tab is populated based on your data. We recommend you complete this tab as you are compiling the Inventory estimates.</t>
  </si>
  <si>
    <t>Required input for CRF</t>
  </si>
  <si>
    <t>NE</t>
  </si>
  <si>
    <t>No</t>
  </si>
  <si>
    <t>Instructions</t>
  </si>
  <si>
    <t>NA</t>
  </si>
  <si>
    <t xml:space="preserve"> </t>
  </si>
  <si>
    <t>NO</t>
  </si>
  <si>
    <t>C</t>
  </si>
  <si>
    <t>Step ① - Update and Review Inputs to CRF Reporter</t>
  </si>
  <si>
    <t>UID</t>
  </si>
  <si>
    <t>CRF Input</t>
  </si>
  <si>
    <t>Alternative Variable Name</t>
  </si>
  <si>
    <t>Gas</t>
  </si>
  <si>
    <t>Unit</t>
  </si>
  <si>
    <t>"NE" and "IE" Comment</t>
  </si>
  <si>
    <t>If IE, where reported?</t>
  </si>
  <si>
    <t>1.AA.1.A.1.a.i  Energy Industries: Public Electricity and Heat Production: Electricity Generation</t>
  </si>
  <si>
    <t>1.AA.1.A.1.a.i  Liquid Fuels</t>
  </si>
  <si>
    <t>83B2DB58-13EC-4B27-B374-781CA0FE13BA</t>
  </si>
  <si>
    <t>Fuel Consumption</t>
  </si>
  <si>
    <t>TJ</t>
  </si>
  <si>
    <t>D8064894-8E9F-4CD6-A941-F90E56784D8D</t>
  </si>
  <si>
    <t>Calorific value</t>
  </si>
  <si>
    <t/>
  </si>
  <si>
    <t>GCV</t>
  </si>
  <si>
    <t>AA89486D-1625-44E9-81F2-30D53DFB696D</t>
  </si>
  <si>
    <t>Emissions</t>
  </si>
  <si>
    <t>CO2</t>
  </si>
  <si>
    <t>kt</t>
  </si>
  <si>
    <t>1326B4AF-4523-41D5-9B8C-533B5AEBEA7C</t>
  </si>
  <si>
    <t>Amount captured</t>
  </si>
  <si>
    <t>FDC84FC0-D144-46AD-AA6E-86015DE27968</t>
  </si>
  <si>
    <t>Documentation box</t>
  </si>
  <si>
    <t>1.AA.1.A.1.a.i  Solid Fuels</t>
  </si>
  <si>
    <t>B749F72A-0FE8-4E17-8EBC-3F74FE380CBA</t>
  </si>
  <si>
    <t>42425060-D7CF-4C1F-AE75-5C24167A8D3F</t>
  </si>
  <si>
    <t>09383287-D40C-486E-AC77-9D5A5603A277</t>
  </si>
  <si>
    <t>E7A0CF0A-A523-4997-B846-A44D2711E895</t>
  </si>
  <si>
    <t>C75783E3-9C29-48C0-A735-453BE5F9FB45</t>
  </si>
  <si>
    <t>1.AA.1.A.1.a.i  Gaseous Fuels</t>
  </si>
  <si>
    <t>956A7BFF-ACB7-4333-898F-3BAEEB8396D0</t>
  </si>
  <si>
    <t>1406EE50-C21B-4E07-A176-6CF1F5463938</t>
  </si>
  <si>
    <t>E46A0E1A-9B27-4049-AA56-E2B2204CD263</t>
  </si>
  <si>
    <t>9593053F-47FC-4D5D-962C-5C6BBB3C97D1</t>
  </si>
  <si>
    <t>E5D7A95E-512E-4D32-9B4C-F8C1611994D5</t>
  </si>
  <si>
    <t>1.AA.1.A.1.a.i  Other Fossil Fuels</t>
  </si>
  <si>
    <t>CFEDB877-B634-46AA-9EC6-3125CAB769BE</t>
  </si>
  <si>
    <t>AF3B8BA2-7A64-4F64-BD16-FB173A68F027</t>
  </si>
  <si>
    <t>A19CCF55-320D-4448-9F81-E0FCC82712C7</t>
  </si>
  <si>
    <t>609F1D6D-269A-4E5A-84D8-C5B10647984C</t>
  </si>
  <si>
    <t>03962A08-B6B1-4187-A49B-5BB732482AB5</t>
  </si>
  <si>
    <t>1.A.1.a.i Energy Industries\Public Electricity and Heat Production\Electricity Generation:  Other fuels includes geothermal consumption and emissions.</t>
  </si>
  <si>
    <t>1.AA.1.A.1.a.i  Peat</t>
  </si>
  <si>
    <t>162EBEF3-379B-409A-AFB3-D94B1AE203DD</t>
  </si>
  <si>
    <t>5EC58608-EE91-4DC0-AFA9-840B56D41802</t>
  </si>
  <si>
    <t>CCA16091-DDBD-4BD3-BF2E-3A06A7CA12DB</t>
  </si>
  <si>
    <t>DC0206BD-D9B0-4D94-AE12-36990568E589</t>
  </si>
  <si>
    <t>4BBEA713-295E-413C-AB31-23D4549E3F86</t>
  </si>
  <si>
    <t>1.AA.1.A.1.a.ii Energy Industries: CHP</t>
  </si>
  <si>
    <t>1.AA.1.A.1.a.ii  Liquid Fuels</t>
  </si>
  <si>
    <t>82CDDAC0-E2C8-497B-AE59-954FC1AA0B61</t>
  </si>
  <si>
    <t>Data are not available to estimate fuel consumption separately from that included in 1.A.1.a.i</t>
  </si>
  <si>
    <t>FA575302-6013-4621-94DA-CE2B9E22CBEC</t>
  </si>
  <si>
    <t>AEC33B13-BB3A-4E5B-A4F2-B0E9E7562B32</t>
  </si>
  <si>
    <t>140CC8E6-D904-41E0-AEF7-DDCCB187EA60</t>
  </si>
  <si>
    <t>1F912532-3810-4FAE-A4E2-A9C467BD9DB1</t>
  </si>
  <si>
    <t>1.AA.1.A.1.a.ii  Solid Fuels</t>
  </si>
  <si>
    <t>9073CD26-30DB-4F5B-BEFE-AB9F1804A456</t>
  </si>
  <si>
    <t>F4AF9CFA-A514-4278-981C-09FD4E0D07FB</t>
  </si>
  <si>
    <t>AC30F8B0-3952-41C4-94A8-1B95B4683111</t>
  </si>
  <si>
    <t>F9FF7052-32DE-461E-BF1C-3D3E39C55B7F</t>
  </si>
  <si>
    <t>A9B4D4D0-6133-4803-B1A7-D33A854B5480</t>
  </si>
  <si>
    <t>1.AA.1.A.1.a.ii  Gaseous Fuels</t>
  </si>
  <si>
    <t>B93B2D91-13DE-42DD-9B15-4DC8A7868150</t>
  </si>
  <si>
    <t>1B715162-4C9F-41D4-8CE0-CF4DE5995FA3</t>
  </si>
  <si>
    <t>7CBE1856-EC55-46A9-8373-329DF40D85F9</t>
  </si>
  <si>
    <t>276121CE-95A7-41A9-9967-3A838808E431</t>
  </si>
  <si>
    <t>B2924601-8C16-49B9-B668-E0013959E699</t>
  </si>
  <si>
    <t>1.AA.1.A.1.a.ii  Other Fossil Fuels</t>
  </si>
  <si>
    <t>DA963C4A-7643-4449-A636-2ABE55B049D6</t>
  </si>
  <si>
    <t>63EAB426-C2AA-4949-9E17-6C068E6E4CDC</t>
  </si>
  <si>
    <t>F98F8E1D-B324-409B-BAAB-E432B2F48CD2</t>
  </si>
  <si>
    <t>E9555A4D-EAD3-4A34-88E2-5B3433C687C1</t>
  </si>
  <si>
    <t>9904417C-6E3D-47C5-A5D3-2D2B1850D921</t>
  </si>
  <si>
    <t>1.AA.1.A.1.a.ii  Peat</t>
  </si>
  <si>
    <t>E8B12F8D-96BC-43B7-9474-8940DD248A95</t>
  </si>
  <si>
    <t>FC31C7F3-8A38-4374-92A4-550AC04EB4A1</t>
  </si>
  <si>
    <t>F7B646A8-9A3C-45AB-8FA3-BBA75724F507</t>
  </si>
  <si>
    <t>674FCA89-3199-4239-83D0-74E8703E03CC</t>
  </si>
  <si>
    <t>14BE05FE-18E6-4726-A8B3-21B7F350FFDE</t>
  </si>
  <si>
    <t>1.AA.1.A.1.a.iii Energy Industries: Heat Plants</t>
  </si>
  <si>
    <t>1.AA.1.A.1.a.iii  Liquid Fuels</t>
  </si>
  <si>
    <t>E15DC2EE-F92E-4100-A866-BD79C38A5ED3</t>
  </si>
  <si>
    <t>8F879605-42E8-45D6-9630-323C5F7ED3B1</t>
  </si>
  <si>
    <t>5E50DBCE-6FFA-4527-AAE5-411E4FE79731</t>
  </si>
  <si>
    <t>B80D40FB-BB59-4E52-8A9F-D77ADAA258B7</t>
  </si>
  <si>
    <t>D797CA27-3425-4BA9-B8F1-9ADDC8B499C1</t>
  </si>
  <si>
    <t>1.AA.1.A.1.a.iii  Solid Fuels</t>
  </si>
  <si>
    <t>5D91C672-AC39-4129-B572-F47AD3090902</t>
  </si>
  <si>
    <t>77636C3A-03A3-4C3A-BE4A-6C0D811DDAE0</t>
  </si>
  <si>
    <t>6013EB18-6A68-412A-8903-870DF1BD712B</t>
  </si>
  <si>
    <t>733E56CE-0E4D-425A-99F7-131B41714287</t>
  </si>
  <si>
    <t>86A1D1D9-35B4-4859-9FA8-20A84D540A9D</t>
  </si>
  <si>
    <t>1.AA.1.A.1.a.iii  Gaseous Fuels</t>
  </si>
  <si>
    <t>9C369625-0E2A-4712-8101-C80D037EF9C0</t>
  </si>
  <si>
    <t>699EFD48-177E-4535-BA02-5F3DFCE5D15B</t>
  </si>
  <si>
    <t>C6FACDE0-1D16-4CD3-B1B8-EF011A6661AD</t>
  </si>
  <si>
    <t>D2CF6B24-8A17-460E-89C3-3DF195B971FB</t>
  </si>
  <si>
    <t>F6B52649-E664-4545-BC79-F8641C626846</t>
  </si>
  <si>
    <t>1.AA.1.A.1.a.iii  Other Fossil Fuels</t>
  </si>
  <si>
    <t>FF4E8F49-2F7D-443A-8BDB-D05D26E51CA9</t>
  </si>
  <si>
    <t>8B23C399-44EC-4FC0-8EAE-A2D3B8F68E0C</t>
  </si>
  <si>
    <t>F70082E8-832B-4168-A706-A8555896EA62</t>
  </si>
  <si>
    <t>B88FC69A-4373-488C-8D69-20B3B7A53CF9</t>
  </si>
  <si>
    <t>190113B9-D314-4192-AD4F-306B7D61D2B5</t>
  </si>
  <si>
    <t>1.AA.1.A.1.a.iii  Peat</t>
  </si>
  <si>
    <t>0FA3BA98-F038-4159-B64C-54EBA9565EE4</t>
  </si>
  <si>
    <t>95DADC15-EA9D-423D-A902-78521D47B3D6</t>
  </si>
  <si>
    <t>0AF2A65A-4B0B-47C9-9CD7-5EA282ECDD21</t>
  </si>
  <si>
    <t>319A8486-7B70-4B37-8213-FEEACD370215</t>
  </si>
  <si>
    <t>8BCAE30A-BB5B-4DF4-B868-F025B49C8B7A</t>
  </si>
  <si>
    <t>1.AA.1.A.1.b  Energy Industries: Petroleum Refining</t>
  </si>
  <si>
    <t>1.AA.1.A.1.b  Liquid Fuels</t>
  </si>
  <si>
    <t>50FC3CF3-704E-429B-9366-A07B3768EB92</t>
  </si>
  <si>
    <t>F931A42F-D3D4-441D-AEAC-55587DABB9A2</t>
  </si>
  <si>
    <t>709E2A9E-06F1-4192-8125-E743F1ABAAB4</t>
  </si>
  <si>
    <t>3EADE601-81A1-4960-A359-68AC80BB2633</t>
  </si>
  <si>
    <t>D81DD910-1BDD-43FB-852F-7F7C89D6BA4E</t>
  </si>
  <si>
    <t xml:space="preserve">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t>
  </si>
  <si>
    <t>1.AA.1.A.1.b  Solid Fuels</t>
  </si>
  <si>
    <t>9E2B9F52-60E9-4EC4-815F-E885C137B50A</t>
  </si>
  <si>
    <t>4244D190-0011-482D-AE49-A56396D6D4F5</t>
  </si>
  <si>
    <t>DAB4604A-380A-4B61-B702-CEB66A379E59</t>
  </si>
  <si>
    <t>354EE2C3-0233-414A-BBE6-C2557A7D4D04</t>
  </si>
  <si>
    <t>CD0900DF-9D9E-4CCE-8063-C4414DE7F930</t>
  </si>
  <si>
    <t>1.AA.1.A.1.b  Gaseous Fuels</t>
  </si>
  <si>
    <t>30E6CE7C-EA59-4BD0-8BBC-154D7A2681AE</t>
  </si>
  <si>
    <t>7B30E49B-FA4C-48F5-8214-4A5925A3A12E</t>
  </si>
  <si>
    <t>D3B97C0C-1746-4EF7-B7C3-051230F4CE64</t>
  </si>
  <si>
    <t>BA69D6D3-4760-4471-8022-ED1D6A3456A1</t>
  </si>
  <si>
    <t>7A5686E7-2068-43E2-B758-68D7D4334DE2</t>
  </si>
  <si>
    <t>1.AA.1.A.1.b  Other Fossil Fuels</t>
  </si>
  <si>
    <t>3E64B64C-A2C0-4A15-9D4F-AB9218E553BE</t>
  </si>
  <si>
    <t>63B1D6D7-B77B-49D5-A67D-9A4FFB5FD94A</t>
  </si>
  <si>
    <t>22F123BF-A13B-4D9F-997D-21310AF745E2</t>
  </si>
  <si>
    <t>45778115-EE7B-4FE1-B5CE-CF1832F4DEA0</t>
  </si>
  <si>
    <t>06EEDB59-4014-47B1-AEE6-7D2A200A4852</t>
  </si>
  <si>
    <t>1.AA.1.A.1.b  Peat</t>
  </si>
  <si>
    <t>8CD2059B-E9B6-4C31-897D-705C624BB870</t>
  </si>
  <si>
    <t>15EF44C1-2EE5-4CE9-8D3D-8C58E54CFDE5</t>
  </si>
  <si>
    <t>F48004D8-6652-4DDB-97A6-08861D113684</t>
  </si>
  <si>
    <t>EB962589-00E1-4B53-B8F8-62D3650A9677</t>
  </si>
  <si>
    <t>006CEC39-C288-4605-AC38-2CBE4A9666FF</t>
  </si>
  <si>
    <t>1.AA.1.A.1.c  Energy Industries: Manufacture of Solid Fuels and Other Energy Industries</t>
  </si>
  <si>
    <t>1.AA.1.A.1.c.i  Manufacture of solid fuels</t>
  </si>
  <si>
    <t xml:space="preserve">  1.AA.1.A.1.c.i  Liquid Fuels</t>
  </si>
  <si>
    <t>97683B9B-3846-4AE5-95AC-A1DB2C3C1529</t>
  </si>
  <si>
    <t>07C00D63-2127-45FD-A2FD-E28D99E6BFF4</t>
  </si>
  <si>
    <t>45DA6D6B-F71C-465F-BFC7-13CDFEB0BA2C</t>
  </si>
  <si>
    <t>21FFC735-C2D9-4455-8C73-DFA6618014A7</t>
  </si>
  <si>
    <t>B9FC642B-FE6D-44E6-9DA1-1F4E6A667666</t>
  </si>
  <si>
    <t xml:space="preserve">  1.AA.1.A.1.c.i  Solid Fuels</t>
  </si>
  <si>
    <t>F55DA9E7-6537-458B-87BE-45032796C32E</t>
  </si>
  <si>
    <t>036C511F-4F25-4602-99FA-14681809704C</t>
  </si>
  <si>
    <t>FD11EB0D-FB89-46D4-8ECF-EC63763EBCB8</t>
  </si>
  <si>
    <t>D7252FE3-FCD4-47A3-AF4C-ABA104DF83B3</t>
  </si>
  <si>
    <t>D9ECAAE9-86F0-4419-B240-A2CB0B85E302</t>
  </si>
  <si>
    <t xml:space="preserve">  1.AA.1.A.1.c.i  Gaseous Fuels</t>
  </si>
  <si>
    <t>27F2E299-1FDE-4A50-BFFA-334775B70ED6</t>
  </si>
  <si>
    <t>D5F6A0A4-64C1-47CD-9740-165E049208DA</t>
  </si>
  <si>
    <t>57A0970F-E720-4C28-B4C7-C8484CC1264D</t>
  </si>
  <si>
    <t>DBA48419-BEE8-453E-84B9-DBD7D90D7475</t>
  </si>
  <si>
    <t>6B840A62-32C3-4AE9-B663-93DD4DA9ACFC</t>
  </si>
  <si>
    <t xml:space="preserve">  1.AA.1.A.1.c.i  Other Fossil Fuels</t>
  </si>
  <si>
    <t>C90C6D4F-AE08-45E6-9689-9C5685C71820</t>
  </si>
  <si>
    <t>ADD71C00-9382-495E-ADD7-08E5E6363CFA</t>
  </si>
  <si>
    <t>082AF50A-A6D7-40D1-A99B-26222C967628</t>
  </si>
  <si>
    <t>BF266165-02E1-4871-9686-F1BA569A21AA</t>
  </si>
  <si>
    <t>7D5259EB-E10E-4634-8C87-BE583939FD45</t>
  </si>
  <si>
    <t xml:space="preserve">  1.AA.1.A.1.c.i  Peat</t>
  </si>
  <si>
    <t>E187D536-3652-42B3-9420-6D1C1B177F2E</t>
  </si>
  <si>
    <t>A3FE7DF1-0992-412F-B398-4547C23D165D</t>
  </si>
  <si>
    <t>E70A8F65-EC77-40AA-852E-1E91EB88EBC7</t>
  </si>
  <si>
    <t>3633A68B-1817-4E80-BF7F-103CB0BBBD14</t>
  </si>
  <si>
    <t>B85E0BB6-DE42-4F17-9CEC-3A658ACEA18A</t>
  </si>
  <si>
    <t>1.AA.1.A.1.c.ii Oil and gas extraction</t>
  </si>
  <si>
    <t xml:space="preserve">  1.AA.1.A.1.c.ii  Liquid Fuels</t>
  </si>
  <si>
    <t>A3136B1B-772D-4757-BBEC-10F043CAE8D1</t>
  </si>
  <si>
    <t>Data are not available to estimate fuel consumption separately from that included in 1.A.1.c.i</t>
  </si>
  <si>
    <t>828DF564-77BC-4777-BA96-455FD4A96DD6</t>
  </si>
  <si>
    <t>076E2395-4855-417F-9FB3-58748E84D028</t>
  </si>
  <si>
    <t>547F8A31-3205-48FD-AEE8-A334F3272A75</t>
  </si>
  <si>
    <t>7C57FEB6-9BED-4A16-BF1A-122827684623</t>
  </si>
  <si>
    <t xml:space="preserve">  1.AA.1.A.1.c.ii  Solid Fuels</t>
  </si>
  <si>
    <t>93C636A6-2F30-4B0A-8F78-5A972DF1C159</t>
  </si>
  <si>
    <t>987EC411-75A4-49EF-B24D-A71430B090D3</t>
  </si>
  <si>
    <t>6334E4A3-FE5B-4B35-95F8-72B192A1B863</t>
  </si>
  <si>
    <t>72823723-5437-4AE1-A210-1148A51AD38D</t>
  </si>
  <si>
    <t>222DCAE7-4204-4AD3-AA1D-9B5CD6FF2596</t>
  </si>
  <si>
    <t xml:space="preserve">  1.AA.1.A.1.c.ii  Gaseous Fuels</t>
  </si>
  <si>
    <t>66ACD6A6-B603-43CA-99F5-EF07E08E4716</t>
  </si>
  <si>
    <t>5B8B630A-D5FD-4816-968C-17EB5F4C610B</t>
  </si>
  <si>
    <t>96A5099C-8185-4F81-9111-4677052590D5</t>
  </si>
  <si>
    <t>C54F02DC-B6F7-4B1D-AB5C-55A1AF7AF484</t>
  </si>
  <si>
    <t>5785BD50-2454-4765-867F-596B782B27B9</t>
  </si>
  <si>
    <t xml:space="preserve">  1.AA.1.A.1.c.ii  Other Fossil Fuels</t>
  </si>
  <si>
    <t>D6CF7027-817D-4F75-B165-CBAA7C729D53</t>
  </si>
  <si>
    <t>3DFAFC0E-8EEA-46E3-A7CE-6F1F8CE68E5A</t>
  </si>
  <si>
    <t>9D317BF7-F25B-4D5D-9F1E-6C32D483B685</t>
  </si>
  <si>
    <t>E682F6E1-1D2F-40BD-8AAE-3D69AE7DEB5A</t>
  </si>
  <si>
    <t>8120A869-02E9-4499-A991-D1EB9F51FD98</t>
  </si>
  <si>
    <t xml:space="preserve">  1.AA.1.A.1.c.ii  Peat</t>
  </si>
  <si>
    <t>4A1F486B-C878-4FEC-A2E5-2776521890DC</t>
  </si>
  <si>
    <t>F8A99CBB-B28F-40D2-9EE5-8C996AD7A6E5</t>
  </si>
  <si>
    <t>F5D14AB4-1139-4A60-A16A-E7DCA83C3997</t>
  </si>
  <si>
    <t>B53DF9D6-E682-47BC-8620-0BE2B26D56A8</t>
  </si>
  <si>
    <t>4E8BC16C-C908-43C8-A3FB-021B8221A092</t>
  </si>
  <si>
    <t>1.AA.1.A.1.c.iii Other energy industries</t>
  </si>
  <si>
    <t xml:space="preserve">  1.AA.1.A.1.c.iii  Liquid Fuels</t>
  </si>
  <si>
    <t>2913377D-875B-4579-9F7D-FB9F972E40E9</t>
  </si>
  <si>
    <t>CFAF2316-EE1D-441A-BA47-D291E4EE95F3</t>
  </si>
  <si>
    <t>84A7924B-11EA-45C7-AA82-FA609CAAC6E2</t>
  </si>
  <si>
    <t>4E6F71D3-04B4-42DD-83EC-622A54D7EC56</t>
  </si>
  <si>
    <t>E70B0926-102F-43EF-B0F8-EFF691442E61</t>
  </si>
  <si>
    <t xml:space="preserve">  1.AA.1.A.1.c.iii  Solid Fuels</t>
  </si>
  <si>
    <t>70C3DF6C-F3E1-4BBC-87B0-C603C72F7445</t>
  </si>
  <si>
    <t>A3AB75BC-81D6-4C34-903C-6AB88FD96C29</t>
  </si>
  <si>
    <t>FCD4AF8B-CBA8-4A3B-9D5B-C207C725BC40</t>
  </si>
  <si>
    <t>BE190771-7BBC-4BAE-91D0-AFF9071C6B0E</t>
  </si>
  <si>
    <t>DA4CC6B3-2168-45CD-AF74-4A3BA94A2707</t>
  </si>
  <si>
    <t xml:space="preserve">  1.AA.1.A.1.c.iii  Gaseous Fuels</t>
  </si>
  <si>
    <t>9B7D8438-FD19-4132-9D84-EE36081C7632</t>
  </si>
  <si>
    <t>0CD01246-4EB7-4FD4-A36F-AF43B9AD6F99</t>
  </si>
  <si>
    <t>7C2D8A1A-6512-4F33-AA50-C47AE6A9511B</t>
  </si>
  <si>
    <t>A122F1E3-7C8A-4708-8C60-3478CC99751F</t>
  </si>
  <si>
    <t>F11E263E-13D2-4814-A481-6030173D3D9C</t>
  </si>
  <si>
    <t xml:space="preserve">  1.AA.1.A.1.c.iii  Other Fossil Fuels</t>
  </si>
  <si>
    <t>B634DFBE-5EB4-4E3C-B994-FF774D095AA5</t>
  </si>
  <si>
    <t>AD0CE404-EC49-4115-8EC4-6C0463EE6D28</t>
  </si>
  <si>
    <t>B76EEDE1-16D9-4A61-A494-90DCEE3A5101</t>
  </si>
  <si>
    <t>F08E5753-E70E-47EF-8DB1-714075C9247B</t>
  </si>
  <si>
    <t>4EFDE62B-9C78-440F-856B-934B6400B932</t>
  </si>
  <si>
    <t xml:space="preserve">  1.AA.1.A.1.c.iii  Peat</t>
  </si>
  <si>
    <t>60EFFB88-9FB3-4372-BC1F-30C7CA227686</t>
  </si>
  <si>
    <t>8288D2F5-F1EF-4E86-8E82-1281C4F4E7D9</t>
  </si>
  <si>
    <t>7F6CBE5E-AC2E-4043-87BB-A1AA6CD41CF9</t>
  </si>
  <si>
    <t>7523C95E-2D6F-487F-839E-EF4B56B6ACC4</t>
  </si>
  <si>
    <t>5EB3B574-19AD-4B9F-BBF5-E6EB09A6F2A5</t>
  </si>
  <si>
    <t>1.AA.1.A.2.a Manufacturing Industries and Construction: Iron and Steel</t>
  </si>
  <si>
    <t>1.AA.1.A.2.a Liquid Fuels</t>
  </si>
  <si>
    <t>1976C1E0-0B13-40B6-A518-1A09944E096A</t>
  </si>
  <si>
    <t>A791E2C8-FC73-4B7E-A88E-D0866EF53866</t>
  </si>
  <si>
    <t>617AE30D-A9D0-4FFF-8B0E-D8EA9FC43DC1</t>
  </si>
  <si>
    <t>9F5B3E12-7602-4E83-B2D3-E250EEE268D2</t>
  </si>
  <si>
    <t>7F473AEF-BC1D-4509-B81A-67AB23AA5F16</t>
  </si>
  <si>
    <t>1.AA.1.A.2.a Solid Fuels</t>
  </si>
  <si>
    <t>270C4365-8E4B-48EB-A656-5848287A5DC7</t>
  </si>
  <si>
    <t>50460106-8635-4D19-891B-573C038636B3</t>
  </si>
  <si>
    <t>BF35ED8B-47BA-442A-8723-F67141FD49CF</t>
  </si>
  <si>
    <t>0C4BA196-C7BA-4B69-BB92-9B5BB11A8EEE</t>
  </si>
  <si>
    <t>3F9FA499-BCBD-4F98-8607-8287393BB140</t>
  </si>
  <si>
    <t>1.AA.1.A.2.a Gaseous Fuels</t>
  </si>
  <si>
    <t>F5CA2D71-91B0-4C2A-97FB-0BD7437FE54C</t>
  </si>
  <si>
    <t>CD67014A-611C-47AC-88C3-4F0F2EBBB80C</t>
  </si>
  <si>
    <t>099E436F-4064-487B-8CAC-AF9B0B264390</t>
  </si>
  <si>
    <t>0BD3E4E3-42E9-4213-9592-049376D670DC</t>
  </si>
  <si>
    <t>B911881B-5173-41B1-A416-0AA27995F901</t>
  </si>
  <si>
    <t>1.AA.1.A.2.a Other Fossil Fuels</t>
  </si>
  <si>
    <t>1ABFCAE8-1D6A-4514-9370-6E2F42A6BE6B</t>
  </si>
  <si>
    <t>415E15DE-85B6-4E9C-90C7-035A858DD9AE</t>
  </si>
  <si>
    <t>4ADB250F-A958-469B-8ACC-8DD17C23EF28</t>
  </si>
  <si>
    <t>DC4DC37C-468C-4903-B4E5-E211A9D33A5F</t>
  </si>
  <si>
    <t>12CFDB40-D539-4B62-8572-3033EE86E2C9</t>
  </si>
  <si>
    <t>1.AA.1.A.2.a Peat</t>
  </si>
  <si>
    <t>9FF583B2-E4BF-442A-8872-1F33C168DDCF</t>
  </si>
  <si>
    <t>69D107EE-E167-42EC-B225-80259E193B62</t>
  </si>
  <si>
    <t>F6857C6F-AD27-4DC1-97BB-099599651CED</t>
  </si>
  <si>
    <t>F30A1B14-27F5-4E68-9FA6-4579CC5BEBD4</t>
  </si>
  <si>
    <t>760CAB54-BF8C-4510-8BA5-D391E4437FDB</t>
  </si>
  <si>
    <t>1.AA.1.A.2.b Manufacturing Industries and Construction: Non-Ferrous Metals</t>
  </si>
  <si>
    <t>1.AA.1.A.2.b Liquid Fuels</t>
  </si>
  <si>
    <t>BB7927CB-33EB-41E1-883A-E0BC39E7901E</t>
  </si>
  <si>
    <t>645244BB-3460-4923-A9E3-D1AB5DFEC49E</t>
  </si>
  <si>
    <t>4ABEAF9E-1553-43C5-8F72-792CF08D875C</t>
  </si>
  <si>
    <t>C16BD9F0-1536-4FC4-8D84-708269F0B3F7</t>
  </si>
  <si>
    <t>708636D7-9162-46BB-B1B0-DF2888957947</t>
  </si>
  <si>
    <t>1.AA.1.A.2.b Solid Fuels</t>
  </si>
  <si>
    <t>163777D1-FCCA-48A2-9BD9-D717AAD684EB</t>
  </si>
  <si>
    <t>B86B28B0-5603-4DD2-98DC-40C52BF653BF</t>
  </si>
  <si>
    <t>924E4EF2-3303-4AC9-970E-3A5538EFD925</t>
  </si>
  <si>
    <t>C934D0D5-86F2-4F37-8914-128508DF8D2C</t>
  </si>
  <si>
    <t>64C9CD75-0672-4B23-9123-C645D6144AF1</t>
  </si>
  <si>
    <t>1.AA.1.A.2.b Gaseous Fuels</t>
  </si>
  <si>
    <t>780B32AD-850D-44FE-A220-2A3CB0108941</t>
  </si>
  <si>
    <t>ADEE3CC6-D37E-4848-B491-E3EB9EF4C022</t>
  </si>
  <si>
    <t>C7C1E82C-C2CF-4EC2-A731-633CBCECBF28</t>
  </si>
  <si>
    <t>FE750D77-3D69-456F-AC43-E56218B843BB</t>
  </si>
  <si>
    <t>7CF7C53A-10F1-4B97-B0BA-0ACAA4924672</t>
  </si>
  <si>
    <t>1.AA.1.A.2.b Other Fossil Fuels</t>
  </si>
  <si>
    <t>8BB1C5E5-1CC6-4108-A1CA-0FC29979513D</t>
  </si>
  <si>
    <t>2552A1EC-A75D-4DC1-8793-43DA3267CE24</t>
  </si>
  <si>
    <t>F337A1FF-D0B5-419F-A2FF-DB76FEFF31FE</t>
  </si>
  <si>
    <t>012E746A-6BC4-49CC-869D-ADB2507BE920</t>
  </si>
  <si>
    <t>B1A15130-1893-41B8-9157-47C141E39A9E</t>
  </si>
  <si>
    <t>1.AA.1.A.2.b Peat</t>
  </si>
  <si>
    <t>4E73968C-5ECB-4C98-BACE-B467E30E3BAD</t>
  </si>
  <si>
    <t>9E2986F1-AF6D-4C7E-B625-8585D6EBFFB6</t>
  </si>
  <si>
    <t>73987426-7C0D-46A8-9ECF-E9E4D031E4DC</t>
  </si>
  <si>
    <t>3AD8A9E0-3260-4826-945E-0F4539147D7D</t>
  </si>
  <si>
    <t>2754D0FD-626B-4A5E-8947-7DE41FDB9205</t>
  </si>
  <si>
    <t>1.AA.1.A.2.c Manufacturing Industries and Construction: Chemicals</t>
  </si>
  <si>
    <t>1.AA.1.A.2.c Liquid Fuels</t>
  </si>
  <si>
    <t>00BF5AC1-F1E3-461B-8AAF-8D950C652DF5</t>
  </si>
  <si>
    <t>25A1FE62-68EE-4FE2-BEB8-92FC711C82F2</t>
  </si>
  <si>
    <t>852FBED0-D1C6-4CF5-87B4-2E2D0A3F8A65</t>
  </si>
  <si>
    <t>1705C42A-C5FB-440C-9752-E8C12A5D9A27</t>
  </si>
  <si>
    <t>7FB177BA-CE6A-4B39-94D0-30D381628F0A</t>
  </si>
  <si>
    <t>1.AA.1.A.2.c Solid Fuels</t>
  </si>
  <si>
    <t>E059EFE9-066E-46B1-BA92-2819C4949B31</t>
  </si>
  <si>
    <t>71FC7A64-9001-4947-8309-952FC1EA5DE1</t>
  </si>
  <si>
    <t>A028879D-2A1E-4A40-BF69-1FCCCA86359F</t>
  </si>
  <si>
    <t>BC6740B9-78A1-47E8-BC27-8D334F68D1AC</t>
  </si>
  <si>
    <t>8A89B22F-8D97-4826-8924-89590D184877</t>
  </si>
  <si>
    <t>1.AA.1.A.2.c Gaseous Fuels</t>
  </si>
  <si>
    <t>0CB82B1E-7303-4C0C-9E2B-21C1D3767F62</t>
  </si>
  <si>
    <t>CBA64C5E-2144-4105-978C-39F7859D62AF</t>
  </si>
  <si>
    <t>ADC4552B-4D95-4414-B23E-37FB2E8A66A6</t>
  </si>
  <si>
    <t>1D544387-12CE-455E-84BD-F541AE6CF9E0</t>
  </si>
  <si>
    <t>13F66C70-65E9-46B1-B2B9-22622309BF46</t>
  </si>
  <si>
    <t>1.AA.1.A.2.c Other Fossil Fuels</t>
  </si>
  <si>
    <t>1FE83525-373F-41DB-9EAB-A8D74AA3F96F</t>
  </si>
  <si>
    <t>ECEED3F1-2CC5-4C96-90F9-172F7A211B14</t>
  </si>
  <si>
    <t>DEBA6B31-15CC-4323-B251-EA89454FD9B6</t>
  </si>
  <si>
    <t>E60E5DF7-844C-49CC-80FD-A8E53A74DD68</t>
  </si>
  <si>
    <t>C2E234EA-30E1-4DE1-8401-691E6861C3CD</t>
  </si>
  <si>
    <t>1.AA.1.A.2.c Peat</t>
  </si>
  <si>
    <t>8A2A0B99-8BBE-4F0D-AED0-A70F47A89BB7</t>
  </si>
  <si>
    <t>89701E25-E07B-46FF-AD05-6669BA209CCC</t>
  </si>
  <si>
    <t>7A9D7D8C-E00F-414B-9621-84059CBB6FC3</t>
  </si>
  <si>
    <t>D05E3789-6F99-4F06-8A4A-D571A42C060C</t>
  </si>
  <si>
    <t>D470E6EB-2B15-4C55-A065-DFAEFF5CC76C</t>
  </si>
  <si>
    <t>1.AA.1.A.2.d Manufacturing Industries and Construction: Pulp, Paper and Print</t>
  </si>
  <si>
    <t>1.AA.1.A.2.d Liquid Fuels</t>
  </si>
  <si>
    <t>92B9CF24-F9DC-4484-8DD7-BB198E3B4D94</t>
  </si>
  <si>
    <t>DC0104F1-DA12-4C44-A1D4-1872FABB8BEA</t>
  </si>
  <si>
    <t>EAB2A344-3783-4E02-8245-17D5F2154CA2</t>
  </si>
  <si>
    <t>70BF2D75-49FF-42F9-A9CD-2BE3D79FF95D</t>
  </si>
  <si>
    <t>902CD195-1E6D-49AE-97E5-119116C87234</t>
  </si>
  <si>
    <t>1.AA.1.A.2.d Solid Fuels</t>
  </si>
  <si>
    <t>C916C746-D91C-4D00-8203-BA255F6E01A6</t>
  </si>
  <si>
    <t>FD6565D0-04F4-4B4E-82B7-F90AB1586733</t>
  </si>
  <si>
    <t>6D0D6236-1CEC-4F02-A10A-C4A91C0C5B61</t>
  </si>
  <si>
    <t>FD759BB8-F614-47C9-A220-2AECC87EEA9F</t>
  </si>
  <si>
    <t>0631480E-FD2B-40EA-BA03-AEB13691C14F</t>
  </si>
  <si>
    <t>1.AA.1.A.2.d Gaseous Fuels</t>
  </si>
  <si>
    <t>E4E3E192-114E-4565-A900-CB49C2495F5A</t>
  </si>
  <si>
    <t>0439478C-FEE7-4139-B27D-E1B89BD08735</t>
  </si>
  <si>
    <t>642160D8-9C29-48E7-A0E9-EC1802B726F9</t>
  </si>
  <si>
    <t>0926F790-DB49-4679-A329-98CED95CA2C3</t>
  </si>
  <si>
    <t>AF6B1546-B00E-4BD4-A97D-2DAE5A98240A</t>
  </si>
  <si>
    <t>1.AA.1.A.2.d Other Fossil Fuels</t>
  </si>
  <si>
    <t>6E2AED96-D244-45A1-AAEB-6AB4EE377C4A</t>
  </si>
  <si>
    <t>F7657937-E3A5-4EAE-A370-2A68866B3251</t>
  </si>
  <si>
    <t>3A0F4C2D-BD8C-4866-A29A-050F3174D9C7</t>
  </si>
  <si>
    <t>24FC1F20-0540-4E69-BFA4-4B027E16A0F8</t>
  </si>
  <si>
    <t>C14AA095-A50B-4F25-9A1B-024B01B9E8AB</t>
  </si>
  <si>
    <t>1.AA.1.A.2.d Peat</t>
  </si>
  <si>
    <t>680AD944-EA0C-4F16-86F3-D704438E7594</t>
  </si>
  <si>
    <t>31F2C76C-E9E3-4DBB-9A29-3B812F79036D</t>
  </si>
  <si>
    <t>C540BB9D-2698-4B8A-AB19-866FF11AFEE8</t>
  </si>
  <si>
    <t>7F30178A-0367-42CB-827A-CC12FFC04C40</t>
  </si>
  <si>
    <t>46D8E119-F7A4-4912-ABF3-B6D9FCF4F278</t>
  </si>
  <si>
    <t>1.AA.1.A.2.e Manufacturing Industries and Construction: Food Processing, Beverages and Tobacco</t>
  </si>
  <si>
    <t>1.AA.1.A.2.e Liquid Fuels</t>
  </si>
  <si>
    <t>FA218FFA-0F64-43BF-AC9E-612B9651C5F0</t>
  </si>
  <si>
    <t>C0007ACF-A980-4D3F-9F46-4E037025D298</t>
  </si>
  <si>
    <t>8F461B74-7490-4419-B457-725D38EB23F2</t>
  </si>
  <si>
    <t>B3911037-D225-443B-B2F1-8E7E01695EC7</t>
  </si>
  <si>
    <t>75F883D7-603E-4DA0-826D-142162D9A39D</t>
  </si>
  <si>
    <t>1.AA.1.A.2.e Solid Fuels</t>
  </si>
  <si>
    <t>A9DB7875-5F37-404C-9EEF-030683FD9BD6</t>
  </si>
  <si>
    <t>CD2E9050-6704-4B0B-AB7A-232D9B2B0DB6</t>
  </si>
  <si>
    <t>724E51C1-037C-4703-A4B1-DA9562A41E7C</t>
  </si>
  <si>
    <t>CE3A4662-4C64-4BCA-86C7-09F68F41C090</t>
  </si>
  <si>
    <t>9A292C98-E48C-44A8-A5F8-7788443B4C55</t>
  </si>
  <si>
    <t>1.AA.1.A.2.e Gaseous Fuels</t>
  </si>
  <si>
    <t>C87D7968-4327-4CC9-B021-A52EB727E4BE</t>
  </si>
  <si>
    <t>313E63B0-8075-407A-944F-7C0CF2C2A829</t>
  </si>
  <si>
    <t>F70DE7F9-5800-43C5-94C2-7DDFDCA28F52</t>
  </si>
  <si>
    <t>E15E0C94-C879-4B63-9CF8-AC3DAE1B90D5</t>
  </si>
  <si>
    <t>69E2D85C-8303-482F-89E3-79DDE045E0F0</t>
  </si>
  <si>
    <t>1.AA.1.A.2.e Other Fossil Fuels</t>
  </si>
  <si>
    <t>2D3D90A1-2104-4F15-B5DB-CFC1A3AF494A</t>
  </si>
  <si>
    <t>3CE6B776-D648-4D3F-BC19-95032A75C137</t>
  </si>
  <si>
    <t>17D72B35-CF12-4E13-A8CC-13C14462EA12</t>
  </si>
  <si>
    <t>67F9F271-77C8-4CCD-A94A-7BCFF4A05E4A</t>
  </si>
  <si>
    <t>E962A322-A3DC-4C5E-A7F1-4DECA0BFF9B8</t>
  </si>
  <si>
    <t>1.AA.1.A.2.e Peat</t>
  </si>
  <si>
    <t>6848AD23-0548-4541-89FA-6667BE3F7628</t>
  </si>
  <si>
    <t>ECFA0BCA-5D9A-4088-ACF7-9E75E8323185</t>
  </si>
  <si>
    <t>39BBB8A3-8244-4C27-A24D-ED27ADF20ACE</t>
  </si>
  <si>
    <t>259FCB77-B339-4B14-9471-9F3C1C7771FF</t>
  </si>
  <si>
    <t>01ED98DB-B61F-4623-AA35-52313C5490A3</t>
  </si>
  <si>
    <t>1.AA.1.A.2.f Manufacturing Industries and Construction: Non-metallic Minerals</t>
  </si>
  <si>
    <t>1.AA.1.A.2.f Liquid Fuels</t>
  </si>
  <si>
    <t>279E6254-0291-47E3-8842-E71CE9B7699C</t>
  </si>
  <si>
    <t>C9A39B36-CA38-486A-9395-5467C7E7355F</t>
  </si>
  <si>
    <t>13908E43-7987-4387-AE75-1F66D19D35E0</t>
  </si>
  <si>
    <t>0F7334CE-F542-4471-86E6-B1C0900A3CA5</t>
  </si>
  <si>
    <t>CF71106D-3AB4-47CF-95FA-58B92A0A33BA</t>
  </si>
  <si>
    <t>1.AA.1.A.2.f Solid Fuels</t>
  </si>
  <si>
    <t>E45064B7-1541-4D5F-B73F-1CA8C071DBB0</t>
  </si>
  <si>
    <t>4699B8E3-A661-4619-8E2E-65B2EDC09DD1</t>
  </si>
  <si>
    <t>D546DF86-949F-4E57-BF90-7E44ED4F9028</t>
  </si>
  <si>
    <t>1377F21A-F352-47AB-8CD8-45366FF98B0C</t>
  </si>
  <si>
    <t>B20282DE-819E-4279-9E46-9E6F738DBF48</t>
  </si>
  <si>
    <t>1.AA.1.A.2.f Gaseous Fuels</t>
  </si>
  <si>
    <t>99DAFF5C-8F0C-4381-AFF6-309BA31DDE7D</t>
  </si>
  <si>
    <t>C6B80D0E-A560-42F2-AFC4-DE337688613C</t>
  </si>
  <si>
    <t>279DEAA6-CD36-4F97-9F44-26A62E649C6E</t>
  </si>
  <si>
    <t>B3DFCC19-ED77-44A0-B856-274A2C87C154</t>
  </si>
  <si>
    <t>0DE7E664-9A25-4D3A-AB1C-D80B342D5583</t>
  </si>
  <si>
    <t>1.AA.1.A.2.f Other Fossil Fuels</t>
  </si>
  <si>
    <t>B7D2FFA4-18FF-48B3-9933-2F533F6B8734</t>
  </si>
  <si>
    <t>6E4CA368-2B7A-452F-89E5-4DD8249C9971</t>
  </si>
  <si>
    <t>CE71E89C-3DEC-46DC-95A7-98072CFD9216</t>
  </si>
  <si>
    <t>C11A5FBF-42D1-49C2-B1F6-3F0562753F48</t>
  </si>
  <si>
    <t>3E97BA5B-4F93-4A7C-A5A9-C18DFF17E455</t>
  </si>
  <si>
    <t>1.AA.1.A.2.f Peat</t>
  </si>
  <si>
    <t>4AE52FA5-90EF-499E-BA31-27CF8E1CE3AC</t>
  </si>
  <si>
    <t>EFED83D7-7801-49B1-910A-91E9C2CD1059</t>
  </si>
  <si>
    <t>008803AB-6F81-4544-8AA1-D021F8A85FAE</t>
  </si>
  <si>
    <t>F9388E5F-3A1B-4752-8C79-E5E0ED31F19C</t>
  </si>
  <si>
    <t>80317B86-8262-4634-8C1B-44C88310A870</t>
  </si>
  <si>
    <t>1.AA.1.A.2.g.viii Manufacturing Industries and Construction: Other: Other: Construction agriculture and other non transport vehicles</t>
  </si>
  <si>
    <t>1.AA.1.A.2.g.viii Liquid Fuels</t>
  </si>
  <si>
    <t>791B8596-FA95-47C9-AF45-81431E2551BA</t>
  </si>
  <si>
    <t>27D7A8F4-5CD6-4AFD-B44C-6FCE1F13C961</t>
  </si>
  <si>
    <t>75F5A805-4C30-4807-9A2B-25484565D64F</t>
  </si>
  <si>
    <t>40580363-C74D-4EA8-8E74-05DF07B30BF7</t>
  </si>
  <si>
    <t>9D9BC266-337F-4A63-81DC-49749F1A7BF8</t>
  </si>
  <si>
    <t xml:space="preserve">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t>
  </si>
  <si>
    <t>1.AA.1.A.2.g.viii Solid Fuels</t>
  </si>
  <si>
    <t>090A0827-4A1F-4133-A15F-EC44C97B4293</t>
  </si>
  <si>
    <t>032D81AE-D024-4C7E-99BB-C6621CC736FF</t>
  </si>
  <si>
    <t>A434CFC8-5344-4EE6-BA31-530CEEB20E70</t>
  </si>
  <si>
    <t>9D10A40F-9672-450A-A09A-3B8D8E2D4018</t>
  </si>
  <si>
    <t>5D0E8739-9858-4C73-8CE9-8B08BAA076E1</t>
  </si>
  <si>
    <t>1.AA.1.A.2.g.viii Gaseous Fuels</t>
  </si>
  <si>
    <t>EC38ED00-AE7D-4E7C-859A-FDFEF4DED94E</t>
  </si>
  <si>
    <t>8D294707-A2B9-4462-800F-2E8C86B0FCBC</t>
  </si>
  <si>
    <t>568162BF-A57E-4E56-9523-980F29EB48CF</t>
  </si>
  <si>
    <t>A3402B11-E4CC-43D3-AACD-FA6005910BA9</t>
  </si>
  <si>
    <t>D749C4E4-A7E8-4198-9646-D9443C5C861A</t>
  </si>
  <si>
    <t>1.AA.1.A.2.g.viii Other Fossil Fuels</t>
  </si>
  <si>
    <t>2DB2BF34-FCC7-413A-A6D9-1775C1E19D61</t>
  </si>
  <si>
    <t>4A00E704-95A8-4518-BA27-A3F996D030DE</t>
  </si>
  <si>
    <t>5FD93BCD-4787-4E8E-8387-937603A0E3A3</t>
  </si>
  <si>
    <t>4D475686-08F9-491B-A267-5C5C0E178261</t>
  </si>
  <si>
    <t>5876299B-1D67-4389-83A1-414D1FA2DA2F</t>
  </si>
  <si>
    <t>1.AA.1.A.2.g.viii Peat</t>
  </si>
  <si>
    <t>BBD46A69-E2CE-4AAC-BEC2-1912424765CD</t>
  </si>
  <si>
    <t>9E1EF500-6E35-457D-954C-EB8B4580755B</t>
  </si>
  <si>
    <t>E82E36E3-FD95-4F98-886D-BDB52C3F34DD</t>
  </si>
  <si>
    <t>086B75F2-96BD-423A-9CD8-A3C9128BBDE7</t>
  </si>
  <si>
    <t>BF1667CA-5428-4E7B-BD3C-07FE72814BF2</t>
  </si>
  <si>
    <t>1.AA.1.A.4.a.i Other Sectors: Commercial/Institutional: Stationary combustion</t>
  </si>
  <si>
    <t>1.AA.1.A.4.a.i Liquid Fuels</t>
  </si>
  <si>
    <t>EAB6AB39-51DA-4CE8-B062-DEF8A318B447</t>
  </si>
  <si>
    <t>B78C3CB3-1B9D-4EB2-A8DF-FE3D1800DC2C</t>
  </si>
  <si>
    <t>3838E9D4-FE06-453C-BC8A-73D30D85F632</t>
  </si>
  <si>
    <t>DA05D5FA-DFAB-44D0-8D6E-5C94A48340AB</t>
  </si>
  <si>
    <t>DAF68BE6-033B-4A5E-AFB9-6C16B3B747B7</t>
  </si>
  <si>
    <t>1.AA.1.A.4.a.i Solid Fuels</t>
  </si>
  <si>
    <t>77AB054A-A0FB-40EA-901D-99DF0CC93B0D</t>
  </si>
  <si>
    <t>15114DC3-A77B-44B5-ACF8-317E37043C27</t>
  </si>
  <si>
    <t>0C5B3816-CC5F-4E91-B836-A24B808AAFF3</t>
  </si>
  <si>
    <t>B4E4BFB4-5D51-4B1A-9F69-4D3BA9EB5498</t>
  </si>
  <si>
    <t>5457030C-2AF1-4F9F-A3B3-3538F81F655D</t>
  </si>
  <si>
    <t>1.AA.1.A.4.a.i Gaseous Fuels</t>
  </si>
  <si>
    <t>E81205C8-F898-4A30-86E9-331A0EE22C3F</t>
  </si>
  <si>
    <t>A8E773FF-874B-4484-A678-2CE94C616464</t>
  </si>
  <si>
    <t>3F1C52F1-D3BA-45C3-93C8-4F5963368473</t>
  </si>
  <si>
    <t>62954F08-9AD8-45D9-AC0F-9F61A41BBC7C</t>
  </si>
  <si>
    <t>7ACACE4B-BC8E-481D-8B84-914170002AB0</t>
  </si>
  <si>
    <t>1.AA.1.A.4.a.i Other Fossil Fuels</t>
  </si>
  <si>
    <t>412FE503-9306-4D32-82F7-8AC6AEB99359</t>
  </si>
  <si>
    <t>5AEFC383-48AA-419C-959A-548A6429EF6C</t>
  </si>
  <si>
    <t>6DC53258-5B79-4F5D-9BE5-47EADE69C6B8</t>
  </si>
  <si>
    <t>2D431708-F434-4F27-A529-C57269B51D86</t>
  </si>
  <si>
    <t>833D81A1-8D76-4614-B50A-F12CCA73DE97</t>
  </si>
  <si>
    <t>1.AA.1.A.4.a.i Peat</t>
  </si>
  <si>
    <t>02F3397C-0989-4978-800D-BEC8DF1E2FCB</t>
  </si>
  <si>
    <t>298E633D-B8C5-4FE5-BDE3-873D0E35BA7B</t>
  </si>
  <si>
    <t>B53DB81F-FD4E-460D-BA07-922D6B1FDD17</t>
  </si>
  <si>
    <t>9ABC60EA-23D0-4B98-B716-AFE5593D6600</t>
  </si>
  <si>
    <t>BFFFE841-7300-4FFB-A299-93F77884BA78</t>
  </si>
  <si>
    <t>1.AA.1.A.4.b.iii Other Sectors: Residential: Other: Residential</t>
  </si>
  <si>
    <t>1.AA.1.A.4.b.iii Liquid Fuels</t>
  </si>
  <si>
    <t>E033D980-2C6D-45D8-B3D9-6BB7105E0AF0</t>
  </si>
  <si>
    <t>11027DBE-55E1-467B-9668-CC76715463A0</t>
  </si>
  <si>
    <t>D8B64DD4-EFE0-4313-8351-28796E665A2C</t>
  </si>
  <si>
    <t>B20CA46C-F127-43B6-B792-EFE528F48314</t>
  </si>
  <si>
    <t>EDD00946-C9B7-4387-BA42-0A5D7592D2B1</t>
  </si>
  <si>
    <t>1.AA.1.A.4.b.iii Solid Fuels</t>
  </si>
  <si>
    <t>87A8F19F-FD28-4D2C-A2F7-BE5E208D4F89</t>
  </si>
  <si>
    <t>AD21A9B4-931C-4E66-9AA0-84E2DD53BED6</t>
  </si>
  <si>
    <t>87DF2CF5-D27A-42CA-BBAF-C4849E0A1A8A</t>
  </si>
  <si>
    <t>6744C4DF-0E7D-40F1-BD9F-E389B5CD360F</t>
  </si>
  <si>
    <t>442D0823-8111-49D6-A639-B60A02E80DD3</t>
  </si>
  <si>
    <t>1.AA.1.A.4.b.iii Gaseous Fuels</t>
  </si>
  <si>
    <t>B52CBA22-5903-4B61-B000-70AB1C9E252F</t>
  </si>
  <si>
    <t>CC3B8FFE-2351-40C5-A620-3311411BF107</t>
  </si>
  <si>
    <t>4CF69B39-E5CA-4159-91D2-689AC89BE335</t>
  </si>
  <si>
    <t>EC706295-2919-448E-98EA-B337C898FDA2</t>
  </si>
  <si>
    <t>C23CB1E2-02F8-4690-9013-FA7A4E63C946</t>
  </si>
  <si>
    <t>1.AA.1.A.4.b.iii Other Fossil Fuels</t>
  </si>
  <si>
    <t>B4EC6B97-5859-4A05-887E-3DFEB566F841</t>
  </si>
  <si>
    <t>BBB8A7E4-50AC-4148-81A6-C795506DC53D</t>
  </si>
  <si>
    <t>826608D6-3C7A-4B89-900B-37EB0F49B5DB</t>
  </si>
  <si>
    <t>DB3F5FA1-CB8A-416E-A775-1EB934019286</t>
  </si>
  <si>
    <t>0F8A0836-5D8C-409F-8884-ACB92995DFBC</t>
  </si>
  <si>
    <t>1.AA.1.A.4.b.iii Peat</t>
  </si>
  <si>
    <t>5B98275A-DA1B-40CC-A077-5CC52267B3FA</t>
  </si>
  <si>
    <t>BA2A5699-19D9-4306-955E-AF6550708066</t>
  </si>
  <si>
    <t>17E9C21E-1751-47BB-BFF3-54D97868BD77</t>
  </si>
  <si>
    <t>2F2A349C-B7D1-4EF0-900C-1095A9BE8689</t>
  </si>
  <si>
    <t>4E69D524-9560-4985-A3E2-9801519D5716</t>
  </si>
  <si>
    <t>1.AA.1.A.4.c Other Sectors: Agriculture: Forestry: Fishing</t>
  </si>
  <si>
    <t>1.AA.1.A.4.c.i Stationary</t>
  </si>
  <si>
    <t xml:space="preserve">  1.AA.1.A.4.c.i Liquid Fuels</t>
  </si>
  <si>
    <t>B61F98E6-3B9B-4C47-A720-7076A528A238</t>
  </si>
  <si>
    <t>41EFF80D-AFEE-43E0-8EC4-FE1F24F303FB</t>
  </si>
  <si>
    <t>772D1F91-2858-44AA-A8CB-A307BC196512</t>
  </si>
  <si>
    <t>644DBECC-6E3F-416C-815B-2CDED269359A</t>
  </si>
  <si>
    <t>D32EFC4C-3F6B-48DD-91FB-7F301C8DB25A</t>
  </si>
  <si>
    <t xml:space="preserve">  1.AA.1.A.4.c.i Solid Fuels</t>
  </si>
  <si>
    <t>908E7B3E-4798-4946-84A0-6727013B55DC</t>
  </si>
  <si>
    <t>08BACB28-087E-478F-8B3A-AAB2AADF4248</t>
  </si>
  <si>
    <t>4A423D97-06D3-4D09-92B0-5F44026C30C9</t>
  </si>
  <si>
    <t>9F1C3073-8EAE-4EE8-B177-B35C147B3E2A</t>
  </si>
  <si>
    <t>486FD7CE-E36F-4FF3-BBC3-B3004579A347</t>
  </si>
  <si>
    <t xml:space="preserve">  1.AA.1.A.4.c.i Gaseous Fuels</t>
  </si>
  <si>
    <t>6B2BB356-45C8-4246-B44E-FCFDFDF9E96E</t>
  </si>
  <si>
    <t>803F5738-AC3B-4914-BD2C-C01E73A6A506</t>
  </si>
  <si>
    <t>08C74A77-FA8D-4C6D-9585-0A3DF740F018</t>
  </si>
  <si>
    <t>A50E37DB-83CE-48BA-BC52-28A420EF5298</t>
  </si>
  <si>
    <t>36E258DD-19B2-4288-B649-311CBF9C5B1E</t>
  </si>
  <si>
    <t xml:space="preserve">  1.AA.1.A.4.c.i Other Fossil Fuels</t>
  </si>
  <si>
    <t>E1201F30-1DE2-43C2-B6F7-74B87FBE2F62</t>
  </si>
  <si>
    <t>0565F3A9-C8C3-4FE4-9923-E736D383B5EA</t>
  </si>
  <si>
    <t>D6A16408-51D8-43D1-9496-CB40AB9CFD81</t>
  </si>
  <si>
    <t>D1696E9B-2BBE-4EBF-BA9C-51CDD448FDD2</t>
  </si>
  <si>
    <t>3F564878-0D0E-4664-9B7E-72A696A8B92D</t>
  </si>
  <si>
    <t xml:space="preserve">  1.AA.1.A.4.c.i Peat</t>
  </si>
  <si>
    <t>51F05455-C51D-4A17-8026-F5C49D101D34</t>
  </si>
  <si>
    <t>47995273-06E9-47CB-B5A8-7040C0DFD028</t>
  </si>
  <si>
    <t>DF54BC92-B5DB-4962-B6CD-0959F0025F30</t>
  </si>
  <si>
    <t>12162B74-61FD-4793-8E56-01AD09159570</t>
  </si>
  <si>
    <t>8F514FC2-0B48-40D4-9FF8-AC16074EF9AE</t>
  </si>
  <si>
    <t>1.AA1.A.4.c.ii Off-road vehicles and other machinery</t>
  </si>
  <si>
    <t xml:space="preserve">  1.AA1.A.4.c.ii Gasoline</t>
  </si>
  <si>
    <t>511C0E58-351F-41AA-A49E-37A4AD15975E</t>
  </si>
  <si>
    <t>Fuel consumed in and emissions from Agriculture/Forestry/Fisheries are included under Other Manufacturing Industries and Construction (1.A.2.g), which includes emissions from mobile off-road vehicles and other machinery.</t>
  </si>
  <si>
    <t>84B81562-6F98-4A67-8284-56BE85DDF693</t>
  </si>
  <si>
    <t>FCDBE58A-2B9A-4C94-BE77-B725F4D3F22C</t>
  </si>
  <si>
    <t>F2F9A570-02C7-406D-8B2F-4E35FFA7D83A</t>
  </si>
  <si>
    <t xml:space="preserve">  1.AA1.A.4.c.ii Diesel Oil</t>
  </si>
  <si>
    <t>222BCE7A-E076-4532-BDD9-7DFC6FE6189A</t>
  </si>
  <si>
    <t>394C7C90-E1D7-41A0-AF16-53506226328D</t>
  </si>
  <si>
    <t>F0BEB56C-274D-4076-B00A-9E5AD3DB401D</t>
  </si>
  <si>
    <t>CEFC12FF-2D36-4776-850C-DF544F160BDE</t>
  </si>
  <si>
    <t xml:space="preserve">  1.AA1.A.4.c.ii Liquefied Petroleum Gases (LPG)</t>
  </si>
  <si>
    <t>77C21A51-37EA-4ABF-9380-5EE2E35D1AFE</t>
  </si>
  <si>
    <t>15D0D2A9-BE74-487C-95B8-10868EB19BB8</t>
  </si>
  <si>
    <t>85F6DCE6-7B19-4AEC-9235-06221E131CCF</t>
  </si>
  <si>
    <t>B6E2D454-0831-43A9-A2A0-0F3010AF73AD</t>
  </si>
  <si>
    <t xml:space="preserve">  1.AA1.A.4.c.ii Other Liquid Fuels</t>
  </si>
  <si>
    <t>D4DB0A6D-0399-48BB-AF95-5E7AB05D1FB5</t>
  </si>
  <si>
    <t>0DBEE71D-3EF7-4E96-B6DF-F1266A01F076</t>
  </si>
  <si>
    <t>0444601D-59A0-46EB-A896-71E467F66320</t>
  </si>
  <si>
    <t>78EC85E6-05D3-45BD-88C6-4BE452CC63F3</t>
  </si>
  <si>
    <t xml:space="preserve">  1.AA1.A.4.c.ii Gaseous Fuels</t>
  </si>
  <si>
    <t>324246B7-AA9F-41D8-9B88-2FF32BCC12EA</t>
  </si>
  <si>
    <t>F8368174-BE2B-4D22-861C-153067F17B19</t>
  </si>
  <si>
    <t>75DF6A3A-582A-48D1-B990-660024602319</t>
  </si>
  <si>
    <t>C3812E59-2C5C-4913-89B0-40A8650173A3</t>
  </si>
  <si>
    <t xml:space="preserve">  1.AA1.A.4.c.ii Other Fossil Fuels</t>
  </si>
  <si>
    <t>B211CEE8-F722-457B-A251-D1C0D766D728</t>
  </si>
  <si>
    <t>50420019-A48E-42F9-8AB2-F82969117272</t>
  </si>
  <si>
    <t>A45F9C76-FBE1-4B87-93BB-023D4086203D</t>
  </si>
  <si>
    <t>AB73794F-82E6-4230-8198-3E20C303D5D3</t>
  </si>
  <si>
    <t>1.AA.1.A.4.c.iii Fishing</t>
  </si>
  <si>
    <t xml:space="preserve">  1.AA.1.A.4.c.iii Residual Fuel Oil</t>
  </si>
  <si>
    <t>F87B1B28-13BF-4B6D-9137-E024BBD50449</t>
  </si>
  <si>
    <t>Fuel consumed in and emissions from Agriculture/Forestry/Fisheries are included under Other Manufacturing Industries and Construction (1.A.2.g), which includes emissions from fishing vessels.</t>
  </si>
  <si>
    <t>58A72134-D6BD-44D9-BDF9-559089D1812A</t>
  </si>
  <si>
    <t>5CE62818-12EF-4BCE-A48B-0E71BD9358DB</t>
  </si>
  <si>
    <t>61BD79F6-7FB3-4DB9-B98E-81DBEDA212EA</t>
  </si>
  <si>
    <t xml:space="preserve">  1.AA.1.A.4.c.iii Gas/Diesel Oil</t>
  </si>
  <si>
    <t>23462B7E-EC01-4AEA-9C16-5C851CD67EF0</t>
  </si>
  <si>
    <t>AF1B8DF2-0FFA-42BB-BC50-30D49214E683</t>
  </si>
  <si>
    <t>FBD77185-E5DC-4483-8660-D37E2878D479</t>
  </si>
  <si>
    <t>919C487F-7A04-4385-8FD0-10B257BA6B3B</t>
  </si>
  <si>
    <t xml:space="preserve">  1.AA.1.A.4.c.iii Gasoline</t>
  </si>
  <si>
    <t>640171B9-4848-48CB-95A6-BF51DA6B8EF2</t>
  </si>
  <si>
    <t>85AE4E03-F43E-4842-8EFC-FBE70AB49080</t>
  </si>
  <si>
    <t>5595CE4A-DC42-46AD-8EE0-8804D0B61611</t>
  </si>
  <si>
    <t>F72CCB5F-0AC8-417A-81CC-36CBBB810F3D</t>
  </si>
  <si>
    <t xml:space="preserve">  1.AA.1.A.4.c.iii Other Liquid Fuels</t>
  </si>
  <si>
    <t>2048E04F-C353-42F7-BDF2-07B9DF0835BE</t>
  </si>
  <si>
    <t>C69B18BD-75DF-46F1-AD8D-9BFB9C150D56</t>
  </si>
  <si>
    <t>3C0F8B59-210D-40B5-AF6C-D1ACE6A2C17E</t>
  </si>
  <si>
    <t>Fuel consumed in and emissions from Agriculture/Forestry/Fisheries are included under Other Manufacturing Industries and Construction (1.A.2.g).</t>
  </si>
  <si>
    <t>F92E569B-27ED-4D74-B114-F7C66693C8AE</t>
  </si>
  <si>
    <t xml:space="preserve">  1.AA.1.A.4.c.iii Gaseous Fuels</t>
  </si>
  <si>
    <t>92913861-B63F-4E78-84C6-D72854363987</t>
  </si>
  <si>
    <t>517AC171-BA15-414A-BBC8-DE8B8BD1E51B</t>
  </si>
  <si>
    <t>FC88A4B0-E42A-4BCE-AC10-4CF8C5C5CBB5</t>
  </si>
  <si>
    <t>D3B2EBEB-1AE2-4DB3-82E2-4AFF5E43E6DE</t>
  </si>
  <si>
    <t xml:space="preserve">  1.AA.1.A.4.c.iii Other Fossil Fuels</t>
  </si>
  <si>
    <t>6D47AD1C-F7F9-48B4-B42E-486B71592CC5</t>
  </si>
  <si>
    <t>07C29F5A-5263-408B-B3E4-8540EC73344E</t>
  </si>
  <si>
    <t>88D4C43B-572C-4656-AC1B-D467337502E5</t>
  </si>
  <si>
    <t>5952C045-8B47-477E-B820-1E7609C9B244</t>
  </si>
  <si>
    <t>1.AA.1.A.5.a Other (Not specified elsewhere): Stationary</t>
  </si>
  <si>
    <t>1.AA.1.A.5.a U.S. Territories</t>
  </si>
  <si>
    <t xml:space="preserve">  1.AA.1.A.5.a Liquid Fuels</t>
  </si>
  <si>
    <t>6A58F875-0E1B-4564-9399-A2B909F00EF3</t>
  </si>
  <si>
    <t>E25A1B7E-F482-4705-9F5D-FB8FBAA09D11</t>
  </si>
  <si>
    <t>75CAF703-DFC0-4EAE-A43C-E80B22819DCF</t>
  </si>
  <si>
    <t>C953CAD4-4A3C-43EF-BC2F-A519E3C0F21E</t>
  </si>
  <si>
    <t>1A5A7841-34E8-4368-9863-8A95C4020051</t>
  </si>
  <si>
    <t>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t>
  </si>
  <si>
    <t xml:space="preserve">  1.AA.1.A.5.a Solid Fuels</t>
  </si>
  <si>
    <t>FC5721C0-C276-4814-AC37-03F799B268C6</t>
  </si>
  <si>
    <t>91CD61D6-BFF3-4DC2-8675-17E4E196D092</t>
  </si>
  <si>
    <t>5F00787E-2EF9-420E-9365-8533B35AC760</t>
  </si>
  <si>
    <t>D705D8BC-E9F1-422E-BA12-0DE1E846486A</t>
  </si>
  <si>
    <t>DCB53CF5-E291-4316-B264-727B30D4FE8B</t>
  </si>
  <si>
    <t xml:space="preserve">  1.AA.1.A.5.a Gaseous Fuels</t>
  </si>
  <si>
    <t>A4C6ADA0-BE99-47BD-A63E-EBCF36A983E0</t>
  </si>
  <si>
    <t>2DA2A385-F7DE-43DD-A497-77E9B3C7C9B5</t>
  </si>
  <si>
    <t>BD6B377B-F556-4D30-BE75-8108BFD68B55</t>
  </si>
  <si>
    <t>3AEACA48-8AEE-4EA4-9EB0-206A1702D356</t>
  </si>
  <si>
    <t>9A60D7B5-EFA3-406B-A9D2-298BAABE7300</t>
  </si>
  <si>
    <t xml:space="preserve">  1.AA.1.A.5.a Other Fossil Fuels</t>
  </si>
  <si>
    <t>13F5A267-465A-4B9B-A548-56B0EB3E3CEB</t>
  </si>
  <si>
    <t>536E8BDE-8A34-4468-906D-38F79CA11081</t>
  </si>
  <si>
    <t>E1C391A8-A45D-4F29-B868-2303CCEE841D</t>
  </si>
  <si>
    <t>417D7EFF-5185-40CA-802E-1D6081C85882</t>
  </si>
  <si>
    <t>75050E63-44F9-458E-8B14-0E7287474A19</t>
  </si>
  <si>
    <t xml:space="preserve">  1.AA.1.A.5.a Peat</t>
  </si>
  <si>
    <t>807A5DBB-3E71-4446-944D-5317CB21D94C</t>
  </si>
  <si>
    <t>10E65DB1-AA96-40FE-B5EA-425BF0A1D0AB</t>
  </si>
  <si>
    <t>546462B4-B6F7-4715-9D76-713613118CCF</t>
  </si>
  <si>
    <t>93C13327-C41A-4B0F-8C44-93B1858A8817</t>
  </si>
  <si>
    <t>DBD1AF33-18E9-40A6-869C-AFB33C6970B3</t>
  </si>
  <si>
    <t>1.AA.1.A.5.a Non Energy Use</t>
  </si>
  <si>
    <t>C99E4C4C-8470-4846-8176-D6EC53552202</t>
  </si>
  <si>
    <t>DD0AC363-4253-482A-815F-1649F697D303</t>
  </si>
  <si>
    <t>961CBBD6-456B-45BD-8F4D-EB7EB6FB0E81</t>
  </si>
  <si>
    <t>9EE9FC46-A208-438B-BDD2-750F3A04905F</t>
  </si>
  <si>
    <t>AC2AE43B-4C62-4A7B-92C8-A518F32AF4C2</t>
  </si>
  <si>
    <t>D689771D-9E09-45F4-BF25-3C3F9C852B0D</t>
  </si>
  <si>
    <t>ECF2147A-BB8E-463F-859E-6CAFA3A8AF10</t>
  </si>
  <si>
    <t>DBC89C38-F870-490E-90A1-9850BCF22A96</t>
  </si>
  <si>
    <t>6BE20413-0115-4A39-968A-20A52080FB33</t>
  </si>
  <si>
    <t>9536D759-3C89-4BB3-A0CA-0BD52346685A</t>
  </si>
  <si>
    <t>C16E4067-26BD-41F7-AF5E-70FCF187EE4D</t>
  </si>
  <si>
    <t>A1CC4EA8-3424-4FF4-A5B5-2FC7BF0EDE6E</t>
  </si>
  <si>
    <t>7B7825B1-A16E-4F2B-B65A-D04D1CEF3A0D</t>
  </si>
  <si>
    <t>41A721AF-D30D-4506-BB03-B2E4F825341E</t>
  </si>
  <si>
    <t>0E248AA7-2036-4EEE-BA3A-4ED1629F1918</t>
  </si>
  <si>
    <t>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t>
  </si>
  <si>
    <t>E3D83C06-DDA0-46C7-AC7A-7D0E6DC9068A</t>
  </si>
  <si>
    <t>B6FA696D-211F-4EF1-BCDC-7C36E8A1E4B5</t>
  </si>
  <si>
    <t>82570986-6C70-4DAC-AA23-DF95508B6FD1</t>
  </si>
  <si>
    <t>A94B066B-583A-4C41-B8CA-100427FE5B38</t>
  </si>
  <si>
    <t>F03CAFCA-8116-49F6-A035-B312DE8AA450</t>
  </si>
  <si>
    <t>BA9B2E0D-0B36-43CB-B8E6-0C82FB911E14</t>
  </si>
  <si>
    <t>9A4DC9B1-244A-4BA0-AF5F-A46D6FB3330A</t>
  </si>
  <si>
    <t>5E819255-B33E-4C1F-9006-25B78BD6E545</t>
  </si>
  <si>
    <t>982F4FEE-DAC1-4AED-A8F6-816159CE4CFB</t>
  </si>
  <si>
    <t>24BB89C4-B0DE-4D5D-84BF-20CEA255732A</t>
  </si>
  <si>
    <t>1.AA.1.A.5.a Incineration of Waste</t>
  </si>
  <si>
    <t>1823117D-86DE-4C87-9390-88D33B66559D</t>
  </si>
  <si>
    <t>0818E2B0-BF36-4B6C-A3B6-F1BC34BAEF21</t>
  </si>
  <si>
    <t>E60C05EE-691D-43FE-955B-6C611BF4F479</t>
  </si>
  <si>
    <t>8E932156-8C6A-4B81-B556-1309143BE3C8</t>
  </si>
  <si>
    <t>12B74816-92ED-4698-901A-4B04B4B738D3</t>
  </si>
  <si>
    <t>1272ED67-0793-4232-BED3-91CD1456767C</t>
  </si>
  <si>
    <t>A7E63236-79E3-4AF9-967A-F8B104186908</t>
  </si>
  <si>
    <t>5E3E7961-92EF-4470-942E-B88EC4666F4E</t>
  </si>
  <si>
    <t>F8BDEE94-2719-4B4E-A53E-DB8FB0EAEF64</t>
  </si>
  <si>
    <t>FF79441D-EB6C-4B46-9943-4689F6F4D07D</t>
  </si>
  <si>
    <t>588BE6E6-7C9A-40B0-9668-16BC96026AA6</t>
  </si>
  <si>
    <t>3939311F-03E5-416C-B3A9-65FCD3A07DDE</t>
  </si>
  <si>
    <t>29860357-21BA-4E11-9059-5563921CC3C0</t>
  </si>
  <si>
    <t>96B102BA-2AA2-4CCB-9AD4-EAC0157442C0</t>
  </si>
  <si>
    <t>45D1CC54-C324-4011-9C7C-5CBDC487C217</t>
  </si>
  <si>
    <t>E2BAE7F2-9F08-4485-A936-2FAC1CED81A6</t>
  </si>
  <si>
    <t>07914DBE-BBF4-4956-AB5A-F8859A4DEF60</t>
  </si>
  <si>
    <t>54C86305-D6CC-4B76-A1B0-B532626187BD</t>
  </si>
  <si>
    <t>1E546298-10A0-46A8-9792-A81FC35DAF03</t>
  </si>
  <si>
    <t>9361518D-B79A-441E-B949-463A62977C0F</t>
  </si>
  <si>
    <t xml:space="preserve">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t>
  </si>
  <si>
    <t>2B733146-882A-4134-AA05-E2E0E97E232F</t>
  </si>
  <si>
    <t>21F3F0A0-1135-48CA-846A-213DDBCDD29F</t>
  </si>
  <si>
    <t>502000CE-B8CA-4B06-9209-DBA39EAFC516</t>
  </si>
  <si>
    <t>81066D43-5B18-4359-86F7-D1C346E933B7</t>
  </si>
  <si>
    <t>369A1503-0A57-4AA5-8C8F-657A356E4E98</t>
  </si>
  <si>
    <t>1.AD  Feedstocks, reductants and other non-energy use of fuels</t>
  </si>
  <si>
    <t>1.AD  Solid Fuels</t>
  </si>
  <si>
    <t xml:space="preserve">  1.AD  Anthracite</t>
  </si>
  <si>
    <t>FB291DBD-CF2F-4F72-B95D-72DFA307CF17</t>
  </si>
  <si>
    <t>Emissions from feedstocks and non-energy use of fuels are reported in "1.A.5  Other".</t>
  </si>
  <si>
    <t>61E2DF96-CFA4-477E-BB19-744A3BD1BD18</t>
  </si>
  <si>
    <t>Excluded from reference approach</t>
  </si>
  <si>
    <t>Included in 1.AD Industrial Other Coal</t>
  </si>
  <si>
    <t>35FCF017-7099-4154-B3F6-EBD7FC2CF076</t>
  </si>
  <si>
    <t>Fuel quantity</t>
  </si>
  <si>
    <t>B80F736A-8736-4375-8508-129152E65200</t>
  </si>
  <si>
    <t>Reported under</t>
  </si>
  <si>
    <t>Non-energy Products - Other (please specify)</t>
  </si>
  <si>
    <t>68300F80-F1BF-4910-9E45-D5169931AE7D</t>
  </si>
  <si>
    <t xml:space="preserve">Emissions from feedstocks and non-energy use of fuels are included in 1.A.5 Other. Please see NIR (Box 3-6) for details. </t>
  </si>
  <si>
    <t xml:space="preserve">  1.AD  BKB and Patent Fuel</t>
  </si>
  <si>
    <t>24B6B2B7-2188-41A3-8407-66CAFE959EF9</t>
  </si>
  <si>
    <t>A54A23BA-FE57-4DEC-93E4-E9064FFE8373</t>
  </si>
  <si>
    <t>4B784AF7-27A3-4A7A-966E-2D61B6DEE374</t>
  </si>
  <si>
    <t>F0D80084-457C-45A5-92AA-D59A68C22583</t>
  </si>
  <si>
    <t>91F29D0B-CA1C-426C-98F4-284D0DFCF88D</t>
  </si>
  <si>
    <t xml:space="preserve">  1.AD  Coal Tar</t>
  </si>
  <si>
    <t>91EFC90E-6D5E-460D-987B-D4F0267A0C25</t>
  </si>
  <si>
    <t>0CBF7CCA-8B61-4C1E-A239-593DD90D9D22</t>
  </si>
  <si>
    <t>Included in 1.AD Coking Coal</t>
  </si>
  <si>
    <t>0A0D867A-F58F-4512-B056-0DB9B2128525</t>
  </si>
  <si>
    <t>1C22A40F-DC6C-4F49-AB8A-DC3476502922</t>
  </si>
  <si>
    <t>3904267A-60DF-4085-97EB-E53272ABF3AA</t>
  </si>
  <si>
    <t xml:space="preserve">  1.AD  Coke Oven/Gas Coke</t>
  </si>
  <si>
    <t>E2F1E1E3-3D90-4A33-9959-32F54DD832CA</t>
  </si>
  <si>
    <t>D4E9F712-96FC-49F9-AF15-879220F7DC87</t>
  </si>
  <si>
    <t>1A539617-4A64-4CB8-AB93-63F24DD1E6A2</t>
  </si>
  <si>
    <t>98C78324-31E4-4733-9304-5F00D516F496</t>
  </si>
  <si>
    <t>6E02A167-B5DC-4506-B806-6C25D11F7A21</t>
  </si>
  <si>
    <t xml:space="preserve">  1.AD  Coking Coal</t>
  </si>
  <si>
    <t>EA64C4A2-6208-40FD-B3B8-BC316F8DC6E8</t>
  </si>
  <si>
    <t>DA4DAEAF-9364-410D-BD47-C0B568D89BF6</t>
  </si>
  <si>
    <t>EA69C7C3-CCBD-4D0A-9C15-16A4E13D13DF</t>
  </si>
  <si>
    <t>C586CD9E-2806-483A-9AF0-6077317D3630</t>
  </si>
  <si>
    <t>83608E0D-0D1E-4837-924E-44B845327B03</t>
  </si>
  <si>
    <t xml:space="preserve">  1.AD  Lignite</t>
  </si>
  <si>
    <t>FE0D0091-08EA-417B-8449-EEE4A4629CE2</t>
  </si>
  <si>
    <t>8CE510D9-2AB1-48FA-B0F6-201CD9E908BE</t>
  </si>
  <si>
    <t>368D33A1-D67E-4A17-AF1B-C617A144BC25</t>
  </si>
  <si>
    <t>F1FA1753-C3C9-482F-A2C6-87055B7FE918</t>
  </si>
  <si>
    <t>7D1C87CE-5074-48B6-AEA5-F060C14572A2</t>
  </si>
  <si>
    <t xml:space="preserve">  1.AD  Oil Shale and Tar Sand</t>
  </si>
  <si>
    <t>34BE7770-CB98-4C32-8A14-109CD8987583</t>
  </si>
  <si>
    <t>28EEDBE3-3A0C-4A20-A06B-73D3CCE0C2AD</t>
  </si>
  <si>
    <t>5817FC54-7AF6-4F0F-88CB-FBF7DACEF7E1</t>
  </si>
  <si>
    <t>811A92A6-7340-4F6E-9241-BA36F82E4DDD</t>
  </si>
  <si>
    <t>32CC92F4-8CFC-4C9D-A664-C4D36D99ACFC</t>
  </si>
  <si>
    <t xml:space="preserve">  1.AD  Other Bituminous Coal</t>
  </si>
  <si>
    <t>F35F18F4-2C30-4CD7-B4DC-D5645271898E</t>
  </si>
  <si>
    <t>300D9593-9521-49FF-A62D-80251444332A</t>
  </si>
  <si>
    <t>11FB93D5-5BD7-4BCF-9876-7D5F000FFC3F</t>
  </si>
  <si>
    <t>C3B6CEF2-E147-40CC-93FE-DA99B71381D0</t>
  </si>
  <si>
    <t>3E510FB4-A755-49D1-A3E2-E574C2EC2DCF</t>
  </si>
  <si>
    <t xml:space="preserve">  1.AD  Sub-bituminous Coal</t>
  </si>
  <si>
    <t>F4E8BFC3-3671-4967-B98B-65B1A80DB6A7</t>
  </si>
  <si>
    <t>C5A676C0-D5DD-4752-B7F3-4D7ABD4FB2B1</t>
  </si>
  <si>
    <t>D8E6EDC6-38CF-4AA9-82A4-ADED27EEAF62</t>
  </si>
  <si>
    <t>9D8D985E-14D6-4F2A-AE9D-195616C8A010</t>
  </si>
  <si>
    <t>8969DB47-C707-41AA-95F4-8394D24EF0D2</t>
  </si>
  <si>
    <t xml:space="preserve">  1.AD  Other Solid Fossil: Industrial Other Coal</t>
  </si>
  <si>
    <t>C82F2897-25EB-49B4-8F3E-DB915453BD6D</t>
  </si>
  <si>
    <t>116AF1A9-4AE4-4DCC-A04B-CF7F5DD65797</t>
  </si>
  <si>
    <t>752A9BFC-33BF-4FC4-A4A4-2BED2EEFDC86</t>
  </si>
  <si>
    <t>AE80A567-24F2-4198-A225-D8796A088369</t>
  </si>
  <si>
    <t>CC5C5750-3287-4AA3-AA93-FD8ACC3E4892</t>
  </si>
  <si>
    <t>1.AD  Liquid Fuels</t>
  </si>
  <si>
    <t xml:space="preserve">  1.AD  Bitumen</t>
  </si>
  <si>
    <t>2B11495B-4BAD-4982-A209-FE03957C2056</t>
  </si>
  <si>
    <t>C52179D7-1D75-4768-903E-EBB1D7902E44</t>
  </si>
  <si>
    <t>Included in 1.AD Asphalt and Road Oil</t>
  </si>
  <si>
    <t>D2E68D89-D75B-4211-90DF-25A1D39D0B8D</t>
  </si>
  <si>
    <t>668C2AA6-D501-459A-87A3-0193F6D8E8D2</t>
  </si>
  <si>
    <t>39FFAF40-08DD-4E5D-A668-E6D1BE1BDD4F</t>
  </si>
  <si>
    <t xml:space="preserve">  1.AD  Crude Oil</t>
  </si>
  <si>
    <t>6DFF23AD-6B93-4E81-A9C6-387A025ADD16</t>
  </si>
  <si>
    <t>A3BB2C27-2E72-41AA-883D-B7E8D9C5FDD2</t>
  </si>
  <si>
    <t>BD70628B-C0F6-422C-B7D8-D73EB0DD10EA</t>
  </si>
  <si>
    <t>21784396-DECC-4EB2-AF0B-2D3AFA5D4518</t>
  </si>
  <si>
    <t>A137CA7E-472D-4D6A-8B8D-298EAAE9E055</t>
  </si>
  <si>
    <t xml:space="preserve">  1.AD  Ethane</t>
  </si>
  <si>
    <t>8E172AE4-8061-4104-BF7A-5C978400CD1E</t>
  </si>
  <si>
    <t>370CF6EB-88AA-4F77-AAB7-5B1E8F449BD0</t>
  </si>
  <si>
    <t>Included in 1.AD Still Gas for Petrochemical Feed</t>
  </si>
  <si>
    <t>5D9A5FDF-5C06-4793-B800-AD1427F456D5</t>
  </si>
  <si>
    <t>E7828455-D237-433D-B786-5AC123CEE7E5</t>
  </si>
  <si>
    <t>E9E1C3D1-81A7-4D1F-A8F7-06CE149BF736</t>
  </si>
  <si>
    <t xml:space="preserve">  1.AD  Gas / Diesel Oil</t>
  </si>
  <si>
    <t>0D1BF0B9-7EC4-4C55-A604-E4AA34F9B5A4</t>
  </si>
  <si>
    <t>3F352E06-9403-4E76-BAC5-05875DA6F5C0</t>
  </si>
  <si>
    <t>897CEF81-4D66-483A-9A88-E818EFEE7A32</t>
  </si>
  <si>
    <t>0DF90FE2-5D9C-48E5-ADFB-F58D60744905</t>
  </si>
  <si>
    <t>27CCB5DA-5DC6-4440-A14D-5199C94B0026</t>
  </si>
  <si>
    <t xml:space="preserve">  1.AD  Gasoline</t>
  </si>
  <si>
    <t>3EFA514D-3F1E-4B06-8EE4-889AE75AA1FC</t>
  </si>
  <si>
    <t>3B11C7E4-1151-4700-8B8D-1963D0928769</t>
  </si>
  <si>
    <t>Included in 1.AD Gas / Diesel Oil</t>
  </si>
  <si>
    <t>120F6F9F-D8A3-47F7-8541-3C0E171D0A23</t>
  </si>
  <si>
    <t>791A6ECA-9D05-47B7-9798-D4728DFCF115</t>
  </si>
  <si>
    <t>3308694E-C3EF-4A5B-BF07-9A52D8F292FF</t>
  </si>
  <si>
    <t xml:space="preserve">  1.AD  Jet Kerosene</t>
  </si>
  <si>
    <t>F8C90A60-1B88-47FC-B933-870CE8D5479B</t>
  </si>
  <si>
    <t>5E8BADE1-2A35-402A-A606-BE6522EAFF69</t>
  </si>
  <si>
    <t>FAF0CC6E-B7DC-4A56-91FF-CE09E56D9EDB</t>
  </si>
  <si>
    <t>B1C5AA01-F3F9-4AE5-B522-0D2E859BE0A2</t>
  </si>
  <si>
    <t>025A308F-9F3B-49A1-9880-E309B83ADB6D</t>
  </si>
  <si>
    <t xml:space="preserve">  1.AD  Liquefied Petroleum Gases (LPG)</t>
  </si>
  <si>
    <t>E80404B8-0842-4CD2-9A46-3A56D229671B</t>
  </si>
  <si>
    <t>26C6C757-0650-4729-9AEA-46A0A7C3756A</t>
  </si>
  <si>
    <t>C7025BF4-7334-4BB4-93B0-50882962569A</t>
  </si>
  <si>
    <t>6845CF71-640E-4E12-91AC-104E7EF7A7B5</t>
  </si>
  <si>
    <t>139B37A7-BAAB-41A9-924F-8078B2FE7247</t>
  </si>
  <si>
    <t xml:space="preserve">  1.AD  Lubricants</t>
  </si>
  <si>
    <t>3C67D675-8752-41BF-94A0-9F8DD850F583</t>
  </si>
  <si>
    <t>38C4B82E-A7F1-4EE6-9AA6-4B0A920711FA</t>
  </si>
  <si>
    <t>BC7E16C2-0124-4183-9E2C-6984D48FEEB3</t>
  </si>
  <si>
    <t>BC640F6D-F84A-4EA5-8A60-118145B35A6D</t>
  </si>
  <si>
    <t>7B65C8F4-8B8F-4D73-8D05-7E30CEC59D09</t>
  </si>
  <si>
    <t xml:space="preserve">  1.AD  Naphtha</t>
  </si>
  <si>
    <t>8B5C96D7-D71A-4A6E-B21B-85B7C9D84D8A</t>
  </si>
  <si>
    <t>A9FD89F1-F79E-46BC-BE7E-21FB171A4A56</t>
  </si>
  <si>
    <t>EA28014D-C534-435D-B896-1F8572D177A0</t>
  </si>
  <si>
    <t>A031166B-C637-45D6-9419-8EC4A87BFC80</t>
  </si>
  <si>
    <t>92F4808E-2B27-4016-81C2-A9E50E1A6F44</t>
  </si>
  <si>
    <t xml:space="preserve">  1.AD  Natural Gas Liquids</t>
  </si>
  <si>
    <t>21DD53BF-C647-4CE9-9E23-285F8415BAA9</t>
  </si>
  <si>
    <t>4B2B852F-4965-4B38-A014-6307E2ACFDE7</t>
  </si>
  <si>
    <t>925CA7E6-CC12-4DAF-82CE-B06522819E53</t>
  </si>
  <si>
    <t>295AF81C-5004-4CAC-AC4E-6BC1E9F19A4E</t>
  </si>
  <si>
    <t>3FA34D7C-51DF-4308-B470-FAE43292CFB1</t>
  </si>
  <si>
    <t xml:space="preserve">  1.AD  Orimulsion</t>
  </si>
  <si>
    <t>542CE6E1-99CE-4123-8EBD-1481A148C0D7</t>
  </si>
  <si>
    <t>880ADC8E-EFF3-4E02-8795-A9766F13F6D9</t>
  </si>
  <si>
    <t>A79555C8-605A-4B06-802A-D61B2BD1DF3F</t>
  </si>
  <si>
    <t>FD672BC7-1EF5-4CC7-8F41-E9B2C2D80142</t>
  </si>
  <si>
    <t>661A6CA2-4098-4BA9-B6B1-AAD29570743D</t>
  </si>
  <si>
    <t xml:space="preserve">  1.AD  Other Kerosene</t>
  </si>
  <si>
    <t>E9AB3AB7-DA17-4549-92A1-760CED7B40BD</t>
  </si>
  <si>
    <t>C2BCED7D-F4C4-435E-A742-6ADB22C00E9B</t>
  </si>
  <si>
    <t>AF0AB1B2-1D16-47CB-BDA8-F6AD8C82FA20</t>
  </si>
  <si>
    <t>30881C95-19FA-499D-B862-377BA353C83F</t>
  </si>
  <si>
    <t>744BBFC7-2C2F-4344-8369-DA2B5CE2BD9A</t>
  </si>
  <si>
    <t xml:space="preserve">  1.AD  Other Oil</t>
  </si>
  <si>
    <t>6A69C3F8-407B-4205-BD8C-6B950C9E7BBB</t>
  </si>
  <si>
    <t>1CB56055-B94D-4582-9FCD-5CD4AC6FF253</t>
  </si>
  <si>
    <t>Included in 1.AD Other Liquid Fossil\Other Oil for Petrochemical Feed</t>
  </si>
  <si>
    <t>D739197A-1DE6-45DD-88C0-4D33621D86D9</t>
  </si>
  <si>
    <t>0BA8F905-EFBC-4A4D-A36F-783F08FCEDE1</t>
  </si>
  <si>
    <t>FF2487B5-885E-4542-B94C-3B24BC053F5E</t>
  </si>
  <si>
    <t xml:space="preserve">  1.AD  Petroleum Coke</t>
  </si>
  <si>
    <t>D0479B38-D231-4428-8D26-EFFBD9DE9AEF</t>
  </si>
  <si>
    <t>06DDA8A3-AB80-47E2-BECA-C5F040A611BE</t>
  </si>
  <si>
    <t>EEF52EF7-42D9-4A58-99A0-F45F96183DF2</t>
  </si>
  <si>
    <t>B7F03192-D629-4679-B0F9-B7145F808A4D</t>
  </si>
  <si>
    <t>99B86C90-3C24-4C8A-A4B4-B430F30B4F36</t>
  </si>
  <si>
    <t xml:space="preserve">  1.AD  Refinery Feedstocks</t>
  </si>
  <si>
    <t>D81E7183-9AB2-4FBA-BDC2-6C50C5ACB4D7</t>
  </si>
  <si>
    <t>C79DFB0E-7D5B-4AEE-8193-C381D777178E</t>
  </si>
  <si>
    <t>89C1AE5E-BB8B-48D8-B42A-A8FF5DE45ED9</t>
  </si>
  <si>
    <t>B8CE45E4-F618-48B8-A47B-F8534D4E71BC</t>
  </si>
  <si>
    <t>9C704B78-8160-4A0E-8497-87978C5188A8</t>
  </si>
  <si>
    <t xml:space="preserve">  1.AD  Residual Fuel Oil</t>
  </si>
  <si>
    <t>5B69C1D8-C97D-4851-AE44-682F1C721068</t>
  </si>
  <si>
    <t>3A28047E-088D-492C-B65F-6A1D5C7B12CF</t>
  </si>
  <si>
    <t>Included in 1.AD Other Liquid Fossil\Gas / Diesel Oil</t>
  </si>
  <si>
    <t>2F75490A-D1D0-4F95-A378-36F879D72812</t>
  </si>
  <si>
    <t>17E32130-B4A0-4B68-B7F1-5BD116060BC7</t>
  </si>
  <si>
    <t>120B40A8-920E-47D7-9E03-D503254C6A71</t>
  </si>
  <si>
    <t xml:space="preserve">  1.AD  Shale Oil</t>
  </si>
  <si>
    <t>CC3D6704-6EDE-4249-BC53-F832B5F6ED35</t>
  </si>
  <si>
    <t>5C480224-C9D6-4895-9F0B-1FC33BE6D52B</t>
  </si>
  <si>
    <t>FEA9C606-C3BE-482D-9C8D-AE7544893C59</t>
  </si>
  <si>
    <t>CB0ABC06-5486-4DF2-A9E3-68521DD58721</t>
  </si>
  <si>
    <t>0A1FA19D-D7C8-4EFC-8291-59765DC1C325</t>
  </si>
  <si>
    <t xml:space="preserve">  1.AD  Other Liquid Fossil: Miscellaneous Industrial Products</t>
  </si>
  <si>
    <t>2FD1CA15-EB60-4426-A821-B86BF59FAF9B</t>
  </si>
  <si>
    <t>414615A8-01F5-4731-A76C-408ED253D287</t>
  </si>
  <si>
    <t>F3F9CF77-26B5-43CA-814C-AD0E9299A5A6</t>
  </si>
  <si>
    <t>512C1A3F-7D34-4713-A6F8-7A64D9E67870</t>
  </si>
  <si>
    <t>F7EC7A1B-91F3-4766-80E9-C52D9B412DE0</t>
  </si>
  <si>
    <t xml:space="preserve">  1.AD  Other Liquid Fossil: Miscellaneous Petroleum</t>
  </si>
  <si>
    <t>2EA65295-0DAB-4225-B0A5-E12F0FCCEEF8</t>
  </si>
  <si>
    <t>6A848DB7-A2E2-4D80-AF74-C844D692C4F4</t>
  </si>
  <si>
    <t>9137FAAE-B600-436C-B7AA-878175EB71E4</t>
  </si>
  <si>
    <t>31092736-8A8E-4F71-A618-7F54DAAE8B53</t>
  </si>
  <si>
    <t>741FC377-9BB7-47CF-9ED5-B1BD478A04ED</t>
  </si>
  <si>
    <t xml:space="preserve">  1.AD  Other Liquid Fossil: Other Oil for Petrochemical Feed</t>
  </si>
  <si>
    <t>BA9A19AE-7758-4731-A32B-311111879CD0</t>
  </si>
  <si>
    <t>1873407E-42AE-4BE3-8ED2-ECD76D1D3809</t>
  </si>
  <si>
    <t>6651D31F-C31A-4083-A2CD-7D4804CACA2A</t>
  </si>
  <si>
    <t>118DD0C2-2C12-441D-B050-51E5B440EA40</t>
  </si>
  <si>
    <t>3F7ECD64-80CD-4FB8-B540-A29808555F74</t>
  </si>
  <si>
    <t xml:space="preserve">  1.AD  Other Liquid Fossil: Parrafin Waxes</t>
  </si>
  <si>
    <t>26D83F62-DFE7-4047-BB52-A2119E959725</t>
  </si>
  <si>
    <t>6E1291AD-C668-4CEA-8A71-C15F989AED08</t>
  </si>
  <si>
    <t>A51ACAA2-44EA-4E58-B07B-99CC75237B0E</t>
  </si>
  <si>
    <t>42CE0D8C-00E6-4971-A6C4-37F4748E4D86</t>
  </si>
  <si>
    <t>5B9C5312-FA06-4290-AD10-8FB9C936364E</t>
  </si>
  <si>
    <t xml:space="preserve">  1.AD  Other Liquid Fossil: Pentanes Plus</t>
  </si>
  <si>
    <t>3AAD7B0A-7B2B-470A-8A61-4AC3E6A84276</t>
  </si>
  <si>
    <t>6220F03A-1B65-4408-9B1A-C3D89C0E4659</t>
  </si>
  <si>
    <t>FC0788C9-56C7-48B1-BDD9-AF06FBDDB906</t>
  </si>
  <si>
    <t>D555FF2C-B091-4B19-AD7C-1220BEAA15BA</t>
  </si>
  <si>
    <t>21AF75D3-A307-4DEB-B1F9-E0731AFB52B4</t>
  </si>
  <si>
    <t xml:space="preserve">  1.AD  Other Liquid Fossil: Special Naphtha</t>
  </si>
  <si>
    <t>0D70E339-D489-40E1-A197-314109819CBD</t>
  </si>
  <si>
    <t>AE2A9550-FBB1-4476-A113-57C75A59A4C8</t>
  </si>
  <si>
    <t>A1925064-B87D-45FE-878E-AC36C1DE88E5</t>
  </si>
  <si>
    <t>54CA3786-5671-4833-A950-24C71BE97FD8</t>
  </si>
  <si>
    <t>4F27FDFA-9F28-4357-BDF3-9D352CC967FC</t>
  </si>
  <si>
    <t xml:space="preserve">  1.AD  Other Liquid Fossil: Asphalt and Road Oil</t>
  </si>
  <si>
    <t>790F400A-D824-4127-8D5C-EB2622FC73A0</t>
  </si>
  <si>
    <t>B88A877A-400E-4405-95DE-8004FDD9C8A9</t>
  </si>
  <si>
    <t>B73B0025-0C62-481E-951D-868CB1D9CA26</t>
  </si>
  <si>
    <t>2BAEEB84-7CE3-48D6-8F0F-1FBF9F49E04A</t>
  </si>
  <si>
    <t>8653D8DB-9A3A-40C2-B615-0510A5AED8CA</t>
  </si>
  <si>
    <t>1.AD  Gaseous Fuels</t>
  </si>
  <si>
    <t xml:space="preserve">  1.AD  Natural Gas (Dry)</t>
  </si>
  <si>
    <t>8133CCE6-6699-46FF-A66B-6A7E3443B375</t>
  </si>
  <si>
    <t>30024E8F-69BE-45C4-9C06-2071FD334AB4</t>
  </si>
  <si>
    <t>219E854E-8D87-4D76-9C41-E3117267F9E7</t>
  </si>
  <si>
    <t>AC98589B-F3A8-4F1E-853E-7ABB6B4735B6</t>
  </si>
  <si>
    <t>E015B6B9-D3F9-4DB9-A20A-A4D3EB09D1AA</t>
  </si>
  <si>
    <t xml:space="preserve">  1.AD  Other Liquid Fossil: Still Gas for Petrochemical Feed</t>
  </si>
  <si>
    <t>90592E9D-B25C-4120-8E15-D7DDD3E333AE</t>
  </si>
  <si>
    <t>3643D5AF-C8FA-4D19-9BD1-08AA9333A85E</t>
  </si>
  <si>
    <t>59450756-360A-4B68-ABFB-87B88198FBD7</t>
  </si>
  <si>
    <t>62B4BE0D-83AC-4851-A4F1-89CC1EAACCA2</t>
  </si>
  <si>
    <t>477218A0-2DB8-495A-9A0B-A0C145BCB9D3</t>
  </si>
  <si>
    <t>1.AD  Waste (non-biomass fraction)</t>
  </si>
  <si>
    <t>20F2263B-AFE6-4EAA-B406-6D35DF8FEDE7</t>
  </si>
  <si>
    <t>DB4B2479-AC20-4C14-BD19-1A992F389769</t>
  </si>
  <si>
    <t>1F6DF166-87D2-431F-92D3-BAB33E5C2947</t>
  </si>
  <si>
    <t>189A1291-CCA2-4F70-8FC5-B0B6CBBE4B66</t>
  </si>
  <si>
    <t>EA493B37-DE98-4C9F-969B-A9C35CF5CC10</t>
  </si>
  <si>
    <t>Checker - DO NOT EDIT</t>
  </si>
  <si>
    <r>
      <t xml:space="preserve">Step ② - </t>
    </r>
    <r>
      <rPr>
        <sz val="14"/>
        <rFont val="Arial"/>
        <family val="2"/>
      </rPr>
      <t>Confirm Methods and Emission Factors [See Quick Reference Table 2]</t>
    </r>
  </si>
  <si>
    <t>Source Category</t>
  </si>
  <si>
    <t>0A3649CB-7FD2-46C8-A9C6-7AD0F26D6C85</t>
  </si>
  <si>
    <t>Electricity Generation\Liquid Fuels</t>
  </si>
  <si>
    <t>Method</t>
  </si>
  <si>
    <t>T2</t>
  </si>
  <si>
    <t>T3</t>
  </si>
  <si>
    <t>3454F6BA-2DBD-4C99-B793-06D3AED476A4</t>
  </si>
  <si>
    <t>Emission factor information</t>
  </si>
  <si>
    <t>CS</t>
  </si>
  <si>
    <t>5F2DFB0F-41A8-4356-9D0A-3D83EFDCAFE4</t>
  </si>
  <si>
    <t>Electricity Generation\Solid Fuels</t>
  </si>
  <si>
    <t>9BD8575F-F5CD-4449-B38B-C7B7BDB2131D</t>
  </si>
  <si>
    <t>FE4503E6-BA90-415C-A665-2D0D92AD37EC</t>
  </si>
  <si>
    <t>Electricity Generation\Gaseous Fuels</t>
  </si>
  <si>
    <t>54A83AAC-07B0-4324-A5C1-4961C152D700</t>
  </si>
  <si>
    <t>E78D2268-0DF8-46AE-92BA-2546743EFD3E</t>
  </si>
  <si>
    <t>Electricity Generation\Other Fuels</t>
  </si>
  <si>
    <t>49769196-CCB0-4CF0-B61C-9AE4EAEAE0EB</t>
  </si>
  <si>
    <t>A1D7344B-4D31-42F8-A32E-BFE3DEBFD655</t>
  </si>
  <si>
    <t>Electricity Generation\Peat</t>
  </si>
  <si>
    <t>51EF67DA-8E18-4BF2-9AF5-C6D95D9B80C5</t>
  </si>
  <si>
    <t>1.AA.1.A.1.a.ii  Energy Industries: CHP</t>
  </si>
  <si>
    <t>F6CD4080-5EB1-4023-B550-59BD4F5453D6</t>
  </si>
  <si>
    <t>5DDAB1A6-ED3B-4AB0-847D-C37B95C32597</t>
  </si>
  <si>
    <t>7680F461-905A-4B7C-BE69-EB1997171461</t>
  </si>
  <si>
    <t>6D651927-9FB1-40C1-A7F3-3D0C44C0881E</t>
  </si>
  <si>
    <t>AE89D70B-2F8C-4FCE-A0EE-FF9569916C32</t>
  </si>
  <si>
    <t>86252B4B-C1F6-4CA1-BC34-751EEAFFE5F2</t>
  </si>
  <si>
    <t>202CFA0C-43D3-4C77-9DA6-BCB20F9E2D3A</t>
  </si>
  <si>
    <t>2CCBBC29-B713-4D63-9EDF-89DAF06FB88A</t>
  </si>
  <si>
    <t>47D65637-31E7-43F8-819E-2846F1F42EA7</t>
  </si>
  <si>
    <t>B01D93C0-7BCD-4250-AE77-62316F754F52</t>
  </si>
  <si>
    <t>1.AA.1.A.1.a.iii  Energy Industries: Heat Plants</t>
  </si>
  <si>
    <t>088E4E2B-1488-478A-B8A5-EAA0EA80FE75</t>
  </si>
  <si>
    <t>1DB4A37E-921D-45B9-8D09-2368A6BEDC0A</t>
  </si>
  <si>
    <t>2CC9BAF1-1A7C-4A10-8CDA-7C2A0D573FD2</t>
  </si>
  <si>
    <t>4A55D40E-EED0-4114-BE79-BA17EEBA5E9B</t>
  </si>
  <si>
    <t>E19D5186-603A-4D54-8B0B-763B0ECA80C5</t>
  </si>
  <si>
    <t>2276D239-CF5E-489B-8012-A882D85FFDF8</t>
  </si>
  <si>
    <t>CF4A9197-6B63-46E2-BE97-0EF4E8E290EE</t>
  </si>
  <si>
    <t>16E944FB-814C-4087-8DB1-9A711EAC9FC8</t>
  </si>
  <si>
    <t>787A1DB3-672A-422D-BC2A-CC8B12B167D5</t>
  </si>
  <si>
    <t>5DE81908-064E-42E8-B2E7-F4EE1B75BEF0</t>
  </si>
  <si>
    <t>C8598509-E4DB-4B0D-BBE8-2F9FFED5DFA8</t>
  </si>
  <si>
    <t>Petroleum Refining\Liquid Fuels</t>
  </si>
  <si>
    <t>FD8BA6B8-C9BB-4E28-8F38-449DBEAAD32A</t>
  </si>
  <si>
    <t>12AA11C5-4D2B-49BB-819C-999034DE638F</t>
  </si>
  <si>
    <t>Petroleum Refining\Solid Fuels</t>
  </si>
  <si>
    <t>A3E2F422-A433-4DE2-AAE7-003E090C3079</t>
  </si>
  <si>
    <t>0A991647-A1B3-4FD7-86B5-C0CD74A5D4A3</t>
  </si>
  <si>
    <t>Petroleum Refining\Gaseous Fuels</t>
  </si>
  <si>
    <t>94B2BFC5-4E00-4D79-A623-DB5B78608C2D</t>
  </si>
  <si>
    <t>275EAE3E-7DBE-4A77-B358-BF65EDF30487</t>
  </si>
  <si>
    <t>Petroleum Refining\Other Fossil Fuels</t>
  </si>
  <si>
    <t>C6B2C3DD-084D-40D9-883A-A07AB67065B5</t>
  </si>
  <si>
    <t>A4C5CFE0-285A-401C-9289-9D0F278AAFB0</t>
  </si>
  <si>
    <t>Petroleum Refining\Peat</t>
  </si>
  <si>
    <t>13EC6474-AB2E-44C1-B392-5C541E8C3940</t>
  </si>
  <si>
    <t>1.AA.1.A.1.c.i Manufacture of Solid Fuels</t>
  </si>
  <si>
    <t xml:space="preserve">  1.AA.1.A.1.c.i  Manufacture of solid fuels: Solid Fuels</t>
  </si>
  <si>
    <t>EB374F26-CCA0-4CDB-AC1B-1E7F6F8407F6</t>
  </si>
  <si>
    <t>Manufacture of solid fuels\Solid Fuels</t>
  </si>
  <si>
    <t>A24EBB93-C8F4-4EA1-BDB3-FBFF451B86ED</t>
  </si>
  <si>
    <t xml:space="preserve">  1.AA.1.A.1.c.i  Manufacture of solid fuels: Liquid Fuels</t>
  </si>
  <si>
    <t>84552F03-C4EB-4902-8895-C5AA5ED0CB45</t>
  </si>
  <si>
    <t>Manufacture of solid fuels\Liquid Fuels</t>
  </si>
  <si>
    <t>B6939FCF-B0F9-4017-94A1-D06B7EA09012</t>
  </si>
  <si>
    <t xml:space="preserve">  1.AA.1.A.1.c.i  Manufacture of solid fuels: Gaseous Fuels</t>
  </si>
  <si>
    <t>69C58946-0576-4F90-A363-FD7E276CB236</t>
  </si>
  <si>
    <t>Manufacture of solid fuels\Gaseous Fuels</t>
  </si>
  <si>
    <t>30CBC3B7-B61D-4D84-A4E0-1A005AC617BA</t>
  </si>
  <si>
    <t xml:space="preserve">  1.AA.1.A.1.c.i  Manufacture of solid fuels: Other Fossil Fuels</t>
  </si>
  <si>
    <t>BDADEFEA-97FA-4E0F-AC52-4860E86180DC</t>
  </si>
  <si>
    <t>Manufacture of solid fuels\Other Fossil Fuels</t>
  </si>
  <si>
    <t>20F35306-0294-4D58-AEBE-DEA0352F7EAE</t>
  </si>
  <si>
    <t xml:space="preserve">  1.AA.1.A.1.c.i  Manufacture of solid fuels: Peat</t>
  </si>
  <si>
    <t>1B9169E4-5C89-422F-B698-BB63AFC4AD5C</t>
  </si>
  <si>
    <t>Manufacture of solid fuels\Peat</t>
  </si>
  <si>
    <t>B7C849F6-6A33-4084-8C88-5672B239E77C</t>
  </si>
  <si>
    <t>1.AA.1.A.1.c.ii Oil and Gas Extraction</t>
  </si>
  <si>
    <t>1.AA.1.A.1.c.ii Oil and gas extraction: Liquid Fuels</t>
  </si>
  <si>
    <t>0F28FF39-1D59-4C06-A002-A142C2A1D93C</t>
  </si>
  <si>
    <t>Oil and gas extraction</t>
  </si>
  <si>
    <t>567DBE29-B884-427E-89F8-9C5483F7F11C</t>
  </si>
  <si>
    <t>1.AA.1.A.1.c.ii Oil and gas extraction: Solid Fuels</t>
  </si>
  <si>
    <t>803BADF8-EC23-44E7-A781-8E2E45D05790</t>
  </si>
  <si>
    <t>E72E3430-1429-4148-A0FE-C216F89CF43E</t>
  </si>
  <si>
    <t>1.AA.1.A.1.c.ii Oil and gas extraction: Gaseous Fuels</t>
  </si>
  <si>
    <t>2686BA7A-A69F-48FA-BEA5-6816722F7373</t>
  </si>
  <si>
    <t>38878925-19DD-42B9-928B-9A6E84CC32DA</t>
  </si>
  <si>
    <t>1.AA.1.A.1.c.ii Oil and gas extraction: Other Fossil Fuels</t>
  </si>
  <si>
    <t>F7B3721E-630D-4D5D-B249-1661D6F8BE6D</t>
  </si>
  <si>
    <t>78C4788D-6882-4458-A71E-3FC2A23F7957</t>
  </si>
  <si>
    <t>1.AA.1.A.1.c.ii Oil and gas extraction: Peat</t>
  </si>
  <si>
    <t>B78E4A80-1EE8-4153-977B-F0A86D82EAA6</t>
  </si>
  <si>
    <t>5EC13C27-7155-4828-99CC-4F4C74790FAC</t>
  </si>
  <si>
    <t>1.AA.1.A.1.c.ii Other energy industries: Liquid Fuels</t>
  </si>
  <si>
    <t>C94D6365-CCD2-4FC1-BCDC-F013BE1A8849</t>
  </si>
  <si>
    <t>EA8647EB-A9EF-4669-80CC-6743C5193F91</t>
  </si>
  <si>
    <t>1.AA.1.A.1.c.ii Other energy industries: Solid Fuels</t>
  </si>
  <si>
    <t>542DFE96-0E04-4B66-9C33-19A5053736EC</t>
  </si>
  <si>
    <t>CF63EFE7-91C3-4FE3-BA0A-45FDDF4E163E</t>
  </si>
  <si>
    <t>1.AA.1.A.1.c.ii Other energy industries: Gaseous Fuels</t>
  </si>
  <si>
    <t>FCDF32B1-197C-4EBD-AF20-AF28A3F544B8</t>
  </si>
  <si>
    <t>2E88DC0B-70E2-41A9-B8BB-3289634A3D79</t>
  </si>
  <si>
    <t>1.AA.1.A.1.c.ii Other energy industries: Other Fossil Fuels</t>
  </si>
  <si>
    <t>C75C5FB3-5073-409B-9B7D-466DA432765B</t>
  </si>
  <si>
    <t>9E686CB9-3A2E-4641-84AC-020D97D3ADE5</t>
  </si>
  <si>
    <t>1.AA.1.A.1.c.ii Other energy industries: Peat</t>
  </si>
  <si>
    <t>228B099B-477C-4046-A692-B935417ABD4F</t>
  </si>
  <si>
    <t>D7EAE864-AECA-46BF-B2B8-0472051C19C7</t>
  </si>
  <si>
    <t>8039B8D0-FBF0-4DFA-A76A-D81AC6FF5769</t>
  </si>
  <si>
    <t>Iron and Steel\Liquid Fuels</t>
  </si>
  <si>
    <t>50F5A620-1DEA-4B1B-BA56-6F16452A052F</t>
  </si>
  <si>
    <t>329B3FDD-5896-464A-8DC0-1725CAB11472</t>
  </si>
  <si>
    <t>Iron and Steel\Solid Fuels</t>
  </si>
  <si>
    <t>E4051E2B-F290-42D3-A92D-4DFE58111841</t>
  </si>
  <si>
    <t>15E6BDCF-A9DD-4C30-A39A-85761A0FAF7C</t>
  </si>
  <si>
    <t>Iron and Steel\Gaseous Fuels</t>
  </si>
  <si>
    <t>40F1870C-572E-4180-A9F4-874203B52DE1</t>
  </si>
  <si>
    <t>342FC940-1618-4386-B804-B4F1125BB589</t>
  </si>
  <si>
    <t>Iron and Steel\Other Fossil Fuels</t>
  </si>
  <si>
    <t>73F9A6E0-C9DA-439D-9F23-D40510DB7541</t>
  </si>
  <si>
    <t>471E0C0C-9B2E-435E-B80A-6ECDEA98028D</t>
  </si>
  <si>
    <t>Iron and Steel\Peat</t>
  </si>
  <si>
    <t>259A1DC4-EFD0-4A60-9C12-3E2B8B3521DD</t>
  </si>
  <si>
    <t>74145744-7AF9-4FEC-B948-F447205CFA3B</t>
  </si>
  <si>
    <t>Non-Ferrous Metals\Liquid Fuels</t>
  </si>
  <si>
    <t>5D60B45C-A36D-470C-9624-56276B2FC97F</t>
  </si>
  <si>
    <t>DF3AACD8-BAA1-4136-B0A4-279EE5838B31</t>
  </si>
  <si>
    <t>Non-Ferrous Metals\Solid Fuels</t>
  </si>
  <si>
    <t>71CE7872-FBCD-491C-84E7-5AF5A184238E</t>
  </si>
  <si>
    <t>4FB58092-300A-44C2-96AA-67886273CA22</t>
  </si>
  <si>
    <t>Non-Ferrous Metals\Gaseous Fuels</t>
  </si>
  <si>
    <t>5AC99D9B-264A-4BBC-9389-CDA76B9089AC</t>
  </si>
  <si>
    <t>BD83E381-A2A9-4B57-B4CB-C69E5294522C</t>
  </si>
  <si>
    <t>Non-Ferrous Metals\Other Fossil Fuels</t>
  </si>
  <si>
    <t>A8790930-CAE8-42CC-9475-4AD47272E871</t>
  </si>
  <si>
    <t>BF336995-5F06-43CD-B857-787C4FEE50AD</t>
  </si>
  <si>
    <t>Non-Ferrous Metals\Peat</t>
  </si>
  <si>
    <t>4FE2E2FE-30F3-4DCB-A58E-93DE6D18207F</t>
  </si>
  <si>
    <t>D8EB954B-C9E2-4B38-8C12-857B97119865</t>
  </si>
  <si>
    <t>Chemicals\Liquid Fuels</t>
  </si>
  <si>
    <t>92461BA0-47D4-4C8F-A2CB-FF0E6089D5E5</t>
  </si>
  <si>
    <t>E046DC06-9DA4-430C-9385-0EE6F0A2A917</t>
  </si>
  <si>
    <t>Chemicals\Solid Fuels</t>
  </si>
  <si>
    <t>59640A54-B8E7-4D62-BAFC-1544CBF79AC8</t>
  </si>
  <si>
    <t>905764B4-9939-4058-BFED-0336A20667E3</t>
  </si>
  <si>
    <t>Chemicals\Gaseous Fuels</t>
  </si>
  <si>
    <t>A0097202-AE71-44E9-8185-959117C69C7B</t>
  </si>
  <si>
    <t>3FAFEBF9-4D47-4830-971A-F97FD386B1AA</t>
  </si>
  <si>
    <t>Chemicals\Other Fossil Fuels</t>
  </si>
  <si>
    <t>CBF4657A-6CBE-4BF9-8A65-FF84D6230AC8</t>
  </si>
  <si>
    <t>AE0B5680-F285-48A0-B1C3-2F7E25496D27</t>
  </si>
  <si>
    <t>Chemicals\Peat</t>
  </si>
  <si>
    <t>C6BCEDCE-AF61-46B8-9C7C-4B8A7F23C626</t>
  </si>
  <si>
    <t>CCAFAF78-B9E4-4F70-9FAE-66CB0AC476E4</t>
  </si>
  <si>
    <t>Pulp, Paper and Print\Liquid Fuels</t>
  </si>
  <si>
    <t>D4B3705F-7BC1-4245-8D11-F670652D3D88</t>
  </si>
  <si>
    <t>986C10D5-47C1-4732-A89A-0F8E0F276FAF</t>
  </si>
  <si>
    <t>Pulp, Paper and Print\Solid Fuels</t>
  </si>
  <si>
    <t>347E3034-C0B1-4263-878D-B957204F20D5</t>
  </si>
  <si>
    <t>F3C42CA8-9CDA-4FA0-AB00-3379365610DC</t>
  </si>
  <si>
    <t>Pulp, Paper and Print\Gaseous Fuels</t>
  </si>
  <si>
    <t>D8382FED-BF88-4573-B238-277EFAD1A64E</t>
  </si>
  <si>
    <t>4140A963-1399-49D6-8341-2D168928C251</t>
  </si>
  <si>
    <t>Pulp, Paper and Print\Other Fossil Fuels</t>
  </si>
  <si>
    <t>BEB993BD-ABD4-4C93-B657-EBA58BC55AF8</t>
  </si>
  <si>
    <t>13204121-EC70-473F-9781-92A9C582AD89</t>
  </si>
  <si>
    <t>Pulp, Paper and Print\Peat</t>
  </si>
  <si>
    <t>0FAB328A-5D86-487E-BDD1-C6426E663507</t>
  </si>
  <si>
    <t>0990840F-9413-49D0-87A8-15BBD419BBC7</t>
  </si>
  <si>
    <t>Food Processing, Beverages and Tobacco\Liquid Fuels</t>
  </si>
  <si>
    <t>8EBD6C20-F919-412D-A827-ED48E4224C60</t>
  </si>
  <si>
    <t>572E808F-C27E-4413-8BA3-F652457A20BD</t>
  </si>
  <si>
    <t>Food Processing, Beverages and Tobacco\Solid Fuels</t>
  </si>
  <si>
    <t>94F06620-13CD-40B2-A4B5-5A74F05CF04F</t>
  </si>
  <si>
    <t>FD653338-96CD-4377-9E08-260A7F291B55</t>
  </si>
  <si>
    <t>Food Processing, Beverages and Tobacco\Gaseous Fuels</t>
  </si>
  <si>
    <t>5ECFCD07-9227-486B-98AC-05A98C76EE38</t>
  </si>
  <si>
    <t>9F8B00B0-B0B0-4428-866A-9B69393D5603</t>
  </si>
  <si>
    <t>Food Processing, Beverages and Tobacco\Other Fossil Fuels</t>
  </si>
  <si>
    <t>5B47BD6C-4182-4566-80D1-660BA7165C0B</t>
  </si>
  <si>
    <t>26042BAE-D0DD-4C22-834E-C240C7E46616</t>
  </si>
  <si>
    <t>Food Processing, Beverages and Tobacco\Peat</t>
  </si>
  <si>
    <t>4E95CA3B-7CA0-42AB-800F-5B842F63D7A4</t>
  </si>
  <si>
    <t>50D03606-7FF1-4828-9F5C-95818F4CEA58</t>
  </si>
  <si>
    <t>Non-metallic Minerals\Liquid Fuels</t>
  </si>
  <si>
    <t>EDD106D2-D12B-42A7-8AA3-DAD54C955963</t>
  </si>
  <si>
    <t>37C0E8FC-63D3-457F-9DE6-25F41D596380</t>
  </si>
  <si>
    <t>Non-metallic Minerals\Solid Fuels</t>
  </si>
  <si>
    <t>E6E21141-2B7A-4660-BDE9-408BF06BD152</t>
  </si>
  <si>
    <t>BFA87C1F-9827-41EC-8013-623B3EF965A5</t>
  </si>
  <si>
    <t>Non-metallic Minerals\Gaseous Fuels</t>
  </si>
  <si>
    <t>1808A965-D5F3-44D6-8313-B2B82795668A</t>
  </si>
  <si>
    <t>575BAEEF-8A00-4F55-A121-1F4B2DCF243E</t>
  </si>
  <si>
    <t>Non-metallic Minerals\Other Fossil Fuels</t>
  </si>
  <si>
    <t>172D62FC-D985-4C0F-AA46-CADA1817CC42</t>
  </si>
  <si>
    <t>3EDB3B3D-2575-4207-8C62-04E69F5FA256</t>
  </si>
  <si>
    <t>Non-metallic Minerals\Peat</t>
  </si>
  <si>
    <t>3D8B750D-8AB1-4506-BD02-9DCA3C624FE8</t>
  </si>
  <si>
    <t>C6634CE5-5283-4322-ABD3-578CD9AA3F0D</t>
  </si>
  <si>
    <t>Other\Construction agriculture and other non transport vehicles/Liquid</t>
  </si>
  <si>
    <t>222EFC35-395A-45E7-A0A0-32B197F4A004</t>
  </si>
  <si>
    <t>F01C4EFF-0754-41BF-9B26-A559D7537CC1</t>
  </si>
  <si>
    <t>Other\Construction agriculture and other non transport vehicles/Solid</t>
  </si>
  <si>
    <t>6139503C-2C99-44F8-B5F9-204BC49D6981</t>
  </si>
  <si>
    <t>534DF961-BEE8-465C-8824-5F187AD4EA9E</t>
  </si>
  <si>
    <t>Other\Construction agriculture and other non transport vehicles/Gaseous</t>
  </si>
  <si>
    <t>41B08760-13D2-49E9-8B24-B66324537BD9</t>
  </si>
  <si>
    <t>22C87498-CF75-4029-96E7-B8CBEB82196F</t>
  </si>
  <si>
    <t>Other\Construction agriculture and other non transport vehicles/Other Fossil Fuels</t>
  </si>
  <si>
    <t>6A12701B-8F9C-48D1-A7AD-2C7ED13E3C4C</t>
  </si>
  <si>
    <t>3D775090-163D-465A-B3B6-5088D2095F3D</t>
  </si>
  <si>
    <t>Other\Construction agriculture and other non transport vehicles/Peat</t>
  </si>
  <si>
    <t>0C715E30-7657-4CAD-A206-3B4D13BE5254</t>
  </si>
  <si>
    <t>1.AA.1.A.4.a.i Other Sectors: Commercial: Institutional: Stationary combustion</t>
  </si>
  <si>
    <t>72790959-E6DC-43F0-A39C-FD3959A7754B</t>
  </si>
  <si>
    <t>Institutional\Stationary combustion\Liquid Fuels</t>
  </si>
  <si>
    <t>37E5131E-5B0D-45DC-A7FF-8B293C093A02</t>
  </si>
  <si>
    <t>DB6545C3-9F51-43A7-9CE9-DC64273BCA74</t>
  </si>
  <si>
    <t>Institutional\Stationary combustion\Solid Fuels</t>
  </si>
  <si>
    <t>735FF423-7A2D-4DCA-863B-F096E672986F</t>
  </si>
  <si>
    <t>F29A1BA0-AFA8-4AEE-936D-087C241F9F2F</t>
  </si>
  <si>
    <t>Institutional\Stationary combustion\Gaseous Fuels</t>
  </si>
  <si>
    <t>55CE2E89-B780-4380-A590-AE0E57D4EE79</t>
  </si>
  <si>
    <t>7A5B436E-7969-4DE5-A4EC-AD96F7F69F35</t>
  </si>
  <si>
    <t>Institutional\Stationary combustion\Other Fossil Fuels</t>
  </si>
  <si>
    <t>F1175554-E32F-43C4-9174-23FC3FF875B3</t>
  </si>
  <si>
    <t>08A15DCC-C429-4D94-A7A8-C376BB402187</t>
  </si>
  <si>
    <t>Institutional\Stationary combustion\Peat</t>
  </si>
  <si>
    <t>B7F209A4-CD56-4B81-BC05-DD9216211152</t>
  </si>
  <si>
    <t>225516A0-D4C6-4663-ACD0-61E0AE10BB62</t>
  </si>
  <si>
    <t>Residential\Liquid Fuels</t>
  </si>
  <si>
    <t>0C4E8738-DCC7-4507-BFF4-0DEFAFE684F5</t>
  </si>
  <si>
    <t>D2440A1B-0EE2-4386-99BE-8CB9D73843E9</t>
  </si>
  <si>
    <t>Residential\Solid Fuels</t>
  </si>
  <si>
    <t>10D3F6F7-182C-4F8B-8F28-745B0C934A3E</t>
  </si>
  <si>
    <t>7AA6FA6C-9FF5-48AD-84CA-3C656E01DF5D</t>
  </si>
  <si>
    <t>Residential\Gaseous Fuels</t>
  </si>
  <si>
    <t>E54F898C-94BC-4D12-A8BF-77FEE6D01733</t>
  </si>
  <si>
    <t>D6ED93CB-6ED1-46C1-8022-98200E606C1B</t>
  </si>
  <si>
    <t>Residential\Other Fossil Fuels</t>
  </si>
  <si>
    <t>65A4512B-9D5E-4B34-BD1E-A969B498D54B</t>
  </si>
  <si>
    <t>1DFDC0AF-F110-44C4-A9C1-A30717C91E47</t>
  </si>
  <si>
    <t>Residential\Peat</t>
  </si>
  <si>
    <t>AD0C27F3-0356-4078-91CF-45442A4E1D74</t>
  </si>
  <si>
    <t>ABD3198F-B60D-4A1E-B3BF-7D48B2AD1BDA</t>
  </si>
  <si>
    <t>Fishing\Stationary\Liquid Fuels</t>
  </si>
  <si>
    <t>E4ADC14E-1D3F-4E12-B7A0-11AAFCB4EF2B</t>
  </si>
  <si>
    <t>410F0437-B40D-4DFF-A138-F9812435AB12</t>
  </si>
  <si>
    <t>Fishing\Stationary\Solid Fuels</t>
  </si>
  <si>
    <t>65D26444-F3FA-4688-8054-54A4508EA29E</t>
  </si>
  <si>
    <t>F069DC59-0CED-4E99-9B4A-B8D5B5176694</t>
  </si>
  <si>
    <t>Fishing\Stationary\Gaseous Fuels</t>
  </si>
  <si>
    <t>CB8E9C7B-3EDB-47E5-88B2-1E2977AFDB51</t>
  </si>
  <si>
    <t>B72F7CB5-1259-4CD4-9ED7-F7696C68428C</t>
  </si>
  <si>
    <t>Fishing\Stationary\Other Fossil Fuels</t>
  </si>
  <si>
    <t>DD8DE450-F17C-41BE-8E51-0303BB3D3FD8</t>
  </si>
  <si>
    <t>B360B960-F25A-428E-9EEF-6DF97E6695CB</t>
  </si>
  <si>
    <t>Forestry/Fishing\Stationary\Peat</t>
  </si>
  <si>
    <t>D508CF4D-2A79-4D9E-9835-CF66C724EDB8</t>
  </si>
  <si>
    <t>AFE91166-1414-4FFE-BEA2-250DC1F98321</t>
  </si>
  <si>
    <t>Stationary\ U.S. Territories\ Liquid Fuels</t>
  </si>
  <si>
    <t>CS,T2</t>
  </si>
  <si>
    <t>CS,T3</t>
  </si>
  <si>
    <t>3AA944DB-D9FC-4508-9507-528304FD9C87</t>
  </si>
  <si>
    <t>FB3CC59D-26FD-4740-9A3A-BFACC721B5BD</t>
  </si>
  <si>
    <t>Stationary\U.S. Territories\Solid Fuels</t>
  </si>
  <si>
    <t>EB0FD474-6C0C-406E-8B79-A2524AF2ABC6</t>
  </si>
  <si>
    <t>F6D1A825-B359-4867-AC35-F8D3EB5C7FBD</t>
  </si>
  <si>
    <t>Stationary\U.S. Territories\Gaseous Fuels</t>
  </si>
  <si>
    <t>C2049F1A-B6BB-4A39-80C0-5EB3E41C3B9C</t>
  </si>
  <si>
    <t>66657DA7-3E2F-4485-9D64-23C97D882EF7</t>
  </si>
  <si>
    <t>Stationary\U.S. Territories\Other Fossil Fuels</t>
  </si>
  <si>
    <t>1C2555EA-D115-4725-9415-19EE5925C2D0</t>
  </si>
  <si>
    <t>6D14CDD2-A58E-4B1B-874E-C3A45946FEAF</t>
  </si>
  <si>
    <t>Stationary\U.S. Territories\Peat</t>
  </si>
  <si>
    <t>8CDB1B49-C316-45E2-A493-02298C403B3B</t>
  </si>
  <si>
    <t>13FFDB9F-E1FA-46F2-8C0B-92108CBFA2C3</t>
  </si>
  <si>
    <t>Stationary\Non Energy Use\Liquid Fuels</t>
  </si>
  <si>
    <t>31BB343B-1818-46B4-8BE0-17285FAC9FEB</t>
  </si>
  <si>
    <t>90749F19-AACD-4024-A297-BE8D6DDB576A</t>
  </si>
  <si>
    <t>Stationary\Non Energy Use\Solid Fuels</t>
  </si>
  <si>
    <t>ACBF00CE-9BAC-46A1-B229-55F972AF9F19</t>
  </si>
  <si>
    <t>074EE3F1-64C1-41D3-AE8B-3B65FDAB968B</t>
  </si>
  <si>
    <t>Stationary \Non Energy Use\Gaseous Fuels</t>
  </si>
  <si>
    <t>03FDD458-6827-4DF3-A3D6-8D9B9AE03E6B</t>
  </si>
  <si>
    <t>Stationary\Non Energy Use\Gaseous Fuels</t>
  </si>
  <si>
    <t>C960C3BB-AE6D-4C2D-85A1-3DA731050DFB</t>
  </si>
  <si>
    <t>Stationary\Non Energy Use\Other Fossil Fuels</t>
  </si>
  <si>
    <t>3F3D1A0E-8E96-41B5-BA5E-2A5841294CB8</t>
  </si>
  <si>
    <t>82C2AA40-C336-4D8E-A249-3F622F3E62CA</t>
  </si>
  <si>
    <t>Stationary\Non Energy Use\Peat</t>
  </si>
  <si>
    <t>F62BE240-F652-4159-B0B3-88D2B7994061</t>
  </si>
  <si>
    <t>81D34007-173E-49AD-A12B-17798571A9F9</t>
  </si>
  <si>
    <t>Stationary\Incineration of Waste\Other Fossil Fuels</t>
  </si>
  <si>
    <t>27A6A7A1-63D7-4146-A8E4-221DD22314A0</t>
  </si>
  <si>
    <t>5F9D8F3B-C454-4D57-BC4B-D9E3ACC85026</t>
  </si>
  <si>
    <t>Stationary\Incineration of Waste\Liquid Fuels</t>
  </si>
  <si>
    <t>F4F9C3E8-3B83-407F-A677-7CE9D85F6125</t>
  </si>
  <si>
    <t>E2C213AC-9AD8-42E9-83DC-484198B50C04</t>
  </si>
  <si>
    <t>Stationary\Incineration of Waste\Solid Fuels</t>
  </si>
  <si>
    <t>AC13AACE-25A6-4BEC-BF4C-A7CB2B6AC386</t>
  </si>
  <si>
    <t>076EDA7A-F8A8-4AFA-A194-642ED7D102A2</t>
  </si>
  <si>
    <t>Stationary\Incineration of Waste\Gaseous Fuels</t>
  </si>
  <si>
    <t>1D06EAAE-553D-49E7-AA6F-0CFE9408FBB4</t>
  </si>
  <si>
    <t>5A18C9CC-2114-45D2-AF51-56502E457A4D</t>
  </si>
  <si>
    <t>Stationary\Incineration of Waste\Peat</t>
  </si>
  <si>
    <t>1A2131C8-B6F8-4F64-B7DD-C73B1A76C38F</t>
  </si>
  <si>
    <t>Step ③ - Identify and describe Any New Categories or Subcategories and GHGs</t>
  </si>
  <si>
    <t>Quick Reference</t>
  </si>
  <si>
    <t>Source Category Notes from CRF</t>
  </si>
  <si>
    <r>
      <t xml:space="preserve">Table 1 - </t>
    </r>
    <r>
      <rPr>
        <sz val="10"/>
        <rFont val="Times New Roman"/>
        <family val="1"/>
      </rPr>
      <t>Notation Key Options for Excluded Values</t>
    </r>
  </si>
  <si>
    <r>
      <rPr>
        <b/>
        <sz val="10"/>
        <rFont val="Arial"/>
        <family val="2"/>
      </rPr>
      <t>Not Occurring:</t>
    </r>
    <r>
      <rPr>
        <sz val="10"/>
        <rFont val="Times New Roman"/>
        <family val="1"/>
      </rPr>
      <t xml:space="preserve"> for categories or processes, including recovery, under a particular source or sink category that do not occur within an Annex I Party;</t>
    </r>
  </si>
  <si>
    <r>
      <rPr>
        <b/>
        <sz val="10"/>
        <rFont val="Arial"/>
        <family val="2"/>
      </rPr>
      <t xml:space="preserve">Not Applicable: </t>
    </r>
    <r>
      <rPr>
        <sz val="10"/>
        <rFont val="Times New Roman"/>
        <family val="1"/>
      </rPr>
      <t>for activities under a given source/sink category that do occur within the Party but do not result in emissions or removals of a specific gas. If the cells for categories in the CRF tables for which “NA” is applicable are shaded, they do not need to be filled in.</t>
    </r>
  </si>
  <si>
    <r>
      <rPr>
        <b/>
        <sz val="10"/>
        <rFont val="Arial"/>
        <family val="2"/>
      </rPr>
      <t xml:space="preserve">Included Elsewhere: </t>
    </r>
    <r>
      <rPr>
        <sz val="10"/>
        <rFont val="Times New Roman"/>
        <family val="1"/>
      </rPr>
      <t>for emissions by sources and removals by sinks of GHGs estimated but included elsewhere in the inventory instead of under the expected source/sink category. Where “IE” is used in an inventory, the Annex I Party should indicate, in the CRF completeness table, where in the inventory the emissions or removals for the displaced source/sink category have been included, and the Annex I Party should explain such a deviation from the inclusion under the expected category, especially if it is due to confidentiality;</t>
    </r>
  </si>
  <si>
    <r>
      <rPr>
        <b/>
        <sz val="10"/>
        <rFont val="Arial"/>
        <family val="2"/>
      </rPr>
      <t>Not Estimated:</t>
    </r>
    <r>
      <rPr>
        <sz val="10"/>
        <rFont val="Times New Roman"/>
        <family val="1"/>
      </rPr>
      <t xml:space="preserve"> for AD and/or emissions by sources and removals by sinks of GHGs which have not been estimated but for which a corresponding activity may occur within a Party. Where “NE” is used in an inventory to report emissions or removals of CO2, N2O, CH4, HFCs, PFCs, SF6 and NF3, the Annex I Party shall indicate in both the NIR and the CRF completeness table why such emissions or removals have not been estimated. Furthermore, a Party may consider that a disproportionate amount of effort would be required to collect data for a gas from a specific category that would be insignificant in terms of the overall level and trend in national emissions and in such cases use the notation key “NE”. An emission should only be considered insignificant if the likely level of emissions is below 0.05 per cent of the national total GHG emissions, and does not exceed 500 kt CO2 eq. </t>
    </r>
  </si>
  <si>
    <r>
      <rPr>
        <b/>
        <sz val="10"/>
        <rFont val="Arial"/>
        <family val="2"/>
      </rPr>
      <t>Confidential:</t>
    </r>
    <r>
      <rPr>
        <sz val="10"/>
        <rFont val="Times New Roman"/>
        <family val="1"/>
      </rPr>
      <t xml:space="preserve"> for emissions by sources and removals by sinks of GHGs of which the reporting could lead to the disclosure of confidential information</t>
    </r>
  </si>
  <si>
    <r>
      <t>Table 2</t>
    </r>
    <r>
      <rPr>
        <sz val="10"/>
        <rFont val="Times New Roman"/>
        <family val="1"/>
      </rPr>
      <t xml:space="preserve"> - Notation Key Options for the Method Applied and/or Emission Factor Used</t>
    </r>
  </si>
  <si>
    <t>Method Applied</t>
  </si>
  <si>
    <t>Emission Factor Used</t>
  </si>
  <si>
    <t>D</t>
  </si>
  <si>
    <t>IPCC Default</t>
  </si>
  <si>
    <t>RA</t>
  </si>
  <si>
    <t>Reference Approach</t>
  </si>
  <si>
    <t>CR</t>
  </si>
  <si>
    <t>CORINAIR</t>
  </si>
  <si>
    <t>T1</t>
  </si>
  <si>
    <t>IPCC Tier 1</t>
  </si>
  <si>
    <t>Country Specific</t>
  </si>
  <si>
    <t>T1 a, T1b, T1c</t>
  </si>
  <si>
    <t>IPCC Tier 1a, 1b, and 1c</t>
  </si>
  <si>
    <t>PS</t>
  </si>
  <si>
    <t>Plant Specific</t>
  </si>
  <si>
    <t>IPCC Tier 2</t>
  </si>
  <si>
    <t>OTH</t>
  </si>
  <si>
    <t>Other</t>
  </si>
  <si>
    <t>IPCC Tier 3</t>
  </si>
  <si>
    <t>M</t>
  </si>
  <si>
    <t>Model</t>
  </si>
  <si>
    <t>Inventory Database Input Template</t>
  </si>
  <si>
    <t>Unified InvDB Template Instructions:</t>
  </si>
  <si>
    <t xml:space="preserve">Conversion Factors </t>
  </si>
  <si>
    <t>Columns starting with 1990 (e.g. U) thru latest year should reflect annual GHG estimates for 1990 through the current year. Please correct underlying formulas if source data cells were shifted from previous cycles.  If revisions to the sector, subsector, etc. columns are needed, or additional rows are needed please contact desai.mausami@epa.gov to ensure InvDB reference data is updated accordingly. Use notation keys in data cells where the GHG estimate is not a true zero, e.g., IE (Included Elsewhere); NO (Not Occuring); NE (Not Estimated), etc. as applied for reporting data in the UN common reporting tables.</t>
  </si>
  <si>
    <t>KT per Tg</t>
  </si>
  <si>
    <t>Neg</t>
  </si>
  <si>
    <t>as needed</t>
  </si>
  <si>
    <t>Source/Sink Category</t>
  </si>
  <si>
    <t>CO2 From Fossil Fuel Combustion</t>
  </si>
  <si>
    <t>Author Name</t>
  </si>
  <si>
    <t>Vincent Camobreco</t>
  </si>
  <si>
    <t>Author Email</t>
  </si>
  <si>
    <t>Camobreco.Vincent@EPA.gov</t>
  </si>
  <si>
    <t>Publication Year</t>
  </si>
  <si>
    <t>Notes</t>
  </si>
  <si>
    <t>Note: Y2023 - Y2030 columns will not be active in Publication Year 2024 but should not be used</t>
  </si>
  <si>
    <t>Data Type</t>
  </si>
  <si>
    <t>Sector</t>
  </si>
  <si>
    <t>Subsector</t>
  </si>
  <si>
    <t>Category</t>
  </si>
  <si>
    <t>Subcategory1</t>
  </si>
  <si>
    <t>Subcategory2</t>
  </si>
  <si>
    <t>Subcategory3</t>
  </si>
  <si>
    <t>Subcategory4</t>
  </si>
  <si>
    <t>Subcategory5</t>
  </si>
  <si>
    <t>Carbon Pool</t>
  </si>
  <si>
    <t>Fuel1</t>
  </si>
  <si>
    <t>Fuel2</t>
  </si>
  <si>
    <t>GeoRef</t>
  </si>
  <si>
    <t>Exclude</t>
  </si>
  <si>
    <t>CRT Code</t>
  </si>
  <si>
    <t>ID</t>
  </si>
  <si>
    <t>Sensitive (Y or N)</t>
  </si>
  <si>
    <t>Units</t>
  </si>
  <si>
    <t>GHG</t>
  </si>
  <si>
    <t>GWP</t>
  </si>
  <si>
    <t>Energy</t>
  </si>
  <si>
    <t>Fossil Fuel Combustion</t>
  </si>
  <si>
    <t>Residential</t>
  </si>
  <si>
    <t>Coal</t>
  </si>
  <si>
    <t>National</t>
  </si>
  <si>
    <t>1.A.4.b. Residential</t>
  </si>
  <si>
    <t>Tg</t>
  </si>
  <si>
    <t>Natural Gas</t>
  </si>
  <si>
    <t>Petroleum</t>
  </si>
  <si>
    <t>Commercial</t>
  </si>
  <si>
    <t>1.A.4.a. Commercial/institutional</t>
  </si>
  <si>
    <t>Industrial</t>
  </si>
  <si>
    <t>1.A.2. Manufacturing industries and construction</t>
  </si>
  <si>
    <t>Transportation</t>
  </si>
  <si>
    <t>1.A.3. Transport</t>
  </si>
  <si>
    <t>Electricity Generation</t>
  </si>
  <si>
    <t>1.A.1.a. Public electricity and heat production</t>
  </si>
  <si>
    <t>1.A.5. Other</t>
  </si>
  <si>
    <t>Non-Energy Uses of Fossil Fuels</t>
  </si>
  <si>
    <t>Template Instructions:</t>
  </si>
  <si>
    <t xml:space="preserve">Columns J through AP should reflect emission for 1990 through the current year.  Please correct underlying formulas if source data cells are moved.  If revisions to the sector, source, subsource, fuel, subreference, or gas columns are needed, or additional rows are needed please contact huppertm@saic.com to ensure InvDB reference data is updated accordingly. Note: Ne (Not Occuring) NE (Not Estimated). </t>
  </si>
  <si>
    <t xml:space="preserve">Source </t>
  </si>
  <si>
    <t xml:space="preserve">Conversion Factor </t>
  </si>
  <si>
    <t>Author Phone</t>
  </si>
  <si>
    <t>Report Type</t>
  </si>
  <si>
    <t>INTERIM</t>
  </si>
  <si>
    <t>All Values in Gas Quantities (Tg)</t>
  </si>
  <si>
    <t>Source</t>
  </si>
  <si>
    <t>Subsource</t>
  </si>
  <si>
    <t>Fuel</t>
  </si>
  <si>
    <t>Subref</t>
  </si>
  <si>
    <t>2nd Ref</t>
  </si>
  <si>
    <t>State</t>
  </si>
  <si>
    <r>
      <t>U.S. CO</t>
    </r>
    <r>
      <rPr>
        <b/>
        <vertAlign val="subscript"/>
        <sz val="14"/>
        <rFont val="Times New Roman"/>
        <family val="1"/>
      </rPr>
      <t>2</t>
    </r>
    <r>
      <rPr>
        <b/>
        <sz val="14"/>
        <rFont val="Times New Roman"/>
        <family val="1"/>
      </rPr>
      <t xml:space="preserve"> Emission Trends from Fossil Fuel Combustion</t>
    </r>
  </si>
  <si>
    <r>
      <t>This sheet summarizes U.S. CO</t>
    </r>
    <r>
      <rPr>
        <i/>
        <vertAlign val="subscript"/>
        <sz val="10"/>
        <rFont val="Times New Roman"/>
        <family val="1"/>
      </rPr>
      <t xml:space="preserve">2 </t>
    </r>
    <r>
      <rPr>
        <i/>
        <sz val="10"/>
        <rFont val="Times New Roman"/>
        <family val="1"/>
      </rPr>
      <t xml:space="preserve">emissions from fossil fuel combustion by fuel type and sector and then by sector and fuel type.  </t>
    </r>
  </si>
  <si>
    <t>Non-energy use carbon stored and international bunker fuel emissions are also reported separately.</t>
  </si>
  <si>
    <r>
      <t>Table 2-3: CO</t>
    </r>
    <r>
      <rPr>
        <b/>
        <vertAlign val="subscript"/>
        <sz val="10"/>
        <rFont val="Times New Roman"/>
        <family val="1"/>
      </rPr>
      <t>2</t>
    </r>
    <r>
      <rPr>
        <b/>
        <sz val="10"/>
        <rFont val="Times New Roman"/>
        <family val="1"/>
      </rPr>
      <t xml:space="preserve"> Emissions from Fossil Fuel Combustion by Fuel Type and Sector (MMT CO</t>
    </r>
    <r>
      <rPr>
        <b/>
        <vertAlign val="subscript"/>
        <sz val="10"/>
        <rFont val="Times New Roman"/>
        <family val="1"/>
      </rPr>
      <t>2</t>
    </r>
    <r>
      <rPr>
        <b/>
        <sz val="10"/>
        <rFont val="Times New Roman"/>
        <family val="1"/>
      </rPr>
      <t xml:space="preserve"> Eq.)</t>
    </r>
  </si>
  <si>
    <t>Fuel Type/Sector</t>
  </si>
  <si>
    <t>90-22</t>
  </si>
  <si>
    <t>20-21</t>
  </si>
  <si>
    <t>21-22</t>
  </si>
  <si>
    <t>Coal % of Total Emissions</t>
  </si>
  <si>
    <t>Electric Power</t>
  </si>
  <si>
    <t>Coal used for Electric Power</t>
  </si>
  <si>
    <t>U.S. Territories</t>
  </si>
  <si>
    <t>Natural Gas % of Total Emissions</t>
  </si>
  <si>
    <t>Petroleum % of Total Emissions</t>
  </si>
  <si>
    <t>Geothermal*</t>
  </si>
  <si>
    <t>Total</t>
  </si>
  <si>
    <t>90-22 change</t>
  </si>
  <si>
    <t>NE (Not Estimated)</t>
  </si>
  <si>
    <t>NO (Not Occurring)</t>
  </si>
  <si>
    <r>
      <t>+ Does not exceed 0.05 MMT of CO</t>
    </r>
    <r>
      <rPr>
        <vertAlign val="subscript"/>
        <sz val="10"/>
        <rFont val="Times New Roman"/>
        <family val="1"/>
      </rPr>
      <t>2</t>
    </r>
    <r>
      <rPr>
        <sz val="10"/>
        <rFont val="Times New Roman"/>
        <family val="1"/>
      </rPr>
      <t xml:space="preserve"> Eq.</t>
    </r>
  </si>
  <si>
    <r>
      <t>* Although not technically a fossil fuel, geothermal energy related CO</t>
    </r>
    <r>
      <rPr>
        <vertAlign val="subscript"/>
        <sz val="10"/>
        <rFont val="Times New Roman"/>
        <family val="1"/>
      </rPr>
      <t>2</t>
    </r>
    <r>
      <rPr>
        <sz val="10"/>
        <rFont val="Times New Roman"/>
        <family val="1"/>
      </rPr>
      <t xml:space="preserve"> emissions are included for reporting purposes.</t>
    </r>
  </si>
  <si>
    <t>Note:  Totals may not sum due to independent rounding.</t>
  </si>
  <si>
    <r>
      <t>Fossil Fuel Carbon in Products (MMT CO</t>
    </r>
    <r>
      <rPr>
        <b/>
        <vertAlign val="subscript"/>
        <sz val="10"/>
        <rFont val="Times New Roman"/>
        <family val="1"/>
      </rPr>
      <t>2</t>
    </r>
    <r>
      <rPr>
        <b/>
        <sz val="10"/>
        <rFont val="Times New Roman"/>
        <family val="1"/>
      </rPr>
      <t xml:space="preserve"> Eq.)</t>
    </r>
  </si>
  <si>
    <r>
      <t>Non-energy Use Carbon Emitted (MMT CO</t>
    </r>
    <r>
      <rPr>
        <b/>
        <vertAlign val="subscript"/>
        <sz val="10"/>
        <rFont val="Times New Roman"/>
        <family val="1"/>
      </rPr>
      <t>2</t>
    </r>
    <r>
      <rPr>
        <b/>
        <sz val="10"/>
        <rFont val="Times New Roman"/>
        <family val="1"/>
      </rPr>
      <t xml:space="preserve"> Eq.)</t>
    </r>
  </si>
  <si>
    <t>Territories</t>
  </si>
  <si>
    <r>
      <t>Non-energy Use Carbon Stored (MMT CO</t>
    </r>
    <r>
      <rPr>
        <b/>
        <vertAlign val="subscript"/>
        <sz val="10"/>
        <rFont val="Times New Roman"/>
        <family val="1"/>
      </rPr>
      <t>2</t>
    </r>
    <r>
      <rPr>
        <b/>
        <sz val="10"/>
        <rFont val="Times New Roman"/>
        <family val="1"/>
      </rPr>
      <t xml:space="preserve"> Eq.)</t>
    </r>
  </si>
  <si>
    <r>
      <t>International Bunker Fuels (MMT CO</t>
    </r>
    <r>
      <rPr>
        <b/>
        <vertAlign val="subscript"/>
        <sz val="10"/>
        <rFont val="Times New Roman"/>
        <family val="1"/>
      </rPr>
      <t>2</t>
    </r>
    <r>
      <rPr>
        <b/>
        <sz val="10"/>
        <rFont val="Times New Roman"/>
        <family val="1"/>
      </rPr>
      <t xml:space="preserve"> Eq.)</t>
    </r>
  </si>
  <si>
    <t>Aviation Jet Fuel</t>
  </si>
  <si>
    <t>Marine Residual Fuel Oil</t>
  </si>
  <si>
    <t>Marine Distillate Fuel Oil</t>
  </si>
  <si>
    <t>(MMT Carbon)</t>
  </si>
  <si>
    <t>Annual Percent Change</t>
  </si>
  <si>
    <t>Annualized Change from 1990</t>
  </si>
  <si>
    <t>Percent Change from 1990</t>
  </si>
  <si>
    <t>Non-energy Use Carbon Emitted (MMT Carbon)</t>
  </si>
  <si>
    <t>Non-energy Use Carbon Stored (MMT Carbon)</t>
  </si>
  <si>
    <t>International Bunker Fuels (MMT Carbon)</t>
  </si>
  <si>
    <r>
      <t>CO</t>
    </r>
    <r>
      <rPr>
        <b/>
        <vertAlign val="subscript"/>
        <sz val="10"/>
        <rFont val="Times New Roman"/>
        <family val="1"/>
      </rPr>
      <t>2</t>
    </r>
    <r>
      <rPr>
        <b/>
        <sz val="10"/>
        <rFont val="Times New Roman"/>
        <family val="1"/>
      </rPr>
      <t xml:space="preserve"> Emissions from Fossil Fuel Combustion by Sector and Fuel Type (MMT CO</t>
    </r>
    <r>
      <rPr>
        <b/>
        <vertAlign val="subscript"/>
        <sz val="10"/>
        <rFont val="Times New Roman"/>
        <family val="1"/>
      </rPr>
      <t>2</t>
    </r>
    <r>
      <rPr>
        <b/>
        <sz val="10"/>
        <rFont val="Times New Roman"/>
        <family val="1"/>
      </rPr>
      <t xml:space="preserve"> Eq.)</t>
    </r>
  </si>
  <si>
    <t>Sector/Fuel Type</t>
  </si>
  <si>
    <t>NG % of residential</t>
  </si>
  <si>
    <t>NG % of commercial</t>
  </si>
  <si>
    <t>Electric Power % of total</t>
  </si>
  <si>
    <r>
      <t>+ Does not exceed 0.05 MMT CO</t>
    </r>
    <r>
      <rPr>
        <vertAlign val="subscript"/>
        <sz val="10"/>
        <rFont val="Times New Roman"/>
        <family val="1"/>
      </rPr>
      <t>2</t>
    </r>
    <r>
      <rPr>
        <sz val="10"/>
        <rFont val="Times New Roman"/>
        <family val="1"/>
      </rPr>
      <t xml:space="preserve"> Eq.</t>
    </r>
  </si>
  <si>
    <r>
      <t>CO</t>
    </r>
    <r>
      <rPr>
        <b/>
        <vertAlign val="subscript"/>
        <sz val="10"/>
        <rFont val="Times New Roman"/>
        <family val="1"/>
      </rPr>
      <t>2</t>
    </r>
    <r>
      <rPr>
        <b/>
        <sz val="10"/>
        <rFont val="Times New Roman"/>
        <family val="1"/>
      </rPr>
      <t xml:space="preserve"> Emissions from Fossil Fuel Combustion by Sector and Fuel Type (MMT Carbon)</t>
    </r>
  </si>
  <si>
    <t>% of Total</t>
  </si>
  <si>
    <t>% Change 21-22</t>
  </si>
  <si>
    <t>+ Does not exceed 0.05 MMT Carbon</t>
  </si>
  <si>
    <t>Comparison to 2022 ER Results</t>
  </si>
  <si>
    <t>Difference from Previous Cycles' Estimates:</t>
  </si>
  <si>
    <t>2022PR:</t>
  </si>
  <si>
    <t>Average Annual Change</t>
  </si>
  <si>
    <t>ER2022:</t>
  </si>
  <si>
    <t>Absolute Change:</t>
  </si>
  <si>
    <t>Comparison to 2021BY Results</t>
  </si>
  <si>
    <t>Difference from Previous Year's Estimates:</t>
  </si>
  <si>
    <t>2022BY:</t>
  </si>
  <si>
    <t>2021BY:</t>
  </si>
  <si>
    <t>Difference from Last Years Estimates</t>
  </si>
  <si>
    <t>2004BY</t>
  </si>
  <si>
    <r>
      <t>Table 2-3: CO</t>
    </r>
    <r>
      <rPr>
        <b/>
        <vertAlign val="subscript"/>
        <sz val="10"/>
        <rFont val="Times New Roman"/>
        <family val="1"/>
      </rPr>
      <t>2</t>
    </r>
    <r>
      <rPr>
        <b/>
        <sz val="10"/>
        <rFont val="Times New Roman"/>
        <family val="1"/>
      </rPr>
      <t xml:space="preserve"> Emissions from Fossil Fuel Combustion by Fuel Type and Sector (Tg CO</t>
    </r>
    <r>
      <rPr>
        <b/>
        <vertAlign val="subscript"/>
        <sz val="10"/>
        <rFont val="Times New Roman"/>
        <family val="1"/>
      </rPr>
      <t>2</t>
    </r>
    <r>
      <rPr>
        <b/>
        <sz val="10"/>
        <rFont val="Times New Roman"/>
        <family val="1"/>
      </rPr>
      <t xml:space="preserve"> Eq.)</t>
    </r>
  </si>
  <si>
    <t>U.S. Fossil Fuel Energy Consumption (TBtu)</t>
  </si>
  <si>
    <t xml:space="preserve">This sheet presents fossil fuel consumption for domestic energy uses only.   </t>
  </si>
  <si>
    <t>Fuel data with non-energy use data subtracted are coded turquoise</t>
  </si>
  <si>
    <t>21-22 % Change</t>
  </si>
  <si>
    <t>Fuel Totals (TBtu)</t>
  </si>
  <si>
    <t>(Index 1990 = 100)</t>
  </si>
  <si>
    <t>(Percent of Total Fuel Consumption)</t>
  </si>
  <si>
    <t>90-22 Total</t>
  </si>
  <si>
    <t>90-22 % of Total</t>
  </si>
  <si>
    <t>Note:  Does NOT include NEU or international bunker fuel consumption.  Corrected for ethanol, and biogas consumption, iron and steel, ferroalloy, aluminum, TiO2, carbon black.  Excludes Geothermal energy.</t>
  </si>
  <si>
    <t>Total (including Territories)</t>
  </si>
  <si>
    <t>Percent from Electric Utilities</t>
  </si>
  <si>
    <t>Percent from Transportation</t>
  </si>
  <si>
    <r>
      <t>U.S. CO</t>
    </r>
    <r>
      <rPr>
        <b/>
        <vertAlign val="subscript"/>
        <sz val="14"/>
        <rFont val="Times New Roman"/>
        <family val="1"/>
      </rPr>
      <t>2</t>
    </r>
    <r>
      <rPr>
        <b/>
        <sz val="14"/>
        <rFont val="Times New Roman"/>
        <family val="1"/>
      </rPr>
      <t xml:space="preserve"> Emission Trends from Fossil Fuel Combustion: Yearly Change</t>
    </r>
  </si>
  <si>
    <t xml:space="preserve">This sheet calculates the yearly change in emissions by fuel type and sector.    </t>
  </si>
  <si>
    <t>Absolute</t>
  </si>
  <si>
    <t>Percent</t>
  </si>
  <si>
    <r>
      <t>Absolute Change (MMT CO</t>
    </r>
    <r>
      <rPr>
        <b/>
        <vertAlign val="subscript"/>
        <sz val="10"/>
        <rFont val="Times New Roman"/>
        <family val="1"/>
      </rPr>
      <t>2</t>
    </r>
    <r>
      <rPr>
        <b/>
        <sz val="10"/>
        <rFont val="Times New Roman"/>
        <family val="1"/>
      </rPr>
      <t xml:space="preserve"> Eq.)</t>
    </r>
  </si>
  <si>
    <t>Change</t>
  </si>
  <si>
    <t>of Change</t>
  </si>
  <si>
    <t>90-91</t>
  </si>
  <si>
    <t>91-92</t>
  </si>
  <si>
    <t>92-93</t>
  </si>
  <si>
    <t>93-94</t>
  </si>
  <si>
    <t>94-95</t>
  </si>
  <si>
    <t>95-96</t>
  </si>
  <si>
    <t>96-97</t>
  </si>
  <si>
    <t>97-98</t>
  </si>
  <si>
    <t>98-99</t>
  </si>
  <si>
    <t>99-00</t>
  </si>
  <si>
    <t>00-01</t>
  </si>
  <si>
    <t>01-02</t>
  </si>
  <si>
    <t>02-03</t>
  </si>
  <si>
    <t>03-04</t>
  </si>
  <si>
    <t>04-05</t>
  </si>
  <si>
    <t>05-06</t>
  </si>
  <si>
    <t>06-07</t>
  </si>
  <si>
    <t>07-08</t>
  </si>
  <si>
    <t>08-09</t>
  </si>
  <si>
    <t>09-10</t>
  </si>
  <si>
    <t>10-11</t>
  </si>
  <si>
    <t>11-12</t>
  </si>
  <si>
    <t>12-13</t>
  </si>
  <si>
    <t>13-14</t>
  </si>
  <si>
    <t>14-15</t>
  </si>
  <si>
    <t>15-16</t>
  </si>
  <si>
    <t>16-17</t>
  </si>
  <si>
    <t>17-18</t>
  </si>
  <si>
    <t>18-19</t>
  </si>
  <si>
    <t>19-20</t>
  </si>
  <si>
    <t>Percent Change</t>
  </si>
  <si>
    <t>Percent of Total Change</t>
  </si>
  <si>
    <t>19-21</t>
  </si>
  <si>
    <t>%</t>
  </si>
  <si>
    <t>1990-2010</t>
  </si>
  <si>
    <t>2009-2010</t>
  </si>
  <si>
    <r>
      <t>Table 3-X: Annual Change in CO</t>
    </r>
    <r>
      <rPr>
        <b/>
        <vertAlign val="subscript"/>
        <sz val="10"/>
        <rFont val="Times New Roman"/>
        <family val="1"/>
      </rPr>
      <t>2</t>
    </r>
    <r>
      <rPr>
        <b/>
        <sz val="10"/>
        <rFont val="Times New Roman"/>
        <family val="1"/>
      </rPr>
      <t xml:space="preserve"> Emissions from Fossil Fuel Combustion for Selected Fuels and Sectors (MMT CO</t>
    </r>
    <r>
      <rPr>
        <b/>
        <vertAlign val="subscript"/>
        <sz val="10"/>
        <rFont val="Times New Roman"/>
        <family val="1"/>
      </rPr>
      <t>2</t>
    </r>
    <r>
      <rPr>
        <b/>
        <sz val="10"/>
        <rFont val="Times New Roman"/>
        <family val="1"/>
      </rPr>
      <t xml:space="preserve"> Eq. and Percent) </t>
    </r>
  </si>
  <si>
    <t xml:space="preserve">Total </t>
  </si>
  <si>
    <t>Fuel Type</t>
  </si>
  <si>
    <r>
      <t xml:space="preserve">All Sectors </t>
    </r>
    <r>
      <rPr>
        <b/>
        <vertAlign val="superscript"/>
        <sz val="10"/>
        <rFont val="Times New Roman"/>
        <family val="1"/>
      </rPr>
      <t>a</t>
    </r>
  </si>
  <si>
    <t>All Fuels</t>
  </si>
  <si>
    <r>
      <t>a</t>
    </r>
    <r>
      <rPr>
        <sz val="9"/>
        <color rgb="FF000000"/>
        <rFont val="Times New Roman"/>
        <family val="1"/>
      </rPr>
      <t xml:space="preserve"> Includes sector and fuel combinations not shown in this table.</t>
    </r>
  </si>
  <si>
    <t>U.S. Fossil Fuel Total Consumption (Energy and Non-Energy Uses) (TBtu)</t>
  </si>
  <si>
    <t>This sheet presents fossil fuel consumption for energy and non-energy uses.</t>
  </si>
  <si>
    <t>Note:  Includes NEU and international bunker fuel consumption.  Corrected for ethanol, and biogas consumption, iron and steel, ferroalloy, aluminum, TiO2, carbon black.  Excludes Geothermal energy.</t>
  </si>
  <si>
    <t>Check</t>
  </si>
  <si>
    <t>Note: Does NOT include bunker fuels.</t>
  </si>
  <si>
    <t>Energy Consumption Input Sheet</t>
  </si>
  <si>
    <t>Fossil fuel consumption data by sector are inputted on this sheet.</t>
  </si>
  <si>
    <t>Source:  DOE/EIA, EIA_outputs_to_EPA 1990-2022_ER.xlsx, and other (identified below)</t>
  </si>
  <si>
    <t>Input Cells linking to the Distillate adjustment spreadsheet are coded purple</t>
  </si>
  <si>
    <t>(TBtu)</t>
  </si>
  <si>
    <t>2021-2022 % Change</t>
  </si>
  <si>
    <t>Distillate Fuel</t>
  </si>
  <si>
    <t>Kerosene</t>
  </si>
  <si>
    <t>LPG (Propane)</t>
  </si>
  <si>
    <t>Motor Gasoline</t>
  </si>
  <si>
    <t>Residual Fuel</t>
  </si>
  <si>
    <t>Other Petroleum</t>
  </si>
  <si>
    <t>Petroleum Coke</t>
  </si>
  <si>
    <t>Coking Coal</t>
  </si>
  <si>
    <t>Other Coal</t>
  </si>
  <si>
    <t>Net Coke Imports</t>
  </si>
  <si>
    <t>Asphalt &amp; Road Oil</t>
  </si>
  <si>
    <t>HGL</t>
  </si>
  <si>
    <t>Lubricants</t>
  </si>
  <si>
    <t>AvGas Blend Components</t>
  </si>
  <si>
    <t>Crude Oil</t>
  </si>
  <si>
    <t>MoGas Blend Components</t>
  </si>
  <si>
    <t>Miscellaneous Products</t>
  </si>
  <si>
    <t>Naphtha (&lt;401 deg. F)</t>
  </si>
  <si>
    <t>Other Oil (&gt;401 deg. F)</t>
  </si>
  <si>
    <t>Pentanes Plus</t>
  </si>
  <si>
    <t>Still Gas</t>
  </si>
  <si>
    <t>Special Naphtha</t>
  </si>
  <si>
    <t>Unfinished Oils</t>
  </si>
  <si>
    <t>Waxes</t>
  </si>
  <si>
    <t>Aviation Gasoline</t>
  </si>
  <si>
    <t>Jet Fuel</t>
  </si>
  <si>
    <t>LPG</t>
  </si>
  <si>
    <t>Distillate Fuel Oil (Light Fuel Oil)</t>
  </si>
  <si>
    <t>Residual Fuel Oil (Heavy Fuel Oil)</t>
  </si>
  <si>
    <t>Other Liquids</t>
  </si>
  <si>
    <t>International Bunker Fuels (TBtu)</t>
  </si>
  <si>
    <t>Source: International Bunker Fuels 90-22_12_12_23_PR.xls</t>
  </si>
  <si>
    <t>Marine Distillate Fuel Oil &amp; Other</t>
  </si>
  <si>
    <t xml:space="preserve">Electricity Consumption, Billion kilowatthours; </t>
  </si>
  <si>
    <t>Source: Residential, commercial, industrial, and transportation data obtained from EIA's Monthly Energy Review, Table_7.6_Electricity_End_Use; residential, commercial, and transportation data adjusted for electric vehicle charging re-allocations</t>
  </si>
  <si>
    <t>Electricity Sales to Ultimate Customers, Residential</t>
  </si>
  <si>
    <t>Electricity Sales to Ultimate Customers, Commercial</t>
  </si>
  <si>
    <t>Electricity Direct Use</t>
  </si>
  <si>
    <t>Electricity Sales to Ultimate Customers, Industrial</t>
  </si>
  <si>
    <t>Electricity Sales to Ultimate Customers, Transportation</t>
  </si>
  <si>
    <t>Geothermal Power Production</t>
  </si>
  <si>
    <t>TBtu</t>
  </si>
  <si>
    <t>This section has correction calculations for Industrial and Transportation Sectors.</t>
  </si>
  <si>
    <t>Industrial Corrections</t>
  </si>
  <si>
    <t>Coking Coal (corrected)</t>
  </si>
  <si>
    <t>Coking Coal (uncorrected)</t>
  </si>
  <si>
    <t>IP Correction</t>
  </si>
  <si>
    <t>Other Coal (corrected)</t>
  </si>
  <si>
    <t>Other Coal (uncorrected)</t>
  </si>
  <si>
    <t>Synthetic Natural Gas Correction</t>
  </si>
  <si>
    <t>Coking Coal Remaining (from Industrial Coking Coal)</t>
  </si>
  <si>
    <t>Iron and Steel Correction</t>
  </si>
  <si>
    <t>Natural Gas (corrected)</t>
  </si>
  <si>
    <t>Natural Gas (uncorrected)</t>
  </si>
  <si>
    <t>Blast Furnace Gas</t>
  </si>
  <si>
    <t>Coke Oven Gas</t>
  </si>
  <si>
    <t>Biogas Correction</t>
  </si>
  <si>
    <t>Ammonia Correction</t>
  </si>
  <si>
    <t>Residual Fuel (corrected)</t>
  </si>
  <si>
    <t>Residual Fuel (uncorrected)</t>
  </si>
  <si>
    <t>Carbon Black Adjustment</t>
  </si>
  <si>
    <t>Transportation Ethanol Correction</t>
  </si>
  <si>
    <t>Motor Gasoline (corrected)</t>
  </si>
  <si>
    <t>Motor Gasoline (uncorrected)</t>
  </si>
  <si>
    <t>Ethanol Correction</t>
  </si>
  <si>
    <t>Industrial Ethanol Correction</t>
  </si>
  <si>
    <t>Commercial Ethanol Correction</t>
  </si>
  <si>
    <t>Industrial Distillate Fuel Correction</t>
  </si>
  <si>
    <t>Distillate Fuel (corrected)</t>
  </si>
  <si>
    <t>Distillate Fuel (uncorrected)</t>
  </si>
  <si>
    <t>EV Charging Allocation Correction, Billion kilowatthours</t>
  </si>
  <si>
    <t>Residential (corrected)</t>
  </si>
  <si>
    <t>Residential (uncorrected)</t>
  </si>
  <si>
    <t>Residential EV Charging</t>
  </si>
  <si>
    <t>Commercial (corrected)</t>
  </si>
  <si>
    <t>Commercial (uncorrected)</t>
  </si>
  <si>
    <t>Commercial EV Charging</t>
  </si>
  <si>
    <t>This section has the breakdown of HGLs.</t>
  </si>
  <si>
    <t>Total HGL</t>
  </si>
  <si>
    <t>Butane</t>
  </si>
  <si>
    <t>Butylene</t>
  </si>
  <si>
    <t>Ethane</t>
  </si>
  <si>
    <t>Ethylene</t>
  </si>
  <si>
    <t>Isobutane</t>
  </si>
  <si>
    <t>Isobutylene</t>
  </si>
  <si>
    <t>Propane</t>
  </si>
  <si>
    <t>Propylene</t>
  </si>
  <si>
    <t>[BTU data feeds into Consumption Input sheet. Carbon data feeds into the year sheets]</t>
  </si>
  <si>
    <t>Btu Data used to correct for over-counting of consumption for certain fuels are inputted on this sheet. Carbon data accounts for CO2 exports.</t>
  </si>
  <si>
    <t>Correction for Ethanol in Motor Gasoline</t>
  </si>
  <si>
    <t>Source:  Biomass90-22_12_12_23_PR.xlsx</t>
  </si>
  <si>
    <t xml:space="preserve">Correction for Coal Gasification </t>
  </si>
  <si>
    <t>Source:  SNG 90-22 12_12_23_ER.xlsx, IndCalc_Chemicals_1990-2021_FR.xlsx</t>
  </si>
  <si>
    <t xml:space="preserve"> Dakota Gas</t>
  </si>
  <si>
    <t>Eastman Gas</t>
  </si>
  <si>
    <t>Biogas in Natural Gas Correction</t>
  </si>
  <si>
    <t>Source:  N/A</t>
  </si>
  <si>
    <t>Correction for Natural Gas Used For Ammonia Production</t>
  </si>
  <si>
    <t>Source: IndCalc_Chemicals_1990-2021_FR.xlsx</t>
  </si>
  <si>
    <t>Correction for Blast Furnace Gas and Coke Oven Gas</t>
  </si>
  <si>
    <t>Source:  SNG 90-22 12_12_23_PR.xlsx</t>
  </si>
  <si>
    <t>Coal Corrections</t>
  </si>
  <si>
    <t>Source: IndCalc_Metals_1990-2021_FR.xlsx</t>
  </si>
  <si>
    <t>Industrial Other Coal</t>
  </si>
  <si>
    <t>Petroleum Coke Corrections: Aluminum, Ferroalloys, and Titanium Dioxide</t>
  </si>
  <si>
    <t>Source: IndCalc_Chemicals_1990-2021_FR.xlsx,IndCalc_Metals_1990-2021_FR.xlsx, 4.19 Aluminum Production (1990-2021_FR_3_15_23).xlsx</t>
  </si>
  <si>
    <t>Aluminum</t>
  </si>
  <si>
    <t>Ferroalloys</t>
  </si>
  <si>
    <t>Titanium Dioxide</t>
  </si>
  <si>
    <t>Ammonia</t>
  </si>
  <si>
    <t>Silicon Carbide (Petroleum Coke)</t>
  </si>
  <si>
    <t>Carbon Black Corrections: Other Oil and Residual Fuel</t>
  </si>
  <si>
    <t>TG</t>
  </si>
  <si>
    <t>Source: IndCalc_Chemicals_1990-2021_FR.xlsx, EIA_outputs_to_EPA 1990-2022_ER.xlsx</t>
  </si>
  <si>
    <t>CH</t>
  </si>
  <si>
    <t>Iron and Steel Corrections: Natural Gas, Fuel Oil, Coal</t>
  </si>
  <si>
    <t>Emission Calculations for Fossil Fuel Combustion</t>
  </si>
  <si>
    <t>Year:</t>
  </si>
  <si>
    <t>Used in Annex</t>
  </si>
  <si>
    <t>This sheet calculates emissions in 1990 by multiplying consumption by carbon content, adjusting for the carbon content of bunker fuels and carbon stored, and multiplying by the fraction oxidized.</t>
  </si>
  <si>
    <t>Total Consumption (TBtu)</t>
  </si>
  <si>
    <t>Adjustments (TBtu)</t>
  </si>
  <si>
    <t>Adjusted Consumption (TBtu)</t>
  </si>
  <si>
    <t>Carbon Content of Fuels Used for Energy (MMT Carbon)</t>
  </si>
  <si>
    <t>Emissions from Energy Use (MMT Carbon)</t>
  </si>
  <si>
    <t>Emissions from Energy Use (MMT CO2 Eq.)</t>
  </si>
  <si>
    <t>Unadjusted NEU Consumption</t>
  </si>
  <si>
    <t>U.S
Territories</t>
  </si>
  <si>
    <t>Bunker Fuel Consumption</t>
  </si>
  <si>
    <t>Total Adjusted Consumption (Tbtu)</t>
  </si>
  <si>
    <t>Carbon Content
Coefficient
(MMT Carbon/QBtu)</t>
  </si>
  <si>
    <t>Fraction
Oxidized</t>
  </si>
  <si>
    <t>Total
Emissions</t>
  </si>
  <si>
    <t>-</t>
  </si>
  <si>
    <t>Residential Coal</t>
  </si>
  <si>
    <t>Commercial Coal</t>
  </si>
  <si>
    <t>Industrial Coking Coal</t>
  </si>
  <si>
    <t>Transportation Coal</t>
  </si>
  <si>
    <t>Electric Utility Coal</t>
  </si>
  <si>
    <t>U.S. Territory Coal (Bit.)</t>
  </si>
  <si>
    <t>Distillate Fuel Oil</t>
  </si>
  <si>
    <t>Misc. Products</t>
  </si>
  <si>
    <t>TOTAL (All Fuels)</t>
  </si>
  <si>
    <t>Motor Gasoline (Light-Duty Vehicles)</t>
  </si>
  <si>
    <t>This sheet calculates emissions in 1991 by multiplying consumption by carbon content, adjusting for the carbon content of bunker fuels and carbon stored, and multiplying by the fraction oxidized.</t>
  </si>
  <si>
    <t>This sheet calculates emissions in 1992 by multiplying consumption by carbon content, adjusting for the carbon content of bunker fuels and carbon stored, and multiplying by the fraction oxidized.</t>
  </si>
  <si>
    <t>This sheet calculates emissions in 1993 by multiplying consumption by carbon content, adjusting for the carbon content of bunker fuels and carbon stored, and multiplying by the fraction oxidized.</t>
  </si>
  <si>
    <t>This sheet calculates emissions in 1994 by multiplying consumption by carbon content, adjusting for the carbon content of bunker fuels and carbon stored, and multiplying by the fraction oxidized.</t>
  </si>
  <si>
    <t>This sheet calculates emissions in 1995 by multiplying consumption by carbon content, adjusting for the carbon content of bunker fuels and carbon stored, and multiplying by the fraction oxidized.</t>
  </si>
  <si>
    <t>This sheet calculates emissions in 1996 by multiplying consumption by carbon content, adjusting for the carbon content of bunker fuels and carbon stored, and multiplying by the fraction oxidized.</t>
  </si>
  <si>
    <t>This sheet calculates emissions in 1997 by multiplying consumption by carbon content, adjusting for the carbon content of bunker fuels and carbon stored, and multiplying by the fraction oxidized.</t>
  </si>
  <si>
    <t>This sheet calculates emissions in 1998 by multiplying consumption by carbon content, adjusting for the carbon content of bunker fuels and carbon stored, and multiplying by the fraction oxidized.</t>
  </si>
  <si>
    <t>This sheet calculates emissions in 1999 by multiplying consumption by carbon content, adjusting for the carbon content of bunker fuels and carbon stored, and multiplying by the fraction oxidized.</t>
  </si>
  <si>
    <t>This sheet calculates emissions in 2000 by multiplying consumption by carbon content, adjusting for the carbon content of bunker fuels and carbon stored, and multiplying by the fraction oxidized.</t>
  </si>
  <si>
    <t>This sheet calculates emissions in 2001 by multiplying consumption by carbon content, adjusting for the carbon content of bunker fuels and carbon stored, and multiplying by the fraction oxidized.</t>
  </si>
  <si>
    <t>This sheet calculates emissions in 2002 by multiplying consumption by carbon content, adjusting for the carbon content of bunker fuels and carbon stored, and multiplying by the fraction oxidized.</t>
  </si>
  <si>
    <t>This sheet calculates emissions in 2003 by multiplying consumption by carbon content, adjusting for the carbon content of bunker fuels and carbon stored, and multiplying by the fraction oxidized.</t>
  </si>
  <si>
    <t>This sheet calculates emissions in 2004 by multiplying consumption by carbon content, adjusting for the carbon content of bunker fuels and carbon stored, and multiplying by the fraction oxidized.</t>
  </si>
  <si>
    <t>This sheet calculates emissions in 2005 by multiplying consumption by carbon content, adjusting for the carbon content of bunker fuels and carbon stored, and multiplying by the fraction oxidized.</t>
  </si>
  <si>
    <t>This sheet calculates emissions in 2006 by multiplying consumption by carbon content, adjusting for the carbon content of bunker fuels and carbon stored, and multiplying by the fraction oxidized.</t>
  </si>
  <si>
    <t>This sheet calculates emissions in 2007 by multiplying consumption by carbon content, adjusting for the carbon content of bunker fuels and carbon stored, and multiplying by the fraction oxidized.</t>
  </si>
  <si>
    <t>This sheet calculates emissions in 2008 by multiplying consumption by carbon content, adjusting for the carbon content of bunker fuels and carbon stored, and multiplying by the fraction oxidized.</t>
  </si>
  <si>
    <t>This sheet calculates emissions in 2009 by multiplying consumption by carbon content, adjusting for the carbon content of bunker fuels and carbon stored, and multiplying by the fraction oxidized.</t>
  </si>
  <si>
    <t>This sheet calculates emissions in 2010 by multiplying consumption by carbon content, adjusting for the carbon content of bunker fuels and carbon stored, and multiplying by the fraction oxidized.</t>
  </si>
  <si>
    <t>This sheet calculates emissions in 2011 by multiplying consumption by carbon content, adjusting for the carbon content of bunker fuels and carbon stored, and multiplying by the fraction oxidized.</t>
  </si>
  <si>
    <t>This sheet calculates emissions in 2012 by multiplying consumption by carbon content, adjusting for the carbon content of bunker fuels and carbon stored, and multiplying by the fraction oxidized.</t>
  </si>
  <si>
    <t>This sheet calculates emissions in 2013 by multiplying consumption by carbon content, adjusting for the carbon content of bunker fuels and carbon stored, and multiplying by the fraction oxidized.</t>
  </si>
  <si>
    <r>
      <t>Emissions from Energy Use (MMT CO</t>
    </r>
    <r>
      <rPr>
        <b/>
        <vertAlign val="subscript"/>
        <sz val="8"/>
        <rFont val="Times New Roman"/>
        <family val="1"/>
      </rPr>
      <t xml:space="preserve">2 </t>
    </r>
    <r>
      <rPr>
        <b/>
        <sz val="8"/>
        <rFont val="Times New Roman"/>
        <family val="1"/>
      </rPr>
      <t>Eq.)</t>
    </r>
  </si>
  <si>
    <t>This sheet calculates emissions in 2014 by multiplying consumption by carbon content, adjusting for the carbon content of bunker fuels and carbon stored, and multiplying by the fraction oxidized.</t>
  </si>
  <si>
    <r>
      <t>Emissions from Energy Use (MMT CO</t>
    </r>
    <r>
      <rPr>
        <b/>
        <vertAlign val="subscript"/>
        <sz val="8"/>
        <rFont val="Calibri"/>
        <family val="2"/>
        <scheme val="minor"/>
      </rPr>
      <t xml:space="preserve">2 </t>
    </r>
    <r>
      <rPr>
        <b/>
        <sz val="8"/>
        <rFont val="Calibri"/>
        <family val="2"/>
        <scheme val="minor"/>
      </rPr>
      <t>Eq.)</t>
    </r>
  </si>
  <si>
    <t>This sheet calculates emissions in 2015 by multiplying consumption by carbon content, adjusting for the carbon content of bunker fuels and carbon stored, and multiplying by the fraction oxidized.</t>
  </si>
  <si>
    <t>This sheet calculates emissions in 2016 by multiplying consumption by carbon content, adjusting for the carbon content of bunker fuels and carbon stored, and multiplying by the fraction oxidized.</t>
  </si>
  <si>
    <t>This sheet calculates emissions in 2017 by multiplying consumption by carbon content, adjusting for the carbon content of bunker fuels and carbon stored, and multiplying by the fraction oxidized.</t>
  </si>
  <si>
    <t>This sheet calculates emissions in 2018 by multiplying consumption by carbon content, adjusting for the carbon content of bunker fuels and carbon stored, and multiplying by the fraction oxidized.</t>
  </si>
  <si>
    <t>This sheet calculates emissions in 2019 by multiplying consumption by carbon content, adjusting for the carbon content of bunker fuels and carbon stored, and multiplying by the fraction oxidized.</t>
  </si>
  <si>
    <t>2020 Emission Calculations for Fossil Fuel Combustion</t>
  </si>
  <si>
    <t>This sheet calculates emissions in 2020 by multiplying consumption by carbon content, adjusting for the carbon content of bunker fuels and carbon stored, and multiplying by the fraction oxidized.</t>
  </si>
  <si>
    <t>2021 Emission Calculations for Fossil Fuel Combustion</t>
  </si>
  <si>
    <t>This sheet calculates emissions in 2021 by multiplying consumption by carbon content, adjusting for the carbon content of bunker fuels and carbon stored, and multiplying by the fraction oxidized.</t>
  </si>
  <si>
    <t>2022 Emission Calculations for Fossil Fuel Combustion</t>
  </si>
  <si>
    <t>This sheet calculates emissions in 2022 by multiplying consumption by carbon content, adjusting for the carbon content of bunker fuels and carbon stored, and multiplying by the fraction oxidized.</t>
  </si>
  <si>
    <t>Estimated U.S. Territories Fossil Fuel Consumption</t>
  </si>
  <si>
    <t>Fossil fuel consumption for the U.S. territories--including American Samoa, Guam, Puerto Rico, U.S. Pacific Islands, U.S. Virgin Islands, and Wake Island--are inputted on this sheet.</t>
  </si>
  <si>
    <t>Source: DOE/EIA, US Territories EIA data availability_12-12-2023.xlsx</t>
  </si>
  <si>
    <t>Updated: November 2023</t>
  </si>
  <si>
    <t>(Coal: 1000 Short tons), (Nat Gas: billion cubic ft), (Petroleum: 1000 barrels per day)</t>
  </si>
  <si>
    <t>Fuel Type/Territory</t>
  </si>
  <si>
    <t>Other Petroleum (Misc. Prod.)</t>
  </si>
  <si>
    <t>American Samoa</t>
  </si>
  <si>
    <t>Guam</t>
  </si>
  <si>
    <t>Puerto Rico</t>
  </si>
  <si>
    <t>U.S. Virgin Islands</t>
  </si>
  <si>
    <t>Other U.S. Pacific Islands</t>
  </si>
  <si>
    <t>Wake Island</t>
  </si>
  <si>
    <t>International Bunker Fuel Emissions</t>
  </si>
  <si>
    <t xml:space="preserve">International bunker fuel emissions, calculated in the International Bunker Fuels.xls spreadsheet, are pulled into this sheet.  </t>
  </si>
  <si>
    <t xml:space="preserve">Source: International Bunker Fuels 90-22_12-12-23_PR.xls </t>
  </si>
  <si>
    <t>Consumption (TBtu)</t>
  </si>
  <si>
    <t>Gas/Mode and Fuel Type</t>
  </si>
  <si>
    <r>
      <t>Emissions (MMT CO</t>
    </r>
    <r>
      <rPr>
        <b/>
        <vertAlign val="subscript"/>
        <sz val="10"/>
        <rFont val="Times New Roman"/>
        <family val="1"/>
      </rPr>
      <t>2</t>
    </r>
    <r>
      <rPr>
        <b/>
        <sz val="10"/>
        <rFont val="Times New Roman"/>
        <family val="1"/>
      </rPr>
      <t xml:space="preserve"> Eq.)</t>
    </r>
  </si>
  <si>
    <r>
      <t>CO</t>
    </r>
    <r>
      <rPr>
        <vertAlign val="subscript"/>
        <sz val="10"/>
        <rFont val="Times New Roman"/>
        <family val="1"/>
      </rPr>
      <t>2</t>
    </r>
  </si>
  <si>
    <t>Emissions (MMT Carbon)</t>
  </si>
  <si>
    <t>Conversion Factors, Carbon Content Coefficients, Fractions Oxidized, Fractions Sequestered</t>
  </si>
  <si>
    <r>
      <t>This sheet presents the various conversion factors used in the calculations of CO</t>
    </r>
    <r>
      <rPr>
        <i/>
        <vertAlign val="subscript"/>
        <sz val="10"/>
        <color indexed="8"/>
        <rFont val="Times New Roman"/>
        <family val="1"/>
      </rPr>
      <t>2</t>
    </r>
    <r>
      <rPr>
        <i/>
        <sz val="10"/>
        <color indexed="8"/>
        <rFont val="Times New Roman"/>
        <family val="1"/>
      </rPr>
      <t xml:space="preserve"> from fossil fuel combustion.  </t>
    </r>
  </si>
  <si>
    <t>Source: Carbon Content Coefficients obtained from DOE/EIA, Perry Lindstrom, 202/586-0934, param_22.xls, nonfuel_22.xls, November 2023 and EPA carbon content coefficient research from the MER.</t>
  </si>
  <si>
    <t>Other fuel factors obtained from various EIA documents, especially Annual Energy Review. Most heat contents are not used, because the data is already in TBtu.</t>
  </si>
  <si>
    <t xml:space="preserve">Carbon </t>
  </si>
  <si>
    <t>Fraction</t>
  </si>
  <si>
    <t>Content</t>
  </si>
  <si>
    <t>Of Non-Energy</t>
  </si>
  <si>
    <t>Heat</t>
  </si>
  <si>
    <t>Coefficient</t>
  </si>
  <si>
    <t>Use of Fuels</t>
  </si>
  <si>
    <t>(MMT Carbon/QBtu)</t>
  </si>
  <si>
    <t>Oxidized</t>
  </si>
  <si>
    <t>Sequestered</t>
  </si>
  <si>
    <t>(MMBtu/Ston)</t>
  </si>
  <si>
    <t>variable</t>
  </si>
  <si>
    <t>Annually Variable Carbon Content Coefficients (MMT Carbon/QBtu)</t>
  </si>
  <si>
    <t>NC</t>
  </si>
  <si>
    <t>Electric Power Coal</t>
  </si>
  <si>
    <t>U.S. Territory Coal Imports (Bit.)</t>
  </si>
  <si>
    <t>(Btu/ft^3)</t>
  </si>
  <si>
    <t>HGL (Energy Use)</t>
  </si>
  <si>
    <t>HGL (Non-Energy Use)</t>
  </si>
  <si>
    <t>NG for Nitrogenous Fertilizers</t>
  </si>
  <si>
    <t>NG for Other Non-fuel Uses</t>
  </si>
  <si>
    <t>Flare Gas</t>
  </si>
  <si>
    <t>(MMBtu/barrel)</t>
  </si>
  <si>
    <t>Jet Fuel (Kerosene)</t>
  </si>
  <si>
    <t>Jet Fuel &amp; Kerosene (Territories)</t>
  </si>
  <si>
    <t>Annually Variable Heat Contents</t>
  </si>
  <si>
    <t>HGL (energy use/Territories)</t>
  </si>
  <si>
    <t>Natural Gas (Btu/ft^3)</t>
  </si>
  <si>
    <t>HGL (non-energy use)</t>
  </si>
  <si>
    <t>Motor Gasoline (Million Btu per Barrel)</t>
  </si>
  <si>
    <t>Distillate Fuel Oil (Million Btu per Barrel)</t>
  </si>
  <si>
    <r>
      <t>Source: Coal carbon contents - USGS COALQUAL Database and EIA's Annual Coal Report; Petroleum and natural gas carbon contents - EIA's in-house research program (Perry Lindstrom); Motor Gasoline and distillate fuel oil carbon contents from EPA (2020) Memo: "</t>
    </r>
    <r>
      <rPr>
        <i/>
        <sz val="10"/>
        <rFont val="Times New Roman"/>
        <family val="1"/>
      </rPr>
      <t>Updated Gasoline and Diesel Fuel CO2 Emission Factors</t>
    </r>
    <r>
      <rPr>
        <sz val="10"/>
        <rFont val="Times New Roman"/>
        <family val="1"/>
      </rPr>
      <t xml:space="preserve">". </t>
    </r>
  </si>
  <si>
    <t>Motor Gasoline (Territories)</t>
  </si>
  <si>
    <t xml:space="preserve">Source: Annually variable heat contents obtained from EIA's November MER 2023, Table A3 "Approximate Heat Content of Petroleum Consumption" (1990-1999) and Table A4 "Approximate Heat Content of Natural Gas."  Motor gasoline heat content from EIA's November MER 2023. Distillate fuel oil heat content is constant (1990-2022) and obtained from EIA's November MER 2023, Table A1 "Approximate Heat Content of Petroleum and Other Liquids". </t>
  </si>
  <si>
    <t>Petroleum Feedstock Storage Factor</t>
  </si>
  <si>
    <t>Feedstock</t>
  </si>
  <si>
    <t>The approach for characterizing emissions from non-energy uses of feedstocks relies on a mass balance approach, in which total carbon is</t>
  </si>
  <si>
    <t>allocated between long-term storage in products and losses through emissive processes. The overall balance is expressed as a storage factor.</t>
  </si>
  <si>
    <t xml:space="preserve">See Annex B or "C storage summary.xls" for more details. </t>
  </si>
  <si>
    <t>Misc. Products (Territories)</t>
  </si>
  <si>
    <t>C to CO2</t>
  </si>
  <si>
    <t>CO2 to C</t>
  </si>
  <si>
    <r>
      <t>GWP CH</t>
    </r>
    <r>
      <rPr>
        <b/>
        <vertAlign val="subscript"/>
        <sz val="10"/>
        <rFont val="Times New Roman"/>
        <family val="1"/>
      </rPr>
      <t>4</t>
    </r>
  </si>
  <si>
    <t>Petrochemical Feedstocks</t>
  </si>
  <si>
    <t>5.248-5.825</t>
  </si>
  <si>
    <t>Qbtu/TBtu</t>
  </si>
  <si>
    <t>Tbtu/MMBtu</t>
  </si>
  <si>
    <t>Natural Gasoline</t>
  </si>
  <si>
    <t>Btu/BBtu</t>
  </si>
  <si>
    <t>Plant Condensate</t>
  </si>
  <si>
    <r>
      <t>GWP N</t>
    </r>
    <r>
      <rPr>
        <b/>
        <vertAlign val="subscript"/>
        <sz val="10"/>
        <rFont val="Times New Roman"/>
        <family val="1"/>
      </rPr>
      <t>2</t>
    </r>
    <r>
      <rPr>
        <b/>
        <sz val="10"/>
        <rFont val="Times New Roman"/>
        <family val="1"/>
      </rPr>
      <t>O</t>
    </r>
  </si>
  <si>
    <t>days/year</t>
  </si>
  <si>
    <t>Still Gas (non-energy)</t>
  </si>
  <si>
    <t>Short tons to Metric tons</t>
  </si>
  <si>
    <t>Lbs. to Short Tons</t>
  </si>
  <si>
    <t>Unfractionated Stream</t>
  </si>
  <si>
    <t>MMT/Metric ton</t>
  </si>
  <si>
    <t>Btu/kWh</t>
  </si>
  <si>
    <t>Special Factor for Utility Sector Residual Fuel</t>
  </si>
  <si>
    <t>Electricity Conversions</t>
  </si>
  <si>
    <t>billion kWh/thousand kWh</t>
  </si>
  <si>
    <t>NC (Not Calculated)</t>
  </si>
  <si>
    <t>billion kWh/kWh</t>
  </si>
  <si>
    <t>- Not applicable</t>
  </si>
  <si>
    <t>electricity heat rate (Btu/kWh)</t>
  </si>
  <si>
    <t>Million kWh/thousand kWh</t>
  </si>
  <si>
    <t>Source: EIA's November MER 2023, Table A6 "Approximate Heat Rates for Electricity, and Heat Content of Electricity"</t>
  </si>
  <si>
    <t>Geothermal Emission Factors</t>
  </si>
  <si>
    <t>Geotype</t>
  </si>
  <si>
    <r>
      <t>CO</t>
    </r>
    <r>
      <rPr>
        <b/>
        <vertAlign val="subscript"/>
        <sz val="10"/>
        <color theme="1"/>
        <rFont val="Times New Roman"/>
        <family val="1"/>
      </rPr>
      <t>2</t>
    </r>
    <r>
      <rPr>
        <b/>
        <sz val="10"/>
        <color theme="1"/>
        <rFont val="Times New Roman"/>
        <family val="1"/>
      </rPr>
      <t xml:space="preserve"> EF (lb/mWh)</t>
    </r>
  </si>
  <si>
    <r>
      <t>CO</t>
    </r>
    <r>
      <rPr>
        <b/>
        <vertAlign val="subscript"/>
        <sz val="10"/>
        <color theme="1"/>
        <rFont val="Times New Roman"/>
        <family val="1"/>
      </rPr>
      <t>2</t>
    </r>
    <r>
      <rPr>
        <b/>
        <sz val="10"/>
        <color theme="1"/>
        <rFont val="Times New Roman"/>
        <family val="1"/>
      </rPr>
      <t xml:space="preserve"> EF (MMT Carbon/QBtu)</t>
    </r>
  </si>
  <si>
    <t>Flash</t>
  </si>
  <si>
    <t>Steam</t>
  </si>
  <si>
    <t>Binary</t>
  </si>
  <si>
    <t>Binary/Flash</t>
  </si>
  <si>
    <t>Aggregate EF</t>
  </si>
  <si>
    <t>Source: EPA's eGRID2019 Technical Support Document, Table C-6 (https://www.epa.gov/sites/production/files/2021-02/documents/egrid2019_technical_guide.pdf)</t>
  </si>
  <si>
    <t>Natural Gas Carbon Content Conversion Factors</t>
  </si>
  <si>
    <t>Intercept</t>
  </si>
  <si>
    <t>X Variable 1</t>
  </si>
  <si>
    <t>Source: Natural Gas Carbon Content Updates_3_5_20.xls</t>
  </si>
  <si>
    <t>Non-Energy (Non-Fuel) Use</t>
  </si>
  <si>
    <t xml:space="preserve">Source: DOE/EIA, EIA_outputs_to_EPA 1990-2022_ER.xlsx/Non-Energy Use, Import Export 2022 09.12.23.xls, NEU C Storage_1990-2022_ER.xlsx. </t>
  </si>
  <si>
    <t>Non-energy consumption (TBtu)</t>
  </si>
  <si>
    <t>Industry</t>
  </si>
  <si>
    <t>Natural Gas to Chemical Plants, Other Uses</t>
  </si>
  <si>
    <t>Asphalt &amp; Road Oil**</t>
  </si>
  <si>
    <t>Lubricants **</t>
  </si>
  <si>
    <t>Naphtha (&lt;401 deg. F) **</t>
  </si>
  <si>
    <t>Other Oil (&gt;401 deg. F) **</t>
  </si>
  <si>
    <t>Special Naphtha **</t>
  </si>
  <si>
    <t>Other (Wax/Misc.)</t>
  </si>
  <si>
    <t>Waxes **</t>
  </si>
  <si>
    <t>Miscellaneous Products **</t>
  </si>
  <si>
    <t>**For these fuels, we assume 100% of consumption is for non-energy uses. This is similar (but not exact) to EIA assumptions</t>
  </si>
  <si>
    <t>Adjustments for Exports</t>
  </si>
  <si>
    <t>Petrochemical Feedstock Distribution (for distributing the adjustment)</t>
  </si>
  <si>
    <t>Natural Gas to Chemical Plants (Other Uses)</t>
  </si>
  <si>
    <t>Petrochemical Feedstock Adjustment (MMTCE) - Need to adjust original data by these amounts due to exports</t>
  </si>
  <si>
    <t>Total Adjustment</t>
  </si>
  <si>
    <t>Adjustment #1</t>
  </si>
  <si>
    <t>Petrochemical Feedstock Adjustment (TBtu) - Need to adjust original data by these amounts due to exports</t>
  </si>
  <si>
    <t>Adjustment #2</t>
  </si>
  <si>
    <t>Adjustments for Processes Assessed in the IP Chapter (TBtu)</t>
  </si>
  <si>
    <t>Other Oils (Carbon Black)</t>
  </si>
  <si>
    <t>Pet Coke (Aluminum)</t>
  </si>
  <si>
    <t>Pet Coke (Ferroalloy)</t>
  </si>
  <si>
    <t>Pet Coke (Titanium Dioxide)</t>
  </si>
  <si>
    <t>Pet Coke (Ammonia)</t>
  </si>
  <si>
    <t>Pet Coke (Silicon Carbide)</t>
  </si>
  <si>
    <t>Adjusted Non-Energy Consumption (Tbtu)</t>
  </si>
  <si>
    <t>NEU Checker:</t>
  </si>
  <si>
    <t>Feedstocks</t>
  </si>
  <si>
    <t>Asphalt</t>
  </si>
  <si>
    <t xml:space="preserve">Lubricants </t>
  </si>
  <si>
    <t>check</t>
  </si>
  <si>
    <t>Potential Carbon Emissions (MMT Carbon)</t>
  </si>
  <si>
    <t>Petroleum Coke (corrected)</t>
  </si>
  <si>
    <t>Values entered</t>
  </si>
  <si>
    <t>on Factors sheet.</t>
  </si>
  <si>
    <t>Carbon Stored in Products (MMT Carbon)</t>
  </si>
  <si>
    <t>Carbon Emitted from Non-Energy Uses of Fuels (MMT CO2 Eq.)</t>
  </si>
  <si>
    <t>20-22</t>
  </si>
  <si>
    <t>Carbon Stored in Products (MMT CO2 Eq.)</t>
  </si>
  <si>
    <t>x</t>
  </si>
  <si>
    <t xml:space="preserve">Coal </t>
  </si>
  <si>
    <t>Geothermal Emissions</t>
  </si>
  <si>
    <t xml:space="preserve">Calculates geothermal emissions using disaggregated net generation data by geotype from EIA and applies specific emission factors for each geotype. </t>
  </si>
  <si>
    <t>Source: EIA, Form EIA-906/920/923 (https://www.eia.gov/electricity/data/eia923/)</t>
  </si>
  <si>
    <t>Net Generation by Geotype (mWh)</t>
  </si>
  <si>
    <t>Flash Steam</t>
  </si>
  <si>
    <t>Dry Steam</t>
  </si>
  <si>
    <r>
      <t>CO</t>
    </r>
    <r>
      <rPr>
        <b/>
        <vertAlign val="subscript"/>
        <sz val="10"/>
        <color theme="1"/>
        <rFont val="Times New Roman"/>
        <family val="1"/>
      </rPr>
      <t>2</t>
    </r>
    <r>
      <rPr>
        <b/>
        <sz val="10"/>
        <color theme="1"/>
        <rFont val="Times New Roman"/>
        <family val="1"/>
      </rPr>
      <t xml:space="preserve"> Emissions from Geothermal (MMT CO</t>
    </r>
    <r>
      <rPr>
        <b/>
        <vertAlign val="subscript"/>
        <sz val="10"/>
        <color theme="1"/>
        <rFont val="Times New Roman"/>
        <family val="1"/>
      </rPr>
      <t>2</t>
    </r>
    <r>
      <rPr>
        <b/>
        <sz val="10"/>
        <color theme="1"/>
        <rFont val="Times New Roman"/>
        <family val="1"/>
      </rPr>
      <t xml:space="preserve"> Eq.)</t>
    </r>
  </si>
  <si>
    <t>Net Generation by Geotype (kWh)</t>
  </si>
  <si>
    <t>This sheet presents tables used in the Energy and other Crosscutting Chapters.</t>
  </si>
  <si>
    <r>
      <t>Adjusted Non-Energy Use</t>
    </r>
    <r>
      <rPr>
        <b/>
        <vertAlign val="superscript"/>
        <sz val="10"/>
        <rFont val="Times New Roman"/>
        <family val="1"/>
      </rPr>
      <t>a</t>
    </r>
    <r>
      <rPr>
        <b/>
        <sz val="10"/>
        <rFont val="Times New Roman"/>
        <family val="1"/>
      </rPr>
      <t xml:space="preserve"> (TBtu)</t>
    </r>
  </si>
  <si>
    <t>Carbon Content Coefficient (Tg C/QBtu)</t>
  </si>
  <si>
    <t>Potential Carbon (MMT C)</t>
  </si>
  <si>
    <t>Fraction Sequestered</t>
  </si>
  <si>
    <t>Carbon Stored (MMT C)</t>
  </si>
  <si>
    <t>Carbon Emitted (MMT C)</t>
  </si>
  <si>
    <r>
      <t>Carbon Emitted (MMT CO</t>
    </r>
    <r>
      <rPr>
        <b/>
        <vertAlign val="subscript"/>
        <sz val="10"/>
        <rFont val="Times New Roman"/>
        <family val="1"/>
      </rPr>
      <t>2</t>
    </r>
    <r>
      <rPr>
        <b/>
        <sz val="10"/>
        <rFont val="Times New Roman"/>
        <family val="1"/>
      </rPr>
      <t xml:space="preserve"> Eq.)</t>
    </r>
  </si>
  <si>
    <r>
      <t>Table 2-6:  CO</t>
    </r>
    <r>
      <rPr>
        <vertAlign val="subscript"/>
        <sz val="10"/>
        <rFont val="Times New Roman"/>
        <family val="1"/>
      </rPr>
      <t>2</t>
    </r>
    <r>
      <rPr>
        <sz val="10"/>
        <rFont val="Times New Roman"/>
        <family val="1"/>
      </rPr>
      <t xml:space="preserve"> Emissions from Fossil Fuel Combustion by End-Use Sector (MMT CO</t>
    </r>
    <r>
      <rPr>
        <vertAlign val="subscript"/>
        <sz val="10"/>
        <rFont val="Times New Roman"/>
        <family val="1"/>
      </rPr>
      <t>2</t>
    </r>
    <r>
      <rPr>
        <sz val="10"/>
        <rFont val="Times New Roman"/>
        <family val="1"/>
      </rPr>
      <t xml:space="preserve"> Eq.)</t>
    </r>
  </si>
  <si>
    <t>End-Use Sector</t>
  </si>
  <si>
    <t>90-22 % Change</t>
  </si>
  <si>
    <t>% Electricity</t>
  </si>
  <si>
    <t>% of Emissions</t>
  </si>
  <si>
    <t>Combustion</t>
  </si>
  <si>
    <t>Electricity</t>
  </si>
  <si>
    <r>
      <t>Table 2-10:  Change in CO</t>
    </r>
    <r>
      <rPr>
        <vertAlign val="subscript"/>
        <sz val="10"/>
        <rFont val="Times New Roman"/>
        <family val="1"/>
      </rPr>
      <t>2</t>
    </r>
    <r>
      <rPr>
        <sz val="10"/>
        <rFont val="Times New Roman"/>
        <family val="1"/>
      </rPr>
      <t xml:space="preserve"> Emissions from Direct Fossil Fuel Combustion Since 1990 (MMT CO</t>
    </r>
    <r>
      <rPr>
        <vertAlign val="subscript"/>
        <sz val="10"/>
        <rFont val="Times New Roman"/>
        <family val="1"/>
      </rPr>
      <t>2</t>
    </r>
    <r>
      <rPr>
        <sz val="10"/>
        <rFont val="Times New Roman"/>
        <family val="1"/>
      </rPr>
      <t xml:space="preserve"> Eq.)</t>
    </r>
  </si>
  <si>
    <r>
      <t>a</t>
    </r>
    <r>
      <rPr>
        <sz val="10"/>
        <rFont val="Times New Roman"/>
        <family val="1"/>
      </rPr>
      <t xml:space="preserve"> These values are adjusted for 1) fuel used in processes for which emisisons are estimated separately, 2) exports</t>
    </r>
  </si>
  <si>
    <t>for industrial process consumption, and 3) Natural gas, LPG, Pentanes +, Naphthas, and Other Oils are adjusted to account.</t>
  </si>
  <si>
    <t>for exports of chemical intermediates derived from these fuels. Values in this column reflect these adjustments.</t>
  </si>
  <si>
    <r>
      <t>Table 2-4: Fossil Fuel Carbon in Products (MMT CO</t>
    </r>
    <r>
      <rPr>
        <vertAlign val="subscript"/>
        <sz val="10"/>
        <rFont val="Times New Roman"/>
        <family val="1"/>
      </rPr>
      <t>2</t>
    </r>
    <r>
      <rPr>
        <sz val="10"/>
        <rFont val="Times New Roman"/>
        <family val="1"/>
      </rPr>
      <t xml:space="preserve"> Eq.)</t>
    </r>
  </si>
  <si>
    <t>Category/Sector</t>
  </si>
  <si>
    <t>Fossil Fuel Carbon in Products</t>
  </si>
  <si>
    <r>
      <t>Table 2-5: CO</t>
    </r>
    <r>
      <rPr>
        <vertAlign val="subscript"/>
        <sz val="10"/>
        <rFont val="Times New Roman"/>
        <family val="1"/>
      </rPr>
      <t>2</t>
    </r>
    <r>
      <rPr>
        <sz val="10"/>
        <rFont val="Times New Roman"/>
        <family val="1"/>
      </rPr>
      <t xml:space="preserve"> Emissions from International Bunker Fuel Combustion (MMT CO</t>
    </r>
    <r>
      <rPr>
        <vertAlign val="subscript"/>
        <sz val="10"/>
        <rFont val="Times New Roman"/>
        <family val="1"/>
      </rPr>
      <t>2</t>
    </r>
    <r>
      <rPr>
        <sz val="10"/>
        <rFont val="Times New Roman"/>
        <family val="1"/>
      </rPr>
      <t xml:space="preserve"> Eq.)</t>
    </r>
  </si>
  <si>
    <t>Aviation</t>
  </si>
  <si>
    <t>Marine</t>
  </si>
  <si>
    <r>
      <t>Box 1 Table 3. Annual Change in CO</t>
    </r>
    <r>
      <rPr>
        <vertAlign val="subscript"/>
        <sz val="10"/>
        <rFont val="Times New Roman"/>
        <family val="1"/>
      </rPr>
      <t>2</t>
    </r>
    <r>
      <rPr>
        <sz val="10"/>
        <rFont val="Times New Roman"/>
        <family val="1"/>
      </rPr>
      <t xml:space="preserve"> Emissions from Fossil Fuel Combustion by Sector and Fuel Type (MMT CO</t>
    </r>
    <r>
      <rPr>
        <vertAlign val="subscript"/>
        <sz val="10"/>
        <rFont val="Times New Roman"/>
        <family val="1"/>
      </rPr>
      <t>2</t>
    </r>
    <r>
      <rPr>
        <sz val="10"/>
        <rFont val="Times New Roman"/>
        <family val="1"/>
      </rPr>
      <t xml:space="preserve"> Eq.)</t>
    </r>
  </si>
  <si>
    <r>
      <t>Table 2-12:  Storage and Emissions from Non-Energy Fossil Fuel Consumption (MMT CO</t>
    </r>
    <r>
      <rPr>
        <vertAlign val="subscript"/>
        <sz val="10"/>
        <rFont val="Times New Roman"/>
        <family val="1"/>
      </rPr>
      <t>2</t>
    </r>
    <r>
      <rPr>
        <sz val="10"/>
        <rFont val="Times New Roman"/>
        <family val="1"/>
      </rPr>
      <t xml:space="preserve"> Eq.)  </t>
    </r>
  </si>
  <si>
    <t>Variable</t>
  </si>
  <si>
    <t>Potential Emissions</t>
  </si>
  <si>
    <t>Carbon Stored</t>
  </si>
  <si>
    <t>Weighted average Storage Factor</t>
  </si>
  <si>
    <t>Emissions as a % of Potential</t>
  </si>
  <si>
    <r>
      <t>Table 3‑9: CO</t>
    </r>
    <r>
      <rPr>
        <vertAlign val="subscript"/>
        <sz val="10"/>
        <rFont val="Times New Roman"/>
        <family val="1"/>
      </rPr>
      <t>2</t>
    </r>
    <r>
      <rPr>
        <sz val="10"/>
        <rFont val="Times New Roman"/>
        <family val="1"/>
      </rPr>
      <t xml:space="preserve"> Emissions from Stationary Fossil Fuel Combustion (MMT CO</t>
    </r>
    <r>
      <rPr>
        <vertAlign val="subscript"/>
        <sz val="10"/>
        <rFont val="Times New Roman"/>
        <family val="1"/>
      </rPr>
      <t>2</t>
    </r>
    <r>
      <rPr>
        <sz val="10"/>
        <rFont val="Times New Roman"/>
        <family val="1"/>
      </rPr>
      <t xml:space="preserve"> Eq.)</t>
    </r>
  </si>
  <si>
    <t>20-22 % Change</t>
  </si>
  <si>
    <t>Fuel Oil</t>
  </si>
  <si>
    <t>Output for IndCalcs</t>
  </si>
  <si>
    <t>This sheet lists values from CO2FFC that are pulled into the IndCalcs estimates.</t>
  </si>
  <si>
    <t>Fuels that are inputs into IP processes (TBtu)</t>
  </si>
  <si>
    <t>Output for Mobile</t>
  </si>
  <si>
    <t>This sheet lists values from CO2FFC that are pulled into the mobile combustion estimates.</t>
  </si>
  <si>
    <t>Fuels that are inputs into Transport.xls and Mobile.xls (TBtu)</t>
  </si>
  <si>
    <t>Aviation Jet Fuel (Bunkers)</t>
  </si>
  <si>
    <r>
      <t>CO</t>
    </r>
    <r>
      <rPr>
        <b/>
        <vertAlign val="subscript"/>
        <sz val="10"/>
        <rFont val="Times New Roman"/>
        <family val="1"/>
      </rPr>
      <t>2</t>
    </r>
    <r>
      <rPr>
        <b/>
        <sz val="10"/>
        <rFont val="Times New Roman"/>
        <family val="1"/>
      </rPr>
      <t xml:space="preserve"> Emissions (MMT CO</t>
    </r>
    <r>
      <rPr>
        <b/>
        <vertAlign val="subscript"/>
        <sz val="10"/>
        <rFont val="Times New Roman"/>
        <family val="1"/>
      </rPr>
      <t>2</t>
    </r>
    <r>
      <rPr>
        <b/>
        <sz val="10"/>
        <rFont val="Times New Roman"/>
        <family val="1"/>
      </rPr>
      <t xml:space="preserve"> Eq.)</t>
    </r>
  </si>
  <si>
    <t>Distillate Fuel Oil (Diesel Fuel)</t>
  </si>
  <si>
    <t>Residual Fuel Oil</t>
  </si>
  <si>
    <t>EIA electricity consumption for rail used as inputs to Transport.xls (Billion kilowatthours)</t>
  </si>
  <si>
    <t>Source: EIA's Monthly Energy Review, Table 7.6 Electricity End Use</t>
  </si>
  <si>
    <t>Difference from Previous Year's Consumption (BY2021 / FR2021)</t>
  </si>
  <si>
    <t>This sheet calculates differences in energy consumption relative to the previous Inventory Year</t>
  </si>
  <si>
    <t>Actual 2007 Difference</t>
  </si>
  <si>
    <t>Actual 2008 Difference</t>
  </si>
  <si>
    <t>Actual 2009 Difference</t>
  </si>
  <si>
    <t>Actual 2010 Difference</t>
  </si>
  <si>
    <t>Actual 2011 Difference</t>
  </si>
  <si>
    <t>Actual 2012 Difference</t>
  </si>
  <si>
    <t>Actual 2013 Difference</t>
  </si>
  <si>
    <t>Actual 2014 Difference</t>
  </si>
  <si>
    <t>Actual 2015 Difference</t>
  </si>
  <si>
    <t>Actual 2016 Difference</t>
  </si>
  <si>
    <t>Actual 2017 Difference</t>
  </si>
  <si>
    <t>Actual 2018 Difference</t>
  </si>
  <si>
    <t>Actual 2019 Difference</t>
  </si>
  <si>
    <t>Actual 2020 Difference</t>
  </si>
  <si>
    <t>Actual 2021 Difference</t>
  </si>
  <si>
    <t>Non-energy consumption (TBtu) PERCENT COMPARISON</t>
  </si>
  <si>
    <t>Non-energy consumption (TBtu) ACTUAL COMPARISON</t>
  </si>
  <si>
    <t>[Taken from International Bunkers.xls spreadsheet]</t>
  </si>
  <si>
    <t xml:space="preserve">The main purpose of this data is to allocate emissions from the electric power sector to the end use sectors. </t>
  </si>
  <si>
    <t>Source: Residential, commercial, industrial, and transportation data obtained from EIA's Annual Energy Review 2010, Table 8.9 "Electricity End-Use"  and Table 2.1e "Transportation Sector Energy Consumption."</t>
  </si>
  <si>
    <t>Residential is as reported in AER, Table 8.9.  Commercial is interpreted as the sum of the "commercial" and "other" categories in AER, Table 8.9 minus transportation calculated from AER, Table 2.1e.</t>
  </si>
  <si>
    <t>Industrial is interpreted as the sum of the "industrial" retail sales category and "direct use" category as reported in AER, Table 8.9. (Direct use is included so that emissions from direct use</t>
  </si>
  <si>
    <t>by the electric power sector is included in the industrial sector.)</t>
  </si>
  <si>
    <t>Transportation is taken in BBtu from AER, Table 2.1e and converted to billion kilowatthours.</t>
  </si>
  <si>
    <t>Note:  All estimates have been revised from 1990 - 2015 based on new data.</t>
  </si>
  <si>
    <t>Transportation Correction</t>
  </si>
  <si>
    <t>2020 BY Estimates</t>
  </si>
  <si>
    <t>Source: International Bunker Fuels 90-21_12_02_22_ER.xls</t>
  </si>
  <si>
    <t>Residential and Commercial are as reported in AER, Table 8.9.</t>
  </si>
  <si>
    <r>
      <t>CO</t>
    </r>
    <r>
      <rPr>
        <b/>
        <vertAlign val="subscript"/>
        <sz val="14"/>
        <rFont val="Times New Roman"/>
        <family val="1"/>
      </rPr>
      <t>2</t>
    </r>
    <r>
      <rPr>
        <b/>
        <sz val="14"/>
        <rFont val="Times New Roman"/>
        <family val="1"/>
      </rPr>
      <t xml:space="preserve"> Emissions from Energy Consumption by End-Use Sector</t>
    </r>
  </si>
  <si>
    <t>This sheet apportions electricity related emissions to the 4 end-use sectors, based on their relative electricity consumption.</t>
  </si>
  <si>
    <t>Electricity Consumption by End-Use (Billion Kilowatt-hours)</t>
  </si>
  <si>
    <t>Note:  Totals may not equal the sum of components due to independent rounding.</t>
  </si>
  <si>
    <t>Annual Change</t>
  </si>
  <si>
    <t>Fraction of Total Electricity Consumption (Percent)</t>
  </si>
  <si>
    <r>
      <t>Electric Power Total Emissions (MMT CO</t>
    </r>
    <r>
      <rPr>
        <b/>
        <vertAlign val="subscript"/>
        <sz val="10"/>
        <rFont val="Times New Roman"/>
        <family val="1"/>
      </rPr>
      <t>2</t>
    </r>
    <r>
      <rPr>
        <b/>
        <sz val="10"/>
        <rFont val="Times New Roman"/>
        <family val="1"/>
      </rPr>
      <t xml:space="preserve"> Eq.)</t>
    </r>
  </si>
  <si>
    <r>
      <t>Apportioned Emissions from Electricity Consumption (MMT CO</t>
    </r>
    <r>
      <rPr>
        <b/>
        <vertAlign val="subscript"/>
        <sz val="10"/>
        <rFont val="Times New Roman"/>
        <family val="1"/>
      </rPr>
      <t>2</t>
    </r>
    <r>
      <rPr>
        <b/>
        <sz val="10"/>
        <rFont val="Times New Roman"/>
        <family val="1"/>
      </rPr>
      <t xml:space="preserve"> Eq.)</t>
    </r>
  </si>
  <si>
    <r>
      <t>UnApportioned End-Use Sector Emissions (MMT CO</t>
    </r>
    <r>
      <rPr>
        <b/>
        <vertAlign val="subscript"/>
        <sz val="10"/>
        <rFont val="Times New Roman"/>
        <family val="1"/>
      </rPr>
      <t>2</t>
    </r>
    <r>
      <rPr>
        <b/>
        <sz val="10"/>
        <rFont val="Times New Roman"/>
        <family val="1"/>
      </rPr>
      <t xml:space="preserve"> Eq.)</t>
    </r>
  </si>
  <si>
    <r>
      <t>Fossil Fuel Combustion Emissions by End-Use Sector (MMT CO</t>
    </r>
    <r>
      <rPr>
        <b/>
        <vertAlign val="subscript"/>
        <sz val="10"/>
        <rFont val="Times New Roman"/>
        <family val="1"/>
      </rPr>
      <t>2</t>
    </r>
    <r>
      <rPr>
        <b/>
        <sz val="10"/>
        <rFont val="Times New Roman"/>
        <family val="1"/>
      </rPr>
      <t xml:space="preserve"> Eq.)</t>
    </r>
  </si>
  <si>
    <t>Percent of Total</t>
  </si>
  <si>
    <t>Average Percent of Total</t>
  </si>
  <si>
    <t>90-02 Percent Change in Sales</t>
  </si>
  <si>
    <t>90-10 Percent Change in Sales</t>
  </si>
  <si>
    <t>02-03 Percent Change in Sales</t>
  </si>
  <si>
    <t>03-04 Percent Change in Sales</t>
  </si>
  <si>
    <t>05-06 Percent Change in Sales</t>
  </si>
  <si>
    <t>06-07 Percent Change in Sales</t>
  </si>
  <si>
    <t>07-08 Percent Change in Sales</t>
  </si>
  <si>
    <t>08-09 Percent Change in Sales</t>
  </si>
  <si>
    <t>09-10 Percent Change in Sales</t>
  </si>
  <si>
    <t>10-11 Percent Change in Sales</t>
  </si>
  <si>
    <t>11-12 Percent Change in Sales</t>
  </si>
  <si>
    <t>12-13 Percent Change in Sales</t>
  </si>
  <si>
    <t>13-14 Percent Change in Sales</t>
  </si>
  <si>
    <t>14-15 Percent Change in Sales</t>
  </si>
  <si>
    <t>15-16 Percent Change in Sales</t>
  </si>
  <si>
    <t>16-17 Percent Change in Sales</t>
  </si>
  <si>
    <t>17-18 Percent Change in Sales</t>
  </si>
  <si>
    <t>18-19 Percent Change in Sales</t>
  </si>
  <si>
    <t>19-20 Percent Change in Sales</t>
  </si>
  <si>
    <t>20-21 Percent Change in Sales</t>
  </si>
  <si>
    <t>21-22 Percent Change in Sales</t>
  </si>
  <si>
    <r>
      <t>Electricity Distributed for CH</t>
    </r>
    <r>
      <rPr>
        <b/>
        <vertAlign val="subscript"/>
        <sz val="10"/>
        <rFont val="Times New Roman"/>
        <family val="1"/>
      </rPr>
      <t>4</t>
    </r>
    <r>
      <rPr>
        <b/>
        <sz val="10"/>
        <rFont val="Times New Roman"/>
        <family val="1"/>
      </rPr>
      <t xml:space="preserve"> and N</t>
    </r>
    <r>
      <rPr>
        <b/>
        <vertAlign val="subscript"/>
        <sz val="10"/>
        <rFont val="Times New Roman"/>
        <family val="1"/>
      </rPr>
      <t>2</t>
    </r>
    <r>
      <rPr>
        <b/>
        <sz val="10"/>
        <rFont val="Times New Roman"/>
        <family val="1"/>
      </rPr>
      <t>O emissions</t>
    </r>
  </si>
  <si>
    <t>Electricity Consumption</t>
  </si>
  <si>
    <t>Non-Electricity Consumption</t>
  </si>
  <si>
    <r>
      <t>CO</t>
    </r>
    <r>
      <rPr>
        <b/>
        <vertAlign val="subscript"/>
        <sz val="14"/>
        <rFont val="Times New Roman"/>
        <family val="1"/>
      </rPr>
      <t>2</t>
    </r>
    <r>
      <rPr>
        <b/>
        <sz val="14"/>
        <rFont val="Times New Roman"/>
        <family val="1"/>
      </rPr>
      <t>, CH</t>
    </r>
    <r>
      <rPr>
        <b/>
        <vertAlign val="subscript"/>
        <sz val="14"/>
        <rFont val="Times New Roman"/>
        <family val="1"/>
      </rPr>
      <t>4</t>
    </r>
    <r>
      <rPr>
        <b/>
        <sz val="14"/>
        <rFont val="Times New Roman"/>
        <family val="1"/>
      </rPr>
      <t>, and N</t>
    </r>
    <r>
      <rPr>
        <b/>
        <vertAlign val="subscript"/>
        <sz val="14"/>
        <rFont val="Times New Roman"/>
        <family val="1"/>
      </rPr>
      <t>2</t>
    </r>
    <r>
      <rPr>
        <b/>
        <sz val="14"/>
        <rFont val="Times New Roman"/>
        <family val="1"/>
      </rPr>
      <t>O Emissions from Fossil Fuel Combustion</t>
    </r>
  </si>
  <si>
    <t>Sources: Stationary Calcs 90-22_12_12_23_PR.xls, Annex Supplement 1990-2022.xls, mobile 1990-2022_12_11_23.xls</t>
  </si>
  <si>
    <r>
      <t>Table X-X: CO</t>
    </r>
    <r>
      <rPr>
        <b/>
        <vertAlign val="subscript"/>
        <sz val="10"/>
        <rFont val="Times New Roman"/>
        <family val="1"/>
      </rPr>
      <t>2</t>
    </r>
    <r>
      <rPr>
        <b/>
        <sz val="10"/>
        <rFont val="Times New Roman"/>
        <family val="1"/>
      </rPr>
      <t>, CH</t>
    </r>
    <r>
      <rPr>
        <b/>
        <vertAlign val="subscript"/>
        <sz val="10"/>
        <rFont val="Times New Roman"/>
        <family val="1"/>
      </rPr>
      <t>4</t>
    </r>
    <r>
      <rPr>
        <b/>
        <sz val="10"/>
        <rFont val="Times New Roman"/>
        <family val="1"/>
      </rPr>
      <t>, and N</t>
    </r>
    <r>
      <rPr>
        <b/>
        <vertAlign val="subscript"/>
        <sz val="10"/>
        <rFont val="Times New Roman"/>
        <family val="1"/>
      </rPr>
      <t>2</t>
    </r>
    <r>
      <rPr>
        <b/>
        <sz val="10"/>
        <rFont val="Times New Roman"/>
        <family val="1"/>
      </rPr>
      <t>O Emissions from Fossil Fuel Combustion by Sector (Excluding Electricity Emissions) (MMT CO2 Eq.)</t>
    </r>
  </si>
  <si>
    <t>Sector/Gas</t>
  </si>
  <si>
    <t>excludes U.S. territories</t>
  </si>
  <si>
    <t>includes U.S. territories</t>
  </si>
  <si>
    <t>%of total</t>
  </si>
  <si>
    <r>
      <t>CH</t>
    </r>
    <r>
      <rPr>
        <vertAlign val="subscript"/>
        <sz val="10"/>
        <rFont val="Times New Roman"/>
        <family val="1"/>
      </rPr>
      <t>4</t>
    </r>
  </si>
  <si>
    <r>
      <t>N</t>
    </r>
    <r>
      <rPr>
        <vertAlign val="subscript"/>
        <sz val="10"/>
        <rFont val="Times New Roman"/>
        <family val="1"/>
      </rPr>
      <t>2</t>
    </r>
    <r>
      <rPr>
        <sz val="10"/>
        <rFont val="Times New Roman"/>
        <family val="1"/>
      </rPr>
      <t>O</t>
    </r>
  </si>
  <si>
    <t>CO2 check</t>
  </si>
  <si>
    <t>CH4 check</t>
  </si>
  <si>
    <t>N2O check</t>
  </si>
  <si>
    <r>
      <t>Table X-X: CO</t>
    </r>
    <r>
      <rPr>
        <b/>
        <vertAlign val="subscript"/>
        <sz val="10"/>
        <rFont val="Times New Roman"/>
        <family val="1"/>
      </rPr>
      <t>2</t>
    </r>
    <r>
      <rPr>
        <b/>
        <sz val="10"/>
        <rFont val="Times New Roman"/>
        <family val="1"/>
      </rPr>
      <t>, CH</t>
    </r>
    <r>
      <rPr>
        <b/>
        <vertAlign val="subscript"/>
        <sz val="10"/>
        <rFont val="Times New Roman"/>
        <family val="1"/>
      </rPr>
      <t>4</t>
    </r>
    <r>
      <rPr>
        <b/>
        <sz val="10"/>
        <rFont val="Times New Roman"/>
        <family val="1"/>
      </rPr>
      <t>, and N</t>
    </r>
    <r>
      <rPr>
        <b/>
        <vertAlign val="subscript"/>
        <sz val="10"/>
        <rFont val="Times New Roman"/>
        <family val="1"/>
      </rPr>
      <t>2</t>
    </r>
    <r>
      <rPr>
        <b/>
        <sz val="10"/>
        <rFont val="Times New Roman"/>
        <family val="1"/>
      </rPr>
      <t>O Emissions from Fossil Fuel Combustion by the Electricity Sector (MMT CO</t>
    </r>
    <r>
      <rPr>
        <b/>
        <vertAlign val="subscript"/>
        <sz val="10"/>
        <rFont val="Times New Roman"/>
        <family val="1"/>
      </rPr>
      <t>2</t>
    </r>
    <r>
      <rPr>
        <b/>
        <sz val="10"/>
        <rFont val="Times New Roman"/>
        <family val="1"/>
      </rPr>
      <t xml:space="preserve"> Eq.)</t>
    </r>
  </si>
  <si>
    <t>co2 check</t>
  </si>
  <si>
    <t>ch4 check</t>
  </si>
  <si>
    <t>n2o check</t>
  </si>
  <si>
    <r>
      <t>Table X-X: CO</t>
    </r>
    <r>
      <rPr>
        <b/>
        <vertAlign val="subscript"/>
        <sz val="10"/>
        <rFont val="Times New Roman"/>
        <family val="1"/>
      </rPr>
      <t>2</t>
    </r>
    <r>
      <rPr>
        <b/>
        <sz val="10"/>
        <rFont val="Times New Roman"/>
        <family val="1"/>
      </rPr>
      <t>, CH</t>
    </r>
    <r>
      <rPr>
        <b/>
        <vertAlign val="subscript"/>
        <sz val="10"/>
        <rFont val="Times New Roman"/>
        <family val="1"/>
      </rPr>
      <t>4</t>
    </r>
    <r>
      <rPr>
        <b/>
        <sz val="10"/>
        <rFont val="Times New Roman"/>
        <family val="1"/>
      </rPr>
      <t>, and N</t>
    </r>
    <r>
      <rPr>
        <b/>
        <vertAlign val="subscript"/>
        <sz val="10"/>
        <rFont val="Times New Roman"/>
        <family val="1"/>
      </rPr>
      <t>2</t>
    </r>
    <r>
      <rPr>
        <b/>
        <sz val="10"/>
        <rFont val="Times New Roman"/>
        <family val="1"/>
      </rPr>
      <t>O Emissions from Fossil Fuel Combustion by the Electricity Sector (kt)</t>
    </r>
  </si>
  <si>
    <r>
      <t>Total Fossil Fuel Combustion Emissions, by gas (MMT CO</t>
    </r>
    <r>
      <rPr>
        <b/>
        <vertAlign val="subscript"/>
        <sz val="10"/>
        <rFont val="Times New Roman"/>
        <family val="1"/>
      </rPr>
      <t>2</t>
    </r>
    <r>
      <rPr>
        <b/>
        <sz val="10"/>
        <rFont val="Times New Roman"/>
        <family val="1"/>
      </rPr>
      <t xml:space="preserve"> Eq.)</t>
    </r>
  </si>
  <si>
    <t xml:space="preserve">Gas </t>
  </si>
  <si>
    <t>Total Fossil Fuel Combustion Emissions, by gas (kt)</t>
  </si>
  <si>
    <t>For Check in rows 20-30</t>
  </si>
  <si>
    <t>Stationary</t>
  </si>
  <si>
    <t>Mobile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</si>
</sst>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44" formatCode="_(&quot;$&quot;* #,##0.00_);_(&quot;$&quot;* \(#,##0.00\);_(&quot;$&quot;* &quot;-&quot;??_);_(@_)"/>
    <numFmt numFmtId="43" formatCode="_(* #,##0.00_);_(* \(#,##0.00\);_(* &quot;-&quot;??_);_(@_)"/>
    <numFmt numFmtId="164" formatCode="0.00_)"/>
    <numFmt numFmtId="165" formatCode="0_)"/>
    <numFmt numFmtId="166" formatCode="0.0000_)"/>
    <numFmt numFmtId="167" formatCode="#,##0.0_);\(#,##0.0\)"/>
    <numFmt numFmtId="168" formatCode="0.000_)"/>
    <numFmt numFmtId="169" formatCode="#,##0.000_);\(#,##0.000\)"/>
    <numFmt numFmtId="170" formatCode="0.0_)"/>
    <numFmt numFmtId="171" formatCode="General_)"/>
    <numFmt numFmtId="172" formatCode="0.00000_)"/>
    <numFmt numFmtId="173" formatCode="_(* #,##0.0_);_(* \(#,##0.0\);_(* &quot;-&quot;??_);_(@_)"/>
    <numFmt numFmtId="174" formatCode="_(* #,##0_);_(* \(#,##0\);_(* &quot;-&quot;??_);_(@_)"/>
    <numFmt numFmtId="175" formatCode="#,##0.0"/>
    <numFmt numFmtId="176" formatCode="0.0%"/>
    <numFmt numFmtId="177" formatCode="0.0"/>
    <numFmt numFmtId="178" formatCode="[&lt;0.05]&quot;+&quot;_);#,##0.0_)"/>
    <numFmt numFmtId="179" formatCode="[&lt;0.5]&quot;+&quot;_);#,##0_)"/>
    <numFmt numFmtId="180" formatCode="[&lt;0.05]&quot;+&quot;_);#,##0_)"/>
    <numFmt numFmtId="181" formatCode="#,##0.000"/>
    <numFmt numFmtId="182" formatCode="0_);\(0\)"/>
    <numFmt numFmtId="183" formatCode="[&lt;0.005]&quot;+&quot;_);#,##0.00_)"/>
    <numFmt numFmtId="184" formatCode="0.0_);\(0.0\)"/>
    <numFmt numFmtId="185" formatCode="[&lt;0.05]&quot;+&quot;_);#,##0.00_)"/>
    <numFmt numFmtId="186" formatCode="[&lt;0.005]&quot;+&quot;_);#,##0.0_)"/>
    <numFmt numFmtId="187" formatCode="[&lt;0.05]&quot;+&quot;_);#,##0.000_)"/>
    <numFmt numFmtId="188" formatCode="0.E+00"/>
    <numFmt numFmtId="189" formatCode="0E+00"/>
    <numFmt numFmtId="190" formatCode="#,##0.0000000000"/>
    <numFmt numFmtId="191" formatCode="_(* #,##0.00000_);_(* \(#,##0.00000\);_(* &quot;-&quot;??_);_(@_)"/>
    <numFmt numFmtId="192" formatCode="_(* #,##0.0000000_);_(* \(#,##0.0000000\);_(* &quot;-&quot;??_);_(@_)"/>
    <numFmt numFmtId="193" formatCode="_(* #,##0.000000000000000_);_(* \(#,##0.000000000000000\);_(* &quot;-&quot;??_);_(@_)"/>
    <numFmt numFmtId="194" formatCode="0.000000%"/>
    <numFmt numFmtId="195" formatCode="_(* #,##0.00_);_(* \(#,##0.00\);_(* \-??_);_(@_)"/>
    <numFmt numFmtId="196" formatCode="_(* #,##0.000_);_(* \(#,##0.000\);_(* \-??_);_(@_)"/>
    <numFmt numFmtId="197" formatCode="_(* #,##0.000000_);_(* \(#,##0.000000\);_(* &quot;-&quot;??_);_(@_)"/>
    <numFmt numFmtId="198" formatCode="[=0]&quot;0.0&quot;;[&lt;0.05]&quot;+&quot;_);#,##0.0_)"/>
    <numFmt numFmtId="199" formatCode="[$-409]mmmm\ d\,\ yyyy;@"/>
    <numFmt numFmtId="200" formatCode="_(* #,##0.000000000_);_(* \(#,##0.000000000\);_(* &quot;-&quot;??_);_(@_)"/>
    <numFmt numFmtId="201" formatCode="_(* #,##0.00000000000_);_(* \(#,##0.00000000000\);_(* &quot;-&quot;??_);_(@_)"/>
    <numFmt numFmtId="202" formatCode="_(* #,##0.000_);_(* \(#,##0.000\);_(* &quot;-&quot;??_);_(@_)"/>
    <numFmt numFmtId="203" formatCode="[&lt;0.5]&quot;+&quot;_);#,##0.0000_)"/>
    <numFmt numFmtId="204" formatCode="[&lt;0.5]&quot;+&quot;_);#,##0.000000_)"/>
    <numFmt numFmtId="205" formatCode="#,##0.000000_);\(#,##0.000000\)"/>
    <numFmt numFmtId="206" formatCode="0.000000_)"/>
    <numFmt numFmtId="207" formatCode="0.00000000_)"/>
    <numFmt numFmtId="208" formatCode="0.0000"/>
  </numFmts>
  <fonts count="136">
    <font>
      <sz val="8"/>
      <name val="Arial"/>
      <family val="2"/>
    </font>
    <font>
      <sz val="10"/>
      <name val="Arial"/>
      <family val="2"/>
    </font>
    <font>
      <b/>
      <sz val="10"/>
      <name val="Arial"/>
      <family val="2"/>
    </font>
    <font>
      <sz val="8"/>
      <name val="Arial"/>
      <family val="2"/>
    </font>
    <font>
      <b/>
      <sz val="12"/>
      <color indexed="18"/>
      <name val="Arial"/>
      <family val="2"/>
    </font>
    <font>
      <sz val="8"/>
      <color indexed="81"/>
      <name val="Tahoma"/>
      <family val="2"/>
    </font>
    <font>
      <b/>
      <sz val="8"/>
      <color indexed="81"/>
      <name val="Tahoma"/>
      <family val="2"/>
    </font>
    <font>
      <sz val="10"/>
      <color indexed="81"/>
      <name val="Tahoma"/>
      <family val="2"/>
    </font>
    <font>
      <sz val="10"/>
      <name val="Times New Roman"/>
      <family val="1"/>
    </font>
    <font>
      <b/>
      <sz val="10"/>
      <name val="Times New Roman"/>
      <family val="1"/>
    </font>
    <font>
      <sz val="8"/>
      <name val="Arial"/>
      <family val="2"/>
    </font>
    <font>
      <sz val="8"/>
      <name val="Times New Roman"/>
      <family val="1"/>
    </font>
    <font>
      <b/>
      <sz val="8"/>
      <name val="Times New Roman"/>
      <family val="1"/>
    </font>
    <font>
      <sz val="8"/>
      <color indexed="24"/>
      <name val="Arial"/>
      <family val="2"/>
    </font>
    <font>
      <sz val="8"/>
      <color indexed="10"/>
      <name val="Arial"/>
      <family val="2"/>
    </font>
    <font>
      <b/>
      <sz val="8"/>
      <color indexed="10"/>
      <name val="Arial"/>
      <family val="2"/>
    </font>
    <font>
      <sz val="8"/>
      <name val="Arial"/>
      <family val="2"/>
    </font>
    <font>
      <b/>
      <sz val="14"/>
      <color indexed="12"/>
      <name val="Times New Roman"/>
      <family val="1"/>
    </font>
    <font>
      <sz val="8"/>
      <name val="Arial"/>
      <family val="2"/>
    </font>
    <font>
      <b/>
      <sz val="10"/>
      <color indexed="56"/>
      <name val="Times New Roman"/>
      <family val="1"/>
    </font>
    <font>
      <vertAlign val="subscript"/>
      <sz val="10"/>
      <name val="Times New Roman"/>
      <family val="1"/>
    </font>
    <font>
      <b/>
      <sz val="14"/>
      <color indexed="18"/>
      <name val="Times New Roman"/>
      <family val="1"/>
    </font>
    <font>
      <sz val="8"/>
      <color indexed="12"/>
      <name val="Arial"/>
      <family val="2"/>
    </font>
    <font>
      <b/>
      <vertAlign val="subscript"/>
      <sz val="10"/>
      <name val="Times New Roman"/>
      <family val="1"/>
    </font>
    <font>
      <b/>
      <sz val="10"/>
      <color indexed="12"/>
      <name val="Times New Roman"/>
      <family val="1"/>
    </font>
    <font>
      <sz val="10"/>
      <color indexed="12"/>
      <name val="Times New Roman"/>
      <family val="1"/>
    </font>
    <font>
      <u/>
      <sz val="8"/>
      <color indexed="12"/>
      <name val="Arial"/>
      <family val="2"/>
    </font>
    <font>
      <i/>
      <sz val="8"/>
      <color indexed="81"/>
      <name val="Tahoma"/>
      <family val="2"/>
    </font>
    <font>
      <sz val="10"/>
      <color indexed="10"/>
      <name val="Times New Roman"/>
      <family val="1"/>
    </font>
    <font>
      <sz val="9"/>
      <name val="Times New Roman"/>
      <family val="1"/>
    </font>
    <font>
      <i/>
      <sz val="8"/>
      <color indexed="8"/>
      <name val="Arial"/>
      <family val="2"/>
    </font>
    <font>
      <b/>
      <sz val="10"/>
      <color indexed="10"/>
      <name val="Times New Roman"/>
      <family val="1"/>
    </font>
    <font>
      <i/>
      <sz val="10"/>
      <name val="Arial"/>
      <family val="2"/>
    </font>
    <font>
      <sz val="8"/>
      <name val="Arial"/>
      <family val="2"/>
    </font>
    <font>
      <sz val="8"/>
      <name val="Arial"/>
      <family val="2"/>
    </font>
    <font>
      <vertAlign val="subscript"/>
      <sz val="8"/>
      <color indexed="81"/>
      <name val="Tahoma"/>
      <family val="2"/>
    </font>
    <font>
      <sz val="14"/>
      <name val="Arial"/>
      <family val="2"/>
    </font>
    <font>
      <sz val="10"/>
      <color indexed="56"/>
      <name val="Times New Roman"/>
      <family val="1"/>
    </font>
    <font>
      <b/>
      <vertAlign val="superscript"/>
      <sz val="10"/>
      <name val="Times New Roman"/>
      <family val="1"/>
    </font>
    <font>
      <sz val="8"/>
      <color indexed="10"/>
      <name val="Times New Roman"/>
      <family val="1"/>
    </font>
    <font>
      <sz val="9"/>
      <color indexed="81"/>
      <name val="Tahoma"/>
      <family val="2"/>
    </font>
    <font>
      <b/>
      <sz val="9"/>
      <color indexed="81"/>
      <name val="Tahoma"/>
      <family val="2"/>
    </font>
    <font>
      <b/>
      <vertAlign val="subscript"/>
      <sz val="8"/>
      <name val="Times New Roman"/>
      <family val="1"/>
    </font>
    <font>
      <sz val="10"/>
      <color indexed="12"/>
      <name val="Arial"/>
      <family val="2"/>
    </font>
    <font>
      <b/>
      <sz val="18"/>
      <name val="Arial"/>
      <family val="2"/>
    </font>
    <font>
      <i/>
      <sz val="14"/>
      <name val="Arial"/>
      <family val="2"/>
    </font>
    <font>
      <b/>
      <sz val="14"/>
      <name val="Arial"/>
      <family val="2"/>
    </font>
    <font>
      <sz val="12"/>
      <name val="Arial"/>
      <family val="2"/>
    </font>
    <font>
      <sz val="10"/>
      <name val="MS Sans Serif"/>
      <family val="2"/>
    </font>
    <font>
      <b/>
      <sz val="11"/>
      <name val="Arial"/>
      <family val="2"/>
    </font>
    <font>
      <i/>
      <sz val="11"/>
      <name val="Arial"/>
      <family val="2"/>
    </font>
    <font>
      <b/>
      <sz val="11"/>
      <color indexed="8"/>
      <name val="Arial"/>
      <family val="2"/>
    </font>
    <font>
      <sz val="11"/>
      <name val="Arial"/>
      <family val="2"/>
    </font>
    <font>
      <sz val="10"/>
      <color indexed="8"/>
      <name val="Arial"/>
      <family val="2"/>
    </font>
    <font>
      <i/>
      <sz val="10"/>
      <name val="Times New Roman"/>
      <family val="1"/>
    </font>
    <font>
      <b/>
      <sz val="14"/>
      <name val="Times New Roman"/>
      <family val="1"/>
    </font>
    <font>
      <b/>
      <vertAlign val="subscript"/>
      <sz val="14"/>
      <name val="Times New Roman"/>
      <family val="1"/>
    </font>
    <font>
      <b/>
      <sz val="10"/>
      <color indexed="18"/>
      <name val="Times New Roman"/>
      <family val="1"/>
    </font>
    <font>
      <b/>
      <sz val="10"/>
      <color indexed="81"/>
      <name val="Tahoma"/>
      <family val="2"/>
    </font>
    <font>
      <sz val="10"/>
      <color indexed="46"/>
      <name val="Times New Roman"/>
      <family val="1"/>
    </font>
    <font>
      <vertAlign val="superscript"/>
      <sz val="10"/>
      <name val="Times New Roman"/>
      <family val="1"/>
    </font>
    <font>
      <sz val="10"/>
      <color indexed="16"/>
      <name val="Times New Roman"/>
      <family val="1"/>
    </font>
    <font>
      <b/>
      <sz val="10"/>
      <color indexed="46"/>
      <name val="Times New Roman"/>
      <family val="1"/>
    </font>
    <font>
      <b/>
      <u/>
      <sz val="10"/>
      <name val="Times New Roman"/>
      <family val="1"/>
    </font>
    <font>
      <i/>
      <sz val="10"/>
      <color indexed="8"/>
      <name val="Times New Roman"/>
      <family val="1"/>
    </font>
    <font>
      <i/>
      <vertAlign val="subscript"/>
      <sz val="10"/>
      <color indexed="8"/>
      <name val="Times New Roman"/>
      <family val="1"/>
    </font>
    <font>
      <sz val="10"/>
      <color indexed="8"/>
      <name val="Times New Roman"/>
      <family val="1"/>
    </font>
    <font>
      <sz val="8"/>
      <name val="Helv"/>
    </font>
    <font>
      <b/>
      <sz val="14"/>
      <color indexed="30"/>
      <name val="Arial"/>
      <family val="2"/>
    </font>
    <font>
      <sz val="10"/>
      <color indexed="30"/>
      <name val="Arial"/>
      <family val="2"/>
    </font>
    <font>
      <vertAlign val="subscript"/>
      <sz val="10"/>
      <color indexed="8"/>
      <name val="Arial"/>
      <family val="2"/>
    </font>
    <font>
      <vertAlign val="subscript"/>
      <sz val="10"/>
      <name val="Arial"/>
      <family val="2"/>
    </font>
    <font>
      <b/>
      <vertAlign val="subscript"/>
      <sz val="14"/>
      <color indexed="30"/>
      <name val="Arial"/>
      <family val="2"/>
    </font>
    <font>
      <i/>
      <sz val="10"/>
      <color indexed="8"/>
      <name val="Arial"/>
      <family val="2"/>
    </font>
    <font>
      <i/>
      <vertAlign val="subscript"/>
      <sz val="10"/>
      <name val="Times New Roman"/>
      <family val="1"/>
    </font>
    <font>
      <u/>
      <sz val="8"/>
      <color theme="10"/>
      <name val="Helv"/>
    </font>
    <font>
      <sz val="10"/>
      <color rgb="FFFF0000"/>
      <name val="Arial"/>
      <family val="2"/>
    </font>
    <font>
      <sz val="10"/>
      <color theme="1"/>
      <name val="Arial"/>
      <family val="2"/>
    </font>
    <font>
      <sz val="10"/>
      <color theme="0"/>
      <name val="Arial"/>
      <family val="2"/>
    </font>
    <font>
      <sz val="10"/>
      <color theme="0" tint="-0.14999847407452621"/>
      <name val="Arial"/>
      <family val="2"/>
    </font>
    <font>
      <b/>
      <sz val="10"/>
      <color theme="1"/>
      <name val="Arial"/>
      <family val="2"/>
    </font>
    <font>
      <b/>
      <sz val="11"/>
      <color theme="1"/>
      <name val="Arial"/>
      <family val="2"/>
    </font>
    <font>
      <i/>
      <sz val="8"/>
      <color rgb="FFFF0000"/>
      <name val="Arial"/>
      <family val="2"/>
    </font>
    <font>
      <sz val="10"/>
      <color theme="8" tint="0.59999389629810485"/>
      <name val="Arial"/>
      <family val="2"/>
    </font>
    <font>
      <sz val="10"/>
      <color theme="2" tint="-9.9978637043366805E-2"/>
      <name val="Arial"/>
      <family val="2"/>
    </font>
    <font>
      <sz val="8"/>
      <color rgb="FF0000FF"/>
      <name val="Arial"/>
      <family val="2"/>
    </font>
    <font>
      <sz val="11"/>
      <color theme="1"/>
      <name val="Arial"/>
      <family val="2"/>
    </font>
    <font>
      <sz val="9"/>
      <color theme="1"/>
      <name val="Arial"/>
      <family val="2"/>
    </font>
    <font>
      <i/>
      <sz val="10"/>
      <color rgb="FFFF0000"/>
      <name val="Times New Roman"/>
      <family val="1"/>
    </font>
    <font>
      <sz val="10"/>
      <color rgb="FFFF0000"/>
      <name val="Times New Roman"/>
      <family val="1"/>
    </font>
    <font>
      <b/>
      <sz val="10"/>
      <color rgb="FFFF0000"/>
      <name val="Times New Roman"/>
      <family val="1"/>
    </font>
    <font>
      <sz val="10"/>
      <color rgb="FF0000FF"/>
      <name val="Times New Roman"/>
      <family val="1"/>
    </font>
    <font>
      <b/>
      <sz val="10"/>
      <color rgb="FF0066CC"/>
      <name val="Arial"/>
      <family val="2"/>
    </font>
    <font>
      <b/>
      <sz val="14"/>
      <color rgb="FF0066CC"/>
      <name val="Arial"/>
      <family val="2"/>
    </font>
    <font>
      <b/>
      <u/>
      <sz val="10"/>
      <color rgb="FF0066CC"/>
      <name val="Arial"/>
      <family val="2"/>
    </font>
    <font>
      <sz val="11"/>
      <color rgb="FF000000"/>
      <name val="Arial"/>
      <family val="2"/>
    </font>
    <font>
      <sz val="10"/>
      <color theme="0"/>
      <name val="Times New Roman"/>
      <family val="1"/>
    </font>
    <font>
      <vertAlign val="superscript"/>
      <sz val="9"/>
      <color rgb="FF000000"/>
      <name val="Times New Roman"/>
      <family val="1"/>
    </font>
    <font>
      <sz val="9"/>
      <color rgb="FF000000"/>
      <name val="Times New Roman"/>
      <family val="1"/>
    </font>
    <font>
      <sz val="10"/>
      <color theme="1"/>
      <name val="Times New Roman"/>
      <family val="1"/>
    </font>
    <font>
      <b/>
      <sz val="10"/>
      <color theme="1"/>
      <name val="Times New Roman"/>
      <family val="1"/>
    </font>
    <font>
      <sz val="9"/>
      <color theme="1"/>
      <name val="Times New Roman"/>
      <family val="1"/>
    </font>
    <font>
      <b/>
      <vertAlign val="subscript"/>
      <sz val="10"/>
      <color theme="1"/>
      <name val="Times New Roman"/>
      <family val="1"/>
    </font>
    <font>
      <sz val="6"/>
      <color rgb="FF333333"/>
      <name val="Segoe UI"/>
      <family val="2"/>
    </font>
    <font>
      <sz val="5"/>
      <color rgb="FF333333"/>
      <name val="Segoe UI"/>
      <family val="2"/>
    </font>
    <font>
      <b/>
      <sz val="18"/>
      <color rgb="FF323130"/>
      <name val="Inherit"/>
    </font>
    <font>
      <sz val="5"/>
      <color rgb="FF6264A7"/>
      <name val="Segoe UI"/>
      <family val="2"/>
    </font>
    <font>
      <sz val="5"/>
      <color rgb="FF323130"/>
      <name val="Segoe UI"/>
      <family val="2"/>
    </font>
    <font>
      <sz val="5"/>
      <color rgb="FF605E5C"/>
      <name val="Segoe UI"/>
      <family val="2"/>
    </font>
    <font>
      <sz val="4"/>
      <color rgb="FF605E5C"/>
      <name val="Segoe UI"/>
      <family val="2"/>
    </font>
    <font>
      <sz val="4"/>
      <color rgb="FFFFFFFF"/>
      <name val="Segoe UI"/>
      <family val="2"/>
    </font>
    <font>
      <sz val="5"/>
      <color rgb="FFFFFFFF"/>
      <name val="Segoe UI"/>
      <family val="2"/>
    </font>
    <font>
      <b/>
      <sz val="14"/>
      <color indexed="12"/>
      <name val="Calibri"/>
      <family val="2"/>
      <scheme val="minor"/>
    </font>
    <font>
      <sz val="8"/>
      <name val="Calibri"/>
      <family val="2"/>
      <scheme val="minor"/>
    </font>
    <font>
      <b/>
      <sz val="12"/>
      <color indexed="18"/>
      <name val="Calibri"/>
      <family val="2"/>
      <scheme val="minor"/>
    </font>
    <font>
      <b/>
      <sz val="8"/>
      <color indexed="10"/>
      <name val="Calibri"/>
      <family val="2"/>
      <scheme val="minor"/>
    </font>
    <font>
      <b/>
      <sz val="10"/>
      <name val="Calibri"/>
      <family val="2"/>
      <scheme val="minor"/>
    </font>
    <font>
      <sz val="8"/>
      <color indexed="8"/>
      <name val="Calibri"/>
      <family val="2"/>
      <scheme val="minor"/>
    </font>
    <font>
      <b/>
      <sz val="8"/>
      <name val="Calibri"/>
      <family val="2"/>
      <scheme val="minor"/>
    </font>
    <font>
      <b/>
      <vertAlign val="subscript"/>
      <sz val="8"/>
      <name val="Calibri"/>
      <family val="2"/>
      <scheme val="minor"/>
    </font>
    <font>
      <b/>
      <sz val="8"/>
      <color indexed="12"/>
      <name val="Calibri"/>
      <family val="2"/>
      <scheme val="minor"/>
    </font>
    <font>
      <b/>
      <sz val="8"/>
      <color indexed="18"/>
      <name val="Calibri"/>
      <family val="2"/>
      <scheme val="minor"/>
    </font>
    <font>
      <sz val="8"/>
      <color indexed="10"/>
      <name val="Calibri"/>
      <family val="2"/>
      <scheme val="minor"/>
    </font>
    <font>
      <i/>
      <sz val="8"/>
      <color indexed="8"/>
      <name val="Calibri"/>
      <family val="2"/>
      <scheme val="minor"/>
    </font>
    <font>
      <u/>
      <sz val="8"/>
      <color theme="10"/>
      <name val="Arial"/>
      <family val="2"/>
    </font>
    <font>
      <b/>
      <u/>
      <sz val="10"/>
      <color rgb="FF0070C0"/>
      <name val="Arial"/>
      <family val="2"/>
    </font>
    <font>
      <sz val="10"/>
      <color theme="0" tint="-0.249977111117893"/>
      <name val="Times New Roman"/>
      <family val="1"/>
    </font>
    <font>
      <i/>
      <sz val="10"/>
      <color theme="1"/>
      <name val="Arial"/>
      <family val="2"/>
    </font>
    <font>
      <sz val="8"/>
      <color rgb="FFFF0000"/>
      <name val="Arial"/>
      <family val="2"/>
    </font>
    <font>
      <b/>
      <sz val="12"/>
      <color rgb="FF000000"/>
      <name val="Calibri"/>
      <family val="2"/>
    </font>
    <font>
      <sz val="12"/>
      <color rgb="FF000000"/>
      <name val="Calibri"/>
      <family val="2"/>
    </font>
    <font>
      <sz val="12"/>
      <name val="Calibri"/>
      <family val="2"/>
    </font>
    <font>
      <b/>
      <sz val="12"/>
      <name val="Calibri"/>
      <family val="2"/>
    </font>
    <font>
      <sz val="11.5"/>
      <name val="Calibri"/>
      <family val="2"/>
    </font>
    <font>
      <sz val="12"/>
      <color rgb="FFFF0000"/>
      <name val="Calibri"/>
      <family val="2"/>
    </font>
    <font>
      <b/>
      <sz val="12"/>
      <color rgb="FFFF0000"/>
      <name val="Calibri"/>
      <family val="2"/>
    </font>
  </fonts>
  <fills count="34">
    <fill>
      <patternFill patternType="none"/>
    </fill>
    <fill>
      <patternFill patternType="gray125"/>
    </fill>
    <fill>
      <patternFill patternType="solid">
        <fgColor indexed="15"/>
        <bgColor indexed="64"/>
      </patternFill>
    </fill>
    <fill>
      <patternFill patternType="solid">
        <fgColor indexed="13"/>
        <bgColor indexed="64"/>
      </patternFill>
    </fill>
    <fill>
      <patternFill patternType="solid">
        <fgColor indexed="43"/>
        <bgColor indexed="64"/>
      </patternFill>
    </fill>
    <fill>
      <patternFill patternType="solid">
        <fgColor indexed="44"/>
        <bgColor indexed="64"/>
      </patternFill>
    </fill>
    <fill>
      <patternFill patternType="lightDown"/>
    </fill>
    <fill>
      <patternFill patternType="solid">
        <fgColor indexed="23"/>
        <bgColor indexed="64"/>
      </patternFill>
    </fill>
    <fill>
      <patternFill patternType="solid">
        <fgColor indexed="42"/>
        <bgColor indexed="64"/>
      </patternFill>
    </fill>
    <fill>
      <patternFill patternType="solid">
        <fgColor indexed="47"/>
        <bgColor indexed="64"/>
      </patternFill>
    </fill>
    <fill>
      <patternFill patternType="solid">
        <fgColor rgb="FFFFFF99"/>
        <bgColor indexed="64"/>
      </patternFill>
    </fill>
    <fill>
      <patternFill patternType="solid">
        <fgColor rgb="FF00B050"/>
        <bgColor indexed="64"/>
      </patternFill>
    </fill>
    <fill>
      <patternFill patternType="solid">
        <fgColor rgb="FF8EA9DB"/>
        <bgColor indexed="64"/>
      </patternFill>
    </fill>
    <fill>
      <patternFill patternType="solid">
        <fgColor rgb="FFD9E1F2"/>
        <bgColor indexed="64"/>
      </patternFill>
    </fill>
    <fill>
      <patternFill patternType="solid">
        <fgColor rgb="FFA9D18E"/>
        <bgColor indexed="64"/>
      </patternFill>
    </fill>
    <fill>
      <patternFill patternType="solid">
        <fgColor rgb="FFB4C6E7"/>
        <bgColor indexed="64"/>
      </patternFill>
    </fill>
    <fill>
      <patternFill patternType="solid">
        <fgColor theme="0" tint="-0.249977111117893"/>
        <bgColor indexed="64"/>
      </patternFill>
    </fill>
    <fill>
      <patternFill patternType="solid">
        <fgColor rgb="FFDBDBDB"/>
        <bgColor indexed="64"/>
      </patternFill>
    </fill>
    <fill>
      <patternFill patternType="solid">
        <fgColor rgb="FF99CCFF"/>
        <bgColor indexed="64"/>
      </patternFill>
    </fill>
    <fill>
      <patternFill patternType="solid">
        <fgColor theme="2" tint="-0.249977111117893"/>
        <bgColor indexed="64"/>
      </patternFill>
    </fill>
    <fill>
      <patternFill patternType="solid">
        <fgColor rgb="FFC0C0C0"/>
        <bgColor indexed="64"/>
      </patternFill>
    </fill>
    <fill>
      <patternFill patternType="solid">
        <fgColor theme="0"/>
        <bgColor indexed="64"/>
      </patternFill>
    </fill>
    <fill>
      <patternFill patternType="solid">
        <fgColor theme="4"/>
        <bgColor indexed="64"/>
      </patternFill>
    </fill>
    <fill>
      <patternFill patternType="solid">
        <fgColor rgb="FF00FFFF"/>
        <bgColor indexed="64"/>
      </patternFill>
    </fill>
    <fill>
      <patternFill patternType="solid">
        <fgColor rgb="FFCCFFCC"/>
        <bgColor indexed="64"/>
      </patternFill>
    </fill>
    <fill>
      <patternFill patternType="solid">
        <fgColor rgb="FFFFFF00"/>
        <bgColor indexed="64"/>
      </patternFill>
    </fill>
    <fill>
      <patternFill patternType="lightDown">
        <bgColor theme="4"/>
      </patternFill>
    </fill>
    <fill>
      <patternFill patternType="solid">
        <fgColor theme="7"/>
        <bgColor indexed="64"/>
      </patternFill>
    </fill>
    <fill>
      <patternFill patternType="solid">
        <fgColor rgb="FFD9D9D9"/>
        <bgColor rgb="FF000000"/>
      </patternFill>
    </fill>
    <fill>
      <patternFill patternType="solid">
        <fgColor rgb="FF99CCFF"/>
        <bgColor rgb="FF000000"/>
      </patternFill>
    </fill>
    <fill>
      <patternFill patternType="solid">
        <fgColor rgb="FFAEAAAA"/>
        <bgColor rgb="FF000000"/>
      </patternFill>
    </fill>
    <fill>
      <patternFill patternType="solid">
        <fgColor rgb="FFC0C0C0"/>
        <bgColor rgb="FF000000"/>
      </patternFill>
    </fill>
    <fill>
      <patternFill patternType="solid">
        <fgColor rgb="FFBFBFBF"/>
        <bgColor rgb="FF000000"/>
      </patternFill>
    </fill>
    <fill>
      <patternFill patternType="solid">
        <fgColor rgb="FFD6DCE4"/>
        <bgColor rgb="FF000000"/>
      </patternFill>
    </fill>
  </fills>
  <borders count="78">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8"/>
      </left>
      <right/>
      <top style="thin">
        <color indexed="64"/>
      </top>
      <bottom style="thin">
        <color indexed="64"/>
      </bottom>
      <diagonal/>
    </border>
    <border>
      <left style="thin">
        <color indexed="64"/>
      </left>
      <right/>
      <top style="thin">
        <color indexed="64"/>
      </top>
      <bottom style="medium">
        <color indexed="64"/>
      </bottom>
      <diagonal/>
    </border>
    <border>
      <left style="thin">
        <color indexed="8"/>
      </left>
      <right style="thin">
        <color indexed="8"/>
      </right>
      <top/>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right/>
      <top style="medium">
        <color indexed="64"/>
      </top>
      <bottom/>
      <diagonal/>
    </border>
    <border>
      <left style="thin">
        <color indexed="8"/>
      </left>
      <right style="thin">
        <color indexed="64"/>
      </right>
      <top style="medium">
        <color indexed="64"/>
      </top>
      <bottom/>
      <diagonal/>
    </border>
    <border>
      <left style="thin">
        <color indexed="8"/>
      </left>
      <right/>
      <top style="medium">
        <color indexed="64"/>
      </top>
      <bottom/>
      <diagonal/>
    </border>
    <border>
      <left/>
      <right style="thin">
        <color indexed="8"/>
      </right>
      <top style="medium">
        <color indexed="64"/>
      </top>
      <bottom/>
      <diagonal/>
    </border>
    <border>
      <left style="thin">
        <color indexed="8"/>
      </left>
      <right style="thin">
        <color indexed="8"/>
      </right>
      <top style="medium">
        <color indexed="64"/>
      </top>
      <bottom/>
      <diagonal/>
    </border>
    <border>
      <left style="thin">
        <color indexed="64"/>
      </left>
      <right style="thin">
        <color indexed="8"/>
      </right>
      <top style="medium">
        <color indexed="64"/>
      </top>
      <bottom/>
      <diagonal/>
    </border>
    <border>
      <left style="thin">
        <color indexed="8"/>
      </left>
      <right style="thin">
        <color indexed="64"/>
      </right>
      <top/>
      <bottom/>
      <diagonal/>
    </border>
    <border>
      <left style="thin">
        <color indexed="8"/>
      </left>
      <right/>
      <top/>
      <bottom/>
      <diagonal/>
    </border>
    <border>
      <left/>
      <right style="thin">
        <color indexed="8"/>
      </right>
      <top/>
      <bottom/>
      <diagonal/>
    </border>
    <border>
      <left style="thin">
        <color indexed="64"/>
      </left>
      <right style="thin">
        <color indexed="8"/>
      </right>
      <top/>
      <bottom/>
      <diagonal/>
    </border>
    <border>
      <left style="thin">
        <color indexed="8"/>
      </left>
      <right/>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diagonal/>
    </border>
    <border>
      <left style="thin">
        <color indexed="8"/>
      </left>
      <right/>
      <top style="thin">
        <color indexed="64"/>
      </top>
      <bottom/>
      <diagonal/>
    </border>
    <border>
      <left/>
      <right style="thin">
        <color indexed="8"/>
      </right>
      <top style="thin">
        <color indexed="64"/>
      </top>
      <bottom/>
      <diagonal/>
    </border>
    <border>
      <left style="thin">
        <color indexed="8"/>
      </left>
      <right style="thin">
        <color indexed="8"/>
      </right>
      <top style="thin">
        <color indexed="64"/>
      </top>
      <bottom/>
      <diagonal/>
    </border>
    <border>
      <left style="thin">
        <color indexed="64"/>
      </left>
      <right style="thin">
        <color indexed="8"/>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top style="medium">
        <color indexed="64"/>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theme="2" tint="-0.499984740745262"/>
      </left>
      <right style="thin">
        <color indexed="64"/>
      </right>
      <top style="thin">
        <color indexed="64"/>
      </top>
      <bottom style="thin">
        <color indexed="64"/>
      </bottom>
      <diagonal/>
    </border>
    <border>
      <left style="thin">
        <color auto="1"/>
      </left>
      <right style="thin">
        <color indexed="64"/>
      </right>
      <top style="thin">
        <color auto="1"/>
      </top>
      <bottom style="thin">
        <color auto="1"/>
      </bottom>
      <diagonal/>
    </border>
    <border>
      <left style="thin">
        <color auto="1"/>
      </left>
      <right/>
      <top style="thin">
        <color auto="1"/>
      </top>
      <bottom style="thin">
        <color auto="1"/>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22">
    <xf numFmtId="164" fontId="0" fillId="0" borderId="0"/>
    <xf numFmtId="49" fontId="29" fillId="0" borderId="1" applyNumberFormat="0" applyFont="0" applyFill="0" applyBorder="0" applyProtection="0">
      <alignment horizontal="left" vertical="center" indent="5"/>
    </xf>
    <xf numFmtId="43" fontId="1" fillId="0" borderId="0" applyFont="0" applyFill="0" applyBorder="0" applyAlignment="0" applyProtection="0"/>
    <xf numFmtId="195" fontId="1" fillId="0" borderId="0" applyFill="0" applyBorder="0" applyAlignment="0" applyProtection="0"/>
    <xf numFmtId="44" fontId="1" fillId="0" borderId="0" applyFont="0" applyFill="0" applyBorder="0" applyAlignment="0" applyProtection="0"/>
    <xf numFmtId="171" fontId="75" fillId="0" borderId="0" applyNumberFormat="0" applyFill="0" applyBorder="0" applyAlignment="0" applyProtection="0"/>
    <xf numFmtId="0" fontId="1" fillId="0" borderId="0"/>
    <xf numFmtId="0" fontId="1" fillId="0" borderId="0"/>
    <xf numFmtId="171" fontId="67" fillId="0" borderId="0"/>
    <xf numFmtId="171" fontId="67" fillId="0" borderId="0"/>
    <xf numFmtId="0" fontId="1" fillId="0" borderId="0"/>
    <xf numFmtId="0" fontId="48" fillId="0" borderId="0"/>
    <xf numFmtId="0" fontId="48" fillId="0" borderId="0"/>
    <xf numFmtId="4" fontId="29" fillId="0" borderId="2" applyFill="0" applyBorder="0" applyProtection="0">
      <alignment horizontal="right" vertical="center"/>
    </xf>
    <xf numFmtId="0" fontId="1" fillId="0" borderId="0"/>
    <xf numFmtId="0" fontId="1" fillId="0" borderId="0"/>
    <xf numFmtId="164" fontId="3" fillId="0" borderId="0"/>
    <xf numFmtId="0" fontId="13" fillId="0" borderId="0"/>
    <xf numFmtId="0" fontId="1" fillId="0" borderId="0"/>
    <xf numFmtId="9" fontId="1" fillId="0" borderId="0" applyFont="0" applyFill="0" applyBorder="0" applyAlignment="0" applyProtection="0"/>
    <xf numFmtId="164" fontId="124" fillId="0" borderId="0" applyNumberFormat="0" applyFill="0" applyBorder="0" applyAlignment="0" applyProtection="0"/>
    <xf numFmtId="0" fontId="1" fillId="0" borderId="0"/>
  </cellStyleXfs>
  <cellXfs count="1241">
    <xf numFmtId="164" fontId="0" fillId="0" borderId="0" xfId="0"/>
    <xf numFmtId="164" fontId="8" fillId="0" borderId="0" xfId="0" applyFont="1"/>
    <xf numFmtId="164" fontId="10" fillId="0" borderId="0" xfId="0" applyFont="1"/>
    <xf numFmtId="173" fontId="8" fillId="0" borderId="0" xfId="2" applyNumberFormat="1" applyFont="1"/>
    <xf numFmtId="164" fontId="9" fillId="0" borderId="3" xfId="0" applyFont="1" applyBorder="1"/>
    <xf numFmtId="164" fontId="9" fillId="0" borderId="0" xfId="0" applyFont="1"/>
    <xf numFmtId="164" fontId="8" fillId="0" borderId="0" xfId="0" applyFont="1" applyAlignment="1">
      <alignment horizontal="left" indent="1"/>
    </xf>
    <xf numFmtId="164" fontId="8" fillId="0" borderId="4" xfId="0" applyFont="1" applyBorder="1" applyAlignment="1">
      <alignment horizontal="left" indent="1"/>
    </xf>
    <xf numFmtId="179" fontId="9" fillId="0" borderId="0" xfId="17" applyNumberFormat="1" applyFont="1"/>
    <xf numFmtId="179" fontId="8" fillId="0" borderId="0" xfId="17" applyNumberFormat="1" applyFont="1"/>
    <xf numFmtId="9" fontId="8" fillId="0" borderId="0" xfId="19" applyFont="1"/>
    <xf numFmtId="179" fontId="9" fillId="0" borderId="3" xfId="17" applyNumberFormat="1" applyFont="1" applyBorder="1"/>
    <xf numFmtId="4" fontId="16" fillId="0" borderId="0" xfId="0" applyNumberFormat="1" applyFont="1" applyAlignment="1">
      <alignment horizontal="right"/>
    </xf>
    <xf numFmtId="167" fontId="12" fillId="0" borderId="5" xfId="0" applyNumberFormat="1" applyFont="1" applyBorder="1" applyAlignment="1" applyProtection="1">
      <alignment horizontal="right"/>
      <protection locked="0"/>
    </xf>
    <xf numFmtId="171" fontId="8" fillId="0" borderId="0" xfId="0" applyNumberFormat="1" applyFont="1"/>
    <xf numFmtId="164" fontId="19" fillId="0" borderId="0" xfId="0" applyFont="1"/>
    <xf numFmtId="171" fontId="9" fillId="0" borderId="0" xfId="0" applyNumberFormat="1" applyFont="1"/>
    <xf numFmtId="170" fontId="8" fillId="0" borderId="0" xfId="0" applyNumberFormat="1" applyFont="1"/>
    <xf numFmtId="176" fontId="9" fillId="0" borderId="0" xfId="19" applyNumberFormat="1" applyFont="1" applyBorder="1"/>
    <xf numFmtId="176" fontId="8" fillId="0" borderId="0" xfId="19" applyNumberFormat="1" applyFont="1" applyBorder="1"/>
    <xf numFmtId="176" fontId="8" fillId="0" borderId="0" xfId="19" applyNumberFormat="1" applyFont="1" applyBorder="1" applyAlignment="1">
      <alignment horizontal="right"/>
    </xf>
    <xf numFmtId="165" fontId="8" fillId="0" borderId="0" xfId="0" applyNumberFormat="1" applyFont="1"/>
    <xf numFmtId="164" fontId="21" fillId="0" borderId="0" xfId="0" applyFont="1" applyAlignment="1">
      <alignment horizontal="left"/>
    </xf>
    <xf numFmtId="165" fontId="9" fillId="0" borderId="3" xfId="0" applyNumberFormat="1" applyFont="1" applyBorder="1" applyAlignment="1">
      <alignment horizontal="right"/>
    </xf>
    <xf numFmtId="176" fontId="9" fillId="0" borderId="3" xfId="19" applyNumberFormat="1" applyFont="1" applyBorder="1"/>
    <xf numFmtId="178" fontId="8" fillId="0" borderId="0" xfId="17" applyNumberFormat="1" applyFont="1" applyAlignment="1">
      <alignment horizontal="right"/>
    </xf>
    <xf numFmtId="179" fontId="8" fillId="0" borderId="0" xfId="17" applyNumberFormat="1" applyFont="1" applyAlignment="1">
      <alignment horizontal="right"/>
    </xf>
    <xf numFmtId="179" fontId="9" fillId="0" borderId="0" xfId="17" applyNumberFormat="1" applyFont="1" applyAlignment="1">
      <alignment horizontal="right"/>
    </xf>
    <xf numFmtId="182" fontId="9" fillId="0" borderId="3" xfId="2" applyNumberFormat="1" applyFont="1" applyBorder="1"/>
    <xf numFmtId="178" fontId="9" fillId="0" borderId="0" xfId="17" applyNumberFormat="1" applyFont="1" applyAlignment="1">
      <alignment horizontal="right"/>
    </xf>
    <xf numFmtId="178" fontId="9" fillId="0" borderId="3" xfId="17" applyNumberFormat="1" applyFont="1" applyBorder="1" applyAlignment="1">
      <alignment horizontal="right"/>
    </xf>
    <xf numFmtId="171" fontId="9" fillId="0" borderId="6" xfId="0" applyNumberFormat="1" applyFont="1" applyBorder="1" applyAlignment="1">
      <alignment horizontal="left" wrapText="1"/>
    </xf>
    <xf numFmtId="165" fontId="9" fillId="0" borderId="8" xfId="0" applyNumberFormat="1" applyFont="1" applyBorder="1" applyAlignment="1">
      <alignment horizontal="centerContinuous"/>
    </xf>
    <xf numFmtId="171" fontId="8" fillId="0" borderId="0" xfId="0" applyNumberFormat="1" applyFont="1" applyAlignment="1">
      <alignment horizontal="left" wrapText="1" indent="1"/>
    </xf>
    <xf numFmtId="171" fontId="8" fillId="0" borderId="4" xfId="0" applyNumberFormat="1" applyFont="1" applyBorder="1" applyAlignment="1">
      <alignment horizontal="left" wrapText="1" indent="1"/>
    </xf>
    <xf numFmtId="176" fontId="9" fillId="0" borderId="0" xfId="19" applyNumberFormat="1" applyFont="1" applyFill="1" applyBorder="1"/>
    <xf numFmtId="176" fontId="9" fillId="0" borderId="9" xfId="19" applyNumberFormat="1" applyFont="1" applyFill="1" applyBorder="1"/>
    <xf numFmtId="176" fontId="8" fillId="0" borderId="0" xfId="19" applyNumberFormat="1" applyFont="1" applyFill="1" applyBorder="1"/>
    <xf numFmtId="176" fontId="8" fillId="0" borderId="9" xfId="19" applyNumberFormat="1" applyFont="1" applyFill="1" applyBorder="1"/>
    <xf numFmtId="176" fontId="9" fillId="0" borderId="3" xfId="19" applyNumberFormat="1" applyFont="1" applyFill="1" applyBorder="1"/>
    <xf numFmtId="176" fontId="9" fillId="0" borderId="8" xfId="19" applyNumberFormat="1" applyFont="1" applyFill="1" applyBorder="1"/>
    <xf numFmtId="176" fontId="9" fillId="0" borderId="6" xfId="19" applyNumberFormat="1" applyFont="1" applyFill="1" applyBorder="1"/>
    <xf numFmtId="176" fontId="9" fillId="0" borderId="10" xfId="19" applyNumberFormat="1" applyFont="1" applyFill="1" applyBorder="1"/>
    <xf numFmtId="164" fontId="3" fillId="0" borderId="0" xfId="0" applyFont="1"/>
    <xf numFmtId="164" fontId="8" fillId="0" borderId="3" xfId="0" applyFont="1" applyBorder="1" applyAlignment="1">
      <alignment horizontal="centerContinuous"/>
    </xf>
    <xf numFmtId="164" fontId="8" fillId="0" borderId="0" xfId="0" applyFont="1" applyAlignment="1">
      <alignment horizontal="left"/>
    </xf>
    <xf numFmtId="164" fontId="8" fillId="0" borderId="11" xfId="0" applyFont="1" applyBorder="1" applyAlignment="1">
      <alignment horizontal="center"/>
    </xf>
    <xf numFmtId="164" fontId="8" fillId="0" borderId="0" xfId="0" applyFont="1" applyAlignment="1">
      <alignment horizontal="center"/>
    </xf>
    <xf numFmtId="164" fontId="8" fillId="0" borderId="9" xfId="0" applyFont="1" applyBorder="1" applyAlignment="1">
      <alignment horizontal="center"/>
    </xf>
    <xf numFmtId="164" fontId="8" fillId="0" borderId="12" xfId="0" applyFont="1" applyBorder="1" applyAlignment="1">
      <alignment horizontal="center"/>
    </xf>
    <xf numFmtId="164" fontId="8" fillId="0" borderId="4" xfId="0" applyFont="1" applyBorder="1" applyAlignment="1">
      <alignment horizontal="center"/>
    </xf>
    <xf numFmtId="164" fontId="9" fillId="0" borderId="11" xfId="0" applyFont="1" applyBorder="1"/>
    <xf numFmtId="176" fontId="8" fillId="0" borderId="11" xfId="19" applyNumberFormat="1" applyFont="1" applyFill="1" applyBorder="1"/>
    <xf numFmtId="164" fontId="8" fillId="0" borderId="11" xfId="0" applyFont="1" applyBorder="1"/>
    <xf numFmtId="176" fontId="9" fillId="0" borderId="11" xfId="19" applyNumberFormat="1" applyFont="1" applyFill="1" applyBorder="1"/>
    <xf numFmtId="176" fontId="8" fillId="0" borderId="11" xfId="19" applyNumberFormat="1" applyFont="1" applyFill="1" applyBorder="1" applyAlignment="1">
      <alignment horizontal="right"/>
    </xf>
    <xf numFmtId="164" fontId="9" fillId="0" borderId="14" xfId="0" applyFont="1" applyBorder="1"/>
    <xf numFmtId="176" fontId="8" fillId="0" borderId="0" xfId="19" applyNumberFormat="1" applyFont="1" applyFill="1" applyBorder="1" applyAlignment="1">
      <alignment horizontal="right"/>
    </xf>
    <xf numFmtId="173" fontId="8" fillId="0" borderId="0" xfId="2" applyNumberFormat="1" applyFont="1" applyFill="1"/>
    <xf numFmtId="182" fontId="9" fillId="0" borderId="3" xfId="2" applyNumberFormat="1" applyFont="1" applyFill="1" applyBorder="1"/>
    <xf numFmtId="0" fontId="9" fillId="0" borderId="3" xfId="2" applyNumberFormat="1" applyFont="1" applyFill="1" applyBorder="1"/>
    <xf numFmtId="179" fontId="8" fillId="0" borderId="0" xfId="0" applyNumberFormat="1" applyFont="1"/>
    <xf numFmtId="164" fontId="8" fillId="0" borderId="3" xfId="0" applyFont="1" applyBorder="1"/>
    <xf numFmtId="9" fontId="8" fillId="0" borderId="0" xfId="19" applyFont="1" applyFill="1"/>
    <xf numFmtId="9" fontId="8" fillId="0" borderId="4" xfId="19" applyFont="1" applyFill="1" applyBorder="1"/>
    <xf numFmtId="179" fontId="8" fillId="0" borderId="4" xfId="17" applyNumberFormat="1" applyFont="1" applyBorder="1" applyAlignment="1">
      <alignment horizontal="right"/>
    </xf>
    <xf numFmtId="176" fontId="8" fillId="0" borderId="9" xfId="19" applyNumberFormat="1" applyFont="1" applyFill="1" applyBorder="1" applyAlignment="1">
      <alignment horizontal="right"/>
    </xf>
    <xf numFmtId="165" fontId="9" fillId="0" borderId="0" xfId="0" applyNumberFormat="1" applyFont="1" applyAlignment="1">
      <alignment horizontal="centerContinuous"/>
    </xf>
    <xf numFmtId="177" fontId="9" fillId="0" borderId="11" xfId="0" applyNumberFormat="1" applyFont="1" applyBorder="1"/>
    <xf numFmtId="177" fontId="8" fillId="0" borderId="11" xfId="0" applyNumberFormat="1" applyFont="1" applyBorder="1"/>
    <xf numFmtId="177" fontId="8" fillId="0" borderId="11" xfId="0" applyNumberFormat="1" applyFont="1" applyBorder="1" applyAlignment="1">
      <alignment horizontal="right"/>
    </xf>
    <xf numFmtId="165" fontId="9" fillId="0" borderId="3" xfId="0" quotePrefix="1" applyNumberFormat="1" applyFont="1" applyBorder="1" applyAlignment="1">
      <alignment horizontal="center"/>
    </xf>
    <xf numFmtId="170" fontId="9" fillId="0" borderId="0" xfId="0" applyNumberFormat="1" applyFont="1"/>
    <xf numFmtId="175" fontId="9" fillId="0" borderId="0" xfId="0" applyNumberFormat="1" applyFont="1"/>
    <xf numFmtId="175" fontId="8" fillId="0" borderId="0" xfId="0" applyNumberFormat="1" applyFont="1"/>
    <xf numFmtId="164" fontId="25" fillId="0" borderId="0" xfId="0" applyFont="1"/>
    <xf numFmtId="164" fontId="9" fillId="0" borderId="0" xfId="0" applyFont="1" applyAlignment="1">
      <alignment horizontal="left"/>
    </xf>
    <xf numFmtId="9" fontId="25" fillId="0" borderId="0" xfId="19" applyFont="1"/>
    <xf numFmtId="184" fontId="9" fillId="0" borderId="0" xfId="2" applyNumberFormat="1" applyFont="1" applyAlignment="1">
      <alignment horizontal="right"/>
    </xf>
    <xf numFmtId="184" fontId="8" fillId="0" borderId="0" xfId="2" applyNumberFormat="1" applyFont="1" applyAlignment="1">
      <alignment horizontal="right"/>
    </xf>
    <xf numFmtId="184" fontId="9" fillId="0" borderId="3" xfId="2" applyNumberFormat="1" applyFont="1" applyBorder="1" applyAlignment="1">
      <alignment horizontal="right"/>
    </xf>
    <xf numFmtId="175" fontId="9" fillId="0" borderId="3" xfId="0" applyNumberFormat="1" applyFont="1" applyBorder="1"/>
    <xf numFmtId="170" fontId="9" fillId="0" borderId="3" xfId="0" applyNumberFormat="1" applyFont="1" applyBorder="1"/>
    <xf numFmtId="0" fontId="9" fillId="0" borderId="3" xfId="0" applyNumberFormat="1" applyFont="1" applyBorder="1"/>
    <xf numFmtId="167" fontId="11" fillId="0" borderId="0" xfId="0" applyNumberFormat="1" applyFont="1" applyAlignment="1" applyProtection="1">
      <alignment horizontal="right"/>
      <protection locked="0"/>
    </xf>
    <xf numFmtId="164" fontId="8" fillId="0" borderId="0" xfId="0" quotePrefix="1" applyFont="1"/>
    <xf numFmtId="164" fontId="9" fillId="0" borderId="0" xfId="0" quotePrefix="1" applyFont="1" applyAlignment="1">
      <alignment horizontal="left"/>
    </xf>
    <xf numFmtId="176" fontId="0" fillId="0" borderId="0" xfId="19" applyNumberFormat="1" applyFont="1" applyFill="1"/>
    <xf numFmtId="176" fontId="8" fillId="0" borderId="0" xfId="19" applyNumberFormat="1" applyFont="1"/>
    <xf numFmtId="184" fontId="9" fillId="0" borderId="0" xfId="17" applyNumberFormat="1" applyFont="1" applyAlignment="1">
      <alignment horizontal="right"/>
    </xf>
    <xf numFmtId="184" fontId="8" fillId="0" borderId="0" xfId="17" applyNumberFormat="1" applyFont="1" applyAlignment="1">
      <alignment horizontal="right"/>
    </xf>
    <xf numFmtId="184" fontId="9" fillId="0" borderId="3" xfId="17" applyNumberFormat="1" applyFont="1" applyBorder="1" applyAlignment="1">
      <alignment horizontal="right"/>
    </xf>
    <xf numFmtId="177" fontId="9" fillId="0" borderId="15" xfId="0" applyNumberFormat="1" applyFont="1" applyBorder="1"/>
    <xf numFmtId="177" fontId="9" fillId="0" borderId="16" xfId="0" applyNumberFormat="1" applyFont="1" applyBorder="1"/>
    <xf numFmtId="177" fontId="9" fillId="0" borderId="11" xfId="0" applyNumberFormat="1" applyFont="1" applyBorder="1" applyAlignment="1">
      <alignment horizontal="right"/>
    </xf>
    <xf numFmtId="177" fontId="9" fillId="0" borderId="16" xfId="0" applyNumberFormat="1" applyFont="1" applyBorder="1" applyAlignment="1">
      <alignment horizontal="right"/>
    </xf>
    <xf numFmtId="177" fontId="8" fillId="0" borderId="16" xfId="0" applyNumberFormat="1" applyFont="1" applyBorder="1"/>
    <xf numFmtId="177" fontId="8" fillId="0" borderId="16" xfId="0" applyNumberFormat="1" applyFont="1" applyBorder="1" applyAlignment="1">
      <alignment horizontal="right"/>
    </xf>
    <xf numFmtId="164" fontId="8" fillId="0" borderId="4" xfId="0" applyFont="1" applyBorder="1"/>
    <xf numFmtId="170" fontId="8" fillId="0" borderId="4" xfId="0" applyNumberFormat="1" applyFont="1" applyBorder="1"/>
    <xf numFmtId="176" fontId="9" fillId="0" borderId="15" xfId="19" applyNumberFormat="1" applyFont="1" applyFill="1" applyBorder="1"/>
    <xf numFmtId="176" fontId="8" fillId="0" borderId="16" xfId="19" applyNumberFormat="1" applyFont="1" applyFill="1" applyBorder="1"/>
    <xf numFmtId="176" fontId="8" fillId="0" borderId="16" xfId="19" applyNumberFormat="1" applyFont="1" applyFill="1" applyBorder="1" applyAlignment="1">
      <alignment horizontal="right"/>
    </xf>
    <xf numFmtId="176" fontId="9" fillId="0" borderId="11" xfId="19" applyNumberFormat="1" applyFont="1" applyFill="1" applyBorder="1" applyAlignment="1">
      <alignment horizontal="right"/>
    </xf>
    <xf numFmtId="176" fontId="9" fillId="0" borderId="16" xfId="19" applyNumberFormat="1" applyFont="1" applyFill="1" applyBorder="1" applyAlignment="1">
      <alignment horizontal="right"/>
    </xf>
    <xf numFmtId="176" fontId="9" fillId="0" borderId="16" xfId="19" applyNumberFormat="1" applyFont="1" applyFill="1" applyBorder="1"/>
    <xf numFmtId="164" fontId="9" fillId="0" borderId="13" xfId="0" quotePrefix="1" applyFont="1" applyBorder="1" applyAlignment="1">
      <alignment horizontal="right"/>
    </xf>
    <xf numFmtId="164" fontId="9" fillId="0" borderId="12" xfId="0" applyFont="1" applyBorder="1" applyAlignment="1">
      <alignment horizontal="right"/>
    </xf>
    <xf numFmtId="164" fontId="9" fillId="0" borderId="4" xfId="0" applyFont="1" applyBorder="1" applyAlignment="1">
      <alignment horizontal="right"/>
    </xf>
    <xf numFmtId="164" fontId="9" fillId="0" borderId="4" xfId="0" quotePrefix="1" applyFont="1" applyBorder="1" applyAlignment="1">
      <alignment horizontal="right"/>
    </xf>
    <xf numFmtId="164" fontId="8" fillId="0" borderId="9" xfId="0" applyFont="1" applyBorder="1" applyAlignment="1">
      <alignment horizontal="right"/>
    </xf>
    <xf numFmtId="179" fontId="8" fillId="0" borderId="4" xfId="0" applyNumberFormat="1" applyFont="1" applyBorder="1"/>
    <xf numFmtId="164" fontId="9" fillId="0" borderId="0" xfId="0" applyFont="1" applyAlignment="1">
      <alignment horizontal="right"/>
    </xf>
    <xf numFmtId="176" fontId="9" fillId="0" borderId="0" xfId="19" applyNumberFormat="1" applyFont="1" applyFill="1" applyBorder="1" applyAlignment="1">
      <alignment horizontal="right"/>
    </xf>
    <xf numFmtId="164" fontId="15" fillId="0" borderId="0" xfId="0" applyFont="1"/>
    <xf numFmtId="165" fontId="9" fillId="0" borderId="0" xfId="0" applyNumberFormat="1" applyFont="1" applyAlignment="1">
      <alignment horizontal="left"/>
    </xf>
    <xf numFmtId="179" fontId="25" fillId="0" borderId="0" xfId="17" applyNumberFormat="1" applyFont="1"/>
    <xf numFmtId="164" fontId="9" fillId="0" borderId="3" xfId="0" applyFont="1" applyBorder="1" applyAlignment="1">
      <alignment vertical="top" wrapText="1"/>
    </xf>
    <xf numFmtId="164" fontId="8" fillId="0" borderId="0" xfId="0" applyFont="1" applyAlignment="1">
      <alignment vertical="top" wrapText="1"/>
    </xf>
    <xf numFmtId="164" fontId="8" fillId="0" borderId="0" xfId="0" applyFont="1" applyAlignment="1">
      <alignment horizontal="right" vertical="top" wrapText="1"/>
    </xf>
    <xf numFmtId="0" fontId="9" fillId="0" borderId="3" xfId="0" applyNumberFormat="1" applyFont="1" applyBorder="1" applyAlignment="1">
      <alignment horizontal="right" vertical="top" wrapText="1"/>
    </xf>
    <xf numFmtId="164" fontId="9" fillId="0" borderId="13" xfId="0" applyFont="1" applyBorder="1"/>
    <xf numFmtId="164" fontId="8" fillId="0" borderId="9" xfId="0" applyFont="1" applyBorder="1"/>
    <xf numFmtId="167" fontId="12" fillId="0" borderId="17" xfId="0" applyNumberFormat="1" applyFont="1" applyBorder="1" applyAlignment="1" applyProtection="1">
      <alignment horizontal="right"/>
      <protection locked="0"/>
    </xf>
    <xf numFmtId="167" fontId="12" fillId="0" borderId="3" xfId="0" applyNumberFormat="1" applyFont="1" applyBorder="1" applyAlignment="1" applyProtection="1">
      <alignment horizontal="right"/>
      <protection locked="0"/>
    </xf>
    <xf numFmtId="167" fontId="12" fillId="0" borderId="18" xfId="0" applyNumberFormat="1" applyFont="1" applyBorder="1" applyAlignment="1" applyProtection="1">
      <alignment horizontal="right"/>
      <protection locked="0"/>
    </xf>
    <xf numFmtId="164" fontId="8" fillId="0" borderId="4" xfId="0" applyFont="1" applyBorder="1" applyAlignment="1">
      <alignment vertical="top" wrapText="1"/>
    </xf>
    <xf numFmtId="164" fontId="9" fillId="0" borderId="0" xfId="0" applyFont="1" applyAlignment="1">
      <alignment horizontal="right" vertical="top" wrapText="1"/>
    </xf>
    <xf numFmtId="170" fontId="8" fillId="0" borderId="0" xfId="0" applyNumberFormat="1" applyFont="1" applyAlignment="1">
      <alignment horizontal="right" vertical="top" wrapText="1"/>
    </xf>
    <xf numFmtId="170" fontId="8" fillId="0" borderId="4" xfId="0" applyNumberFormat="1" applyFont="1" applyBorder="1" applyAlignment="1">
      <alignment horizontal="right" vertical="top" wrapText="1"/>
    </xf>
    <xf numFmtId="176" fontId="9" fillId="0" borderId="13" xfId="19" applyNumberFormat="1" applyFont="1" applyFill="1" applyBorder="1"/>
    <xf numFmtId="176" fontId="9" fillId="0" borderId="4" xfId="19" applyNumberFormat="1" applyFont="1" applyFill="1" applyBorder="1"/>
    <xf numFmtId="179" fontId="8" fillId="2" borderId="4" xfId="17" applyNumberFormat="1" applyFont="1" applyFill="1" applyBorder="1" applyAlignment="1">
      <alignment horizontal="right"/>
    </xf>
    <xf numFmtId="179" fontId="8" fillId="2" borderId="0" xfId="17" applyNumberFormat="1" applyFont="1" applyFill="1" applyAlignment="1">
      <alignment horizontal="right"/>
    </xf>
    <xf numFmtId="9" fontId="8" fillId="0" borderId="0" xfId="19" applyFont="1" applyAlignment="1">
      <alignment horizontal="right"/>
    </xf>
    <xf numFmtId="178" fontId="8" fillId="0" borderId="0" xfId="0" applyNumberFormat="1" applyFont="1" applyAlignment="1">
      <alignment horizontal="right" vertical="top" wrapText="1"/>
    </xf>
    <xf numFmtId="164" fontId="8" fillId="0" borderId="6" xfId="0" applyFont="1" applyBorder="1"/>
    <xf numFmtId="170" fontId="8" fillId="0" borderId="6" xfId="0" applyNumberFormat="1" applyFont="1" applyBorder="1"/>
    <xf numFmtId="164" fontId="9" fillId="0" borderId="4" xfId="0" applyFont="1" applyBorder="1"/>
    <xf numFmtId="170" fontId="9" fillId="0" borderId="4" xfId="0" applyNumberFormat="1" applyFont="1" applyBorder="1"/>
    <xf numFmtId="164" fontId="9" fillId="0" borderId="0" xfId="0" applyFont="1" applyAlignment="1">
      <alignment vertical="top" wrapText="1"/>
    </xf>
    <xf numFmtId="0" fontId="9" fillId="0" borderId="0" xfId="0" applyNumberFormat="1" applyFont="1" applyAlignment="1">
      <alignment horizontal="right" vertical="top" wrapText="1"/>
    </xf>
    <xf numFmtId="164" fontId="16" fillId="0" borderId="0" xfId="0" applyFont="1"/>
    <xf numFmtId="164" fontId="16" fillId="0" borderId="0" xfId="0" applyFont="1" applyAlignment="1">
      <alignment horizontal="right"/>
    </xf>
    <xf numFmtId="164" fontId="18" fillId="0" borderId="0" xfId="0" applyFont="1"/>
    <xf numFmtId="164" fontId="22" fillId="0" borderId="0" xfId="0" applyFont="1"/>
    <xf numFmtId="4" fontId="14" fillId="0" borderId="0" xfId="0" applyNumberFormat="1" applyFont="1" applyAlignment="1">
      <alignment horizontal="right"/>
    </xf>
    <xf numFmtId="1" fontId="16" fillId="0" borderId="0" xfId="0" applyNumberFormat="1" applyFont="1" applyAlignment="1">
      <alignment horizontal="center"/>
    </xf>
    <xf numFmtId="44" fontId="8" fillId="0" borderId="0" xfId="4" applyFont="1" applyFill="1" applyBorder="1"/>
    <xf numFmtId="173" fontId="8" fillId="0" borderId="0" xfId="2" applyNumberFormat="1" applyFont="1" applyFill="1" applyBorder="1"/>
    <xf numFmtId="9" fontId="0" fillId="0" borderId="0" xfId="19" applyFont="1"/>
    <xf numFmtId="164" fontId="17" fillId="0" borderId="0" xfId="0" applyFont="1" applyAlignment="1" applyProtection="1">
      <alignment horizontal="left"/>
      <protection locked="0"/>
    </xf>
    <xf numFmtId="164" fontId="11" fillId="0" borderId="0" xfId="0" applyFont="1" applyProtection="1">
      <protection locked="0"/>
    </xf>
    <xf numFmtId="164" fontId="11" fillId="0" borderId="0" xfId="0" applyFont="1" applyAlignment="1" applyProtection="1">
      <alignment horizontal="center"/>
      <protection locked="0"/>
    </xf>
    <xf numFmtId="170" fontId="11" fillId="0" borderId="0" xfId="0" applyNumberFormat="1" applyFont="1" applyProtection="1">
      <protection locked="0"/>
    </xf>
    <xf numFmtId="169" fontId="11" fillId="0" borderId="0" xfId="0" applyNumberFormat="1" applyFont="1" applyAlignment="1" applyProtection="1">
      <alignment horizontal="center"/>
      <protection locked="0"/>
    </xf>
    <xf numFmtId="164" fontId="4" fillId="0" borderId="0" xfId="0" applyFont="1" applyAlignment="1" applyProtection="1">
      <alignment horizontal="right"/>
      <protection locked="0"/>
    </xf>
    <xf numFmtId="1" fontId="4" fillId="0" borderId="0" xfId="0" applyNumberFormat="1" applyFont="1" applyAlignment="1" applyProtection="1">
      <alignment horizontal="left"/>
      <protection locked="0"/>
    </xf>
    <xf numFmtId="167" fontId="11" fillId="0" borderId="0" xfId="0" applyNumberFormat="1" applyFont="1" applyProtection="1">
      <protection locked="0"/>
    </xf>
    <xf numFmtId="164" fontId="30" fillId="0" borderId="0" xfId="0" applyFont="1" applyAlignment="1">
      <alignment horizontal="left"/>
    </xf>
    <xf numFmtId="165" fontId="11" fillId="0" borderId="20" xfId="0" applyNumberFormat="1" applyFont="1" applyBorder="1" applyProtection="1">
      <protection locked="0"/>
    </xf>
    <xf numFmtId="165" fontId="11" fillId="0" borderId="5" xfId="0" applyNumberFormat="1" applyFont="1" applyBorder="1" applyProtection="1">
      <protection locked="0"/>
    </xf>
    <xf numFmtId="165" fontId="11" fillId="0" borderId="5" xfId="0" applyNumberFormat="1" applyFont="1" applyBorder="1" applyAlignment="1" applyProtection="1">
      <alignment horizontal="center"/>
      <protection locked="0"/>
    </xf>
    <xf numFmtId="170" fontId="11" fillId="0" borderId="5" xfId="0" applyNumberFormat="1" applyFont="1" applyBorder="1" applyProtection="1">
      <protection locked="0"/>
    </xf>
    <xf numFmtId="164" fontId="12" fillId="0" borderId="9" xfId="0" applyFont="1" applyBorder="1" applyProtection="1">
      <protection locked="0"/>
    </xf>
    <xf numFmtId="164" fontId="12" fillId="0" borderId="0" xfId="0" applyFont="1" applyAlignment="1" applyProtection="1">
      <alignment horizontal="centerContinuous"/>
      <protection locked="0"/>
    </xf>
    <xf numFmtId="167" fontId="12" fillId="0" borderId="0" xfId="0" applyNumberFormat="1" applyFont="1" applyAlignment="1" applyProtection="1">
      <alignment horizontal="centerContinuous"/>
      <protection locked="0"/>
    </xf>
    <xf numFmtId="164" fontId="12" fillId="0" borderId="12" xfId="0" applyFont="1" applyBorder="1" applyAlignment="1" applyProtection="1">
      <alignment horizontal="centerContinuous"/>
      <protection locked="0"/>
    </xf>
    <xf numFmtId="164" fontId="12" fillId="0" borderId="16" xfId="0" applyFont="1" applyBorder="1" applyAlignment="1" applyProtection="1">
      <alignment horizontal="center"/>
      <protection locked="0"/>
    </xf>
    <xf numFmtId="170" fontId="12" fillId="0" borderId="0" xfId="0" applyNumberFormat="1" applyFont="1" applyAlignment="1" applyProtection="1">
      <alignment horizontal="centerContinuous"/>
      <protection locked="0"/>
    </xf>
    <xf numFmtId="169" fontId="12" fillId="0" borderId="21" xfId="0" applyNumberFormat="1" applyFont="1" applyBorder="1" applyAlignment="1" applyProtection="1">
      <alignment horizontal="center"/>
      <protection locked="0"/>
    </xf>
    <xf numFmtId="164" fontId="12" fillId="0" borderId="9" xfId="0" applyFont="1" applyBorder="1" applyAlignment="1" applyProtection="1">
      <alignment horizontal="centerContinuous"/>
      <protection locked="0"/>
    </xf>
    <xf numFmtId="164" fontId="12" fillId="0" borderId="0" xfId="0" applyFont="1" applyProtection="1">
      <protection locked="0"/>
    </xf>
    <xf numFmtId="167" fontId="12" fillId="0" borderId="0" xfId="0" applyNumberFormat="1" applyFont="1" applyProtection="1">
      <protection locked="0"/>
    </xf>
    <xf numFmtId="164" fontId="12" fillId="0" borderId="11" xfId="0" applyFont="1" applyBorder="1" applyProtection="1">
      <protection locked="0"/>
    </xf>
    <xf numFmtId="170" fontId="12" fillId="0" borderId="0" xfId="0" applyNumberFormat="1" applyFont="1" applyProtection="1">
      <protection locked="0"/>
    </xf>
    <xf numFmtId="169" fontId="12" fillId="0" borderId="16" xfId="0" applyNumberFormat="1" applyFont="1" applyBorder="1" applyAlignment="1" applyProtection="1">
      <alignment horizontal="center"/>
      <protection locked="0"/>
    </xf>
    <xf numFmtId="167" fontId="12" fillId="0" borderId="9" xfId="0" applyNumberFormat="1" applyFont="1" applyBorder="1" applyProtection="1">
      <protection locked="0"/>
    </xf>
    <xf numFmtId="164" fontId="12" fillId="0" borderId="22" xfId="0" applyFont="1" applyBorder="1" applyAlignment="1" applyProtection="1">
      <alignment wrapText="1"/>
      <protection locked="0"/>
    </xf>
    <xf numFmtId="164" fontId="12" fillId="0" borderId="23" xfId="0" applyFont="1" applyBorder="1" applyAlignment="1" applyProtection="1">
      <alignment textRotation="90" wrapText="1"/>
      <protection locked="0"/>
    </xf>
    <xf numFmtId="164" fontId="12" fillId="0" borderId="24" xfId="0" applyFont="1" applyBorder="1" applyAlignment="1" applyProtection="1">
      <alignment textRotation="90" wrapText="1"/>
      <protection locked="0"/>
    </xf>
    <xf numFmtId="164" fontId="12" fillId="0" borderId="22" xfId="0" applyFont="1" applyBorder="1" applyAlignment="1" applyProtection="1">
      <alignment textRotation="90" wrapText="1"/>
      <protection locked="0"/>
    </xf>
    <xf numFmtId="164" fontId="12" fillId="0" borderId="25" xfId="0" applyFont="1" applyBorder="1" applyAlignment="1" applyProtection="1">
      <alignment horizontal="center" textRotation="90" wrapText="1"/>
      <protection locked="0"/>
    </xf>
    <xf numFmtId="170" fontId="12" fillId="0" borderId="23" xfId="0" applyNumberFormat="1" applyFont="1" applyBorder="1" applyAlignment="1" applyProtection="1">
      <alignment textRotation="90" wrapText="1"/>
      <protection locked="0"/>
    </xf>
    <xf numFmtId="164" fontId="12" fillId="0" borderId="26" xfId="0" applyFont="1" applyBorder="1" applyProtection="1">
      <protection locked="0"/>
    </xf>
    <xf numFmtId="167" fontId="12" fillId="0" borderId="27" xfId="0" applyNumberFormat="1" applyFont="1" applyBorder="1" applyAlignment="1" applyProtection="1">
      <alignment horizontal="right"/>
      <protection locked="0"/>
    </xf>
    <xf numFmtId="167" fontId="12" fillId="0" borderId="29" xfId="0" applyNumberFormat="1" applyFont="1" applyBorder="1" applyAlignment="1" applyProtection="1">
      <alignment horizontal="right"/>
      <protection locked="0"/>
    </xf>
    <xf numFmtId="167" fontId="12" fillId="0" borderId="30" xfId="0" applyNumberFormat="1" applyFont="1" applyBorder="1" applyAlignment="1" applyProtection="1">
      <alignment horizontal="right"/>
      <protection locked="0"/>
    </xf>
    <xf numFmtId="164" fontId="11" fillId="0" borderId="9" xfId="0" applyFont="1" applyBorder="1" applyAlignment="1" applyProtection="1">
      <alignment horizontal="left" indent="1"/>
      <protection locked="0"/>
    </xf>
    <xf numFmtId="167" fontId="11" fillId="0" borderId="34" xfId="0" applyNumberFormat="1" applyFont="1" applyBorder="1" applyAlignment="1" applyProtection="1">
      <alignment horizontal="right"/>
      <protection locked="0"/>
    </xf>
    <xf numFmtId="167" fontId="11" fillId="0" borderId="35" xfId="0" applyNumberFormat="1" applyFont="1" applyBorder="1" applyAlignment="1" applyProtection="1">
      <alignment horizontal="right"/>
      <protection locked="0"/>
    </xf>
    <xf numFmtId="167" fontId="12" fillId="0" borderId="0" xfId="0" applyNumberFormat="1" applyFont="1" applyAlignment="1" applyProtection="1">
      <alignment horizontal="right"/>
      <protection locked="0"/>
    </xf>
    <xf numFmtId="167" fontId="11" fillId="0" borderId="37" xfId="0" applyNumberFormat="1" applyFont="1" applyBorder="1" applyAlignment="1" applyProtection="1">
      <alignment horizontal="right"/>
      <protection locked="0"/>
    </xf>
    <xf numFmtId="167" fontId="11" fillId="0" borderId="4" xfId="0" applyNumberFormat="1" applyFont="1" applyBorder="1" applyAlignment="1" applyProtection="1">
      <alignment horizontal="right"/>
      <protection locked="0"/>
    </xf>
    <xf numFmtId="164" fontId="12" fillId="0" borderId="8" xfId="0" applyFont="1" applyBorder="1" applyProtection="1">
      <protection locked="0"/>
    </xf>
    <xf numFmtId="167" fontId="12" fillId="0" borderId="10" xfId="0" applyNumberFormat="1" applyFont="1" applyBorder="1" applyProtection="1">
      <protection locked="0"/>
    </xf>
    <xf numFmtId="167" fontId="12" fillId="0" borderId="6" xfId="0" applyNumberFormat="1" applyFont="1" applyBorder="1" applyAlignment="1" applyProtection="1">
      <alignment horizontal="right"/>
      <protection locked="0"/>
    </xf>
    <xf numFmtId="167" fontId="12" fillId="0" borderId="41" xfId="0" applyNumberFormat="1" applyFont="1" applyBorder="1" applyAlignment="1" applyProtection="1">
      <alignment horizontal="right"/>
      <protection locked="0"/>
    </xf>
    <xf numFmtId="167" fontId="12" fillId="0" borderId="42" xfId="0" applyNumberFormat="1" applyFont="1" applyBorder="1" applyAlignment="1" applyProtection="1">
      <alignment horizontal="right"/>
      <protection locked="0"/>
    </xf>
    <xf numFmtId="167" fontId="12" fillId="0" borderId="34" xfId="0" applyNumberFormat="1" applyFont="1" applyBorder="1" applyAlignment="1" applyProtection="1">
      <alignment horizontal="right"/>
      <protection locked="0"/>
    </xf>
    <xf numFmtId="164" fontId="11" fillId="0" borderId="9" xfId="0" applyFont="1" applyBorder="1" applyAlignment="1" applyProtection="1">
      <alignment horizontal="left" indent="2"/>
      <protection locked="0"/>
    </xf>
    <xf numFmtId="167" fontId="12" fillId="0" borderId="20" xfId="0" applyNumberFormat="1" applyFont="1" applyBorder="1" applyProtection="1">
      <protection locked="0"/>
    </xf>
    <xf numFmtId="167" fontId="12" fillId="0" borderId="20" xfId="0" applyNumberFormat="1" applyFont="1" applyBorder="1" applyAlignment="1" applyProtection="1">
      <alignment horizontal="right"/>
      <protection locked="0"/>
    </xf>
    <xf numFmtId="167" fontId="12" fillId="0" borderId="22" xfId="0" applyNumberFormat="1" applyFont="1" applyBorder="1" applyProtection="1">
      <protection locked="0"/>
    </xf>
    <xf numFmtId="167" fontId="12" fillId="0" borderId="23" xfId="0" applyNumberFormat="1" applyFont="1" applyBorder="1" applyAlignment="1" applyProtection="1">
      <alignment horizontal="right"/>
      <protection locked="0"/>
    </xf>
    <xf numFmtId="167" fontId="12" fillId="0" borderId="22" xfId="0" applyNumberFormat="1" applyFont="1" applyBorder="1" applyAlignment="1" applyProtection="1">
      <alignment horizontal="right"/>
      <protection locked="0"/>
    </xf>
    <xf numFmtId="167" fontId="0" fillId="0" borderId="0" xfId="0" applyNumberFormat="1"/>
    <xf numFmtId="170" fontId="0" fillId="0" borderId="0" xfId="0" applyNumberFormat="1"/>
    <xf numFmtId="165" fontId="0" fillId="0" borderId="0" xfId="0" applyNumberFormat="1"/>
    <xf numFmtId="164" fontId="12" fillId="0" borderId="0" xfId="0" applyFont="1" applyAlignment="1" applyProtection="1">
      <alignment horizontal="center"/>
      <protection locked="0"/>
    </xf>
    <xf numFmtId="167" fontId="12" fillId="0" borderId="26" xfId="0" applyNumberFormat="1" applyFont="1" applyBorder="1" applyAlignment="1" applyProtection="1">
      <alignment horizontal="right"/>
      <protection locked="0"/>
    </xf>
    <xf numFmtId="167" fontId="12" fillId="0" borderId="8" xfId="0" applyNumberFormat="1" applyFont="1" applyBorder="1" applyAlignment="1" applyProtection="1">
      <alignment horizontal="right"/>
      <protection locked="0"/>
    </xf>
    <xf numFmtId="167" fontId="12" fillId="0" borderId="10" xfId="0" applyNumberFormat="1" applyFont="1" applyBorder="1" applyAlignment="1" applyProtection="1">
      <alignment horizontal="right"/>
      <protection locked="0"/>
    </xf>
    <xf numFmtId="164" fontId="12" fillId="0" borderId="4" xfId="0" applyFont="1" applyBorder="1" applyAlignment="1" applyProtection="1">
      <alignment horizontal="centerContinuous"/>
      <protection locked="0"/>
    </xf>
    <xf numFmtId="164" fontId="12" fillId="0" borderId="13" xfId="0" applyFont="1" applyBorder="1" applyAlignment="1" applyProtection="1">
      <alignment horizontal="centerContinuous"/>
      <protection locked="0"/>
    </xf>
    <xf numFmtId="164" fontId="28" fillId="0" borderId="0" xfId="0" applyFont="1"/>
    <xf numFmtId="178" fontId="9" fillId="0" borderId="0" xfId="0" applyNumberFormat="1" applyFont="1" applyAlignment="1">
      <alignment horizontal="right" vertical="top" wrapText="1"/>
    </xf>
    <xf numFmtId="164" fontId="8" fillId="0" borderId="0" xfId="0" applyFont="1" applyAlignment="1">
      <alignment horizontal="left" vertical="top" wrapText="1" indent="1"/>
    </xf>
    <xf numFmtId="2" fontId="8" fillId="0" borderId="0" xfId="0" applyNumberFormat="1" applyFont="1" applyAlignment="1">
      <alignment horizontal="right" vertical="top" wrapText="1"/>
    </xf>
    <xf numFmtId="164" fontId="8" fillId="0" borderId="0" xfId="0" applyFont="1" applyAlignment="1">
      <alignment horizontal="left" vertical="top" wrapText="1" indent="2"/>
    </xf>
    <xf numFmtId="2" fontId="8" fillId="0" borderId="0" xfId="2" applyNumberFormat="1" applyFont="1" applyFill="1" applyBorder="1" applyAlignment="1">
      <alignment horizontal="right" vertical="top" wrapText="1"/>
    </xf>
    <xf numFmtId="2" fontId="9" fillId="0" borderId="0" xfId="0" applyNumberFormat="1" applyFont="1" applyAlignment="1">
      <alignment horizontal="right" vertical="top" wrapText="1"/>
    </xf>
    <xf numFmtId="187" fontId="8" fillId="0" borderId="0" xfId="0" applyNumberFormat="1" applyFont="1" applyAlignment="1">
      <alignment horizontal="right" vertical="top" wrapText="1"/>
    </xf>
    <xf numFmtId="185" fontId="9" fillId="0" borderId="0" xfId="0" applyNumberFormat="1" applyFont="1" applyAlignment="1">
      <alignment horizontal="right" vertical="top" wrapText="1"/>
    </xf>
    <xf numFmtId="173" fontId="9" fillId="0" borderId="0" xfId="2" applyNumberFormat="1" applyFont="1" applyFill="1" applyBorder="1" applyAlignment="1">
      <alignment horizontal="right" vertical="top" wrapText="1"/>
    </xf>
    <xf numFmtId="164" fontId="9" fillId="0" borderId="46" xfId="0" quotePrefix="1" applyFont="1" applyBorder="1" applyAlignment="1">
      <alignment horizontal="right"/>
    </xf>
    <xf numFmtId="43" fontId="8" fillId="0" borderId="0" xfId="2" applyFont="1" applyFill="1" applyAlignment="1">
      <alignment horizontal="right"/>
    </xf>
    <xf numFmtId="164" fontId="31" fillId="0" borderId="0" xfId="0" applyFont="1"/>
    <xf numFmtId="43" fontId="8" fillId="0" borderId="0" xfId="2" applyFont="1" applyBorder="1"/>
    <xf numFmtId="164" fontId="8" fillId="0" borderId="6" xfId="0" applyFont="1" applyBorder="1" applyAlignment="1">
      <alignment horizontal="left" indent="1"/>
    </xf>
    <xf numFmtId="179" fontId="8" fillId="0" borderId="6" xfId="0" applyNumberFormat="1" applyFont="1" applyBorder="1"/>
    <xf numFmtId="164" fontId="12" fillId="0" borderId="0" xfId="0" applyFont="1" applyAlignment="1">
      <alignment textRotation="90" wrapText="1"/>
    </xf>
    <xf numFmtId="176" fontId="8" fillId="0" borderId="0" xfId="19" applyNumberFormat="1" applyFont="1" applyFill="1" applyAlignment="1">
      <alignment horizontal="right"/>
    </xf>
    <xf numFmtId="164" fontId="0" fillId="0" borderId="21" xfId="0" applyBorder="1"/>
    <xf numFmtId="164" fontId="0" fillId="0" borderId="16" xfId="0" applyBorder="1"/>
    <xf numFmtId="176" fontId="9" fillId="0" borderId="0" xfId="19" applyNumberFormat="1" applyFont="1" applyFill="1" applyAlignment="1">
      <alignment horizontal="right"/>
    </xf>
    <xf numFmtId="175" fontId="9" fillId="0" borderId="3" xfId="2" applyNumberFormat="1" applyFont="1" applyBorder="1"/>
    <xf numFmtId="176" fontId="9" fillId="0" borderId="3" xfId="19" applyNumberFormat="1" applyFont="1" applyFill="1" applyBorder="1" applyAlignment="1">
      <alignment horizontal="right"/>
    </xf>
    <xf numFmtId="176" fontId="8" fillId="0" borderId="0" xfId="0" applyNumberFormat="1" applyFont="1"/>
    <xf numFmtId="9" fontId="8" fillId="0" borderId="0" xfId="19" applyFont="1" applyAlignment="1">
      <alignment horizontal="left"/>
    </xf>
    <xf numFmtId="176" fontId="8" fillId="0" borderId="0" xfId="19" applyNumberFormat="1" applyFont="1" applyFill="1" applyAlignment="1">
      <alignment horizontal="left"/>
    </xf>
    <xf numFmtId="164" fontId="12" fillId="0" borderId="11" xfId="0" applyFont="1" applyBorder="1" applyAlignment="1" applyProtection="1">
      <alignment horizontal="centerContinuous" wrapText="1"/>
      <protection locked="0"/>
    </xf>
    <xf numFmtId="164" fontId="3" fillId="0" borderId="0" xfId="0" applyFont="1" applyAlignment="1">
      <alignment horizontal="right" indent="2"/>
    </xf>
    <xf numFmtId="164" fontId="21" fillId="0" borderId="0" xfId="0" quotePrefix="1" applyFont="1" applyAlignment="1">
      <alignment horizontal="left"/>
    </xf>
    <xf numFmtId="164" fontId="0" fillId="3" borderId="0" xfId="0" applyFill="1"/>
    <xf numFmtId="164" fontId="11" fillId="3" borderId="9" xfId="0" applyFont="1" applyFill="1" applyBorder="1" applyAlignment="1" applyProtection="1">
      <alignment horizontal="left" indent="1"/>
      <protection locked="0"/>
    </xf>
    <xf numFmtId="167" fontId="11" fillId="3" borderId="0" xfId="0" applyNumberFormat="1" applyFont="1" applyFill="1" applyAlignment="1" applyProtection="1">
      <alignment horizontal="right"/>
      <protection locked="0"/>
    </xf>
    <xf numFmtId="167" fontId="11" fillId="3" borderId="34" xfId="0" applyNumberFormat="1" applyFont="1" applyFill="1" applyBorder="1" applyAlignment="1" applyProtection="1">
      <alignment horizontal="right"/>
      <protection locked="0"/>
    </xf>
    <xf numFmtId="167" fontId="11" fillId="3" borderId="35" xfId="0" applyNumberFormat="1" applyFont="1" applyFill="1" applyBorder="1" applyAlignment="1" applyProtection="1">
      <alignment horizontal="right"/>
      <protection locked="0"/>
    </xf>
    <xf numFmtId="167" fontId="12" fillId="3" borderId="0" xfId="0" applyNumberFormat="1" applyFont="1" applyFill="1" applyAlignment="1" applyProtection="1">
      <alignment horizontal="right"/>
      <protection locked="0"/>
    </xf>
    <xf numFmtId="167" fontId="11" fillId="0" borderId="9" xfId="0" applyNumberFormat="1" applyFont="1" applyBorder="1" applyAlignment="1" applyProtection="1">
      <alignment horizontal="right"/>
      <protection locked="0"/>
    </xf>
    <xf numFmtId="167" fontId="11" fillId="3" borderId="9" xfId="0" applyNumberFormat="1" applyFont="1" applyFill="1" applyBorder="1" applyAlignment="1" applyProtection="1">
      <alignment horizontal="right"/>
      <protection locked="0"/>
    </xf>
    <xf numFmtId="164" fontId="9" fillId="0" borderId="12" xfId="0" quotePrefix="1" applyFont="1" applyBorder="1" applyAlignment="1">
      <alignment horizontal="right"/>
    </xf>
    <xf numFmtId="0" fontId="8" fillId="0" borderId="0" xfId="18" applyFont="1"/>
    <xf numFmtId="170" fontId="8" fillId="0" borderId="48" xfId="19" applyNumberFormat="1" applyFont="1" applyFill="1" applyBorder="1" applyAlignment="1">
      <alignment horizontal="right"/>
    </xf>
    <xf numFmtId="176" fontId="8" fillId="0" borderId="50" xfId="19" applyNumberFormat="1" applyFont="1" applyFill="1" applyBorder="1" applyAlignment="1">
      <alignment horizontal="right"/>
    </xf>
    <xf numFmtId="164" fontId="9" fillId="0" borderId="3" xfId="0" applyFont="1" applyBorder="1" applyAlignment="1">
      <alignment wrapText="1"/>
    </xf>
    <xf numFmtId="0" fontId="8" fillId="0" borderId="0" xfId="0" applyNumberFormat="1" applyFont="1" applyAlignment="1">
      <alignment horizontal="left"/>
    </xf>
    <xf numFmtId="167" fontId="12" fillId="0" borderId="24" xfId="0" applyNumberFormat="1" applyFont="1" applyBorder="1" applyAlignment="1" applyProtection="1">
      <alignment horizontal="right"/>
      <protection locked="0"/>
    </xf>
    <xf numFmtId="167" fontId="12" fillId="0" borderId="28" xfId="0" applyNumberFormat="1" applyFont="1" applyBorder="1" applyAlignment="1" applyProtection="1">
      <alignment horizontal="right"/>
      <protection locked="0"/>
    </xf>
    <xf numFmtId="167" fontId="12" fillId="0" borderId="31" xfId="0" applyNumberFormat="1" applyFont="1" applyBorder="1" applyAlignment="1" applyProtection="1">
      <alignment horizontal="center"/>
      <protection locked="0"/>
    </xf>
    <xf numFmtId="167" fontId="12" fillId="0" borderId="32" xfId="0" applyNumberFormat="1" applyFont="1" applyBorder="1" applyAlignment="1" applyProtection="1">
      <alignment horizontal="center"/>
      <protection locked="0"/>
    </xf>
    <xf numFmtId="167" fontId="11" fillId="0" borderId="33" xfId="0" applyNumberFormat="1" applyFont="1" applyBorder="1" applyAlignment="1" applyProtection="1">
      <alignment horizontal="right"/>
      <protection locked="0"/>
    </xf>
    <xf numFmtId="167" fontId="11" fillId="0" borderId="19" xfId="0" applyNumberFormat="1" applyFont="1" applyBorder="1" applyAlignment="1" applyProtection="1">
      <alignment horizontal="center"/>
      <protection locked="0"/>
    </xf>
    <xf numFmtId="167" fontId="11" fillId="0" borderId="36" xfId="0" applyNumberFormat="1" applyFont="1" applyBorder="1" applyAlignment="1" applyProtection="1">
      <alignment horizontal="center"/>
      <protection locked="0"/>
    </xf>
    <xf numFmtId="167" fontId="11" fillId="3" borderId="33" xfId="0" applyNumberFormat="1" applyFont="1" applyFill="1" applyBorder="1" applyAlignment="1" applyProtection="1">
      <alignment horizontal="right"/>
      <protection locked="0"/>
    </xf>
    <xf numFmtId="167" fontId="11" fillId="3" borderId="19" xfId="0" applyNumberFormat="1" applyFont="1" applyFill="1" applyBorder="1" applyAlignment="1" applyProtection="1">
      <alignment horizontal="center"/>
      <protection locked="0"/>
    </xf>
    <xf numFmtId="167" fontId="11" fillId="3" borderId="36" xfId="0" applyNumberFormat="1" applyFont="1" applyFill="1" applyBorder="1" applyAlignment="1" applyProtection="1">
      <alignment horizontal="center"/>
      <protection locked="0"/>
    </xf>
    <xf numFmtId="167" fontId="12" fillId="0" borderId="3" xfId="2" applyNumberFormat="1" applyFont="1" applyFill="1" applyBorder="1" applyAlignment="1" applyProtection="1">
      <alignment horizontal="right"/>
      <protection locked="0"/>
    </xf>
    <xf numFmtId="167" fontId="12" fillId="0" borderId="38" xfId="0" applyNumberFormat="1" applyFont="1" applyBorder="1" applyAlignment="1" applyProtection="1">
      <alignment horizontal="right"/>
      <protection locked="0"/>
    </xf>
    <xf numFmtId="167" fontId="12" fillId="0" borderId="2" xfId="0" applyNumberFormat="1" applyFont="1" applyBorder="1" applyAlignment="1" applyProtection="1">
      <alignment horizontal="center"/>
      <protection locked="0"/>
    </xf>
    <xf numFmtId="167" fontId="12" fillId="0" borderId="39" xfId="0" applyNumberFormat="1" applyFont="1" applyBorder="1" applyAlignment="1" applyProtection="1">
      <alignment horizontal="center"/>
      <protection locked="0"/>
    </xf>
    <xf numFmtId="167" fontId="12" fillId="0" borderId="40" xfId="0" applyNumberFormat="1" applyFont="1" applyBorder="1" applyAlignment="1" applyProtection="1">
      <alignment horizontal="right"/>
      <protection locked="0"/>
    </xf>
    <xf numFmtId="167" fontId="12" fillId="0" borderId="43" xfId="0" applyNumberFormat="1" applyFont="1" applyBorder="1" applyAlignment="1" applyProtection="1">
      <alignment horizontal="center"/>
      <protection locked="0"/>
    </xf>
    <xf numFmtId="167" fontId="12" fillId="0" borderId="44" xfId="0" applyNumberFormat="1" applyFont="1" applyBorder="1" applyAlignment="1" applyProtection="1">
      <alignment horizontal="center"/>
      <protection locked="0"/>
    </xf>
    <xf numFmtId="167" fontId="12" fillId="0" borderId="45" xfId="0" applyNumberFormat="1" applyFont="1" applyBorder="1" applyAlignment="1" applyProtection="1">
      <alignment horizontal="right"/>
      <protection locked="0"/>
    </xf>
    <xf numFmtId="167" fontId="12" fillId="0" borderId="45" xfId="0" applyNumberFormat="1" applyFont="1" applyBorder="1" applyAlignment="1" applyProtection="1">
      <alignment horizontal="center"/>
      <protection locked="0"/>
    </xf>
    <xf numFmtId="167" fontId="12" fillId="0" borderId="25" xfId="0" applyNumberFormat="1" applyFont="1" applyBorder="1" applyAlignment="1" applyProtection="1">
      <alignment horizontal="right"/>
      <protection locked="0"/>
    </xf>
    <xf numFmtId="167" fontId="12" fillId="0" borderId="25" xfId="0" applyNumberFormat="1" applyFont="1" applyBorder="1" applyAlignment="1" applyProtection="1">
      <alignment horizontal="center"/>
      <protection locked="0"/>
    </xf>
    <xf numFmtId="167" fontId="39" fillId="0" borderId="0" xfId="0" applyNumberFormat="1" applyFont="1" applyAlignment="1" applyProtection="1">
      <alignment horizontal="right"/>
      <protection locked="0"/>
    </xf>
    <xf numFmtId="177" fontId="9" fillId="0" borderId="0" xfId="19" applyNumberFormat="1" applyFont="1" applyFill="1" applyAlignment="1">
      <alignment horizontal="right"/>
    </xf>
    <xf numFmtId="9" fontId="8" fillId="0" borderId="0" xfId="19" applyFont="1" applyFill="1" applyAlignment="1">
      <alignment horizontal="right"/>
    </xf>
    <xf numFmtId="174" fontId="8" fillId="0" borderId="0" xfId="2" applyNumberFormat="1" applyFont="1" applyFill="1"/>
    <xf numFmtId="176" fontId="8" fillId="0" borderId="0" xfId="19" applyNumberFormat="1" applyFont="1" applyFill="1"/>
    <xf numFmtId="173" fontId="9" fillId="0" borderId="0" xfId="2" applyNumberFormat="1" applyFont="1" applyFill="1"/>
    <xf numFmtId="164" fontId="8" fillId="0" borderId="0" xfId="0" applyFont="1" applyAlignment="1">
      <alignment horizontal="right" indent="1"/>
    </xf>
    <xf numFmtId="184" fontId="8" fillId="0" borderId="0" xfId="2" applyNumberFormat="1" applyFont="1" applyFill="1" applyAlignment="1">
      <alignment horizontal="right"/>
    </xf>
    <xf numFmtId="164" fontId="8" fillId="0" borderId="0" xfId="0" applyFont="1" applyAlignment="1">
      <alignment horizontal="right"/>
    </xf>
    <xf numFmtId="164" fontId="9" fillId="0" borderId="0" xfId="0" applyFont="1" applyAlignment="1">
      <alignment horizontal="center" vertical="top" wrapText="1"/>
    </xf>
    <xf numFmtId="4" fontId="0" fillId="0" borderId="0" xfId="0" applyNumberFormat="1" applyAlignment="1">
      <alignment horizontal="right"/>
    </xf>
    <xf numFmtId="164" fontId="0" fillId="0" borderId="0" xfId="0" applyAlignment="1">
      <alignment horizontal="right"/>
    </xf>
    <xf numFmtId="9" fontId="8" fillId="0" borderId="0" xfId="19" applyFont="1" applyBorder="1"/>
    <xf numFmtId="176" fontId="22" fillId="0" borderId="0" xfId="19" applyNumberFormat="1" applyFont="1" applyFill="1"/>
    <xf numFmtId="174" fontId="1" fillId="10" borderId="0" xfId="2" applyNumberFormat="1" applyFont="1" applyFill="1" applyAlignment="1">
      <alignment horizontal="right"/>
    </xf>
    <xf numFmtId="43" fontId="1" fillId="11" borderId="0" xfId="2" applyFont="1" applyFill="1"/>
    <xf numFmtId="43" fontId="1" fillId="10" borderId="0" xfId="2" applyFont="1" applyFill="1"/>
    <xf numFmtId="43" fontId="1" fillId="11" borderId="0" xfId="2" applyFont="1" applyFill="1" applyAlignment="1">
      <alignment horizontal="right"/>
    </xf>
    <xf numFmtId="43" fontId="1" fillId="10" borderId="0" xfId="2" applyFont="1" applyFill="1" applyBorder="1"/>
    <xf numFmtId="43" fontId="76" fillId="0" borderId="0" xfId="2" applyFont="1" applyFill="1" applyBorder="1"/>
    <xf numFmtId="43" fontId="76" fillId="0" borderId="0" xfId="2" applyFont="1" applyFill="1"/>
    <xf numFmtId="43" fontId="1" fillId="10" borderId="0" xfId="2" applyFont="1" applyFill="1" applyAlignment="1">
      <alignment horizontal="right"/>
    </xf>
    <xf numFmtId="174" fontId="8" fillId="0" borderId="0" xfId="2" applyNumberFormat="1" applyFont="1"/>
    <xf numFmtId="0" fontId="44" fillId="12" borderId="0" xfId="7" applyFont="1" applyFill="1" applyAlignment="1">
      <alignment vertical="top"/>
    </xf>
    <xf numFmtId="0" fontId="1" fillId="12" borderId="0" xfId="7" applyFill="1" applyAlignment="1">
      <alignment vertical="top"/>
    </xf>
    <xf numFmtId="0" fontId="36" fillId="13" borderId="0" xfId="7" applyFont="1" applyFill="1" applyAlignment="1">
      <alignment vertical="top"/>
    </xf>
    <xf numFmtId="0" fontId="45" fillId="13" borderId="0" xfId="7" applyFont="1" applyFill="1" applyAlignment="1">
      <alignment vertical="top"/>
    </xf>
    <xf numFmtId="0" fontId="78" fillId="0" borderId="0" xfId="7" applyFont="1" applyAlignment="1">
      <alignment vertical="top"/>
    </xf>
    <xf numFmtId="0" fontId="36" fillId="0" borderId="0" xfId="7" applyFont="1" applyAlignment="1">
      <alignment vertical="top"/>
    </xf>
    <xf numFmtId="196" fontId="1" fillId="10" borderId="72" xfId="3" applyNumberFormat="1" applyFill="1" applyBorder="1" applyAlignment="1">
      <alignment horizontal="right" vertical="top"/>
    </xf>
    <xf numFmtId="0" fontId="76" fillId="0" borderId="0" xfId="7" applyFont="1" applyAlignment="1">
      <alignment vertical="top"/>
    </xf>
    <xf numFmtId="0" fontId="46" fillId="15" borderId="0" xfId="7" applyFont="1" applyFill="1" applyAlignment="1">
      <alignment horizontal="left" vertical="top"/>
    </xf>
    <xf numFmtId="0" fontId="1" fillId="15" borderId="0" xfId="7" applyFill="1" applyAlignment="1">
      <alignment vertical="top"/>
    </xf>
    <xf numFmtId="0" fontId="47" fillId="15" borderId="0" xfId="7" applyFont="1" applyFill="1" applyAlignment="1">
      <alignment horizontal="right" vertical="top"/>
    </xf>
    <xf numFmtId="0" fontId="32" fillId="15" borderId="0" xfId="7" applyFont="1" applyFill="1" applyAlignment="1">
      <alignment vertical="top"/>
    </xf>
    <xf numFmtId="43" fontId="1" fillId="10" borderId="0" xfId="2" applyFont="1" applyFill="1" applyBorder="1" applyAlignment="1">
      <alignment horizontal="right"/>
    </xf>
    <xf numFmtId="0" fontId="1" fillId="6" borderId="0" xfId="7" applyFill="1"/>
    <xf numFmtId="0" fontId="1" fillId="6" borderId="23" xfId="7" applyFill="1" applyBorder="1"/>
    <xf numFmtId="0" fontId="82" fillId="0" borderId="0" xfId="7" applyFont="1" applyAlignment="1">
      <alignment vertical="top"/>
    </xf>
    <xf numFmtId="0" fontId="2" fillId="0" borderId="51" xfId="7" applyFont="1" applyBorder="1" applyAlignment="1">
      <alignment horizontal="left"/>
    </xf>
    <xf numFmtId="0" fontId="1" fillId="0" borderId="0" xfId="7" applyAlignment="1">
      <alignment vertical="top" wrapText="1"/>
    </xf>
    <xf numFmtId="0" fontId="1" fillId="0" borderId="0" xfId="7" applyAlignment="1">
      <alignment vertical="top"/>
    </xf>
    <xf numFmtId="0" fontId="84" fillId="0" borderId="0" xfId="7" applyFont="1" applyAlignment="1">
      <alignment vertical="top"/>
    </xf>
    <xf numFmtId="0" fontId="46" fillId="12" borderId="0" xfId="7" applyFont="1" applyFill="1" applyAlignment="1">
      <alignment vertical="top"/>
    </xf>
    <xf numFmtId="0" fontId="36" fillId="12" borderId="0" xfId="7" applyFont="1" applyFill="1" applyAlignment="1">
      <alignment vertical="top"/>
    </xf>
    <xf numFmtId="0" fontId="2" fillId="0" borderId="0" xfId="7" applyFont="1" applyAlignment="1">
      <alignment vertical="top"/>
    </xf>
    <xf numFmtId="0" fontId="1" fillId="17" borderId="0" xfId="7" applyFill="1" applyAlignment="1">
      <alignment vertical="top"/>
    </xf>
    <xf numFmtId="0" fontId="2" fillId="17" borderId="9" xfId="7" applyFont="1" applyFill="1" applyBorder="1" applyAlignment="1">
      <alignment horizontal="right" vertical="top"/>
    </xf>
    <xf numFmtId="0" fontId="2" fillId="17" borderId="4" xfId="7" applyFont="1" applyFill="1" applyBorder="1" applyAlignment="1">
      <alignment horizontal="right" vertical="top"/>
    </xf>
    <xf numFmtId="0" fontId="2" fillId="17" borderId="4" xfId="7" applyFont="1" applyFill="1" applyBorder="1" applyAlignment="1">
      <alignment horizontal="left" vertical="top" wrapText="1"/>
    </xf>
    <xf numFmtId="0" fontId="2" fillId="17" borderId="4" xfId="7" applyFont="1" applyFill="1" applyBorder="1" applyAlignment="1">
      <alignment vertical="top"/>
    </xf>
    <xf numFmtId="0" fontId="2" fillId="17" borderId="4" xfId="7" applyFont="1" applyFill="1" applyBorder="1" applyAlignment="1">
      <alignment vertical="top" wrapText="1"/>
    </xf>
    <xf numFmtId="164" fontId="1" fillId="4" borderId="23" xfId="0" applyFont="1" applyFill="1" applyBorder="1"/>
    <xf numFmtId="0" fontId="77" fillId="10" borderId="0" xfId="10" applyFont="1" applyFill="1" applyAlignment="1">
      <alignment horizontal="right"/>
    </xf>
    <xf numFmtId="2" fontId="77" fillId="10" borderId="0" xfId="14" applyNumberFormat="1" applyFont="1" applyFill="1"/>
    <xf numFmtId="43" fontId="77" fillId="10" borderId="0" xfId="2" applyFont="1" applyFill="1"/>
    <xf numFmtId="4" fontId="77" fillId="10" borderId="0" xfId="14" applyNumberFormat="1" applyFont="1" applyFill="1"/>
    <xf numFmtId="0" fontId="77" fillId="10" borderId="0" xfId="14" applyFont="1" applyFill="1" applyAlignment="1">
      <alignment horizontal="right"/>
    </xf>
    <xf numFmtId="2" fontId="77" fillId="10" borderId="0" xfId="14" quotePrefix="1" applyNumberFormat="1" applyFont="1" applyFill="1"/>
    <xf numFmtId="2" fontId="77" fillId="10" borderId="0" xfId="14" applyNumberFormat="1" applyFont="1" applyFill="1" applyAlignment="1">
      <alignment horizontal="right"/>
    </xf>
    <xf numFmtId="0" fontId="77" fillId="10" borderId="23" xfId="10" applyFont="1" applyFill="1" applyBorder="1" applyAlignment="1">
      <alignment horizontal="right"/>
    </xf>
    <xf numFmtId="164" fontId="9" fillId="0" borderId="52" xfId="0" quotePrefix="1" applyFont="1" applyBorder="1" applyAlignment="1">
      <alignment horizontal="right"/>
    </xf>
    <xf numFmtId="164" fontId="9" fillId="0" borderId="53" xfId="0" quotePrefix="1" applyFont="1" applyBorder="1" applyAlignment="1">
      <alignment horizontal="right"/>
    </xf>
    <xf numFmtId="164" fontId="85" fillId="0" borderId="0" xfId="0" applyFont="1"/>
    <xf numFmtId="197" fontId="8" fillId="0" borderId="0" xfId="19" applyNumberFormat="1" applyFont="1" applyFill="1"/>
    <xf numFmtId="0" fontId="1" fillId="10" borderId="0" xfId="7" applyFill="1"/>
    <xf numFmtId="164" fontId="81" fillId="0" borderId="0" xfId="0" applyFont="1" applyAlignment="1">
      <alignment vertical="center"/>
    </xf>
    <xf numFmtId="164" fontId="86" fillId="0" borderId="0" xfId="0" applyFont="1" applyAlignment="1">
      <alignment vertical="center"/>
    </xf>
    <xf numFmtId="14" fontId="1" fillId="0" borderId="0" xfId="0" applyNumberFormat="1" applyFont="1"/>
    <xf numFmtId="0" fontId="87" fillId="18" borderId="8" xfId="0" applyNumberFormat="1" applyFont="1" applyFill="1" applyBorder="1" applyAlignment="1" applyProtection="1">
      <alignment horizontal="left" vertical="center"/>
      <protection locked="0"/>
    </xf>
    <xf numFmtId="164" fontId="1" fillId="19" borderId="12" xfId="0" applyFont="1" applyFill="1" applyBorder="1"/>
    <xf numFmtId="164" fontId="0" fillId="19" borderId="13" xfId="0" applyFill="1" applyBorder="1"/>
    <xf numFmtId="164" fontId="2" fillId="0" borderId="0" xfId="0" quotePrefix="1" applyFont="1"/>
    <xf numFmtId="165" fontId="9" fillId="0" borderId="3" xfId="0" applyNumberFormat="1" applyFont="1" applyBorder="1" applyAlignment="1">
      <alignment horizontal="right" wrapText="1"/>
    </xf>
    <xf numFmtId="165" fontId="9" fillId="0" borderId="3" xfId="0" quotePrefix="1" applyNumberFormat="1" applyFont="1" applyBorder="1" applyAlignment="1">
      <alignment horizontal="right" wrapText="1"/>
    </xf>
    <xf numFmtId="198" fontId="9" fillId="0" borderId="0" xfId="17" applyNumberFormat="1" applyFont="1" applyAlignment="1">
      <alignment horizontal="right" wrapText="1"/>
    </xf>
    <xf numFmtId="176" fontId="9" fillId="0" borderId="0" xfId="19" applyNumberFormat="1" applyFont="1" applyFill="1" applyAlignment="1">
      <alignment horizontal="right" wrapText="1"/>
    </xf>
    <xf numFmtId="198" fontId="8" fillId="0" borderId="0" xfId="17" applyNumberFormat="1" applyFont="1" applyAlignment="1">
      <alignment horizontal="right" wrapText="1"/>
    </xf>
    <xf numFmtId="176" fontId="8" fillId="0" borderId="0" xfId="19" applyNumberFormat="1" applyFont="1" applyFill="1" applyAlignment="1">
      <alignment horizontal="right" wrapText="1"/>
    </xf>
    <xf numFmtId="198" fontId="9" fillId="0" borderId="3" xfId="17" applyNumberFormat="1" applyFont="1" applyBorder="1" applyAlignment="1">
      <alignment horizontal="right" wrapText="1"/>
    </xf>
    <xf numFmtId="176" fontId="9" fillId="0" borderId="3" xfId="19" applyNumberFormat="1" applyFont="1" applyFill="1" applyBorder="1" applyAlignment="1">
      <alignment horizontal="right" wrapText="1"/>
    </xf>
    <xf numFmtId="174" fontId="8" fillId="0" borderId="0" xfId="2" applyNumberFormat="1" applyFont="1" applyBorder="1" applyAlignment="1">
      <alignment wrapText="1"/>
    </xf>
    <xf numFmtId="164" fontId="8" fillId="0" borderId="0" xfId="0" applyFont="1" applyAlignment="1">
      <alignment wrapText="1"/>
    </xf>
    <xf numFmtId="173" fontId="8" fillId="0" borderId="0" xfId="2" applyNumberFormat="1" applyFont="1" applyBorder="1" applyAlignment="1">
      <alignment wrapText="1"/>
    </xf>
    <xf numFmtId="173" fontId="0" fillId="0" borderId="0" xfId="2" applyNumberFormat="1" applyFont="1" applyAlignment="1">
      <alignment wrapText="1"/>
    </xf>
    <xf numFmtId="176" fontId="0" fillId="0" borderId="0" xfId="2" applyNumberFormat="1" applyFont="1" applyAlignment="1">
      <alignment wrapText="1"/>
    </xf>
    <xf numFmtId="176" fontId="0" fillId="0" borderId="0" xfId="2" applyNumberFormat="1" applyFont="1" applyFill="1" applyAlignment="1">
      <alignment wrapText="1"/>
    </xf>
    <xf numFmtId="198" fontId="9" fillId="0" borderId="6" xfId="17" applyNumberFormat="1" applyFont="1" applyBorder="1" applyAlignment="1">
      <alignment horizontal="right" wrapText="1"/>
    </xf>
    <xf numFmtId="176" fontId="9" fillId="0" borderId="6" xfId="19" applyNumberFormat="1" applyFont="1" applyFill="1" applyBorder="1" applyAlignment="1">
      <alignment horizontal="right" wrapText="1"/>
    </xf>
    <xf numFmtId="176" fontId="8" fillId="0" borderId="0" xfId="19" applyNumberFormat="1" applyFont="1" applyFill="1" applyBorder="1" applyAlignment="1">
      <alignment horizontal="right" wrapText="1"/>
    </xf>
    <xf numFmtId="198" fontId="8" fillId="0" borderId="4" xfId="17" applyNumberFormat="1" applyFont="1" applyBorder="1" applyAlignment="1">
      <alignment horizontal="right" wrapText="1"/>
    </xf>
    <xf numFmtId="176" fontId="8" fillId="0" borderId="4" xfId="19" applyNumberFormat="1" applyFont="1" applyFill="1" applyBorder="1" applyAlignment="1">
      <alignment horizontal="right" wrapText="1"/>
    </xf>
    <xf numFmtId="186" fontId="8" fillId="0" borderId="0" xfId="17" applyNumberFormat="1" applyFont="1" applyAlignment="1">
      <alignment horizontal="right" wrapText="1"/>
    </xf>
    <xf numFmtId="176" fontId="8" fillId="0" borderId="0" xfId="19" applyNumberFormat="1" applyFont="1" applyBorder="1" applyAlignment="1">
      <alignment horizontal="right" wrapText="1"/>
    </xf>
    <xf numFmtId="176" fontId="0" fillId="0" borderId="0" xfId="19" applyNumberFormat="1" applyFont="1" applyAlignment="1">
      <alignment wrapText="1"/>
    </xf>
    <xf numFmtId="176" fontId="8" fillId="0" borderId="0" xfId="0" applyNumberFormat="1" applyFont="1" applyAlignment="1">
      <alignment wrapText="1"/>
    </xf>
    <xf numFmtId="164" fontId="9" fillId="0" borderId="0" xfId="0" applyFont="1" applyAlignment="1">
      <alignment horizontal="centerContinuous" wrapText="1"/>
    </xf>
    <xf numFmtId="165" fontId="9" fillId="0" borderId="0" xfId="0" quotePrefix="1" applyNumberFormat="1" applyFont="1" applyAlignment="1">
      <alignment horizontal="right" wrapText="1"/>
    </xf>
    <xf numFmtId="10" fontId="8" fillId="0" borderId="0" xfId="19" applyNumberFormat="1" applyFont="1" applyBorder="1" applyAlignment="1">
      <alignment wrapText="1"/>
    </xf>
    <xf numFmtId="10" fontId="8" fillId="0" borderId="0" xfId="19" applyNumberFormat="1" applyFont="1" applyFill="1" applyBorder="1" applyAlignment="1">
      <alignment wrapText="1"/>
    </xf>
    <xf numFmtId="176" fontId="8" fillId="0" borderId="0" xfId="19" applyNumberFormat="1" applyFont="1" applyFill="1" applyBorder="1" applyAlignment="1">
      <alignment wrapText="1"/>
    </xf>
    <xf numFmtId="165" fontId="9" fillId="0" borderId="0" xfId="0" applyNumberFormat="1" applyFont="1" applyAlignment="1">
      <alignment wrapText="1"/>
    </xf>
    <xf numFmtId="176" fontId="9" fillId="0" borderId="0" xfId="17" applyNumberFormat="1" applyFont="1" applyAlignment="1">
      <alignment horizontal="right" wrapText="1"/>
    </xf>
    <xf numFmtId="176" fontId="8" fillId="0" borderId="0" xfId="17" applyNumberFormat="1" applyFont="1" applyAlignment="1">
      <alignment horizontal="right" wrapText="1"/>
    </xf>
    <xf numFmtId="183" fontId="8" fillId="0" borderId="0" xfId="17" applyNumberFormat="1" applyFont="1" applyAlignment="1">
      <alignment horizontal="right" wrapText="1"/>
    </xf>
    <xf numFmtId="173" fontId="8" fillId="0" borderId="0" xfId="2" applyNumberFormat="1" applyFont="1" applyFill="1" applyBorder="1" applyAlignment="1">
      <alignment wrapText="1"/>
    </xf>
    <xf numFmtId="165" fontId="8" fillId="0" borderId="0" xfId="0" applyNumberFormat="1" applyFont="1" applyAlignment="1">
      <alignment wrapText="1"/>
    </xf>
    <xf numFmtId="176" fontId="9" fillId="0" borderId="0" xfId="0" applyNumberFormat="1" applyFont="1" applyAlignment="1">
      <alignment horizontal="right" wrapText="1"/>
    </xf>
    <xf numFmtId="190" fontId="8" fillId="0" borderId="0" xfId="18" applyNumberFormat="1" applyFont="1"/>
    <xf numFmtId="175" fontId="8" fillId="0" borderId="0" xfId="18" applyNumberFormat="1" applyFont="1"/>
    <xf numFmtId="0" fontId="54" fillId="0" borderId="0" xfId="18" applyFont="1"/>
    <xf numFmtId="1" fontId="9" fillId="0" borderId="3" xfId="0" applyNumberFormat="1" applyFont="1" applyBorder="1"/>
    <xf numFmtId="165" fontId="9" fillId="0" borderId="3" xfId="0" applyNumberFormat="1" applyFont="1" applyBorder="1"/>
    <xf numFmtId="0" fontId="9" fillId="0" borderId="0" xfId="18" applyFont="1" applyAlignment="1">
      <alignment horizontal="left"/>
    </xf>
    <xf numFmtId="0" fontId="8" fillId="0" borderId="0" xfId="18" applyFont="1" applyAlignment="1">
      <alignment horizontal="left" indent="1"/>
    </xf>
    <xf numFmtId="10" fontId="8" fillId="0" borderId="0" xfId="19" applyNumberFormat="1" applyFont="1" applyFill="1"/>
    <xf numFmtId="0" fontId="9" fillId="0" borderId="0" xfId="18" applyFont="1"/>
    <xf numFmtId="43" fontId="88" fillId="0" borderId="0" xfId="2" applyFont="1"/>
    <xf numFmtId="181" fontId="8" fillId="0" borderId="0" xfId="18" applyNumberFormat="1" applyFont="1"/>
    <xf numFmtId="43" fontId="8" fillId="0" borderId="0" xfId="2" applyFont="1"/>
    <xf numFmtId="2" fontId="8" fillId="0" borderId="0" xfId="18" applyNumberFormat="1" applyFont="1"/>
    <xf numFmtId="3" fontId="9" fillId="0" borderId="0" xfId="0" applyNumberFormat="1" applyFont="1"/>
    <xf numFmtId="3" fontId="8" fillId="0" borderId="0" xfId="0" applyNumberFormat="1" applyFont="1"/>
    <xf numFmtId="9" fontId="9" fillId="0" borderId="0" xfId="19" applyFont="1" applyFill="1"/>
    <xf numFmtId="9" fontId="8" fillId="0" borderId="0" xfId="18" applyNumberFormat="1" applyFont="1"/>
    <xf numFmtId="0" fontId="9" fillId="0" borderId="3" xfId="18" applyFont="1" applyBorder="1"/>
    <xf numFmtId="3" fontId="9" fillId="0" borderId="3" xfId="0" applyNumberFormat="1" applyFont="1" applyBorder="1"/>
    <xf numFmtId="0" fontId="88" fillId="0" borderId="0" xfId="18" applyFont="1"/>
    <xf numFmtId="0" fontId="55" fillId="0" borderId="0" xfId="18" applyFont="1"/>
    <xf numFmtId="164" fontId="54" fillId="0" borderId="0" xfId="0" applyFont="1"/>
    <xf numFmtId="164" fontId="9" fillId="0" borderId="0" xfId="0" applyFont="1" applyAlignment="1">
      <alignment horizontal="centerContinuous"/>
    </xf>
    <xf numFmtId="165" fontId="9" fillId="0" borderId="7" xfId="0" applyNumberFormat="1" applyFont="1" applyBorder="1"/>
    <xf numFmtId="0" fontId="8" fillId="0" borderId="14" xfId="2" applyNumberFormat="1" applyFont="1" applyBorder="1" applyAlignment="1" applyProtection="1"/>
    <xf numFmtId="174" fontId="8" fillId="0" borderId="6" xfId="2" applyNumberFormat="1" applyFont="1" applyBorder="1" applyAlignment="1" applyProtection="1"/>
    <xf numFmtId="0" fontId="8" fillId="0" borderId="11" xfId="2" applyNumberFormat="1" applyFont="1" applyBorder="1" applyAlignment="1" applyProtection="1"/>
    <xf numFmtId="174" fontId="8" fillId="0" borderId="0" xfId="2" applyNumberFormat="1" applyFont="1" applyBorder="1" applyAlignment="1" applyProtection="1"/>
    <xf numFmtId="174" fontId="8" fillId="7" borderId="0" xfId="2" applyNumberFormat="1" applyFont="1" applyFill="1" applyBorder="1" applyAlignment="1" applyProtection="1"/>
    <xf numFmtId="176" fontId="8" fillId="0" borderId="4" xfId="19" applyNumberFormat="1" applyFont="1" applyBorder="1"/>
    <xf numFmtId="176" fontId="8" fillId="0" borderId="4" xfId="19" applyNumberFormat="1" applyFont="1" applyFill="1" applyBorder="1"/>
    <xf numFmtId="10" fontId="8" fillId="0" borderId="6" xfId="19" applyNumberFormat="1" applyFont="1" applyBorder="1" applyAlignment="1">
      <alignment horizontal="right"/>
    </xf>
    <xf numFmtId="10" fontId="8" fillId="0" borderId="6" xfId="19" applyNumberFormat="1" applyFont="1" applyFill="1" applyBorder="1" applyAlignment="1">
      <alignment horizontal="right"/>
    </xf>
    <xf numFmtId="10" fontId="8" fillId="0" borderId="0" xfId="19" applyNumberFormat="1" applyFont="1" applyBorder="1" applyAlignment="1">
      <alignment horizontal="right"/>
    </xf>
    <xf numFmtId="10" fontId="8" fillId="0" borderId="0" xfId="19" applyNumberFormat="1" applyFont="1" applyFill="1" applyBorder="1" applyAlignment="1">
      <alignment horizontal="right"/>
    </xf>
    <xf numFmtId="10" fontId="8" fillId="7" borderId="4" xfId="19" applyNumberFormat="1" applyFont="1" applyFill="1" applyBorder="1" applyAlignment="1">
      <alignment horizontal="right"/>
    </xf>
    <xf numFmtId="164" fontId="8" fillId="7" borderId="6" xfId="0" applyFont="1" applyFill="1" applyBorder="1"/>
    <xf numFmtId="164" fontId="8" fillId="7" borderId="0" xfId="0" applyFont="1" applyFill="1"/>
    <xf numFmtId="9" fontId="37" fillId="0" borderId="0" xfId="19" applyFont="1" applyFill="1" applyBorder="1"/>
    <xf numFmtId="164" fontId="8" fillId="7" borderId="4" xfId="0" applyFont="1" applyFill="1" applyBorder="1"/>
    <xf numFmtId="176" fontId="8" fillId="0" borderId="6" xfId="19" applyNumberFormat="1" applyFont="1" applyBorder="1"/>
    <xf numFmtId="0" fontId="8" fillId="0" borderId="6" xfId="2" applyNumberFormat="1" applyFont="1" applyBorder="1" applyAlignment="1" applyProtection="1">
      <alignment horizontal="right"/>
    </xf>
    <xf numFmtId="165" fontId="9" fillId="0" borderId="2" xfId="0" applyNumberFormat="1" applyFont="1" applyBorder="1" applyAlignment="1">
      <alignment horizontal="right" wrapText="1"/>
    </xf>
    <xf numFmtId="176" fontId="8" fillId="7" borderId="46" xfId="19" applyNumberFormat="1" applyFont="1" applyFill="1" applyBorder="1"/>
    <xf numFmtId="164" fontId="9" fillId="0" borderId="2" xfId="0" quotePrefix="1" applyFont="1" applyBorder="1" applyAlignment="1">
      <alignment horizontal="right" wrapText="1"/>
    </xf>
    <xf numFmtId="9" fontId="8" fillId="0" borderId="15" xfId="19" applyFont="1" applyBorder="1"/>
    <xf numFmtId="9" fontId="8" fillId="0" borderId="16" xfId="19" applyFont="1" applyBorder="1"/>
    <xf numFmtId="176" fontId="8" fillId="0" borderId="16" xfId="19" applyNumberFormat="1" applyFont="1" applyBorder="1"/>
    <xf numFmtId="0" fontId="8" fillId="0" borderId="12" xfId="2" applyNumberFormat="1" applyFont="1" applyBorder="1" applyAlignment="1" applyProtection="1"/>
    <xf numFmtId="9" fontId="8" fillId="7" borderId="46" xfId="19" applyFont="1" applyFill="1" applyBorder="1" applyAlignment="1">
      <alignment horizontal="right"/>
    </xf>
    <xf numFmtId="174" fontId="8" fillId="0" borderId="4" xfId="2" applyNumberFormat="1" applyFont="1" applyBorder="1" applyAlignment="1" applyProtection="1"/>
    <xf numFmtId="164" fontId="8" fillId="0" borderId="8" xfId="0" applyFont="1" applyBorder="1"/>
    <xf numFmtId="9" fontId="8" fillId="0" borderId="6" xfId="19" applyFont="1" applyBorder="1" applyAlignment="1" applyProtection="1"/>
    <xf numFmtId="9" fontId="8" fillId="0" borderId="0" xfId="19" applyFont="1" applyBorder="1" applyAlignment="1" applyProtection="1"/>
    <xf numFmtId="9" fontId="8" fillId="0" borderId="4" xfId="19" applyFont="1" applyBorder="1" applyAlignment="1" applyProtection="1"/>
    <xf numFmtId="174" fontId="9" fillId="0" borderId="3" xfId="2" applyNumberFormat="1" applyFont="1" applyBorder="1" applyAlignment="1" applyProtection="1">
      <alignment horizontal="right"/>
    </xf>
    <xf numFmtId="174" fontId="9" fillId="0" borderId="3" xfId="2" applyNumberFormat="1" applyFont="1" applyFill="1" applyBorder="1" applyAlignment="1" applyProtection="1">
      <alignment horizontal="right"/>
    </xf>
    <xf numFmtId="0" fontId="8" fillId="0" borderId="6" xfId="2" applyNumberFormat="1" applyFont="1" applyBorder="1" applyAlignment="1" applyProtection="1"/>
    <xf numFmtId="0" fontId="8" fillId="0" borderId="0" xfId="2" applyNumberFormat="1" applyFont="1" applyBorder="1" applyAlignment="1" applyProtection="1"/>
    <xf numFmtId="0" fontId="9" fillId="0" borderId="3" xfId="2" applyNumberFormat="1" applyFont="1" applyBorder="1" applyAlignment="1" applyProtection="1">
      <alignment horizontal="left"/>
    </xf>
    <xf numFmtId="10" fontId="9" fillId="0" borderId="3" xfId="19" applyNumberFormat="1" applyFont="1" applyBorder="1" applyAlignment="1" applyProtection="1">
      <alignment horizontal="right"/>
    </xf>
    <xf numFmtId="10" fontId="9" fillId="0" borderId="3" xfId="19" applyNumberFormat="1" applyFont="1" applyFill="1" applyBorder="1" applyAlignment="1" applyProtection="1">
      <alignment horizontal="right"/>
    </xf>
    <xf numFmtId="43" fontId="9" fillId="0" borderId="3" xfId="2" applyFont="1" applyBorder="1"/>
    <xf numFmtId="0" fontId="8" fillId="0" borderId="4" xfId="2" applyNumberFormat="1" applyFont="1" applyBorder="1" applyAlignment="1" applyProtection="1"/>
    <xf numFmtId="182" fontId="9" fillId="0" borderId="3" xfId="2" applyNumberFormat="1" applyFont="1" applyBorder="1" applyAlignment="1" applyProtection="1"/>
    <xf numFmtId="0" fontId="9" fillId="0" borderId="0" xfId="2" applyNumberFormat="1" applyFont="1" applyFill="1" applyBorder="1" applyAlignment="1" applyProtection="1"/>
    <xf numFmtId="9" fontId="9" fillId="0" borderId="3" xfId="19" applyFont="1" applyBorder="1"/>
    <xf numFmtId="1" fontId="9" fillId="0" borderId="3" xfId="0" applyNumberFormat="1" applyFont="1" applyBorder="1" applyAlignment="1">
      <alignment horizontal="right"/>
    </xf>
    <xf numFmtId="1" fontId="9" fillId="0" borderId="3" xfId="0" applyNumberFormat="1" applyFont="1" applyBorder="1" applyAlignment="1">
      <alignment horizontal="center" wrapText="1"/>
    </xf>
    <xf numFmtId="1" fontId="8" fillId="0" borderId="0" xfId="0" applyNumberFormat="1" applyFont="1" applyAlignment="1">
      <alignment horizontal="center"/>
    </xf>
    <xf numFmtId="164" fontId="9" fillId="0" borderId="3" xfId="0" quotePrefix="1" applyFont="1" applyBorder="1" applyAlignment="1">
      <alignment horizontal="left"/>
    </xf>
    <xf numFmtId="164" fontId="9" fillId="0" borderId="3" xfId="0" applyFont="1" applyBorder="1" applyAlignment="1">
      <alignment horizontal="left"/>
    </xf>
    <xf numFmtId="10" fontId="9" fillId="0" borderId="3" xfId="19" applyNumberFormat="1" applyFont="1" applyFill="1" applyBorder="1" applyAlignment="1">
      <alignment horizontal="right"/>
    </xf>
    <xf numFmtId="0" fontId="9" fillId="0" borderId="3" xfId="0" applyNumberFormat="1" applyFont="1" applyBorder="1" applyAlignment="1">
      <alignment horizontal="right"/>
    </xf>
    <xf numFmtId="4" fontId="9" fillId="0" borderId="0" xfId="0" applyNumberFormat="1" applyFont="1"/>
    <xf numFmtId="175" fontId="9" fillId="0" borderId="3" xfId="0" applyNumberFormat="1" applyFont="1" applyBorder="1" applyAlignment="1">
      <alignment horizontal="right"/>
    </xf>
    <xf numFmtId="164" fontId="8" fillId="0" borderId="0" xfId="0" applyFont="1" applyAlignment="1">
      <alignment horizontal="left" indent="2"/>
    </xf>
    <xf numFmtId="175" fontId="8" fillId="0" borderId="0" xfId="0" applyNumberFormat="1" applyFont="1" applyAlignment="1">
      <alignment horizontal="right"/>
    </xf>
    <xf numFmtId="4" fontId="9" fillId="0" borderId="3" xfId="0" applyNumberFormat="1" applyFont="1" applyBorder="1"/>
    <xf numFmtId="4" fontId="8" fillId="0" borderId="0" xfId="0" applyNumberFormat="1" applyFont="1" applyAlignment="1">
      <alignment horizontal="right"/>
    </xf>
    <xf numFmtId="4" fontId="8" fillId="0" borderId="0" xfId="0" applyNumberFormat="1" applyFont="1"/>
    <xf numFmtId="4" fontId="28" fillId="0" borderId="0" xfId="0" applyNumberFormat="1" applyFont="1" applyAlignment="1">
      <alignment horizontal="right"/>
    </xf>
    <xf numFmtId="164" fontId="9" fillId="0" borderId="6" xfId="0" applyFont="1" applyBorder="1" applyAlignment="1">
      <alignment horizontal="left"/>
    </xf>
    <xf numFmtId="4" fontId="8" fillId="0" borderId="6" xfId="0" applyNumberFormat="1" applyFont="1" applyBorder="1" applyAlignment="1">
      <alignment horizontal="right"/>
    </xf>
    <xf numFmtId="4" fontId="28" fillId="0" borderId="6" xfId="0" applyNumberFormat="1" applyFont="1" applyBorder="1" applyAlignment="1">
      <alignment horizontal="right"/>
    </xf>
    <xf numFmtId="164" fontId="8" fillId="0" borderId="4" xfId="0" applyFont="1" applyBorder="1" applyAlignment="1">
      <alignment horizontal="left"/>
    </xf>
    <xf numFmtId="4" fontId="28" fillId="0" borderId="4" xfId="0" applyNumberFormat="1" applyFont="1" applyBorder="1" applyAlignment="1">
      <alignment horizontal="right"/>
    </xf>
    <xf numFmtId="175" fontId="8" fillId="0" borderId="6" xfId="0" applyNumberFormat="1" applyFont="1" applyBorder="1" applyAlignment="1">
      <alignment horizontal="right"/>
    </xf>
    <xf numFmtId="175" fontId="8" fillId="0" borderId="6" xfId="19" applyNumberFormat="1" applyFont="1" applyFill="1" applyBorder="1" applyAlignment="1">
      <alignment horizontal="right"/>
    </xf>
    <xf numFmtId="175" fontId="28" fillId="0" borderId="6" xfId="19" applyNumberFormat="1" applyFont="1" applyFill="1" applyBorder="1" applyAlignment="1">
      <alignment horizontal="right"/>
    </xf>
    <xf numFmtId="164" fontId="9" fillId="0" borderId="6" xfId="0" applyFont="1" applyBorder="1"/>
    <xf numFmtId="2" fontId="55" fillId="0" borderId="0" xfId="15" applyNumberFormat="1" applyFont="1"/>
    <xf numFmtId="164" fontId="54" fillId="0" borderId="0" xfId="0" applyFont="1" applyAlignment="1">
      <alignment vertical="center"/>
    </xf>
    <xf numFmtId="4" fontId="8" fillId="10" borderId="0" xfId="0" applyNumberFormat="1" applyFont="1" applyFill="1"/>
    <xf numFmtId="4" fontId="8" fillId="10" borderId="0" xfId="0" applyNumberFormat="1" applyFont="1" applyFill="1" applyAlignment="1">
      <alignment horizontal="right"/>
    </xf>
    <xf numFmtId="4" fontId="9" fillId="10" borderId="0" xfId="0" applyNumberFormat="1" applyFont="1" applyFill="1"/>
    <xf numFmtId="4" fontId="9" fillId="10" borderId="0" xfId="0" applyNumberFormat="1" applyFont="1" applyFill="1" applyAlignment="1">
      <alignment horizontal="right"/>
    </xf>
    <xf numFmtId="10" fontId="8" fillId="0" borderId="4" xfId="19" applyNumberFormat="1" applyFont="1" applyFill="1" applyBorder="1" applyAlignment="1">
      <alignment horizontal="right"/>
    </xf>
    <xf numFmtId="4" fontId="59" fillId="0" borderId="0" xfId="0" applyNumberFormat="1" applyFont="1"/>
    <xf numFmtId="175" fontId="8" fillId="0" borderId="4" xfId="0" applyNumberFormat="1" applyFont="1" applyBorder="1" applyAlignment="1">
      <alignment horizontal="right"/>
    </xf>
    <xf numFmtId="164" fontId="8" fillId="0" borderId="4" xfId="16" applyFont="1" applyBorder="1" applyAlignment="1">
      <alignment horizontal="left" indent="1"/>
    </xf>
    <xf numFmtId="164" fontId="8" fillId="0" borderId="4" xfId="16" applyFont="1" applyBorder="1"/>
    <xf numFmtId="164" fontId="8" fillId="0" borderId="6" xfId="16" applyFont="1" applyBorder="1"/>
    <xf numFmtId="4" fontId="8" fillId="0" borderId="0" xfId="16" applyNumberFormat="1" applyFont="1" applyAlignment="1">
      <alignment horizontal="right"/>
    </xf>
    <xf numFmtId="164" fontId="8" fillId="0" borderId="0" xfId="16" applyFont="1"/>
    <xf numFmtId="4" fontId="8" fillId="0" borderId="0" xfId="19" applyNumberFormat="1" applyFont="1" applyFill="1" applyBorder="1" applyAlignment="1">
      <alignment horizontal="right"/>
    </xf>
    <xf numFmtId="4" fontId="8" fillId="0" borderId="4" xfId="19" applyNumberFormat="1" applyFont="1" applyFill="1" applyBorder="1" applyAlignment="1">
      <alignment horizontal="right"/>
    </xf>
    <xf numFmtId="43" fontId="8" fillId="0" borderId="0" xfId="2" applyFont="1" applyFill="1"/>
    <xf numFmtId="191" fontId="8" fillId="0" borderId="0" xfId="2" applyNumberFormat="1" applyFont="1" applyFill="1"/>
    <xf numFmtId="10" fontId="8" fillId="0" borderId="0" xfId="19" applyNumberFormat="1" applyFont="1"/>
    <xf numFmtId="164" fontId="55" fillId="0" borderId="0" xfId="0" applyFont="1"/>
    <xf numFmtId="4" fontId="8" fillId="0" borderId="4" xfId="0" applyNumberFormat="1" applyFont="1" applyBorder="1"/>
    <xf numFmtId="164" fontId="8" fillId="0" borderId="0" xfId="0" applyFont="1" applyAlignment="1">
      <alignment horizontal="center" vertical="top" wrapText="1"/>
    </xf>
    <xf numFmtId="0" fontId="8" fillId="0" borderId="0" xfId="0" applyNumberFormat="1" applyFont="1"/>
    <xf numFmtId="164" fontId="54" fillId="0" borderId="27" xfId="0" applyFont="1" applyBorder="1"/>
    <xf numFmtId="164" fontId="59" fillId="0" borderId="0" xfId="0" applyFont="1"/>
    <xf numFmtId="175" fontId="8" fillId="8" borderId="0" xfId="0" applyNumberFormat="1" applyFont="1" applyFill="1"/>
    <xf numFmtId="175" fontId="9" fillId="0" borderId="0" xfId="0" applyNumberFormat="1" applyFont="1" applyAlignment="1">
      <alignment horizontal="right"/>
    </xf>
    <xf numFmtId="164" fontId="61" fillId="0" borderId="0" xfId="0" applyFont="1"/>
    <xf numFmtId="164" fontId="61" fillId="0" borderId="27" xfId="0" applyFont="1" applyBorder="1"/>
    <xf numFmtId="164" fontId="8" fillId="0" borderId="27" xfId="0" applyFont="1" applyBorder="1"/>
    <xf numFmtId="9" fontId="8" fillId="0" borderId="6" xfId="19" applyFont="1" applyFill="1" applyBorder="1" applyAlignment="1" applyProtection="1">
      <alignment horizontal="right"/>
    </xf>
    <xf numFmtId="9" fontId="8" fillId="0" borderId="0" xfId="19" applyFont="1" applyFill="1" applyBorder="1" applyAlignment="1" applyProtection="1">
      <alignment horizontal="right"/>
    </xf>
    <xf numFmtId="9" fontId="8" fillId="0" borderId="4" xfId="19" applyFont="1" applyFill="1" applyBorder="1" applyAlignment="1" applyProtection="1">
      <alignment horizontal="right"/>
    </xf>
    <xf numFmtId="164" fontId="9" fillId="0" borderId="3" xfId="0" applyFont="1" applyBorder="1" applyAlignment="1">
      <alignment horizontal="left" indent="1"/>
    </xf>
    <xf numFmtId="9" fontId="9" fillId="0" borderId="3" xfId="19" applyFont="1" applyFill="1" applyBorder="1" applyAlignment="1" applyProtection="1">
      <alignment horizontal="right"/>
    </xf>
    <xf numFmtId="164" fontId="9" fillId="0" borderId="0" xfId="0" applyFont="1" applyAlignment="1">
      <alignment horizontal="left" indent="1"/>
    </xf>
    <xf numFmtId="9" fontId="9" fillId="0" borderId="0" xfId="19" applyFont="1" applyFill="1" applyBorder="1" applyAlignment="1" applyProtection="1">
      <alignment horizontal="right"/>
    </xf>
    <xf numFmtId="164" fontId="62" fillId="0" borderId="0" xfId="0" applyFont="1"/>
    <xf numFmtId="4" fontId="9" fillId="8" borderId="3" xfId="0" applyNumberFormat="1" applyFont="1" applyFill="1" applyBorder="1"/>
    <xf numFmtId="2" fontId="9" fillId="0" borderId="0" xfId="19" applyNumberFormat="1" applyFont="1" applyFill="1" applyBorder="1"/>
    <xf numFmtId="4" fontId="9" fillId="0" borderId="0" xfId="2" applyNumberFormat="1" applyFont="1" applyFill="1" applyBorder="1" applyAlignment="1" applyProtection="1">
      <alignment horizontal="right"/>
    </xf>
    <xf numFmtId="164" fontId="9" fillId="0" borderId="23" xfId="0" applyFont="1" applyBorder="1"/>
    <xf numFmtId="164" fontId="8" fillId="0" borderId="23" xfId="0" applyFont="1" applyBorder="1" applyAlignment="1">
      <alignment horizontal="left"/>
    </xf>
    <xf numFmtId="164" fontId="8" fillId="0" borderId="23" xfId="0" applyFont="1" applyBorder="1" applyAlignment="1">
      <alignment horizontal="left" indent="1"/>
    </xf>
    <xf numFmtId="175" fontId="8" fillId="0" borderId="23" xfId="0" applyNumberFormat="1" applyFont="1" applyBorder="1" applyAlignment="1">
      <alignment horizontal="right"/>
    </xf>
    <xf numFmtId="164" fontId="9" fillId="0" borderId="27" xfId="0" applyFont="1" applyBorder="1"/>
    <xf numFmtId="164" fontId="8" fillId="0" borderId="27" xfId="0" applyFont="1" applyBorder="1" applyAlignment="1">
      <alignment horizontal="left"/>
    </xf>
    <xf numFmtId="164" fontId="8" fillId="0" borderId="27" xfId="0" applyFont="1" applyBorder="1" applyAlignment="1">
      <alignment horizontal="left" indent="1"/>
    </xf>
    <xf numFmtId="4" fontId="8" fillId="0" borderId="27" xfId="0" applyNumberFormat="1" applyFont="1" applyBorder="1" applyAlignment="1">
      <alignment horizontal="right"/>
    </xf>
    <xf numFmtId="4" fontId="8" fillId="0" borderId="0" xfId="0" applyNumberFormat="1" applyFont="1" applyAlignment="1">
      <alignment horizontal="left" indent="1"/>
    </xf>
    <xf numFmtId="164" fontId="61" fillId="0" borderId="23" xfId="0" applyFont="1" applyBorder="1"/>
    <xf numFmtId="164" fontId="8" fillId="0" borderId="23" xfId="0" applyFont="1" applyBorder="1"/>
    <xf numFmtId="43" fontId="9" fillId="0" borderId="0" xfId="2" applyFont="1" applyFill="1" applyBorder="1" applyAlignment="1" applyProtection="1">
      <alignment horizontal="right"/>
    </xf>
    <xf numFmtId="43" fontId="89" fillId="0" borderId="0" xfId="2" applyFont="1"/>
    <xf numFmtId="175" fontId="8" fillId="8" borderId="0" xfId="0" applyNumberFormat="1" applyFont="1" applyFill="1" applyAlignment="1">
      <alignment horizontal="right"/>
    </xf>
    <xf numFmtId="175" fontId="8" fillId="21" borderId="0" xfId="0" applyNumberFormat="1" applyFont="1" applyFill="1" applyAlignment="1">
      <alignment horizontal="right"/>
    </xf>
    <xf numFmtId="172" fontId="8" fillId="0" borderId="0" xfId="0" applyNumberFormat="1" applyFont="1"/>
    <xf numFmtId="164" fontId="57" fillId="0" borderId="0" xfId="0" applyFont="1" applyAlignment="1">
      <alignment horizontal="center"/>
    </xf>
    <xf numFmtId="164" fontId="9" fillId="0" borderId="15" xfId="0" applyFont="1" applyBorder="1" applyAlignment="1">
      <alignment horizontal="center"/>
    </xf>
    <xf numFmtId="164" fontId="9" fillId="0" borderId="16" xfId="0" applyFont="1" applyBorder="1" applyAlignment="1">
      <alignment horizontal="center"/>
    </xf>
    <xf numFmtId="164" fontId="9" fillId="0" borderId="46" xfId="0" applyFont="1" applyBorder="1" applyAlignment="1">
      <alignment horizontal="center"/>
    </xf>
    <xf numFmtId="164" fontId="8" fillId="0" borderId="16" xfId="0" applyFont="1" applyBorder="1" applyAlignment="1">
      <alignment horizontal="center"/>
    </xf>
    <xf numFmtId="198" fontId="9" fillId="0" borderId="0" xfId="17" applyNumberFormat="1" applyFont="1"/>
    <xf numFmtId="198" fontId="8" fillId="0" borderId="0" xfId="17" applyNumberFormat="1" applyFont="1"/>
    <xf numFmtId="164" fontId="8" fillId="0" borderId="46" xfId="0" applyFont="1" applyBorder="1" applyAlignment="1">
      <alignment horizontal="center"/>
    </xf>
    <xf numFmtId="198" fontId="9" fillId="0" borderId="3" xfId="17" applyNumberFormat="1" applyFont="1" applyBorder="1"/>
    <xf numFmtId="192" fontId="9" fillId="0" borderId="0" xfId="2" applyNumberFormat="1" applyFont="1" applyFill="1" applyBorder="1"/>
    <xf numFmtId="9" fontId="25" fillId="0" borderId="0" xfId="19" applyFont="1" applyAlignment="1">
      <alignment horizontal="left"/>
    </xf>
    <xf numFmtId="198" fontId="9" fillId="0" borderId="0" xfId="17" applyNumberFormat="1" applyFont="1" applyAlignment="1">
      <alignment horizontal="right"/>
    </xf>
    <xf numFmtId="198" fontId="8" fillId="0" borderId="0" xfId="17" applyNumberFormat="1" applyFont="1" applyAlignment="1">
      <alignment horizontal="right"/>
    </xf>
    <xf numFmtId="198" fontId="9" fillId="0" borderId="3" xfId="17" applyNumberFormat="1" applyFont="1" applyBorder="1" applyAlignment="1">
      <alignment horizontal="right"/>
    </xf>
    <xf numFmtId="4" fontId="8" fillId="0" borderId="23" xfId="0" applyNumberFormat="1" applyFont="1" applyBorder="1" applyAlignment="1">
      <alignment horizontal="left" indent="1"/>
    </xf>
    <xf numFmtId="164" fontId="88" fillId="0" borderId="0" xfId="0" applyFont="1"/>
    <xf numFmtId="43" fontId="89" fillId="0" borderId="0" xfId="2" applyFont="1" applyBorder="1"/>
    <xf numFmtId="164" fontId="24" fillId="0" borderId="0" xfId="0" applyFont="1"/>
    <xf numFmtId="43" fontId="90" fillId="0" borderId="0" xfId="2" applyFont="1"/>
    <xf numFmtId="193" fontId="90" fillId="0" borderId="0" xfId="2" applyNumberFormat="1" applyFont="1"/>
    <xf numFmtId="164" fontId="63" fillId="0" borderId="0" xfId="0" applyFont="1"/>
    <xf numFmtId="1" fontId="25" fillId="0" borderId="0" xfId="0" applyNumberFormat="1" applyFont="1" applyAlignment="1">
      <alignment horizontal="center"/>
    </xf>
    <xf numFmtId="164" fontId="66" fillId="0" borderId="0" xfId="0" applyFont="1" applyAlignment="1">
      <alignment horizontal="left"/>
    </xf>
    <xf numFmtId="164" fontId="9" fillId="0" borderId="6" xfId="0" applyFont="1" applyBorder="1" applyAlignment="1">
      <alignment horizontal="center"/>
    </xf>
    <xf numFmtId="164" fontId="9" fillId="0" borderId="4" xfId="0" applyFont="1" applyBorder="1" applyAlignment="1">
      <alignment horizontal="left"/>
    </xf>
    <xf numFmtId="164" fontId="9" fillId="0" borderId="4" xfId="0" applyFont="1" applyBorder="1" applyAlignment="1">
      <alignment horizontal="center"/>
    </xf>
    <xf numFmtId="164" fontId="8" fillId="0" borderId="0" xfId="0" quotePrefix="1" applyFont="1" applyAlignment="1">
      <alignment horizontal="center"/>
    </xf>
    <xf numFmtId="164" fontId="8" fillId="4" borderId="0" xfId="0" applyFont="1" applyFill="1" applyAlignment="1">
      <alignment horizontal="center"/>
    </xf>
    <xf numFmtId="166" fontId="8" fillId="0" borderId="0" xfId="0" applyNumberFormat="1" applyFont="1"/>
    <xf numFmtId="165" fontId="9" fillId="0" borderId="0" xfId="0" applyNumberFormat="1" applyFont="1"/>
    <xf numFmtId="164" fontId="8" fillId="8" borderId="0" xfId="0" applyFont="1" applyFill="1"/>
    <xf numFmtId="164" fontId="8" fillId="0" borderId="6" xfId="0" quotePrefix="1" applyFont="1" applyBorder="1" applyAlignment="1">
      <alignment horizontal="center"/>
    </xf>
    <xf numFmtId="164" fontId="8" fillId="0" borderId="6" xfId="0" applyFont="1" applyBorder="1" applyAlignment="1">
      <alignment horizontal="center"/>
    </xf>
    <xf numFmtId="168" fontId="66" fillId="0" borderId="0" xfId="0" applyNumberFormat="1" applyFont="1" applyAlignment="1">
      <alignment horizontal="center"/>
    </xf>
    <xf numFmtId="169" fontId="8" fillId="0" borderId="0" xfId="0" applyNumberFormat="1" applyFont="1" applyAlignment="1">
      <alignment horizontal="center"/>
    </xf>
    <xf numFmtId="164" fontId="8" fillId="4" borderId="4" xfId="0" applyFont="1" applyFill="1" applyBorder="1" applyAlignment="1">
      <alignment horizontal="center"/>
    </xf>
    <xf numFmtId="168" fontId="8" fillId="4" borderId="0" xfId="0" applyNumberFormat="1" applyFont="1" applyFill="1" applyAlignment="1">
      <alignment horizontal="center"/>
    </xf>
    <xf numFmtId="3" fontId="8" fillId="8" borderId="6" xfId="0" applyNumberFormat="1" applyFont="1" applyFill="1" applyBorder="1"/>
    <xf numFmtId="168" fontId="8" fillId="0" borderId="0" xfId="0" applyNumberFormat="1" applyFont="1" applyAlignment="1">
      <alignment horizontal="center"/>
    </xf>
    <xf numFmtId="194" fontId="8" fillId="0" borderId="0" xfId="19" applyNumberFormat="1" applyFont="1"/>
    <xf numFmtId="39" fontId="8" fillId="0" borderId="0" xfId="0" applyNumberFormat="1" applyFont="1" applyAlignment="1">
      <alignment horizontal="center"/>
    </xf>
    <xf numFmtId="164" fontId="9" fillId="0" borderId="2" xfId="0" applyFont="1" applyBorder="1" applyAlignment="1">
      <alignment horizontal="right"/>
    </xf>
    <xf numFmtId="164" fontId="8" fillId="4" borderId="2" xfId="0" applyFont="1" applyFill="1" applyBorder="1"/>
    <xf numFmtId="165" fontId="8" fillId="4" borderId="2" xfId="0" applyNumberFormat="1" applyFont="1" applyFill="1" applyBorder="1"/>
    <xf numFmtId="168" fontId="8" fillId="4" borderId="2" xfId="0" applyNumberFormat="1" applyFont="1" applyFill="1" applyBorder="1"/>
    <xf numFmtId="188" fontId="8" fillId="4" borderId="2" xfId="0" applyNumberFormat="1" applyFont="1" applyFill="1" applyBorder="1"/>
    <xf numFmtId="189" fontId="8" fillId="4" borderId="2" xfId="0" applyNumberFormat="1" applyFont="1" applyFill="1" applyBorder="1"/>
    <xf numFmtId="164" fontId="9" fillId="0" borderId="7" xfId="0" applyFont="1" applyBorder="1" applyAlignment="1">
      <alignment horizontal="right"/>
    </xf>
    <xf numFmtId="39" fontId="8" fillId="4" borderId="0" xfId="0" applyNumberFormat="1" applyFont="1" applyFill="1" applyAlignment="1">
      <alignment horizontal="center"/>
    </xf>
    <xf numFmtId="164" fontId="8" fillId="0" borderId="3" xfId="0" applyFont="1" applyBorder="1" applyAlignment="1">
      <alignment horizontal="center"/>
    </xf>
    <xf numFmtId="164" fontId="8" fillId="4" borderId="3" xfId="0" applyFont="1" applyFill="1" applyBorder="1" applyAlignment="1">
      <alignment horizontal="center"/>
    </xf>
    <xf numFmtId="168" fontId="8" fillId="4" borderId="3" xfId="0" applyNumberFormat="1" applyFont="1" applyFill="1" applyBorder="1" applyAlignment="1">
      <alignment horizontal="center"/>
    </xf>
    <xf numFmtId="164" fontId="8" fillId="10" borderId="0" xfId="0" applyFont="1" applyFill="1" applyAlignment="1">
      <alignment horizontal="center"/>
    </xf>
    <xf numFmtId="164" fontId="8" fillId="10" borderId="0" xfId="0" applyFont="1" applyFill="1"/>
    <xf numFmtId="39" fontId="8" fillId="8" borderId="0" xfId="0" applyNumberFormat="1" applyFont="1" applyFill="1" applyAlignment="1">
      <alignment horizontal="center"/>
    </xf>
    <xf numFmtId="39" fontId="8" fillId="8" borderId="3" xfId="0" applyNumberFormat="1" applyFont="1" applyFill="1" applyBorder="1" applyAlignment="1">
      <alignment horizontal="center"/>
    </xf>
    <xf numFmtId="39" fontId="8" fillId="8" borderId="2" xfId="0" applyNumberFormat="1" applyFont="1" applyFill="1" applyBorder="1" applyAlignment="1">
      <alignment horizontal="right"/>
    </xf>
    <xf numFmtId="1" fontId="8" fillId="0" borderId="0" xfId="16" applyNumberFormat="1" applyFont="1" applyAlignment="1">
      <alignment horizontal="left"/>
    </xf>
    <xf numFmtId="1" fontId="8" fillId="0" borderId="0" xfId="16" applyNumberFormat="1" applyFont="1"/>
    <xf numFmtId="164" fontId="9" fillId="0" borderId="0" xfId="16" applyFont="1"/>
    <xf numFmtId="168" fontId="8" fillId="0" borderId="0" xfId="16" applyNumberFormat="1" applyFont="1"/>
    <xf numFmtId="164" fontId="9" fillId="0" borderId="3" xfId="16" applyFont="1" applyBorder="1"/>
    <xf numFmtId="165" fontId="9" fillId="0" borderId="3" xfId="16" applyNumberFormat="1" applyFont="1" applyBorder="1"/>
    <xf numFmtId="1" fontId="8" fillId="0" borderId="0" xfId="0" applyNumberFormat="1" applyFont="1"/>
    <xf numFmtId="49" fontId="8" fillId="0" borderId="0" xfId="16" applyNumberFormat="1" applyFont="1" applyAlignment="1">
      <alignment horizontal="left" indent="1"/>
    </xf>
    <xf numFmtId="178" fontId="8" fillId="8" borderId="0" xfId="0" applyNumberFormat="1" applyFont="1" applyFill="1" applyAlignment="1">
      <alignment horizontal="right"/>
    </xf>
    <xf numFmtId="49" fontId="8" fillId="0" borderId="4" xfId="16" applyNumberFormat="1" applyFont="1" applyBorder="1" applyAlignment="1">
      <alignment horizontal="left" indent="1"/>
    </xf>
    <xf numFmtId="178" fontId="8" fillId="8" borderId="4" xfId="0" applyNumberFormat="1" applyFont="1" applyFill="1" applyBorder="1" applyAlignment="1">
      <alignment horizontal="right"/>
    </xf>
    <xf numFmtId="49" fontId="9" fillId="0" borderId="0" xfId="16" applyNumberFormat="1" applyFont="1" applyAlignment="1">
      <alignment horizontal="left" indent="1"/>
    </xf>
    <xf numFmtId="178" fontId="9" fillId="0" borderId="0" xfId="0" applyNumberFormat="1" applyFont="1" applyAlignment="1">
      <alignment horizontal="right"/>
    </xf>
    <xf numFmtId="178" fontId="8" fillId="0" borderId="0" xfId="0" applyNumberFormat="1" applyFont="1" applyAlignment="1">
      <alignment horizontal="right"/>
    </xf>
    <xf numFmtId="166" fontId="8" fillId="0" borderId="0" xfId="16" applyNumberFormat="1" applyFont="1"/>
    <xf numFmtId="178" fontId="8" fillId="0" borderId="4" xfId="0" applyNumberFormat="1" applyFont="1" applyBorder="1" applyAlignment="1">
      <alignment horizontal="right"/>
    </xf>
    <xf numFmtId="180" fontId="8" fillId="0" borderId="0" xfId="0" applyNumberFormat="1" applyFont="1"/>
    <xf numFmtId="168" fontId="8" fillId="0" borderId="0" xfId="0" applyNumberFormat="1" applyFont="1"/>
    <xf numFmtId="1" fontId="55" fillId="0" borderId="0" xfId="16" applyNumberFormat="1" applyFont="1" applyAlignment="1">
      <alignment horizontal="left"/>
    </xf>
    <xf numFmtId="4" fontId="9" fillId="0" borderId="0" xfId="2" applyNumberFormat="1" applyFont="1" applyFill="1" applyBorder="1" applyAlignment="1">
      <alignment horizontal="right"/>
    </xf>
    <xf numFmtId="4" fontId="9" fillId="0" borderId="0" xfId="0" applyNumberFormat="1" applyFont="1" applyAlignment="1">
      <alignment horizontal="right"/>
    </xf>
    <xf numFmtId="4" fontId="9" fillId="0" borderId="0" xfId="2" applyNumberFormat="1" applyFont="1" applyBorder="1" applyAlignment="1">
      <alignment horizontal="right"/>
    </xf>
    <xf numFmtId="1" fontId="8" fillId="0" borderId="0" xfId="0" quotePrefix="1" applyNumberFormat="1" applyFont="1" applyAlignment="1">
      <alignment horizontal="left"/>
    </xf>
    <xf numFmtId="164" fontId="8" fillId="0" borderId="0" xfId="0" quotePrefix="1" applyFont="1" applyAlignment="1">
      <alignment horizontal="left"/>
    </xf>
    <xf numFmtId="4" fontId="8" fillId="8" borderId="0" xfId="0" applyNumberFormat="1" applyFont="1" applyFill="1" applyAlignment="1">
      <alignment horizontal="right"/>
    </xf>
    <xf numFmtId="4" fontId="8" fillId="8" borderId="4" xfId="0" applyNumberFormat="1" applyFont="1" applyFill="1" applyBorder="1" applyAlignment="1">
      <alignment horizontal="right"/>
    </xf>
    <xf numFmtId="4" fontId="8" fillId="0" borderId="4" xfId="0" applyNumberFormat="1" applyFont="1" applyBorder="1" applyAlignment="1">
      <alignment horizontal="right"/>
    </xf>
    <xf numFmtId="1" fontId="55" fillId="0" borderId="0" xfId="0" applyNumberFormat="1" applyFont="1"/>
    <xf numFmtId="164" fontId="8" fillId="0" borderId="4" xfId="0" applyFont="1" applyBorder="1" applyAlignment="1">
      <alignment horizontal="right"/>
    </xf>
    <xf numFmtId="0" fontId="9" fillId="0" borderId="6" xfId="0" applyNumberFormat="1" applyFont="1" applyBorder="1" applyAlignment="1">
      <alignment horizontal="right"/>
    </xf>
    <xf numFmtId="164" fontId="8" fillId="0" borderId="6" xfId="0" applyFont="1" applyBorder="1" applyAlignment="1">
      <alignment horizontal="right"/>
    </xf>
    <xf numFmtId="175" fontId="8" fillId="8" borderId="6" xfId="0" applyNumberFormat="1" applyFont="1" applyFill="1" applyBorder="1"/>
    <xf numFmtId="175" fontId="8" fillId="8" borderId="4" xfId="0" applyNumberFormat="1" applyFont="1" applyFill="1" applyBorder="1"/>
    <xf numFmtId="164" fontId="66" fillId="0" borderId="0" xfId="0" applyFont="1"/>
    <xf numFmtId="4" fontId="8" fillId="8" borderId="6" xfId="0" applyNumberFormat="1" applyFont="1" applyFill="1" applyBorder="1" applyAlignment="1">
      <alignment horizontal="right"/>
    </xf>
    <xf numFmtId="175" fontId="8" fillId="8" borderId="4" xfId="0" applyNumberFormat="1" applyFont="1" applyFill="1" applyBorder="1" applyAlignment="1">
      <alignment horizontal="right"/>
    </xf>
    <xf numFmtId="164" fontId="8" fillId="9" borderId="0" xfId="0" applyFont="1" applyFill="1"/>
    <xf numFmtId="164" fontId="8" fillId="0" borderId="4" xfId="0" quotePrefix="1" applyFont="1" applyBorder="1" applyAlignment="1">
      <alignment horizontal="right"/>
    </xf>
    <xf numFmtId="43" fontId="8" fillId="8" borderId="4" xfId="2" applyFont="1" applyFill="1" applyBorder="1" applyAlignment="1" applyProtection="1">
      <alignment horizontal="right"/>
    </xf>
    <xf numFmtId="164" fontId="8" fillId="0" borderId="0" xfId="0" quotePrefix="1" applyFont="1" applyAlignment="1">
      <alignment horizontal="right"/>
    </xf>
    <xf numFmtId="175" fontId="8" fillId="8" borderId="6" xfId="0" applyNumberFormat="1" applyFont="1" applyFill="1" applyBorder="1" applyAlignment="1">
      <alignment horizontal="right"/>
    </xf>
    <xf numFmtId="164" fontId="8" fillId="0" borderId="3" xfId="0" quotePrefix="1" applyFont="1" applyBorder="1" applyAlignment="1">
      <alignment horizontal="right"/>
    </xf>
    <xf numFmtId="164" fontId="8" fillId="0" borderId="6" xfId="0" applyFont="1" applyBorder="1" applyAlignment="1">
      <alignment horizontal="left"/>
    </xf>
    <xf numFmtId="175" fontId="25" fillId="0" borderId="0" xfId="0" applyNumberFormat="1" applyFont="1" applyAlignment="1">
      <alignment horizontal="right"/>
    </xf>
    <xf numFmtId="164" fontId="55" fillId="9" borderId="0" xfId="0" applyFont="1" applyFill="1" applyAlignment="1">
      <alignment horizontal="left"/>
    </xf>
    <xf numFmtId="1" fontId="54" fillId="0" borderId="0" xfId="0" applyNumberFormat="1" applyFont="1" applyAlignment="1">
      <alignment horizontal="left"/>
    </xf>
    <xf numFmtId="174" fontId="8" fillId="0" borderId="0" xfId="2" applyNumberFormat="1" applyFont="1" applyFill="1" applyBorder="1"/>
    <xf numFmtId="1" fontId="8" fillId="0" borderId="0" xfId="0" applyNumberFormat="1" applyFont="1" applyAlignment="1">
      <alignment horizontal="left"/>
    </xf>
    <xf numFmtId="4" fontId="8" fillId="0" borderId="0" xfId="0" applyNumberFormat="1" applyFont="1" applyAlignment="1">
      <alignment horizontal="left"/>
    </xf>
    <xf numFmtId="175" fontId="8" fillId="5" borderId="0" xfId="0" applyNumberFormat="1" applyFont="1" applyFill="1" applyAlignment="1">
      <alignment horizontal="right"/>
    </xf>
    <xf numFmtId="4" fontId="8" fillId="0" borderId="3" xfId="0" applyNumberFormat="1" applyFont="1" applyBorder="1" applyAlignment="1">
      <alignment horizontal="right"/>
    </xf>
    <xf numFmtId="175" fontId="8" fillId="8" borderId="0" xfId="2" applyNumberFormat="1" applyFont="1" applyFill="1" applyBorder="1" applyAlignment="1">
      <alignment horizontal="right"/>
    </xf>
    <xf numFmtId="175" fontId="8" fillId="8" borderId="4" xfId="2" applyNumberFormat="1" applyFont="1" applyFill="1" applyBorder="1" applyAlignment="1" applyProtection="1">
      <alignment horizontal="right"/>
    </xf>
    <xf numFmtId="1" fontId="55" fillId="0" borderId="0" xfId="0" applyNumberFormat="1" applyFont="1" applyAlignment="1">
      <alignment horizontal="left"/>
    </xf>
    <xf numFmtId="164" fontId="9" fillId="0" borderId="0" xfId="0" quotePrefix="1" applyFont="1"/>
    <xf numFmtId="164" fontId="91" fillId="0" borderId="4" xfId="0" applyFont="1" applyBorder="1"/>
    <xf numFmtId="1" fontId="9" fillId="0" borderId="6" xfId="0" applyNumberFormat="1" applyFont="1" applyBorder="1" applyAlignment="1">
      <alignment horizontal="left"/>
    </xf>
    <xf numFmtId="164" fontId="9" fillId="0" borderId="6" xfId="0" applyFont="1" applyBorder="1" applyAlignment="1">
      <alignment horizontal="right"/>
    </xf>
    <xf numFmtId="164" fontId="91" fillId="0" borderId="0" xfId="0" applyFont="1"/>
    <xf numFmtId="164" fontId="9" fillId="0" borderId="23" xfId="0" applyFont="1" applyBorder="1" applyAlignment="1">
      <alignment horizontal="left"/>
    </xf>
    <xf numFmtId="164" fontId="91" fillId="0" borderId="0" xfId="0" applyFont="1" applyAlignment="1">
      <alignment horizontal="right"/>
    </xf>
    <xf numFmtId="175" fontId="8" fillId="0" borderId="27" xfId="0" applyNumberFormat="1" applyFont="1" applyBorder="1" applyAlignment="1">
      <alignment horizontal="right"/>
    </xf>
    <xf numFmtId="175" fontId="8" fillId="0" borderId="51" xfId="0" applyNumberFormat="1" applyFont="1" applyBorder="1" applyAlignment="1">
      <alignment horizontal="right"/>
    </xf>
    <xf numFmtId="173" fontId="8" fillId="0" borderId="0" xfId="2" applyNumberFormat="1" applyFont="1" applyFill="1" applyAlignment="1">
      <alignment horizontal="right"/>
    </xf>
    <xf numFmtId="173" fontId="28" fillId="0" borderId="0" xfId="2" applyNumberFormat="1" applyFont="1" applyFill="1" applyAlignment="1">
      <alignment horizontal="right"/>
    </xf>
    <xf numFmtId="164" fontId="8" fillId="0" borderId="47" xfId="0" applyFont="1" applyBorder="1" applyAlignment="1">
      <alignment horizontal="left"/>
    </xf>
    <xf numFmtId="164" fontId="8" fillId="0" borderId="48" xfId="0" applyFont="1" applyBorder="1" applyAlignment="1">
      <alignment horizontal="left" indent="2"/>
    </xf>
    <xf numFmtId="164" fontId="8" fillId="0" borderId="48" xfId="0" applyFont="1" applyBorder="1" applyAlignment="1">
      <alignment horizontal="left" wrapText="1" indent="2"/>
    </xf>
    <xf numFmtId="164" fontId="8" fillId="0" borderId="49" xfId="0" applyFont="1" applyBorder="1" applyAlignment="1">
      <alignment horizontal="left" wrapText="1" indent="2"/>
    </xf>
    <xf numFmtId="164" fontId="8" fillId="0" borderId="49" xfId="0" applyFont="1" applyBorder="1" applyAlignment="1">
      <alignment horizontal="left" indent="2"/>
    </xf>
    <xf numFmtId="164" fontId="8" fillId="0" borderId="48" xfId="0" applyFont="1" applyBorder="1" applyAlignment="1">
      <alignment horizontal="left" indent="1"/>
    </xf>
    <xf numFmtId="164" fontId="8" fillId="0" borderId="49" xfId="0" applyFont="1" applyBorder="1" applyAlignment="1">
      <alignment horizontal="left" indent="1"/>
    </xf>
    <xf numFmtId="164" fontId="9" fillId="0" borderId="47" xfId="0" applyFont="1" applyBorder="1" applyAlignment="1">
      <alignment horizontal="center"/>
    </xf>
    <xf numFmtId="164" fontId="9" fillId="0" borderId="54" xfId="0" applyFont="1" applyBorder="1" applyAlignment="1">
      <alignment horizontal="center"/>
    </xf>
    <xf numFmtId="176" fontId="9" fillId="0" borderId="0" xfId="19" applyNumberFormat="1" applyFont="1"/>
    <xf numFmtId="170" fontId="8" fillId="0" borderId="48" xfId="0" applyNumberFormat="1" applyFont="1" applyBorder="1"/>
    <xf numFmtId="176" fontId="8" fillId="0" borderId="50" xfId="19" applyNumberFormat="1" applyFont="1" applyBorder="1"/>
    <xf numFmtId="176" fontId="8" fillId="0" borderId="50" xfId="19" applyNumberFormat="1" applyFont="1" applyFill="1" applyBorder="1"/>
    <xf numFmtId="170" fontId="9" fillId="0" borderId="57" xfId="0" applyNumberFormat="1" applyFont="1" applyBorder="1"/>
    <xf numFmtId="176" fontId="9" fillId="0" borderId="58" xfId="19" applyNumberFormat="1" applyFont="1" applyBorder="1"/>
    <xf numFmtId="176" fontId="9" fillId="0" borderId="58" xfId="19" applyNumberFormat="1" applyFont="1" applyFill="1" applyBorder="1"/>
    <xf numFmtId="164" fontId="54" fillId="0" borderId="0" xfId="0" applyFont="1" applyAlignment="1">
      <alignment horizontal="left"/>
    </xf>
    <xf numFmtId="164" fontId="9" fillId="0" borderId="23" xfId="0" applyFont="1" applyBorder="1" applyAlignment="1">
      <alignment horizontal="right"/>
    </xf>
    <xf numFmtId="177" fontId="8" fillId="0" borderId="0" xfId="19" applyNumberFormat="1" applyFont="1" applyFill="1" applyAlignment="1">
      <alignment horizontal="right"/>
    </xf>
    <xf numFmtId="178" fontId="9" fillId="10" borderId="0" xfId="17" applyNumberFormat="1" applyFont="1" applyFill="1" applyAlignment="1">
      <alignment horizontal="right"/>
    </xf>
    <xf numFmtId="178" fontId="8" fillId="10" borderId="0" xfId="17" applyNumberFormat="1" applyFont="1" applyFill="1" applyAlignment="1">
      <alignment horizontal="right"/>
    </xf>
    <xf numFmtId="178" fontId="9" fillId="10" borderId="3" xfId="17" applyNumberFormat="1" applyFont="1" applyFill="1" applyBorder="1" applyAlignment="1">
      <alignment horizontal="right"/>
    </xf>
    <xf numFmtId="164" fontId="0" fillId="0" borderId="0" xfId="0" quotePrefix="1"/>
    <xf numFmtId="164" fontId="0" fillId="0" borderId="0" xfId="0" applyAlignment="1">
      <alignment wrapText="1"/>
    </xf>
    <xf numFmtId="176" fontId="0" fillId="0" borderId="0" xfId="0" applyNumberFormat="1" applyAlignment="1">
      <alignment wrapText="1"/>
    </xf>
    <xf numFmtId="177" fontId="0" fillId="0" borderId="0" xfId="0" applyNumberFormat="1" applyAlignment="1">
      <alignment wrapText="1"/>
    </xf>
    <xf numFmtId="186" fontId="8" fillId="0" borderId="0" xfId="0" applyNumberFormat="1" applyFont="1" applyAlignment="1">
      <alignment wrapText="1"/>
    </xf>
    <xf numFmtId="9" fontId="8" fillId="0" borderId="0" xfId="19" applyFont="1" applyFill="1" applyBorder="1" applyAlignment="1">
      <alignment wrapText="1"/>
    </xf>
    <xf numFmtId="9" fontId="9" fillId="0" borderId="0" xfId="19" applyFont="1" applyFill="1" applyBorder="1" applyAlignment="1">
      <alignment wrapText="1"/>
    </xf>
    <xf numFmtId="176" fontId="8" fillId="0" borderId="0" xfId="17" applyNumberFormat="1" applyFont="1" applyAlignment="1">
      <alignment horizontal="right"/>
    </xf>
    <xf numFmtId="171" fontId="67" fillId="22" borderId="0" xfId="8" applyFill="1"/>
    <xf numFmtId="171" fontId="67" fillId="22" borderId="0" xfId="8" applyFill="1" applyAlignment="1">
      <alignment wrapText="1"/>
    </xf>
    <xf numFmtId="171" fontId="92" fillId="21" borderId="61" xfId="8" applyFont="1" applyFill="1" applyBorder="1" applyAlignment="1">
      <alignment vertical="top" wrapText="1"/>
    </xf>
    <xf numFmtId="171" fontId="92" fillId="21" borderId="6" xfId="8" applyFont="1" applyFill="1" applyBorder="1" applyAlignment="1">
      <alignment vertical="top" wrapText="1"/>
    </xf>
    <xf numFmtId="171" fontId="92" fillId="21" borderId="48" xfId="8" applyFont="1" applyFill="1" applyBorder="1" applyAlignment="1">
      <alignment vertical="top" wrapText="1"/>
    </xf>
    <xf numFmtId="171" fontId="92" fillId="21" borderId="0" xfId="8" applyFont="1" applyFill="1" applyAlignment="1">
      <alignment vertical="top" wrapText="1"/>
    </xf>
    <xf numFmtId="171" fontId="92" fillId="21" borderId="23" xfId="8" applyFont="1" applyFill="1" applyBorder="1" applyAlignment="1">
      <alignment vertical="top" wrapText="1"/>
    </xf>
    <xf numFmtId="171" fontId="92" fillId="21" borderId="48" xfId="8" applyFont="1" applyFill="1" applyBorder="1" applyAlignment="1">
      <alignment vertical="top"/>
    </xf>
    <xf numFmtId="37" fontId="1" fillId="8" borderId="63" xfId="0" applyNumberFormat="1" applyFont="1" applyFill="1" applyBorder="1"/>
    <xf numFmtId="164" fontId="1" fillId="21" borderId="50" xfId="0" applyFont="1" applyFill="1" applyBorder="1"/>
    <xf numFmtId="170" fontId="1" fillId="10" borderId="1" xfId="0" applyNumberFormat="1" applyFont="1" applyFill="1" applyBorder="1"/>
    <xf numFmtId="164" fontId="76" fillId="21" borderId="64" xfId="0" applyFont="1" applyFill="1" applyBorder="1"/>
    <xf numFmtId="164" fontId="1" fillId="21" borderId="60" xfId="0" applyFont="1" applyFill="1" applyBorder="1"/>
    <xf numFmtId="16" fontId="9" fillId="0" borderId="0" xfId="18" quotePrefix="1" applyNumberFormat="1" applyFont="1" applyAlignment="1">
      <alignment horizontal="right"/>
    </xf>
    <xf numFmtId="0" fontId="9" fillId="0" borderId="0" xfId="18" applyFont="1" applyAlignment="1">
      <alignment horizontal="right"/>
    </xf>
    <xf numFmtId="4" fontId="8" fillId="0" borderId="6" xfId="0" applyNumberFormat="1" applyFont="1" applyBorder="1"/>
    <xf numFmtId="175" fontId="9" fillId="0" borderId="0" xfId="19" applyNumberFormat="1" applyFont="1" applyFill="1" applyAlignment="1">
      <alignment horizontal="right"/>
    </xf>
    <xf numFmtId="175" fontId="8" fillId="0" borderId="0" xfId="19" applyNumberFormat="1" applyFont="1" applyFill="1" applyAlignment="1">
      <alignment horizontal="right"/>
    </xf>
    <xf numFmtId="175" fontId="9" fillId="0" borderId="3" xfId="19" applyNumberFormat="1" applyFont="1" applyFill="1" applyBorder="1" applyAlignment="1">
      <alignment horizontal="right"/>
    </xf>
    <xf numFmtId="0" fontId="9" fillId="0" borderId="0" xfId="18" quotePrefix="1" applyFont="1" applyAlignment="1">
      <alignment horizontal="right"/>
    </xf>
    <xf numFmtId="9" fontId="54" fillId="0" borderId="0" xfId="19" applyFont="1"/>
    <xf numFmtId="9" fontId="54" fillId="0" borderId="0" xfId="19" applyFont="1" applyAlignment="1">
      <alignment horizontal="right"/>
    </xf>
    <xf numFmtId="176" fontId="54" fillId="0" borderId="0" xfId="19" applyNumberFormat="1" applyFont="1"/>
    <xf numFmtId="176" fontId="54" fillId="0" borderId="0" xfId="19" applyNumberFormat="1" applyFont="1" applyFill="1"/>
    <xf numFmtId="0" fontId="9" fillId="0" borderId="0" xfId="0" quotePrefix="1" applyNumberFormat="1" applyFont="1"/>
    <xf numFmtId="182" fontId="9" fillId="0" borderId="0" xfId="2" quotePrefix="1" applyNumberFormat="1" applyFont="1" applyFill="1" applyBorder="1"/>
    <xf numFmtId="171" fontId="92" fillId="21" borderId="48" xfId="9" applyFont="1" applyFill="1" applyBorder="1" applyAlignment="1">
      <alignment horizontal="left" vertical="top" wrapText="1"/>
    </xf>
    <xf numFmtId="171" fontId="92" fillId="21" borderId="0" xfId="9" applyFont="1" applyFill="1" applyAlignment="1">
      <alignment horizontal="left" vertical="top" wrapText="1"/>
    </xf>
    <xf numFmtId="171" fontId="92" fillId="21" borderId="49" xfId="8" applyFont="1" applyFill="1" applyBorder="1" applyAlignment="1">
      <alignment vertical="top" wrapText="1"/>
    </xf>
    <xf numFmtId="164" fontId="8" fillId="0" borderId="3" xfId="0" applyFont="1" applyBorder="1" applyAlignment="1">
      <alignment horizontal="left" indent="2"/>
    </xf>
    <xf numFmtId="43" fontId="8" fillId="0" borderId="6" xfId="2" applyFont="1" applyBorder="1"/>
    <xf numFmtId="174" fontId="9" fillId="0" borderId="3" xfId="2" applyNumberFormat="1" applyFont="1" applyBorder="1"/>
    <xf numFmtId="174" fontId="9" fillId="0" borderId="3" xfId="0" applyNumberFormat="1" applyFont="1" applyBorder="1"/>
    <xf numFmtId="164" fontId="8" fillId="0" borderId="4" xfId="0" applyFont="1" applyBorder="1" applyAlignment="1">
      <alignment wrapText="1"/>
    </xf>
    <xf numFmtId="175" fontId="8" fillId="8" borderId="3" xfId="0" applyNumberFormat="1" applyFont="1" applyFill="1" applyBorder="1" applyAlignment="1">
      <alignment horizontal="right"/>
    </xf>
    <xf numFmtId="164" fontId="8" fillId="0" borderId="48" xfId="0" applyFont="1" applyBorder="1" applyAlignment="1">
      <alignment horizontal="left"/>
    </xf>
    <xf numFmtId="175" fontId="8" fillId="8" borderId="23" xfId="0" applyNumberFormat="1" applyFont="1" applyFill="1" applyBorder="1" applyAlignment="1">
      <alignment horizontal="right"/>
    </xf>
    <xf numFmtId="200" fontId="90" fillId="0" borderId="0" xfId="2" applyNumberFormat="1" applyFont="1"/>
    <xf numFmtId="201" fontId="90" fillId="0" borderId="0" xfId="2" applyNumberFormat="1" applyFont="1"/>
    <xf numFmtId="164" fontId="96" fillId="0" borderId="0" xfId="0" applyFont="1"/>
    <xf numFmtId="175" fontId="9" fillId="10" borderId="3" xfId="0" applyNumberFormat="1" applyFont="1" applyFill="1" applyBorder="1" applyAlignment="1">
      <alignment horizontal="right"/>
    </xf>
    <xf numFmtId="175" fontId="8" fillId="10" borderId="0" xfId="0" applyNumberFormat="1" applyFont="1" applyFill="1" applyAlignment="1">
      <alignment horizontal="right"/>
    </xf>
    <xf numFmtId="175" fontId="8" fillId="10" borderId="4" xfId="0" applyNumberFormat="1" applyFont="1" applyFill="1" applyBorder="1" applyAlignment="1">
      <alignment horizontal="right"/>
    </xf>
    <xf numFmtId="175" fontId="8" fillId="10" borderId="0" xfId="2" applyNumberFormat="1" applyFont="1" applyFill="1" applyBorder="1" applyAlignment="1">
      <alignment horizontal="right"/>
    </xf>
    <xf numFmtId="175" fontId="8" fillId="10" borderId="4" xfId="2" applyNumberFormat="1" applyFont="1" applyFill="1" applyBorder="1" applyAlignment="1" applyProtection="1">
      <alignment horizontal="right"/>
    </xf>
    <xf numFmtId="175" fontId="8" fillId="10" borderId="27" xfId="0" applyNumberFormat="1" applyFont="1" applyFill="1" applyBorder="1" applyAlignment="1">
      <alignment horizontal="right"/>
    </xf>
    <xf numFmtId="175" fontId="8" fillId="10" borderId="23" xfId="0" applyNumberFormat="1" applyFont="1" applyFill="1" applyBorder="1" applyAlignment="1">
      <alignment horizontal="right"/>
    </xf>
    <xf numFmtId="164" fontId="9" fillId="0" borderId="51" xfId="0" applyFont="1" applyBorder="1" applyAlignment="1">
      <alignment horizontal="left"/>
    </xf>
    <xf numFmtId="164" fontId="8" fillId="10" borderId="23" xfId="0" applyFont="1" applyFill="1" applyBorder="1"/>
    <xf numFmtId="164" fontId="9" fillId="10" borderId="23" xfId="0" applyFont="1" applyFill="1" applyBorder="1"/>
    <xf numFmtId="164" fontId="8" fillId="0" borderId="47" xfId="0" applyFont="1" applyBorder="1"/>
    <xf numFmtId="164" fontId="8" fillId="10" borderId="27" xfId="0" applyFont="1" applyFill="1" applyBorder="1"/>
    <xf numFmtId="164" fontId="60" fillId="0" borderId="6" xfId="0" applyFont="1" applyBorder="1"/>
    <xf numFmtId="164" fontId="8" fillId="0" borderId="6" xfId="0" applyFont="1" applyBorder="1" applyAlignment="1">
      <alignment vertical="top" wrapText="1"/>
    </xf>
    <xf numFmtId="9" fontId="8" fillId="0" borderId="4" xfId="19" applyFont="1" applyBorder="1"/>
    <xf numFmtId="174" fontId="9" fillId="0" borderId="3" xfId="2" applyNumberFormat="1" applyFont="1" applyFill="1" applyBorder="1"/>
    <xf numFmtId="179" fontId="8" fillId="23" borderId="0" xfId="17" applyNumberFormat="1" applyFont="1" applyFill="1" applyAlignment="1">
      <alignment horizontal="right"/>
    </xf>
    <xf numFmtId="164" fontId="9" fillId="0" borderId="3" xfId="0" applyFont="1" applyBorder="1" applyAlignment="1">
      <alignment horizontal="right"/>
    </xf>
    <xf numFmtId="164" fontId="9" fillId="0" borderId="4" xfId="0" quotePrefix="1" applyFont="1" applyBorder="1" applyAlignment="1">
      <alignment horizontal="center"/>
    </xf>
    <xf numFmtId="176" fontId="8" fillId="0" borderId="50" xfId="19" applyNumberFormat="1" applyFont="1" applyBorder="1" applyAlignment="1">
      <alignment horizontal="right"/>
    </xf>
    <xf numFmtId="170" fontId="9" fillId="0" borderId="48" xfId="0" applyNumberFormat="1" applyFont="1" applyBorder="1" applyAlignment="1">
      <alignment horizontal="right"/>
    </xf>
    <xf numFmtId="176" fontId="9" fillId="0" borderId="50" xfId="19" applyNumberFormat="1" applyFont="1" applyBorder="1" applyAlignment="1">
      <alignment horizontal="right"/>
    </xf>
    <xf numFmtId="170" fontId="8" fillId="0" borderId="48" xfId="0" applyNumberFormat="1" applyFont="1" applyBorder="1" applyAlignment="1">
      <alignment horizontal="right"/>
    </xf>
    <xf numFmtId="170" fontId="9" fillId="0" borderId="55" xfId="0" applyNumberFormat="1" applyFont="1" applyBorder="1" applyAlignment="1">
      <alignment horizontal="right"/>
    </xf>
    <xf numFmtId="176" fontId="9" fillId="0" borderId="56" xfId="19" applyNumberFormat="1" applyFont="1" applyBorder="1" applyAlignment="1">
      <alignment horizontal="right"/>
    </xf>
    <xf numFmtId="164" fontId="97" fillId="0" borderId="0" xfId="0" applyFont="1"/>
    <xf numFmtId="164" fontId="9" fillId="0" borderId="0" xfId="0" applyFont="1" applyAlignment="1">
      <alignment wrapText="1"/>
    </xf>
    <xf numFmtId="171" fontId="1" fillId="21" borderId="62" xfId="8" applyFont="1" applyFill="1" applyBorder="1" applyAlignment="1">
      <alignment vertical="top" wrapText="1"/>
    </xf>
    <xf numFmtId="171" fontId="1" fillId="21" borderId="50" xfId="8" applyFont="1" applyFill="1" applyBorder="1" applyAlignment="1">
      <alignment vertical="top" wrapText="1"/>
    </xf>
    <xf numFmtId="171" fontId="1" fillId="21" borderId="50" xfId="9" applyFont="1" applyFill="1" applyBorder="1" applyAlignment="1">
      <alignment vertical="top" wrapText="1"/>
    </xf>
    <xf numFmtId="199" fontId="1" fillId="21" borderId="60" xfId="8" applyNumberFormat="1" applyFont="1" applyFill="1" applyBorder="1" applyAlignment="1">
      <alignment horizontal="left" vertical="top" wrapText="1"/>
    </xf>
    <xf numFmtId="164" fontId="9" fillId="0" borderId="3" xfId="0" applyFont="1" applyBorder="1" applyAlignment="1">
      <alignment horizontal="left" wrapText="1"/>
    </xf>
    <xf numFmtId="164" fontId="99" fillId="0" borderId="0" xfId="0" applyFont="1"/>
    <xf numFmtId="164" fontId="100" fillId="0" borderId="3" xfId="0" applyFont="1" applyBorder="1"/>
    <xf numFmtId="3" fontId="8" fillId="8" borderId="0" xfId="0" applyNumberFormat="1" applyFont="1" applyFill="1" applyAlignment="1">
      <alignment horizontal="right"/>
    </xf>
    <xf numFmtId="3" fontId="9" fillId="0" borderId="3" xfId="0" applyNumberFormat="1" applyFont="1" applyBorder="1" applyAlignment="1">
      <alignment horizontal="right"/>
    </xf>
    <xf numFmtId="164" fontId="101" fillId="0" borderId="0" xfId="0" applyFont="1" applyAlignment="1">
      <alignment horizontal="left" indent="1"/>
    </xf>
    <xf numFmtId="164" fontId="100" fillId="0" borderId="3" xfId="0" applyFont="1" applyBorder="1" applyAlignment="1">
      <alignment wrapText="1"/>
    </xf>
    <xf numFmtId="172" fontId="8" fillId="4" borderId="2" xfId="0" applyNumberFormat="1" applyFont="1" applyFill="1" applyBorder="1"/>
    <xf numFmtId="164" fontId="100" fillId="0" borderId="2" xfId="0" applyFont="1" applyBorder="1"/>
    <xf numFmtId="164" fontId="99" fillId="0" borderId="2" xfId="0" applyFont="1" applyBorder="1"/>
    <xf numFmtId="164" fontId="101" fillId="0" borderId="0" xfId="0" applyFont="1"/>
    <xf numFmtId="164" fontId="100" fillId="0" borderId="2" xfId="0" applyFont="1" applyBorder="1" applyAlignment="1">
      <alignment horizontal="center" wrapText="1"/>
    </xf>
    <xf numFmtId="189" fontId="8" fillId="10" borderId="2" xfId="0" applyNumberFormat="1" applyFont="1" applyFill="1" applyBorder="1"/>
    <xf numFmtId="164" fontId="99" fillId="10" borderId="2" xfId="0" applyFont="1" applyFill="1" applyBorder="1"/>
    <xf numFmtId="4" fontId="9" fillId="0" borderId="3" xfId="0" applyNumberFormat="1" applyFont="1" applyBorder="1" applyAlignment="1">
      <alignment horizontal="right"/>
    </xf>
    <xf numFmtId="164" fontId="8" fillId="0" borderId="2" xfId="0" applyFont="1" applyBorder="1"/>
    <xf numFmtId="164" fontId="9" fillId="0" borderId="2" xfId="0" applyFont="1" applyBorder="1"/>
    <xf numFmtId="39" fontId="8" fillId="0" borderId="3" xfId="0" applyNumberFormat="1" applyFont="1" applyBorder="1" applyAlignment="1">
      <alignment horizontal="center"/>
    </xf>
    <xf numFmtId="0" fontId="8" fillId="4" borderId="2" xfId="0" applyNumberFormat="1" applyFont="1" applyFill="1" applyBorder="1"/>
    <xf numFmtId="44" fontId="8" fillId="0" borderId="0" xfId="4" applyFont="1" applyBorder="1" applyAlignment="1">
      <alignment wrapText="1"/>
    </xf>
    <xf numFmtId="167" fontId="11" fillId="0" borderId="26" xfId="0" applyNumberFormat="1" applyFont="1" applyBorder="1" applyAlignment="1" applyProtection="1">
      <alignment horizontal="right"/>
      <protection locked="0"/>
    </xf>
    <xf numFmtId="3" fontId="8" fillId="0" borderId="0" xfId="18" applyNumberFormat="1" applyFont="1"/>
    <xf numFmtId="176" fontId="8" fillId="0" borderId="0" xfId="19" quotePrefix="1" applyNumberFormat="1" applyFont="1" applyFill="1" applyAlignment="1">
      <alignment horizontal="left"/>
    </xf>
    <xf numFmtId="164" fontId="103" fillId="0" borderId="0" xfId="0" applyFont="1" applyAlignment="1">
      <alignment vertical="center" wrapText="1"/>
    </xf>
    <xf numFmtId="164" fontId="105" fillId="0" borderId="0" xfId="0" applyFont="1" applyAlignment="1">
      <alignment vertical="center"/>
    </xf>
    <xf numFmtId="164" fontId="106" fillId="0" borderId="0" xfId="0" applyFont="1" applyAlignment="1">
      <alignment vertical="center" wrapText="1"/>
    </xf>
    <xf numFmtId="164" fontId="107" fillId="0" borderId="0" xfId="0" applyFont="1" applyAlignment="1">
      <alignment vertical="center" wrapText="1"/>
    </xf>
    <xf numFmtId="164" fontId="108" fillId="0" borderId="0" xfId="0" applyFont="1" applyAlignment="1">
      <alignment horizontal="left" vertical="center" wrapText="1" indent="1"/>
    </xf>
    <xf numFmtId="164" fontId="110" fillId="0" borderId="0" xfId="0" applyFont="1" applyAlignment="1">
      <alignment vertical="center" wrapText="1"/>
    </xf>
    <xf numFmtId="164" fontId="109" fillId="0" borderId="0" xfId="0" applyFont="1" applyAlignment="1">
      <alignment vertical="center" wrapText="1"/>
    </xf>
    <xf numFmtId="164" fontId="104" fillId="0" borderId="0" xfId="0" applyFont="1" applyAlignment="1">
      <alignment vertical="center" wrapText="1"/>
    </xf>
    <xf numFmtId="164" fontId="111" fillId="0" borderId="0" xfId="0" applyFont="1" applyAlignment="1">
      <alignment horizontal="center" vertical="center" wrapText="1"/>
    </xf>
    <xf numFmtId="0" fontId="77" fillId="16" borderId="0" xfId="7" applyFont="1" applyFill="1" applyAlignment="1">
      <alignment horizontal="left"/>
    </xf>
    <xf numFmtId="0" fontId="1" fillId="16" borderId="0" xfId="7" applyFill="1"/>
    <xf numFmtId="0" fontId="1" fillId="0" borderId="0" xfId="7"/>
    <xf numFmtId="164" fontId="77" fillId="10" borderId="0" xfId="0" applyFont="1" applyFill="1" applyAlignment="1">
      <alignment vertical="top"/>
    </xf>
    <xf numFmtId="43" fontId="77" fillId="10" borderId="0" xfId="2" applyFont="1" applyFill="1" applyAlignment="1">
      <alignment horizontal="right"/>
    </xf>
    <xf numFmtId="0" fontId="80" fillId="16" borderId="0" xfId="7" applyFont="1" applyFill="1" applyAlignment="1">
      <alignment horizontal="left"/>
    </xf>
    <xf numFmtId="0" fontId="2" fillId="16" borderId="0" xfId="7" applyFont="1" applyFill="1"/>
    <xf numFmtId="0" fontId="2" fillId="0" borderId="0" xfId="7" applyFont="1"/>
    <xf numFmtId="4" fontId="1" fillId="11" borderId="0" xfId="10" applyNumberFormat="1" applyFill="1" applyAlignment="1">
      <alignment horizontal="right"/>
    </xf>
    <xf numFmtId="0" fontId="1" fillId="10" borderId="0" xfId="10" applyFill="1" applyAlignment="1">
      <alignment horizontal="right"/>
    </xf>
    <xf numFmtId="164" fontId="1" fillId="10" borderId="0" xfId="0" applyFont="1" applyFill="1" applyAlignment="1">
      <alignment horizontal="left" vertical="top"/>
    </xf>
    <xf numFmtId="164" fontId="77" fillId="10" borderId="0" xfId="0" applyFont="1" applyFill="1" applyAlignment="1">
      <alignment horizontal="left" vertical="top" wrapText="1"/>
    </xf>
    <xf numFmtId="164" fontId="77" fillId="10" borderId="0" xfId="0" applyFont="1" applyFill="1" applyAlignment="1">
      <alignment horizontal="left" vertical="top"/>
    </xf>
    <xf numFmtId="164" fontId="1" fillId="10" borderId="0" xfId="0" applyFont="1" applyFill="1" applyAlignment="1">
      <alignment horizontal="left" vertical="top" wrapText="1"/>
    </xf>
    <xf numFmtId="0" fontId="1" fillId="16" borderId="0" xfId="7" applyFill="1" applyAlignment="1">
      <alignment horizontal="left"/>
    </xf>
    <xf numFmtId="0" fontId="1" fillId="10" borderId="23" xfId="10" applyFill="1" applyBorder="1" applyAlignment="1">
      <alignment horizontal="right"/>
    </xf>
    <xf numFmtId="0" fontId="2" fillId="16" borderId="0" xfId="7" applyFont="1" applyFill="1" applyAlignment="1">
      <alignment horizontal="left"/>
    </xf>
    <xf numFmtId="164" fontId="0" fillId="10" borderId="0" xfId="0" applyFill="1"/>
    <xf numFmtId="0" fontId="1" fillId="10" borderId="0" xfId="14" applyFill="1" applyAlignment="1">
      <alignment horizontal="right"/>
    </xf>
    <xf numFmtId="0" fontId="1" fillId="10" borderId="0" xfId="14" applyFill="1" applyAlignment="1">
      <alignment horizontal="left"/>
    </xf>
    <xf numFmtId="4" fontId="1" fillId="10" borderId="0" xfId="14" applyNumberFormat="1" applyFill="1" applyAlignment="1">
      <alignment horizontal="right"/>
    </xf>
    <xf numFmtId="0" fontId="1" fillId="10" borderId="23" xfId="14" applyFill="1" applyBorder="1" applyAlignment="1">
      <alignment horizontal="left"/>
    </xf>
    <xf numFmtId="0" fontId="83" fillId="15" borderId="0" xfId="7" applyFont="1" applyFill="1" applyAlignment="1">
      <alignment vertical="top"/>
    </xf>
    <xf numFmtId="164" fontId="1" fillId="4" borderId="0" xfId="0" applyFont="1" applyFill="1"/>
    <xf numFmtId="164" fontId="76" fillId="4" borderId="0" xfId="0" applyFont="1" applyFill="1"/>
    <xf numFmtId="164" fontId="112" fillId="0" borderId="0" xfId="0" applyFont="1" applyAlignment="1" applyProtection="1">
      <alignment horizontal="left"/>
      <protection locked="0"/>
    </xf>
    <xf numFmtId="164" fontId="113" fillId="0" borderId="0" xfId="0" applyFont="1" applyProtection="1">
      <protection locked="0"/>
    </xf>
    <xf numFmtId="164" fontId="113" fillId="0" borderId="0" xfId="0" applyFont="1"/>
    <xf numFmtId="164" fontId="113" fillId="0" borderId="0" xfId="0" applyFont="1" applyAlignment="1" applyProtection="1">
      <alignment horizontal="center"/>
      <protection locked="0"/>
    </xf>
    <xf numFmtId="170" fontId="113" fillId="0" borderId="0" xfId="0" applyNumberFormat="1" applyFont="1" applyProtection="1">
      <protection locked="0"/>
    </xf>
    <xf numFmtId="169" fontId="113" fillId="0" borderId="0" xfId="0" applyNumberFormat="1" applyFont="1" applyAlignment="1" applyProtection="1">
      <alignment horizontal="center"/>
      <protection locked="0"/>
    </xf>
    <xf numFmtId="164" fontId="114" fillId="0" borderId="0" xfId="0" applyFont="1" applyAlignment="1" applyProtection="1">
      <alignment horizontal="right"/>
      <protection locked="0"/>
    </xf>
    <xf numFmtId="1" fontId="114" fillId="0" borderId="0" xfId="0" applyNumberFormat="1" applyFont="1" applyAlignment="1" applyProtection="1">
      <alignment horizontal="left"/>
      <protection locked="0"/>
    </xf>
    <xf numFmtId="167" fontId="113" fillId="0" borderId="0" xfId="0" applyNumberFormat="1" applyFont="1" applyProtection="1">
      <protection locked="0"/>
    </xf>
    <xf numFmtId="164" fontId="115" fillId="0" borderId="0" xfId="0" applyFont="1"/>
    <xf numFmtId="164" fontId="116" fillId="0" borderId="0" xfId="0" applyFont="1" applyAlignment="1">
      <alignment horizontal="right"/>
    </xf>
    <xf numFmtId="164" fontId="116" fillId="0" borderId="0" xfId="0" applyFont="1"/>
    <xf numFmtId="164" fontId="117" fillId="0" borderId="0" xfId="0" applyFont="1" applyAlignment="1">
      <alignment horizontal="left"/>
    </xf>
    <xf numFmtId="165" fontId="113" fillId="0" borderId="20" xfId="0" applyNumberFormat="1" applyFont="1" applyBorder="1" applyProtection="1">
      <protection locked="0"/>
    </xf>
    <xf numFmtId="165" fontId="113" fillId="0" borderId="5" xfId="0" applyNumberFormat="1" applyFont="1" applyBorder="1" applyProtection="1">
      <protection locked="0"/>
    </xf>
    <xf numFmtId="165" fontId="113" fillId="0" borderId="5" xfId="0" applyNumberFormat="1" applyFont="1" applyBorder="1" applyAlignment="1" applyProtection="1">
      <alignment horizontal="center"/>
      <protection locked="0"/>
    </xf>
    <xf numFmtId="170" fontId="113" fillId="0" borderId="5" xfId="0" applyNumberFormat="1" applyFont="1" applyBorder="1" applyProtection="1">
      <protection locked="0"/>
    </xf>
    <xf numFmtId="164" fontId="118" fillId="0" borderId="9" xfId="0" applyFont="1" applyBorder="1" applyProtection="1">
      <protection locked="0"/>
    </xf>
    <xf numFmtId="164" fontId="118" fillId="0" borderId="0" xfId="0" applyFont="1" applyAlignment="1" applyProtection="1">
      <alignment horizontal="centerContinuous"/>
      <protection locked="0"/>
    </xf>
    <xf numFmtId="167" fontId="118" fillId="0" borderId="0" xfId="0" applyNumberFormat="1" applyFont="1" applyAlignment="1" applyProtection="1">
      <alignment horizontal="centerContinuous"/>
      <protection locked="0"/>
    </xf>
    <xf numFmtId="164" fontId="118" fillId="0" borderId="12" xfId="0" applyFont="1" applyBorder="1" applyAlignment="1" applyProtection="1">
      <alignment horizontal="centerContinuous"/>
      <protection locked="0"/>
    </xf>
    <xf numFmtId="164" fontId="118" fillId="0" borderId="4" xfId="0" applyFont="1" applyBorder="1" applyAlignment="1" applyProtection="1">
      <alignment horizontal="centerContinuous"/>
      <protection locked="0"/>
    </xf>
    <xf numFmtId="164" fontId="118" fillId="0" borderId="13" xfId="0" applyFont="1" applyBorder="1" applyAlignment="1" applyProtection="1">
      <alignment horizontal="centerContinuous"/>
      <protection locked="0"/>
    </xf>
    <xf numFmtId="164" fontId="113" fillId="0" borderId="21" xfId="0" applyFont="1" applyBorder="1"/>
    <xf numFmtId="164" fontId="118" fillId="0" borderId="16" xfId="0" applyFont="1" applyBorder="1" applyAlignment="1" applyProtection="1">
      <alignment horizontal="center"/>
      <protection locked="0"/>
    </xf>
    <xf numFmtId="170" fontId="118" fillId="0" borderId="0" xfId="0" applyNumberFormat="1" applyFont="1" applyAlignment="1" applyProtection="1">
      <alignment horizontal="centerContinuous"/>
      <protection locked="0"/>
    </xf>
    <xf numFmtId="169" fontId="118" fillId="0" borderId="21" xfId="0" applyNumberFormat="1" applyFont="1" applyBorder="1" applyAlignment="1" applyProtection="1">
      <alignment horizontal="center"/>
      <protection locked="0"/>
    </xf>
    <xf numFmtId="164" fontId="118" fillId="0" borderId="9" xfId="0" applyFont="1" applyBorder="1" applyAlignment="1" applyProtection="1">
      <alignment horizontal="centerContinuous"/>
      <protection locked="0"/>
    </xf>
    <xf numFmtId="164" fontId="118" fillId="0" borderId="0" xfId="0" applyFont="1" applyAlignment="1" applyProtection="1">
      <alignment horizontal="center"/>
      <protection locked="0"/>
    </xf>
    <xf numFmtId="164" fontId="118" fillId="0" borderId="0" xfId="0" applyFont="1" applyProtection="1">
      <protection locked="0"/>
    </xf>
    <xf numFmtId="167" fontId="118" fillId="0" borderId="0" xfId="0" applyNumberFormat="1" applyFont="1" applyProtection="1">
      <protection locked="0"/>
    </xf>
    <xf numFmtId="164" fontId="118" fillId="0" borderId="11" xfId="0" applyFont="1" applyBorder="1" applyProtection="1">
      <protection locked="0"/>
    </xf>
    <xf numFmtId="164" fontId="118" fillId="0" borderId="11" xfId="0" applyFont="1" applyBorder="1" applyAlignment="1" applyProtection="1">
      <alignment horizontal="centerContinuous" wrapText="1"/>
      <protection locked="0"/>
    </xf>
    <xf numFmtId="164" fontId="113" fillId="0" borderId="16" xfId="0" applyFont="1" applyBorder="1"/>
    <xf numFmtId="170" fontId="118" fillId="0" borderId="0" xfId="0" applyNumberFormat="1" applyFont="1" applyProtection="1">
      <protection locked="0"/>
    </xf>
    <xf numFmtId="169" fontId="118" fillId="0" borderId="16" xfId="0" applyNumberFormat="1" applyFont="1" applyBorder="1" applyAlignment="1" applyProtection="1">
      <alignment horizontal="center"/>
      <protection locked="0"/>
    </xf>
    <xf numFmtId="167" fontId="118" fillId="0" borderId="9" xfId="0" applyNumberFormat="1" applyFont="1" applyBorder="1" applyProtection="1">
      <protection locked="0"/>
    </xf>
    <xf numFmtId="164" fontId="118" fillId="0" borderId="22" xfId="0" applyFont="1" applyBorder="1" applyAlignment="1" applyProtection="1">
      <alignment wrapText="1"/>
      <protection locked="0"/>
    </xf>
    <xf numFmtId="164" fontId="118" fillId="0" borderId="23" xfId="0" applyFont="1" applyBorder="1" applyAlignment="1" applyProtection="1">
      <alignment textRotation="90" wrapText="1"/>
      <protection locked="0"/>
    </xf>
    <xf numFmtId="164" fontId="118" fillId="0" borderId="24" xfId="0" applyFont="1" applyBorder="1" applyAlignment="1" applyProtection="1">
      <alignment textRotation="90" wrapText="1"/>
      <protection locked="0"/>
    </xf>
    <xf numFmtId="164" fontId="118" fillId="0" borderId="22" xfId="0" applyFont="1" applyBorder="1" applyAlignment="1" applyProtection="1">
      <alignment textRotation="90" wrapText="1"/>
      <protection locked="0"/>
    </xf>
    <xf numFmtId="164" fontId="118" fillId="0" borderId="0" xfId="0" applyFont="1" applyAlignment="1">
      <alignment textRotation="90" wrapText="1"/>
    </xf>
    <xf numFmtId="164" fontId="118" fillId="0" borderId="25" xfId="0" applyFont="1" applyBorder="1" applyAlignment="1" applyProtection="1">
      <alignment horizontal="center" textRotation="90" wrapText="1"/>
      <protection locked="0"/>
    </xf>
    <xf numFmtId="170" fontId="118" fillId="0" borderId="23" xfId="0" applyNumberFormat="1" applyFont="1" applyBorder="1" applyAlignment="1" applyProtection="1">
      <alignment textRotation="90" wrapText="1"/>
      <protection locked="0"/>
    </xf>
    <xf numFmtId="164" fontId="118" fillId="0" borderId="26" xfId="0" applyFont="1" applyBorder="1" applyProtection="1">
      <protection locked="0"/>
    </xf>
    <xf numFmtId="164" fontId="113" fillId="0" borderId="9" xfId="0" applyFont="1" applyBorder="1" applyAlignment="1" applyProtection="1">
      <alignment horizontal="left" indent="1"/>
      <protection locked="0"/>
    </xf>
    <xf numFmtId="164" fontId="113" fillId="3" borderId="0" xfId="0" applyFont="1" applyFill="1"/>
    <xf numFmtId="164" fontId="113" fillId="3" borderId="9" xfId="0" applyFont="1" applyFill="1" applyBorder="1" applyAlignment="1" applyProtection="1">
      <alignment horizontal="left" indent="1"/>
      <protection locked="0"/>
    </xf>
    <xf numFmtId="164" fontId="118" fillId="0" borderId="8" xfId="0" applyFont="1" applyBorder="1" applyProtection="1">
      <protection locked="0"/>
    </xf>
    <xf numFmtId="167" fontId="118" fillId="0" borderId="10" xfId="0" applyNumberFormat="1" applyFont="1" applyBorder="1" applyProtection="1">
      <protection locked="0"/>
    </xf>
    <xf numFmtId="164" fontId="113" fillId="0" borderId="9" xfId="0" applyFont="1" applyBorder="1" applyAlignment="1" applyProtection="1">
      <alignment horizontal="left" indent="2"/>
      <protection locked="0"/>
    </xf>
    <xf numFmtId="167" fontId="118" fillId="0" borderId="20" xfId="0" applyNumberFormat="1" applyFont="1" applyBorder="1" applyProtection="1">
      <protection locked="0"/>
    </xf>
    <xf numFmtId="167" fontId="118" fillId="0" borderId="22" xfId="0" applyNumberFormat="1" applyFont="1" applyBorder="1" applyProtection="1">
      <protection locked="0"/>
    </xf>
    <xf numFmtId="167" fontId="113" fillId="0" borderId="0" xfId="0" applyNumberFormat="1" applyFont="1"/>
    <xf numFmtId="170" fontId="113" fillId="0" borderId="0" xfId="0" applyNumberFormat="1" applyFont="1"/>
    <xf numFmtId="164" fontId="113" fillId="0" borderId="0" xfId="0" applyFont="1" applyAlignment="1">
      <alignment horizontal="right" indent="2"/>
    </xf>
    <xf numFmtId="164" fontId="120" fillId="0" borderId="0" xfId="0" applyFont="1" applyAlignment="1" applyProtection="1">
      <alignment horizontal="left"/>
      <protection locked="0"/>
    </xf>
    <xf numFmtId="164" fontId="121" fillId="0" borderId="0" xfId="0" applyFont="1" applyAlignment="1" applyProtection="1">
      <alignment horizontal="right"/>
      <protection locked="0"/>
    </xf>
    <xf numFmtId="1" fontId="121" fillId="0" borderId="0" xfId="0" applyNumberFormat="1" applyFont="1" applyAlignment="1" applyProtection="1">
      <alignment horizontal="left"/>
      <protection locked="0"/>
    </xf>
    <xf numFmtId="164" fontId="118" fillId="0" borderId="0" xfId="0" applyFont="1" applyAlignment="1">
      <alignment horizontal="right"/>
    </xf>
    <xf numFmtId="164" fontId="118" fillId="0" borderId="0" xfId="0" applyFont="1"/>
    <xf numFmtId="167" fontId="118" fillId="0" borderId="27" xfId="0" applyNumberFormat="1" applyFont="1" applyBorder="1" applyAlignment="1" applyProtection="1">
      <alignment horizontal="right"/>
      <protection locked="0"/>
    </xf>
    <xf numFmtId="167" fontId="118" fillId="0" borderId="28" xfId="0" applyNumberFormat="1" applyFont="1" applyBorder="1" applyAlignment="1" applyProtection="1">
      <alignment horizontal="right"/>
      <protection locked="0"/>
    </xf>
    <xf numFmtId="167" fontId="118" fillId="0" borderId="29" xfId="0" applyNumberFormat="1" applyFont="1" applyBorder="1" applyAlignment="1" applyProtection="1">
      <alignment horizontal="right"/>
      <protection locked="0"/>
    </xf>
    <xf numFmtId="167" fontId="118" fillId="0" borderId="30" xfId="0" applyNumberFormat="1" applyFont="1" applyBorder="1" applyAlignment="1" applyProtection="1">
      <alignment horizontal="right"/>
      <protection locked="0"/>
    </xf>
    <xf numFmtId="167" fontId="118" fillId="0" borderId="31" xfId="0" applyNumberFormat="1" applyFont="1" applyBorder="1" applyAlignment="1" applyProtection="1">
      <alignment horizontal="center"/>
      <protection locked="0"/>
    </xf>
    <xf numFmtId="167" fontId="118" fillId="0" borderId="32" xfId="0" applyNumberFormat="1" applyFont="1" applyBorder="1" applyAlignment="1" applyProtection="1">
      <alignment horizontal="center"/>
      <protection locked="0"/>
    </xf>
    <xf numFmtId="167" fontId="118" fillId="0" borderId="26" xfId="0" applyNumberFormat="1" applyFont="1" applyBorder="1" applyAlignment="1" applyProtection="1">
      <alignment horizontal="right"/>
      <protection locked="0"/>
    </xf>
    <xf numFmtId="167" fontId="113" fillId="0" borderId="0" xfId="0" applyNumberFormat="1" applyFont="1" applyAlignment="1" applyProtection="1">
      <alignment horizontal="right"/>
      <protection locked="0"/>
    </xf>
    <xf numFmtId="167" fontId="113" fillId="0" borderId="33" xfId="0" applyNumberFormat="1" applyFont="1" applyBorder="1" applyAlignment="1" applyProtection="1">
      <alignment horizontal="right"/>
      <protection locked="0"/>
    </xf>
    <xf numFmtId="167" fontId="113" fillId="0" borderId="34" xfId="0" applyNumberFormat="1" applyFont="1" applyBorder="1" applyAlignment="1" applyProtection="1">
      <alignment horizontal="right"/>
      <protection locked="0"/>
    </xf>
    <xf numFmtId="167" fontId="113" fillId="0" borderId="35" xfId="0" applyNumberFormat="1" applyFont="1" applyBorder="1" applyAlignment="1" applyProtection="1">
      <alignment horizontal="right"/>
      <protection locked="0"/>
    </xf>
    <xf numFmtId="167" fontId="113" fillId="0" borderId="19" xfId="0" applyNumberFormat="1" applyFont="1" applyBorder="1" applyAlignment="1" applyProtection="1">
      <alignment horizontal="center"/>
      <protection locked="0"/>
    </xf>
    <xf numFmtId="167" fontId="113" fillId="0" borderId="36" xfId="0" applyNumberFormat="1" applyFont="1" applyBorder="1" applyAlignment="1" applyProtection="1">
      <alignment horizontal="center"/>
      <protection locked="0"/>
    </xf>
    <xf numFmtId="167" fontId="118" fillId="0" borderId="0" xfId="0" applyNumberFormat="1" applyFont="1" applyAlignment="1" applyProtection="1">
      <alignment horizontal="right"/>
      <protection locked="0"/>
    </xf>
    <xf numFmtId="167" fontId="113" fillId="0" borderId="9" xfId="0" applyNumberFormat="1" applyFont="1" applyBorder="1" applyAlignment="1" applyProtection="1">
      <alignment horizontal="right"/>
      <protection locked="0"/>
    </xf>
    <xf numFmtId="167" fontId="113" fillId="3" borderId="0" xfId="0" applyNumberFormat="1" applyFont="1" applyFill="1" applyAlignment="1" applyProtection="1">
      <alignment horizontal="right"/>
      <protection locked="0"/>
    </xf>
    <xf numFmtId="167" fontId="113" fillId="3" borderId="33" xfId="0" applyNumberFormat="1" applyFont="1" applyFill="1" applyBorder="1" applyAlignment="1" applyProtection="1">
      <alignment horizontal="right"/>
      <protection locked="0"/>
    </xf>
    <xf numFmtId="167" fontId="113" fillId="3" borderId="34" xfId="0" applyNumberFormat="1" applyFont="1" applyFill="1" applyBorder="1" applyAlignment="1" applyProtection="1">
      <alignment horizontal="right"/>
      <protection locked="0"/>
    </xf>
    <xf numFmtId="167" fontId="113" fillId="3" borderId="35" xfId="0" applyNumberFormat="1" applyFont="1" applyFill="1" applyBorder="1" applyAlignment="1" applyProtection="1">
      <alignment horizontal="right"/>
      <protection locked="0"/>
    </xf>
    <xf numFmtId="167" fontId="113" fillId="3" borderId="19" xfId="0" applyNumberFormat="1" applyFont="1" applyFill="1" applyBorder="1" applyAlignment="1" applyProtection="1">
      <alignment horizontal="center"/>
      <protection locked="0"/>
    </xf>
    <xf numFmtId="167" fontId="113" fillId="3" borderId="36" xfId="0" applyNumberFormat="1" applyFont="1" applyFill="1" applyBorder="1" applyAlignment="1" applyProtection="1">
      <alignment horizontal="center"/>
      <protection locked="0"/>
    </xf>
    <xf numFmtId="167" fontId="118" fillId="3" borderId="0" xfId="0" applyNumberFormat="1" applyFont="1" applyFill="1" applyAlignment="1" applyProtection="1">
      <alignment horizontal="right"/>
      <protection locked="0"/>
    </xf>
    <xf numFmtId="167" fontId="113" fillId="3" borderId="9" xfId="0" applyNumberFormat="1" applyFont="1" applyFill="1" applyBorder="1" applyAlignment="1" applyProtection="1">
      <alignment horizontal="right"/>
      <protection locked="0"/>
    </xf>
    <xf numFmtId="167" fontId="113" fillId="0" borderId="37" xfId="0" applyNumberFormat="1" applyFont="1" applyBorder="1" applyAlignment="1" applyProtection="1">
      <alignment horizontal="right"/>
      <protection locked="0"/>
    </xf>
    <xf numFmtId="167" fontId="113" fillId="0" borderId="4" xfId="0" applyNumberFormat="1" applyFont="1" applyBorder="1" applyAlignment="1" applyProtection="1">
      <alignment horizontal="right"/>
      <protection locked="0"/>
    </xf>
    <xf numFmtId="167" fontId="118" fillId="0" borderId="3" xfId="0" applyNumberFormat="1" applyFont="1" applyBorder="1" applyAlignment="1" applyProtection="1">
      <alignment horizontal="right"/>
      <protection locked="0"/>
    </xf>
    <xf numFmtId="167" fontId="118" fillId="0" borderId="3" xfId="2" applyNumberFormat="1" applyFont="1" applyFill="1" applyBorder="1" applyAlignment="1" applyProtection="1">
      <alignment horizontal="right"/>
      <protection locked="0"/>
    </xf>
    <xf numFmtId="167" fontId="118" fillId="0" borderId="38" xfId="0" applyNumberFormat="1" applyFont="1" applyBorder="1" applyAlignment="1" applyProtection="1">
      <alignment horizontal="right"/>
      <protection locked="0"/>
    </xf>
    <xf numFmtId="167" fontId="118" fillId="0" borderId="17" xfId="0" applyNumberFormat="1" applyFont="1" applyBorder="1" applyAlignment="1" applyProtection="1">
      <alignment horizontal="right"/>
      <protection locked="0"/>
    </xf>
    <xf numFmtId="167" fontId="118" fillId="0" borderId="2" xfId="0" applyNumberFormat="1" applyFont="1" applyBorder="1" applyAlignment="1" applyProtection="1">
      <alignment horizontal="center"/>
      <protection locked="0"/>
    </xf>
    <xf numFmtId="167" fontId="118" fillId="0" borderId="39" xfId="0" applyNumberFormat="1" applyFont="1" applyBorder="1" applyAlignment="1" applyProtection="1">
      <alignment horizontal="center"/>
      <protection locked="0"/>
    </xf>
    <xf numFmtId="167" fontId="118" fillId="0" borderId="8" xfId="0" applyNumberFormat="1" applyFont="1" applyBorder="1" applyAlignment="1" applyProtection="1">
      <alignment horizontal="right"/>
      <protection locked="0"/>
    </xf>
    <xf numFmtId="167" fontId="118" fillId="0" borderId="6" xfId="0" applyNumberFormat="1" applyFont="1" applyBorder="1" applyAlignment="1" applyProtection="1">
      <alignment horizontal="right"/>
      <protection locked="0"/>
    </xf>
    <xf numFmtId="167" fontId="118" fillId="0" borderId="40" xfId="0" applyNumberFormat="1" applyFont="1" applyBorder="1" applyAlignment="1" applyProtection="1">
      <alignment horizontal="right"/>
      <protection locked="0"/>
    </xf>
    <xf numFmtId="167" fontId="118" fillId="0" borderId="41" xfId="0" applyNumberFormat="1" applyFont="1" applyBorder="1" applyAlignment="1" applyProtection="1">
      <alignment horizontal="right"/>
      <protection locked="0"/>
    </xf>
    <xf numFmtId="167" fontId="118" fillId="0" borderId="42" xfId="0" applyNumberFormat="1" applyFont="1" applyBorder="1" applyAlignment="1" applyProtection="1">
      <alignment horizontal="right"/>
      <protection locked="0"/>
    </xf>
    <xf numFmtId="167" fontId="118" fillId="0" borderId="43" xfId="0" applyNumberFormat="1" applyFont="1" applyBorder="1" applyAlignment="1" applyProtection="1">
      <alignment horizontal="center"/>
      <protection locked="0"/>
    </xf>
    <xf numFmtId="167" fontId="118" fillId="0" borderId="44" xfId="0" applyNumberFormat="1" applyFont="1" applyBorder="1" applyAlignment="1" applyProtection="1">
      <alignment horizontal="center"/>
      <protection locked="0"/>
    </xf>
    <xf numFmtId="167" fontId="118" fillId="0" borderId="34" xfId="0" applyNumberFormat="1" applyFont="1" applyBorder="1" applyAlignment="1" applyProtection="1">
      <alignment horizontal="right"/>
      <protection locked="0"/>
    </xf>
    <xf numFmtId="167" fontId="118" fillId="0" borderId="10" xfId="0" applyNumberFormat="1" applyFont="1" applyBorder="1" applyAlignment="1" applyProtection="1">
      <alignment horizontal="right"/>
      <protection locked="0"/>
    </xf>
    <xf numFmtId="167" fontId="122" fillId="0" borderId="0" xfId="0" applyNumberFormat="1" applyFont="1" applyAlignment="1" applyProtection="1">
      <alignment horizontal="right"/>
      <protection locked="0"/>
    </xf>
    <xf numFmtId="167" fontId="118" fillId="0" borderId="5" xfId="0" applyNumberFormat="1" applyFont="1" applyBorder="1" applyAlignment="1" applyProtection="1">
      <alignment horizontal="right"/>
      <protection locked="0"/>
    </xf>
    <xf numFmtId="167" fontId="118" fillId="0" borderId="45" xfId="0" applyNumberFormat="1" applyFont="1" applyBorder="1" applyAlignment="1" applyProtection="1">
      <alignment horizontal="right"/>
      <protection locked="0"/>
    </xf>
    <xf numFmtId="167" fontId="118" fillId="0" borderId="18" xfId="0" applyNumberFormat="1" applyFont="1" applyBorder="1" applyAlignment="1" applyProtection="1">
      <alignment horizontal="right"/>
      <protection locked="0"/>
    </xf>
    <xf numFmtId="167" fontId="118" fillId="0" borderId="20" xfId="0" applyNumberFormat="1" applyFont="1" applyBorder="1" applyAlignment="1" applyProtection="1">
      <alignment horizontal="right"/>
      <protection locked="0"/>
    </xf>
    <xf numFmtId="167" fontId="118" fillId="0" borderId="45" xfId="0" applyNumberFormat="1" applyFont="1" applyBorder="1" applyAlignment="1" applyProtection="1">
      <alignment horizontal="center"/>
      <protection locked="0"/>
    </xf>
    <xf numFmtId="167" fontId="118" fillId="0" borderId="23" xfId="0" applyNumberFormat="1" applyFont="1" applyBorder="1" applyAlignment="1" applyProtection="1">
      <alignment horizontal="right"/>
      <protection locked="0"/>
    </xf>
    <xf numFmtId="167" fontId="118" fillId="0" borderId="25" xfId="0" applyNumberFormat="1" applyFont="1" applyBorder="1" applyAlignment="1" applyProtection="1">
      <alignment horizontal="right"/>
      <protection locked="0"/>
    </xf>
    <xf numFmtId="167" fontId="118" fillId="0" borderId="24" xfId="0" applyNumberFormat="1" applyFont="1" applyBorder="1" applyAlignment="1" applyProtection="1">
      <alignment horizontal="right"/>
      <protection locked="0"/>
    </xf>
    <xf numFmtId="167" fontId="118" fillId="0" borderId="22" xfId="0" applyNumberFormat="1" applyFont="1" applyBorder="1" applyAlignment="1" applyProtection="1">
      <alignment horizontal="right"/>
      <protection locked="0"/>
    </xf>
    <xf numFmtId="167" fontId="118" fillId="0" borderId="25" xfId="0" applyNumberFormat="1" applyFont="1" applyBorder="1" applyAlignment="1" applyProtection="1">
      <alignment horizontal="center"/>
      <protection locked="0"/>
    </xf>
    <xf numFmtId="164" fontId="123" fillId="0" borderId="0" xfId="0" applyFont="1" applyAlignment="1">
      <alignment horizontal="left"/>
    </xf>
    <xf numFmtId="2" fontId="118" fillId="0" borderId="31" xfId="0" applyNumberFormat="1" applyFont="1" applyBorder="1" applyAlignment="1" applyProtection="1">
      <alignment horizontal="center"/>
      <protection locked="0"/>
    </xf>
    <xf numFmtId="170" fontId="118" fillId="0" borderId="27" xfId="0" applyNumberFormat="1" applyFont="1" applyBorder="1" applyAlignment="1" applyProtection="1">
      <alignment horizontal="right"/>
      <protection locked="0"/>
    </xf>
    <xf numFmtId="181" fontId="118" fillId="0" borderId="32" xfId="0" applyNumberFormat="1" applyFont="1" applyBorder="1" applyAlignment="1" applyProtection="1">
      <alignment horizontal="center"/>
      <protection locked="0"/>
    </xf>
    <xf numFmtId="2" fontId="113" fillId="0" borderId="19" xfId="0" applyNumberFormat="1" applyFont="1" applyBorder="1" applyAlignment="1" applyProtection="1">
      <alignment horizontal="center"/>
      <protection locked="0"/>
    </xf>
    <xf numFmtId="170" fontId="113" fillId="0" borderId="34" xfId="0" applyNumberFormat="1" applyFont="1" applyBorder="1" applyAlignment="1" applyProtection="1">
      <alignment horizontal="right"/>
      <protection locked="0"/>
    </xf>
    <xf numFmtId="170" fontId="113" fillId="0" borderId="0" xfId="0" applyNumberFormat="1" applyFont="1" applyAlignment="1" applyProtection="1">
      <alignment horizontal="right"/>
      <protection locked="0"/>
    </xf>
    <xf numFmtId="181" fontId="113" fillId="0" borderId="36" xfId="0" applyNumberFormat="1" applyFont="1" applyBorder="1" applyAlignment="1" applyProtection="1">
      <alignment horizontal="center"/>
      <protection locked="0"/>
    </xf>
    <xf numFmtId="2" fontId="113" fillId="3" borderId="19" xfId="0" applyNumberFormat="1" applyFont="1" applyFill="1" applyBorder="1" applyAlignment="1" applyProtection="1">
      <alignment horizontal="center"/>
      <protection locked="0"/>
    </xf>
    <xf numFmtId="170" fontId="113" fillId="3" borderId="34" xfId="0" applyNumberFormat="1" applyFont="1" applyFill="1" applyBorder="1" applyAlignment="1" applyProtection="1">
      <alignment horizontal="right"/>
      <protection locked="0"/>
    </xf>
    <xf numFmtId="170" fontId="113" fillId="3" borderId="0" xfId="0" applyNumberFormat="1" applyFont="1" applyFill="1" applyAlignment="1" applyProtection="1">
      <alignment horizontal="right"/>
      <protection locked="0"/>
    </xf>
    <xf numFmtId="181" fontId="113" fillId="3" borderId="36" xfId="0" applyNumberFormat="1" applyFont="1" applyFill="1" applyBorder="1" applyAlignment="1" applyProtection="1">
      <alignment horizontal="center"/>
      <protection locked="0"/>
    </xf>
    <xf numFmtId="164" fontId="113" fillId="0" borderId="0" xfId="0" applyFont="1" applyAlignment="1" applyProtection="1">
      <alignment horizontal="right"/>
      <protection locked="0"/>
    </xf>
    <xf numFmtId="39" fontId="113" fillId="0" borderId="0" xfId="0" applyNumberFormat="1" applyFont="1" applyAlignment="1" applyProtection="1">
      <alignment horizontal="right"/>
      <protection locked="0"/>
    </xf>
    <xf numFmtId="170" fontId="113" fillId="0" borderId="37" xfId="0" applyNumberFormat="1" applyFont="1" applyBorder="1" applyAlignment="1" applyProtection="1">
      <alignment horizontal="right"/>
      <protection locked="0"/>
    </xf>
    <xf numFmtId="170" fontId="113" fillId="0" borderId="4" xfId="0" applyNumberFormat="1" applyFont="1" applyBorder="1" applyAlignment="1" applyProtection="1">
      <alignment horizontal="right"/>
      <protection locked="0"/>
    </xf>
    <xf numFmtId="167" fontId="118" fillId="0" borderId="9" xfId="0" applyNumberFormat="1" applyFont="1" applyBorder="1" applyAlignment="1" applyProtection="1">
      <alignment horizontal="right"/>
      <protection locked="0"/>
    </xf>
    <xf numFmtId="43" fontId="118" fillId="0" borderId="3" xfId="2" applyFont="1" applyFill="1" applyBorder="1" applyAlignment="1" applyProtection="1">
      <alignment horizontal="right"/>
      <protection locked="0"/>
    </xf>
    <xf numFmtId="173" fontId="118" fillId="0" borderId="3" xfId="2" applyNumberFormat="1" applyFont="1" applyFill="1" applyBorder="1" applyAlignment="1" applyProtection="1">
      <alignment horizontal="right"/>
      <protection locked="0"/>
    </xf>
    <xf numFmtId="2" fontId="118" fillId="0" borderId="2" xfId="0" applyNumberFormat="1" applyFont="1" applyBorder="1" applyAlignment="1" applyProtection="1">
      <alignment horizontal="center"/>
      <protection locked="0"/>
    </xf>
    <xf numFmtId="170" fontId="118" fillId="0" borderId="3" xfId="0" applyNumberFormat="1" applyFont="1" applyBorder="1" applyAlignment="1" applyProtection="1">
      <alignment horizontal="right"/>
      <protection locked="0"/>
    </xf>
    <xf numFmtId="181" fontId="118" fillId="0" borderId="39" xfId="0" applyNumberFormat="1" applyFont="1" applyBorder="1" applyAlignment="1" applyProtection="1">
      <alignment horizontal="center"/>
      <protection locked="0"/>
    </xf>
    <xf numFmtId="2" fontId="118" fillId="0" borderId="43" xfId="0" applyNumberFormat="1" applyFont="1" applyBorder="1" applyAlignment="1" applyProtection="1">
      <alignment horizontal="center"/>
      <protection locked="0"/>
    </xf>
    <xf numFmtId="170" fontId="118" fillId="0" borderId="6" xfId="0" applyNumberFormat="1" applyFont="1" applyBorder="1" applyAlignment="1" applyProtection="1">
      <alignment horizontal="right"/>
      <protection locked="0"/>
    </xf>
    <xf numFmtId="181" fontId="118" fillId="0" borderId="44" xfId="0" applyNumberFormat="1" applyFont="1" applyBorder="1" applyAlignment="1" applyProtection="1">
      <alignment horizontal="center"/>
      <protection locked="0"/>
    </xf>
    <xf numFmtId="169" fontId="113" fillId="0" borderId="0" xfId="0" applyNumberFormat="1" applyFont="1" applyAlignment="1" applyProtection="1">
      <alignment horizontal="right"/>
      <protection locked="0"/>
    </xf>
    <xf numFmtId="2" fontId="118" fillId="0" borderId="45" xfId="0" applyNumberFormat="1" applyFont="1" applyBorder="1" applyAlignment="1" applyProtection="1">
      <alignment horizontal="center"/>
      <protection locked="0"/>
    </xf>
    <xf numFmtId="170" fontId="118" fillId="0" borderId="5" xfId="0" applyNumberFormat="1" applyFont="1" applyBorder="1" applyAlignment="1" applyProtection="1">
      <alignment horizontal="right"/>
      <protection locked="0"/>
    </xf>
    <xf numFmtId="181" fontId="118" fillId="0" borderId="45" xfId="0" applyNumberFormat="1" applyFont="1" applyBorder="1" applyAlignment="1" applyProtection="1">
      <alignment horizontal="center"/>
      <protection locked="0"/>
    </xf>
    <xf numFmtId="2" fontId="118" fillId="0" borderId="25" xfId="0" applyNumberFormat="1" applyFont="1" applyBorder="1" applyAlignment="1" applyProtection="1">
      <alignment horizontal="center"/>
      <protection locked="0"/>
    </xf>
    <xf numFmtId="170" fontId="118" fillId="0" borderId="23" xfId="0" applyNumberFormat="1" applyFont="1" applyBorder="1" applyAlignment="1" applyProtection="1">
      <alignment horizontal="right"/>
      <protection locked="0"/>
    </xf>
    <xf numFmtId="181" fontId="118" fillId="0" borderId="25" xfId="0" applyNumberFormat="1" applyFont="1" applyBorder="1" applyAlignment="1" applyProtection="1">
      <alignment horizontal="center"/>
      <protection locked="0"/>
    </xf>
    <xf numFmtId="39" fontId="118" fillId="0" borderId="28" xfId="0" applyNumberFormat="1" applyFont="1" applyBorder="1" applyAlignment="1" applyProtection="1">
      <alignment horizontal="right"/>
      <protection locked="0"/>
    </xf>
    <xf numFmtId="39" fontId="118" fillId="0" borderId="27" xfId="0" applyNumberFormat="1" applyFont="1" applyBorder="1" applyAlignment="1" applyProtection="1">
      <alignment horizontal="right"/>
      <protection locked="0"/>
    </xf>
    <xf numFmtId="39" fontId="113" fillId="0" borderId="33" xfId="0" applyNumberFormat="1" applyFont="1" applyBorder="1" applyAlignment="1" applyProtection="1">
      <alignment horizontal="right"/>
      <protection locked="0"/>
    </xf>
    <xf numFmtId="39" fontId="113" fillId="3" borderId="33" xfId="0" applyNumberFormat="1" applyFont="1" applyFill="1" applyBorder="1" applyAlignment="1" applyProtection="1">
      <alignment horizontal="right"/>
      <protection locked="0"/>
    </xf>
    <xf numFmtId="39" fontId="113" fillId="3" borderId="0" xfId="0" applyNumberFormat="1" applyFont="1" applyFill="1" applyAlignment="1" applyProtection="1">
      <alignment horizontal="right"/>
      <protection locked="0"/>
    </xf>
    <xf numFmtId="39" fontId="118" fillId="0" borderId="38" xfId="0" applyNumberFormat="1" applyFont="1" applyBorder="1" applyAlignment="1" applyProtection="1">
      <alignment horizontal="right"/>
      <protection locked="0"/>
    </xf>
    <xf numFmtId="39" fontId="118" fillId="0" borderId="3" xfId="0" applyNumberFormat="1" applyFont="1" applyBorder="1" applyAlignment="1" applyProtection="1">
      <alignment horizontal="right"/>
      <protection locked="0"/>
    </xf>
    <xf numFmtId="39" fontId="118" fillId="0" borderId="40" xfId="0" applyNumberFormat="1" applyFont="1" applyBorder="1" applyAlignment="1" applyProtection="1">
      <alignment horizontal="right"/>
      <protection locked="0"/>
    </xf>
    <xf numFmtId="39" fontId="118" fillId="0" borderId="6" xfId="0" applyNumberFormat="1" applyFont="1" applyBorder="1" applyAlignment="1" applyProtection="1">
      <alignment horizontal="right"/>
      <protection locked="0"/>
    </xf>
    <xf numFmtId="39" fontId="118" fillId="0" borderId="45" xfId="0" applyNumberFormat="1" applyFont="1" applyBorder="1" applyAlignment="1" applyProtection="1">
      <alignment horizontal="right"/>
      <protection locked="0"/>
    </xf>
    <xf numFmtId="39" fontId="118" fillId="0" borderId="18" xfId="0" applyNumberFormat="1" applyFont="1" applyBorder="1" applyAlignment="1" applyProtection="1">
      <alignment horizontal="right"/>
      <protection locked="0"/>
    </xf>
    <xf numFmtId="39" fontId="118" fillId="0" borderId="5" xfId="0" applyNumberFormat="1" applyFont="1" applyBorder="1" applyAlignment="1" applyProtection="1">
      <alignment horizontal="right"/>
      <protection locked="0"/>
    </xf>
    <xf numFmtId="39" fontId="118" fillId="0" borderId="20" xfId="0" applyNumberFormat="1" applyFont="1" applyBorder="1" applyAlignment="1" applyProtection="1">
      <alignment horizontal="right"/>
      <protection locked="0"/>
    </xf>
    <xf numFmtId="39" fontId="118" fillId="0" borderId="25" xfId="0" applyNumberFormat="1" applyFont="1" applyBorder="1" applyAlignment="1" applyProtection="1">
      <alignment horizontal="right"/>
      <protection locked="0"/>
    </xf>
    <xf numFmtId="39" fontId="118" fillId="0" borderId="24" xfId="0" applyNumberFormat="1" applyFont="1" applyBorder="1" applyAlignment="1" applyProtection="1">
      <alignment horizontal="right"/>
      <protection locked="0"/>
    </xf>
    <xf numFmtId="39" fontId="118" fillId="0" borderId="23" xfId="0" applyNumberFormat="1" applyFont="1" applyBorder="1" applyAlignment="1" applyProtection="1">
      <alignment horizontal="right"/>
      <protection locked="0"/>
    </xf>
    <xf numFmtId="39" fontId="118" fillId="0" borderId="22" xfId="0" applyNumberFormat="1" applyFont="1" applyBorder="1" applyAlignment="1" applyProtection="1">
      <alignment horizontal="right"/>
      <protection locked="0"/>
    </xf>
    <xf numFmtId="165" fontId="113" fillId="0" borderId="0" xfId="0" applyNumberFormat="1" applyFont="1"/>
    <xf numFmtId="1" fontId="9" fillId="0" borderId="0" xfId="0" applyNumberFormat="1" applyFont="1" applyAlignment="1">
      <alignment horizontal="left"/>
    </xf>
    <xf numFmtId="1" fontId="8" fillId="0" borderId="4" xfId="0" applyNumberFormat="1" applyFont="1" applyBorder="1" applyAlignment="1">
      <alignment horizontal="center"/>
    </xf>
    <xf numFmtId="164" fontId="8" fillId="0" borderId="13" xfId="0" applyFont="1" applyBorder="1" applyAlignment="1">
      <alignment horizontal="center"/>
    </xf>
    <xf numFmtId="176" fontId="9" fillId="0" borderId="50" xfId="19" applyNumberFormat="1" applyFont="1" applyFill="1" applyBorder="1" applyAlignment="1">
      <alignment horizontal="right"/>
    </xf>
    <xf numFmtId="176" fontId="9" fillId="0" borderId="56" xfId="19" applyNumberFormat="1" applyFont="1" applyFill="1" applyBorder="1" applyAlignment="1">
      <alignment horizontal="right"/>
    </xf>
    <xf numFmtId="0" fontId="1" fillId="13" borderId="0" xfId="7" applyFill="1" applyAlignment="1">
      <alignment vertical="top"/>
    </xf>
    <xf numFmtId="0" fontId="46" fillId="0" borderId="0" xfId="7" applyFont="1" applyAlignment="1">
      <alignment horizontal="left" vertical="top"/>
    </xf>
    <xf numFmtId="0" fontId="47" fillId="0" borderId="0" xfId="7" applyFont="1" applyAlignment="1">
      <alignment horizontal="right" vertical="top"/>
    </xf>
    <xf numFmtId="0" fontId="81" fillId="0" borderId="51" xfId="11" applyFont="1" applyBorder="1" applyAlignment="1">
      <alignment horizontal="left"/>
    </xf>
    <xf numFmtId="0" fontId="49" fillId="0" borderId="51" xfId="12" applyFont="1" applyBorder="1" applyAlignment="1">
      <alignment horizontal="center" wrapText="1"/>
    </xf>
    <xf numFmtId="0" fontId="49" fillId="0" borderId="51" xfId="11" applyFont="1" applyBorder="1" applyAlignment="1">
      <alignment horizontal="left"/>
    </xf>
    <xf numFmtId="0" fontId="49" fillId="0" borderId="0" xfId="11" applyFont="1" applyAlignment="1">
      <alignment horizontal="left"/>
    </xf>
    <xf numFmtId="0" fontId="1" fillId="16" borderId="0" xfId="7" applyFill="1" applyAlignment="1">
      <alignment horizontal="left" indent="1"/>
    </xf>
    <xf numFmtId="164" fontId="79" fillId="0" borderId="0" xfId="0" applyFont="1"/>
    <xf numFmtId="164" fontId="1" fillId="0" borderId="0" xfId="0" applyFont="1"/>
    <xf numFmtId="0" fontId="2" fillId="16" borderId="0" xfId="7" applyFont="1" applyFill="1" applyAlignment="1">
      <alignment horizontal="left" indent="1"/>
    </xf>
    <xf numFmtId="164" fontId="79" fillId="0" borderId="23" xfId="0" applyFont="1" applyBorder="1"/>
    <xf numFmtId="164" fontId="1" fillId="0" borderId="23" xfId="0" applyFont="1" applyBorder="1"/>
    <xf numFmtId="164" fontId="0" fillId="0" borderId="23" xfId="0" applyBorder="1"/>
    <xf numFmtId="14" fontId="1" fillId="0" borderId="0" xfId="7" applyNumberFormat="1" applyAlignment="1">
      <alignment horizontal="left"/>
    </xf>
    <xf numFmtId="0" fontId="1" fillId="0" borderId="51" xfId="7" applyBorder="1"/>
    <xf numFmtId="164" fontId="2" fillId="0" borderId="0" xfId="0" applyFont="1"/>
    <xf numFmtId="14" fontId="1" fillId="0" borderId="0" xfId="0" applyNumberFormat="1" applyFont="1" applyAlignment="1">
      <alignment horizontal="left"/>
    </xf>
    <xf numFmtId="0" fontId="2" fillId="17" borderId="0" xfId="7" applyFont="1" applyFill="1" applyAlignment="1">
      <alignment vertical="top" wrapText="1"/>
    </xf>
    <xf numFmtId="0" fontId="0" fillId="0" borderId="0" xfId="0" applyNumberFormat="1" applyAlignment="1">
      <alignment wrapText="1"/>
    </xf>
    <xf numFmtId="164" fontId="43" fillId="0" borderId="0" xfId="0" applyFont="1"/>
    <xf numFmtId="2" fontId="0" fillId="0" borderId="0" xfId="0" applyNumberFormat="1"/>
    <xf numFmtId="164" fontId="8" fillId="24" borderId="0" xfId="0" applyFont="1" applyFill="1"/>
    <xf numFmtId="39" fontId="113" fillId="0" borderId="19" xfId="0" applyNumberFormat="1" applyFont="1" applyBorder="1" applyAlignment="1" applyProtection="1">
      <alignment horizontal="center"/>
      <protection locked="0"/>
    </xf>
    <xf numFmtId="168" fontId="8" fillId="10" borderId="0" xfId="0" applyNumberFormat="1" applyFont="1" applyFill="1" applyAlignment="1">
      <alignment horizontal="center"/>
    </xf>
    <xf numFmtId="164" fontId="0" fillId="0" borderId="9" xfId="0" applyBorder="1"/>
    <xf numFmtId="181" fontId="8" fillId="8" borderId="0" xfId="0" applyNumberFormat="1" applyFont="1" applyFill="1"/>
    <xf numFmtId="165" fontId="9" fillId="0" borderId="6" xfId="0" applyNumberFormat="1" applyFont="1" applyBorder="1"/>
    <xf numFmtId="181" fontId="8" fillId="10" borderId="4" xfId="0" applyNumberFormat="1" applyFont="1" applyFill="1" applyBorder="1"/>
    <xf numFmtId="168" fontId="8" fillId="10" borderId="4" xfId="0" applyNumberFormat="1" applyFont="1" applyFill="1" applyBorder="1"/>
    <xf numFmtId="164" fontId="8" fillId="24" borderId="4" xfId="0" applyFont="1" applyFill="1" applyBorder="1"/>
    <xf numFmtId="167" fontId="113" fillId="25" borderId="19" xfId="0" applyNumberFormat="1" applyFont="1" applyFill="1" applyBorder="1" applyAlignment="1" applyProtection="1">
      <alignment horizontal="center"/>
      <protection locked="0"/>
    </xf>
    <xf numFmtId="0" fontId="86" fillId="0" borderId="0" xfId="0" applyNumberFormat="1" applyFont="1" applyAlignment="1" applyProtection="1">
      <alignment horizontal="center" vertical="center" wrapText="1"/>
      <protection locked="0"/>
    </xf>
    <xf numFmtId="0" fontId="52" fillId="0" borderId="0" xfId="0" applyNumberFormat="1" applyFont="1" applyAlignment="1" applyProtection="1">
      <alignment horizontal="center" vertical="center"/>
      <protection locked="0"/>
    </xf>
    <xf numFmtId="164" fontId="79" fillId="22" borderId="0" xfId="0" applyFont="1" applyFill="1"/>
    <xf numFmtId="164" fontId="1" fillId="22" borderId="0" xfId="0" applyFont="1" applyFill="1"/>
    <xf numFmtId="0" fontId="1" fillId="26" borderId="0" xfId="7" applyFill="1"/>
    <xf numFmtId="0" fontId="77" fillId="22" borderId="0" xfId="10" applyFont="1" applyFill="1" applyAlignment="1">
      <alignment horizontal="right"/>
    </xf>
    <xf numFmtId="164" fontId="0" fillId="22" borderId="0" xfId="0" applyFill="1"/>
    <xf numFmtId="43" fontId="77" fillId="27" borderId="0" xfId="2" applyFont="1" applyFill="1"/>
    <xf numFmtId="176" fontId="8" fillId="0" borderId="15" xfId="19" applyNumberFormat="1" applyFont="1" applyBorder="1"/>
    <xf numFmtId="175" fontId="8" fillId="0" borderId="48" xfId="0" applyNumberFormat="1" applyFont="1" applyBorder="1"/>
    <xf numFmtId="165" fontId="9" fillId="0" borderId="4" xfId="0" applyNumberFormat="1" applyFont="1" applyBorder="1" applyAlignment="1">
      <alignment horizontal="right"/>
    </xf>
    <xf numFmtId="164" fontId="9" fillId="0" borderId="48" xfId="0" applyFont="1" applyBorder="1" applyAlignment="1">
      <alignment horizontal="center"/>
    </xf>
    <xf numFmtId="164" fontId="126" fillId="0" borderId="0" xfId="0" applyFont="1"/>
    <xf numFmtId="165" fontId="126" fillId="0" borderId="0" xfId="0" applyNumberFormat="1" applyFont="1"/>
    <xf numFmtId="202" fontId="77" fillId="10" borderId="0" xfId="2" applyNumberFormat="1" applyFont="1" applyFill="1"/>
    <xf numFmtId="10" fontId="8" fillId="0" borderId="0" xfId="19" applyNumberFormat="1" applyFont="1" applyBorder="1"/>
    <xf numFmtId="176" fontId="9" fillId="0" borderId="0" xfId="19" applyNumberFormat="1" applyFont="1" applyFill="1" applyBorder="1" applyAlignment="1">
      <alignment horizontal="right" wrapText="1"/>
    </xf>
    <xf numFmtId="10" fontId="9" fillId="0" borderId="0" xfId="19" applyNumberFormat="1" applyFont="1" applyFill="1" applyBorder="1" applyAlignment="1">
      <alignment horizontal="right"/>
    </xf>
    <xf numFmtId="4" fontId="89" fillId="0" borderId="0" xfId="0" applyNumberFormat="1" applyFont="1" applyAlignment="1">
      <alignment horizontal="right"/>
    </xf>
    <xf numFmtId="4" fontId="89" fillId="0" borderId="6" xfId="0" applyNumberFormat="1" applyFont="1" applyBorder="1" applyAlignment="1">
      <alignment horizontal="right"/>
    </xf>
    <xf numFmtId="4" fontId="89" fillId="0" borderId="4" xfId="0" applyNumberFormat="1" applyFont="1" applyBorder="1" applyAlignment="1">
      <alignment horizontal="right"/>
    </xf>
    <xf numFmtId="175" fontId="89" fillId="0" borderId="6" xfId="19" applyNumberFormat="1" applyFont="1" applyFill="1" applyBorder="1" applyAlignment="1">
      <alignment horizontal="right"/>
    </xf>
    <xf numFmtId="164" fontId="89" fillId="0" borderId="0" xfId="0" applyFont="1"/>
    <xf numFmtId="164" fontId="89" fillId="0" borderId="6" xfId="0" applyFont="1" applyBorder="1"/>
    <xf numFmtId="175" fontId="89" fillId="0" borderId="0" xfId="0" applyNumberFormat="1" applyFont="1" applyAlignment="1">
      <alignment horizontal="right"/>
    </xf>
    <xf numFmtId="164" fontId="9" fillId="0" borderId="10" xfId="0" applyFont="1" applyBorder="1"/>
    <xf numFmtId="164" fontId="8" fillId="0" borderId="9" xfId="0" applyFont="1" applyBorder="1" applyAlignment="1">
      <alignment horizontal="left" indent="1"/>
    </xf>
    <xf numFmtId="164" fontId="9" fillId="0" borderId="9" xfId="0" applyFont="1" applyBorder="1"/>
    <xf numFmtId="164" fontId="9" fillId="0" borderId="57" xfId="0" applyFont="1" applyBorder="1"/>
    <xf numFmtId="164" fontId="120" fillId="0" borderId="0" xfId="0" quotePrefix="1" applyFont="1" applyAlignment="1" applyProtection="1">
      <alignment horizontal="left"/>
      <protection locked="0"/>
    </xf>
    <xf numFmtId="164" fontId="8" fillId="8" borderId="3" xfId="0" applyFont="1" applyFill="1" applyBorder="1"/>
    <xf numFmtId="203" fontId="8" fillId="2" borderId="4" xfId="17" applyNumberFormat="1" applyFont="1" applyFill="1" applyBorder="1" applyAlignment="1">
      <alignment horizontal="right"/>
    </xf>
    <xf numFmtId="204" fontId="8" fillId="0" borderId="0" xfId="17" applyNumberFormat="1" applyFont="1" applyAlignment="1">
      <alignment horizontal="right"/>
    </xf>
    <xf numFmtId="205" fontId="113" fillId="0" borderId="0" xfId="0" applyNumberFormat="1" applyFont="1" applyAlignment="1" applyProtection="1">
      <alignment horizontal="right"/>
      <protection locked="0"/>
    </xf>
    <xf numFmtId="205" fontId="121" fillId="0" borderId="0" xfId="0" applyNumberFormat="1" applyFont="1" applyAlignment="1" applyProtection="1">
      <alignment horizontal="left"/>
      <protection locked="0"/>
    </xf>
    <xf numFmtId="2" fontId="8" fillId="0" borderId="0" xfId="19" applyNumberFormat="1" applyFont="1" applyFill="1"/>
    <xf numFmtId="206" fontId="8" fillId="0" borderId="0" xfId="0" applyNumberFormat="1" applyFont="1"/>
    <xf numFmtId="175" fontId="8" fillId="24" borderId="6" xfId="0" applyNumberFormat="1" applyFont="1" applyFill="1" applyBorder="1" applyAlignment="1">
      <alignment horizontal="right"/>
    </xf>
    <xf numFmtId="175" fontId="8" fillId="24" borderId="0" xfId="0" applyNumberFormat="1" applyFont="1" applyFill="1" applyAlignment="1">
      <alignment horizontal="right"/>
    </xf>
    <xf numFmtId="175" fontId="8" fillId="24" borderId="4" xfId="0" applyNumberFormat="1" applyFont="1" applyFill="1" applyBorder="1" applyAlignment="1">
      <alignment horizontal="right"/>
    </xf>
    <xf numFmtId="207" fontId="8" fillId="0" borderId="0" xfId="0" applyNumberFormat="1" applyFont="1"/>
    <xf numFmtId="9" fontId="9" fillId="0" borderId="0" xfId="19" applyFont="1" applyAlignment="1">
      <alignment horizontal="right"/>
    </xf>
    <xf numFmtId="177" fontId="9" fillId="0" borderId="0" xfId="19" applyNumberFormat="1" applyFont="1" applyAlignment="1">
      <alignment horizontal="right"/>
    </xf>
    <xf numFmtId="164" fontId="8" fillId="0" borderId="0" xfId="0" applyFont="1" applyAlignment="1">
      <alignment vertical="top"/>
    </xf>
    <xf numFmtId="164" fontId="8" fillId="0" borderId="50" xfId="0" applyFont="1" applyBorder="1" applyAlignment="1">
      <alignment vertical="top"/>
    </xf>
    <xf numFmtId="194" fontId="89" fillId="0" borderId="0" xfId="19" applyNumberFormat="1" applyFont="1"/>
    <xf numFmtId="4" fontId="90" fillId="8" borderId="3" xfId="0" applyNumberFormat="1" applyFont="1" applyFill="1" applyBorder="1"/>
    <xf numFmtId="164" fontId="128" fillId="0" borderId="0" xfId="0" applyFont="1"/>
    <xf numFmtId="167" fontId="128" fillId="0" borderId="0" xfId="0" applyNumberFormat="1" applyFont="1"/>
    <xf numFmtId="170" fontId="128" fillId="0" borderId="0" xfId="0" applyNumberFormat="1" applyFont="1"/>
    <xf numFmtId="164" fontId="89" fillId="7" borderId="6" xfId="0" applyFont="1" applyFill="1" applyBorder="1"/>
    <xf numFmtId="164" fontId="89" fillId="7" borderId="0" xfId="0" applyFont="1" applyFill="1"/>
    <xf numFmtId="164" fontId="89" fillId="0" borderId="4" xfId="0" applyFont="1" applyBorder="1"/>
    <xf numFmtId="164" fontId="113" fillId="0" borderId="0" xfId="0" applyFont="1" applyAlignment="1">
      <alignment horizontal="left"/>
    </xf>
    <xf numFmtId="4" fontId="76" fillId="11" borderId="0" xfId="10" applyNumberFormat="1" applyFont="1" applyFill="1" applyAlignment="1">
      <alignment horizontal="right"/>
    </xf>
    <xf numFmtId="43" fontId="76" fillId="11" borderId="0" xfId="2" applyFont="1" applyFill="1"/>
    <xf numFmtId="43" fontId="76" fillId="11" borderId="0" xfId="2" applyFont="1" applyFill="1" applyAlignment="1">
      <alignment horizontal="right"/>
    </xf>
    <xf numFmtId="176" fontId="9" fillId="0" borderId="0" xfId="19" applyNumberFormat="1" applyFont="1" applyAlignment="1">
      <alignment horizontal="right" wrapText="1"/>
    </xf>
    <xf numFmtId="176" fontId="8" fillId="0" borderId="0" xfId="19" applyNumberFormat="1" applyFont="1" applyAlignment="1">
      <alignment horizontal="right" wrapText="1"/>
    </xf>
    <xf numFmtId="176" fontId="9" fillId="0" borderId="3" xfId="19" applyNumberFormat="1" applyFont="1" applyBorder="1" applyAlignment="1">
      <alignment horizontal="right" wrapText="1"/>
    </xf>
    <xf numFmtId="176" fontId="8" fillId="0" borderId="4" xfId="0" applyNumberFormat="1" applyFont="1" applyBorder="1" applyAlignment="1">
      <alignment wrapText="1"/>
    </xf>
    <xf numFmtId="176" fontId="9" fillId="0" borderId="0" xfId="19" applyNumberFormat="1" applyFont="1" applyFill="1" applyBorder="1" applyAlignment="1">
      <alignment wrapText="1"/>
    </xf>
    <xf numFmtId="176" fontId="8" fillId="0" borderId="4" xfId="19" applyNumberFormat="1" applyFont="1" applyFill="1" applyBorder="1" applyAlignment="1">
      <alignment wrapText="1"/>
    </xf>
    <xf numFmtId="2" fontId="9" fillId="0" borderId="0" xfId="2" applyNumberFormat="1" applyFont="1" applyFill="1" applyBorder="1"/>
    <xf numFmtId="2" fontId="8" fillId="0" borderId="0" xfId="2" applyNumberFormat="1" applyFont="1" applyFill="1" applyBorder="1"/>
    <xf numFmtId="2" fontId="8" fillId="0" borderId="0" xfId="2" applyNumberFormat="1" applyFont="1" applyFill="1" applyBorder="1" applyAlignment="1">
      <alignment horizontal="right"/>
    </xf>
    <xf numFmtId="2" fontId="9" fillId="0" borderId="3" xfId="2" applyNumberFormat="1" applyFont="1" applyFill="1" applyBorder="1"/>
    <xf numFmtId="175" fontId="89" fillId="8" borderId="4" xfId="0" applyNumberFormat="1" applyFont="1" applyFill="1" applyBorder="1" applyAlignment="1">
      <alignment horizontal="right"/>
    </xf>
    <xf numFmtId="175" fontId="89" fillId="8" borderId="0" xfId="0" applyNumberFormat="1" applyFont="1" applyFill="1" applyAlignment="1">
      <alignment horizontal="right"/>
    </xf>
    <xf numFmtId="175" fontId="89" fillId="8" borderId="6" xfId="0" applyNumberFormat="1" applyFont="1" applyFill="1" applyBorder="1" applyAlignment="1">
      <alignment horizontal="right"/>
    </xf>
    <xf numFmtId="175" fontId="9" fillId="10" borderId="0" xfId="0" applyNumberFormat="1" applyFont="1" applyFill="1"/>
    <xf numFmtId="170" fontId="9" fillId="10" borderId="0" xfId="0" applyNumberFormat="1" applyFont="1" applyFill="1"/>
    <xf numFmtId="0" fontId="129" fillId="0" borderId="0" xfId="0" applyNumberFormat="1" applyFont="1" applyAlignment="1">
      <alignment vertical="center"/>
    </xf>
    <xf numFmtId="0" fontId="130" fillId="0" borderId="0" xfId="0" applyNumberFormat="1" applyFont="1" applyAlignment="1">
      <alignment vertical="center"/>
    </xf>
    <xf numFmtId="0" fontId="131" fillId="0" borderId="0" xfId="0" applyNumberFormat="1" applyFont="1"/>
    <xf numFmtId="14" fontId="131" fillId="0" borderId="0" xfId="0" applyNumberFormat="1" applyFont="1"/>
    <xf numFmtId="0" fontId="132" fillId="0" borderId="0" xfId="0" applyNumberFormat="1" applyFont="1"/>
    <xf numFmtId="0" fontId="129" fillId="29" borderId="73" xfId="0" applyNumberFormat="1" applyFont="1" applyFill="1" applyBorder="1" applyAlignment="1" applyProtection="1">
      <alignment horizontal="left" vertical="center"/>
      <protection locked="0"/>
    </xf>
    <xf numFmtId="0" fontId="130" fillId="29" borderId="73" xfId="0" applyNumberFormat="1" applyFont="1" applyFill="1" applyBorder="1" applyAlignment="1" applyProtection="1">
      <alignment horizontal="left" vertical="center"/>
      <protection locked="0"/>
    </xf>
    <xf numFmtId="0" fontId="131" fillId="30" borderId="74" xfId="0" applyNumberFormat="1" applyFont="1" applyFill="1" applyBorder="1"/>
    <xf numFmtId="0" fontId="131" fillId="30" borderId="8" xfId="0" applyNumberFormat="1" applyFont="1" applyFill="1" applyBorder="1"/>
    <xf numFmtId="0" fontId="130" fillId="0" borderId="0" xfId="0" applyNumberFormat="1" applyFont="1" applyAlignment="1" applyProtection="1">
      <alignment horizontal="center" vertical="center" wrapText="1"/>
      <protection locked="0"/>
    </xf>
    <xf numFmtId="0" fontId="131" fillId="0" borderId="0" xfId="0" applyNumberFormat="1" applyFont="1" applyAlignment="1" applyProtection="1">
      <alignment horizontal="center" vertical="center"/>
      <protection locked="0"/>
    </xf>
    <xf numFmtId="0" fontId="131" fillId="0" borderId="0" xfId="0" quotePrefix="1" applyNumberFormat="1" applyFont="1"/>
    <xf numFmtId="11" fontId="131" fillId="0" borderId="0" xfId="0" applyNumberFormat="1" applyFont="1"/>
    <xf numFmtId="208" fontId="134" fillId="0" borderId="0" xfId="0" applyNumberFormat="1" applyFont="1"/>
    <xf numFmtId="0" fontId="135" fillId="0" borderId="0" xfId="0" quotePrefix="1" applyNumberFormat="1" applyFont="1"/>
    <xf numFmtId="0" fontId="134" fillId="0" borderId="0" xfId="0" applyNumberFormat="1" applyFont="1"/>
    <xf numFmtId="0" fontId="129" fillId="31" borderId="73" xfId="0" applyNumberFormat="1" applyFont="1" applyFill="1" applyBorder="1" applyAlignment="1">
      <alignment horizontal="center" vertical="center" wrapText="1"/>
    </xf>
    <xf numFmtId="0" fontId="132" fillId="31" borderId="73" xfId="0" applyNumberFormat="1" applyFont="1" applyFill="1" applyBorder="1" applyAlignment="1">
      <alignment horizontal="center" vertical="center" wrapText="1"/>
    </xf>
    <xf numFmtId="0" fontId="130" fillId="29" borderId="73" xfId="0" applyNumberFormat="1" applyFont="1" applyFill="1" applyBorder="1" applyAlignment="1" applyProtection="1">
      <alignment horizontal="center" vertical="center"/>
      <protection locked="0"/>
    </xf>
    <xf numFmtId="0" fontId="130" fillId="33" borderId="73" xfId="0" applyNumberFormat="1" applyFont="1" applyFill="1" applyBorder="1" applyAlignment="1" applyProtection="1">
      <alignment horizontal="center" vertical="center"/>
      <protection locked="0"/>
    </xf>
    <xf numFmtId="0" fontId="130" fillId="29" borderId="73" xfId="21" applyFont="1" applyFill="1" applyBorder="1" applyAlignment="1" applyProtection="1">
      <alignment horizontal="left" vertical="center"/>
      <protection locked="0"/>
    </xf>
    <xf numFmtId="0" fontId="131" fillId="29" borderId="73" xfId="21" applyFont="1" applyFill="1" applyBorder="1" applyAlignment="1" applyProtection="1">
      <alignment horizontal="left" vertical="center" wrapText="1"/>
      <protection locked="0"/>
    </xf>
    <xf numFmtId="0" fontId="134" fillId="29" borderId="73" xfId="21" applyFont="1" applyFill="1" applyBorder="1" applyAlignment="1" applyProtection="1">
      <alignment horizontal="left" vertical="center"/>
      <protection locked="0"/>
    </xf>
    <xf numFmtId="0" fontId="131" fillId="29" borderId="73" xfId="21" applyFont="1" applyFill="1" applyBorder="1" applyAlignment="1" applyProtection="1">
      <alignment horizontal="left" vertical="center"/>
      <protection locked="0"/>
    </xf>
    <xf numFmtId="11" fontId="131" fillId="30" borderId="73" xfId="21" applyNumberFormat="1" applyFont="1" applyFill="1" applyBorder="1" applyAlignment="1">
      <alignment horizontal="center"/>
    </xf>
    <xf numFmtId="206" fontId="0" fillId="0" borderId="0" xfId="0" applyNumberFormat="1"/>
    <xf numFmtId="164" fontId="8" fillId="0" borderId="27" xfId="0" applyFont="1" applyBorder="1" applyAlignment="1">
      <alignment horizontal="right"/>
    </xf>
    <xf numFmtId="0" fontId="88" fillId="0" borderId="0" xfId="18" applyFont="1" applyAlignment="1">
      <alignment horizontal="left" indent="1"/>
    </xf>
    <xf numFmtId="177" fontId="88" fillId="0" borderId="0" xfId="18" applyNumberFormat="1" applyFont="1"/>
    <xf numFmtId="167" fontId="113" fillId="25" borderId="0" xfId="0" applyNumberFormat="1" applyFont="1" applyFill="1" applyAlignment="1" applyProtection="1">
      <alignment horizontal="right"/>
      <protection locked="0"/>
    </xf>
    <xf numFmtId="181" fontId="8" fillId="0" borderId="0" xfId="0" applyNumberFormat="1" applyFont="1"/>
    <xf numFmtId="181" fontId="9" fillId="0" borderId="3" xfId="0" applyNumberFormat="1" applyFont="1" applyBorder="1"/>
    <xf numFmtId="171" fontId="77" fillId="21" borderId="56" xfId="8" applyFont="1" applyFill="1" applyBorder="1" applyAlignment="1">
      <alignment horizontal="left" wrapText="1"/>
    </xf>
    <xf numFmtId="0" fontId="1" fillId="17" borderId="0" xfId="7" applyFill="1" applyAlignment="1">
      <alignment horizontal="left" vertical="top" wrapText="1"/>
    </xf>
    <xf numFmtId="0" fontId="1" fillId="17" borderId="0" xfId="7" applyFill="1" applyAlignment="1">
      <alignment vertical="top" wrapText="1"/>
    </xf>
    <xf numFmtId="164" fontId="55" fillId="0" borderId="0" xfId="0" applyFont="1" applyAlignment="1">
      <alignment horizontal="left"/>
    </xf>
    <xf numFmtId="164" fontId="9" fillId="0" borderId="0" xfId="0" applyFont="1" applyAlignment="1">
      <alignment horizontal="center"/>
    </xf>
    <xf numFmtId="164" fontId="64" fillId="0" borderId="0" xfId="0" applyFont="1" applyAlignment="1">
      <alignment horizontal="left"/>
    </xf>
    <xf numFmtId="164" fontId="60" fillId="0" borderId="0" xfId="0" applyFont="1" applyAlignment="1">
      <alignment horizontal="left"/>
    </xf>
    <xf numFmtId="171" fontId="77" fillId="21" borderId="74" xfId="8" applyFont="1" applyFill="1" applyBorder="1" applyAlignment="1">
      <alignment horizontal="left" wrapText="1"/>
    </xf>
    <xf numFmtId="0" fontId="36" fillId="14" borderId="73" xfId="7" applyFont="1" applyFill="1" applyBorder="1" applyAlignment="1">
      <alignment vertical="top"/>
    </xf>
    <xf numFmtId="0" fontId="87" fillId="18" borderId="73" xfId="0" applyNumberFormat="1" applyFont="1" applyFill="1" applyBorder="1" applyAlignment="1" applyProtection="1">
      <alignment horizontal="center" vertical="center"/>
      <protection locked="0"/>
    </xf>
    <xf numFmtId="0" fontId="87" fillId="18" borderId="74" xfId="0" applyNumberFormat="1" applyFont="1" applyFill="1" applyBorder="1" applyAlignment="1" applyProtection="1">
      <alignment horizontal="left" vertical="center"/>
      <protection locked="0"/>
    </xf>
    <xf numFmtId="164" fontId="81" fillId="20" borderId="73" xfId="0" applyFont="1" applyFill="1" applyBorder="1" applyAlignment="1">
      <alignment horizontal="center" vertical="center" wrapText="1"/>
    </xf>
    <xf numFmtId="0" fontId="87" fillId="18" borderId="73" xfId="0" applyNumberFormat="1" applyFont="1" applyFill="1" applyBorder="1" applyAlignment="1" applyProtection="1">
      <alignment horizontal="left" vertical="center"/>
      <protection locked="0"/>
    </xf>
    <xf numFmtId="11" fontId="87" fillId="19" borderId="73" xfId="0" applyNumberFormat="1" applyFont="1" applyFill="1" applyBorder="1" applyAlignment="1" applyProtection="1">
      <alignment horizontal="center" vertical="center"/>
      <protection locked="0"/>
    </xf>
    <xf numFmtId="164" fontId="8" fillId="23" borderId="73" xfId="0" applyFont="1" applyFill="1" applyBorder="1"/>
    <xf numFmtId="164" fontId="8" fillId="0" borderId="74" xfId="0" applyFont="1" applyBorder="1"/>
    <xf numFmtId="164" fontId="9" fillId="0" borderId="73" xfId="0" quotePrefix="1" applyFont="1" applyBorder="1" applyAlignment="1">
      <alignment horizontal="right"/>
    </xf>
    <xf numFmtId="177" fontId="9" fillId="0" borderId="74" xfId="0" applyNumberFormat="1" applyFont="1" applyBorder="1"/>
    <xf numFmtId="177" fontId="9" fillId="0" borderId="73" xfId="0" applyNumberFormat="1" applyFont="1" applyBorder="1"/>
    <xf numFmtId="176" fontId="9" fillId="0" borderId="74" xfId="19" applyNumberFormat="1" applyFont="1" applyFill="1" applyBorder="1"/>
    <xf numFmtId="176" fontId="9" fillId="0" borderId="73" xfId="19" applyNumberFormat="1" applyFont="1" applyFill="1" applyBorder="1"/>
    <xf numFmtId="165" fontId="9" fillId="0" borderId="74" xfId="0" quotePrefix="1" applyNumberFormat="1" applyFont="1" applyBorder="1" applyAlignment="1">
      <alignment horizontal="centerContinuous"/>
    </xf>
    <xf numFmtId="164" fontId="9" fillId="0" borderId="74" xfId="0" applyFont="1" applyBorder="1"/>
    <xf numFmtId="175" fontId="25" fillId="5" borderId="73" xfId="0" applyNumberFormat="1" applyFont="1" applyFill="1" applyBorder="1" applyAlignment="1">
      <alignment horizontal="right"/>
    </xf>
    <xf numFmtId="1" fontId="3" fillId="0" borderId="0" xfId="0" applyNumberFormat="1" applyFont="1" applyAlignment="1">
      <alignment horizontal="center"/>
    </xf>
    <xf numFmtId="171" fontId="92" fillId="21" borderId="48" xfId="8" applyFont="1" applyFill="1" applyBorder="1" applyAlignment="1">
      <alignment horizontal="left" vertical="top"/>
    </xf>
    <xf numFmtId="171" fontId="92" fillId="21" borderId="0" xfId="8" applyFont="1" applyFill="1" applyAlignment="1">
      <alignment horizontal="left" vertical="top"/>
    </xf>
    <xf numFmtId="164" fontId="2" fillId="16" borderId="65" xfId="0" applyFont="1" applyFill="1" applyBorder="1" applyAlignment="1">
      <alignment horizontal="center"/>
    </xf>
    <xf numFmtId="164" fontId="2" fillId="16" borderId="59" xfId="0" applyFont="1" applyFill="1" applyBorder="1" applyAlignment="1">
      <alignment horizontal="center"/>
    </xf>
    <xf numFmtId="171" fontId="93" fillId="21" borderId="65" xfId="8" applyFont="1" applyFill="1" applyBorder="1" applyAlignment="1">
      <alignment horizontal="left" vertical="center" wrapText="1"/>
    </xf>
    <xf numFmtId="171" fontId="93" fillId="21" borderId="66" xfId="8" applyFont="1" applyFill="1" applyBorder="1" applyAlignment="1">
      <alignment horizontal="left" vertical="center" wrapText="1"/>
    </xf>
    <xf numFmtId="171" fontId="93" fillId="21" borderId="59" xfId="8" applyFont="1" applyFill="1" applyBorder="1" applyAlignment="1">
      <alignment horizontal="left" vertical="center" wrapText="1"/>
    </xf>
    <xf numFmtId="171" fontId="77" fillId="21" borderId="74" xfId="8" applyFont="1" applyFill="1" applyBorder="1" applyAlignment="1">
      <alignment horizontal="left" wrapText="1"/>
    </xf>
    <xf numFmtId="171" fontId="77" fillId="21" borderId="56" xfId="8" applyFont="1" applyFill="1" applyBorder="1" applyAlignment="1">
      <alignment horizontal="left" wrapText="1"/>
    </xf>
    <xf numFmtId="171" fontId="94" fillId="21" borderId="1" xfId="5" applyFont="1" applyFill="1" applyBorder="1" applyAlignment="1">
      <alignment horizontal="left" vertical="center"/>
    </xf>
    <xf numFmtId="171" fontId="94" fillId="21" borderId="73" xfId="5" applyFont="1" applyFill="1" applyBorder="1" applyAlignment="1">
      <alignment horizontal="left" vertical="center"/>
    </xf>
    <xf numFmtId="171" fontId="2" fillId="16" borderId="47" xfId="8" applyFont="1" applyFill="1" applyBorder="1" applyAlignment="1">
      <alignment horizontal="center" vertical="center" wrapText="1"/>
    </xf>
    <xf numFmtId="171" fontId="2" fillId="16" borderId="27" xfId="8" applyFont="1" applyFill="1" applyBorder="1" applyAlignment="1">
      <alignment horizontal="center" vertical="center" wrapText="1"/>
    </xf>
    <xf numFmtId="171" fontId="2" fillId="16" borderId="69" xfId="8" applyFont="1" applyFill="1" applyBorder="1" applyAlignment="1">
      <alignment horizontal="center" vertical="center" wrapText="1"/>
    </xf>
    <xf numFmtId="171" fontId="2" fillId="16" borderId="54" xfId="8" applyFont="1" applyFill="1" applyBorder="1" applyAlignment="1">
      <alignment horizontal="center" vertical="center" wrapText="1"/>
    </xf>
    <xf numFmtId="171" fontId="94" fillId="21" borderId="70" xfId="5" applyFont="1" applyFill="1" applyBorder="1" applyAlignment="1">
      <alignment horizontal="left" vertical="center"/>
    </xf>
    <xf numFmtId="171" fontId="94" fillId="21" borderId="71" xfId="5" applyFont="1" applyFill="1" applyBorder="1" applyAlignment="1">
      <alignment horizontal="left" vertical="center"/>
    </xf>
    <xf numFmtId="171" fontId="77" fillId="21" borderId="68" xfId="8" applyFont="1" applyFill="1" applyBorder="1" applyAlignment="1">
      <alignment horizontal="left" wrapText="1"/>
    </xf>
    <xf numFmtId="171" fontId="77" fillId="21" borderId="59" xfId="8" applyFont="1" applyFill="1" applyBorder="1" applyAlignment="1">
      <alignment horizontal="left" wrapText="1"/>
    </xf>
    <xf numFmtId="171" fontId="125" fillId="21" borderId="1" xfId="20" applyNumberFormat="1" applyFont="1" applyFill="1" applyBorder="1" applyAlignment="1">
      <alignment horizontal="left" vertical="center"/>
    </xf>
    <xf numFmtId="171" fontId="125" fillId="21" borderId="73" xfId="20" applyNumberFormat="1" applyFont="1" applyFill="1" applyBorder="1" applyAlignment="1">
      <alignment horizontal="left" vertical="center"/>
    </xf>
    <xf numFmtId="171" fontId="77" fillId="21" borderId="18" xfId="8" applyFont="1" applyFill="1" applyBorder="1" applyAlignment="1">
      <alignment horizontal="left" wrapText="1"/>
    </xf>
    <xf numFmtId="171" fontId="77" fillId="21" borderId="67" xfId="8" applyFont="1" applyFill="1" applyBorder="1" applyAlignment="1">
      <alignment horizontal="left" wrapText="1"/>
    </xf>
    <xf numFmtId="171" fontId="94" fillId="21" borderId="64" xfId="5" applyFont="1" applyFill="1" applyBorder="1" applyAlignment="1">
      <alignment horizontal="left" vertical="center"/>
    </xf>
    <xf numFmtId="171" fontId="94" fillId="21" borderId="45" xfId="5" applyFont="1" applyFill="1" applyBorder="1" applyAlignment="1">
      <alignment horizontal="left" vertical="center"/>
    </xf>
    <xf numFmtId="0" fontId="1" fillId="17" borderId="0" xfId="7" applyFill="1" applyAlignment="1">
      <alignment horizontal="left" vertical="top" wrapText="1"/>
    </xf>
    <xf numFmtId="0" fontId="0" fillId="0" borderId="0" xfId="0" applyNumberFormat="1" applyAlignment="1">
      <alignment horizontal="left" vertical="top" wrapText="1"/>
    </xf>
    <xf numFmtId="14" fontId="1" fillId="13" borderId="0" xfId="7" applyNumberFormat="1" applyFill="1" applyAlignment="1">
      <alignment horizontal="left" vertical="top"/>
    </xf>
    <xf numFmtId="0" fontId="50" fillId="0" borderId="0" xfId="7" applyFont="1" applyAlignment="1">
      <alignment horizontal="left" vertical="top" wrapText="1"/>
    </xf>
    <xf numFmtId="0" fontId="1" fillId="0" borderId="73" xfId="7" applyBorder="1" applyAlignment="1">
      <alignment horizontal="left" vertical="top" wrapText="1"/>
    </xf>
    <xf numFmtId="0" fontId="1" fillId="17" borderId="0" xfId="7" applyFill="1" applyAlignment="1">
      <alignment vertical="top" wrapText="1"/>
    </xf>
    <xf numFmtId="0" fontId="131" fillId="0" borderId="0" xfId="0" applyNumberFormat="1" applyFont="1" applyAlignment="1">
      <alignment horizontal="center" wrapText="1"/>
    </xf>
    <xf numFmtId="0" fontId="131" fillId="0" borderId="4" xfId="0" applyNumberFormat="1" applyFont="1" applyBorder="1" applyAlignment="1">
      <alignment horizontal="center" wrapText="1"/>
    </xf>
    <xf numFmtId="0" fontId="132" fillId="31" borderId="48" xfId="0" applyNumberFormat="1" applyFont="1" applyFill="1" applyBorder="1" applyAlignment="1">
      <alignment horizontal="left" vertical="center"/>
    </xf>
    <xf numFmtId="0" fontId="132" fillId="31" borderId="0" xfId="0" applyNumberFormat="1" applyFont="1" applyFill="1" applyAlignment="1">
      <alignment horizontal="left" vertical="center"/>
    </xf>
    <xf numFmtId="0" fontId="124" fillId="29" borderId="1" xfId="20" applyNumberFormat="1" applyFill="1" applyBorder="1" applyAlignment="1" applyProtection="1">
      <alignment horizontal="center" vertical="center"/>
      <protection locked="0"/>
    </xf>
    <xf numFmtId="0" fontId="131" fillId="29" borderId="73" xfId="0" applyNumberFormat="1" applyFont="1" applyFill="1" applyBorder="1" applyAlignment="1" applyProtection="1">
      <alignment horizontal="center" vertical="center"/>
      <protection locked="0"/>
    </xf>
    <xf numFmtId="0" fontId="131" fillId="29" borderId="76" xfId="0" applyNumberFormat="1" applyFont="1" applyFill="1" applyBorder="1" applyAlignment="1" applyProtection="1">
      <alignment horizontal="center" vertical="center"/>
      <protection locked="0"/>
    </xf>
    <xf numFmtId="0" fontId="129" fillId="32" borderId="48" xfId="0" applyNumberFormat="1" applyFont="1" applyFill="1" applyBorder="1" applyAlignment="1">
      <alignment horizontal="left" vertical="center"/>
    </xf>
    <xf numFmtId="0" fontId="129" fillId="32" borderId="0" xfId="0" applyNumberFormat="1" applyFont="1" applyFill="1" applyAlignment="1">
      <alignment horizontal="left" vertical="center"/>
    </xf>
    <xf numFmtId="0" fontId="131" fillId="29" borderId="1" xfId="0" applyNumberFormat="1" applyFont="1" applyFill="1" applyBorder="1" applyAlignment="1" applyProtection="1">
      <alignment horizontal="center" vertical="center"/>
      <protection locked="0"/>
    </xf>
    <xf numFmtId="0" fontId="129" fillId="31" borderId="49" xfId="0" applyNumberFormat="1" applyFont="1" applyFill="1" applyBorder="1" applyAlignment="1">
      <alignment horizontal="left" vertical="center"/>
    </xf>
    <xf numFmtId="0" fontId="129" fillId="31" borderId="23" xfId="0" applyNumberFormat="1" applyFont="1" applyFill="1" applyBorder="1" applyAlignment="1">
      <alignment horizontal="left" vertical="center"/>
    </xf>
    <xf numFmtId="0" fontId="130" fillId="29" borderId="64" xfId="0" applyNumberFormat="1" applyFont="1" applyFill="1" applyBorder="1" applyAlignment="1" applyProtection="1">
      <alignment horizontal="center" vertical="center" wrapText="1"/>
      <protection locked="0"/>
    </xf>
    <xf numFmtId="0" fontId="130" fillId="29" borderId="45" xfId="0" applyNumberFormat="1" applyFont="1" applyFill="1" applyBorder="1" applyAlignment="1" applyProtection="1">
      <alignment horizontal="center" vertical="center" wrapText="1"/>
      <protection locked="0"/>
    </xf>
    <xf numFmtId="0" fontId="130" fillId="29" borderId="77" xfId="0" applyNumberFormat="1" applyFont="1" applyFill="1" applyBorder="1" applyAlignment="1" applyProtection="1">
      <alignment horizontal="center" vertical="center" wrapText="1"/>
      <protection locked="0"/>
    </xf>
    <xf numFmtId="0" fontId="131" fillId="28" borderId="57" xfId="0" applyNumberFormat="1" applyFont="1" applyFill="1" applyBorder="1" applyAlignment="1">
      <alignment horizontal="left"/>
    </xf>
    <xf numFmtId="0" fontId="131" fillId="28" borderId="51" xfId="0" applyNumberFormat="1" applyFont="1" applyFill="1" applyBorder="1" applyAlignment="1">
      <alignment horizontal="left"/>
    </xf>
    <xf numFmtId="0" fontId="131" fillId="28" borderId="58" xfId="0" applyNumberFormat="1" applyFont="1" applyFill="1" applyBorder="1" applyAlignment="1">
      <alignment horizontal="left"/>
    </xf>
    <xf numFmtId="0" fontId="133" fillId="0" borderId="47" xfId="0" applyNumberFormat="1" applyFont="1" applyBorder="1" applyAlignment="1">
      <alignment horizontal="left" wrapText="1"/>
    </xf>
    <xf numFmtId="0" fontId="133" fillId="0" borderId="27" xfId="0" applyNumberFormat="1" applyFont="1" applyBorder="1" applyAlignment="1">
      <alignment horizontal="left" wrapText="1"/>
    </xf>
    <xf numFmtId="0" fontId="133" fillId="0" borderId="54" xfId="0" applyNumberFormat="1" applyFont="1" applyBorder="1" applyAlignment="1">
      <alignment horizontal="left" wrapText="1"/>
    </xf>
    <xf numFmtId="0" fontId="133" fillId="0" borderId="49" xfId="0" applyNumberFormat="1" applyFont="1" applyBorder="1" applyAlignment="1">
      <alignment horizontal="left" wrapText="1"/>
    </xf>
    <xf numFmtId="0" fontId="133" fillId="0" borderId="23" xfId="0" applyNumberFormat="1" applyFont="1" applyBorder="1" applyAlignment="1">
      <alignment horizontal="left" wrapText="1"/>
    </xf>
    <xf numFmtId="0" fontId="133" fillId="0" borderId="60" xfId="0" applyNumberFormat="1" applyFont="1" applyBorder="1" applyAlignment="1">
      <alignment horizontal="left" wrapText="1"/>
    </xf>
    <xf numFmtId="0" fontId="129" fillId="31" borderId="47" xfId="0" applyNumberFormat="1" applyFont="1" applyFill="1" applyBorder="1" applyAlignment="1">
      <alignment horizontal="left" vertical="center"/>
    </xf>
    <xf numFmtId="0" fontId="129" fillId="31" borderId="27" xfId="0" applyNumberFormat="1" applyFont="1" applyFill="1" applyBorder="1" applyAlignment="1">
      <alignment horizontal="left" vertical="center"/>
    </xf>
    <xf numFmtId="0" fontId="130" fillId="29" borderId="70" xfId="0" applyNumberFormat="1" applyFont="1" applyFill="1" applyBorder="1" applyAlignment="1" applyProtection="1">
      <alignment horizontal="center" vertical="center" wrapText="1"/>
      <protection locked="0"/>
    </xf>
    <xf numFmtId="0" fontId="130" fillId="29" borderId="71" xfId="0" applyNumberFormat="1" applyFont="1" applyFill="1" applyBorder="1" applyAlignment="1" applyProtection="1">
      <alignment horizontal="center" vertical="center" wrapText="1"/>
      <protection locked="0"/>
    </xf>
    <xf numFmtId="0" fontId="130" fillId="29" borderId="75" xfId="0" applyNumberFormat="1" applyFont="1" applyFill="1" applyBorder="1" applyAlignment="1" applyProtection="1">
      <alignment horizontal="center" vertical="center" wrapText="1"/>
      <protection locked="0"/>
    </xf>
    <xf numFmtId="0" fontId="129" fillId="31" borderId="48" xfId="0" applyNumberFormat="1" applyFont="1" applyFill="1" applyBorder="1" applyAlignment="1">
      <alignment horizontal="left" vertical="center"/>
    </xf>
    <xf numFmtId="0" fontId="129" fillId="31" borderId="0" xfId="0" applyNumberFormat="1" applyFont="1" applyFill="1" applyAlignment="1">
      <alignment horizontal="left" vertical="center"/>
    </xf>
    <xf numFmtId="0" fontId="130" fillId="29" borderId="1" xfId="0" applyNumberFormat="1" applyFont="1" applyFill="1" applyBorder="1" applyAlignment="1" applyProtection="1">
      <alignment horizontal="center" vertical="center" wrapText="1"/>
      <protection locked="0"/>
    </xf>
    <xf numFmtId="0" fontId="130" fillId="29" borderId="73" xfId="0" applyNumberFormat="1" applyFont="1" applyFill="1" applyBorder="1" applyAlignment="1" applyProtection="1">
      <alignment horizontal="center" vertical="center" wrapText="1"/>
      <protection locked="0"/>
    </xf>
    <xf numFmtId="0" fontId="130" fillId="29" borderId="76" xfId="0" applyNumberFormat="1" applyFont="1" applyFill="1" applyBorder="1" applyAlignment="1" applyProtection="1">
      <alignment horizontal="center" vertical="center" wrapText="1"/>
      <protection locked="0"/>
    </xf>
    <xf numFmtId="164" fontId="49" fillId="20" borderId="48" xfId="0" applyFont="1" applyFill="1" applyBorder="1" applyAlignment="1">
      <alignment horizontal="left" vertical="center"/>
    </xf>
    <xf numFmtId="164" fontId="49" fillId="20" borderId="9" xfId="0" applyFont="1" applyFill="1" applyBorder="1" applyAlignment="1">
      <alignment horizontal="left" vertical="center"/>
    </xf>
    <xf numFmtId="0" fontId="52" fillId="18" borderId="11" xfId="0" applyNumberFormat="1" applyFont="1" applyFill="1" applyBorder="1" applyAlignment="1" applyProtection="1">
      <alignment horizontal="center" vertical="center"/>
      <protection locked="0"/>
    </xf>
    <xf numFmtId="0" fontId="52" fillId="18" borderId="0" xfId="0" applyNumberFormat="1" applyFont="1" applyFill="1" applyAlignment="1" applyProtection="1">
      <alignment horizontal="center" vertical="center"/>
      <protection locked="0"/>
    </xf>
    <xf numFmtId="0" fontId="52" fillId="18" borderId="50" xfId="0" applyNumberFormat="1" applyFont="1" applyFill="1" applyBorder="1" applyAlignment="1" applyProtection="1">
      <alignment horizontal="center" vertical="center"/>
      <protection locked="0"/>
    </xf>
    <xf numFmtId="164" fontId="81" fillId="16" borderId="48" xfId="0" applyFont="1" applyFill="1" applyBorder="1" applyAlignment="1">
      <alignment horizontal="left" vertical="center"/>
    </xf>
    <xf numFmtId="164" fontId="81" fillId="16" borderId="9" xfId="0" applyFont="1" applyFill="1" applyBorder="1" applyAlignment="1">
      <alignment horizontal="left" vertical="center"/>
    </xf>
    <xf numFmtId="164" fontId="81" fillId="20" borderId="49" xfId="0" applyFont="1" applyFill="1" applyBorder="1" applyAlignment="1">
      <alignment horizontal="left" vertical="center"/>
    </xf>
    <xf numFmtId="164" fontId="81" fillId="20" borderId="22" xfId="0" applyFont="1" applyFill="1" applyBorder="1" applyAlignment="1">
      <alignment horizontal="left" vertical="center"/>
    </xf>
    <xf numFmtId="0" fontId="86" fillId="18" borderId="24" xfId="0" applyNumberFormat="1" applyFont="1" applyFill="1" applyBorder="1" applyAlignment="1" applyProtection="1">
      <alignment horizontal="center" vertical="center" wrapText="1"/>
      <protection locked="0"/>
    </xf>
    <xf numFmtId="0" fontId="86" fillId="18" borderId="23" xfId="0" applyNumberFormat="1" applyFont="1" applyFill="1" applyBorder="1" applyAlignment="1" applyProtection="1">
      <alignment horizontal="center" vertical="center" wrapText="1"/>
      <protection locked="0"/>
    </xf>
    <xf numFmtId="0" fontId="86" fillId="18" borderId="60" xfId="0" applyNumberFormat="1" applyFont="1" applyFill="1" applyBorder="1" applyAlignment="1" applyProtection="1">
      <alignment horizontal="center" vertical="center" wrapText="1"/>
      <protection locked="0"/>
    </xf>
    <xf numFmtId="164" fontId="51" fillId="20" borderId="73" xfId="0" applyFont="1" applyFill="1" applyBorder="1" applyAlignment="1">
      <alignment horizontal="left" vertical="center" wrapText="1"/>
    </xf>
    <xf numFmtId="164" fontId="95" fillId="0" borderId="73" xfId="0" applyFont="1" applyBorder="1" applyAlignment="1">
      <alignment horizontal="left" vertical="top" wrapText="1"/>
    </xf>
    <xf numFmtId="164" fontId="81" fillId="20" borderId="47" xfId="0" applyFont="1" applyFill="1" applyBorder="1" applyAlignment="1">
      <alignment horizontal="left" vertical="center"/>
    </xf>
    <xf numFmtId="164" fontId="81" fillId="20" borderId="26" xfId="0" applyFont="1" applyFill="1" applyBorder="1" applyAlignment="1">
      <alignment horizontal="left" vertical="center"/>
    </xf>
    <xf numFmtId="0" fontId="86" fillId="18" borderId="69" xfId="0" applyNumberFormat="1" applyFont="1" applyFill="1" applyBorder="1" applyAlignment="1" applyProtection="1">
      <alignment horizontal="center" vertical="center" wrapText="1"/>
      <protection locked="0"/>
    </xf>
    <xf numFmtId="0" fontId="86" fillId="18" borderId="27" xfId="0" applyNumberFormat="1" applyFont="1" applyFill="1" applyBorder="1" applyAlignment="1" applyProtection="1">
      <alignment horizontal="center" vertical="center" wrapText="1"/>
      <protection locked="0"/>
    </xf>
    <xf numFmtId="0" fontId="86" fillId="18" borderId="54" xfId="0" applyNumberFormat="1" applyFont="1" applyFill="1" applyBorder="1" applyAlignment="1" applyProtection="1">
      <alignment horizontal="center" vertical="center" wrapText="1"/>
      <protection locked="0"/>
    </xf>
    <xf numFmtId="164" fontId="81" fillId="20" borderId="48" xfId="0" applyFont="1" applyFill="1" applyBorder="1" applyAlignment="1">
      <alignment horizontal="left" vertical="center"/>
    </xf>
    <xf numFmtId="164" fontId="81" fillId="20" borderId="9" xfId="0" applyFont="1" applyFill="1" applyBorder="1" applyAlignment="1">
      <alignment horizontal="left" vertical="center"/>
    </xf>
    <xf numFmtId="0" fontId="86" fillId="18" borderId="11" xfId="0" applyNumberFormat="1" applyFont="1" applyFill="1" applyBorder="1" applyAlignment="1" applyProtection="1">
      <alignment horizontal="center" vertical="center" wrapText="1"/>
      <protection locked="0"/>
    </xf>
    <xf numFmtId="0" fontId="86" fillId="18" borderId="0" xfId="0" applyNumberFormat="1" applyFont="1" applyFill="1" applyAlignment="1" applyProtection="1">
      <alignment horizontal="center" vertical="center" wrapText="1"/>
      <protection locked="0"/>
    </xf>
    <xf numFmtId="0" fontId="86" fillId="18" borderId="50" xfId="0" applyNumberFormat="1" applyFont="1" applyFill="1" applyBorder="1" applyAlignment="1" applyProtection="1">
      <alignment horizontal="center" vertical="center" wrapText="1"/>
      <protection locked="0"/>
    </xf>
    <xf numFmtId="164" fontId="55" fillId="0" borderId="0" xfId="0" applyFont="1" applyAlignment="1">
      <alignment horizontal="left"/>
    </xf>
    <xf numFmtId="164" fontId="9" fillId="0" borderId="51" xfId="0" applyFont="1" applyBorder="1" applyAlignment="1">
      <alignment horizontal="left" vertical="top" wrapText="1"/>
    </xf>
    <xf numFmtId="164" fontId="9" fillId="0" borderId="57" xfId="0" applyFont="1" applyBorder="1" applyAlignment="1">
      <alignment horizontal="left" vertical="top" wrapText="1"/>
    </xf>
    <xf numFmtId="164" fontId="9" fillId="0" borderId="23" xfId="0" applyFont="1" applyBorder="1" applyAlignment="1">
      <alignment horizontal="left" vertical="top" wrapText="1"/>
    </xf>
    <xf numFmtId="164" fontId="9" fillId="0" borderId="11" xfId="0" applyFont="1" applyBorder="1" applyAlignment="1">
      <alignment horizontal="center"/>
    </xf>
    <xf numFmtId="164" fontId="9" fillId="0" borderId="0" xfId="0" applyFont="1" applyAlignment="1">
      <alignment horizontal="center"/>
    </xf>
    <xf numFmtId="164" fontId="55" fillId="0" borderId="0" xfId="0" applyFont="1" applyAlignment="1">
      <alignment horizontal="center" wrapText="1"/>
    </xf>
    <xf numFmtId="164" fontId="64" fillId="0" borderId="0" xfId="0" applyFont="1" applyAlignment="1">
      <alignment horizontal="left"/>
    </xf>
    <xf numFmtId="164" fontId="60" fillId="0" borderId="0" xfId="0" applyFont="1" applyAlignment="1">
      <alignment horizontal="left"/>
    </xf>
  </cellXfs>
  <cellStyles count="22">
    <cellStyle name="5x indented GHG Textfiels" xfId="1" xr:uid="{00000000-0005-0000-0000-000000000000}"/>
    <cellStyle name="Comma" xfId="2" builtinId="3"/>
    <cellStyle name="Comma 3" xfId="3" xr:uid="{00000000-0005-0000-0000-000002000000}"/>
    <cellStyle name="Currency" xfId="4" builtinId="4"/>
    <cellStyle name="Hyperlink" xfId="20" builtinId="8"/>
    <cellStyle name="Hyperlink 2" xfId="5" xr:uid="{00000000-0005-0000-0000-000004000000}"/>
    <cellStyle name="Normal" xfId="0" builtinId="0"/>
    <cellStyle name="Normal 2" xfId="6" xr:uid="{00000000-0005-0000-0000-000006000000}"/>
    <cellStyle name="Normal 2 2" xfId="7" xr:uid="{00000000-0005-0000-0000-000007000000}"/>
    <cellStyle name="Normal 2 2 3" xfId="21" xr:uid="{F4DDA7D8-8FF9-4B29-8EE0-3D26D5AE511D}"/>
    <cellStyle name="Normal 3" xfId="8" xr:uid="{00000000-0005-0000-0000-000008000000}"/>
    <cellStyle name="Normal 4" xfId="9" xr:uid="{00000000-0005-0000-0000-000009000000}"/>
    <cellStyle name="Normal 5" xfId="10" xr:uid="{00000000-0005-0000-0000-00000A000000}"/>
    <cellStyle name="Normal 5 11" xfId="11" xr:uid="{00000000-0005-0000-0000-00000B000000}"/>
    <cellStyle name="Normal 5 2" xfId="12" xr:uid="{00000000-0005-0000-0000-00000C000000}"/>
    <cellStyle name="Normal GHG Numbers (0.00)" xfId="13" xr:uid="{00000000-0005-0000-0000-00000D000000}"/>
    <cellStyle name="Normal_Energy CRF linker" xfId="14" xr:uid="{00000000-0005-0000-0000-00000E000000}"/>
    <cellStyle name="Normal_mobile96" xfId="15" xr:uid="{00000000-0005-0000-0000-00000F000000}"/>
    <cellStyle name="Normal_Non-highway" xfId="16" xr:uid="{00000000-0005-0000-0000-000010000000}"/>
    <cellStyle name="Normal_SUMMARY (old)" xfId="17" xr:uid="{00000000-0005-0000-0000-000011000000}"/>
    <cellStyle name="Normal_Table Options for combining CO2 CH4 and N2O" xfId="18" xr:uid="{00000000-0005-0000-0000-000012000000}"/>
    <cellStyle name="Percent" xfId="19" builtinId="5"/>
  </cellStyles>
  <dxfs count="63">
    <dxf>
      <font>
        <color rgb="FF9C0006"/>
      </font>
      <fill>
        <patternFill>
          <bgColor rgb="FFFFC7CE"/>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ont>
        <color rgb="FFC00000"/>
      </font>
      <fill>
        <patternFill>
          <bgColor theme="5" tint="0.79998168889431442"/>
        </patternFill>
      </fill>
    </dxf>
    <dxf>
      <font>
        <color auto="1"/>
      </font>
      <fill>
        <patternFill>
          <bgColor theme="0"/>
        </patternFill>
      </fill>
    </dxf>
    <dxf>
      <fill>
        <patternFill>
          <bgColor indexed="13"/>
        </patternFill>
      </fill>
    </dxf>
    <dxf>
      <fill>
        <patternFill>
          <bgColor indexed="13"/>
        </patternFill>
      </fill>
    </dxf>
    <dxf>
      <fill>
        <patternFill>
          <bgColor indexed="10"/>
        </patternFill>
      </fill>
    </dxf>
    <dxf>
      <fill>
        <patternFill>
          <bgColor indexed="13"/>
        </patternFill>
      </fill>
    </dxf>
    <dxf>
      <fill>
        <patternFill>
          <bgColor indexed="10"/>
        </patternFill>
      </fill>
    </dxf>
    <dxf>
      <fill>
        <patternFill>
          <bgColor indexed="13"/>
        </patternFill>
      </fill>
    </dxf>
    <dxf>
      <fill>
        <patternFill>
          <bgColor indexed="10"/>
        </patternFill>
      </fill>
    </dxf>
    <dxf>
      <fill>
        <patternFill>
          <bgColor indexed="13"/>
        </patternFill>
      </fill>
    </dxf>
    <dxf>
      <fill>
        <patternFill>
          <bgColor indexed="10"/>
        </patternFill>
      </fill>
    </dxf>
    <dxf>
      <fill>
        <patternFill>
          <bgColor indexed="13"/>
        </patternFill>
      </fill>
    </dxf>
    <dxf>
      <fill>
        <patternFill>
          <bgColor indexed="13"/>
        </patternFill>
      </fill>
    </dxf>
    <dxf>
      <fill>
        <patternFill>
          <bgColor indexed="10"/>
        </patternFill>
      </fill>
    </dxf>
    <dxf>
      <fill>
        <patternFill>
          <bgColor indexed="13"/>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4"/>
        </patternFill>
      </fill>
    </dxf>
    <dxf>
      <fill>
        <patternFill>
          <bgColor indexed="1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theme="0"/>
        </patternFill>
      </fill>
    </dxf>
    <dxf>
      <fill>
        <patternFill patternType="lightDown"/>
      </fill>
    </dxf>
  </dxfs>
  <tableStyles count="0" defaultTableStyle="TableStyleMedium9" defaultPivotStyle="PivotStyleLight16"/>
  <colors>
    <mruColors>
      <color rgb="FFFFFF99"/>
      <color rgb="FFCCFFCC"/>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4.xml"/><Relationship Id="rId68" Type="http://schemas.openxmlformats.org/officeDocument/2006/relationships/externalLink" Target="externalLinks/externalLink9.xml"/><Relationship Id="rId84" Type="http://schemas.openxmlformats.org/officeDocument/2006/relationships/externalLink" Target="externalLinks/externalLink25.xml"/><Relationship Id="rId89"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5.xml"/><Relationship Id="rId79" Type="http://schemas.openxmlformats.org/officeDocument/2006/relationships/externalLink" Target="externalLinks/externalLink20.xml"/><Relationship Id="rId5" Type="http://schemas.openxmlformats.org/officeDocument/2006/relationships/worksheet" Target="worksheets/sheet5.xml"/><Relationship Id="rId90" Type="http://schemas.openxmlformats.org/officeDocument/2006/relationships/customXml" Target="../customXml/item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5.xml"/><Relationship Id="rId69" Type="http://schemas.openxmlformats.org/officeDocument/2006/relationships/externalLink" Target="externalLinks/externalLink1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3.xml"/><Relationship Id="rId80" Type="http://schemas.openxmlformats.org/officeDocument/2006/relationships/externalLink" Target="externalLinks/externalLink21.xml"/><Relationship Id="rId85" Type="http://schemas.openxmlformats.org/officeDocument/2006/relationships/theme" Target="theme/theme1.xml"/><Relationship Id="rId93"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8.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3.xml"/><Relationship Id="rId70" Type="http://schemas.openxmlformats.org/officeDocument/2006/relationships/externalLink" Target="externalLinks/externalLink11.xml"/><Relationship Id="rId75" Type="http://schemas.openxmlformats.org/officeDocument/2006/relationships/externalLink" Target="externalLinks/externalLink16.xml"/><Relationship Id="rId83" Type="http://schemas.openxmlformats.org/officeDocument/2006/relationships/externalLink" Target="externalLinks/externalLink24.xml"/><Relationship Id="rId88" Type="http://schemas.microsoft.com/office/2017/10/relationships/person" Target="persons/person.xml"/><Relationship Id="rId9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1.xml"/><Relationship Id="rId65" Type="http://schemas.openxmlformats.org/officeDocument/2006/relationships/externalLink" Target="externalLinks/externalLink6.xml"/><Relationship Id="rId73" Type="http://schemas.openxmlformats.org/officeDocument/2006/relationships/externalLink" Target="externalLinks/externalLink14.xml"/><Relationship Id="rId78" Type="http://schemas.openxmlformats.org/officeDocument/2006/relationships/externalLink" Target="externalLinks/externalLink19.xml"/><Relationship Id="rId81" Type="http://schemas.openxmlformats.org/officeDocument/2006/relationships/externalLink" Target="externalLinks/externalLink22.xml"/><Relationship Id="rId86" Type="http://schemas.openxmlformats.org/officeDocument/2006/relationships/styles" Target="styles.xml"/><Relationship Id="rId94"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12.xml"/><Relationship Id="rId92" Type="http://schemas.openxmlformats.org/officeDocument/2006/relationships/customXml" Target="../customXml/item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7.xml"/><Relationship Id="rId87" Type="http://schemas.openxmlformats.org/officeDocument/2006/relationships/sharedStrings" Target="sharedStrings.xml"/><Relationship Id="rId61" Type="http://schemas.openxmlformats.org/officeDocument/2006/relationships/externalLink" Target="externalLinks/externalLink2.xml"/><Relationship Id="rId82"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0" i="0" u="none" strike="noStrike" baseline="0">
                <a:solidFill>
                  <a:srgbClr val="000000"/>
                </a:solidFill>
                <a:latin typeface="Arial"/>
                <a:ea typeface="Arial"/>
                <a:cs typeface="Arial"/>
              </a:defRPr>
            </a:pPr>
            <a:r>
              <a:rPr lang="en-US"/>
              <a:t>Residential</a:t>
            </a:r>
          </a:p>
        </c:rich>
      </c:tx>
      <c:layout>
        <c:manualLayout>
          <c:xMode val="edge"/>
          <c:yMode val="edge"/>
          <c:x val="0.43237717591335562"/>
          <c:y val="3.5502723321316043E-2"/>
        </c:manualLayout>
      </c:layout>
      <c:overlay val="0"/>
      <c:spPr>
        <a:noFill/>
        <a:ln w="25400">
          <a:noFill/>
        </a:ln>
      </c:spPr>
    </c:title>
    <c:autoTitleDeleted val="0"/>
    <c:plotArea>
      <c:layout>
        <c:manualLayout>
          <c:layoutTarget val="inner"/>
          <c:xMode val="edge"/>
          <c:yMode val="edge"/>
          <c:x val="0.11885245901639344"/>
          <c:y val="0.18047337278106509"/>
          <c:w val="0.85245901639344257"/>
          <c:h val="0.65976331360946749"/>
        </c:manualLayout>
      </c:layout>
      <c:lineChart>
        <c:grouping val="standard"/>
        <c:varyColors val="0"/>
        <c:ser>
          <c:idx val="0"/>
          <c:order val="0"/>
          <c:cat>
            <c:numRef>
              <c:f>'Inventory Table'!$L$6:$AQ$6</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'Inventory Table'!$L$13:$AQ$13</c:f>
              <c:numCache>
                <c:formatCode>#,##0.0</c:formatCode>
                <c:ptCount val="32"/>
                <c:pt idx="0">
                  <c:v>931.31306277964427</c:v>
                </c:pt>
                <c:pt idx="1">
                  <c:v>949.33888588450918</c:v>
                </c:pt>
                <c:pt idx="2">
                  <c:v>945.36913683163345</c:v>
                </c:pt>
                <c:pt idx="3">
                  <c:v>998.00873848732488</c:v>
                </c:pt>
                <c:pt idx="4">
                  <c:v>988.95658292137637</c:v>
                </c:pt>
                <c:pt idx="5">
                  <c:v>994.71215351490434</c:v>
                </c:pt>
                <c:pt idx="6">
                  <c:v>1055.599402858898</c:v>
                </c:pt>
                <c:pt idx="7">
                  <c:v>1045.2342898136208</c:v>
                </c:pt>
                <c:pt idx="8">
                  <c:v>1049.7633949656122</c:v>
                </c:pt>
                <c:pt idx="9">
                  <c:v>1070.5402579774973</c:v>
                </c:pt>
                <c:pt idx="10">
                  <c:v>1133.8938917163525</c:v>
                </c:pt>
                <c:pt idx="11">
                  <c:v>1125.5136681815302</c:v>
                </c:pt>
                <c:pt idx="12">
                  <c:v>1152.6184869553806</c:v>
                </c:pt>
                <c:pt idx="13">
                  <c:v>1182.6639198846428</c:v>
                </c:pt>
                <c:pt idx="14">
                  <c:v>1180.84406074147</c:v>
                </c:pt>
                <c:pt idx="15">
                  <c:v>1214.6147745129836</c:v>
                </c:pt>
                <c:pt idx="16">
                  <c:v>1151.1172360888077</c:v>
                </c:pt>
                <c:pt idx="17">
                  <c:v>1203.0476478201435</c:v>
                </c:pt>
                <c:pt idx="18">
                  <c:v>1189.5719882760729</c:v>
                </c:pt>
                <c:pt idx="19">
                  <c:v>1122.2027289953273</c:v>
                </c:pt>
                <c:pt idx="20">
                  <c:v>1174.5997295871398</c:v>
                </c:pt>
                <c:pt idx="21">
                  <c:v>1117.1249750463776</c:v>
                </c:pt>
                <c:pt idx="22">
                  <c:v>1008.1089431001139</c:v>
                </c:pt>
                <c:pt idx="23">
                  <c:v>1064.0052645208489</c:v>
                </c:pt>
                <c:pt idx="24">
                  <c:v>1080.8370434492858</c:v>
                </c:pt>
                <c:pt idx="25">
                  <c:v>1001.4091538296726</c:v>
                </c:pt>
                <c:pt idx="26">
                  <c:v>946.65653651210357</c:v>
                </c:pt>
                <c:pt idx="27">
                  <c:v>911.08896100278503</c:v>
                </c:pt>
                <c:pt idx="28">
                  <c:v>981.23477542869614</c:v>
                </c:pt>
                <c:pt idx="29">
                  <c:v>926.65475759921389</c:v>
                </c:pt>
                <c:pt idx="30">
                  <c:v>860.11952525953416</c:v>
                </c:pt>
                <c:pt idx="31">
                  <c:v>890.29721476749273</c:v>
                </c:pt>
              </c:numCache>
            </c:numRef>
          </c:val>
          <c:smooth val="0"/>
          <c:extLst>
            <c:ext xmlns:c16="http://schemas.microsoft.com/office/drawing/2014/chart" uri="{C3380CC4-5D6E-409C-BE32-E72D297353CC}">
              <c16:uniqueId val="{00000001-1255-4BFD-A6C0-ECAC3746B40C}"/>
            </c:ext>
          </c:extLst>
        </c:ser>
        <c:dLbls>
          <c:showLegendKey val="0"/>
          <c:showVal val="0"/>
          <c:showCatName val="0"/>
          <c:showSerName val="0"/>
          <c:showPercent val="0"/>
          <c:showBubbleSize val="0"/>
        </c:dLbls>
        <c:marker val="1"/>
        <c:smooth val="0"/>
        <c:axId val="634888472"/>
        <c:axId val="634888864"/>
      </c:lineChart>
      <c:catAx>
        <c:axId val="63488847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875" b="0" i="0" u="none" strike="noStrike" baseline="0">
                <a:solidFill>
                  <a:srgbClr val="000000"/>
                </a:solidFill>
                <a:latin typeface="Arial"/>
                <a:ea typeface="Arial"/>
                <a:cs typeface="Arial"/>
              </a:defRPr>
            </a:pPr>
            <a:endParaRPr lang="en-US"/>
          </a:p>
        </c:txPr>
        <c:crossAx val="634888864"/>
        <c:crosses val="autoZero"/>
        <c:auto val="1"/>
        <c:lblAlgn val="ctr"/>
        <c:lblOffset val="100"/>
        <c:tickLblSkip val="1"/>
        <c:tickMarkSkip val="1"/>
        <c:noMultiLvlLbl val="0"/>
      </c:catAx>
      <c:valAx>
        <c:axId val="634888864"/>
        <c:scaling>
          <c:orientation val="minMax"/>
          <c:min val="800"/>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634888472"/>
        <c:crosses val="autoZero"/>
        <c:crossBetween val="between"/>
      </c:valAx>
      <c:spPr>
        <a:solidFill>
          <a:srgbClr val="FFFFFF"/>
        </a:solid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0" i="0" u="none" strike="noStrike" baseline="0">
                <a:solidFill>
                  <a:srgbClr val="000000"/>
                </a:solidFill>
                <a:latin typeface="Arial"/>
                <a:ea typeface="Arial"/>
                <a:cs typeface="Arial"/>
              </a:defRPr>
            </a:pPr>
            <a:r>
              <a:rPr lang="en-US"/>
              <a:t>Commercial</a:t>
            </a:r>
          </a:p>
        </c:rich>
      </c:tx>
      <c:layout>
        <c:manualLayout>
          <c:xMode val="edge"/>
          <c:yMode val="edge"/>
          <c:x val="0.42562028231319571"/>
          <c:y val="3.4188078463876226E-2"/>
        </c:manualLayout>
      </c:layout>
      <c:overlay val="0"/>
      <c:spPr>
        <a:noFill/>
        <a:ln w="25400">
          <a:noFill/>
        </a:ln>
      </c:spPr>
    </c:title>
    <c:autoTitleDeleted val="0"/>
    <c:plotArea>
      <c:layout>
        <c:manualLayout>
          <c:layoutTarget val="inner"/>
          <c:xMode val="edge"/>
          <c:yMode val="edge"/>
          <c:x val="0.11983483163863923"/>
          <c:y val="0.1766386680874624"/>
          <c:w val="0.85124052819171314"/>
          <c:h val="0.66951753226699462"/>
        </c:manualLayout>
      </c:layout>
      <c:lineChart>
        <c:grouping val="standard"/>
        <c:varyColors val="0"/>
        <c:ser>
          <c:idx val="2"/>
          <c:order val="0"/>
          <c:spPr>
            <a:ln w="12700">
              <a:solidFill>
                <a:srgbClr val="0000FF"/>
              </a:solidFill>
              <a:prstDash val="solid"/>
            </a:ln>
          </c:spPr>
          <c:marker>
            <c:symbol val="triangle"/>
            <c:size val="5"/>
            <c:spPr>
              <a:solidFill>
                <a:srgbClr val="0000FF"/>
              </a:solidFill>
              <a:ln>
                <a:solidFill>
                  <a:srgbClr val="0000FF"/>
                </a:solidFill>
                <a:prstDash val="solid"/>
              </a:ln>
            </c:spPr>
          </c:marker>
          <c:cat>
            <c:numRef>
              <c:f>'Inventory Table'!$L$6:$AQ$6</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'Inventory Table'!$L$6:$AO$6</c:f>
              <c:numCache>
                <c:formatCode>General</c:formatCod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numCache>
            </c:numRef>
          </c:val>
          <c:smooth val="0"/>
          <c:extLst>
            <c:ext xmlns:c16="http://schemas.microsoft.com/office/drawing/2014/chart" uri="{C3380CC4-5D6E-409C-BE32-E72D297353CC}">
              <c16:uniqueId val="{00000000-2716-462A-89A8-948BADA231AD}"/>
            </c:ext>
          </c:extLst>
        </c:ser>
        <c:ser>
          <c:idx val="0"/>
          <c:order val="1"/>
          <c:cat>
            <c:numRef>
              <c:f>'Inventory Table'!$L$6:$AQ$6</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'Inventory Table'!$L$16:$AQ$16</c:f>
              <c:numCache>
                <c:formatCode>#,##0.0</c:formatCode>
                <c:ptCount val="32"/>
                <c:pt idx="0">
                  <c:v>766.02691994731072</c:v>
                </c:pt>
                <c:pt idx="1">
                  <c:v>771.2092202993839</c:v>
                </c:pt>
                <c:pt idx="2">
                  <c:v>765.14047227879439</c:v>
                </c:pt>
                <c:pt idx="3">
                  <c:v>785.01388590711531</c:v>
                </c:pt>
                <c:pt idx="4">
                  <c:v>796.84487236257098</c:v>
                </c:pt>
                <c:pt idx="5">
                  <c:v>814.35663325609789</c:v>
                </c:pt>
                <c:pt idx="6">
                  <c:v>846.07230311718195</c:v>
                </c:pt>
                <c:pt idx="7">
                  <c:v>886.88007365871078</c:v>
                </c:pt>
                <c:pt idx="8">
                  <c:v>905.12995542141925</c:v>
                </c:pt>
                <c:pt idx="9">
                  <c:v>914.52956492226315</c:v>
                </c:pt>
                <c:pt idx="10">
                  <c:v>977.5647701748602</c:v>
                </c:pt>
                <c:pt idx="11">
                  <c:v>983.8950852816306</c:v>
                </c:pt>
                <c:pt idx="12">
                  <c:v>982.62298746802696</c:v>
                </c:pt>
                <c:pt idx="13">
                  <c:v>994.19672122563452</c:v>
                </c:pt>
                <c:pt idx="14">
                  <c:v>1011.1221161604907</c:v>
                </c:pt>
                <c:pt idx="15">
                  <c:v>1029.990271758958</c:v>
                </c:pt>
                <c:pt idx="16">
                  <c:v>1009.7193770610378</c:v>
                </c:pt>
                <c:pt idx="17">
                  <c:v>1050.7858709956513</c:v>
                </c:pt>
                <c:pt idx="18">
                  <c:v>1042.4436497395661</c:v>
                </c:pt>
                <c:pt idx="19">
                  <c:v>980.62158197007898</c:v>
                </c:pt>
                <c:pt idx="20">
                  <c:v>997.27408816918569</c:v>
                </c:pt>
                <c:pt idx="21">
                  <c:v>962.76543320375924</c:v>
                </c:pt>
                <c:pt idx="22">
                  <c:v>901.05203110893808</c:v>
                </c:pt>
                <c:pt idx="23">
                  <c:v>928.81295318445063</c:v>
                </c:pt>
                <c:pt idx="24">
                  <c:v>938.20061771932103</c:v>
                </c:pt>
                <c:pt idx="25">
                  <c:v>907.85011647502529</c:v>
                </c:pt>
                <c:pt idx="26">
                  <c:v>865.49984173305415</c:v>
                </c:pt>
                <c:pt idx="27">
                  <c:v>838.65206371340219</c:v>
                </c:pt>
                <c:pt idx="28">
                  <c:v>851.32189302300719</c:v>
                </c:pt>
                <c:pt idx="29">
                  <c:v>804.43052120748075</c:v>
                </c:pt>
                <c:pt idx="30">
                  <c:v>709.61034812093942</c:v>
                </c:pt>
                <c:pt idx="31">
                  <c:v>756.09336430601104</c:v>
                </c:pt>
              </c:numCache>
            </c:numRef>
          </c:val>
          <c:smooth val="0"/>
          <c:extLst>
            <c:ext xmlns:c16="http://schemas.microsoft.com/office/drawing/2014/chart" uri="{C3380CC4-5D6E-409C-BE32-E72D297353CC}">
              <c16:uniqueId val="{00000001-2716-462A-89A8-948BADA231AD}"/>
            </c:ext>
          </c:extLst>
        </c:ser>
        <c:dLbls>
          <c:showLegendKey val="0"/>
          <c:showVal val="0"/>
          <c:showCatName val="0"/>
          <c:showSerName val="0"/>
          <c:showPercent val="0"/>
          <c:showBubbleSize val="0"/>
        </c:dLbls>
        <c:marker val="1"/>
        <c:smooth val="0"/>
        <c:axId val="634889648"/>
        <c:axId val="634890040"/>
      </c:lineChart>
      <c:catAx>
        <c:axId val="63488964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875" b="0" i="0" u="none" strike="noStrike" baseline="0">
                <a:solidFill>
                  <a:srgbClr val="000000"/>
                </a:solidFill>
                <a:latin typeface="Arial"/>
                <a:ea typeface="Arial"/>
                <a:cs typeface="Arial"/>
              </a:defRPr>
            </a:pPr>
            <a:endParaRPr lang="en-US"/>
          </a:p>
        </c:txPr>
        <c:crossAx val="634890040"/>
        <c:crosses val="autoZero"/>
        <c:auto val="1"/>
        <c:lblAlgn val="ctr"/>
        <c:lblOffset val="100"/>
        <c:tickLblSkip val="1"/>
        <c:tickMarkSkip val="1"/>
        <c:noMultiLvlLbl val="0"/>
      </c:catAx>
      <c:valAx>
        <c:axId val="634890040"/>
        <c:scaling>
          <c:orientation val="minMax"/>
          <c:max val="1100"/>
          <c:min val="600"/>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634889648"/>
        <c:crosses val="autoZero"/>
        <c:crossBetween val="between"/>
      </c:valAx>
      <c:spPr>
        <a:solidFill>
          <a:srgbClr val="FFFFFF"/>
        </a:solid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Industrial</a:t>
            </a:r>
          </a:p>
        </c:rich>
      </c:tx>
      <c:layout>
        <c:manualLayout>
          <c:xMode val="edge"/>
          <c:yMode val="edge"/>
          <c:x val="0.4450991345676385"/>
          <c:y val="3.539833256137101E-2"/>
        </c:manualLayout>
      </c:layout>
      <c:overlay val="0"/>
      <c:spPr>
        <a:noFill/>
        <a:ln w="25400">
          <a:noFill/>
        </a:ln>
      </c:spPr>
    </c:title>
    <c:autoTitleDeleted val="0"/>
    <c:plotArea>
      <c:layout>
        <c:manualLayout>
          <c:layoutTarget val="inner"/>
          <c:xMode val="edge"/>
          <c:yMode val="edge"/>
          <c:x val="0.11568649602959565"/>
          <c:y val="0.18289138231523758"/>
          <c:w val="0.85686438584632707"/>
          <c:h val="0.65781900413383843"/>
        </c:manualLayout>
      </c:layout>
      <c:lineChart>
        <c:grouping val="standard"/>
        <c:varyColors val="0"/>
        <c:ser>
          <c:idx val="0"/>
          <c:order val="0"/>
          <c:cat>
            <c:numRef>
              <c:f>'Inventory Table'!$L$6:$AQ$6</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'Inventory Table'!$L$10:$AQ$10</c:f>
              <c:numCache>
                <c:formatCode>#,##0.0</c:formatCode>
                <c:ptCount val="32"/>
                <c:pt idx="0">
                  <c:v>1557.5709328892033</c:v>
                </c:pt>
                <c:pt idx="1">
                  <c:v>1535.2025090441894</c:v>
                </c:pt>
                <c:pt idx="2">
                  <c:v>1579.8238303970604</c:v>
                </c:pt>
                <c:pt idx="3">
                  <c:v>1591.8253402762612</c:v>
                </c:pt>
                <c:pt idx="4">
                  <c:v>1603.8820159591726</c:v>
                </c:pt>
                <c:pt idx="5">
                  <c:v>1616.6335481630549</c:v>
                </c:pt>
                <c:pt idx="6">
                  <c:v>1654.00277016368</c:v>
                </c:pt>
                <c:pt idx="7">
                  <c:v>1667.4376956416904</c:v>
                </c:pt>
                <c:pt idx="8">
                  <c:v>1672.8904796704078</c:v>
                </c:pt>
                <c:pt idx="9">
                  <c:v>1624.0572105905655</c:v>
                </c:pt>
                <c:pt idx="10">
                  <c:v>1676.4409943922044</c:v>
                </c:pt>
                <c:pt idx="11">
                  <c:v>1598.909499518393</c:v>
                </c:pt>
                <c:pt idx="12">
                  <c:v>1578.3215628198409</c:v>
                </c:pt>
                <c:pt idx="13">
                  <c:v>1590.9208638453538</c:v>
                </c:pt>
                <c:pt idx="14">
                  <c:v>1618.8570767583938</c:v>
                </c:pt>
                <c:pt idx="15">
                  <c:v>1579.8162051068753</c:v>
                </c:pt>
                <c:pt idx="16">
                  <c:v>1575.190301330171</c:v>
                </c:pt>
                <c:pt idx="17">
                  <c:v>1568.5813050613606</c:v>
                </c:pt>
                <c:pt idx="18">
                  <c:v>1513.0280959284123</c:v>
                </c:pt>
                <c:pt idx="19">
                  <c:v>1344.7736169775987</c:v>
                </c:pt>
                <c:pt idx="20">
                  <c:v>1429.0810698338848</c:v>
                </c:pt>
                <c:pt idx="21">
                  <c:v>1415.8980241286965</c:v>
                </c:pt>
                <c:pt idx="22">
                  <c:v>1392.3546406616963</c:v>
                </c:pt>
                <c:pt idx="23">
                  <c:v>1424.920621452251</c:v>
                </c:pt>
                <c:pt idx="24">
                  <c:v>1410.0195300882015</c:v>
                </c:pt>
                <c:pt idx="25">
                  <c:v>1343.8996644831122</c:v>
                </c:pt>
                <c:pt idx="26">
                  <c:v>1306.9015855972996</c:v>
                </c:pt>
                <c:pt idx="27">
                  <c:v>1283.178908394184</c:v>
                </c:pt>
                <c:pt idx="28">
                  <c:v>1306.5609937789206</c:v>
                </c:pt>
                <c:pt idx="29">
                  <c:v>1263.6035013061817</c:v>
                </c:pt>
                <c:pt idx="30">
                  <c:v>1159.3150400010802</c:v>
                </c:pt>
                <c:pt idx="31">
                  <c:v>1213.9016941481375</c:v>
                </c:pt>
              </c:numCache>
            </c:numRef>
          </c:val>
          <c:smooth val="0"/>
          <c:extLst>
            <c:ext xmlns:c16="http://schemas.microsoft.com/office/drawing/2014/chart" uri="{C3380CC4-5D6E-409C-BE32-E72D297353CC}">
              <c16:uniqueId val="{00000001-1108-443E-9365-13FDF31B3668}"/>
            </c:ext>
          </c:extLst>
        </c:ser>
        <c:dLbls>
          <c:showLegendKey val="0"/>
          <c:showVal val="0"/>
          <c:showCatName val="0"/>
          <c:showSerName val="0"/>
          <c:showPercent val="0"/>
          <c:showBubbleSize val="0"/>
        </c:dLbls>
        <c:marker val="1"/>
        <c:smooth val="0"/>
        <c:axId val="634890824"/>
        <c:axId val="634891216"/>
      </c:lineChart>
      <c:catAx>
        <c:axId val="63489082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634891216"/>
        <c:crosses val="autoZero"/>
        <c:auto val="1"/>
        <c:lblAlgn val="ctr"/>
        <c:lblOffset val="100"/>
        <c:tickLblSkip val="1"/>
        <c:tickMarkSkip val="1"/>
        <c:noMultiLvlLbl val="0"/>
      </c:catAx>
      <c:valAx>
        <c:axId val="634891216"/>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34890824"/>
        <c:crosses val="autoZero"/>
        <c:crossBetween val="between"/>
      </c:valAx>
      <c:spPr>
        <a:solidFill>
          <a:srgbClr val="FFFFFF"/>
        </a:solid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a:t>Transportation</a:t>
            </a:r>
          </a:p>
        </c:rich>
      </c:tx>
      <c:layout>
        <c:manualLayout>
          <c:xMode val="edge"/>
          <c:yMode val="edge"/>
          <c:x val="0.41842640957009081"/>
          <c:y val="3.4384065478657272E-2"/>
        </c:manualLayout>
      </c:layout>
      <c:overlay val="0"/>
      <c:spPr>
        <a:noFill/>
        <a:ln w="25400">
          <a:noFill/>
        </a:ln>
      </c:spPr>
    </c:title>
    <c:autoTitleDeleted val="0"/>
    <c:plotArea>
      <c:layout>
        <c:manualLayout>
          <c:layoutTarget val="inner"/>
          <c:xMode val="edge"/>
          <c:yMode val="edge"/>
          <c:x val="0.11324376199616124"/>
          <c:y val="0.18051601186986796"/>
          <c:w val="0.85988483685220729"/>
          <c:h val="0.66475737704459315"/>
        </c:manualLayout>
      </c:layout>
      <c:lineChart>
        <c:grouping val="standard"/>
        <c:varyColors val="0"/>
        <c:ser>
          <c:idx val="2"/>
          <c:order val="0"/>
          <c:spPr>
            <a:ln w="12700">
              <a:solidFill>
                <a:srgbClr val="0000FF"/>
              </a:solidFill>
              <a:prstDash val="solid"/>
            </a:ln>
          </c:spPr>
          <c:marker>
            <c:symbol val="triangle"/>
            <c:size val="5"/>
            <c:spPr>
              <a:solidFill>
                <a:srgbClr val="0000FF"/>
              </a:solidFill>
              <a:ln>
                <a:solidFill>
                  <a:srgbClr val="0000FF"/>
                </a:solidFill>
                <a:prstDash val="solid"/>
              </a:ln>
            </c:spPr>
          </c:marker>
          <c:cat>
            <c:numRef>
              <c:f>'Inventory Table'!$L$24:$AQ$24</c:f>
              <c:numCache>
                <c:formatCode>0_)</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formatCode="General">
                  <c:v>2016</c:v>
                </c:pt>
                <c:pt idx="27" formatCode="General">
                  <c:v>2017</c:v>
                </c:pt>
                <c:pt idx="28" formatCode="General">
                  <c:v>2018</c:v>
                </c:pt>
                <c:pt idx="29" formatCode="General">
                  <c:v>2019</c:v>
                </c:pt>
                <c:pt idx="30" formatCode="General">
                  <c:v>2020</c:v>
                </c:pt>
                <c:pt idx="31" formatCode="General">
                  <c:v>2021</c:v>
                </c:pt>
              </c:numCache>
            </c:numRef>
          </c:cat>
          <c:val>
            <c:numRef>
              <c:f>'Inventory Table'!$L$6:$AO$6</c:f>
              <c:numCache>
                <c:formatCode>General</c:formatCod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numCache>
            </c:numRef>
          </c:val>
          <c:smooth val="0"/>
          <c:extLst>
            <c:ext xmlns:c16="http://schemas.microsoft.com/office/drawing/2014/chart" uri="{C3380CC4-5D6E-409C-BE32-E72D297353CC}">
              <c16:uniqueId val="{00000000-2389-48D4-B294-DB96E647B464}"/>
            </c:ext>
          </c:extLst>
        </c:ser>
        <c:ser>
          <c:idx val="0"/>
          <c:order val="1"/>
          <c:cat>
            <c:numRef>
              <c:f>'Inventory Table'!$L$24:$AQ$24</c:f>
              <c:numCache>
                <c:formatCode>0_)</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formatCode="General">
                  <c:v>2016</c:v>
                </c:pt>
                <c:pt idx="27" formatCode="General">
                  <c:v>2017</c:v>
                </c:pt>
                <c:pt idx="28" formatCode="General">
                  <c:v>2018</c:v>
                </c:pt>
                <c:pt idx="29" formatCode="General">
                  <c:v>2019</c:v>
                </c:pt>
                <c:pt idx="30" formatCode="General">
                  <c:v>2020</c:v>
                </c:pt>
                <c:pt idx="31" formatCode="General">
                  <c:v>2021</c:v>
                </c:pt>
              </c:numCache>
            </c:numRef>
          </c:cat>
          <c:val>
            <c:numRef>
              <c:f>'Inventory Table'!$L$7:$AQ$7</c:f>
              <c:numCache>
                <c:formatCode>#,##0.0</c:formatCode>
                <c:ptCount val="32"/>
                <c:pt idx="0">
                  <c:v>1471.9917019177849</c:v>
                </c:pt>
                <c:pt idx="1">
                  <c:v>1425.3238070189016</c:v>
                </c:pt>
                <c:pt idx="2">
                  <c:v>1480.6168945610932</c:v>
                </c:pt>
                <c:pt idx="3">
                  <c:v>1511.6377328446704</c:v>
                </c:pt>
                <c:pt idx="4">
                  <c:v>1557.0767220675673</c:v>
                </c:pt>
                <c:pt idx="5">
                  <c:v>1583.7392878703781</c:v>
                </c:pt>
                <c:pt idx="6">
                  <c:v>1630.4196281114484</c:v>
                </c:pt>
                <c:pt idx="7">
                  <c:v>1646.6181044050679</c:v>
                </c:pt>
                <c:pt idx="8">
                  <c:v>1682.0732965237346</c:v>
                </c:pt>
                <c:pt idx="9">
                  <c:v>1749.5663574036987</c:v>
                </c:pt>
                <c:pt idx="10">
                  <c:v>1795.6418079300213</c:v>
                </c:pt>
                <c:pt idx="11">
                  <c:v>1766.0965056195685</c:v>
                </c:pt>
                <c:pt idx="12">
                  <c:v>1806.4703085911747</c:v>
                </c:pt>
                <c:pt idx="13">
                  <c:v>1816.2680934084894</c:v>
                </c:pt>
                <c:pt idx="14">
                  <c:v>1849.7600086785615</c:v>
                </c:pt>
                <c:pt idx="15">
                  <c:v>1863.2794528487887</c:v>
                </c:pt>
                <c:pt idx="16">
                  <c:v>1863.6521810648819</c:v>
                </c:pt>
                <c:pt idx="17">
                  <c:v>1865.8028135162779</c:v>
                </c:pt>
                <c:pt idx="18">
                  <c:v>1764.3517099395958</c:v>
                </c:pt>
                <c:pt idx="19">
                  <c:v>1692.9559283809315</c:v>
                </c:pt>
                <c:pt idx="20">
                  <c:v>1701.1133967580768</c:v>
                </c:pt>
                <c:pt idx="21">
                  <c:v>1674.6937279338122</c:v>
                </c:pt>
                <c:pt idx="22">
                  <c:v>1663.3765549059813</c:v>
                </c:pt>
                <c:pt idx="23">
                  <c:v>1673.3025813195736</c:v>
                </c:pt>
                <c:pt idx="24">
                  <c:v>1711.7905964393713</c:v>
                </c:pt>
                <c:pt idx="25">
                  <c:v>1722.6398728476722</c:v>
                </c:pt>
                <c:pt idx="26">
                  <c:v>1762.1070870741651</c:v>
                </c:pt>
                <c:pt idx="27">
                  <c:v>1784.6244453522404</c:v>
                </c:pt>
                <c:pt idx="28">
                  <c:v>1817.8999754381921</c:v>
                </c:pt>
                <c:pt idx="29">
                  <c:v>1821.4471856172383</c:v>
                </c:pt>
                <c:pt idx="30">
                  <c:v>1576.9174588407413</c:v>
                </c:pt>
                <c:pt idx="31">
                  <c:v>1758.5809620281279</c:v>
                </c:pt>
              </c:numCache>
            </c:numRef>
          </c:val>
          <c:smooth val="0"/>
          <c:extLst>
            <c:ext xmlns:c16="http://schemas.microsoft.com/office/drawing/2014/chart" uri="{C3380CC4-5D6E-409C-BE32-E72D297353CC}">
              <c16:uniqueId val="{00000001-2389-48D4-B294-DB96E647B464}"/>
            </c:ext>
          </c:extLst>
        </c:ser>
        <c:dLbls>
          <c:showLegendKey val="0"/>
          <c:showVal val="0"/>
          <c:showCatName val="0"/>
          <c:showSerName val="0"/>
          <c:showPercent val="0"/>
          <c:showBubbleSize val="0"/>
        </c:dLbls>
        <c:marker val="1"/>
        <c:smooth val="0"/>
        <c:axId val="634892000"/>
        <c:axId val="634892392"/>
      </c:lineChart>
      <c:catAx>
        <c:axId val="634892000"/>
        <c:scaling>
          <c:orientation val="minMax"/>
        </c:scaling>
        <c:delete val="0"/>
        <c:axPos val="b"/>
        <c:numFmt formatCode="0_)" sourceLinked="1"/>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634892392"/>
        <c:crosses val="autoZero"/>
        <c:auto val="1"/>
        <c:lblAlgn val="ctr"/>
        <c:lblOffset val="100"/>
        <c:tickLblSkip val="1"/>
        <c:tickMarkSkip val="1"/>
        <c:noMultiLvlLbl val="0"/>
      </c:catAx>
      <c:valAx>
        <c:axId val="634892392"/>
        <c:scaling>
          <c:orientation val="minMax"/>
          <c:max val="1900"/>
          <c:min val="1400"/>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34892000"/>
        <c:crosses val="autoZero"/>
        <c:crossBetween val="between"/>
        <c:majorUnit val="100"/>
      </c:valAx>
      <c:spPr>
        <a:solidFill>
          <a:srgbClr val="FFFFFF"/>
        </a:solid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7859662</xdr:colOff>
      <xdr:row>5</xdr:row>
      <xdr:rowOff>575733</xdr:rowOff>
    </xdr:from>
    <xdr:to>
      <xdr:col>3</xdr:col>
      <xdr:colOff>8544594</xdr:colOff>
      <xdr:row>8</xdr:row>
      <xdr:rowOff>123985</xdr:rowOff>
    </xdr:to>
    <xdr:pic>
      <xdr:nvPicPr>
        <xdr:cNvPr id="3" name="Picture 2">
          <a:extLst>
            <a:ext uri="{FF2B5EF4-FFF2-40B4-BE49-F238E27FC236}">
              <a16:creationId xmlns:a16="http://schemas.microsoft.com/office/drawing/2014/main" id="{00000000-0008-0000-0000-000003000000}"/>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08129" y="1515533"/>
          <a:ext cx="678809" cy="5496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10622</xdr:colOff>
      <xdr:row>936</xdr:row>
      <xdr:rowOff>33872</xdr:rowOff>
    </xdr:from>
    <xdr:to>
      <xdr:col>2</xdr:col>
      <xdr:colOff>10622</xdr:colOff>
      <xdr:row>943</xdr:row>
      <xdr:rowOff>518</xdr:rowOff>
    </xdr:to>
    <xdr:sp macro="" textlink="">
      <xdr:nvSpPr>
        <xdr:cNvPr id="2" name="TextBox 1">
          <a:extLst>
            <a:ext uri="{FF2B5EF4-FFF2-40B4-BE49-F238E27FC236}">
              <a16:creationId xmlns:a16="http://schemas.microsoft.com/office/drawing/2014/main" id="{56E98DB5-AE64-458C-8B5F-839C511704F5}"/>
            </a:ext>
          </a:extLst>
        </xdr:cNvPr>
        <xdr:cNvSpPr txBox="1"/>
      </xdr:nvSpPr>
      <xdr:spPr>
        <a:xfrm>
          <a:off x="1725122" y="155700947"/>
          <a:ext cx="0" cy="1452546"/>
        </a:xfrm>
        <a:prstGeom prst="rect">
          <a:avLst/>
        </a:prstGeom>
        <a:solidFill>
          <a:srgbClr val="A9D18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i="0" u="none" strike="noStrike">
              <a:solidFill>
                <a:schemeClr val="dk1"/>
              </a:solidFill>
              <a:effectLst/>
              <a:latin typeface="Arial" panose="020B0604020202020204" pitchFamily="34" charset="0"/>
              <a:ea typeface="+mn-ea"/>
              <a:cs typeface="Arial" panose="020B0604020202020204" pitchFamily="34" charset="0"/>
            </a:rPr>
            <a:t>Method Applied:</a:t>
          </a:r>
        </a:p>
        <a:p>
          <a:pPr algn="l"/>
          <a:r>
            <a:rPr lang="en-US" sz="1000" b="0" i="0" u="none" strike="noStrike">
              <a:solidFill>
                <a:schemeClr val="dk1"/>
              </a:solidFill>
              <a:effectLst/>
              <a:latin typeface="Arial" panose="020B0604020202020204" pitchFamily="34" charset="0"/>
              <a:ea typeface="+mn-ea"/>
              <a:cs typeface="Arial" panose="020B0604020202020204" pitchFamily="34" charset="0"/>
            </a:rPr>
            <a:t>D,</a:t>
          </a:r>
          <a:r>
            <a:rPr lang="en-US" sz="1000" b="0">
              <a:latin typeface="Arial" panose="020B0604020202020204" pitchFamily="34" charset="0"/>
              <a:cs typeface="Arial" panose="020B0604020202020204" pitchFamily="34" charset="0"/>
            </a:rPr>
            <a:t> </a:t>
          </a:r>
          <a:r>
            <a:rPr lang="en-US" sz="1000" b="0" i="0" u="none" strike="noStrike">
              <a:solidFill>
                <a:schemeClr val="dk1"/>
              </a:solidFill>
              <a:effectLst/>
              <a:latin typeface="Arial" panose="020B0604020202020204" pitchFamily="34" charset="0"/>
              <a:ea typeface="+mn-ea"/>
              <a:cs typeface="Arial" panose="020B0604020202020204" pitchFamily="34" charset="0"/>
            </a:rPr>
            <a:t>RA,</a:t>
          </a:r>
          <a:r>
            <a:rPr lang="en-US" sz="1000" b="0">
              <a:latin typeface="Arial" panose="020B0604020202020204" pitchFamily="34" charset="0"/>
              <a:cs typeface="Arial" panose="020B0604020202020204" pitchFamily="34" charset="0"/>
            </a:rPr>
            <a:t> </a:t>
          </a:r>
          <a:r>
            <a:rPr lang="en-US" sz="1000" b="0" i="0" u="none" strike="noStrike">
              <a:solidFill>
                <a:schemeClr val="dk1"/>
              </a:solidFill>
              <a:effectLst/>
              <a:latin typeface="Arial" panose="020B0604020202020204" pitchFamily="34" charset="0"/>
              <a:ea typeface="+mn-ea"/>
              <a:cs typeface="Arial" panose="020B0604020202020204" pitchFamily="34" charset="0"/>
            </a:rPr>
            <a:t>T1,</a:t>
          </a:r>
          <a:r>
            <a:rPr lang="en-US" sz="1000" b="0">
              <a:latin typeface="Arial" panose="020B0604020202020204" pitchFamily="34" charset="0"/>
              <a:cs typeface="Arial" panose="020B0604020202020204" pitchFamily="34" charset="0"/>
            </a:rPr>
            <a:t> </a:t>
          </a:r>
          <a:r>
            <a:rPr lang="en-US" sz="1000" b="0" i="0" u="none" strike="noStrike">
              <a:solidFill>
                <a:schemeClr val="dk1"/>
              </a:solidFill>
              <a:effectLst/>
              <a:latin typeface="Arial" panose="020B0604020202020204" pitchFamily="34" charset="0"/>
              <a:ea typeface="+mn-ea"/>
              <a:cs typeface="Arial" panose="020B0604020202020204" pitchFamily="34" charset="0"/>
            </a:rPr>
            <a:t>T1a, T1b, T1c,</a:t>
          </a:r>
          <a:r>
            <a:rPr lang="en-US" sz="1000" b="0">
              <a:latin typeface="Arial" panose="020B0604020202020204" pitchFamily="34" charset="0"/>
              <a:cs typeface="Arial" panose="020B0604020202020204" pitchFamily="34" charset="0"/>
            </a:rPr>
            <a:t> </a:t>
          </a:r>
          <a:r>
            <a:rPr lang="en-US" sz="1000" b="0" i="0" u="none" strike="noStrike">
              <a:solidFill>
                <a:schemeClr val="dk1"/>
              </a:solidFill>
              <a:effectLst/>
              <a:latin typeface="Arial" panose="020B0604020202020204" pitchFamily="34" charset="0"/>
              <a:ea typeface="+mn-ea"/>
              <a:cs typeface="Arial" panose="020B0604020202020204" pitchFamily="34" charset="0"/>
            </a:rPr>
            <a:t>T2,</a:t>
          </a:r>
          <a:r>
            <a:rPr lang="en-US" sz="1000" b="0">
              <a:latin typeface="Arial" panose="020B0604020202020204" pitchFamily="34" charset="0"/>
              <a:cs typeface="Arial" panose="020B0604020202020204" pitchFamily="34" charset="0"/>
            </a:rPr>
            <a:t> </a:t>
          </a:r>
          <a:r>
            <a:rPr lang="en-US" sz="1000" b="0" i="0" u="none" strike="noStrike">
              <a:solidFill>
                <a:schemeClr val="dk1"/>
              </a:solidFill>
              <a:effectLst/>
              <a:latin typeface="Arial" panose="020B0604020202020204" pitchFamily="34" charset="0"/>
              <a:ea typeface="+mn-ea"/>
              <a:cs typeface="Arial" panose="020B0604020202020204" pitchFamily="34" charset="0"/>
            </a:rPr>
            <a:t>T3,</a:t>
          </a:r>
          <a:r>
            <a:rPr lang="en-US" sz="1000" b="0">
              <a:latin typeface="Arial" panose="020B0604020202020204" pitchFamily="34" charset="0"/>
              <a:cs typeface="Arial" panose="020B0604020202020204" pitchFamily="34" charset="0"/>
            </a:rPr>
            <a:t> </a:t>
          </a:r>
          <a:r>
            <a:rPr lang="en-US" sz="1000" b="0" i="0" u="none" strike="noStrike">
              <a:solidFill>
                <a:schemeClr val="dk1"/>
              </a:solidFill>
              <a:effectLst/>
              <a:latin typeface="Arial" panose="020B0604020202020204" pitchFamily="34" charset="0"/>
              <a:ea typeface="+mn-ea"/>
              <a:cs typeface="Arial" panose="020B0604020202020204" pitchFamily="34" charset="0"/>
            </a:rPr>
            <a:t>CR,</a:t>
          </a:r>
          <a:r>
            <a:rPr lang="en-US" sz="1000" b="0">
              <a:latin typeface="Arial" panose="020B0604020202020204" pitchFamily="34" charset="0"/>
              <a:cs typeface="Arial" panose="020B0604020202020204" pitchFamily="34" charset="0"/>
            </a:rPr>
            <a:t> </a:t>
          </a:r>
          <a:r>
            <a:rPr lang="en-US" sz="1000" b="0" i="0" u="none" strike="noStrike">
              <a:solidFill>
                <a:schemeClr val="dk1"/>
              </a:solidFill>
              <a:effectLst/>
              <a:latin typeface="Arial" panose="020B0604020202020204" pitchFamily="34" charset="0"/>
              <a:ea typeface="+mn-ea"/>
              <a:cs typeface="Arial" panose="020B0604020202020204" pitchFamily="34" charset="0"/>
            </a:rPr>
            <a:t>CS,</a:t>
          </a:r>
          <a:r>
            <a:rPr lang="en-US" sz="1000" b="0">
              <a:latin typeface="Arial" panose="020B0604020202020204" pitchFamily="34" charset="0"/>
              <a:cs typeface="Arial" panose="020B0604020202020204" pitchFamily="34" charset="0"/>
            </a:rPr>
            <a:t> </a:t>
          </a:r>
          <a:r>
            <a:rPr lang="en-US" sz="1000" b="0" i="0" u="none" strike="noStrike">
              <a:solidFill>
                <a:schemeClr val="dk1"/>
              </a:solidFill>
              <a:effectLst/>
              <a:latin typeface="Arial" panose="020B0604020202020204" pitchFamily="34" charset="0"/>
              <a:ea typeface="+mn-ea"/>
              <a:cs typeface="Arial" panose="020B0604020202020204" pitchFamily="34" charset="0"/>
            </a:rPr>
            <a:t>M,</a:t>
          </a:r>
          <a:r>
            <a:rPr lang="en-US" sz="1000" b="0">
              <a:latin typeface="Arial" panose="020B0604020202020204" pitchFamily="34" charset="0"/>
              <a:cs typeface="Arial" panose="020B0604020202020204" pitchFamily="34" charset="0"/>
            </a:rPr>
            <a:t> </a:t>
          </a:r>
          <a:r>
            <a:rPr lang="en-US" sz="1000" b="0" i="0" u="none" strike="noStrike">
              <a:solidFill>
                <a:schemeClr val="dk1"/>
              </a:solidFill>
              <a:effectLst/>
              <a:latin typeface="Arial" panose="020B0604020202020204" pitchFamily="34" charset="0"/>
              <a:ea typeface="+mn-ea"/>
              <a:cs typeface="Arial" panose="020B0604020202020204" pitchFamily="34" charset="0"/>
            </a:rPr>
            <a:t>OTH</a:t>
          </a:r>
          <a:r>
            <a:rPr lang="en-US" sz="1000" b="0">
              <a:latin typeface="Arial" panose="020B0604020202020204" pitchFamily="34" charset="0"/>
              <a:cs typeface="Arial" panose="020B0604020202020204" pitchFamily="34" charset="0"/>
            </a:rPr>
            <a:t> </a:t>
          </a:r>
        </a:p>
        <a:p>
          <a:endParaRPr lang="en-US" sz="1000">
            <a:effectLst/>
            <a:latin typeface="Arial" panose="020B0604020202020204" pitchFamily="34" charset="0"/>
            <a:cs typeface="Arial" panose="020B0604020202020204" pitchFamily="34" charset="0"/>
          </a:endParaRPr>
        </a:p>
      </xdr:txBody>
    </xdr:sp>
    <xdr:clientData/>
  </xdr:twoCellAnchor>
  <xdr:twoCellAnchor>
    <xdr:from>
      <xdr:col>1</xdr:col>
      <xdr:colOff>0</xdr:colOff>
      <xdr:row>11</xdr:row>
      <xdr:rowOff>0</xdr:rowOff>
    </xdr:from>
    <xdr:to>
      <xdr:col>14</xdr:col>
      <xdr:colOff>742600</xdr:colOff>
      <xdr:row>12</xdr:row>
      <xdr:rowOff>7937</xdr:rowOff>
    </xdr:to>
    <xdr:sp macro="" textlink="">
      <xdr:nvSpPr>
        <xdr:cNvPr id="3" name="TextBox 2">
          <a:extLst>
            <a:ext uri="{FF2B5EF4-FFF2-40B4-BE49-F238E27FC236}">
              <a16:creationId xmlns:a16="http://schemas.microsoft.com/office/drawing/2014/main" id="{76278C97-A5AA-47C7-AE51-06D67CB60A27}"/>
            </a:ext>
          </a:extLst>
        </xdr:cNvPr>
        <xdr:cNvSpPr txBox="1"/>
      </xdr:nvSpPr>
      <xdr:spPr>
        <a:xfrm>
          <a:off x="285750" y="1962150"/>
          <a:ext cx="14268100" cy="2513012"/>
        </a:xfrm>
        <a:prstGeom prst="rect">
          <a:avLst/>
        </a:prstGeom>
        <a:solidFill>
          <a:srgbClr val="A9D18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spcBef>
              <a:spcPts val="0"/>
            </a:spcBef>
            <a:spcAft>
              <a:spcPts val="0"/>
            </a:spcAft>
          </a:pPr>
          <a:r>
            <a:rPr lang="en-US" sz="1100" b="1">
              <a:effectLst/>
              <a:latin typeface="Arial" panose="020B0604020202020204" pitchFamily="34" charset="0"/>
              <a:ea typeface="Calibri" panose="020F0502020204030204" pitchFamily="34" charset="0"/>
            </a:rPr>
            <a:t>Please review and update time series data and explanations:</a:t>
          </a:r>
          <a:r>
            <a:rPr lang="en-US" sz="1100">
              <a:effectLst/>
              <a:latin typeface="Arial" panose="020B0604020202020204" pitchFamily="34" charset="0"/>
              <a:ea typeface="Calibri" panose="020F0502020204030204" pitchFamily="34" charset="0"/>
            </a:rPr>
            <a:t> </a:t>
          </a:r>
          <a:endParaRPr lang="en-US" sz="1100">
            <a:effectLst/>
            <a:latin typeface="Calibri" panose="020F0502020204030204" pitchFamily="34" charset="0"/>
            <a:ea typeface="Calibri" panose="020F0502020204030204" pitchFamily="34" charset="0"/>
          </a:endParaRPr>
        </a:p>
        <a:p>
          <a:pPr marL="342900" marR="0" lvl="0" indent="-342900">
            <a:spcBef>
              <a:spcPts val="0"/>
            </a:spcBef>
            <a:spcAft>
              <a:spcPts val="0"/>
            </a:spcAft>
            <a:buFont typeface="Wingdings" panose="05000000000000000000" pitchFamily="2" charset="2"/>
            <a:buChar char=""/>
            <a:tabLst>
              <a:tab pos="457200" algn="l"/>
            </a:tabLst>
          </a:pPr>
          <a:r>
            <a:rPr lang="en-US" sz="1100">
              <a:effectLst/>
              <a:latin typeface="Arial" panose="020B0604020202020204" pitchFamily="34" charset="0"/>
              <a:ea typeface="Times New Roman" panose="02020603050405020304" pitchFamily="18" charset="0"/>
            </a:rPr>
            <a:t>Add column for new year (i.e., latest year of time series) by dragging over existing FINAL column from previous Inventory </a:t>
          </a:r>
          <a:endParaRPr lang="en-US" sz="1100">
            <a:effectLst/>
            <a:latin typeface="Calibri" panose="020F0502020204030204" pitchFamily="34" charset="0"/>
            <a:ea typeface="Calibri" panose="020F0502020204030204" pitchFamily="34" charset="0"/>
          </a:endParaRPr>
        </a:p>
        <a:p>
          <a:pPr marL="342900" marR="0" lvl="0" indent="-342900">
            <a:spcBef>
              <a:spcPts val="0"/>
            </a:spcBef>
            <a:spcAft>
              <a:spcPts val="0"/>
            </a:spcAft>
            <a:buFont typeface="Wingdings" panose="05000000000000000000" pitchFamily="2" charset="2"/>
            <a:buChar char=""/>
            <a:tabLst>
              <a:tab pos="457200" algn="l"/>
            </a:tabLst>
          </a:pPr>
          <a:r>
            <a:rPr lang="en-US" sz="1100">
              <a:effectLst/>
              <a:latin typeface="Arial" panose="020B0604020202020204" pitchFamily="34" charset="0"/>
              <a:ea typeface="Times New Roman" panose="02020603050405020304" pitchFamily="18" charset="0"/>
            </a:rPr>
            <a:t>Confirm all years of time series, including new year (i.e. latest year of time series), are included.</a:t>
          </a:r>
          <a:endParaRPr lang="en-US" sz="1100">
            <a:effectLst/>
            <a:latin typeface="Calibri" panose="020F0502020204030204" pitchFamily="34" charset="0"/>
            <a:ea typeface="Calibri" panose="020F0502020204030204" pitchFamily="34" charset="0"/>
          </a:endParaRPr>
        </a:p>
        <a:p>
          <a:pPr marL="342900" marR="0" lvl="0" indent="-342900">
            <a:spcBef>
              <a:spcPts val="0"/>
            </a:spcBef>
            <a:spcAft>
              <a:spcPts val="0"/>
            </a:spcAft>
            <a:buFont typeface="Wingdings" panose="05000000000000000000" pitchFamily="2" charset="2"/>
            <a:buChar char=""/>
            <a:tabLst>
              <a:tab pos="457200" algn="l"/>
            </a:tabLst>
          </a:pPr>
          <a:r>
            <a:rPr lang="en-US" sz="1100">
              <a:effectLst/>
              <a:latin typeface="Arial" panose="020B0604020202020204" pitchFamily="34" charset="0"/>
              <a:ea typeface="Times New Roman" panose="02020603050405020304" pitchFamily="18" charset="0"/>
            </a:rPr>
            <a:t>Review formula links across time series for each source and sink category data element (i.e. emissions, activity data, etc.), updating links if relevant data has moved.</a:t>
          </a:r>
          <a:endParaRPr lang="en-US" sz="1100">
            <a:effectLst/>
            <a:latin typeface="Calibri" panose="020F0502020204030204" pitchFamily="34" charset="0"/>
            <a:ea typeface="Calibri" panose="020F0502020204030204" pitchFamily="34" charset="0"/>
          </a:endParaRPr>
        </a:p>
        <a:p>
          <a:pPr marL="342900" marR="0" lvl="0" indent="-342900">
            <a:spcBef>
              <a:spcPts val="0"/>
            </a:spcBef>
            <a:spcAft>
              <a:spcPts val="0"/>
            </a:spcAft>
            <a:buFont typeface="Wingdings" panose="05000000000000000000" pitchFamily="2" charset="2"/>
            <a:buChar char=""/>
            <a:tabLst>
              <a:tab pos="457200" algn="l"/>
            </a:tabLst>
          </a:pPr>
          <a:r>
            <a:rPr lang="en-US" sz="1100">
              <a:effectLst/>
              <a:latin typeface="Arial" panose="020B0604020202020204" pitchFamily="34" charset="0"/>
              <a:ea typeface="Times New Roman" panose="02020603050405020304" pitchFamily="18" charset="0"/>
            </a:rPr>
            <a:t>Add links to data for new year (i.e. including links to emissions, activity data, other data) or dragging cell formula from previous year if data location is unchanged, as applicable.</a:t>
          </a:r>
          <a:endParaRPr lang="en-US" sz="1100">
            <a:effectLst/>
            <a:latin typeface="Calibri" panose="020F0502020204030204" pitchFamily="34" charset="0"/>
            <a:ea typeface="Calibri" panose="020F0502020204030204" pitchFamily="34" charset="0"/>
          </a:endParaRPr>
        </a:p>
        <a:p>
          <a:pPr marL="342900" marR="0" lvl="0" indent="-342900">
            <a:spcBef>
              <a:spcPts val="0"/>
            </a:spcBef>
            <a:spcAft>
              <a:spcPts val="0"/>
            </a:spcAft>
            <a:buFont typeface="Wingdings" panose="05000000000000000000" pitchFamily="2" charset="2"/>
            <a:buChar char=""/>
            <a:tabLst>
              <a:tab pos="457200" algn="l"/>
            </a:tabLst>
          </a:pPr>
          <a:r>
            <a:rPr lang="en-US" sz="1100">
              <a:effectLst/>
              <a:latin typeface="Arial" panose="020B0604020202020204" pitchFamily="34" charset="0"/>
              <a:ea typeface="Times New Roman" panose="02020603050405020304" pitchFamily="18" charset="0"/>
            </a:rPr>
            <a:t>Select appropriate notation key for source or sink categories included elsewhere, not estimated due to significance, lack of data, or excluded for other reasons (i.e., confidentiality).  Refer below to Quick Reference section Table 1 (below steps 1-3) for available notation keys and definitions. Notation keys can vary across time series. </a:t>
          </a:r>
          <a:endParaRPr lang="en-US" sz="1100">
            <a:effectLst/>
            <a:latin typeface="Calibri" panose="020F0502020204030204" pitchFamily="34" charset="0"/>
            <a:ea typeface="Calibri" panose="020F0502020204030204" pitchFamily="34" charset="0"/>
          </a:endParaRPr>
        </a:p>
        <a:p>
          <a:pPr marL="342900" marR="0" lvl="0" indent="-342900">
            <a:spcBef>
              <a:spcPts val="0"/>
            </a:spcBef>
            <a:spcAft>
              <a:spcPts val="0"/>
            </a:spcAft>
            <a:buFont typeface="Wingdings" panose="05000000000000000000" pitchFamily="2" charset="2"/>
            <a:buChar char=""/>
            <a:tabLst>
              <a:tab pos="457200" algn="l"/>
            </a:tabLst>
          </a:pPr>
          <a:r>
            <a:rPr lang="en-US" sz="1100">
              <a:effectLst/>
              <a:latin typeface="Arial" panose="020B0604020202020204" pitchFamily="34" charset="0"/>
              <a:ea typeface="Times New Roman" panose="02020603050405020304" pitchFamily="18" charset="0"/>
            </a:rPr>
            <a:t>Explanations are required for ANY notation key use in this step. In the “Documentation Box” rows within the table, explain use of notations keys, or include any supplemental information relevant to how data is reported for reviewers of CRF tables.  Information entered in documentation box row of this tab will ensure explanations appear in documentation boxes of the CRF table generated with these inputs. The explanations should reference the relevant source/sink category number and name/gas (e.g., Note: 5.D.2 Industrial Wastewater, CH4 emissions include….).  For NE and IE explanations to appear both in documentation box with relevant CRF table and CRF Table 9, you can enter information here in addition to NE and IE columns described next.</a:t>
          </a:r>
          <a:endParaRPr lang="en-US" sz="1100">
            <a:effectLst/>
            <a:latin typeface="Calibri" panose="020F0502020204030204" pitchFamily="34" charset="0"/>
            <a:ea typeface="Calibri" panose="020F0502020204030204" pitchFamily="34" charset="0"/>
          </a:endParaRPr>
        </a:p>
        <a:p>
          <a:pPr marL="342900" marR="0" lvl="0" indent="-342900">
            <a:spcBef>
              <a:spcPts val="0"/>
            </a:spcBef>
            <a:spcAft>
              <a:spcPts val="0"/>
            </a:spcAft>
            <a:buFont typeface="Wingdings" panose="05000000000000000000" pitchFamily="2" charset="2"/>
            <a:buChar char=""/>
            <a:tabLst>
              <a:tab pos="457200" algn="l"/>
            </a:tabLst>
          </a:pPr>
          <a:r>
            <a:rPr lang="en-US" sz="1100">
              <a:effectLst/>
              <a:latin typeface="Arial" panose="020B0604020202020204" pitchFamily="34" charset="0"/>
              <a:ea typeface="Times New Roman" panose="02020603050405020304" pitchFamily="18" charset="0"/>
            </a:rPr>
            <a:t>For </a:t>
          </a:r>
          <a:r>
            <a:rPr lang="en-US" sz="1100" u="sng">
              <a:effectLst/>
              <a:latin typeface="Arial" panose="020B0604020202020204" pitchFamily="34" charset="0"/>
              <a:ea typeface="Times New Roman" panose="02020603050405020304" pitchFamily="18" charset="0"/>
            </a:rPr>
            <a:t>NEs and IE, also</a:t>
          </a:r>
          <a:r>
            <a:rPr lang="en-US" sz="1100">
              <a:effectLst/>
              <a:latin typeface="Arial" panose="020B0604020202020204" pitchFamily="34" charset="0"/>
              <a:ea typeface="Times New Roman" panose="02020603050405020304" pitchFamily="18" charset="0"/>
            </a:rPr>
            <a:t> enter explanations in designated columns next to final year in the time series as noted to populate CRF Table 9. </a:t>
          </a:r>
          <a:endParaRPr lang="en-US" sz="1100">
            <a:effectLst/>
            <a:latin typeface="Calibri" panose="020F0502020204030204" pitchFamily="34" charset="0"/>
            <a:ea typeface="Calibri" panose="020F0502020204030204" pitchFamily="34" charset="0"/>
          </a:endParaRPr>
        </a:p>
        <a:p>
          <a:pPr marL="0" marR="0">
            <a:spcBef>
              <a:spcPts val="0"/>
            </a:spcBef>
            <a:spcAft>
              <a:spcPts val="0"/>
            </a:spcAft>
          </a:pPr>
          <a:r>
            <a:rPr lang="en-US" sz="1100" b="1">
              <a:effectLst/>
              <a:latin typeface="Arial" panose="020B0604020202020204" pitchFamily="34" charset="0"/>
              <a:ea typeface="Calibri" panose="020F0502020204030204" pitchFamily="34" charset="0"/>
            </a:rPr>
            <a:t> </a:t>
          </a:r>
          <a:endParaRPr lang="en-US" sz="1100">
            <a:effectLst/>
            <a:latin typeface="Calibri" panose="020F0502020204030204" pitchFamily="34" charset="0"/>
            <a:ea typeface="Calibri" panose="020F0502020204030204" pitchFamily="34" charset="0"/>
          </a:endParaRPr>
        </a:p>
        <a:p>
          <a:r>
            <a:rPr lang="en-US" sz="1100" b="1">
              <a:effectLst/>
              <a:latin typeface="Arial" panose="020B0604020202020204" pitchFamily="34" charset="0"/>
              <a:ea typeface="Calibri" panose="020F0502020204030204" pitchFamily="34" charset="0"/>
            </a:rPr>
            <a:t>Please do not make any modifications to this tab beyond the updates listed above.</a:t>
          </a:r>
          <a:endParaRPr lang="en-US" sz="105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twoCellAnchor>
    <xdr:from>
      <xdr:col>1</xdr:col>
      <xdr:colOff>0</xdr:colOff>
      <xdr:row>936</xdr:row>
      <xdr:rowOff>0</xdr:rowOff>
    </xdr:from>
    <xdr:to>
      <xdr:col>13</xdr:col>
      <xdr:colOff>620877</xdr:colOff>
      <xdr:row>942</xdr:row>
      <xdr:rowOff>841375</xdr:rowOff>
    </xdr:to>
    <xdr:sp macro="" textlink="">
      <xdr:nvSpPr>
        <xdr:cNvPr id="4" name="TextBox 3">
          <a:extLst>
            <a:ext uri="{FF2B5EF4-FFF2-40B4-BE49-F238E27FC236}">
              <a16:creationId xmlns:a16="http://schemas.microsoft.com/office/drawing/2014/main" id="{1DE0611A-E1DC-401E-BD03-D078031B8774}"/>
            </a:ext>
          </a:extLst>
        </xdr:cNvPr>
        <xdr:cNvSpPr txBox="1"/>
      </xdr:nvSpPr>
      <xdr:spPr>
        <a:xfrm>
          <a:off x="285750" y="155667075"/>
          <a:ext cx="13231977" cy="1470025"/>
        </a:xfrm>
        <a:prstGeom prst="rect">
          <a:avLst/>
        </a:prstGeom>
        <a:solidFill>
          <a:srgbClr val="A9D18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ysClr val="windowText" lastClr="000000"/>
              </a:solidFill>
              <a:effectLst/>
              <a:latin typeface="Arial" panose="020B0604020202020204" pitchFamily="34" charset="0"/>
              <a:ea typeface="+mn-ea"/>
              <a:cs typeface="Arial" panose="020B0604020202020204" pitchFamily="34" charset="0"/>
            </a:rPr>
            <a:t>Review and update the Notation</a:t>
          </a:r>
          <a:r>
            <a:rPr lang="en-US" sz="1100" b="0" baseline="0">
              <a:solidFill>
                <a:sysClr val="windowText" lastClr="000000"/>
              </a:solidFill>
              <a:effectLst/>
              <a:latin typeface="Arial" panose="020B0604020202020204" pitchFamily="34" charset="0"/>
              <a:ea typeface="+mn-ea"/>
              <a:cs typeface="Arial" panose="020B0604020202020204" pitchFamily="34" charset="0"/>
            </a:rPr>
            <a:t> Keys to indicate the types of </a:t>
          </a:r>
          <a:r>
            <a:rPr lang="en-US" sz="1100" b="0">
              <a:solidFill>
                <a:sysClr val="windowText" lastClr="000000"/>
              </a:solidFill>
              <a:effectLst/>
              <a:latin typeface="Arial" panose="020B0604020202020204" pitchFamily="34" charset="0"/>
              <a:ea typeface="+mn-ea"/>
              <a:cs typeface="Arial" panose="020B0604020202020204" pitchFamily="34" charset="0"/>
            </a:rPr>
            <a:t>Methods and Emission Factors used to estimate emissions for these categories in table below,</a:t>
          </a:r>
          <a:r>
            <a:rPr lang="en-US" sz="1100" b="0" baseline="0">
              <a:solidFill>
                <a:sysClr val="windowText" lastClr="000000"/>
              </a:solidFill>
              <a:effectLst/>
              <a:latin typeface="Arial" panose="020B0604020202020204" pitchFamily="34" charset="0"/>
              <a:ea typeface="+mn-ea"/>
              <a:cs typeface="Arial" panose="020B0604020202020204" pitchFamily="34" charset="0"/>
            </a:rPr>
            <a:t> in particular if you have made methodological improvements or refinements</a:t>
          </a:r>
          <a:r>
            <a:rPr lang="en-US" sz="1100" b="0">
              <a:solidFill>
                <a:sysClr val="windowText" lastClr="000000"/>
              </a:solidFill>
              <a:effectLst/>
              <a:latin typeface="Arial" panose="020B0604020202020204" pitchFamily="34" charset="0"/>
              <a:ea typeface="+mn-ea"/>
              <a:cs typeface="Arial" panose="020B0604020202020204" pitchFamily="34" charset="0"/>
            </a:rPr>
            <a:t>. Refer to Quick Reference section </a:t>
          </a:r>
          <a:r>
            <a:rPr lang="en-US" sz="1100" b="1">
              <a:solidFill>
                <a:sysClr val="windowText" lastClr="000000"/>
              </a:solidFill>
              <a:effectLst/>
              <a:latin typeface="Arial" panose="020B0604020202020204" pitchFamily="34" charset="0"/>
              <a:ea typeface="+mn-ea"/>
              <a:cs typeface="Arial" panose="020B0604020202020204" pitchFamily="34" charset="0"/>
            </a:rPr>
            <a:t>Table 2 </a:t>
          </a:r>
          <a:r>
            <a:rPr lang="en-US" sz="1100" b="0">
              <a:solidFill>
                <a:sysClr val="windowText" lastClr="000000"/>
              </a:solidFill>
              <a:effectLst/>
              <a:latin typeface="Arial" panose="020B0604020202020204" pitchFamily="34" charset="0"/>
              <a:ea typeface="+mn-ea"/>
              <a:cs typeface="Arial" panose="020B0604020202020204" pitchFamily="34" charset="0"/>
            </a:rPr>
            <a:t>below for definitions of each key.  This</a:t>
          </a:r>
          <a:r>
            <a:rPr lang="en-US" sz="1100" b="0" baseline="0">
              <a:solidFill>
                <a:sysClr val="windowText" lastClr="000000"/>
              </a:solidFill>
              <a:effectLst/>
              <a:latin typeface="Arial" panose="020B0604020202020204" pitchFamily="34" charset="0"/>
              <a:ea typeface="+mn-ea"/>
              <a:cs typeface="Arial" panose="020B0604020202020204" pitchFamily="34" charset="0"/>
            </a:rPr>
            <a:t> information </a:t>
          </a:r>
          <a:r>
            <a:rPr lang="en-US" sz="1100" b="0">
              <a:solidFill>
                <a:sysClr val="windowText" lastClr="000000"/>
              </a:solidFill>
              <a:effectLst/>
              <a:latin typeface="Arial" panose="020B0604020202020204" pitchFamily="34" charset="0"/>
              <a:ea typeface="+mn-ea"/>
              <a:cs typeface="Arial" panose="020B0604020202020204" pitchFamily="34" charset="0"/>
            </a:rPr>
            <a:t>appears in CRF</a:t>
          </a:r>
          <a:r>
            <a:rPr lang="en-US" sz="1100" b="0" baseline="0">
              <a:solidFill>
                <a:sysClr val="windowText" lastClr="000000"/>
              </a:solidFill>
              <a:effectLst/>
              <a:latin typeface="Arial" panose="020B0604020202020204" pitchFamily="34" charset="0"/>
              <a:ea typeface="+mn-ea"/>
              <a:cs typeface="Arial" panose="020B0604020202020204" pitchFamily="34" charset="0"/>
            </a:rPr>
            <a:t> </a:t>
          </a:r>
          <a:r>
            <a:rPr lang="en-US" sz="1100" b="0">
              <a:solidFill>
                <a:sysClr val="windowText" lastClr="000000"/>
              </a:solidFill>
              <a:effectLst/>
              <a:latin typeface="Arial" panose="020B0604020202020204" pitchFamily="34" charset="0"/>
              <a:ea typeface="+mn-ea"/>
              <a:cs typeface="Arial" panose="020B0604020202020204" pitchFamily="34" charset="0"/>
            </a:rPr>
            <a:t>Summary Table 3s</a:t>
          </a:r>
          <a:r>
            <a:rPr lang="en-US" sz="1100" b="0" baseline="0">
              <a:solidFill>
                <a:sysClr val="windowText" lastClr="000000"/>
              </a:solidFill>
              <a:effectLst/>
              <a:latin typeface="Arial" panose="020B0604020202020204" pitchFamily="34" charset="0"/>
              <a:ea typeface="+mn-ea"/>
              <a:cs typeface="Arial" panose="020B0604020202020204" pitchFamily="34" charset="0"/>
            </a:rPr>
            <a:t>1 and 3s2. </a:t>
          </a:r>
          <a:r>
            <a:rPr lang="en-US" sz="1100" b="0">
              <a:solidFill>
                <a:sysClr val="windowText" lastClr="000000"/>
              </a:solidFill>
              <a:effectLst/>
              <a:latin typeface="Arial" panose="020B0604020202020204" pitchFamily="34" charset="0"/>
              <a:ea typeface="+mn-ea"/>
              <a:cs typeface="Arial" panose="020B0604020202020204" pitchFamily="34" charset="0"/>
            </a:rPr>
            <a:t> </a:t>
          </a:r>
        </a:p>
        <a:p>
          <a:endParaRPr lang="en-US" sz="1100" b="0" baseline="0">
            <a:effectLst/>
            <a:latin typeface="Arial" panose="020B0604020202020204" pitchFamily="34" charset="0"/>
            <a:cs typeface="Arial" panose="020B0604020202020204" pitchFamily="34" charset="0"/>
          </a:endParaRPr>
        </a:p>
        <a:p>
          <a:r>
            <a:rPr lang="en-US" sz="1100" b="1">
              <a:effectLst/>
              <a:latin typeface="Arial" panose="020B0604020202020204" pitchFamily="34" charset="0"/>
              <a:cs typeface="Arial" panose="020B0604020202020204" pitchFamily="34" charset="0"/>
            </a:rPr>
            <a:t>Available Notation Keys to indicate method applied and emission factor used</a:t>
          </a:r>
        </a:p>
        <a:p>
          <a:r>
            <a:rPr lang="en-US" sz="1100" b="0">
              <a:effectLst/>
              <a:latin typeface="Arial" panose="020B0604020202020204" pitchFamily="34" charset="0"/>
              <a:cs typeface="Arial" panose="020B0604020202020204" pitchFamily="34" charset="0"/>
            </a:rPr>
            <a:t>D, RA, T1, T1a, T1b, T1c, T2, T3, CR, CS, M, OTH </a:t>
          </a:r>
        </a:p>
        <a:p>
          <a:endParaRPr lang="en-US" sz="1100" b="0">
            <a:effectLst/>
            <a:latin typeface="Arial" panose="020B0604020202020204" pitchFamily="34" charset="0"/>
            <a:cs typeface="Arial" panose="020B0604020202020204" pitchFamily="34" charset="0"/>
          </a:endParaRPr>
        </a:p>
        <a:p>
          <a:r>
            <a:rPr lang="en-US" sz="1100" b="1">
              <a:effectLst/>
              <a:latin typeface="Arial" panose="020B0604020202020204" pitchFamily="34" charset="0"/>
              <a:cs typeface="Arial" panose="020B0604020202020204" pitchFamily="34" charset="0"/>
            </a:rPr>
            <a:t>Available Notation Keys to indicate Emission Factor Used: </a:t>
          </a:r>
        </a:p>
        <a:p>
          <a:r>
            <a:rPr lang="en-US" sz="1100" b="0">
              <a:effectLst/>
              <a:latin typeface="Arial" panose="020B0604020202020204" pitchFamily="34" charset="0"/>
              <a:cs typeface="Arial" panose="020B0604020202020204" pitchFamily="34" charset="0"/>
            </a:rPr>
            <a:t>D, CR, CS, PS, OTH, M </a:t>
          </a:r>
        </a:p>
        <a:p>
          <a:endParaRPr lang="en-US" sz="1000" b="0">
            <a:effectLst/>
            <a:latin typeface="Arial" panose="020B0604020202020204" pitchFamily="34" charset="0"/>
            <a:cs typeface="Arial" panose="020B0604020202020204" pitchFamily="34" charset="0"/>
          </a:endParaRPr>
        </a:p>
      </xdr:txBody>
    </xdr:sp>
    <xdr:clientData/>
  </xdr:twoCellAnchor>
  <xdr:twoCellAnchor>
    <xdr:from>
      <xdr:col>1</xdr:col>
      <xdr:colOff>0</xdr:colOff>
      <xdr:row>1272</xdr:row>
      <xdr:rowOff>0</xdr:rowOff>
    </xdr:from>
    <xdr:to>
      <xdr:col>10</xdr:col>
      <xdr:colOff>451303</xdr:colOff>
      <xdr:row>1272</xdr:row>
      <xdr:rowOff>925285</xdr:rowOff>
    </xdr:to>
    <xdr:sp macro="" textlink="">
      <xdr:nvSpPr>
        <xdr:cNvPr id="5" name="TextBox 4">
          <a:extLst>
            <a:ext uri="{FF2B5EF4-FFF2-40B4-BE49-F238E27FC236}">
              <a16:creationId xmlns:a16="http://schemas.microsoft.com/office/drawing/2014/main" id="{5780C522-26F3-4502-8107-E1344B27F0FA}"/>
            </a:ext>
          </a:extLst>
        </xdr:cNvPr>
        <xdr:cNvSpPr txBox="1"/>
      </xdr:nvSpPr>
      <xdr:spPr>
        <a:xfrm>
          <a:off x="285750" y="211836000"/>
          <a:ext cx="10319203" cy="925285"/>
        </a:xfrm>
        <a:prstGeom prst="rect">
          <a:avLst/>
        </a:prstGeom>
        <a:solidFill>
          <a:srgbClr val="A9D18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effectLst/>
              <a:latin typeface="Arial" panose="020B0604020202020204" pitchFamily="34" charset="0"/>
              <a:cs typeface="Arial" panose="020B0604020202020204" pitchFamily="34" charset="0"/>
            </a:rPr>
            <a:t>Please provide any additional information on changes to year’s Inventory to ensure Step 1 and Step 2 data will generate complete and accurate CRF tables. Examples of relevant notes to include here flagging new categories added, and esp. if they are missing from Step 1 or 2 or need for documentation box rows that may be missing. </a:t>
          </a:r>
          <a:r>
            <a:rPr lang="en-US" sz="1100" b="0" u="sng">
              <a:effectLst/>
              <a:latin typeface="Arial" panose="020B0604020202020204" pitchFamily="34" charset="0"/>
              <a:cs typeface="Arial" panose="020B0604020202020204" pitchFamily="34" charset="0"/>
            </a:rPr>
            <a:t>NOTE:  Information provided in this section is not entered into CRF. It is solely used to work with source/sink lead to communicate/document updates to the cross-cutting inventory compilation team.  Documentation of explanations to methods or notation keys should be completed in Step 1 and Step 2.</a:t>
          </a:r>
        </a:p>
        <a:p>
          <a:endParaRPr lang="en-US" sz="1000" b="0">
            <a:effectLst/>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45</xdr:col>
      <xdr:colOff>502920</xdr:colOff>
      <xdr:row>22</xdr:row>
      <xdr:rowOff>121920</xdr:rowOff>
    </xdr:from>
    <xdr:to>
      <xdr:col>53</xdr:col>
      <xdr:colOff>274320</xdr:colOff>
      <xdr:row>41</xdr:row>
      <xdr:rowOff>144780</xdr:rowOff>
    </xdr:to>
    <xdr:graphicFrame macro="">
      <xdr:nvGraphicFramePr>
        <xdr:cNvPr id="7576997" name="Chart 15">
          <a:extLst>
            <a:ext uri="{FF2B5EF4-FFF2-40B4-BE49-F238E27FC236}">
              <a16:creationId xmlns:a16="http://schemas.microsoft.com/office/drawing/2014/main" id="{00000000-0008-0000-2C00-0000A59D7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457200</xdr:colOff>
      <xdr:row>42</xdr:row>
      <xdr:rowOff>45720</xdr:rowOff>
    </xdr:from>
    <xdr:to>
      <xdr:col>53</xdr:col>
      <xdr:colOff>205740</xdr:colOff>
      <xdr:row>62</xdr:row>
      <xdr:rowOff>76200</xdr:rowOff>
    </xdr:to>
    <xdr:graphicFrame macro="">
      <xdr:nvGraphicFramePr>
        <xdr:cNvPr id="7576998" name="Chart 21">
          <a:extLst>
            <a:ext uri="{FF2B5EF4-FFF2-40B4-BE49-F238E27FC236}">
              <a16:creationId xmlns:a16="http://schemas.microsoft.com/office/drawing/2014/main" id="{00000000-0008-0000-2C00-0000A69D7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53</xdr:col>
      <xdr:colOff>388620</xdr:colOff>
      <xdr:row>22</xdr:row>
      <xdr:rowOff>76200</xdr:rowOff>
    </xdr:from>
    <xdr:to>
      <xdr:col>62</xdr:col>
      <xdr:colOff>441960</xdr:colOff>
      <xdr:row>41</xdr:row>
      <xdr:rowOff>121920</xdr:rowOff>
    </xdr:to>
    <xdr:graphicFrame macro="">
      <xdr:nvGraphicFramePr>
        <xdr:cNvPr id="7576999" name="Chart 22">
          <a:extLst>
            <a:ext uri="{FF2B5EF4-FFF2-40B4-BE49-F238E27FC236}">
              <a16:creationId xmlns:a16="http://schemas.microsoft.com/office/drawing/2014/main" id="{00000000-0008-0000-2C00-0000A79D7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350520</xdr:colOff>
      <xdr:row>42</xdr:row>
      <xdr:rowOff>7620</xdr:rowOff>
    </xdr:from>
    <xdr:to>
      <xdr:col>63</xdr:col>
      <xdr:colOff>15240</xdr:colOff>
      <xdr:row>62</xdr:row>
      <xdr:rowOff>38100</xdr:rowOff>
    </xdr:to>
    <xdr:graphicFrame macro="">
      <xdr:nvGraphicFramePr>
        <xdr:cNvPr id="7577000" name="Chart 23">
          <a:extLst>
            <a:ext uri="{FF2B5EF4-FFF2-40B4-BE49-F238E27FC236}">
              <a16:creationId xmlns:a16="http://schemas.microsoft.com/office/drawing/2014/main" id="{00000000-0008-0000-2C00-0000A89D7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cfonline.sharepoint.com/Cmm/Forecast/FocstWeb_test/Files_for_IT_to_work/DESIGN/327084_te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mm\Forecast\FocstWeb_test\FOR%20AJREVIEW\PACKAGING\327034_te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27007_test.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I:\CCS\US%20GHG%20Inventory\1990-2022\Spreadsheets\PR\Stationary%20Calcs%2090-22_12_12_23_PR%20(2).xlsx" TargetMode="External"/><Relationship Id="rId1" Type="http://schemas.openxmlformats.org/officeDocument/2006/relationships/externalLinkPath" Target="Stationary%20Calcs%2090-22_12_12_23_PR%20(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K:\Energy%20Inventory\1990-2022\ER\CRF%20Backcasting\4%20Backcasted%20EPA%20GHGRP-Inventory%20CRF%20tables%202023_Summary_adj_3_15_23.xlsx" TargetMode="External"/><Relationship Id="rId1" Type="http://schemas.openxmlformats.org/officeDocument/2006/relationships/externalLinkPath" Target="file:///K:\Energy%20Inventory\1990-2022\ER\CRF%20Backcasting\4%20Backcasted%20EPA%20GHGRP-Inventory%20CRF%20tables%202023_Summary_adj_3_15_23.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K:\Energy%20Inventory\1990-2022\PR\Spreadsheets\Waste%20Incineration_90-22_12_12_23_PR.xlsx" TargetMode="External"/><Relationship Id="rId1" Type="http://schemas.openxmlformats.org/officeDocument/2006/relationships/externalLinkPath" Target="Waste%20Incineration_90-22_12_12_23_PR.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K:\Energy%20Inventory\1990-2022\PR\Spreadsheets\EIA_outputs_to_EPA%201990-2022_PR.xlsx" TargetMode="External"/><Relationship Id="rId1" Type="http://schemas.openxmlformats.org/officeDocument/2006/relationships/externalLinkPath" Target="file:///Z:\Common\Energy%20Inventory\1990-2022\PR\Spreadsheets\EIA_outputs_to_EPA%201990-2022_PR.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K:\Common\Energy%20Inventory\1990-2022\PR\Spreadsheets\Distillate_MoGas%20Adjustment%2090-22_PR.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K:\Energy%20Inventory\1990-2022\PR\Spreadsheets\International%20Bunker%20Fuels%2090-22_12_12_23_PR.xlsx" TargetMode="External"/><Relationship Id="rId1" Type="http://schemas.openxmlformats.org/officeDocument/2006/relationships/externalLinkPath" Target="International%20Bunker%20Fuels%2090-22_12_12_23_PR.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K:\Energy%20Inventory\1990-2022\PR\Spreadsheets\Data\EIA%20Inputs\Consolidated_MER_and_PET_Data_2022%20PR.xlsx" TargetMode="External"/><Relationship Id="rId1" Type="http://schemas.openxmlformats.org/officeDocument/2006/relationships/externalLinkPath" Target="file:///Z:\Common\Energy%20Inventory\1990-2022\PR\Spreadsheets\Data\EIA%20Inputs\Consolidated_MER_and_PET_Data_2022%20PR.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ansport%201990-2022_12_18_23.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K:\Energy%20Inventory\1990-2022\PR\Spreadsheets\Electric%20Vehicles%202022.xlsx" TargetMode="External"/><Relationship Id="rId1" Type="http://schemas.openxmlformats.org/officeDocument/2006/relationships/externalLinkPath" Target="file:///Z:\Common\Energy%20Inventory\1990-2022\PR\Spreadsheets\Electric%20Vehicles%202022.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K:\Energy%20Inventory\1990-2022\PR\Spreadsheets\Biomass90-22_12_12_23_PR.xlsx" TargetMode="External"/><Relationship Id="rId1" Type="http://schemas.openxmlformats.org/officeDocument/2006/relationships/externalLinkPath" Target="Biomass90-22_12_12_23_PR.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K:\Energy%20Inventory\1990-2022\PR\Spreadsheets\SNG%2090-22%2012_12_23_PR.xlsx" TargetMode="External"/><Relationship Id="rId1" Type="http://schemas.openxmlformats.org/officeDocument/2006/relationships/externalLinkPath" Target="file:///Z:\Common\Energy%20Inventory\1990-2022\PR\Spreadsheets\SNG%2090-22%2012_12_23_PR.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I:\CCS\US%20GHG%20Inventory\1990-2022\Spreadsheets\PR\IndCalc_Chemicals_1990-2022_PR.xlsx" TargetMode="External"/><Relationship Id="rId1" Type="http://schemas.openxmlformats.org/officeDocument/2006/relationships/externalLinkPath" Target="IndCalc_Chemicals_1990-2022_PR.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I:\CCS\US%20GHG%20Inventory\1990-2022\Spreadsheets\PR\IndCalc_Metals_1990-2022_PR_12.19.xlsx" TargetMode="External"/><Relationship Id="rId1" Type="http://schemas.openxmlformats.org/officeDocument/2006/relationships/externalLinkPath" Target="IndCalc_Metals_1990-2022_PR_12.19.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K:\Energy%20Inventory\1990-2022\ER\Spreadsheets\4.19%20Aluminum%20Production%20(1990-2022)_ER_10_12_23.xlsx" TargetMode="External"/><Relationship Id="rId1" Type="http://schemas.openxmlformats.org/officeDocument/2006/relationships/externalLinkPath" Target="file:///K:\Energy%20Inventory\1990-2022\PR\Spreadsheets\4.19%20Aluminum%20Production%20(1990-2022)_ER_10_12_23.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K:\Energy%20Inventory\1990-2022\PR\Spreadsheets\Data\US%20Territories\US%20Territories%20EIA%20data%20availability_12-12-2023.xlsx" TargetMode="External"/><Relationship Id="rId1" Type="http://schemas.openxmlformats.org/officeDocument/2006/relationships/externalLinkPath" Target="file:///Z:\Common\Energy%20Inventory\1990-2022\PR\Spreadsheets\Data\US%20Territories\US%20Territories%20EIA%20data%20availability_12-12-2023.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K:\Energy%20Inventory\1990-2022\PR\Spreadsheets\Data\Carbon%20Contents\Coal\Annually%20Variable%20C%20Contents_Coal_12-12-2023.xls" TargetMode="External"/><Relationship Id="rId1" Type="http://schemas.openxmlformats.org/officeDocument/2006/relationships/externalLinkPath" Target="file:///Z:\Common\Energy%20Inventory\1990-2022\PR\Spreadsheets\Data\Carbon%20Contents\Coal\Annually%20Variable%20C%20Contents_Coal_12-12-2023.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K:\Energy%20Inventory\1990-2022\PR\Spreadsheets\Data\Carbon%20Contents\HGL\HGL%20Factors_Update%20Methodology_12_12_23.xlsx" TargetMode="External"/><Relationship Id="rId1" Type="http://schemas.openxmlformats.org/officeDocument/2006/relationships/externalLinkPath" Target="file:///Z:\Common\Energy%20Inventory\1990-2022\PR\Spreadsheets\Data\Carbon%20Contents\HGL\HGL%20Factors_Update%20Methodology_12_12_23.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Z:\Common\Energy%20Inventory\1990-2022\PR\Spreadsheets\NEU%20C%20Storage_1990-2022_PR.xlsx" TargetMode="External"/><Relationship Id="rId1" Type="http://schemas.openxmlformats.org/officeDocument/2006/relationships/externalLinkPath" Target="file:///Z:\Common\Energy%20Inventory\1990-2022\PR\Spreadsheets\NEU%20C%20Storage_1990-2022_PR.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K:\Energy%20Inventory\1990-2022\PR\Spreadsheets\Data\EIA%20Inputs\param_22_PR.xls" TargetMode="External"/><Relationship Id="rId1" Type="http://schemas.openxmlformats.org/officeDocument/2006/relationships/externalLinkPath" Target="file:///Z:\Common\Energy%20Inventory\1990-2022\PR\Spreadsheets\Data\EIA%20Inputs\param_22_PR.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K:\Energy%20Inventory\1990-2022\ER\Spreadsheets\Import%20Export%202022%2009.12.2023.xlsx" TargetMode="External"/><Relationship Id="rId1" Type="http://schemas.openxmlformats.org/officeDocument/2006/relationships/externalLinkPath" Target="file:///Z:\Common\Energy%20Inventory\1990-2022\PR\Spreadsheets\Import%20Export%202022%2009.12.2023.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Z:\Common\Energy%20Inventory\1990-2022\PR\Spreadsheets\Data\Geothermal\Updated%20Geothermal%20Methodology_12-12-23.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I:\CCS\US%20GHG%20Inventory\1990-2022\Spreadsheets\PR\mobile%201990-2022_12_18_23%20(1).xlsx" TargetMode="External"/><Relationship Id="rId1" Type="http://schemas.openxmlformats.org/officeDocument/2006/relationships/externalLinkPath" Target="mobile%201990-2022_12_18_23%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Docctrl"/>
      <sheetName val="PrintEng"/>
      <sheetName val="327084"/>
      <sheetName val="V_SynComp"/>
      <sheetName val="G1"/>
      <sheetName val="G2"/>
      <sheetName val="DSGN_TOT"/>
      <sheetName val="NW&amp;RV"/>
      <sheetName val="end"/>
      <sheetName val="327084_test"/>
      <sheetName val="Sheet2"/>
      <sheetName val="InvDB"/>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2"/>
      <sheetName val="Docctrl"/>
      <sheetName val="PrintEng"/>
      <sheetName val="ImptdData"/>
      <sheetName val="327034"/>
      <sheetName val="G1"/>
      <sheetName val="G2"/>
      <sheetName val="LDCNT"/>
      <sheetName val="PCKG"/>
      <sheetName val="end"/>
    </sheetNames>
    <sheetDataSet>
      <sheetData sheetId="0" refreshError="1"/>
      <sheetData sheetId="1" refreshError="1"/>
      <sheetData sheetId="2" refreshError="1"/>
      <sheetData sheetId="3" refreshError="1"/>
      <sheetData sheetId="4"/>
      <sheetData sheetId="5"/>
      <sheetData sheetId="6"/>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Docctrl"/>
      <sheetName val="PrintEng"/>
      <sheetName val="ImptdData"/>
      <sheetName val="327007"/>
      <sheetName val="G1"/>
      <sheetName val="G2"/>
      <sheetName val="327119"/>
      <sheetName val="FRXC"/>
      <sheetName val="end"/>
      <sheetName val="327007_test"/>
      <sheetName val="Data Summary"/>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TOC"/>
      <sheetName val="CRF Reporter Input"/>
      <sheetName val="InvDB"/>
      <sheetName val="InvDB-Old"/>
      <sheetName val="Summary"/>
      <sheetName val="CH4"/>
      <sheetName val="N2O"/>
      <sheetName val="Consumption"/>
      <sheetName val="Corrections"/>
      <sheetName val="Factors"/>
      <sheetName val="Inventory Table"/>
      <sheetName val="2022ER Comparison"/>
      <sheetName val="2021BY Comparison"/>
      <sheetName val="Stationary Calcs 90-22_12_12_23"/>
    </sheetNames>
    <sheetDataSet>
      <sheetData sheetId="0"/>
      <sheetData sheetId="1"/>
      <sheetData sheetId="2"/>
      <sheetData sheetId="3"/>
      <sheetData sheetId="4"/>
      <sheetData sheetId="5">
        <row r="5">
          <cell r="C5">
            <v>0.47182152740240701</v>
          </cell>
          <cell r="D5">
            <v>0.47100512485002222</v>
          </cell>
          <cell r="E5">
            <v>0.47453243799532646</v>
          </cell>
          <cell r="F5">
            <v>0.49474352124618981</v>
          </cell>
          <cell r="G5">
            <v>0.50468333191702497</v>
          </cell>
          <cell r="H5">
            <v>0.50915671882281399</v>
          </cell>
          <cell r="I5">
            <v>0.52260999425750521</v>
          </cell>
          <cell r="J5">
            <v>0.540905894788409</v>
          </cell>
          <cell r="K5">
            <v>0.58903403443339131</v>
          </cell>
          <cell r="L5">
            <v>0.60371032920386847</v>
          </cell>
          <cell r="M5">
            <v>0.66102292737755564</v>
          </cell>
          <cell r="N5">
            <v>0.70524018449077674</v>
          </cell>
          <cell r="O5">
            <v>0.79997898781411381</v>
          </cell>
          <cell r="P5">
            <v>0.83161192731271016</v>
          </cell>
          <cell r="Q5">
            <v>0.89877797487523248</v>
          </cell>
          <cell r="R5">
            <v>0.975057423747973</v>
          </cell>
          <cell r="S5">
            <v>1.0004139323841688</v>
          </cell>
          <cell r="T5">
            <v>1.0784682842193716</v>
          </cell>
          <cell r="U5">
            <v>1.0571441573198843</v>
          </cell>
          <cell r="V5">
            <v>1.0508648961514861</v>
          </cell>
          <cell r="W5">
            <v>1.1198279344612863</v>
          </cell>
          <cell r="X5">
            <v>1.1144327446038025</v>
          </cell>
          <cell r="Y5">
            <v>1.2497938775108766</v>
          </cell>
          <cell r="Z5">
            <v>1.174795846996987</v>
          </cell>
          <cell r="AA5">
            <v>1.1889893123887905</v>
          </cell>
          <cell r="AB5">
            <v>1.2979697338480796</v>
          </cell>
          <cell r="AC5">
            <v>1.305489885008511</v>
          </cell>
          <cell r="AD5">
            <v>1.2344065635191939</v>
          </cell>
          <cell r="AE5">
            <v>1.3607862343224508</v>
          </cell>
          <cell r="AF5">
            <v>1.4033047550431343</v>
          </cell>
          <cell r="AG5">
            <v>1.3994021477276819</v>
          </cell>
          <cell r="AH5">
            <v>1.3910428319815449</v>
          </cell>
          <cell r="AI5">
            <v>1.4666467897780791</v>
          </cell>
        </row>
        <row r="10">
          <cell r="C10">
            <v>2.0619496736661214</v>
          </cell>
          <cell r="D10">
            <v>2.0137885559631781</v>
          </cell>
          <cell r="E10">
            <v>2.0576807433827842</v>
          </cell>
          <cell r="F10">
            <v>2.0782269604419463</v>
          </cell>
          <cell r="G10">
            <v>2.1521035104574517</v>
          </cell>
          <cell r="H10">
            <v>2.2055693461337631</v>
          </cell>
          <cell r="I10">
            <v>2.2254684254714032</v>
          </cell>
          <cell r="J10">
            <v>2.255190981615951</v>
          </cell>
          <cell r="K10">
            <v>2.1513600852884558</v>
          </cell>
          <cell r="L10">
            <v>2.1012506572271326</v>
          </cell>
          <cell r="M10">
            <v>2.1425383830878024</v>
          </cell>
          <cell r="N10">
            <v>1.9820728956403801</v>
          </cell>
          <cell r="O10">
            <v>1.9077252327254421</v>
          </cell>
          <cell r="P10">
            <v>1.8756641715575635</v>
          </cell>
          <cell r="Q10">
            <v>1.9835397313462124</v>
          </cell>
          <cell r="R10">
            <v>1.9368858505775897</v>
          </cell>
          <cell r="S10">
            <v>1.9680037417024792</v>
          </cell>
          <cell r="T10">
            <v>1.9015583165044188</v>
          </cell>
          <cell r="U10">
            <v>1.7988055104652105</v>
          </cell>
          <cell r="V10">
            <v>1.5721061377866943</v>
          </cell>
          <cell r="W10">
            <v>1.7997226859219886</v>
          </cell>
          <cell r="X10">
            <v>1.8063765626934896</v>
          </cell>
          <cell r="Y10">
            <v>1.8097664570874108</v>
          </cell>
          <cell r="Z10">
            <v>1.8599072170088784</v>
          </cell>
          <cell r="AA10">
            <v>1.8424536032832171</v>
          </cell>
          <cell r="AB10">
            <v>1.7996162379014375</v>
          </cell>
          <cell r="AC10">
            <v>1.7755147763175119</v>
          </cell>
          <cell r="AD10">
            <v>1.7226913528859322</v>
          </cell>
          <cell r="AE10">
            <v>1.7159944562509655</v>
          </cell>
          <cell r="AF10">
            <v>1.6714707833533535</v>
          </cell>
          <cell r="AG10">
            <v>1.5789554223687767</v>
          </cell>
          <cell r="AH10">
            <v>1.5963896747178332</v>
          </cell>
          <cell r="AI10">
            <v>1.5475173208191193</v>
          </cell>
        </row>
        <row r="15">
          <cell r="C15">
            <v>1.2024395608869143</v>
          </cell>
          <cell r="D15">
            <v>1.2338049592282689</v>
          </cell>
          <cell r="E15">
            <v>1.2387752436321542</v>
          </cell>
          <cell r="F15">
            <v>1.244246873689876</v>
          </cell>
          <cell r="G15">
            <v>1.2170059714894408</v>
          </cell>
          <cell r="H15">
            <v>1.2248675700125415</v>
          </cell>
          <cell r="I15">
            <v>1.2797354310969664</v>
          </cell>
          <cell r="J15">
            <v>1.2583097828101639</v>
          </cell>
          <cell r="K15">
            <v>1.1335879600928802</v>
          </cell>
          <cell r="L15">
            <v>1.153986488778088</v>
          </cell>
          <cell r="M15">
            <v>1.2432747502723767</v>
          </cell>
          <cell r="N15">
            <v>1.1854695423682475</v>
          </cell>
          <cell r="O15">
            <v>1.1948052269450864</v>
          </cell>
          <cell r="P15">
            <v>1.2572900828174394</v>
          </cell>
          <cell r="Q15">
            <v>1.2421627741016008</v>
          </cell>
          <cell r="R15">
            <v>1.2069901817526096</v>
          </cell>
          <cell r="S15">
            <v>1.1231477498161593</v>
          </cell>
          <cell r="T15">
            <v>1.19076027689341</v>
          </cell>
          <cell r="U15">
            <v>1.2239954281428815</v>
          </cell>
          <cell r="V15">
            <v>1.2261753271678069</v>
          </cell>
          <cell r="W15">
            <v>1.206666023406628</v>
          </cell>
          <cell r="X15">
            <v>1.1850542043719128</v>
          </cell>
          <cell r="Y15">
            <v>1.0446908891138851</v>
          </cell>
          <cell r="Z15">
            <v>1.1839207250858019</v>
          </cell>
          <cell r="AA15">
            <v>1.2517456022331395</v>
          </cell>
          <cell r="AB15">
            <v>1.3459069620353081</v>
          </cell>
          <cell r="AC15">
            <v>1.3385021075510828</v>
          </cell>
          <cell r="AD15">
            <v>1.3373223718649729</v>
          </cell>
          <cell r="AE15">
            <v>1.3674048338941702</v>
          </cell>
          <cell r="AF15">
            <v>1.3907704393014617</v>
          </cell>
          <cell r="AG15">
            <v>1.3183767425793813</v>
          </cell>
          <cell r="AH15">
            <v>1.3410540542885927</v>
          </cell>
          <cell r="AI15">
            <v>1.355031643661806</v>
          </cell>
        </row>
        <row r="20">
          <cell r="C20">
            <v>5.8706715087796013</v>
          </cell>
          <cell r="D20">
            <v>6.0872528009672688</v>
          </cell>
          <cell r="E20">
            <v>6.3423779849708497</v>
          </cell>
          <cell r="F20">
            <v>5.6547352809049229</v>
          </cell>
          <cell r="G20">
            <v>5.3483615529708359</v>
          </cell>
          <cell r="H20">
            <v>5.3065784182042082</v>
          </cell>
          <cell r="I20">
            <v>5.5500858060583669</v>
          </cell>
          <cell r="J20">
            <v>4.6152740949297177</v>
          </cell>
          <cell r="K20">
            <v>4.0841449462378296</v>
          </cell>
          <cell r="L20">
            <v>4.2473037851960331</v>
          </cell>
          <cell r="M20">
            <v>4.5242700138113143</v>
          </cell>
          <cell r="N20">
            <v>4.1118018290892859</v>
          </cell>
          <cell r="O20">
            <v>4.1786758451549364</v>
          </cell>
          <cell r="P20">
            <v>4.3967571091855557</v>
          </cell>
          <cell r="Q20">
            <v>4.4413165873679787</v>
          </cell>
          <cell r="R20">
            <v>4.5407432262295409</v>
          </cell>
          <cell r="S20">
            <v>4.012642513548478</v>
          </cell>
          <cell r="T20">
            <v>4.3930610897202662</v>
          </cell>
          <cell r="U20">
            <v>4.7462295068091986</v>
          </cell>
          <cell r="V20">
            <v>4.9835391812761349</v>
          </cell>
          <cell r="W20">
            <v>5.2685047912880538</v>
          </cell>
          <cell r="X20">
            <v>5.1111952997690135</v>
          </cell>
          <cell r="Y20">
            <v>4.2925691616788839</v>
          </cell>
          <cell r="Z20">
            <v>5.4852735430236912</v>
          </cell>
          <cell r="AA20">
            <v>5.5937303584028921</v>
          </cell>
          <cell r="AB20">
            <v>4.9894088586649428</v>
          </cell>
          <cell r="AC20">
            <v>4.3714440545035327</v>
          </cell>
          <cell r="AD20">
            <v>4.2501915286095766</v>
          </cell>
          <cell r="AE20">
            <v>5.1424102691549276</v>
          </cell>
          <cell r="AF20">
            <v>5.3227726740968127</v>
          </cell>
          <cell r="AG20">
            <v>3.6390522916685049</v>
          </cell>
          <cell r="AH20">
            <v>3.6401847115835806</v>
          </cell>
          <cell r="AI20">
            <v>4.3052577424081262</v>
          </cell>
        </row>
        <row r="25">
          <cell r="C25">
            <v>3.7791193336459195E-2</v>
          </cell>
          <cell r="D25">
            <v>3.6293362838363312E-2</v>
          </cell>
          <cell r="E25">
            <v>4.155461046885963E-2</v>
          </cell>
          <cell r="F25">
            <v>4.2819322671674133E-2</v>
          </cell>
          <cell r="G25">
            <v>4.692798720853078E-2</v>
          </cell>
          <cell r="H25">
            <v>4.0877524312930319E-2</v>
          </cell>
          <cell r="I25">
            <v>3.7395388212637513E-2</v>
          </cell>
          <cell r="J25">
            <v>3.7927351615646934E-2</v>
          </cell>
          <cell r="K25">
            <v>3.6662676115777754E-2</v>
          </cell>
          <cell r="L25">
            <v>2.9114174506806825E-2</v>
          </cell>
          <cell r="M25">
            <v>6.941392523545957E-2</v>
          </cell>
          <cell r="N25">
            <v>9.2431849994381185E-2</v>
          </cell>
          <cell r="O25">
            <v>8.1724238164401483E-2</v>
          </cell>
          <cell r="P25">
            <v>9.0003085509196598E-2</v>
          </cell>
          <cell r="Q25">
            <v>9.464019171537312E-2</v>
          </cell>
          <cell r="R25">
            <v>9.2702498515166334E-2</v>
          </cell>
          <cell r="S25">
            <v>9.0438360633382758E-2</v>
          </cell>
          <cell r="T25">
            <v>8.1698500070708738E-2</v>
          </cell>
          <cell r="U25">
            <v>6.5986996441284418E-2</v>
          </cell>
          <cell r="V25">
            <v>6.7260296320157065E-2</v>
          </cell>
          <cell r="W25">
            <v>5.8925185204390593E-2</v>
          </cell>
          <cell r="X25">
            <v>5.8140925258093293E-2</v>
          </cell>
          <cell r="Y25">
            <v>5.4387123665250996E-2</v>
          </cell>
          <cell r="Z25">
            <v>4.4609165100309357E-2</v>
          </cell>
          <cell r="AA25">
            <v>4.4614579935854791E-2</v>
          </cell>
          <cell r="AB25">
            <v>4.5430905800810426E-2</v>
          </cell>
          <cell r="AC25">
            <v>4.0518647662949693E-2</v>
          </cell>
          <cell r="AD25">
            <v>4.2999928374657576E-2</v>
          </cell>
          <cell r="AE25">
            <v>4.1451069614707035E-2</v>
          </cell>
          <cell r="AF25">
            <v>3.6763514676475414E-2</v>
          </cell>
          <cell r="AG25">
            <v>3.608923364813884E-2</v>
          </cell>
          <cell r="AH25">
            <v>3.5665743628646357E-2</v>
          </cell>
          <cell r="AI25">
            <v>3.5661742403578708E-2</v>
          </cell>
        </row>
        <row r="35">
          <cell r="C35">
            <v>18.239727926007181</v>
          </cell>
          <cell r="D35">
            <v>18.208167347337572</v>
          </cell>
          <cell r="E35">
            <v>18.344526602572021</v>
          </cell>
          <cell r="F35">
            <v>19.125848857228764</v>
          </cell>
          <cell r="G35">
            <v>19.510103139287896</v>
          </cell>
          <cell r="H35">
            <v>19.683035816858929</v>
          </cell>
          <cell r="I35">
            <v>20.203114001916212</v>
          </cell>
          <cell r="J35">
            <v>20.685245252497996</v>
          </cell>
          <cell r="K35">
            <v>21.305430220162787</v>
          </cell>
          <cell r="L35">
            <v>21.350044371490778</v>
          </cell>
          <cell r="M35">
            <v>22.531184271297509</v>
          </cell>
          <cell r="N35">
            <v>22.377074014504476</v>
          </cell>
          <cell r="O35">
            <v>23.494324007590766</v>
          </cell>
          <cell r="P35">
            <v>24.548007507312292</v>
          </cell>
          <cell r="Q35">
            <v>25.569423816677794</v>
          </cell>
          <cell r="R35">
            <v>26.72932720827167</v>
          </cell>
          <cell r="S35">
            <v>26.519318574573429</v>
          </cell>
          <cell r="T35">
            <v>26.908457151399112</v>
          </cell>
          <cell r="U35">
            <v>26.685613746940014</v>
          </cell>
          <cell r="V35">
            <v>24.791421829311037</v>
          </cell>
          <cell r="W35">
            <v>26.771839094278057</v>
          </cell>
          <cell r="X35">
            <v>25.674891482449581</v>
          </cell>
          <cell r="Y35">
            <v>23.571250257014988</v>
          </cell>
          <cell r="Z35">
            <v>25.439107812644568</v>
          </cell>
          <cell r="AA35">
            <v>25.681660422496623</v>
          </cell>
          <cell r="AB35">
            <v>23.590122415938858</v>
          </cell>
          <cell r="AC35">
            <v>23.302395319987141</v>
          </cell>
          <cell r="AD35">
            <v>22.011048763828398</v>
          </cell>
          <cell r="AE35">
            <v>21.705212771615152</v>
          </cell>
          <cell r="AF35">
            <v>18.766085433099153</v>
          </cell>
          <cell r="AG35">
            <v>17.545803707745556</v>
          </cell>
          <cell r="AH35">
            <v>19.006112359803126</v>
          </cell>
          <cell r="AI35">
            <v>18.592744255126505</v>
          </cell>
        </row>
        <row r="40">
          <cell r="C40">
            <v>2.7623473504310629</v>
          </cell>
          <cell r="D40">
            <v>2.6894036456940245</v>
          </cell>
          <cell r="E40">
            <v>2.7451467950010038</v>
          </cell>
          <cell r="F40">
            <v>2.764918049324427</v>
          </cell>
          <cell r="G40">
            <v>2.8548172353141403</v>
          </cell>
          <cell r="H40">
            <v>2.9176898749069253</v>
          </cell>
          <cell r="I40">
            <v>2.9417484650105781</v>
          </cell>
          <cell r="J40">
            <v>2.9737997794559456</v>
          </cell>
          <cell r="K40">
            <v>2.8446987719783632</v>
          </cell>
          <cell r="L40">
            <v>2.7648479986125576</v>
          </cell>
          <cell r="M40">
            <v>2.834078255589779</v>
          </cell>
          <cell r="N40">
            <v>2.6423232558842802</v>
          </cell>
          <cell r="O40">
            <v>2.5365700696908462</v>
          </cell>
          <cell r="P40">
            <v>2.4978655308934563</v>
          </cell>
          <cell r="Q40">
            <v>2.6424076433589478</v>
          </cell>
          <cell r="R40">
            <v>2.5861222693980137</v>
          </cell>
          <cell r="S40">
            <v>2.638203086177703</v>
          </cell>
          <cell r="T40">
            <v>2.5444452349126463</v>
          </cell>
          <cell r="U40">
            <v>2.3931283960665812</v>
          </cell>
          <cell r="V40">
            <v>2.083321357165921</v>
          </cell>
          <cell r="W40">
            <v>2.3726493532137685</v>
          </cell>
          <cell r="X40">
            <v>2.3776889955822629</v>
          </cell>
          <cell r="Y40">
            <v>2.3747499918135695</v>
          </cell>
          <cell r="Z40">
            <v>2.4460636697587415</v>
          </cell>
          <cell r="AA40">
            <v>2.4031456746135951</v>
          </cell>
          <cell r="AB40">
            <v>2.3475812200056891</v>
          </cell>
          <cell r="AC40">
            <v>2.3105631009196612</v>
          </cell>
          <cell r="AD40">
            <v>2.2307874603174489</v>
          </cell>
          <cell r="AE40">
            <v>2.2172367671876008</v>
          </cell>
          <cell r="AF40">
            <v>2.148478626566102</v>
          </cell>
          <cell r="AG40">
            <v>2.0137362947681883</v>
          </cell>
          <cell r="AH40">
            <v>2.0362673601012147</v>
          </cell>
          <cell r="AI40">
            <v>1.9683240144582177</v>
          </cell>
        </row>
        <row r="45">
          <cell r="C45">
            <v>0.34612727552557515</v>
          </cell>
          <cell r="D45">
            <v>0.34645194910206845</v>
          </cell>
          <cell r="E45">
            <v>0.33307858317278083</v>
          </cell>
          <cell r="F45">
            <v>0.32130660596878463</v>
          </cell>
          <cell r="G45">
            <v>0.31761679317582114</v>
          </cell>
          <cell r="H45">
            <v>0.31267961474130507</v>
          </cell>
          <cell r="I45">
            <v>0.32684463324566249</v>
          </cell>
          <cell r="J45">
            <v>0.32160695792398891</v>
          </cell>
          <cell r="K45">
            <v>0.28538698759938619</v>
          </cell>
          <cell r="L45">
            <v>0.28834564045393585</v>
          </cell>
          <cell r="M45">
            <v>0.31255980587058874</v>
          </cell>
          <cell r="N45">
            <v>0.30517499684666288</v>
          </cell>
          <cell r="O45">
            <v>0.29640893614055219</v>
          </cell>
          <cell r="P45">
            <v>0.31779148870794227</v>
          </cell>
          <cell r="Q45">
            <v>0.32112379541643071</v>
          </cell>
          <cell r="R45">
            <v>0.30734177393749212</v>
          </cell>
          <cell r="S45">
            <v>0.2778869925630712</v>
          </cell>
          <cell r="T45">
            <v>0.29178516474234983</v>
          </cell>
          <cell r="U45">
            <v>0.29506001726586828</v>
          </cell>
          <cell r="V45">
            <v>0.29771839480774115</v>
          </cell>
          <cell r="W45">
            <v>0.29030393144180405</v>
          </cell>
          <cell r="X45">
            <v>0.28220494119355177</v>
          </cell>
          <cell r="Y45">
            <v>0.24092943782356874</v>
          </cell>
          <cell r="Z45">
            <v>0.26493320770436751</v>
          </cell>
          <cell r="AA45">
            <v>0.27190884287522543</v>
          </cell>
          <cell r="AB45">
            <v>0.32554261623512176</v>
          </cell>
          <cell r="AC45">
            <v>0.30852529182227245</v>
          </cell>
          <cell r="AD45">
            <v>0.30466933426649967</v>
          </cell>
          <cell r="AE45">
            <v>0.30168934985814805</v>
          </cell>
          <cell r="AF45">
            <v>0.31322978984678906</v>
          </cell>
          <cell r="AG45">
            <v>0.29490492800081503</v>
          </cell>
          <cell r="AH45">
            <v>0.30216958725351684</v>
          </cell>
          <cell r="AI45">
            <v>0.29751920554757982</v>
          </cell>
        </row>
        <row r="50">
          <cell r="C50">
            <v>0.92831019447352614</v>
          </cell>
          <cell r="D50">
            <v>0.9617592767915184</v>
          </cell>
          <cell r="E50">
            <v>0.99301076742531591</v>
          </cell>
          <cell r="F50">
            <v>0.9061091913809205</v>
          </cell>
          <cell r="G50">
            <v>0.86426853819743232</v>
          </cell>
          <cell r="H50">
            <v>0.85570052284351195</v>
          </cell>
          <cell r="I50">
            <v>0.90718045993873231</v>
          </cell>
          <cell r="J50">
            <v>0.77960568031898658</v>
          </cell>
          <cell r="K50">
            <v>0.6961052562948109</v>
          </cell>
          <cell r="L50">
            <v>0.7333628766634539</v>
          </cell>
          <cell r="M50">
            <v>0.78287800008671304</v>
          </cell>
          <cell r="N50">
            <v>0.73295911713727269</v>
          </cell>
          <cell r="O50">
            <v>0.7291583524126819</v>
          </cell>
          <cell r="P50">
            <v>0.77175346796032573</v>
          </cell>
          <cell r="Q50">
            <v>0.77689601067551184</v>
          </cell>
          <cell r="R50">
            <v>0.77777793088672809</v>
          </cell>
          <cell r="S50">
            <v>0.68659270428914365</v>
          </cell>
          <cell r="T50">
            <v>0.73758758418402359</v>
          </cell>
          <cell r="U50">
            <v>0.78731237350120864</v>
          </cell>
          <cell r="V50">
            <v>0.80868295270703805</v>
          </cell>
          <cell r="W50">
            <v>0.84207944789489109</v>
          </cell>
          <cell r="X50">
            <v>0.81373899872157307</v>
          </cell>
          <cell r="Y50">
            <v>0.68074287815605694</v>
          </cell>
          <cell r="Z50">
            <v>0.84822212172199885</v>
          </cell>
          <cell r="AA50">
            <v>0.87452436195431715</v>
          </cell>
          <cell r="AB50">
            <v>0.78658451876770552</v>
          </cell>
          <cell r="AC50">
            <v>0.68919504586133695</v>
          </cell>
          <cell r="AD50">
            <v>0.67050514751665879</v>
          </cell>
          <cell r="AE50">
            <v>0.81075718691123289</v>
          </cell>
          <cell r="AF50">
            <v>0.83873792504232836</v>
          </cell>
          <cell r="AG50">
            <v>0.60689985716265649</v>
          </cell>
          <cell r="AH50">
            <v>0.60879281051347189</v>
          </cell>
          <cell r="AI50">
            <v>0.69776208332600698</v>
          </cell>
        </row>
        <row r="55">
          <cell r="C55">
            <v>4.4904939412337301E-2</v>
          </cell>
          <cell r="D55">
            <v>4.3059880587559884E-2</v>
          </cell>
          <cell r="E55">
            <v>4.8766440060303978E-2</v>
          </cell>
          <cell r="F55">
            <v>5.027937826444745E-2</v>
          </cell>
          <cell r="G55">
            <v>5.4977182859499492E-2</v>
          </cell>
          <cell r="H55">
            <v>4.8137121290944253E-2</v>
          </cell>
          <cell r="I55">
            <v>4.4227460471619899E-2</v>
          </cell>
          <cell r="J55">
            <v>4.4860451509851892E-2</v>
          </cell>
          <cell r="K55">
            <v>4.3443963843681432E-2</v>
          </cell>
          <cell r="L55">
            <v>3.4736771144892653E-2</v>
          </cell>
          <cell r="M55">
            <v>8.0659420496537487E-2</v>
          </cell>
          <cell r="N55">
            <v>0.10723428536954455</v>
          </cell>
          <cell r="O55">
            <v>0.10074640566997359</v>
          </cell>
          <cell r="P55">
            <v>0.11267523385327115</v>
          </cell>
          <cell r="Q55">
            <v>0.11907344707241928</v>
          </cell>
          <cell r="R55">
            <v>0.11714467175110346</v>
          </cell>
          <cell r="S55">
            <v>0.11609585237048829</v>
          </cell>
          <cell r="T55">
            <v>0.10618087458367105</v>
          </cell>
          <cell r="U55">
            <v>8.8447698145818626E-2</v>
          </cell>
          <cell r="V55">
            <v>8.9808403229227313E-2</v>
          </cell>
          <cell r="W55">
            <v>7.9489527835808635E-2</v>
          </cell>
          <cell r="X55">
            <v>7.9567148257477585E-2</v>
          </cell>
          <cell r="Y55">
            <v>7.4594433632598559E-2</v>
          </cell>
          <cell r="Z55">
            <v>6.3394988175848099E-2</v>
          </cell>
          <cell r="AA55">
            <v>6.4052564891766903E-2</v>
          </cell>
          <cell r="AB55">
            <v>6.446964990066624E-2</v>
          </cell>
          <cell r="AC55">
            <v>5.870298925899177E-2</v>
          </cell>
          <cell r="AD55">
            <v>5.7741123797234707E-2</v>
          </cell>
          <cell r="AE55">
            <v>5.6929054111465351E-2</v>
          </cell>
          <cell r="AF55">
            <v>5.5551634294735398E-2</v>
          </cell>
          <cell r="AG55">
            <v>5.299273546688632E-2</v>
          </cell>
          <cell r="AH55">
            <v>5.1618984591296692E-2</v>
          </cell>
          <cell r="AI55">
            <v>5.1614800172002047E-2</v>
          </cell>
        </row>
      </sheetData>
      <sheetData sheetId="6"/>
      <sheetData sheetId="7"/>
      <sheetData sheetId="8">
        <row r="2">
          <cell r="K2">
            <v>1E-3</v>
          </cell>
        </row>
      </sheetData>
      <sheetData sheetId="9">
        <row r="2">
          <cell r="K2">
            <v>2.3809523809523808E-2</v>
          </cell>
        </row>
        <row r="3">
          <cell r="K3">
            <v>9.9999999999999995E-7</v>
          </cell>
        </row>
      </sheetData>
      <sheetData sheetId="10">
        <row r="7">
          <cell r="B7">
            <v>1.0000000000000001E-9</v>
          </cell>
        </row>
      </sheetData>
      <sheetData sheetId="11"/>
      <sheetData sheetId="12"/>
      <sheetData sheetId="13"/>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A1"/>
      <sheetName val="1A2"/>
      <sheetName val="1A4"/>
      <sheetName val="Summary"/>
      <sheetName val="Petroleum Refining"/>
      <sheetName val="Mfg of Solid Fuels"/>
      <sheetName val="Iron and Steel"/>
      <sheetName val="Non-Ferrous Metals"/>
      <sheetName val="Chemicals"/>
      <sheetName val="Pulp, Paper and Print"/>
      <sheetName val="Food Processing, Beverages, Tob"/>
      <sheetName val="Minerals Manufacturing"/>
      <sheetName val="Agriculture-Forestry-Fisheries"/>
    </sheetNames>
    <sheetDataSet>
      <sheetData sheetId="0"/>
      <sheetData sheetId="1">
        <row r="2">
          <cell r="C2">
            <v>2542573.4916509409</v>
          </cell>
          <cell r="D2">
            <v>2344371.4158332236</v>
          </cell>
          <cell r="E2">
            <v>2532421.0679786215</v>
          </cell>
          <cell r="F2">
            <v>2413407.8497685324</v>
          </cell>
          <cell r="G2">
            <v>2469855.7174143321</v>
          </cell>
          <cell r="H2">
            <v>2513581.4342900058</v>
          </cell>
          <cell r="I2">
            <v>2774005.5457399949</v>
          </cell>
          <cell r="J2">
            <v>2682215.8845777684</v>
          </cell>
          <cell r="K2">
            <v>2425951.8861765591</v>
          </cell>
          <cell r="L2">
            <v>2173997.6917398735</v>
          </cell>
          <cell r="M2">
            <v>2450510.5272331219</v>
          </cell>
          <cell r="N2">
            <v>2940778.4712664597</v>
          </cell>
          <cell r="O2">
            <v>2805326.5267649558</v>
          </cell>
          <cell r="P2">
            <v>2887933.9154908843</v>
          </cell>
          <cell r="Q2">
            <v>3153408.9587208526</v>
          </cell>
          <cell r="R2">
            <v>3344168.2466417067</v>
          </cell>
          <cell r="S2">
            <v>3660921.5341205951</v>
          </cell>
          <cell r="T2">
            <v>3489969.1861993396</v>
          </cell>
          <cell r="U2">
            <v>2924217.6523091616</v>
          </cell>
          <cell r="V2">
            <v>2546736.8088542949</v>
          </cell>
          <cell r="W2">
            <v>2734126.7791349972</v>
          </cell>
          <cell r="X2">
            <v>2725544.4918256039</v>
          </cell>
          <cell r="Y2">
            <v>2734630.4044184559</v>
          </cell>
          <cell r="Z2">
            <v>2855858.1151251826</v>
          </cell>
          <cell r="AA2">
            <v>2338812.9926243965</v>
          </cell>
          <cell r="AB2">
            <v>2370512.5392791983</v>
          </cell>
          <cell r="AC2">
            <v>2229949.0217971196</v>
          </cell>
          <cell r="AD2">
            <v>2210024.7870300375</v>
          </cell>
          <cell r="AE2">
            <v>2218929.762348209</v>
          </cell>
          <cell r="AF2">
            <v>2282218.3551837006</v>
          </cell>
          <cell r="AG2">
            <v>2056647.3975834621</v>
          </cell>
          <cell r="AH2">
            <v>1911976.8234111511</v>
          </cell>
        </row>
        <row r="4">
          <cell r="C4">
            <v>9626025.9058169089</v>
          </cell>
          <cell r="D4">
            <v>9697077.9927132819</v>
          </cell>
          <cell r="E4">
            <v>10044214.513761627</v>
          </cell>
          <cell r="F4">
            <v>10155271.587729728</v>
          </cell>
          <cell r="G4">
            <v>10202240.885573022</v>
          </cell>
          <cell r="H4">
            <v>10624489.815675305</v>
          </cell>
          <cell r="I4">
            <v>11006950.990751235</v>
          </cell>
          <cell r="J4">
            <v>11020124.824496118</v>
          </cell>
          <cell r="K4">
            <v>10794776.884853277</v>
          </cell>
          <cell r="L4">
            <v>10358328.144442212</v>
          </cell>
          <cell r="M4">
            <v>10622118.352521416</v>
          </cell>
          <cell r="N4">
            <v>9865830.7380523514</v>
          </cell>
          <cell r="O4">
            <v>9988445.5367211178</v>
          </cell>
          <cell r="P4">
            <v>9819358.8477364816</v>
          </cell>
          <cell r="Q4">
            <v>9897440.1382379979</v>
          </cell>
          <cell r="R4">
            <v>9225511.8151100948</v>
          </cell>
          <cell r="S4">
            <v>9288975.8139007166</v>
          </cell>
          <cell r="T4">
            <v>9462620.2755183484</v>
          </cell>
          <cell r="U4">
            <v>9433132.2146041226</v>
          </cell>
          <cell r="V4">
            <v>8835748.3123079333</v>
          </cell>
          <cell r="W4">
            <v>9489127.1240489203</v>
          </cell>
          <cell r="X4">
            <v>9686897.6463212986</v>
          </cell>
          <cell r="Y4">
            <v>10019512.20135344</v>
          </cell>
          <cell r="Z4">
            <v>10418126.902516624</v>
          </cell>
          <cell r="AA4">
            <v>10708132.402851935</v>
          </cell>
          <cell r="AB4">
            <v>10572703.417528754</v>
          </cell>
          <cell r="AC4">
            <v>10770724.205692282</v>
          </cell>
          <cell r="AD4">
            <v>10830674.982676309</v>
          </cell>
          <cell r="AE4">
            <v>11363563.637450879</v>
          </cell>
          <cell r="AF4">
            <v>11454165.958600925</v>
          </cell>
          <cell r="AG4">
            <v>11021832.296586918</v>
          </cell>
          <cell r="AH4">
            <v>11359987.593397213</v>
          </cell>
        </row>
        <row r="6">
          <cell r="C6">
            <v>191308.57491141604</v>
          </cell>
          <cell r="D6">
            <v>173677.47084369289</v>
          </cell>
          <cell r="E6">
            <v>189892.10272607688</v>
          </cell>
          <cell r="F6">
            <v>179248.11457247921</v>
          </cell>
          <cell r="G6">
            <v>183916.13980894347</v>
          </cell>
          <cell r="H6">
            <v>183880.24943994152</v>
          </cell>
          <cell r="I6">
            <v>208003.20828780712</v>
          </cell>
          <cell r="J6">
            <v>201865.20308442329</v>
          </cell>
          <cell r="K6">
            <v>185545.00030765246</v>
          </cell>
          <cell r="L6">
            <v>168170.64470739968</v>
          </cell>
          <cell r="M6">
            <v>186388.38898907573</v>
          </cell>
          <cell r="N6">
            <v>220068.65498450777</v>
          </cell>
          <cell r="O6">
            <v>209374.22366209098</v>
          </cell>
          <cell r="P6">
            <v>221650.98081458348</v>
          </cell>
          <cell r="Q6">
            <v>240274.41076999094</v>
          </cell>
          <cell r="R6">
            <v>249343.10130236202</v>
          </cell>
          <cell r="S6">
            <v>276241.84352683998</v>
          </cell>
          <cell r="T6">
            <v>262799.27261883504</v>
          </cell>
          <cell r="U6">
            <v>218478.96356598244</v>
          </cell>
          <cell r="V6">
            <v>185423.53767197148</v>
          </cell>
          <cell r="W6">
            <v>198818.72256572466</v>
          </cell>
          <cell r="X6">
            <v>197753.40137038159</v>
          </cell>
          <cell r="Y6">
            <v>198257.09688278267</v>
          </cell>
          <cell r="Z6">
            <v>207924.58804784514</v>
          </cell>
          <cell r="AA6">
            <v>172637.53297561192</v>
          </cell>
          <cell r="AB6">
            <v>172517.09664800638</v>
          </cell>
          <cell r="AC6">
            <v>169885.51498709057</v>
          </cell>
          <cell r="AD6">
            <v>166375.58372510649</v>
          </cell>
          <cell r="AE6">
            <v>169805.55889016727</v>
          </cell>
          <cell r="AF6">
            <v>169075.47657792555</v>
          </cell>
          <cell r="AG6">
            <v>143036.20305671077</v>
          </cell>
          <cell r="AH6">
            <v>137110.0901296722</v>
          </cell>
        </row>
        <row r="8">
          <cell r="C8">
            <v>503278.00011552207</v>
          </cell>
          <cell r="D8">
            <v>509431.87815561856</v>
          </cell>
          <cell r="E8">
            <v>525144.80183379259</v>
          </cell>
          <cell r="F8">
            <v>532819.6197387306</v>
          </cell>
          <cell r="G8">
            <v>534046.07813150377</v>
          </cell>
          <cell r="H8">
            <v>557305.42750538769</v>
          </cell>
          <cell r="I8">
            <v>573064.47013798647</v>
          </cell>
          <cell r="J8">
            <v>573723.55437996006</v>
          </cell>
          <cell r="K8">
            <v>562066.00359809177</v>
          </cell>
          <cell r="L8">
            <v>541458.87731258909</v>
          </cell>
          <cell r="M8">
            <v>554022.13390362123</v>
          </cell>
          <cell r="N8">
            <v>516437.55311527755</v>
          </cell>
          <cell r="O8">
            <v>523947.36891518685</v>
          </cell>
          <cell r="P8">
            <v>510923.46718191262</v>
          </cell>
          <cell r="Q8">
            <v>514723.51228286687</v>
          </cell>
          <cell r="R8">
            <v>483621.81489369989</v>
          </cell>
          <cell r="S8">
            <v>483272.99334859865</v>
          </cell>
          <cell r="T8">
            <v>492806.51107881143</v>
          </cell>
          <cell r="U8">
            <v>494488.55883252696</v>
          </cell>
          <cell r="V8">
            <v>470037.06427784171</v>
          </cell>
          <cell r="W8">
            <v>502926.90958432492</v>
          </cell>
          <cell r="X8">
            <v>513007.11504127079</v>
          </cell>
          <cell r="Y8">
            <v>529711.53777806088</v>
          </cell>
          <cell r="Z8">
            <v>546773.5399228204</v>
          </cell>
          <cell r="AA8">
            <v>561773.49856412271</v>
          </cell>
          <cell r="AB8">
            <v>555483.70398150745</v>
          </cell>
          <cell r="AC8">
            <v>559820.00311833469</v>
          </cell>
          <cell r="AD8">
            <v>563970.58229622291</v>
          </cell>
          <cell r="AE8">
            <v>589306.40392996545</v>
          </cell>
          <cell r="AF8">
            <v>597354.74545814714</v>
          </cell>
          <cell r="AG8">
            <v>581893.31137408293</v>
          </cell>
          <cell r="AH8">
            <v>595461.33911270043</v>
          </cell>
        </row>
      </sheetData>
      <sheetData sheetId="2"/>
      <sheetData sheetId="3"/>
      <sheetData sheetId="4">
        <row r="16">
          <cell r="C16">
            <v>72015.593730641864</v>
          </cell>
          <cell r="D16">
            <v>70048.442761751634</v>
          </cell>
          <cell r="E16">
            <v>68081.291792861433</v>
          </cell>
          <cell r="F16">
            <v>66114.140823971218</v>
          </cell>
          <cell r="G16">
            <v>64146.989855080996</v>
          </cell>
          <cell r="H16">
            <v>52227.837734571331</v>
          </cell>
          <cell r="I16">
            <v>40308.685614061666</v>
          </cell>
          <cell r="J16">
            <v>28389.533493551997</v>
          </cell>
          <cell r="K16">
            <v>16470.381373042332</v>
          </cell>
          <cell r="L16">
            <v>19389.877936582765</v>
          </cell>
          <cell r="M16">
            <v>22309.374500123195</v>
          </cell>
          <cell r="N16">
            <v>25228.871063663621</v>
          </cell>
          <cell r="O16">
            <v>28148.367627204047</v>
          </cell>
          <cell r="P16">
            <v>35113.289623758777</v>
          </cell>
          <cell r="Q16">
            <v>42078.211620313516</v>
          </cell>
          <cell r="R16">
            <v>49043.133616868246</v>
          </cell>
          <cell r="S16">
            <v>56008.055613422985</v>
          </cell>
          <cell r="T16">
            <v>49870.007493315214</v>
          </cell>
          <cell r="U16">
            <v>43731.95937320745</v>
          </cell>
          <cell r="V16">
            <v>37593.911253099686</v>
          </cell>
          <cell r="W16">
            <v>31455.863132991926</v>
          </cell>
          <cell r="X16">
            <v>27863.765242485388</v>
          </cell>
          <cell r="Y16">
            <v>18715.903689936949</v>
          </cell>
          <cell r="Z16">
            <v>11504.274221035848</v>
          </cell>
          <cell r="AA16">
            <v>12108.140479697739</v>
          </cell>
          <cell r="AB16">
            <v>11482.108371576907</v>
          </cell>
          <cell r="AC16">
            <v>11566.363306793244</v>
          </cell>
          <cell r="AD16">
            <v>9926.2440711682993</v>
          </cell>
          <cell r="AE16">
            <v>12005.149385629949</v>
          </cell>
          <cell r="AF16">
            <v>11236.463384764356</v>
          </cell>
          <cell r="AG16">
            <v>10596.489922078403</v>
          </cell>
          <cell r="AH16">
            <v>10485.970279608022</v>
          </cell>
        </row>
        <row r="17">
          <cell r="C17">
            <v>1588.8736973835557</v>
          </cell>
          <cell r="D17">
            <v>1191.6552730376668</v>
          </cell>
          <cell r="E17">
            <v>794.43684869177787</v>
          </cell>
          <cell r="F17">
            <v>397.21842434588893</v>
          </cell>
          <cell r="G17">
            <v>0</v>
          </cell>
          <cell r="H17">
            <v>0</v>
          </cell>
          <cell r="I17">
            <v>0</v>
          </cell>
          <cell r="J17">
            <v>0</v>
          </cell>
          <cell r="K17">
            <v>0</v>
          </cell>
          <cell r="L17">
            <v>99.304606086472234</v>
          </cell>
          <cell r="M17">
            <v>198.60921217294447</v>
          </cell>
          <cell r="N17">
            <v>297.9138182594167</v>
          </cell>
          <cell r="O17">
            <v>397.21842434588893</v>
          </cell>
          <cell r="P17">
            <v>397.21842434588893</v>
          </cell>
          <cell r="Q17">
            <v>397.21842434588893</v>
          </cell>
          <cell r="R17">
            <v>397.21842434588893</v>
          </cell>
          <cell r="S17">
            <v>397.21842434588893</v>
          </cell>
          <cell r="T17">
            <v>443.24776195782169</v>
          </cell>
          <cell r="U17">
            <v>489.27709956975451</v>
          </cell>
          <cell r="V17">
            <v>535.30643718168733</v>
          </cell>
          <cell r="W17">
            <v>581.33577479362009</v>
          </cell>
          <cell r="X17">
            <v>854.03043556191085</v>
          </cell>
          <cell r="Y17">
            <v>667.12401540092822</v>
          </cell>
          <cell r="Z17">
            <v>563.93232990394006</v>
          </cell>
          <cell r="AA17">
            <v>610.31949824404671</v>
          </cell>
          <cell r="AB17">
            <v>483.79310142443234</v>
          </cell>
          <cell r="AC17">
            <v>307.66618540997996</v>
          </cell>
          <cell r="AD17">
            <v>18.855956388323349</v>
          </cell>
          <cell r="AE17">
            <v>0</v>
          </cell>
          <cell r="AF17">
            <v>0</v>
          </cell>
          <cell r="AG17">
            <v>0</v>
          </cell>
          <cell r="AH17">
            <v>0</v>
          </cell>
        </row>
        <row r="18">
          <cell r="C18">
            <v>1459596.8993816341</v>
          </cell>
          <cell r="D18">
            <v>1517555.5483858408</v>
          </cell>
          <cell r="E18">
            <v>1575514.1973900474</v>
          </cell>
          <cell r="F18">
            <v>1633472.8463942539</v>
          </cell>
          <cell r="G18">
            <v>1691431.4953984609</v>
          </cell>
          <cell r="H18">
            <v>1731659.8335516225</v>
          </cell>
          <cell r="I18">
            <v>1771888.1717047843</v>
          </cell>
          <cell r="J18">
            <v>1812116.5098579461</v>
          </cell>
          <cell r="K18">
            <v>1852344.8480111079</v>
          </cell>
          <cell r="L18">
            <v>1808742.4658857395</v>
          </cell>
          <cell r="M18">
            <v>1765140.0837603712</v>
          </cell>
          <cell r="N18">
            <v>1721537.7016350029</v>
          </cell>
          <cell r="O18">
            <v>1677935.3195096343</v>
          </cell>
          <cell r="P18">
            <v>1695102.5933617412</v>
          </cell>
          <cell r="Q18">
            <v>1712269.8672138478</v>
          </cell>
          <cell r="R18">
            <v>1729437.1410659542</v>
          </cell>
          <cell r="S18">
            <v>1746604.4149180616</v>
          </cell>
          <cell r="T18">
            <v>1740375.4350524896</v>
          </cell>
          <cell r="U18">
            <v>1734146.4551869177</v>
          </cell>
          <cell r="V18">
            <v>1727917.4753213457</v>
          </cell>
          <cell r="W18">
            <v>1721688.4954557742</v>
          </cell>
          <cell r="X18">
            <v>1728385.9224159925</v>
          </cell>
          <cell r="Y18">
            <v>1683831.9894912366</v>
          </cell>
          <cell r="Z18">
            <v>1740710.1053046875</v>
          </cell>
          <cell r="AA18">
            <v>1747854.85304517</v>
          </cell>
          <cell r="AB18">
            <v>1768694.5651066066</v>
          </cell>
          <cell r="AC18">
            <v>1796678.5886981641</v>
          </cell>
          <cell r="AD18">
            <v>1793449.3720505484</v>
          </cell>
          <cell r="AE18">
            <v>1846107.3211451313</v>
          </cell>
          <cell r="AF18">
            <v>1814535.6460753805</v>
          </cell>
          <cell r="AG18">
            <v>1698512.0963329365</v>
          </cell>
          <cell r="AH18">
            <v>1727681.4466960004</v>
          </cell>
        </row>
        <row r="21">
          <cell r="C21">
            <v>5418.6046748496565</v>
          </cell>
          <cell r="D21">
            <v>5189.38095441515</v>
          </cell>
          <cell r="E21">
            <v>5105.0355797163174</v>
          </cell>
          <cell r="F21">
            <v>4910.4154071649436</v>
          </cell>
          <cell r="G21">
            <v>4776.6623253850703</v>
          </cell>
          <cell r="H21">
            <v>3820.7108388570859</v>
          </cell>
          <cell r="I21">
            <v>3022.4654534181168</v>
          </cell>
          <cell r="J21">
            <v>2136.6136026183653</v>
          </cell>
          <cell r="K21">
            <v>1259.7104395770689</v>
          </cell>
          <cell r="L21">
            <v>1499.9134018322018</v>
          </cell>
          <cell r="M21">
            <v>1696.8743150542484</v>
          </cell>
          <cell r="N21">
            <v>1887.9639442433047</v>
          </cell>
          <cell r="O21">
            <v>2100.8401564210394</v>
          </cell>
          <cell r="P21">
            <v>2694.9699378456003</v>
          </cell>
          <cell r="Q21">
            <v>3206.154874192709</v>
          </cell>
          <cell r="R21">
            <v>3656.6841533455363</v>
          </cell>
          <cell r="S21">
            <v>4226.1950688659817</v>
          </cell>
          <cell r="T21">
            <v>3755.2771945850973</v>
          </cell>
          <cell r="U21">
            <v>3267.3741474144786</v>
          </cell>
          <cell r="V21">
            <v>2737.1481792858863</v>
          </cell>
          <cell r="W21">
            <v>2287.3900994753167</v>
          </cell>
          <cell r="X21">
            <v>2021.6710342514095</v>
          </cell>
          <cell r="Y21">
            <v>1356.8783280948505</v>
          </cell>
          <cell r="Z21">
            <v>837.58414521005443</v>
          </cell>
          <cell r="AA21">
            <v>893.7523042368598</v>
          </cell>
          <cell r="AB21">
            <v>835.62519364041691</v>
          </cell>
          <cell r="AC21">
            <v>881.16704359402604</v>
          </cell>
          <cell r="AD21">
            <v>747.26974160224984</v>
          </cell>
          <cell r="AE21">
            <v>918.70465463923983</v>
          </cell>
          <cell r="AF21">
            <v>832.44024285157593</v>
          </cell>
          <cell r="AG21">
            <v>736.96720495876195</v>
          </cell>
          <cell r="AH21">
            <v>751.96117051725912</v>
          </cell>
        </row>
        <row r="22">
          <cell r="C22">
            <v>142.49513441253899</v>
          </cell>
          <cell r="D22">
            <v>107.14567169213257</v>
          </cell>
          <cell r="E22">
            <v>71.386406805703302</v>
          </cell>
          <cell r="F22">
            <v>35.560263742976986</v>
          </cell>
          <cell r="G22">
            <v>0</v>
          </cell>
          <cell r="H22">
            <v>0</v>
          </cell>
          <cell r="I22">
            <v>0</v>
          </cell>
          <cell r="J22">
            <v>0</v>
          </cell>
          <cell r="K22">
            <v>0</v>
          </cell>
          <cell r="L22">
            <v>8.9025806389363815</v>
          </cell>
          <cell r="M22">
            <v>17.764147408327883</v>
          </cell>
          <cell r="N22">
            <v>26.561185040800428</v>
          </cell>
          <cell r="O22">
            <v>35.287173863974928</v>
          </cell>
          <cell r="P22">
            <v>35.258286327010673</v>
          </cell>
          <cell r="Q22">
            <v>35.268473177348156</v>
          </cell>
          <cell r="R22">
            <v>35.608738561115487</v>
          </cell>
          <cell r="S22">
            <v>35.661318802003088</v>
          </cell>
          <cell r="T22">
            <v>39.762215815916825</v>
          </cell>
          <cell r="U22">
            <v>43.890417445393993</v>
          </cell>
          <cell r="V22">
            <v>48.113888958629843</v>
          </cell>
          <cell r="W22">
            <v>52.250869068006786</v>
          </cell>
          <cell r="X22">
            <v>76.819016137710847</v>
          </cell>
          <cell r="Y22">
            <v>60.130716785234895</v>
          </cell>
          <cell r="Z22">
            <v>50.810112335066201</v>
          </cell>
          <cell r="AA22">
            <v>55.032269668890386</v>
          </cell>
          <cell r="AB22">
            <v>43.721854027457844</v>
          </cell>
          <cell r="AC22">
            <v>27.83725766509513</v>
          </cell>
          <cell r="AD22">
            <v>1.7076805567445219</v>
          </cell>
          <cell r="AE22">
            <v>0</v>
          </cell>
          <cell r="AF22">
            <v>0</v>
          </cell>
          <cell r="AG22">
            <v>0</v>
          </cell>
          <cell r="AH22">
            <v>0</v>
          </cell>
        </row>
        <row r="23">
          <cell r="C23">
            <v>76312.178637676916</v>
          </cell>
          <cell r="D23">
            <v>79724.136879233716</v>
          </cell>
          <cell r="E23">
            <v>82373.100439176735</v>
          </cell>
          <cell r="F23">
            <v>85703.900023800292</v>
          </cell>
          <cell r="G23">
            <v>88539.602884990847</v>
          </cell>
          <cell r="H23">
            <v>90833.860314642778</v>
          </cell>
          <cell r="I23">
            <v>92251.356176199828</v>
          </cell>
          <cell r="J23">
            <v>94341.39281937269</v>
          </cell>
          <cell r="K23">
            <v>96448.502559418048</v>
          </cell>
          <cell r="L23">
            <v>94548.043976727509</v>
          </cell>
          <cell r="M23">
            <v>92065.127066824964</v>
          </cell>
          <cell r="N23">
            <v>90115.748164922741</v>
          </cell>
          <cell r="O23">
            <v>88016.678134236747</v>
          </cell>
          <cell r="P23">
            <v>88200.024834521129</v>
          </cell>
          <cell r="Q23">
            <v>89047.829309259381</v>
          </cell>
          <cell r="R23">
            <v>90660.935205458532</v>
          </cell>
          <cell r="S23">
            <v>90869.732110850688</v>
          </cell>
          <cell r="T23">
            <v>90637.510662288958</v>
          </cell>
          <cell r="U23">
            <v>90904.649900096978</v>
          </cell>
          <cell r="V23">
            <v>91920.370375769489</v>
          </cell>
          <cell r="W23">
            <v>91250.065782340826</v>
          </cell>
          <cell r="X23">
            <v>91533.358574641068</v>
          </cell>
          <cell r="Y23">
            <v>89020.824027023016</v>
          </cell>
          <cell r="Z23">
            <v>91357.51898231887</v>
          </cell>
          <cell r="AA23">
            <v>91696.525485242702</v>
          </cell>
          <cell r="AB23">
            <v>92926.186372399228</v>
          </cell>
          <cell r="AC23">
            <v>93384.306748480449</v>
          </cell>
          <cell r="AD23">
            <v>93387.779458987017</v>
          </cell>
          <cell r="AE23">
            <v>95737.824981888029</v>
          </cell>
          <cell r="AF23">
            <v>94631.200814073905</v>
          </cell>
          <cell r="AG23">
            <v>89672.279667162657</v>
          </cell>
          <cell r="AH23">
            <v>90560.618957693267</v>
          </cell>
        </row>
      </sheetData>
      <sheetData sheetId="5">
        <row r="16">
          <cell r="C16">
            <v>4543.5959006248231</v>
          </cell>
          <cell r="D16">
            <v>4574.7865433196775</v>
          </cell>
          <cell r="E16">
            <v>4605.9771860145329</v>
          </cell>
          <cell r="F16">
            <v>4637.1678287093891</v>
          </cell>
          <cell r="G16">
            <v>4668.3584714042427</v>
          </cell>
          <cell r="H16">
            <v>4813.3734275687475</v>
          </cell>
          <cell r="I16">
            <v>4958.3883837332523</v>
          </cell>
          <cell r="J16">
            <v>5103.4033398977572</v>
          </cell>
          <cell r="K16">
            <v>5248.418296062262</v>
          </cell>
          <cell r="L16">
            <v>5230.3246210062762</v>
          </cell>
          <cell r="M16">
            <v>5212.2309459502922</v>
          </cell>
          <cell r="N16">
            <v>5194.1372708943063</v>
          </cell>
          <cell r="O16">
            <v>5176.0435958383196</v>
          </cell>
          <cell r="P16">
            <v>5256.9811074845466</v>
          </cell>
          <cell r="Q16">
            <v>5337.9186191307735</v>
          </cell>
          <cell r="R16">
            <v>5418.8561307769996</v>
          </cell>
          <cell r="S16">
            <v>5499.7936424232266</v>
          </cell>
          <cell r="T16">
            <v>5506.6593756904513</v>
          </cell>
          <cell r="U16">
            <v>5513.5251089576759</v>
          </cell>
          <cell r="V16">
            <v>5520.3908422248996</v>
          </cell>
          <cell r="W16">
            <v>5527.2565754921243</v>
          </cell>
          <cell r="X16">
            <v>10100.228282075124</v>
          </cell>
          <cell r="Y16">
            <v>13076.079693227537</v>
          </cell>
          <cell r="Z16">
            <v>10416.171518463409</v>
          </cell>
          <cell r="AA16">
            <v>10505.924516676045</v>
          </cell>
          <cell r="AB16">
            <v>10614.227728988297</v>
          </cell>
          <cell r="AC16">
            <v>8245.9158117046154</v>
          </cell>
          <cell r="AD16">
            <v>7034.5987000387404</v>
          </cell>
          <cell r="AE16">
            <v>7924.2996426333193</v>
          </cell>
          <cell r="AF16">
            <v>7305.0181735125107</v>
          </cell>
          <cell r="AG16">
            <v>6784.274262955164</v>
          </cell>
          <cell r="AH16">
            <v>12565.496379415923</v>
          </cell>
        </row>
        <row r="17">
          <cell r="C17">
            <v>140675.89752547321</v>
          </cell>
          <cell r="D17">
            <v>137279.72202464516</v>
          </cell>
          <cell r="E17">
            <v>133883.54652381715</v>
          </cell>
          <cell r="F17">
            <v>130487.37102298913</v>
          </cell>
          <cell r="G17">
            <v>127091.1955221611</v>
          </cell>
          <cell r="H17">
            <v>124198.33087932257</v>
          </cell>
          <cell r="I17">
            <v>121305.46623648406</v>
          </cell>
          <cell r="J17">
            <v>118412.60159364555</v>
          </cell>
          <cell r="K17">
            <v>115519.73695080703</v>
          </cell>
          <cell r="L17">
            <v>106923.01632140134</v>
          </cell>
          <cell r="M17">
            <v>98326.295691995663</v>
          </cell>
          <cell r="N17">
            <v>89729.575062589967</v>
          </cell>
          <cell r="O17">
            <v>81132.854433184286</v>
          </cell>
          <cell r="P17">
            <v>82613.065546203754</v>
          </cell>
          <cell r="Q17">
            <v>84093.276659223222</v>
          </cell>
          <cell r="R17">
            <v>85573.487772242675</v>
          </cell>
          <cell r="S17">
            <v>87053.698885262158</v>
          </cell>
          <cell r="T17">
            <v>84860.106111108762</v>
          </cell>
          <cell r="U17">
            <v>82666.513336955366</v>
          </cell>
          <cell r="V17">
            <v>80472.92056280197</v>
          </cell>
          <cell r="W17">
            <v>78279.327788648559</v>
          </cell>
          <cell r="X17">
            <v>75159.681985727366</v>
          </cell>
          <cell r="Y17">
            <v>71080.908310086845</v>
          </cell>
          <cell r="Z17">
            <v>76227.050120838234</v>
          </cell>
          <cell r="AA17">
            <v>79793.952330517146</v>
          </cell>
          <cell r="AB17">
            <v>74441.869200576155</v>
          </cell>
          <cell r="AC17">
            <v>61168.562933093424</v>
          </cell>
          <cell r="AD17">
            <v>70823.846736846142</v>
          </cell>
          <cell r="AE17">
            <v>65939.374828001761</v>
          </cell>
          <cell r="AF17">
            <v>59089.520570783512</v>
          </cell>
          <cell r="AG17">
            <v>49858.076424596169</v>
          </cell>
          <cell r="AH17">
            <v>54132.701973383832</v>
          </cell>
        </row>
        <row r="18">
          <cell r="C18">
            <v>883547.643862759</v>
          </cell>
          <cell r="D18">
            <v>875809.93530781497</v>
          </cell>
          <cell r="E18">
            <v>868072.22675287107</v>
          </cell>
          <cell r="F18">
            <v>860334.51819792716</v>
          </cell>
          <cell r="G18">
            <v>852596.80964298313</v>
          </cell>
          <cell r="H18">
            <v>862187.94750772917</v>
          </cell>
          <cell r="I18">
            <v>871779.08537247521</v>
          </cell>
          <cell r="J18">
            <v>881370.22323722136</v>
          </cell>
          <cell r="K18">
            <v>890961.36110196752</v>
          </cell>
          <cell r="L18">
            <v>885120.7345216109</v>
          </cell>
          <cell r="M18">
            <v>879280.10794125439</v>
          </cell>
          <cell r="N18">
            <v>873439.48136089777</v>
          </cell>
          <cell r="O18">
            <v>867598.85478054138</v>
          </cell>
          <cell r="P18">
            <v>818432.83939119498</v>
          </cell>
          <cell r="Q18">
            <v>769266.8240018487</v>
          </cell>
          <cell r="R18">
            <v>720100.8086125023</v>
          </cell>
          <cell r="S18">
            <v>670934.79322315566</v>
          </cell>
          <cell r="T18">
            <v>677824.21427966305</v>
          </cell>
          <cell r="U18">
            <v>684713.63533617032</v>
          </cell>
          <cell r="V18">
            <v>691603.05639267759</v>
          </cell>
          <cell r="W18">
            <v>698492.47744918521</v>
          </cell>
          <cell r="X18">
            <v>1213715.5560139297</v>
          </cell>
          <cell r="Y18">
            <v>1265397.8371205558</v>
          </cell>
          <cell r="Z18">
            <v>1304648.6885853882</v>
          </cell>
          <cell r="AA18">
            <v>1370406.2022312426</v>
          </cell>
          <cell r="AB18">
            <v>1433185.5033866107</v>
          </cell>
          <cell r="AC18">
            <v>975239.84685674682</v>
          </cell>
          <cell r="AD18">
            <v>979903.49336857023</v>
          </cell>
          <cell r="AE18">
            <v>1014179.5737044474</v>
          </cell>
          <cell r="AF18">
            <v>1033546.0075181447</v>
          </cell>
          <cell r="AG18">
            <v>1009591.9054671825</v>
          </cell>
          <cell r="AH18">
            <v>1011668.5034009822</v>
          </cell>
        </row>
        <row r="21">
          <cell r="C21">
            <v>341.869707827985</v>
          </cell>
          <cell r="D21">
            <v>338.91274698515798</v>
          </cell>
          <cell r="E21">
            <v>345.37648735436193</v>
          </cell>
          <cell r="F21">
            <v>344.41074281416434</v>
          </cell>
          <cell r="G21">
            <v>347.62616425379457</v>
          </cell>
          <cell r="H21">
            <v>352.12080039846859</v>
          </cell>
          <cell r="I21">
            <v>371.79474761229608</v>
          </cell>
          <cell r="J21">
            <v>384.08524740817347</v>
          </cell>
          <cell r="K21">
            <v>401.41677166250582</v>
          </cell>
          <cell r="L21">
            <v>404.59429505634319</v>
          </cell>
          <cell r="M21">
            <v>396.44772722180619</v>
          </cell>
          <cell r="N21">
            <v>388.69531118348567</v>
          </cell>
          <cell r="O21">
            <v>386.31157520530098</v>
          </cell>
          <cell r="P21">
            <v>403.47703676578914</v>
          </cell>
          <cell r="Q21">
            <v>406.72341194529668</v>
          </cell>
          <cell r="R21">
            <v>404.03301912698811</v>
          </cell>
          <cell r="S21">
            <v>414.99745914798393</v>
          </cell>
          <cell r="T21">
            <v>414.65869790876741</v>
          </cell>
          <cell r="U21">
            <v>411.93556520967843</v>
          </cell>
          <cell r="V21">
            <v>401.9301860084193</v>
          </cell>
          <cell r="W21">
            <v>401.92799398278629</v>
          </cell>
          <cell r="X21">
            <v>732.8276986077849</v>
          </cell>
          <cell r="Y21">
            <v>947.99852821006778</v>
          </cell>
          <cell r="Z21">
            <v>758.36336565245222</v>
          </cell>
          <cell r="AA21">
            <v>775.48606746526048</v>
          </cell>
          <cell r="AB21">
            <v>772.46406446878223</v>
          </cell>
          <cell r="AC21">
            <v>628.20344345032379</v>
          </cell>
          <cell r="AD21">
            <v>529.58024356082194</v>
          </cell>
          <cell r="AE21">
            <v>606.41402556452113</v>
          </cell>
          <cell r="AF21">
            <v>541.1837242881254</v>
          </cell>
          <cell r="AG21">
            <v>471.83432230953986</v>
          </cell>
          <cell r="AH21">
            <v>901.08641486147576</v>
          </cell>
        </row>
        <row r="22">
          <cell r="C22">
            <v>12616.251977426893</v>
          </cell>
          <cell r="D22">
            <v>12343.274400611761</v>
          </cell>
          <cell r="E22">
            <v>12030.490947742504</v>
          </cell>
          <cell r="F22">
            <v>11681.6467824882</v>
          </cell>
          <cell r="G22">
            <v>11378.170695323552</v>
          </cell>
          <cell r="H22">
            <v>11130.236149026046</v>
          </cell>
          <cell r="I22">
            <v>10852.917020681518</v>
          </cell>
          <cell r="J22">
            <v>10595.470825058937</v>
          </cell>
          <cell r="K22">
            <v>10351.798999623501</v>
          </cell>
          <cell r="L22">
            <v>9585.5651864798801</v>
          </cell>
          <cell r="M22">
            <v>8794.57096514976</v>
          </cell>
          <cell r="N22">
            <v>8000.0446464503993</v>
          </cell>
          <cell r="O22">
            <v>7207.493321033242</v>
          </cell>
          <cell r="P22">
            <v>7332.9809013183012</v>
          </cell>
          <cell r="Q22">
            <v>7466.5254441182296</v>
          </cell>
          <cell r="R22">
            <v>7671.2553272483656</v>
          </cell>
          <cell r="S22">
            <v>7815.4725928262305</v>
          </cell>
          <cell r="T22">
            <v>7612.5051110186805</v>
          </cell>
          <cell r="U22">
            <v>7415.568360556249</v>
          </cell>
          <cell r="V22">
            <v>7232.988238512723</v>
          </cell>
          <cell r="W22">
            <v>7035.8011400009045</v>
          </cell>
          <cell r="X22">
            <v>6760.5234930157894</v>
          </cell>
          <cell r="Y22">
            <v>6406.8237205677651</v>
          </cell>
          <cell r="Z22">
            <v>6868.0314538275452</v>
          </cell>
          <cell r="AA22">
            <v>7194.9893707044739</v>
          </cell>
          <cell r="AB22">
            <v>6727.5381338340248</v>
          </cell>
          <cell r="AC22">
            <v>5534.4562650038797</v>
          </cell>
          <cell r="AD22">
            <v>6414.1273736325375</v>
          </cell>
          <cell r="AE22">
            <v>5976.6673286475034</v>
          </cell>
          <cell r="AF22">
            <v>5353.7853713458144</v>
          </cell>
          <cell r="AG22">
            <v>4527.3202922957698</v>
          </cell>
          <cell r="AH22">
            <v>4909.4375641801844</v>
          </cell>
        </row>
        <row r="23">
          <cell r="C23">
            <v>46194.566227099109</v>
          </cell>
          <cell r="D23">
            <v>46010.303370404472</v>
          </cell>
          <cell r="E23">
            <v>45385.691123081313</v>
          </cell>
          <cell r="F23">
            <v>45139.424078839656</v>
          </cell>
          <cell r="G23">
            <v>44629.997225525563</v>
          </cell>
          <cell r="H23">
            <v>45225.891408626339</v>
          </cell>
          <cell r="I23">
            <v>45388.193338567668</v>
          </cell>
          <cell r="J23">
            <v>45885.401958088827</v>
          </cell>
          <cell r="K23">
            <v>46390.870041748509</v>
          </cell>
          <cell r="L23">
            <v>46267.744419480667</v>
          </cell>
          <cell r="M23">
            <v>45860.969114977488</v>
          </cell>
          <cell r="N23">
            <v>45721.131907169511</v>
          </cell>
          <cell r="O23">
            <v>45510.198315134076</v>
          </cell>
          <cell r="P23">
            <v>42584.913174211826</v>
          </cell>
          <cell r="Q23">
            <v>40006.275966566107</v>
          </cell>
          <cell r="R23">
            <v>37749.283394467493</v>
          </cell>
          <cell r="S23">
            <v>34906.395748975207</v>
          </cell>
          <cell r="T23">
            <v>35300.601359658744</v>
          </cell>
          <cell r="U23">
            <v>35892.962278868312</v>
          </cell>
          <cell r="V23">
            <v>36791.34565428616</v>
          </cell>
          <cell r="W23">
            <v>37020.334795717768</v>
          </cell>
          <cell r="X23">
            <v>64276.999572497167</v>
          </cell>
          <cell r="Y23">
            <v>66899.048649456003</v>
          </cell>
          <cell r="Z23">
            <v>68471.750103291633</v>
          </cell>
          <cell r="AA23">
            <v>71894.692530732878</v>
          </cell>
          <cell r="AB23">
            <v>75298.734909550447</v>
          </cell>
          <cell r="AC23">
            <v>50689.142501664966</v>
          </cell>
          <cell r="AD23">
            <v>51025.143366698692</v>
          </cell>
          <cell r="AE23">
            <v>52594.638142323398</v>
          </cell>
          <cell r="AF23">
            <v>53901.228118376013</v>
          </cell>
          <cell r="AG23">
            <v>53301.008507513732</v>
          </cell>
          <cell r="AH23">
            <v>53029.061591883248</v>
          </cell>
        </row>
      </sheetData>
      <sheetData sheetId="6">
        <row r="16">
          <cell r="C16">
            <v>22804.001631830288</v>
          </cell>
          <cell r="D16">
            <v>24940.488981902847</v>
          </cell>
          <cell r="E16">
            <v>27076.976331975409</v>
          </cell>
          <cell r="F16">
            <v>29213.463682047972</v>
          </cell>
          <cell r="G16">
            <v>31349.951032120534</v>
          </cell>
          <cell r="H16">
            <v>28965.532168629736</v>
          </cell>
          <cell r="I16">
            <v>26581.113305138933</v>
          </cell>
          <cell r="J16">
            <v>24196.694441648131</v>
          </cell>
          <cell r="K16">
            <v>21812.275578157332</v>
          </cell>
          <cell r="L16">
            <v>16682.590226137683</v>
          </cell>
          <cell r="M16">
            <v>11552.904874118036</v>
          </cell>
          <cell r="N16">
            <v>6423.2195220983876</v>
          </cell>
          <cell r="O16">
            <v>1293.5341700787415</v>
          </cell>
          <cell r="P16">
            <v>4546.2033278148165</v>
          </cell>
          <cell r="Q16">
            <v>7798.8724855508917</v>
          </cell>
          <cell r="R16">
            <v>11051.541643286968</v>
          </cell>
          <cell r="S16">
            <v>14304.21080102304</v>
          </cell>
          <cell r="T16">
            <v>10985.19182365155</v>
          </cell>
          <cell r="U16">
            <v>7666.1728462800611</v>
          </cell>
          <cell r="V16">
            <v>4347.1538689085719</v>
          </cell>
          <cell r="W16">
            <v>1028.1348915370845</v>
          </cell>
          <cell r="X16">
            <v>624.52416043242135</v>
          </cell>
          <cell r="Y16">
            <v>456.92767175444817</v>
          </cell>
          <cell r="Z16">
            <v>2999.0792045800631</v>
          </cell>
          <cell r="AA16">
            <v>1105.9241026975403</v>
          </cell>
          <cell r="AB16">
            <v>905.00420591732973</v>
          </cell>
          <cell r="AC16">
            <v>604.73372032690645</v>
          </cell>
          <cell r="AD16">
            <v>877.72413443820585</v>
          </cell>
          <cell r="AE16">
            <v>988.96606773872418</v>
          </cell>
          <cell r="AF16">
            <v>564.99463181969463</v>
          </cell>
          <cell r="AG16">
            <v>187.69839216617052</v>
          </cell>
          <cell r="AH16">
            <v>525.32758016689991</v>
          </cell>
        </row>
        <row r="17">
          <cell r="C17">
            <v>14.127424433553628</v>
          </cell>
          <cell r="D17">
            <v>14.264481536267208</v>
          </cell>
          <cell r="E17">
            <v>14.401538638980787</v>
          </cell>
          <cell r="F17">
            <v>14.538595741694367</v>
          </cell>
          <cell r="G17">
            <v>14.675652844407947</v>
          </cell>
          <cell r="H17">
            <v>14.019360179490999</v>
          </cell>
          <cell r="I17">
            <v>13.363067514574048</v>
          </cell>
          <cell r="J17">
            <v>12.706774849657098</v>
          </cell>
          <cell r="K17">
            <v>12.050482184740146</v>
          </cell>
          <cell r="L17">
            <v>11.496982346858381</v>
          </cell>
          <cell r="M17">
            <v>10.943482508976617</v>
          </cell>
          <cell r="N17">
            <v>10.389982671094851</v>
          </cell>
          <cell r="O17">
            <v>9.8364828332130863</v>
          </cell>
          <cell r="P17">
            <v>9.4727543683193556</v>
          </cell>
          <cell r="Q17">
            <v>9.1090259034256231</v>
          </cell>
          <cell r="R17">
            <v>8.7452974385318907</v>
          </cell>
          <cell r="S17">
            <v>8.38156897363816</v>
          </cell>
          <cell r="T17">
            <v>7.0797433383096173</v>
          </cell>
          <cell r="U17">
            <v>5.7779177029810747</v>
          </cell>
          <cell r="V17">
            <v>4.476092067652532</v>
          </cell>
          <cell r="W17">
            <v>3.1742664323239906</v>
          </cell>
          <cell r="X17">
            <v>15.424771565177284</v>
          </cell>
          <cell r="Y17">
            <v>15.469217330993001</v>
          </cell>
          <cell r="Z17">
            <v>12.413404568434839</v>
          </cell>
          <cell r="AA17">
            <v>11.427683344292639</v>
          </cell>
          <cell r="AB17">
            <v>8.2997355803009061</v>
          </cell>
          <cell r="AC17">
            <v>9.0849711317362178</v>
          </cell>
          <cell r="AD17">
            <v>11.366423833187755</v>
          </cell>
          <cell r="AE17">
            <v>9.3253683041023496</v>
          </cell>
          <cell r="AF17">
            <v>8.0212832570968953</v>
          </cell>
          <cell r="AG17">
            <v>6.5343478511874729</v>
          </cell>
          <cell r="AH17">
            <v>8.0120015129900946</v>
          </cell>
        </row>
        <row r="18">
          <cell r="C18">
            <v>598287.9669064933</v>
          </cell>
          <cell r="D18">
            <v>542890.93293366977</v>
          </cell>
          <cell r="E18">
            <v>487493.89896084636</v>
          </cell>
          <cell r="F18">
            <v>432096.86498802289</v>
          </cell>
          <cell r="G18">
            <v>376699.83101519948</v>
          </cell>
          <cell r="H18">
            <v>372742.90001714067</v>
          </cell>
          <cell r="I18">
            <v>368785.96901908185</v>
          </cell>
          <cell r="J18">
            <v>364829.03802102304</v>
          </cell>
          <cell r="K18">
            <v>360872.10702296422</v>
          </cell>
          <cell r="L18">
            <v>347418.54162956425</v>
          </cell>
          <cell r="M18">
            <v>333964.97623616428</v>
          </cell>
          <cell r="N18">
            <v>320511.41084276425</v>
          </cell>
          <cell r="O18">
            <v>307057.84544936428</v>
          </cell>
          <cell r="P18">
            <v>294791.35935538198</v>
          </cell>
          <cell r="Q18">
            <v>282524.87326139968</v>
          </cell>
          <cell r="R18">
            <v>270258.38716741733</v>
          </cell>
          <cell r="S18">
            <v>257991.90107343494</v>
          </cell>
          <cell r="T18">
            <v>265708.50962377951</v>
          </cell>
          <cell r="U18">
            <v>273425.11817412404</v>
          </cell>
          <cell r="V18">
            <v>281141.72672446858</v>
          </cell>
          <cell r="W18">
            <v>288858.33527481323</v>
          </cell>
          <cell r="X18">
            <v>309259.49802847928</v>
          </cell>
          <cell r="Y18">
            <v>294250.48705988348</v>
          </cell>
          <cell r="Z18">
            <v>293372.0421315438</v>
          </cell>
          <cell r="AA18">
            <v>309230.41895382409</v>
          </cell>
          <cell r="AB18">
            <v>277409.19570122054</v>
          </cell>
          <cell r="AC18">
            <v>267511.89769481745</v>
          </cell>
          <cell r="AD18">
            <v>280455.9412872782</v>
          </cell>
          <cell r="AE18">
            <v>293542.58863514074</v>
          </cell>
          <cell r="AF18">
            <v>293157.63744231657</v>
          </cell>
          <cell r="AG18">
            <v>274042.43059925514</v>
          </cell>
          <cell r="AH18">
            <v>276954.56934272003</v>
          </cell>
        </row>
        <row r="21">
          <cell r="C21">
            <v>1715.8210249530839</v>
          </cell>
          <cell r="D21">
            <v>1847.6598966902015</v>
          </cell>
          <cell r="E21">
            <v>2030.3511276847553</v>
          </cell>
          <cell r="F21">
            <v>2169.7361619342205</v>
          </cell>
          <cell r="G21">
            <v>2334.4529546297267</v>
          </cell>
          <cell r="H21">
            <v>2118.9642824652456</v>
          </cell>
          <cell r="I21">
            <v>1993.1311441757441</v>
          </cell>
          <cell r="J21">
            <v>1821.0579787853076</v>
          </cell>
          <cell r="K21">
            <v>1668.2765647254278</v>
          </cell>
          <cell r="L21">
            <v>1290.4898493584185</v>
          </cell>
          <cell r="M21">
            <v>878.72600574470061</v>
          </cell>
          <cell r="N21">
            <v>480.6717999025862</v>
          </cell>
          <cell r="O21">
            <v>96.542313365903368</v>
          </cell>
          <cell r="P21">
            <v>348.92433694120592</v>
          </cell>
          <cell r="Q21">
            <v>594.23611579265344</v>
          </cell>
          <cell r="R21">
            <v>824.00927952014365</v>
          </cell>
          <cell r="S21">
            <v>1079.3516127136356</v>
          </cell>
          <cell r="T21">
            <v>827.1994011436833</v>
          </cell>
          <cell r="U21">
            <v>572.76772700224012</v>
          </cell>
          <cell r="V21">
            <v>316.50881487830338</v>
          </cell>
          <cell r="W21">
            <v>74.76334576750078</v>
          </cell>
          <cell r="X21">
            <v>45.312698924525783</v>
          </cell>
          <cell r="Y21">
            <v>33.126653437728656</v>
          </cell>
          <cell r="Z21">
            <v>218.35199193984985</v>
          </cell>
          <cell r="AA21">
            <v>81.632866479732371</v>
          </cell>
          <cell r="AB21">
            <v>65.862844204387244</v>
          </cell>
          <cell r="AC21">
            <v>46.070783907428073</v>
          </cell>
          <cell r="AD21">
            <v>66.07702595635439</v>
          </cell>
          <cell r="AE21">
            <v>75.681501373017369</v>
          </cell>
          <cell r="AF21">
            <v>41.856966237218479</v>
          </cell>
          <cell r="AG21">
            <v>13.054092484129367</v>
          </cell>
          <cell r="AH21">
            <v>37.67185406347231</v>
          </cell>
        </row>
        <row r="22">
          <cell r="C22">
            <v>1.266991358014941</v>
          </cell>
          <cell r="D22">
            <v>1.2825667708811146</v>
          </cell>
          <cell r="E22">
            <v>1.2940916544887067</v>
          </cell>
          <cell r="F22">
            <v>1.3015415885567909</v>
          </cell>
          <cell r="G22">
            <v>1.313876090652301</v>
          </cell>
          <cell r="H22">
            <v>1.2563678460993346</v>
          </cell>
          <cell r="I22">
            <v>1.1955624703235177</v>
          </cell>
          <cell r="J22">
            <v>1.13699268817821</v>
          </cell>
          <cell r="K22">
            <v>1.0798515709752263</v>
          </cell>
          <cell r="L22">
            <v>1.0306955183751321</v>
          </cell>
          <cell r="M22">
            <v>0.97881480079905803</v>
          </cell>
          <cell r="N22">
            <v>0.92634257084829641</v>
          </cell>
          <cell r="O22">
            <v>0.87383076582406072</v>
          </cell>
          <cell r="P22">
            <v>0.84082979376810374</v>
          </cell>
          <cell r="Q22">
            <v>0.8087777808286879</v>
          </cell>
          <cell r="R22">
            <v>0.78397423442953651</v>
          </cell>
          <cell r="S22">
            <v>0.75247718864524438</v>
          </cell>
          <cell r="T22">
            <v>0.63509916281529666</v>
          </cell>
          <cell r="U22">
            <v>0.51830592556236565</v>
          </cell>
          <cell r="V22">
            <v>0.40231572376653879</v>
          </cell>
          <cell r="W22">
            <v>0.28530530363663092</v>
          </cell>
          <cell r="X22">
            <v>1.3874397520812471</v>
          </cell>
          <cell r="Y22">
            <v>1.3943061630904874</v>
          </cell>
          <cell r="Z22">
            <v>1.1184435563221491</v>
          </cell>
          <cell r="AA22">
            <v>1.0304297229618029</v>
          </cell>
          <cell r="AB22">
            <v>0.75007234795202127</v>
          </cell>
          <cell r="AC22">
            <v>0.82199700281358423</v>
          </cell>
          <cell r="AD22">
            <v>1.029394668714452</v>
          </cell>
          <cell r="AE22">
            <v>0.84524040781571474</v>
          </cell>
          <cell r="AF22">
            <v>0.72676556767495593</v>
          </cell>
          <cell r="AG22">
            <v>0.59334590792608821</v>
          </cell>
          <cell r="AH22">
            <v>0.72662955585483491</v>
          </cell>
        </row>
        <row r="23">
          <cell r="C23">
            <v>31280.320084732666</v>
          </cell>
          <cell r="D23">
            <v>28520.544828645958</v>
          </cell>
          <cell r="E23">
            <v>25487.795647357296</v>
          </cell>
          <cell r="F23">
            <v>22670.953238847371</v>
          </cell>
          <cell r="G23">
            <v>19718.713726015718</v>
          </cell>
          <cell r="H23">
            <v>19552.152136017357</v>
          </cell>
          <cell r="I23">
            <v>19200.424904937274</v>
          </cell>
          <cell r="J23">
            <v>18993.524644038087</v>
          </cell>
          <cell r="K23">
            <v>18790.007905492461</v>
          </cell>
          <cell r="L23">
            <v>18160.542018477499</v>
          </cell>
          <cell r="M23">
            <v>17418.746679612359</v>
          </cell>
          <cell r="N23">
            <v>16777.515564172278</v>
          </cell>
          <cell r="O23">
            <v>16106.825595284055</v>
          </cell>
          <cell r="P23">
            <v>15338.661693969994</v>
          </cell>
          <cell r="Q23">
            <v>14692.909786900556</v>
          </cell>
          <cell r="R23">
            <v>14167.544772754789</v>
          </cell>
          <cell r="S23">
            <v>13422.418228807659</v>
          </cell>
          <cell r="T23">
            <v>13837.909561944534</v>
          </cell>
          <cell r="U23">
            <v>14333.053916621067</v>
          </cell>
          <cell r="V23">
            <v>14955.952479032883</v>
          </cell>
          <cell r="W23">
            <v>15309.588328652015</v>
          </cell>
          <cell r="X23">
            <v>16378.032335559117</v>
          </cell>
          <cell r="Y23">
            <v>15556.433772432512</v>
          </cell>
          <cell r="Z23">
            <v>15397.016324681408</v>
          </cell>
          <cell r="AA23">
            <v>16222.946054708136</v>
          </cell>
          <cell r="AB23">
            <v>14574.918207879047</v>
          </cell>
          <cell r="AC23">
            <v>13904.219302408432</v>
          </cell>
          <cell r="AD23">
            <v>14603.789770186359</v>
          </cell>
          <cell r="AE23">
            <v>15222.911828359591</v>
          </cell>
          <cell r="AF23">
            <v>15288.682434531165</v>
          </cell>
          <cell r="AG23">
            <v>14467.962595274039</v>
          </cell>
          <cell r="AH23">
            <v>14517.24637710446</v>
          </cell>
        </row>
      </sheetData>
      <sheetData sheetId="7">
        <row r="16">
          <cell r="C16">
            <v>186.78980583671665</v>
          </cell>
          <cell r="D16">
            <v>186.78980583671665</v>
          </cell>
          <cell r="E16">
            <v>228.7317856124705</v>
          </cell>
          <cell r="F16">
            <v>270.67376538822441</v>
          </cell>
          <cell r="G16">
            <v>312.6157451639782</v>
          </cell>
          <cell r="H16">
            <v>403.80427991838798</v>
          </cell>
          <cell r="I16">
            <v>494.99281467279775</v>
          </cell>
          <cell r="J16">
            <v>586.18134942720758</v>
          </cell>
          <cell r="K16">
            <v>677.36988418161741</v>
          </cell>
          <cell r="L16">
            <v>737.91413158282728</v>
          </cell>
          <cell r="M16">
            <v>798.45837898403704</v>
          </cell>
          <cell r="N16">
            <v>859.0026263852468</v>
          </cell>
          <cell r="O16">
            <v>919.54687378645667</v>
          </cell>
          <cell r="P16">
            <v>890.65942968005493</v>
          </cell>
          <cell r="Q16">
            <v>861.77198557365307</v>
          </cell>
          <cell r="R16">
            <v>832.8845414672511</v>
          </cell>
          <cell r="S16">
            <v>803.99709736084947</v>
          </cell>
          <cell r="T16">
            <v>822.67044853707034</v>
          </cell>
          <cell r="U16">
            <v>841.34379971329156</v>
          </cell>
          <cell r="V16">
            <v>860.01715088951255</v>
          </cell>
          <cell r="W16">
            <v>878.69050206573365</v>
          </cell>
          <cell r="X16">
            <v>815.97669016458201</v>
          </cell>
          <cell r="Y16">
            <v>766.39756480281062</v>
          </cell>
          <cell r="Z16">
            <v>1411.0419492284352</v>
          </cell>
          <cell r="AA16">
            <v>739.35993721808688</v>
          </cell>
          <cell r="AB16">
            <v>698.68463793056731</v>
          </cell>
          <cell r="AC16">
            <v>633.35660243696373</v>
          </cell>
          <cell r="AD16">
            <v>875.3040490032904</v>
          </cell>
          <cell r="AE16">
            <v>923.35228131533324</v>
          </cell>
          <cell r="AF16">
            <v>740.59180886334866</v>
          </cell>
          <cell r="AG16">
            <v>672.94107128828296</v>
          </cell>
          <cell r="AH16">
            <v>716.76327202003858</v>
          </cell>
        </row>
        <row r="17">
          <cell r="C17">
            <v>1119.1272145137464</v>
          </cell>
          <cell r="D17">
            <v>1119.1272145137464</v>
          </cell>
          <cell r="E17">
            <v>2137.5055878150347</v>
          </cell>
          <cell r="F17">
            <v>3155.883961116323</v>
          </cell>
          <cell r="G17">
            <v>4174.2623344176109</v>
          </cell>
          <cell r="H17">
            <v>7467.3147070539762</v>
          </cell>
          <cell r="I17">
            <v>10760.367079690341</v>
          </cell>
          <cell r="J17">
            <v>14053.419452326703</v>
          </cell>
          <cell r="K17">
            <v>17346.471824963068</v>
          </cell>
          <cell r="L17">
            <v>19184.964890135554</v>
          </cell>
          <cell r="M17">
            <v>21023.457955308051</v>
          </cell>
          <cell r="N17">
            <v>22861.951020480537</v>
          </cell>
          <cell r="O17">
            <v>24700.444085653027</v>
          </cell>
          <cell r="P17">
            <v>23803.406517725391</v>
          </cell>
          <cell r="Q17">
            <v>22906.368949797761</v>
          </cell>
          <cell r="R17">
            <v>22009.331381870124</v>
          </cell>
          <cell r="S17">
            <v>21112.293813942491</v>
          </cell>
          <cell r="T17">
            <v>18572.677600706389</v>
          </cell>
          <cell r="U17">
            <v>16033.061387470289</v>
          </cell>
          <cell r="V17">
            <v>13493.44517423419</v>
          </cell>
          <cell r="W17">
            <v>10953.828960998086</v>
          </cell>
          <cell r="X17">
            <v>13625.011923865201</v>
          </cell>
          <cell r="Y17">
            <v>14082.243493629254</v>
          </cell>
          <cell r="Z17">
            <v>14059.00148077528</v>
          </cell>
          <cell r="AA17">
            <v>14092.322148790063</v>
          </cell>
          <cell r="AB17">
            <v>13338.378927921882</v>
          </cell>
          <cell r="AC17">
            <v>12940.947272996087</v>
          </cell>
          <cell r="AD17">
            <v>12754.119450386301</v>
          </cell>
          <cell r="AE17">
            <v>13007.708566421567</v>
          </cell>
          <cell r="AF17">
            <v>11680.489474546601</v>
          </cell>
          <cell r="AG17">
            <v>10027.876422708476</v>
          </cell>
          <cell r="AH17">
            <v>11858.674847291588</v>
          </cell>
        </row>
        <row r="18">
          <cell r="C18">
            <v>53013.756626760129</v>
          </cell>
          <cell r="D18">
            <v>54004.658470440598</v>
          </cell>
          <cell r="E18">
            <v>54995.560314121067</v>
          </cell>
          <cell r="F18">
            <v>55986.462157801536</v>
          </cell>
          <cell r="G18">
            <v>56977.364001482005</v>
          </cell>
          <cell r="H18">
            <v>59704.185534827542</v>
          </cell>
          <cell r="I18">
            <v>62431.007068173087</v>
          </cell>
          <cell r="J18">
            <v>65157.828601518631</v>
          </cell>
          <cell r="K18">
            <v>67884.650134864176</v>
          </cell>
          <cell r="L18">
            <v>65903.29093862632</v>
          </cell>
          <cell r="M18">
            <v>63921.931742388493</v>
          </cell>
          <cell r="N18">
            <v>61940.572546150644</v>
          </cell>
          <cell r="O18">
            <v>59959.213349912796</v>
          </cell>
          <cell r="P18">
            <v>59215.846470956822</v>
          </cell>
          <cell r="Q18">
            <v>58472.479592000862</v>
          </cell>
          <cell r="R18">
            <v>57729.112713044895</v>
          </cell>
          <cell r="S18">
            <v>56985.745834088928</v>
          </cell>
          <cell r="T18">
            <v>52237.154782559162</v>
          </cell>
          <cell r="U18">
            <v>47488.563731029397</v>
          </cell>
          <cell r="V18">
            <v>42739.972679499631</v>
          </cell>
          <cell r="W18">
            <v>37991.381627969859</v>
          </cell>
          <cell r="X18">
            <v>47965.853789672758</v>
          </cell>
          <cell r="Y18">
            <v>48600.521025980706</v>
          </cell>
          <cell r="Z18">
            <v>50080.494832259712</v>
          </cell>
          <cell r="AA18">
            <v>50306.154695709185</v>
          </cell>
          <cell r="AB18">
            <v>48574.471203147696</v>
          </cell>
          <cell r="AC18">
            <v>48323.553671637339</v>
          </cell>
          <cell r="AD18">
            <v>47147.624480299055</v>
          </cell>
          <cell r="AE18">
            <v>49566.244855915313</v>
          </cell>
          <cell r="AF18">
            <v>44919.162097950102</v>
          </cell>
          <cell r="AG18">
            <v>38153.519737074137</v>
          </cell>
          <cell r="AH18">
            <v>39653.547363953505</v>
          </cell>
        </row>
        <row r="21">
          <cell r="C21">
            <v>14.054457690188254</v>
          </cell>
          <cell r="D21">
            <v>13.837901638796149</v>
          </cell>
          <cell r="E21">
            <v>17.151318269876636</v>
          </cell>
          <cell r="F21">
            <v>20.103424340285503</v>
          </cell>
          <cell r="G21">
            <v>23.278720570060788</v>
          </cell>
          <cell r="H21">
            <v>29.540173516312787</v>
          </cell>
          <cell r="I21">
            <v>37.116037381204364</v>
          </cell>
          <cell r="J21">
            <v>44.11636581037245</v>
          </cell>
          <cell r="K21">
            <v>51.807538346094638</v>
          </cell>
          <cell r="L21">
            <v>57.081705154741947</v>
          </cell>
          <cell r="M21">
            <v>60.731577881324355</v>
          </cell>
          <cell r="N21">
            <v>64.282146534944602</v>
          </cell>
          <cell r="O21">
            <v>68.629947702367133</v>
          </cell>
          <cell r="P21">
            <v>68.358744326317264</v>
          </cell>
          <cell r="Q21">
            <v>65.66282989688311</v>
          </cell>
          <cell r="R21">
            <v>62.100348810138762</v>
          </cell>
          <cell r="S21">
            <v>60.667140307485525</v>
          </cell>
          <cell r="T21">
            <v>61.94816743238836</v>
          </cell>
          <cell r="U21">
            <v>62.859863122319865</v>
          </cell>
          <cell r="V21">
            <v>62.616373243626619</v>
          </cell>
          <cell r="W21">
            <v>63.896131110136281</v>
          </cell>
          <cell r="X21">
            <v>59.203644043583267</v>
          </cell>
          <cell r="Y21">
            <v>55.562812440883306</v>
          </cell>
          <cell r="Z21">
            <v>102.73280540713782</v>
          </cell>
          <cell r="AA21">
            <v>54.575237928324817</v>
          </cell>
          <cell r="AB21">
            <v>50.847672480566636</v>
          </cell>
          <cell r="AC21">
            <v>48.251377732735826</v>
          </cell>
          <cell r="AD21">
            <v>65.894836539628528</v>
          </cell>
          <cell r="AE21">
            <v>70.660348444439208</v>
          </cell>
          <cell r="AF21">
            <v>54.865877644385051</v>
          </cell>
          <cell r="AG21">
            <v>46.80186590617808</v>
          </cell>
          <cell r="AH21">
            <v>51.399931016409141</v>
          </cell>
        </row>
        <row r="22">
          <cell r="C22">
            <v>100.36680896629531</v>
          </cell>
          <cell r="D22">
            <v>100.62443377803145</v>
          </cell>
          <cell r="E22">
            <v>192.07170927745923</v>
          </cell>
          <cell r="F22">
            <v>282.52482543912703</v>
          </cell>
          <cell r="G22">
            <v>373.71172072876976</v>
          </cell>
          <cell r="H22">
            <v>669.19559627063597</v>
          </cell>
          <cell r="I22">
            <v>962.70493532655814</v>
          </cell>
          <cell r="J22">
            <v>1257.489437741008</v>
          </cell>
          <cell r="K22">
            <v>1554.428658031977</v>
          </cell>
          <cell r="L22">
            <v>1719.9171692083441</v>
          </cell>
          <cell r="M22">
            <v>1880.3951844170842</v>
          </cell>
          <cell r="N22">
            <v>2038.3093170922614</v>
          </cell>
          <cell r="O22">
            <v>2194.2810593520003</v>
          </cell>
          <cell r="P22">
            <v>2112.8610132881918</v>
          </cell>
          <cell r="Q22">
            <v>2033.8247406996043</v>
          </cell>
          <cell r="R22">
            <v>1973.0316597789988</v>
          </cell>
          <cell r="S22">
            <v>1895.4111747972672</v>
          </cell>
          <cell r="T22">
            <v>1666.0903413856483</v>
          </cell>
          <cell r="U22">
            <v>1438.2397170080001</v>
          </cell>
          <cell r="V22">
            <v>1212.8046249556164</v>
          </cell>
          <cell r="W22">
            <v>984.53786546620267</v>
          </cell>
          <cell r="X22">
            <v>1225.5535251120784</v>
          </cell>
          <cell r="Y22">
            <v>1269.2923289641169</v>
          </cell>
          <cell r="Z22">
            <v>1266.7112819701863</v>
          </cell>
          <cell r="AA22">
            <v>1270.699158366036</v>
          </cell>
          <cell r="AB22">
            <v>1205.4298722583412</v>
          </cell>
          <cell r="AC22">
            <v>1170.8809766948048</v>
          </cell>
          <cell r="AD22">
            <v>1155.070650105511</v>
          </cell>
          <cell r="AE22">
            <v>1179.0033953504494</v>
          </cell>
          <cell r="AF22">
            <v>1058.3066688462243</v>
          </cell>
          <cell r="AG22">
            <v>910.57280330144863</v>
          </cell>
          <cell r="AH22">
            <v>1075.4945094984835</v>
          </cell>
        </row>
        <row r="23">
          <cell r="C23">
            <v>2771.7209235437435</v>
          </cell>
          <cell r="D23">
            <v>2837.1118201196814</v>
          </cell>
          <cell r="E23">
            <v>2875.3500418900853</v>
          </cell>
          <cell r="F23">
            <v>2937.45816837435</v>
          </cell>
          <cell r="G23">
            <v>2982.5347321774721</v>
          </cell>
          <cell r="H23">
            <v>3131.7707692897015</v>
          </cell>
          <cell r="I23">
            <v>3250.3998623929265</v>
          </cell>
          <cell r="J23">
            <v>3392.2103076226058</v>
          </cell>
          <cell r="K23">
            <v>3534.6403556053101</v>
          </cell>
          <cell r="L23">
            <v>3444.9499403028503</v>
          </cell>
          <cell r="M23">
            <v>3334.0021125591479</v>
          </cell>
          <cell r="N23">
            <v>3242.3460906251394</v>
          </cell>
          <cell r="O23">
            <v>3145.1812958699711</v>
          </cell>
          <cell r="P23">
            <v>3081.1345282515354</v>
          </cell>
          <cell r="Q23">
            <v>3040.9034707070241</v>
          </cell>
          <cell r="R23">
            <v>3026.2882777688533</v>
          </cell>
          <cell r="S23">
            <v>2964.7694771936181</v>
          </cell>
          <cell r="T23">
            <v>2720.4737427410587</v>
          </cell>
          <cell r="U23">
            <v>2489.3694804816027</v>
          </cell>
          <cell r="V23">
            <v>2273.6468463687761</v>
          </cell>
          <cell r="W23">
            <v>2013.5559259786639</v>
          </cell>
          <cell r="X23">
            <v>2540.2172265623276</v>
          </cell>
          <cell r="Y23">
            <v>2569.4121841589927</v>
          </cell>
          <cell r="Z23">
            <v>2628.369734477561</v>
          </cell>
          <cell r="AA23">
            <v>2639.1777258179732</v>
          </cell>
          <cell r="AB23">
            <v>2552.0745373536975</v>
          </cell>
          <cell r="AC23">
            <v>2511.6688024420773</v>
          </cell>
          <cell r="AD23">
            <v>2455.0522727871053</v>
          </cell>
          <cell r="AE23">
            <v>2570.4705358524343</v>
          </cell>
          <cell r="AF23">
            <v>2342.6126998854593</v>
          </cell>
          <cell r="AG23">
            <v>2014.3001039180638</v>
          </cell>
          <cell r="AH23">
            <v>2078.5369895679096</v>
          </cell>
        </row>
      </sheetData>
      <sheetData sheetId="8">
        <row r="16">
          <cell r="C16">
            <v>32405.324325923917</v>
          </cell>
          <cell r="D16">
            <v>34694.879470940337</v>
          </cell>
          <cell r="E16">
            <v>36984.434615956765</v>
          </cell>
          <cell r="F16">
            <v>39273.989760973185</v>
          </cell>
          <cell r="G16">
            <v>41563.544905989605</v>
          </cell>
          <cell r="H16">
            <v>40312.731080678248</v>
          </cell>
          <cell r="I16">
            <v>39061.917255366898</v>
          </cell>
          <cell r="J16">
            <v>37811.103430055533</v>
          </cell>
          <cell r="K16">
            <v>36560.289604744183</v>
          </cell>
          <cell r="L16">
            <v>36370.884873311872</v>
          </cell>
          <cell r="M16">
            <v>36181.480141879576</v>
          </cell>
          <cell r="N16">
            <v>35992.07541044728</v>
          </cell>
          <cell r="O16">
            <v>35802.670679014984</v>
          </cell>
          <cell r="P16">
            <v>32090.586993849858</v>
          </cell>
          <cell r="Q16">
            <v>28378.503308684736</v>
          </cell>
          <cell r="R16">
            <v>24666.419623519614</v>
          </cell>
          <cell r="S16">
            <v>20954.335938354492</v>
          </cell>
          <cell r="T16">
            <v>18566.425499271681</v>
          </cell>
          <cell r="U16">
            <v>16178.515060188864</v>
          </cell>
          <cell r="V16">
            <v>13790.604621106049</v>
          </cell>
          <cell r="W16">
            <v>11402.694182023235</v>
          </cell>
          <cell r="X16">
            <v>11363.453837958123</v>
          </cell>
          <cell r="Y16">
            <v>10958.685669935176</v>
          </cell>
          <cell r="Z16">
            <v>15492.560101424308</v>
          </cell>
          <cell r="AA16">
            <v>8015.1217045044423</v>
          </cell>
          <cell r="AB16">
            <v>8760.997370009256</v>
          </cell>
          <cell r="AC16">
            <v>6658.4880069136689</v>
          </cell>
          <cell r="AD16">
            <v>5302.8781844985651</v>
          </cell>
          <cell r="AE16">
            <v>5908.6315791123907</v>
          </cell>
          <cell r="AF16">
            <v>7935.4136424754597</v>
          </cell>
          <cell r="AG16">
            <v>6974.0345972777004</v>
          </cell>
          <cell r="AH16">
            <v>8569.8495614368039</v>
          </cell>
        </row>
        <row r="17">
          <cell r="C17">
            <v>125867.88537816667</v>
          </cell>
          <cell r="D17">
            <v>126527.69517464598</v>
          </cell>
          <cell r="E17">
            <v>127187.50497112529</v>
          </cell>
          <cell r="F17">
            <v>127847.31476760459</v>
          </cell>
          <cell r="G17">
            <v>128507.1245640839</v>
          </cell>
          <cell r="H17">
            <v>129393.33550113524</v>
          </cell>
          <cell r="I17">
            <v>130279.54643818659</v>
          </cell>
          <cell r="J17">
            <v>131165.75737523791</v>
          </cell>
          <cell r="K17">
            <v>132051.96831228927</v>
          </cell>
          <cell r="L17">
            <v>138318.63287164547</v>
          </cell>
          <cell r="M17">
            <v>144585.29743100167</v>
          </cell>
          <cell r="N17">
            <v>150851.96199035787</v>
          </cell>
          <cell r="O17">
            <v>157118.62654971404</v>
          </cell>
          <cell r="P17">
            <v>138754.0439429227</v>
          </cell>
          <cell r="Q17">
            <v>120389.46133613135</v>
          </cell>
          <cell r="R17">
            <v>102024.87872933999</v>
          </cell>
          <cell r="S17">
            <v>83660.29612254868</v>
          </cell>
          <cell r="T17">
            <v>93697.607973145961</v>
          </cell>
          <cell r="U17">
            <v>103734.91982374326</v>
          </cell>
          <cell r="V17">
            <v>113772.23167434052</v>
          </cell>
          <cell r="W17">
            <v>123809.54352493781</v>
          </cell>
          <cell r="X17">
            <v>160380.12620162687</v>
          </cell>
          <cell r="Y17">
            <v>139335.27251784396</v>
          </cell>
          <cell r="Z17">
            <v>127416.17152993701</v>
          </cell>
          <cell r="AA17">
            <v>123446.54591990136</v>
          </cell>
          <cell r="AB17">
            <v>98098.334767220163</v>
          </cell>
          <cell r="AC17">
            <v>71454.07563565865</v>
          </cell>
          <cell r="AD17">
            <v>46931.636668250059</v>
          </cell>
          <cell r="AE17">
            <v>40915.543346902195</v>
          </cell>
          <cell r="AF17">
            <v>33021.010791337954</v>
          </cell>
          <cell r="AG17">
            <v>27611.153990727878</v>
          </cell>
          <cell r="AH17">
            <v>25026.559301982034</v>
          </cell>
        </row>
        <row r="18">
          <cell r="C18">
            <v>1169603.8421984653</v>
          </cell>
          <cell r="D18">
            <v>1224891.5368934772</v>
          </cell>
          <cell r="E18">
            <v>1280179.2315884894</v>
          </cell>
          <cell r="F18">
            <v>1335466.9262835016</v>
          </cell>
          <cell r="G18">
            <v>1390754.6209785137</v>
          </cell>
          <cell r="H18">
            <v>1415890.9511993658</v>
          </cell>
          <cell r="I18">
            <v>1441027.2814202174</v>
          </cell>
          <cell r="J18">
            <v>1466163.6116410689</v>
          </cell>
          <cell r="K18">
            <v>1491299.9418619208</v>
          </cell>
          <cell r="L18">
            <v>1426349.1323861433</v>
          </cell>
          <cell r="M18">
            <v>1361398.3229103656</v>
          </cell>
          <cell r="N18">
            <v>1296447.513434588</v>
          </cell>
          <cell r="O18">
            <v>1231496.7039588108</v>
          </cell>
          <cell r="P18">
            <v>1179389.2748878479</v>
          </cell>
          <cell r="Q18">
            <v>1127281.8458168851</v>
          </cell>
          <cell r="R18">
            <v>1075174.4167459225</v>
          </cell>
          <cell r="S18">
            <v>1023066.9876749595</v>
          </cell>
          <cell r="T18">
            <v>1044778.5846293495</v>
          </cell>
          <cell r="U18">
            <v>1066490.1815837396</v>
          </cell>
          <cell r="V18">
            <v>1088201.7785381298</v>
          </cell>
          <cell r="W18">
            <v>1109913.3754925195</v>
          </cell>
          <cell r="X18">
            <v>1330950.5484659628</v>
          </cell>
          <cell r="Y18">
            <v>1315915.9578888803</v>
          </cell>
          <cell r="Z18">
            <v>1343134.6521435936</v>
          </cell>
          <cell r="AA18">
            <v>1780239.6694944978</v>
          </cell>
          <cell r="AB18">
            <v>1441404.9277349734</v>
          </cell>
          <cell r="AC18">
            <v>1478972.2735307901</v>
          </cell>
          <cell r="AD18">
            <v>1526466.5808383548</v>
          </cell>
          <cell r="AE18">
            <v>1618163.9870523573</v>
          </cell>
          <cell r="AF18">
            <v>1598021.2761124934</v>
          </cell>
          <cell r="AG18">
            <v>1569967.7880373588</v>
          </cell>
          <cell r="AH18">
            <v>1624227.3543351274</v>
          </cell>
        </row>
        <row r="21">
          <cell r="C21">
            <v>2438.2447298738061</v>
          </cell>
          <cell r="D21">
            <v>2570.291924327209</v>
          </cell>
          <cell r="E21">
            <v>2773.2560537276431</v>
          </cell>
          <cell r="F21">
            <v>2916.9494153540923</v>
          </cell>
          <cell r="G21">
            <v>3095.001332259169</v>
          </cell>
          <cell r="H21">
            <v>2949.0650056516738</v>
          </cell>
          <cell r="I21">
            <v>2928.9790438474915</v>
          </cell>
          <cell r="J21">
            <v>2845.6867012984058</v>
          </cell>
          <cell r="K21">
            <v>2796.2545278057578</v>
          </cell>
          <cell r="L21">
            <v>2813.4874204159601</v>
          </cell>
          <cell r="M21">
            <v>2752.0011523882827</v>
          </cell>
          <cell r="N21">
            <v>2693.4118646029842</v>
          </cell>
          <cell r="O21">
            <v>2672.1154585497334</v>
          </cell>
          <cell r="P21">
            <v>2462.9753624031596</v>
          </cell>
          <cell r="Q21">
            <v>2162.3037957608799</v>
          </cell>
          <cell r="R21">
            <v>1839.1423855932492</v>
          </cell>
          <cell r="S21">
            <v>1581.1495372249851</v>
          </cell>
          <cell r="T21">
            <v>1398.0762740355315</v>
          </cell>
          <cell r="U21">
            <v>1208.7558529015405</v>
          </cell>
          <cell r="V21">
            <v>1004.0702622236374</v>
          </cell>
          <cell r="W21">
            <v>829.1748240711496</v>
          </cell>
          <cell r="X21">
            <v>824.48173365401885</v>
          </cell>
          <cell r="Y21">
            <v>794.49025472030144</v>
          </cell>
          <cell r="Z21">
            <v>1127.9566585729804</v>
          </cell>
          <cell r="AA21">
            <v>591.62953255713626</v>
          </cell>
          <cell r="AB21">
            <v>637.59284330737796</v>
          </cell>
          <cell r="AC21">
            <v>507.26749940600644</v>
          </cell>
          <cell r="AD21">
            <v>399.21246971837263</v>
          </cell>
          <cell r="AE21">
            <v>452.16324761244238</v>
          </cell>
          <cell r="AF21">
            <v>587.88583502410552</v>
          </cell>
          <cell r="AG21">
            <v>485.03181923787082</v>
          </cell>
          <cell r="AH21">
            <v>614.5539168565839</v>
          </cell>
        </row>
        <row r="22">
          <cell r="C22">
            <v>11288.223396685915</v>
          </cell>
          <cell r="D22">
            <v>11376.524061851173</v>
          </cell>
          <cell r="E22">
            <v>11428.798884924043</v>
          </cell>
          <cell r="F22">
            <v>11445.300503001372</v>
          </cell>
          <cell r="G22">
            <v>11504.93543512533</v>
          </cell>
          <cell r="H22">
            <v>11595.7949679464</v>
          </cell>
          <cell r="I22">
            <v>11655.807036999066</v>
          </cell>
          <cell r="J22">
            <v>11736.613644258214</v>
          </cell>
          <cell r="K22">
            <v>11833.263038467478</v>
          </cell>
          <cell r="L22">
            <v>12400.157772490342</v>
          </cell>
          <cell r="M22">
            <v>12932.10173153856</v>
          </cell>
          <cell r="N22">
            <v>13449.550274652416</v>
          </cell>
          <cell r="O22">
            <v>13957.742019289813</v>
          </cell>
          <cell r="P22">
            <v>12316.220775575466</v>
          </cell>
          <cell r="Q22">
            <v>10689.213359024507</v>
          </cell>
          <cell r="R22">
            <v>9146.0441176290078</v>
          </cell>
          <cell r="S22">
            <v>7510.8210199693085</v>
          </cell>
          <cell r="T22">
            <v>8405.2866803147444</v>
          </cell>
          <cell r="U22">
            <v>9305.5018081414783</v>
          </cell>
          <cell r="V22">
            <v>10225.964309666615</v>
          </cell>
          <cell r="W22">
            <v>11128.089012563913</v>
          </cell>
          <cell r="X22">
            <v>14426.00051454226</v>
          </cell>
          <cell r="Y22">
            <v>12558.879033801219</v>
          </cell>
          <cell r="Z22">
            <v>11480.15399266601</v>
          </cell>
          <cell r="AA22">
            <v>11131.126605495663</v>
          </cell>
          <cell r="AB22">
            <v>8865.4448779878549</v>
          </cell>
          <cell r="AC22">
            <v>6465.0767910697568</v>
          </cell>
          <cell r="AD22">
            <v>4250.3409418256097</v>
          </cell>
          <cell r="AE22">
            <v>3708.5366943977378</v>
          </cell>
          <cell r="AF22">
            <v>2991.8571485098319</v>
          </cell>
          <cell r="AG22">
            <v>2507.2073918651618</v>
          </cell>
          <cell r="AH22">
            <v>2269.724692474153</v>
          </cell>
        </row>
        <row r="23">
          <cell r="C23">
            <v>61150.456937100869</v>
          </cell>
          <cell r="D23">
            <v>64349.157204413576</v>
          </cell>
          <cell r="E23">
            <v>66932.010259555973</v>
          </cell>
          <cell r="F23">
            <v>70068.335808545409</v>
          </cell>
          <cell r="G23">
            <v>72800.383690913513</v>
          </cell>
          <cell r="H23">
            <v>74270.268553974558</v>
          </cell>
          <cell r="I23">
            <v>75025.457656289451</v>
          </cell>
          <cell r="J23">
            <v>76330.587172975604</v>
          </cell>
          <cell r="K23">
            <v>77649.497292022017</v>
          </cell>
          <cell r="L23">
            <v>74559.271448836196</v>
          </cell>
          <cell r="M23">
            <v>71007.004339447391</v>
          </cell>
          <cell r="N23">
            <v>67863.943681717734</v>
          </cell>
          <cell r="O23">
            <v>64598.585985658261</v>
          </cell>
          <cell r="P23">
            <v>61366.293545913628</v>
          </cell>
          <cell r="Q23">
            <v>58625.105371425656</v>
          </cell>
          <cell r="R23">
            <v>56363.030385185521</v>
          </cell>
          <cell r="S23">
            <v>53226.604895442142</v>
          </cell>
          <cell r="T23">
            <v>54411.323095477848</v>
          </cell>
          <cell r="U23">
            <v>55905.841336976882</v>
          </cell>
          <cell r="V23">
            <v>57889.286933794967</v>
          </cell>
          <cell r="W23">
            <v>58825.779921112313</v>
          </cell>
          <cell r="X23">
            <v>70485.631835948647</v>
          </cell>
          <cell r="Y23">
            <v>69569.840490423288</v>
          </cell>
          <cell r="Z23">
            <v>70491.605181748921</v>
          </cell>
          <cell r="AA23">
            <v>93395.508179204393</v>
          </cell>
          <cell r="AB23">
            <v>75730.578696453114</v>
          </cell>
          <cell r="AC23">
            <v>76871.178480492992</v>
          </cell>
          <cell r="AD23">
            <v>79485.558178794454</v>
          </cell>
          <cell r="AE23">
            <v>83916.844275508804</v>
          </cell>
          <cell r="AF23">
            <v>83339.59854249224</v>
          </cell>
          <cell r="AG23">
            <v>82885.833348652857</v>
          </cell>
          <cell r="AH23">
            <v>85137.821453081546</v>
          </cell>
        </row>
      </sheetData>
      <sheetData sheetId="9">
        <row r="16">
          <cell r="C16">
            <v>57567.878522252417</v>
          </cell>
          <cell r="D16">
            <v>59645.679741458596</v>
          </cell>
          <cell r="E16">
            <v>61729.095406508168</v>
          </cell>
          <cell r="F16">
            <v>63812.511071557747</v>
          </cell>
          <cell r="G16">
            <v>65895.926736607333</v>
          </cell>
          <cell r="H16">
            <v>63926.669250701671</v>
          </cell>
          <cell r="I16">
            <v>61957.411764796023</v>
          </cell>
          <cell r="J16">
            <v>59988.154278890383</v>
          </cell>
          <cell r="K16">
            <v>58018.896792984728</v>
          </cell>
          <cell r="L16">
            <v>53586.922730958853</v>
          </cell>
          <cell r="M16">
            <v>49154.948668932986</v>
          </cell>
          <cell r="N16">
            <v>44722.974606907112</v>
          </cell>
          <cell r="O16">
            <v>40291.000544881237</v>
          </cell>
          <cell r="P16">
            <v>39478.98128355098</v>
          </cell>
          <cell r="Q16">
            <v>38666.962022220723</v>
          </cell>
          <cell r="R16">
            <v>37854.942760890459</v>
          </cell>
          <cell r="S16">
            <v>37042.923499560216</v>
          </cell>
          <cell r="T16">
            <v>32426.92690651162</v>
          </cell>
          <cell r="U16">
            <v>27810.930313463028</v>
          </cell>
          <cell r="V16">
            <v>23194.933720414436</v>
          </cell>
          <cell r="W16">
            <v>18578.937127365851</v>
          </cell>
          <cell r="X16">
            <v>14457.992736156346</v>
          </cell>
          <cell r="Y16">
            <v>10046.998769424385</v>
          </cell>
          <cell r="Z16">
            <v>10811.455055061308</v>
          </cell>
          <cell r="AA16">
            <v>7690.3076507070664</v>
          </cell>
          <cell r="AB16">
            <v>5758.3437332016783</v>
          </cell>
          <cell r="AC16">
            <v>4882.019772472031</v>
          </cell>
          <cell r="AD16">
            <v>4083.7873579184488</v>
          </cell>
          <cell r="AE16">
            <v>3902.7195270216725</v>
          </cell>
          <cell r="AF16">
            <v>2855.4156385800593</v>
          </cell>
          <cell r="AG16">
            <v>1684.572494902435</v>
          </cell>
          <cell r="AH16">
            <v>2333.7761679081032</v>
          </cell>
        </row>
        <row r="17">
          <cell r="C17">
            <v>354904.63722993445</v>
          </cell>
          <cell r="D17">
            <v>359657.06395611149</v>
          </cell>
          <cell r="E17">
            <v>364409.4906822886</v>
          </cell>
          <cell r="F17">
            <v>369161.9174084657</v>
          </cell>
          <cell r="G17">
            <v>373914.3441346428</v>
          </cell>
          <cell r="H17">
            <v>366278.88820606493</v>
          </cell>
          <cell r="I17">
            <v>358643.43227748718</v>
          </cell>
          <cell r="J17">
            <v>351007.97634890937</v>
          </cell>
          <cell r="K17">
            <v>343372.52042033157</v>
          </cell>
          <cell r="L17">
            <v>330211.95163871848</v>
          </cell>
          <cell r="M17">
            <v>317051.38285710546</v>
          </cell>
          <cell r="N17">
            <v>303890.8140754925</v>
          </cell>
          <cell r="O17">
            <v>290730.24529387936</v>
          </cell>
          <cell r="P17">
            <v>287247.73719099653</v>
          </cell>
          <cell r="Q17">
            <v>283765.22908811376</v>
          </cell>
          <cell r="R17">
            <v>280282.72098523093</v>
          </cell>
          <cell r="S17">
            <v>276800.21288234816</v>
          </cell>
          <cell r="T17">
            <v>270015.67788004287</v>
          </cell>
          <cell r="U17">
            <v>263231.14287773758</v>
          </cell>
          <cell r="V17">
            <v>256446.60787543224</v>
          </cell>
          <cell r="W17">
            <v>249662.07287312695</v>
          </cell>
          <cell r="X17">
            <v>243383.17532311965</v>
          </cell>
          <cell r="Y17">
            <v>203743.08139699447</v>
          </cell>
          <cell r="Z17">
            <v>189751.73215994093</v>
          </cell>
          <cell r="AA17">
            <v>184241.15972627624</v>
          </cell>
          <cell r="AB17">
            <v>157973.24826048056</v>
          </cell>
          <cell r="AC17">
            <v>127489.64057086212</v>
          </cell>
          <cell r="AD17">
            <v>101141.65221273978</v>
          </cell>
          <cell r="AE17">
            <v>87064.391386068382</v>
          </cell>
          <cell r="AF17">
            <v>77430.72613102269</v>
          </cell>
          <cell r="AG17">
            <v>64502.144504929893</v>
          </cell>
          <cell r="AH17">
            <v>59853.491060934</v>
          </cell>
        </row>
        <row r="18">
          <cell r="C18">
            <v>366351.46758504777</v>
          </cell>
          <cell r="D18">
            <v>372238.45037689648</v>
          </cell>
          <cell r="E18">
            <v>378125.43316874513</v>
          </cell>
          <cell r="F18">
            <v>384012.41596059385</v>
          </cell>
          <cell r="G18">
            <v>389899.39875244262</v>
          </cell>
          <cell r="H18">
            <v>392446.65092199255</v>
          </cell>
          <cell r="I18">
            <v>394993.90309154248</v>
          </cell>
          <cell r="J18">
            <v>397541.15526109247</v>
          </cell>
          <cell r="K18">
            <v>400088.40743064234</v>
          </cell>
          <cell r="L18">
            <v>385653.9784698594</v>
          </cell>
          <cell r="M18">
            <v>371219.54950907652</v>
          </cell>
          <cell r="N18">
            <v>356785.12054829358</v>
          </cell>
          <cell r="O18">
            <v>342350.69158751058</v>
          </cell>
          <cell r="P18">
            <v>337256.18724841077</v>
          </cell>
          <cell r="Q18">
            <v>332161.68290931091</v>
          </cell>
          <cell r="R18">
            <v>327067.17857021105</v>
          </cell>
          <cell r="S18">
            <v>321972.67423111119</v>
          </cell>
          <cell r="T18">
            <v>299784.72833661147</v>
          </cell>
          <cell r="U18">
            <v>277596.7824421117</v>
          </cell>
          <cell r="V18">
            <v>255408.83654761198</v>
          </cell>
          <cell r="W18">
            <v>233220.89065311232</v>
          </cell>
          <cell r="X18">
            <v>257040.30766843382</v>
          </cell>
          <cell r="Y18">
            <v>309257.07008836558</v>
          </cell>
          <cell r="Z18">
            <v>309128.23092951643</v>
          </cell>
          <cell r="AA18">
            <v>313658.50135990354</v>
          </cell>
          <cell r="AB18">
            <v>348217.31219734222</v>
          </cell>
          <cell r="AC18">
            <v>390804.06932671071</v>
          </cell>
          <cell r="AD18">
            <v>395530.47668294946</v>
          </cell>
          <cell r="AE18">
            <v>419783.93185545853</v>
          </cell>
          <cell r="AF18">
            <v>439094.52816305478</v>
          </cell>
          <cell r="AG18">
            <v>458681.96454545832</v>
          </cell>
          <cell r="AH18">
            <v>458792.9160548395</v>
          </cell>
        </row>
        <row r="21">
          <cell r="C21">
            <v>4331.5282083014754</v>
          </cell>
          <cell r="D21">
            <v>4418.7157095871862</v>
          </cell>
          <cell r="E21">
            <v>4628.7198737755107</v>
          </cell>
          <cell r="F21">
            <v>4739.4692516680161</v>
          </cell>
          <cell r="G21">
            <v>4906.8957304183632</v>
          </cell>
          <cell r="H21">
            <v>4676.5351332267355</v>
          </cell>
          <cell r="I21">
            <v>4645.7514996958907</v>
          </cell>
          <cell r="J21">
            <v>4514.745071713045</v>
          </cell>
          <cell r="K21">
            <v>4437.4813386222813</v>
          </cell>
          <cell r="L21">
            <v>4145.2423697555832</v>
          </cell>
          <cell r="M21">
            <v>3738.7767126174608</v>
          </cell>
          <cell r="N21">
            <v>3346.7753402077196</v>
          </cell>
          <cell r="O21">
            <v>3007.0998435185707</v>
          </cell>
          <cell r="P21">
            <v>3030.0398759547998</v>
          </cell>
          <cell r="Q21">
            <v>2946.2342619599108</v>
          </cell>
          <cell r="R21">
            <v>2822.4862302016541</v>
          </cell>
          <cell r="S21">
            <v>2795.1447147310359</v>
          </cell>
          <cell r="T21">
            <v>2441.7902708120469</v>
          </cell>
          <cell r="U21">
            <v>2077.856012493824</v>
          </cell>
          <cell r="V21">
            <v>1688.7833291422819</v>
          </cell>
          <cell r="W21">
            <v>1351.0128990655007</v>
          </cell>
          <cell r="X21">
            <v>1049.007730065751</v>
          </cell>
          <cell r="Y21">
            <v>728.39415710166566</v>
          </cell>
          <cell r="Z21">
            <v>787.14251475440631</v>
          </cell>
          <cell r="AA21">
            <v>567.65365372448764</v>
          </cell>
          <cell r="AB21">
            <v>419.07086585387265</v>
          </cell>
          <cell r="AC21">
            <v>371.92977737005282</v>
          </cell>
          <cell r="AD21">
            <v>307.43659956681643</v>
          </cell>
          <cell r="AE21">
            <v>298.65905704747075</v>
          </cell>
          <cell r="AF21">
            <v>211.54012665984587</v>
          </cell>
          <cell r="AG21">
            <v>117.15904910473901</v>
          </cell>
          <cell r="AH21">
            <v>167.3578135499981</v>
          </cell>
        </row>
        <row r="22">
          <cell r="C22">
            <v>31828.951583119269</v>
          </cell>
          <cell r="D22">
            <v>32337.957602592491</v>
          </cell>
          <cell r="E22">
            <v>32745.062352712888</v>
          </cell>
          <cell r="F22">
            <v>33048.55551080127</v>
          </cell>
          <cell r="G22">
            <v>33475.656716535188</v>
          </cell>
          <cell r="H22">
            <v>32824.680438720323</v>
          </cell>
          <cell r="I22">
            <v>32086.991058852353</v>
          </cell>
          <cell r="J22">
            <v>31407.930597881794</v>
          </cell>
          <cell r="K22">
            <v>30769.835590077982</v>
          </cell>
          <cell r="L22">
            <v>29603.244434043605</v>
          </cell>
          <cell r="M22">
            <v>28357.936872452185</v>
          </cell>
          <cell r="N22">
            <v>27094.077716898581</v>
          </cell>
          <cell r="O22">
            <v>25827.222717815948</v>
          </cell>
          <cell r="P22">
            <v>25496.961731681786</v>
          </cell>
          <cell r="Q22">
            <v>25195.121266689988</v>
          </cell>
          <cell r="R22">
            <v>25126.010081723594</v>
          </cell>
          <cell r="S22">
            <v>24850.460177708774</v>
          </cell>
          <cell r="T22">
            <v>24222.167778410563</v>
          </cell>
          <cell r="U22">
            <v>23613.050264750713</v>
          </cell>
          <cell r="V22">
            <v>23049.682869679375</v>
          </cell>
          <cell r="W22">
            <v>22439.803030481049</v>
          </cell>
          <cell r="X22">
            <v>21892.025499644718</v>
          </cell>
          <cell r="Y22">
            <v>18364.228002001993</v>
          </cell>
          <cell r="Z22">
            <v>17096.566938203894</v>
          </cell>
          <cell r="AA22">
            <v>16612.953076768987</v>
          </cell>
          <cell r="AB22">
            <v>14276.522919306102</v>
          </cell>
          <cell r="AC22">
            <v>11535.105716841428</v>
          </cell>
          <cell r="AD22">
            <v>9159.844741031995</v>
          </cell>
          <cell r="AE22">
            <v>7891.4139668900916</v>
          </cell>
          <cell r="AF22">
            <v>7015.58389454803</v>
          </cell>
          <cell r="AG22">
            <v>5857.0624591866908</v>
          </cell>
          <cell r="AH22">
            <v>5428.2710201007885</v>
          </cell>
        </row>
        <row r="23">
          <cell r="C23">
            <v>19153.972340150514</v>
          </cell>
          <cell r="D23">
            <v>19555.389060471</v>
          </cell>
          <cell r="E23">
            <v>19769.650020681569</v>
          </cell>
          <cell r="F23">
            <v>20148.092316339174</v>
          </cell>
          <cell r="G23">
            <v>20409.65775117337</v>
          </cell>
          <cell r="H23">
            <v>20585.708336079486</v>
          </cell>
          <cell r="I23">
            <v>20564.911388548018</v>
          </cell>
          <cell r="J23">
            <v>20696.56453452542</v>
          </cell>
          <cell r="K23">
            <v>20831.935170980865</v>
          </cell>
          <cell r="L23">
            <v>20159.215589772961</v>
          </cell>
          <cell r="M23">
            <v>19361.848563562678</v>
          </cell>
          <cell r="N23">
            <v>18676.302030321975</v>
          </cell>
          <cell r="O23">
            <v>17958.124058856643</v>
          </cell>
          <cell r="P23">
            <v>17548.202809313876</v>
          </cell>
          <cell r="Q23">
            <v>17274.307870005043</v>
          </cell>
          <cell r="R23">
            <v>17145.587763837215</v>
          </cell>
          <cell r="S23">
            <v>16751.114565210712</v>
          </cell>
          <cell r="T23">
            <v>15612.574714479077</v>
          </cell>
          <cell r="U23">
            <v>14551.734223954905</v>
          </cell>
          <cell r="V23">
            <v>13587.034790729647</v>
          </cell>
          <cell r="W23">
            <v>12360.785165308831</v>
          </cell>
          <cell r="X23">
            <v>13612.563227235132</v>
          </cell>
          <cell r="Y23">
            <v>16349.801754133021</v>
          </cell>
          <cell r="Z23">
            <v>16223.946847353262</v>
          </cell>
          <cell r="AA23">
            <v>16455.253543223218</v>
          </cell>
          <cell r="AB23">
            <v>18295.135570451515</v>
          </cell>
          <cell r="AC23">
            <v>20312.462851245677</v>
          </cell>
          <cell r="AD23">
            <v>20595.905020470353</v>
          </cell>
          <cell r="AE23">
            <v>21769.698943210697</v>
          </cell>
          <cell r="AF23">
            <v>22899.545986231282</v>
          </cell>
          <cell r="AG23">
            <v>24215.934341477634</v>
          </cell>
          <cell r="AH23">
            <v>24048.744941255412</v>
          </cell>
        </row>
      </sheetData>
      <sheetData sheetId="10">
        <row r="16">
          <cell r="C16">
            <v>10386.63584764318</v>
          </cell>
          <cell r="D16">
            <v>10755.442753128164</v>
          </cell>
          <cell r="E16">
            <v>11124.249658613147</v>
          </cell>
          <cell r="F16">
            <v>11493.056564098128</v>
          </cell>
          <cell r="G16">
            <v>11861.863469583112</v>
          </cell>
          <cell r="H16">
            <v>10689.091178705226</v>
          </cell>
          <cell r="I16">
            <v>9516.3188878273413</v>
          </cell>
          <cell r="J16">
            <v>8343.5465969494562</v>
          </cell>
          <cell r="K16">
            <v>7170.7743060715711</v>
          </cell>
          <cell r="L16">
            <v>7169.2257134239389</v>
          </cell>
          <cell r="M16">
            <v>7167.6771207763068</v>
          </cell>
          <cell r="N16">
            <v>7166.1285281286728</v>
          </cell>
          <cell r="O16">
            <v>7164.5799354810406</v>
          </cell>
          <cell r="P16">
            <v>8108.5939426831646</v>
          </cell>
          <cell r="Q16">
            <v>9052.6079498852887</v>
          </cell>
          <cell r="R16">
            <v>9996.6219570874127</v>
          </cell>
          <cell r="S16">
            <v>10940.635964289537</v>
          </cell>
          <cell r="T16">
            <v>9462.8254514751134</v>
          </cell>
          <cell r="U16">
            <v>7985.0149386606899</v>
          </cell>
          <cell r="V16">
            <v>6507.2044258462656</v>
          </cell>
          <cell r="W16">
            <v>5029.3939130318413</v>
          </cell>
          <cell r="X16">
            <v>5730.4369748517238</v>
          </cell>
          <cell r="Y16">
            <v>5577.1330575725915</v>
          </cell>
          <cell r="Z16">
            <v>5146.2543244733442</v>
          </cell>
          <cell r="AA16">
            <v>4479.7469540765196</v>
          </cell>
          <cell r="AB16">
            <v>5494.1065929558727</v>
          </cell>
          <cell r="AC16">
            <v>2830.7520316834753</v>
          </cell>
          <cell r="AD16">
            <v>3074.7314312979133</v>
          </cell>
          <cell r="AE16">
            <v>2998.2922692422794</v>
          </cell>
          <cell r="AF16">
            <v>2946.9528567373586</v>
          </cell>
          <cell r="AG16">
            <v>3194.3210888264107</v>
          </cell>
          <cell r="AH16">
            <v>3208.8245399867883</v>
          </cell>
        </row>
        <row r="17">
          <cell r="C17">
            <v>323709.27220648661</v>
          </cell>
          <cell r="D17">
            <v>321211.55560197245</v>
          </cell>
          <cell r="E17">
            <v>318713.83899745828</v>
          </cell>
          <cell r="F17">
            <v>316216.12239294412</v>
          </cell>
          <cell r="G17">
            <v>313718.40578842995</v>
          </cell>
          <cell r="H17">
            <v>310146.71397016692</v>
          </cell>
          <cell r="I17">
            <v>306575.02215190383</v>
          </cell>
          <cell r="J17">
            <v>303003.33033364074</v>
          </cell>
          <cell r="K17">
            <v>299431.63851537777</v>
          </cell>
          <cell r="L17">
            <v>319569.47863927315</v>
          </cell>
          <cell r="M17">
            <v>339707.31876316853</v>
          </cell>
          <cell r="N17">
            <v>359845.15888706391</v>
          </cell>
          <cell r="O17">
            <v>379982.99901095935</v>
          </cell>
          <cell r="P17">
            <v>364232.66670120397</v>
          </cell>
          <cell r="Q17">
            <v>348482.33439144876</v>
          </cell>
          <cell r="R17">
            <v>332732.0020816935</v>
          </cell>
          <cell r="S17">
            <v>316981.66977193824</v>
          </cell>
          <cell r="T17">
            <v>259502.67087458703</v>
          </cell>
          <cell r="U17">
            <v>202023.67197723585</v>
          </cell>
          <cell r="V17">
            <v>144544.67307988464</v>
          </cell>
          <cell r="W17">
            <v>87065.674182533359</v>
          </cell>
          <cell r="X17">
            <v>223894.60501797547</v>
          </cell>
          <cell r="Y17">
            <v>210783.44502908623</v>
          </cell>
          <cell r="Z17">
            <v>215776.22675640901</v>
          </cell>
          <cell r="AA17">
            <v>215957.563675916</v>
          </cell>
          <cell r="AB17">
            <v>190074.14496905173</v>
          </cell>
          <cell r="AC17">
            <v>171004.5426901071</v>
          </cell>
          <cell r="AD17">
            <v>167168.73001123371</v>
          </cell>
          <cell r="AE17">
            <v>164038.1464966753</v>
          </cell>
          <cell r="AF17">
            <v>159934.8252799366</v>
          </cell>
          <cell r="AG17">
            <v>142292.0927020055</v>
          </cell>
          <cell r="AH17">
            <v>139300.23701374372</v>
          </cell>
        </row>
        <row r="18">
          <cell r="C18">
            <v>217701.37470964028</v>
          </cell>
          <cell r="D18">
            <v>235008.17855685018</v>
          </cell>
          <cell r="E18">
            <v>252314.98240406008</v>
          </cell>
          <cell r="F18">
            <v>269621.78625126998</v>
          </cell>
          <cell r="G18">
            <v>286928.59009847988</v>
          </cell>
          <cell r="H18">
            <v>284537.51851432584</v>
          </cell>
          <cell r="I18">
            <v>282146.44693017186</v>
          </cell>
          <cell r="J18">
            <v>279755.37534601789</v>
          </cell>
          <cell r="K18">
            <v>277364.30376186385</v>
          </cell>
          <cell r="L18">
            <v>278730.63038138044</v>
          </cell>
          <cell r="M18">
            <v>280096.95700089697</v>
          </cell>
          <cell r="N18">
            <v>281463.28362041351</v>
          </cell>
          <cell r="O18">
            <v>282829.6102399301</v>
          </cell>
          <cell r="P18">
            <v>289091.94057938113</v>
          </cell>
          <cell r="Q18">
            <v>295354.27091883204</v>
          </cell>
          <cell r="R18">
            <v>301616.60125828296</v>
          </cell>
          <cell r="S18">
            <v>307878.93159773399</v>
          </cell>
          <cell r="T18">
            <v>281893.9829871633</v>
          </cell>
          <cell r="U18">
            <v>255909.03437659258</v>
          </cell>
          <cell r="V18">
            <v>229924.08576602189</v>
          </cell>
          <cell r="W18">
            <v>203939.13715545114</v>
          </cell>
          <cell r="X18">
            <v>280847.00651707675</v>
          </cell>
          <cell r="Y18">
            <v>306054.40635617863</v>
          </cell>
          <cell r="Z18">
            <v>304496.41885352653</v>
          </cell>
          <cell r="AA18">
            <v>318505.0999913534</v>
          </cell>
          <cell r="AB18">
            <v>330840.77515051421</v>
          </cell>
          <cell r="AC18">
            <v>348507.66242047492</v>
          </cell>
          <cell r="AD18">
            <v>357375.5295271849</v>
          </cell>
          <cell r="AE18">
            <v>376258.41914714995</v>
          </cell>
          <cell r="AF18">
            <v>378551.21256811533</v>
          </cell>
          <cell r="AG18">
            <v>388845.76366828347</v>
          </cell>
          <cell r="AH18">
            <v>400319.06437114469</v>
          </cell>
        </row>
        <row r="21">
          <cell r="C21">
            <v>781.51231760314386</v>
          </cell>
          <cell r="D21">
            <v>796.79272770160367</v>
          </cell>
          <cell r="E21">
            <v>834.14531083885538</v>
          </cell>
          <cell r="F21">
            <v>853.6098529666375</v>
          </cell>
          <cell r="G21">
            <v>883.28566113583747</v>
          </cell>
          <cell r="H21">
            <v>781.95706151122977</v>
          </cell>
          <cell r="I21">
            <v>713.56196918846149</v>
          </cell>
          <cell r="J21">
            <v>627.94040476823409</v>
          </cell>
          <cell r="K21">
            <v>548.44505713718138</v>
          </cell>
          <cell r="L21">
            <v>554.57892842309047</v>
          </cell>
          <cell r="M21">
            <v>545.18100472875835</v>
          </cell>
          <cell r="N21">
            <v>536.26625808105427</v>
          </cell>
          <cell r="O21">
            <v>534.72504806283496</v>
          </cell>
          <cell r="P21">
            <v>622.34034885019753</v>
          </cell>
          <cell r="Q21">
            <v>689.76465455743937</v>
          </cell>
          <cell r="R21">
            <v>745.35386305117277</v>
          </cell>
          <cell r="S21">
            <v>825.54663353564013</v>
          </cell>
          <cell r="T21">
            <v>712.56320984165188</v>
          </cell>
          <cell r="U21">
            <v>596.58958233832311</v>
          </cell>
          <cell r="V21">
            <v>473.7783899773824</v>
          </cell>
          <cell r="W21">
            <v>365.72469159062729</v>
          </cell>
          <cell r="X21">
            <v>415.77505210949158</v>
          </cell>
          <cell r="Y21">
            <v>404.33478949725844</v>
          </cell>
          <cell r="Z21">
            <v>374.67996212362891</v>
          </cell>
          <cell r="AA21">
            <v>330.66879008525444</v>
          </cell>
          <cell r="AB21">
            <v>399.840668372766</v>
          </cell>
          <cell r="AC21">
            <v>215.65684327426419</v>
          </cell>
          <cell r="AD21">
            <v>231.47262405485847</v>
          </cell>
          <cell r="AE21">
            <v>229.44696273574868</v>
          </cell>
          <cell r="AF21">
            <v>218.32155436566114</v>
          </cell>
          <cell r="AG21">
            <v>222.15940390490101</v>
          </cell>
          <cell r="AH21">
            <v>230.10855388035375</v>
          </cell>
        </row>
        <row r="22">
          <cell r="C22">
            <v>29031.254233490767</v>
          </cell>
          <cell r="D22">
            <v>28881.194636529974</v>
          </cell>
          <cell r="E22">
            <v>28638.948209346141</v>
          </cell>
          <cell r="F22">
            <v>28308.678608228212</v>
          </cell>
          <cell r="G22">
            <v>28086.458362909252</v>
          </cell>
          <cell r="H22">
            <v>27794.304020772535</v>
          </cell>
          <cell r="I22">
            <v>27428.55189676115</v>
          </cell>
          <cell r="J22">
            <v>27112.510858118592</v>
          </cell>
          <cell r="K22">
            <v>26832.264493114908</v>
          </cell>
          <cell r="L22">
            <v>28649.155013531097</v>
          </cell>
          <cell r="M22">
            <v>30384.345318997337</v>
          </cell>
          <cell r="N22">
            <v>32082.814778711327</v>
          </cell>
          <cell r="O22">
            <v>33756.052916061337</v>
          </cell>
          <cell r="P22">
            <v>32330.372573601915</v>
          </cell>
          <cell r="Q22">
            <v>30941.263320057482</v>
          </cell>
          <cell r="R22">
            <v>29827.838153666406</v>
          </cell>
          <cell r="S22">
            <v>28457.855142905195</v>
          </cell>
          <cell r="T22">
            <v>23279.082467435077</v>
          </cell>
          <cell r="U22">
            <v>18122.457202123973</v>
          </cell>
          <cell r="V22">
            <v>12991.822752481812</v>
          </cell>
          <cell r="W22">
            <v>7825.524145050802</v>
          </cell>
          <cell r="X22">
            <v>20139.051911780993</v>
          </cell>
          <cell r="Y22">
            <v>18998.80583438891</v>
          </cell>
          <cell r="Z22">
            <v>19441.365105982477</v>
          </cell>
          <cell r="AA22">
            <v>19472.808775474026</v>
          </cell>
          <cell r="AB22">
            <v>17177.578589406177</v>
          </cell>
          <cell r="AC22">
            <v>15472.2804861475</v>
          </cell>
          <cell r="AD22">
            <v>15139.555059251068</v>
          </cell>
          <cell r="AE22">
            <v>14868.224537704225</v>
          </cell>
          <cell r="AF22">
            <v>14490.838979252858</v>
          </cell>
          <cell r="AG22">
            <v>12920.712649179148</v>
          </cell>
          <cell r="AH22">
            <v>12633.506020644079</v>
          </cell>
        </row>
        <row r="23">
          <cell r="C23">
            <v>11382.092003311467</v>
          </cell>
          <cell r="D23">
            <v>12346.05495326627</v>
          </cell>
          <cell r="E23">
            <v>13191.862962776782</v>
          </cell>
          <cell r="F23">
            <v>14146.325519965239</v>
          </cell>
          <cell r="G23">
            <v>15019.55207336672</v>
          </cell>
          <cell r="H23">
            <v>14925.356995776778</v>
          </cell>
          <cell r="I23">
            <v>14689.636053364411</v>
          </cell>
          <cell r="J23">
            <v>14564.467359175853</v>
          </cell>
          <cell r="K23">
            <v>14441.896059467925</v>
          </cell>
          <cell r="L23">
            <v>14570.032161021047</v>
          </cell>
          <cell r="M23">
            <v>14609.130558285682</v>
          </cell>
          <cell r="N23">
            <v>14733.49922009846</v>
          </cell>
          <cell r="O23">
            <v>14835.925128862886</v>
          </cell>
          <cell r="P23">
            <v>15042.108034295228</v>
          </cell>
          <cell r="Q23">
            <v>15360.111864455408</v>
          </cell>
          <cell r="R23">
            <v>15811.411987320667</v>
          </cell>
          <cell r="S23">
            <v>16017.866322737704</v>
          </cell>
          <cell r="T23">
            <v>14680.837464166761</v>
          </cell>
          <cell r="U23">
            <v>13414.853807009373</v>
          </cell>
          <cell r="V23">
            <v>12231.31742330023</v>
          </cell>
          <cell r="W23">
            <v>10808.842441676625</v>
          </cell>
          <cell r="X23">
            <v>14873.339003020961</v>
          </cell>
          <cell r="Y23">
            <v>16180.483338578459</v>
          </cell>
          <cell r="Z23">
            <v>15980.855905119251</v>
          </cell>
          <cell r="AA23">
            <v>16709.517365045267</v>
          </cell>
          <cell r="AB23">
            <v>17382.182394715877</v>
          </cell>
          <cell r="AC23">
            <v>18114.06150014346</v>
          </cell>
          <cell r="AD23">
            <v>18609.115849958202</v>
          </cell>
          <cell r="AE23">
            <v>19512.496520477118</v>
          </cell>
          <cell r="AF23">
            <v>19742.106412968384</v>
          </cell>
          <cell r="AG23">
            <v>20528.959518354182</v>
          </cell>
          <cell r="AH23">
            <v>20983.695992884357</v>
          </cell>
        </row>
      </sheetData>
      <sheetData sheetId="11">
        <row r="16">
          <cell r="C16">
            <v>5241.0312208005935</v>
          </cell>
          <cell r="D16">
            <v>5158.830106869219</v>
          </cell>
          <cell r="E16">
            <v>5076.6289929378445</v>
          </cell>
          <cell r="F16">
            <v>4994.42787900647</v>
          </cell>
          <cell r="G16">
            <v>4912.2267650750946</v>
          </cell>
          <cell r="H16">
            <v>4612.4753348505974</v>
          </cell>
          <cell r="I16">
            <v>4312.7239046260993</v>
          </cell>
          <cell r="J16">
            <v>4012.9724744016021</v>
          </cell>
          <cell r="K16">
            <v>3713.2210441771049</v>
          </cell>
          <cell r="L16">
            <v>4030.4835004221541</v>
          </cell>
          <cell r="M16">
            <v>4347.7459566672032</v>
          </cell>
          <cell r="N16">
            <v>4665.0084129122524</v>
          </cell>
          <cell r="O16">
            <v>4982.2708691573016</v>
          </cell>
          <cell r="P16">
            <v>4960.7525481768316</v>
          </cell>
          <cell r="Q16">
            <v>4939.2342271963616</v>
          </cell>
          <cell r="R16">
            <v>4917.7159062158898</v>
          </cell>
          <cell r="S16">
            <v>4896.1975852354199</v>
          </cell>
          <cell r="T16">
            <v>5375.6348846203909</v>
          </cell>
          <cell r="U16">
            <v>5855.072184005362</v>
          </cell>
          <cell r="V16">
            <v>6334.5094833903322</v>
          </cell>
          <cell r="W16">
            <v>6813.9467827753024</v>
          </cell>
          <cell r="X16">
            <v>1535.6770188493363</v>
          </cell>
          <cell r="Y16">
            <v>1141.8975577748845</v>
          </cell>
          <cell r="Z16">
            <v>2364.2404028810583</v>
          </cell>
          <cell r="AA16">
            <v>723.24898409588366</v>
          </cell>
          <cell r="AB16">
            <v>855.33205031369789</v>
          </cell>
          <cell r="AC16">
            <v>492.79319273829771</v>
          </cell>
          <cell r="AD16">
            <v>802.32025061197987</v>
          </cell>
          <cell r="AE16">
            <v>749.4188285914048</v>
          </cell>
          <cell r="AF16">
            <v>2414.0299616387442</v>
          </cell>
          <cell r="AG16">
            <v>1164.6089816467572</v>
          </cell>
          <cell r="AH16">
            <v>1561.9054167704019</v>
          </cell>
        </row>
        <row r="17">
          <cell r="C17">
            <v>197882.17863210704</v>
          </cell>
          <cell r="D17">
            <v>194244.22329418419</v>
          </cell>
          <cell r="E17">
            <v>190606.26795626132</v>
          </cell>
          <cell r="F17">
            <v>186968.31261833844</v>
          </cell>
          <cell r="G17">
            <v>183330.35728041554</v>
          </cell>
          <cell r="H17">
            <v>185245.31893121894</v>
          </cell>
          <cell r="I17">
            <v>187160.28058202227</v>
          </cell>
          <cell r="J17">
            <v>189075.24223282567</v>
          </cell>
          <cell r="K17">
            <v>190990.20388362906</v>
          </cell>
          <cell r="L17">
            <v>200113.30279180373</v>
          </cell>
          <cell r="M17">
            <v>209236.40169997833</v>
          </cell>
          <cell r="N17">
            <v>218359.500608153</v>
          </cell>
          <cell r="O17">
            <v>227482.59951632758</v>
          </cell>
          <cell r="P17">
            <v>228679.09669912703</v>
          </cell>
          <cell r="Q17">
            <v>229875.59388192653</v>
          </cell>
          <cell r="R17">
            <v>231072.091064726</v>
          </cell>
          <cell r="S17">
            <v>232268.58824752545</v>
          </cell>
          <cell r="T17">
            <v>230865.14338563313</v>
          </cell>
          <cell r="U17">
            <v>229461.69852374081</v>
          </cell>
          <cell r="V17">
            <v>228058.25366184855</v>
          </cell>
          <cell r="W17">
            <v>226654.80879995628</v>
          </cell>
          <cell r="X17">
            <v>137713.05445949556</v>
          </cell>
          <cell r="Y17">
            <v>133309.45699730865</v>
          </cell>
          <cell r="Z17">
            <v>130635.62155120679</v>
          </cell>
          <cell r="AA17">
            <v>134272.65215292037</v>
          </cell>
          <cell r="AB17">
            <v>126382.56393798848</v>
          </cell>
          <cell r="AC17">
            <v>111700.44424803874</v>
          </cell>
          <cell r="AD17">
            <v>109515.1399928079</v>
          </cell>
          <cell r="AE17">
            <v>108517.73401681927</v>
          </cell>
          <cell r="AF17">
            <v>96403.201126046872</v>
          </cell>
          <cell r="AG17">
            <v>82833.602861699561</v>
          </cell>
          <cell r="AH17">
            <v>86286.091290790879</v>
          </cell>
        </row>
        <row r="18">
          <cell r="C18">
            <v>234898.91639067704</v>
          </cell>
          <cell r="D18">
            <v>245899.69208941399</v>
          </cell>
          <cell r="E18">
            <v>256900.46778815091</v>
          </cell>
          <cell r="F18">
            <v>267901.24348688789</v>
          </cell>
          <cell r="G18">
            <v>278902.01918562478</v>
          </cell>
          <cell r="H18">
            <v>280034.45197814185</v>
          </cell>
          <cell r="I18">
            <v>281166.88477065886</v>
          </cell>
          <cell r="J18">
            <v>282299.31756317586</v>
          </cell>
          <cell r="K18">
            <v>283431.75035569293</v>
          </cell>
          <cell r="L18">
            <v>280681.55643100874</v>
          </cell>
          <cell r="M18">
            <v>277931.36250632454</v>
          </cell>
          <cell r="N18">
            <v>275181.16858164029</v>
          </cell>
          <cell r="O18">
            <v>272430.97465695604</v>
          </cell>
          <cell r="P18">
            <v>278578.46695919137</v>
          </cell>
          <cell r="Q18">
            <v>284725.95926142676</v>
          </cell>
          <cell r="R18">
            <v>290873.45156366209</v>
          </cell>
          <cell r="S18">
            <v>297020.94386589742</v>
          </cell>
          <cell r="T18">
            <v>266425.632899875</v>
          </cell>
          <cell r="U18">
            <v>235830.32193385265</v>
          </cell>
          <cell r="V18">
            <v>205235.01096783025</v>
          </cell>
          <cell r="W18">
            <v>174639.70000180788</v>
          </cell>
          <cell r="X18">
            <v>195497.0199534164</v>
          </cell>
          <cell r="Y18">
            <v>201323.82757405678</v>
          </cell>
          <cell r="Z18">
            <v>208175.57171328797</v>
          </cell>
          <cell r="AA18">
            <v>210307.55604268704</v>
          </cell>
          <cell r="AB18">
            <v>214419.20971210249</v>
          </cell>
          <cell r="AC18">
            <v>223579.72121616339</v>
          </cell>
          <cell r="AD18">
            <v>231569.38271530176</v>
          </cell>
          <cell r="AE18">
            <v>233178.53985233427</v>
          </cell>
          <cell r="AF18">
            <v>236034.19133653963</v>
          </cell>
          <cell r="AG18">
            <v>226136.95993508538</v>
          </cell>
          <cell r="AH18">
            <v>227236.78912372611</v>
          </cell>
        </row>
        <row r="21">
          <cell r="C21">
            <v>394.34620757670149</v>
          </cell>
          <cell r="D21">
            <v>382.18029763637185</v>
          </cell>
          <cell r="E21">
            <v>380.66803598289738</v>
          </cell>
          <cell r="F21">
            <v>370.94508529339453</v>
          </cell>
          <cell r="G21">
            <v>365.78565222610871</v>
          </cell>
          <cell r="H21">
            <v>337.42416439651765</v>
          </cell>
          <cell r="I21">
            <v>323.38089950806034</v>
          </cell>
          <cell r="J21">
            <v>302.01875552787652</v>
          </cell>
          <cell r="K21">
            <v>283.99969665930951</v>
          </cell>
          <cell r="L21">
            <v>311.78000387207078</v>
          </cell>
          <cell r="M21">
            <v>330.69409643057446</v>
          </cell>
          <cell r="N21">
            <v>349.09876311726845</v>
          </cell>
          <cell r="O21">
            <v>371.84943904088436</v>
          </cell>
          <cell r="P21">
            <v>380.74128427379162</v>
          </cell>
          <cell r="Q21">
            <v>376.3456022132882</v>
          </cell>
          <cell r="R21">
            <v>366.66771673680097</v>
          </cell>
          <cell r="S21">
            <v>369.45196301291185</v>
          </cell>
          <cell r="T21">
            <v>404.7923812992608</v>
          </cell>
          <cell r="U21">
            <v>437.45379259144858</v>
          </cell>
          <cell r="V21">
            <v>461.20476750610618</v>
          </cell>
          <cell r="W21">
            <v>495.49282254234663</v>
          </cell>
          <cell r="X21">
            <v>111.42190296089116</v>
          </cell>
          <cell r="Y21">
            <v>82.786066583696865</v>
          </cell>
          <cell r="Z21">
            <v>172.13169982485897</v>
          </cell>
          <cell r="AA21">
            <v>53.386021342956909</v>
          </cell>
          <cell r="AB21">
            <v>62.247889241275253</v>
          </cell>
          <cell r="AC21">
            <v>37.542753001146849</v>
          </cell>
          <cell r="AD21">
            <v>60.400453792841382</v>
          </cell>
          <cell r="AE21">
            <v>57.349937429794231</v>
          </cell>
          <cell r="AF21">
            <v>178.84058521850284</v>
          </cell>
          <cell r="AG21">
            <v>80.996502840606425</v>
          </cell>
          <cell r="AH21">
            <v>112.00606087125232</v>
          </cell>
        </row>
        <row r="22">
          <cell r="C22">
            <v>17746.689172626724</v>
          </cell>
          <cell r="D22">
            <v>17465.141344206593</v>
          </cell>
          <cell r="E22">
            <v>17127.474142783158</v>
          </cell>
          <cell r="F22">
            <v>16738.001313096185</v>
          </cell>
          <cell r="G22">
            <v>16413.128306810901</v>
          </cell>
          <cell r="H22">
            <v>16601.061629479427</v>
          </cell>
          <cell r="I22">
            <v>16744.793600350054</v>
          </cell>
          <cell r="J22">
            <v>16918.310938675993</v>
          </cell>
          <cell r="K22">
            <v>17114.756782577904</v>
          </cell>
          <cell r="L22">
            <v>17940.001831099493</v>
          </cell>
          <cell r="M22">
            <v>18714.672105692272</v>
          </cell>
          <cell r="N22">
            <v>19468.338645572705</v>
          </cell>
          <cell r="O22">
            <v>20208.574296069681</v>
          </cell>
          <cell r="P22">
            <v>20298.235364327025</v>
          </cell>
          <cell r="Q22">
            <v>20410.335271588494</v>
          </cell>
          <cell r="R22">
            <v>20714.511651980116</v>
          </cell>
          <cell r="S22">
            <v>20852.517570971322</v>
          </cell>
          <cell r="T22">
            <v>20710.109432082467</v>
          </cell>
          <cell r="U22">
            <v>20583.775011730995</v>
          </cell>
          <cell r="V22">
            <v>20498.108617104059</v>
          </cell>
          <cell r="W22">
            <v>20371.893923860058</v>
          </cell>
          <cell r="X22">
            <v>12387.124524358411</v>
          </cell>
          <cell r="Y22">
            <v>12015.746725413812</v>
          </cell>
          <cell r="Z22">
            <v>11770.225351521625</v>
          </cell>
          <cell r="AA22">
            <v>12107.312356391209</v>
          </cell>
          <cell r="AB22">
            <v>11421.576694341707</v>
          </cell>
          <cell r="AC22">
            <v>10106.5186728102</v>
          </cell>
          <cell r="AD22">
            <v>9918.1856058324174</v>
          </cell>
          <cell r="AE22">
            <v>9835.9196939453013</v>
          </cell>
          <cell r="AF22">
            <v>8734.5783643865234</v>
          </cell>
          <cell r="AG22">
            <v>7521.6349689483404</v>
          </cell>
          <cell r="AH22">
            <v>7825.5132739831561</v>
          </cell>
        </row>
        <row r="23">
          <cell r="C23">
            <v>12281.231946297212</v>
          </cell>
          <cell r="D23">
            <v>12918.235995743255</v>
          </cell>
          <cell r="E23">
            <v>13431.607326065803</v>
          </cell>
          <cell r="F23">
            <v>14056.053296958427</v>
          </cell>
          <cell r="G23">
            <v>14599.393525364165</v>
          </cell>
          <cell r="H23">
            <v>14689.149567036942</v>
          </cell>
          <cell r="I23">
            <v>14638.636256019965</v>
          </cell>
          <cell r="J23">
            <v>14696.908651285432</v>
          </cell>
          <cell r="K23">
            <v>14757.817870119106</v>
          </cell>
          <cell r="L23">
            <v>14672.012539883481</v>
          </cell>
          <cell r="M23">
            <v>14496.178768140344</v>
          </cell>
          <cell r="N23">
            <v>14404.655131328576</v>
          </cell>
          <cell r="O23">
            <v>14290.461099051934</v>
          </cell>
          <cell r="P23">
            <v>14495.068204358557</v>
          </cell>
          <cell r="Q23">
            <v>14807.378851724046</v>
          </cell>
          <cell r="R23">
            <v>15248.232224819303</v>
          </cell>
          <cell r="S23">
            <v>15452.963115103719</v>
          </cell>
          <cell r="T23">
            <v>13875.256830398321</v>
          </cell>
          <cell r="U23">
            <v>12362.319680152563</v>
          </cell>
          <cell r="V23">
            <v>10917.927789768803</v>
          </cell>
          <cell r="W23">
            <v>9255.9624783661038</v>
          </cell>
          <cell r="X23">
            <v>10353.300495907954</v>
          </cell>
          <cell r="Y23">
            <v>10643.587447422175</v>
          </cell>
          <cell r="Z23">
            <v>10925.658262392219</v>
          </cell>
          <cell r="AA23">
            <v>11033.222889652034</v>
          </cell>
          <cell r="AB23">
            <v>11265.46088658808</v>
          </cell>
          <cell r="AC23">
            <v>11620.797064164</v>
          </cell>
          <cell r="AD23">
            <v>12058.188415848317</v>
          </cell>
          <cell r="AE23">
            <v>12092.474788555364</v>
          </cell>
          <cell r="AF23">
            <v>12309.595023755031</v>
          </cell>
          <cell r="AG23">
            <v>11938.812068610707</v>
          </cell>
          <cell r="AH23">
            <v>11911.168179966249</v>
          </cell>
        </row>
      </sheetData>
      <sheetData sheetId="12">
        <row r="16">
          <cell r="C16">
            <v>14.51610461115424</v>
          </cell>
          <cell r="D16">
            <v>14.613541873043275</v>
          </cell>
          <cell r="E16">
            <v>14.710979134932311</v>
          </cell>
          <cell r="F16">
            <v>14.808416396821345</v>
          </cell>
          <cell r="G16">
            <v>14.905853658710376</v>
          </cell>
          <cell r="H16">
            <v>15.370804161944458</v>
          </cell>
          <cell r="I16">
            <v>15.835754665178541</v>
          </cell>
          <cell r="J16">
            <v>16.300705168412623</v>
          </cell>
          <cell r="K16">
            <v>16.765655671646705</v>
          </cell>
          <cell r="L16">
            <v>16.70706794452007</v>
          </cell>
          <cell r="M16">
            <v>16.648480217393431</v>
          </cell>
          <cell r="N16">
            <v>16.589892490266791</v>
          </cell>
          <cell r="O16">
            <v>16.531304763140149</v>
          </cell>
          <cell r="P16">
            <v>16.791419705544364</v>
          </cell>
          <cell r="Q16">
            <v>17.051534647948586</v>
          </cell>
          <cell r="R16">
            <v>17.3116495903528</v>
          </cell>
          <cell r="S16">
            <v>17.571764532757022</v>
          </cell>
          <cell r="T16">
            <v>43.219041792845402</v>
          </cell>
          <cell r="U16">
            <v>68.86631905293379</v>
          </cell>
          <cell r="V16">
            <v>94.513596313022163</v>
          </cell>
          <cell r="W16">
            <v>120.16087357311055</v>
          </cell>
          <cell r="X16">
            <v>87.383066849444674</v>
          </cell>
          <cell r="Y16">
            <v>144.34995474784191</v>
          </cell>
          <cell r="Z16">
            <v>148.16572723994761</v>
          </cell>
          <cell r="AA16">
            <v>84.451614259930892</v>
          </cell>
          <cell r="AB16">
            <v>113.60553329934331</v>
          </cell>
          <cell r="AC16">
            <v>112.67079984716325</v>
          </cell>
          <cell r="AD16">
            <v>6.3394648580898867</v>
          </cell>
          <cell r="AE16">
            <v>10.830156886277772</v>
          </cell>
          <cell r="AF16">
            <v>4.6904051425291522</v>
          </cell>
          <cell r="AG16">
            <v>9.6090538443054623</v>
          </cell>
          <cell r="AH16">
            <v>0.28673097130424557</v>
          </cell>
        </row>
        <row r="17">
          <cell r="C17">
            <v>1853.9860721077112</v>
          </cell>
          <cell r="D17">
            <v>1809.2274305228693</v>
          </cell>
          <cell r="E17">
            <v>1764.4687889380275</v>
          </cell>
          <cell r="F17">
            <v>1719.7101473531857</v>
          </cell>
          <cell r="G17">
            <v>1674.9515057683441</v>
          </cell>
          <cell r="H17">
            <v>1636.8260638791655</v>
          </cell>
          <cell r="I17">
            <v>1598.700621989987</v>
          </cell>
          <cell r="J17">
            <v>1560.5751801008084</v>
          </cell>
          <cell r="K17">
            <v>1522.4497382116299</v>
          </cell>
          <cell r="L17">
            <v>1409.1524314726903</v>
          </cell>
          <cell r="M17">
            <v>1295.8551247337507</v>
          </cell>
          <cell r="N17">
            <v>1182.5578179948111</v>
          </cell>
          <cell r="O17">
            <v>1069.2605112558713</v>
          </cell>
          <cell r="P17">
            <v>1088.7684073175988</v>
          </cell>
          <cell r="Q17">
            <v>1108.276303379326</v>
          </cell>
          <cell r="R17">
            <v>1127.7841994410535</v>
          </cell>
          <cell r="S17">
            <v>1147.292095502781</v>
          </cell>
          <cell r="T17">
            <v>1224.7830204451093</v>
          </cell>
          <cell r="U17">
            <v>1302.2739453874376</v>
          </cell>
          <cell r="V17">
            <v>1379.7648703297659</v>
          </cell>
          <cell r="W17">
            <v>1457.2557952720945</v>
          </cell>
          <cell r="X17">
            <v>1373.460186917486</v>
          </cell>
          <cell r="Y17">
            <v>1190.0521692999339</v>
          </cell>
          <cell r="Z17">
            <v>1435.0501433124532</v>
          </cell>
          <cell r="AA17">
            <v>1450.0061934187938</v>
          </cell>
          <cell r="AB17">
            <v>1201.3724641193871</v>
          </cell>
          <cell r="AC17">
            <v>287.08535747872622</v>
          </cell>
          <cell r="AD17">
            <v>0</v>
          </cell>
          <cell r="AE17">
            <v>0</v>
          </cell>
          <cell r="AF17">
            <v>0</v>
          </cell>
          <cell r="AG17">
            <v>0</v>
          </cell>
          <cell r="AH17">
            <v>0</v>
          </cell>
        </row>
        <row r="18">
          <cell r="C18">
            <v>3643.7994902306068</v>
          </cell>
          <cell r="D18">
            <v>3611.8887509695132</v>
          </cell>
          <cell r="E18">
            <v>3579.9780117084201</v>
          </cell>
          <cell r="F18">
            <v>3548.0672724473266</v>
          </cell>
          <cell r="G18">
            <v>3516.1565331862339</v>
          </cell>
          <cell r="H18">
            <v>3555.7109177234433</v>
          </cell>
          <cell r="I18">
            <v>3595.2653022606528</v>
          </cell>
          <cell r="J18">
            <v>3634.8196867978627</v>
          </cell>
          <cell r="K18">
            <v>3674.3740713350726</v>
          </cell>
          <cell r="L18">
            <v>3650.2870033609133</v>
          </cell>
          <cell r="M18">
            <v>3626.1999353867545</v>
          </cell>
          <cell r="N18">
            <v>3602.1128674125953</v>
          </cell>
          <cell r="O18">
            <v>3578.025799438436</v>
          </cell>
          <cell r="P18">
            <v>3375.2624249257219</v>
          </cell>
          <cell r="Q18">
            <v>3172.4990504130078</v>
          </cell>
          <cell r="R18">
            <v>2969.7356759002942</v>
          </cell>
          <cell r="S18">
            <v>2766.97230138758</v>
          </cell>
          <cell r="T18">
            <v>2735.1873570277639</v>
          </cell>
          <cell r="U18">
            <v>2703.4024126679478</v>
          </cell>
          <cell r="V18">
            <v>2671.6174683081322</v>
          </cell>
          <cell r="W18">
            <v>2639.8325239483156</v>
          </cell>
          <cell r="X18">
            <v>4033.37385474761</v>
          </cell>
          <cell r="Y18">
            <v>4207.8719738952914</v>
          </cell>
          <cell r="Z18">
            <v>4650.2769814351459</v>
          </cell>
          <cell r="AA18">
            <v>4750.348213803798</v>
          </cell>
          <cell r="AB18">
            <v>5696.3252897423517</v>
          </cell>
          <cell r="AC18">
            <v>5735.4434838407196</v>
          </cell>
          <cell r="AD18">
            <v>5754.2161606303644</v>
          </cell>
          <cell r="AE18">
            <v>5539.6218565850277</v>
          </cell>
          <cell r="AF18">
            <v>5293.2625369995385</v>
          </cell>
          <cell r="AG18">
            <v>3730.6106839396152</v>
          </cell>
          <cell r="AH18">
            <v>4435.5554184856119</v>
          </cell>
        </row>
        <row r="21">
          <cell r="C21">
            <v>1.0922222289912096</v>
          </cell>
          <cell r="D21">
            <v>1.0826113027301612</v>
          </cell>
          <cell r="E21">
            <v>1.1030941088013893</v>
          </cell>
          <cell r="F21">
            <v>1.0998475534042005</v>
          </cell>
          <cell r="G21">
            <v>1.1099543370642728</v>
          </cell>
          <cell r="H21">
            <v>1.1244462840286644</v>
          </cell>
          <cell r="I21">
            <v>1.1874121092058116</v>
          </cell>
          <cell r="J21">
            <v>1.2268010111195493</v>
          </cell>
          <cell r="K21">
            <v>1.2822940160022951</v>
          </cell>
          <cell r="L21">
            <v>1.2923833351229033</v>
          </cell>
          <cell r="M21">
            <v>1.2663007860407598</v>
          </cell>
          <cell r="N21">
            <v>1.2414792077481156</v>
          </cell>
          <cell r="O21">
            <v>1.2338061426650797</v>
          </cell>
          <cell r="P21">
            <v>1.2887533980744168</v>
          </cell>
          <cell r="Q21">
            <v>1.2992439274104985</v>
          </cell>
          <cell r="R21">
            <v>1.2907665162639783</v>
          </cell>
          <cell r="S21">
            <v>1.3259111355726871</v>
          </cell>
          <cell r="T21">
            <v>3.254450724480999</v>
          </cell>
          <cell r="U21">
            <v>5.1452538081110415</v>
          </cell>
          <cell r="V21">
            <v>6.8813727926385893</v>
          </cell>
          <cell r="W21">
            <v>8.7377921055093122</v>
          </cell>
          <cell r="X21">
            <v>6.3401271721961718</v>
          </cell>
          <cell r="Y21">
            <v>10.465181297343964</v>
          </cell>
          <cell r="Z21">
            <v>10.787404891025231</v>
          </cell>
          <cell r="AA21">
            <v>6.2337255640446525</v>
          </cell>
          <cell r="AB21">
            <v>8.2677886926135198</v>
          </cell>
          <cell r="AC21">
            <v>8.5836656663195203</v>
          </cell>
          <cell r="AD21">
            <v>0.47724902112383821</v>
          </cell>
          <cell r="AE21">
            <v>0.82878731636661862</v>
          </cell>
          <cell r="AF21">
            <v>0.34748317706560394</v>
          </cell>
          <cell r="AG21">
            <v>0.66829276543558125</v>
          </cell>
          <cell r="AH21">
            <v>2.0561812694127806E-2</v>
          </cell>
        </row>
        <row r="22">
          <cell r="C22">
            <v>166.27123664958575</v>
          </cell>
          <cell r="D22">
            <v>162.67362942393203</v>
          </cell>
          <cell r="E22">
            <v>158.55141534599906</v>
          </cell>
          <cell r="F22">
            <v>153.95395241813387</v>
          </cell>
          <cell r="G22">
            <v>149.95440133143035</v>
          </cell>
          <cell r="H22">
            <v>146.68683948383892</v>
          </cell>
          <cell r="I22">
            <v>143.03201438214225</v>
          </cell>
          <cell r="J22">
            <v>139.63909726274051</v>
          </cell>
          <cell r="K22">
            <v>136.42771437150603</v>
          </cell>
          <cell r="L22">
            <v>126.32941862550577</v>
          </cell>
          <cell r="M22">
            <v>115.90480221814872</v>
          </cell>
          <cell r="N22">
            <v>105.43363583710683</v>
          </cell>
          <cell r="O22">
            <v>94.98849815111592</v>
          </cell>
          <cell r="P22">
            <v>96.642315401714015</v>
          </cell>
          <cell r="Q22">
            <v>98.402316416189322</v>
          </cell>
          <cell r="R22">
            <v>101.10047835113475</v>
          </cell>
          <cell r="S22">
            <v>103.00113657647432</v>
          </cell>
          <cell r="T22">
            <v>109.87102692070238</v>
          </cell>
          <cell r="U22">
            <v>116.81999247783338</v>
          </cell>
          <cell r="V22">
            <v>124.01467486469393</v>
          </cell>
          <cell r="W22">
            <v>130.97917771254967</v>
          </cell>
          <cell r="X22">
            <v>123.54110096076217</v>
          </cell>
          <cell r="Y22">
            <v>107.26444903774509</v>
          </cell>
          <cell r="Z22">
            <v>129.29753291601301</v>
          </cell>
          <cell r="AA22">
            <v>130.74648948193368</v>
          </cell>
          <cell r="AB22">
            <v>108.57168354443699</v>
          </cell>
          <cell r="AC22">
            <v>25.975129692468364</v>
          </cell>
          <cell r="AD22">
            <v>0</v>
          </cell>
          <cell r="AE22">
            <v>0</v>
          </cell>
          <cell r="AF22">
            <v>0</v>
          </cell>
          <cell r="AG22">
            <v>0</v>
          </cell>
          <cell r="AH22">
            <v>0</v>
          </cell>
        </row>
        <row r="23">
          <cell r="C23">
            <v>190.50895335291435</v>
          </cell>
          <cell r="D23">
            <v>189.74904311156394</v>
          </cell>
          <cell r="E23">
            <v>187.17310755879882</v>
          </cell>
          <cell r="F23">
            <v>186.1574886088741</v>
          </cell>
          <cell r="G23">
            <v>184.05658400988679</v>
          </cell>
          <cell r="H23">
            <v>186.51408467291981</v>
          </cell>
          <cell r="I23">
            <v>187.18342683425266</v>
          </cell>
          <cell r="J23">
            <v>189.23394275938017</v>
          </cell>
          <cell r="K23">
            <v>191.31852117273519</v>
          </cell>
          <cell r="L23">
            <v>190.81074427720472</v>
          </cell>
          <cell r="M23">
            <v>189.13318035919454</v>
          </cell>
          <cell r="N23">
            <v>188.55648395797013</v>
          </cell>
          <cell r="O23">
            <v>187.68658212475259</v>
          </cell>
          <cell r="P23">
            <v>175.62254394943562</v>
          </cell>
          <cell r="Q23">
            <v>164.98810107815945</v>
          </cell>
          <cell r="R23">
            <v>155.68013852425261</v>
          </cell>
          <cell r="S23">
            <v>143.95591219035649</v>
          </cell>
          <cell r="T23">
            <v>142.44660562477139</v>
          </cell>
          <cell r="U23">
            <v>141.71343436859175</v>
          </cell>
          <cell r="V23">
            <v>142.12256701876842</v>
          </cell>
          <cell r="W23">
            <v>139.91200620811392</v>
          </cell>
          <cell r="X23">
            <v>213.60290576547408</v>
          </cell>
          <cell r="Y23">
            <v>222.46176153807073</v>
          </cell>
          <cell r="Z23">
            <v>244.06003406876289</v>
          </cell>
          <cell r="AA23">
            <v>249.21430134312195</v>
          </cell>
          <cell r="AB23">
            <v>299.28162609608262</v>
          </cell>
          <cell r="AC23">
            <v>298.10585877891492</v>
          </cell>
          <cell r="AD23">
            <v>299.63124587892833</v>
          </cell>
          <cell r="AE23">
            <v>287.28088648855186</v>
          </cell>
          <cell r="AF23">
            <v>276.05287952530455</v>
          </cell>
          <cell r="AG23">
            <v>196.95612724913101</v>
          </cell>
          <cell r="AH23">
            <v>232.50040966023479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InvDB"/>
      <sheetName val="InvDB-Old"/>
      <sheetName val="CRF Reporter Input"/>
      <sheetName val="Text Tables"/>
      <sheetName val="Summary"/>
      <sheetName val="CO2 Emissions"/>
      <sheetName val="Prior Inventory Comparison"/>
      <sheetName val="Historical Changes - OLD"/>
      <sheetName val="MSW Incinerated"/>
      <sheetName val="Rubber in Tires CO2"/>
      <sheetName val="Biocycle MSW estimate"/>
      <sheetName val="GHGRP Raw CH4 N2O"/>
      <sheetName val="GHGRP MSW Combustors Data"/>
      <sheetName val="EIA MSW Raw Data"/>
      <sheetName val="Assumptions"/>
      <sheetName val="Uncertainty"/>
      <sheetName val="Revisions Log"/>
    </sheetNames>
    <sheetDataSet>
      <sheetData sheetId="0"/>
      <sheetData sheetId="1"/>
      <sheetData sheetId="2"/>
      <sheetData sheetId="3"/>
      <sheetData sheetId="4"/>
      <sheetData sheetId="5">
        <row r="3">
          <cell r="A3" t="str">
            <v>MMT CO₂ Eq.</v>
          </cell>
        </row>
        <row r="4">
          <cell r="B4">
            <v>12.900454170443</v>
          </cell>
          <cell r="C4">
            <v>11.171015789489861</v>
          </cell>
          <cell r="D4">
            <v>12.990260470436997</v>
          </cell>
          <cell r="E4">
            <v>12.969723708115646</v>
          </cell>
          <cell r="F4">
            <v>14.039016567793931</v>
          </cell>
          <cell r="G4">
            <v>14.332929015818289</v>
          </cell>
          <cell r="H4">
            <v>14.514110063592131</v>
          </cell>
          <cell r="I4">
            <v>13.732773280637058</v>
          </cell>
          <cell r="J4">
            <v>12.790136133806165</v>
          </cell>
          <cell r="K4">
            <v>12.315720849897639</v>
          </cell>
          <cell r="L4">
            <v>13.025819448307994</v>
          </cell>
          <cell r="M4">
            <v>12.994568069158476</v>
          </cell>
          <cell r="N4">
            <v>13.029733290425277</v>
          </cell>
          <cell r="O4">
            <v>13.173072725766703</v>
          </cell>
          <cell r="P4">
            <v>13.248225499305548</v>
          </cell>
          <cell r="Q4">
            <v>13.254275146192358</v>
          </cell>
          <cell r="R4">
            <v>14.342552747024165</v>
          </cell>
          <cell r="S4">
            <v>14.242038803330455</v>
          </cell>
          <cell r="T4">
            <v>13.908894541041024</v>
          </cell>
          <cell r="U4">
            <v>13.4590010967819</v>
          </cell>
          <cell r="V4">
            <v>12.823858281771429</v>
          </cell>
          <cell r="W4">
            <v>12.740917571836741</v>
          </cell>
          <cell r="X4">
            <v>13.392678758371968</v>
          </cell>
          <cell r="Y4">
            <v>14.135470776521615</v>
          </cell>
          <cell r="Z4">
            <v>14.057790010438051</v>
          </cell>
          <cell r="AA4">
            <v>14.167439835484577</v>
          </cell>
          <cell r="AB4">
            <v>14.35559998444532</v>
          </cell>
          <cell r="AC4">
            <v>13.160587781433355</v>
          </cell>
          <cell r="AD4">
            <v>13.33946829821061</v>
          </cell>
          <cell r="AE4">
            <v>12.947739688019361</v>
          </cell>
          <cell r="AF4">
            <v>12.921210694610618</v>
          </cell>
          <cell r="AG4">
            <v>12.475968789629873</v>
          </cell>
          <cell r="AH4">
            <v>12.357485433968854</v>
          </cell>
        </row>
      </sheetData>
      <sheetData sheetId="6"/>
      <sheetData sheetId="7"/>
      <sheetData sheetId="8"/>
      <sheetData sheetId="9">
        <row r="4">
          <cell r="K4">
            <v>33766239.405630633</v>
          </cell>
        </row>
        <row r="5">
          <cell r="K5">
            <v>28068118.785687521</v>
          </cell>
        </row>
        <row r="6">
          <cell r="K6">
            <v>32062626.848034572</v>
          </cell>
        </row>
        <row r="7">
          <cell r="K7">
            <v>30687276.5272603</v>
          </cell>
        </row>
        <row r="8">
          <cell r="K8">
            <v>32288611.830066804</v>
          </cell>
        </row>
        <row r="9">
          <cell r="K9">
            <v>32671620.273815565</v>
          </cell>
        </row>
        <row r="10">
          <cell r="K10">
            <v>32746721.929495804</v>
          </cell>
        </row>
        <row r="11">
          <cell r="K11">
            <v>30642615.542670697</v>
          </cell>
        </row>
        <row r="12">
          <cell r="K12">
            <v>28097944.443219647</v>
          </cell>
        </row>
        <row r="13">
          <cell r="K13">
            <v>26782170.435856171</v>
          </cell>
        </row>
        <row r="14">
          <cell r="K14">
            <v>28632661.231508635</v>
          </cell>
        </row>
        <row r="15">
          <cell r="K15">
            <v>28596349.506181899</v>
          </cell>
        </row>
        <row r="16">
          <cell r="K16">
            <v>28442995.697169691</v>
          </cell>
        </row>
        <row r="17">
          <cell r="K17">
            <v>28583679.084036071</v>
          </cell>
        </row>
        <row r="18">
          <cell r="K18">
            <v>28701936.872749399</v>
          </cell>
        </row>
        <row r="19">
          <cell r="K19">
            <v>28631054.065067425</v>
          </cell>
        </row>
        <row r="20">
          <cell r="K20">
            <v>31042027.831250362</v>
          </cell>
        </row>
        <row r="21">
          <cell r="K21">
            <v>30211617.429002084</v>
          </cell>
        </row>
        <row r="22">
          <cell r="K22">
            <v>29973112.514165435</v>
          </cell>
        </row>
        <row r="23">
          <cell r="K23">
            <v>29420505.652653765</v>
          </cell>
        </row>
        <row r="24">
          <cell r="K24">
            <v>28816625.530017793</v>
          </cell>
        </row>
        <row r="25">
          <cell r="K25">
            <v>30324814.308447</v>
          </cell>
        </row>
        <row r="26">
          <cell r="K26">
            <v>30774346.468054567</v>
          </cell>
        </row>
        <row r="27">
          <cell r="K27">
            <v>31156716.92629816</v>
          </cell>
        </row>
        <row r="28">
          <cell r="K28">
            <v>31046551.039722424</v>
          </cell>
        </row>
        <row r="29">
          <cell r="K29">
            <v>30976230.211773161</v>
          </cell>
        </row>
        <row r="30">
          <cell r="K30">
            <v>31534322.240966745</v>
          </cell>
        </row>
        <row r="31">
          <cell r="K31">
            <v>30310598.195740614</v>
          </cell>
        </row>
        <row r="32">
          <cell r="K32">
            <v>30853948.902847577</v>
          </cell>
        </row>
        <row r="33">
          <cell r="K33">
            <v>29821140.540799242</v>
          </cell>
        </row>
        <row r="34">
          <cell r="K34">
            <v>29106686.386695385</v>
          </cell>
        </row>
        <row r="35">
          <cell r="K35">
            <v>29261445.860253651</v>
          </cell>
        </row>
        <row r="36">
          <cell r="K36">
            <v>27732130.384063173</v>
          </cell>
        </row>
      </sheetData>
      <sheetData sheetId="10">
        <row r="13">
          <cell r="B13">
            <v>0.98</v>
          </cell>
        </row>
      </sheetData>
      <sheetData sheetId="11"/>
      <sheetData sheetId="12"/>
      <sheetData sheetId="13"/>
      <sheetData sheetId="14"/>
      <sheetData sheetId="15">
        <row r="12">
          <cell r="C12">
            <v>2.8320000000000001E-2</v>
          </cell>
        </row>
        <row r="29">
          <cell r="C29">
            <v>9.9499999999999993</v>
          </cell>
        </row>
      </sheetData>
      <sheetData sheetId="16"/>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IA_Output QBtu"/>
      <sheetName val="Differences"/>
      <sheetName val="Corrections"/>
      <sheetName val="Non-Energy Use"/>
      <sheetName val="ER2022 Compare EIA_Output Tab"/>
      <sheetName val="ER2022 Compare NEU Tab"/>
      <sheetName val="FR2021 Compare EIA_Output Tab"/>
      <sheetName val="FR2021 Compare NEU Tab"/>
      <sheetName val="PR2021 Compare EIA_Output Tab"/>
      <sheetName val="PR2021 Compare NEU Tab"/>
      <sheetName val="ER2021 Compare EIA_Output Tab"/>
      <sheetName val="ER2021 Compare NEU Tab"/>
      <sheetName val="FR2020 Compare EIA_Output Tab"/>
      <sheetName val="FR2020 Compare NEU Tab"/>
    </sheetNames>
    <sheetDataSet>
      <sheetData sheetId="0">
        <row r="8">
          <cell r="G8">
            <v>3.1113999999999999E-2</v>
          </cell>
          <cell r="H8">
            <v>2.5354999999999999E-2</v>
          </cell>
          <cell r="I8">
            <v>2.5588999999999997E-2</v>
          </cell>
          <cell r="J8">
            <v>2.5748999999999998E-2</v>
          </cell>
          <cell r="K8">
            <v>2.0844999999999999E-2</v>
          </cell>
          <cell r="L8">
            <v>1.7451000000000001E-2</v>
          </cell>
          <cell r="M8">
            <v>1.6583999999999998E-2</v>
          </cell>
          <cell r="N8">
            <v>1.5991999999999999E-2</v>
          </cell>
          <cell r="O8">
            <v>1.1547999999999999E-2</v>
          </cell>
          <cell r="P8">
            <v>1.3981E-2</v>
          </cell>
          <cell r="Q8">
            <v>1.1358E-2</v>
          </cell>
          <cell r="R8">
            <v>1.1971000000000001E-2</v>
          </cell>
          <cell r="S8">
            <v>1.2247999999999998E-2</v>
          </cell>
          <cell r="T8">
            <v>1.2246999999999999E-2</v>
          </cell>
          <cell r="U8">
            <v>1.1434E-2</v>
          </cell>
          <cell r="V8">
            <v>8.4349999999999998E-3</v>
          </cell>
          <cell r="W8">
            <v>6.4080000000000005E-3</v>
          </cell>
          <cell r="X8">
            <v>7.7819999999999999E-3</v>
          </cell>
          <cell r="Y8" t="str">
            <v>NA</v>
          </cell>
          <cell r="Z8" t="str">
            <v>NA</v>
          </cell>
          <cell r="AA8" t="str">
            <v>NA</v>
          </cell>
          <cell r="AB8" t="str">
            <v>NA</v>
          </cell>
          <cell r="AC8" t="str">
            <v>NA</v>
          </cell>
          <cell r="AD8" t="str">
            <v>NA</v>
          </cell>
          <cell r="AE8" t="str">
            <v>NA</v>
          </cell>
          <cell r="AF8" t="str">
            <v>NA</v>
          </cell>
          <cell r="AG8" t="str">
            <v>NA</v>
          </cell>
          <cell r="AH8" t="str">
            <v>NA</v>
          </cell>
          <cell r="AI8" t="str">
            <v>NA</v>
          </cell>
          <cell r="AJ8" t="str">
            <v>NA</v>
          </cell>
          <cell r="AK8" t="str">
            <v>NA</v>
          </cell>
          <cell r="AL8" t="str">
            <v>NA</v>
          </cell>
          <cell r="AM8" t="str">
            <v>NA</v>
          </cell>
        </row>
        <row r="9">
          <cell r="G9">
            <v>4.4865529999999998</v>
          </cell>
          <cell r="H9">
            <v>4.6672229999999999</v>
          </cell>
          <cell r="I9">
            <v>4.8045809999999998</v>
          </cell>
          <cell r="J9">
            <v>5.0583729999999996</v>
          </cell>
          <cell r="K9">
            <v>4.9598399999999998</v>
          </cell>
          <cell r="L9">
            <v>4.9541890000000004</v>
          </cell>
          <cell r="M9">
            <v>5.3543890000000003</v>
          </cell>
          <cell r="N9">
            <v>5.0929190000000002</v>
          </cell>
          <cell r="O9">
            <v>4.6460870000000005</v>
          </cell>
          <cell r="P9">
            <v>4.8348990000000001</v>
          </cell>
          <cell r="Q9">
            <v>5.1045929999999995</v>
          </cell>
          <cell r="R9">
            <v>4.8890180000000001</v>
          </cell>
          <cell r="S9">
            <v>4.9949939999999993</v>
          </cell>
          <cell r="T9">
            <v>5.2094279999999999</v>
          </cell>
          <cell r="U9">
            <v>4.9808310000000002</v>
          </cell>
          <cell r="V9">
            <v>4.9463540000000004</v>
          </cell>
          <cell r="W9">
            <v>4.4759129999999994</v>
          </cell>
          <cell r="X9">
            <v>4.8354399999999993</v>
          </cell>
          <cell r="Y9">
            <v>5.0100609999999994</v>
          </cell>
          <cell r="Z9">
            <v>4.8831119999999997</v>
          </cell>
          <cell r="AA9">
            <v>4.8781109999999996</v>
          </cell>
          <cell r="AB9">
            <v>4.8045789999999995</v>
          </cell>
          <cell r="AC9">
            <v>4.2420939999999998</v>
          </cell>
          <cell r="AD9">
            <v>5.0229419999999996</v>
          </cell>
          <cell r="AE9">
            <v>5.242483</v>
          </cell>
          <cell r="AF9">
            <v>4.7769269999999997</v>
          </cell>
          <cell r="AG9">
            <v>4.5058439999999997</v>
          </cell>
          <cell r="AH9">
            <v>4.563472</v>
          </cell>
          <cell r="AI9">
            <v>5.1743940000000004</v>
          </cell>
          <cell r="AJ9">
            <v>5.2080320000000002</v>
          </cell>
          <cell r="AK9">
            <v>4.8456809999999999</v>
          </cell>
          <cell r="AL9">
            <v>4.8888850000000001</v>
          </cell>
          <cell r="AM9">
            <v>5.1398580000000003</v>
          </cell>
        </row>
        <row r="11">
          <cell r="G11">
            <v>6.3908999999999994E-2</v>
          </cell>
          <cell r="H11">
            <v>7.2340000000000002E-2</v>
          </cell>
          <cell r="I11">
            <v>6.5004000000000006E-2</v>
          </cell>
          <cell r="J11">
            <v>7.5614000000000001E-2</v>
          </cell>
          <cell r="K11">
            <v>6.4923000000000008E-2</v>
          </cell>
          <cell r="L11">
            <v>7.4295E-2</v>
          </cell>
          <cell r="M11">
            <v>8.8781000000000013E-2</v>
          </cell>
          <cell r="N11">
            <v>9.2882999999999993E-2</v>
          </cell>
          <cell r="O11">
            <v>0.108317</v>
          </cell>
          <cell r="P11">
            <v>0.111164</v>
          </cell>
          <cell r="Q11">
            <v>9.4572000000000003E-2</v>
          </cell>
          <cell r="R11">
            <v>9.5084999999999989E-2</v>
          </cell>
          <cell r="S11">
            <v>5.9936999999999997E-2</v>
          </cell>
          <cell r="T11">
            <v>7.0301000000000002E-2</v>
          </cell>
          <cell r="U11">
            <v>8.4759000000000001E-2</v>
          </cell>
          <cell r="V11">
            <v>8.3804000000000003E-2</v>
          </cell>
          <cell r="W11">
            <v>6.6350999999999993E-2</v>
          </cell>
          <cell r="X11">
            <v>4.3917999999999999E-2</v>
          </cell>
          <cell r="Y11">
            <v>2.1263000000000001E-2</v>
          </cell>
          <cell r="Z11">
            <v>2.7693000000000002E-2</v>
          </cell>
          <cell r="AA11">
            <v>2.9104999999999999E-2</v>
          </cell>
          <cell r="AB11">
            <v>1.8526000000000001E-2</v>
          </cell>
          <cell r="AC11">
            <v>7.737E-3</v>
          </cell>
          <cell r="AD11">
            <v>8.26E-3</v>
          </cell>
          <cell r="AE11">
            <v>1.3748E-2</v>
          </cell>
          <cell r="AF11">
            <v>1.0117000000000001E-2</v>
          </cell>
          <cell r="AG11">
            <v>1.3650000000000001E-2</v>
          </cell>
          <cell r="AH11">
            <v>8.4120000000000011E-3</v>
          </cell>
          <cell r="AI11">
            <v>8.2410000000000001E-3</v>
          </cell>
          <cell r="AJ11">
            <v>1.0754E-2</v>
          </cell>
          <cell r="AK11">
            <v>1.0836E-2</v>
          </cell>
          <cell r="AL11">
            <v>9.4090000000000007E-3</v>
          </cell>
          <cell r="AM11">
            <v>8.3119999999999999E-3</v>
          </cell>
        </row>
        <row r="12">
          <cell r="G12">
            <v>0.35259699999999999</v>
          </cell>
          <cell r="H12">
            <v>0.37863799999999997</v>
          </cell>
          <cell r="I12">
            <v>0.36989100000000003</v>
          </cell>
          <cell r="J12">
            <v>0.39007999999999998</v>
          </cell>
          <cell r="K12">
            <v>0.38417599999999996</v>
          </cell>
          <cell r="L12">
            <v>0.39532299999999998</v>
          </cell>
          <cell r="M12">
            <v>0.46934500000000001</v>
          </cell>
          <cell r="N12">
            <v>0.45538999999999996</v>
          </cell>
          <cell r="O12">
            <v>0.42443900000000001</v>
          </cell>
          <cell r="P12">
            <v>0.52666899999999994</v>
          </cell>
          <cell r="Q12">
            <v>0.55561499999999997</v>
          </cell>
          <cell r="R12">
            <v>0.52636699999999992</v>
          </cell>
          <cell r="S12">
            <v>0.53784799999999999</v>
          </cell>
          <cell r="T12">
            <v>0.54519000000000006</v>
          </cell>
          <cell r="U12">
            <v>0.51241300000000001</v>
          </cell>
          <cell r="V12">
            <v>0.51351999999999998</v>
          </cell>
          <cell r="W12">
            <v>0.44610500000000003</v>
          </cell>
          <cell r="X12">
            <v>0.48428100000000002</v>
          </cell>
          <cell r="Y12">
            <v>0.55344399999999994</v>
          </cell>
          <cell r="Z12">
            <v>0.54778099999999996</v>
          </cell>
          <cell r="AA12">
            <v>0.52983399999999992</v>
          </cell>
          <cell r="AB12">
            <v>0.49261200000000005</v>
          </cell>
          <cell r="AC12">
            <v>0.39555599999999996</v>
          </cell>
          <cell r="AD12">
            <v>0.46347300000000002</v>
          </cell>
          <cell r="AE12">
            <v>0.48952200000000001</v>
          </cell>
          <cell r="AF12">
            <v>0.44570900000000002</v>
          </cell>
          <cell r="AG12">
            <v>0.42988799999999999</v>
          </cell>
          <cell r="AH12">
            <v>0.430701</v>
          </cell>
          <cell r="AI12">
            <v>0.50654700000000008</v>
          </cell>
          <cell r="AJ12">
            <v>0.56340499999999993</v>
          </cell>
          <cell r="AK12">
            <v>0.49493400000000004</v>
          </cell>
          <cell r="AL12">
            <v>0.48413</v>
          </cell>
          <cell r="AM12">
            <v>0.486952</v>
          </cell>
        </row>
        <row r="14">
          <cell r="G14">
            <v>0.124456</v>
          </cell>
          <cell r="H14">
            <v>0.115505</v>
          </cell>
          <cell r="I14">
            <v>0.11656999999999999</v>
          </cell>
          <cell r="J14">
            <v>0.117302</v>
          </cell>
          <cell r="K14">
            <v>0.118119</v>
          </cell>
          <cell r="L14">
            <v>0.116788</v>
          </cell>
          <cell r="M14">
            <v>0.121613</v>
          </cell>
          <cell r="N14">
            <v>0.12939099999999998</v>
          </cell>
          <cell r="O14">
            <v>9.3436000000000005E-2</v>
          </cell>
          <cell r="P14">
            <v>0.102524</v>
          </cell>
          <cell r="Q14">
            <v>9.1894999999999991E-2</v>
          </cell>
          <cell r="R14">
            <v>9.6858E-2</v>
          </cell>
          <cell r="S14">
            <v>8.9819999999999997E-2</v>
          </cell>
          <cell r="T14">
            <v>8.1962999999999994E-2</v>
          </cell>
          <cell r="U14">
            <v>0.102904</v>
          </cell>
          <cell r="V14">
            <v>9.6999000000000002E-2</v>
          </cell>
          <cell r="W14">
            <v>6.4788999999999999E-2</v>
          </cell>
          <cell r="X14">
            <v>7.0035E-2</v>
          </cell>
          <cell r="Y14">
            <v>8.0757000000000009E-2</v>
          </cell>
          <cell r="Z14">
            <v>7.3352999999999988E-2</v>
          </cell>
          <cell r="AA14">
            <v>6.9653999999999994E-2</v>
          </cell>
          <cell r="AB14">
            <v>6.1715000000000006E-2</v>
          </cell>
          <cell r="AC14">
            <v>4.3552E-2</v>
          </cell>
          <cell r="AD14">
            <v>4.1428E-2</v>
          </cell>
          <cell r="AE14">
            <v>4.0204000000000004E-2</v>
          </cell>
          <cell r="AF14">
            <v>3.1119000000000001E-2</v>
          </cell>
          <cell r="AG14">
            <v>2.3746E-2</v>
          </cell>
          <cell r="AH14">
            <v>2.0657000000000002E-2</v>
          </cell>
          <cell r="AI14">
            <v>1.8721000000000002E-2</v>
          </cell>
          <cell r="AJ14">
            <v>1.6716000000000002E-2</v>
          </cell>
          <cell r="AK14">
            <v>1.4512000000000001E-2</v>
          </cell>
          <cell r="AL14">
            <v>1.4914999999999999E-2</v>
          </cell>
          <cell r="AM14">
            <v>1.4461E-2</v>
          </cell>
        </row>
        <row r="15">
          <cell r="G15">
            <v>2.6795970000000002</v>
          </cell>
          <cell r="H15">
            <v>2.795401</v>
          </cell>
          <cell r="I15">
            <v>2.8711860000000002</v>
          </cell>
          <cell r="J15">
            <v>2.9204160000000003</v>
          </cell>
          <cell r="K15">
            <v>2.9619810000000002</v>
          </cell>
          <cell r="L15">
            <v>3.0959889999999999</v>
          </cell>
          <cell r="M15">
            <v>3.2263169999999999</v>
          </cell>
          <cell r="N15">
            <v>3.28532</v>
          </cell>
          <cell r="O15">
            <v>3.0829749999999998</v>
          </cell>
          <cell r="P15">
            <v>3.1150310000000001</v>
          </cell>
          <cell r="Q15">
            <v>3.2515259999999997</v>
          </cell>
          <cell r="R15">
            <v>3.0972620000000002</v>
          </cell>
          <cell r="S15">
            <v>3.212456</v>
          </cell>
          <cell r="T15">
            <v>3.2609160000000004</v>
          </cell>
          <cell r="U15">
            <v>3.2009720000000002</v>
          </cell>
          <cell r="V15">
            <v>3.0732159999999999</v>
          </cell>
          <cell r="W15">
            <v>2.9016869999999999</v>
          </cell>
          <cell r="X15">
            <v>3.0850520000000001</v>
          </cell>
          <cell r="Y15">
            <v>3.2284290000000002</v>
          </cell>
          <cell r="Z15">
            <v>3.1865939999999999</v>
          </cell>
          <cell r="AA15">
            <v>3.1646779999999999</v>
          </cell>
          <cell r="AB15">
            <v>3.2161</v>
          </cell>
          <cell r="AC15">
            <v>2.959511</v>
          </cell>
          <cell r="AD15">
            <v>3.3797930000000003</v>
          </cell>
          <cell r="AE15">
            <v>3.5719250000000002</v>
          </cell>
          <cell r="AF15">
            <v>3.315591</v>
          </cell>
          <cell r="AG15">
            <v>3.2235169999999997</v>
          </cell>
          <cell r="AH15">
            <v>3.2728519999999999</v>
          </cell>
          <cell r="AI15">
            <v>3.638296</v>
          </cell>
          <cell r="AJ15">
            <v>3.6472860000000003</v>
          </cell>
          <cell r="AK15">
            <v>3.2785120000000001</v>
          </cell>
          <cell r="AL15">
            <v>3.4091750000000003</v>
          </cell>
          <cell r="AM15">
            <v>3.63327</v>
          </cell>
        </row>
        <row r="17">
          <cell r="G17">
            <v>1.1835E-2</v>
          </cell>
          <cell r="H17">
            <v>1.2088E-2</v>
          </cell>
          <cell r="I17">
            <v>1.1124E-2</v>
          </cell>
          <cell r="J17">
            <v>1.4038999999999999E-2</v>
          </cell>
          <cell r="K17">
            <v>1.9459000000000001E-2</v>
          </cell>
          <cell r="L17">
            <v>2.2102E-2</v>
          </cell>
          <cell r="M17">
            <v>2.1031999999999999E-2</v>
          </cell>
          <cell r="N17">
            <v>2.4645E-2</v>
          </cell>
          <cell r="O17">
            <v>3.1149999999999997E-2</v>
          </cell>
          <cell r="P17">
            <v>2.6943000000000002E-2</v>
          </cell>
          <cell r="Q17">
            <v>2.9649999999999999E-2</v>
          </cell>
          <cell r="R17">
            <v>3.1403E-2</v>
          </cell>
          <cell r="S17">
            <v>1.5949000000000001E-2</v>
          </cell>
          <cell r="T17">
            <v>1.8635000000000002E-2</v>
          </cell>
          <cell r="U17">
            <v>2.0493999999999998E-2</v>
          </cell>
          <cell r="V17">
            <v>2.1593000000000001E-2</v>
          </cell>
          <cell r="W17">
            <v>1.5172000000000001E-2</v>
          </cell>
          <cell r="X17">
            <v>9.1750000000000009E-3</v>
          </cell>
          <cell r="Y17">
            <v>4.4359999999999998E-3</v>
          </cell>
          <cell r="Z17">
            <v>4.2240000000000003E-3</v>
          </cell>
          <cell r="AA17">
            <v>4.8219999999999999E-3</v>
          </cell>
          <cell r="AB17">
            <v>3.192E-3</v>
          </cell>
          <cell r="AC17">
            <v>1.2030000000000001E-3</v>
          </cell>
          <cell r="AD17">
            <v>1.018E-3</v>
          </cell>
          <cell r="AE17">
            <v>2.0400000000000001E-3</v>
          </cell>
          <cell r="AF17">
            <v>1.371E-3</v>
          </cell>
          <cell r="AG17">
            <v>2.0769999999999999E-3</v>
          </cell>
          <cell r="AH17">
            <v>1.188E-3</v>
          </cell>
          <cell r="AI17">
            <v>1.3369999999999999E-3</v>
          </cell>
          <cell r="AJ17">
            <v>1.8389999999999999E-3</v>
          </cell>
          <cell r="AK17">
            <v>1.6930000000000001E-3</v>
          </cell>
          <cell r="AL17">
            <v>1.4370000000000001E-3</v>
          </cell>
          <cell r="AM17">
            <v>1.2700000000000001E-3</v>
          </cell>
        </row>
        <row r="18">
          <cell r="G18">
            <v>0.1024</v>
          </cell>
          <cell r="H18">
            <v>0.10837000000000001</v>
          </cell>
          <cell r="I18">
            <v>0.107046</v>
          </cell>
          <cell r="J18">
            <v>0.109389</v>
          </cell>
          <cell r="K18">
            <v>0.10740300000000001</v>
          </cell>
          <cell r="L18">
            <v>0.10887300000000001</v>
          </cell>
          <cell r="M18">
            <v>0.122553</v>
          </cell>
          <cell r="N18">
            <v>0.120397</v>
          </cell>
          <cell r="O18">
            <v>0.11772299999999999</v>
          </cell>
          <cell r="P18">
            <v>0.140345</v>
          </cell>
          <cell r="Q18">
            <v>0.150588</v>
          </cell>
          <cell r="R18">
            <v>0.14286299999999999</v>
          </cell>
          <cell r="S18">
            <v>0.140981</v>
          </cell>
          <cell r="T18">
            <v>0.157058</v>
          </cell>
          <cell r="U18">
            <v>0.152168</v>
          </cell>
          <cell r="V18">
            <v>0.13155600000000001</v>
          </cell>
          <cell r="W18">
            <v>0.123331</v>
          </cell>
          <cell r="X18">
            <v>0.12157299999999999</v>
          </cell>
          <cell r="Y18">
            <v>0.15818100000000002</v>
          </cell>
          <cell r="Z18">
            <v>0.13903299999999999</v>
          </cell>
          <cell r="AA18">
            <v>0.140011</v>
          </cell>
          <cell r="AB18">
            <v>0.142509</v>
          </cell>
          <cell r="AC18">
            <v>0.13552500000000001</v>
          </cell>
          <cell r="AD18">
            <v>0.151617</v>
          </cell>
          <cell r="AE18">
            <v>0.160473</v>
          </cell>
          <cell r="AF18">
            <v>0.14802799999999999</v>
          </cell>
          <cell r="AG18">
            <v>0.15001200000000001</v>
          </cell>
          <cell r="AH18">
            <v>0.15567300000000001</v>
          </cell>
          <cell r="AI18">
            <v>0.17596600000000001</v>
          </cell>
          <cell r="AJ18">
            <v>0.182028</v>
          </cell>
          <cell r="AK18">
            <v>0.20104499999999997</v>
          </cell>
          <cell r="AL18">
            <v>0.216971</v>
          </cell>
          <cell r="AM18">
            <v>0.21823599999999999</v>
          </cell>
        </row>
        <row r="19">
          <cell r="G19">
            <v>0.11069799999999999</v>
          </cell>
          <cell r="H19">
            <v>8.4626000000000007E-2</v>
          </cell>
          <cell r="I19">
            <v>7.9121000000000011E-2</v>
          </cell>
          <cell r="J19">
            <v>2.9176463196927415E-2</v>
          </cell>
          <cell r="K19">
            <v>2.4939340561744735E-2</v>
          </cell>
          <cell r="L19">
            <v>1.7920836724761559E-2</v>
          </cell>
          <cell r="M19">
            <v>2.6362539002754506E-2</v>
          </cell>
          <cell r="N19">
            <v>4.237003037705548E-2</v>
          </cell>
          <cell r="O19">
            <v>3.8613189422731849E-2</v>
          </cell>
          <cell r="P19">
            <v>2.8151271813645289E-2</v>
          </cell>
          <cell r="Q19">
            <v>4.4073913053005925E-2</v>
          </cell>
          <cell r="R19">
            <v>3.7031276280550432E-2</v>
          </cell>
          <cell r="S19">
            <v>4.4566582114968882E-2</v>
          </cell>
          <cell r="T19">
            <v>5.8956839896320883E-2</v>
          </cell>
          <cell r="U19">
            <v>4.3771724142328106E-2</v>
          </cell>
          <cell r="V19">
            <v>4.4624756465080344E-2</v>
          </cell>
          <cell r="W19">
            <v>4.7093751610365629E-2</v>
          </cell>
          <cell r="X19">
            <v>5.8264768348416825E-2</v>
          </cell>
          <cell r="Y19">
            <v>4.2567808292554764E-2</v>
          </cell>
          <cell r="Z19">
            <v>4.9014000000000002E-2</v>
          </cell>
          <cell r="AA19">
            <v>4.8513999999999995E-2</v>
          </cell>
          <cell r="AB19">
            <v>4.1138999999999995E-2</v>
          </cell>
          <cell r="AC19">
            <v>3.6048000000000004E-2</v>
          </cell>
          <cell r="AD19">
            <v>3.7211000000000008E-2</v>
          </cell>
          <cell r="AE19">
            <v>5.0192999999999995E-2</v>
          </cell>
          <cell r="AF19">
            <v>0.35037399999999996</v>
          </cell>
          <cell r="AG19">
            <v>0.348887</v>
          </cell>
          <cell r="AH19">
            <v>0.33562100000000006</v>
          </cell>
          <cell r="AI19">
            <v>0.34092100000000003</v>
          </cell>
          <cell r="AJ19">
            <v>0.34312099999999995</v>
          </cell>
          <cell r="AK19">
            <v>0.34509699999999999</v>
          </cell>
          <cell r="AL19">
            <v>0.34794100000000006</v>
          </cell>
          <cell r="AM19">
            <v>0.34744200000000003</v>
          </cell>
        </row>
        <row r="20">
          <cell r="G20">
            <v>0.22984200000000002</v>
          </cell>
          <cell r="H20">
            <v>0.21192800000000001</v>
          </cell>
          <cell r="I20">
            <v>0.189081</v>
          </cell>
          <cell r="J20">
            <v>0.17271700000000001</v>
          </cell>
          <cell r="K20">
            <v>0.17194599999999999</v>
          </cell>
          <cell r="L20">
            <v>0.141481</v>
          </cell>
          <cell r="M20">
            <v>0.13719100000000001</v>
          </cell>
          <cell r="N20">
            <v>0.11124200000000001</v>
          </cell>
          <cell r="O20">
            <v>8.5209000000000007E-2</v>
          </cell>
          <cell r="P20">
            <v>7.3302000000000006E-2</v>
          </cell>
          <cell r="Q20">
            <v>9.1583999999999999E-2</v>
          </cell>
          <cell r="R20">
            <v>6.9857000000000002E-2</v>
          </cell>
          <cell r="S20">
            <v>7.9800999999999997E-2</v>
          </cell>
          <cell r="T20">
            <v>0.111119</v>
          </cell>
          <cell r="U20">
            <v>0.122492</v>
          </cell>
          <cell r="V20">
            <v>0.11582899999999999</v>
          </cell>
          <cell r="W20">
            <v>7.5261999999999996E-2</v>
          </cell>
          <cell r="X20">
            <v>7.5388000000000011E-2</v>
          </cell>
          <cell r="Y20">
            <v>7.101600000000001E-2</v>
          </cell>
          <cell r="Z20">
            <v>7.1279999999999996E-2</v>
          </cell>
          <cell r="AA20">
            <v>6.1689999999999995E-2</v>
          </cell>
          <cell r="AB20">
            <v>5.3746000000000002E-2</v>
          </cell>
          <cell r="AC20">
            <v>3.1396E-2</v>
          </cell>
          <cell r="AD20">
            <v>2.4402999999999998E-2</v>
          </cell>
          <cell r="AE20">
            <v>7.9389999999999999E-3</v>
          </cell>
          <cell r="AF20">
            <v>3.9719999999999998E-3</v>
          </cell>
          <cell r="AG20">
            <v>4.4390000000000002E-3</v>
          </cell>
          <cell r="AH20">
            <v>3.8319999999999999E-3</v>
          </cell>
          <cell r="AI20">
            <v>3.1059999999999998E-3</v>
          </cell>
          <cell r="AJ20">
            <v>2.3370000000000001E-3</v>
          </cell>
          <cell r="AK20">
            <v>2.3380000000000002E-3</v>
          </cell>
          <cell r="AL20">
            <v>3.163E-3</v>
          </cell>
          <cell r="AM20">
            <v>3.2420000000000001E-3</v>
          </cell>
        </row>
        <row r="22">
          <cell r="G22">
            <v>0</v>
          </cell>
          <cell r="H22">
            <v>0</v>
          </cell>
          <cell r="I22">
            <v>7.2999999999999999E-5</v>
          </cell>
          <cell r="J22">
            <v>1.55E-4</v>
          </cell>
          <cell r="K22">
            <v>1.35E-4</v>
          </cell>
          <cell r="L22">
            <v>1.26E-4</v>
          </cell>
          <cell r="M22">
            <v>1.1400000000000001E-4</v>
          </cell>
          <cell r="N22">
            <v>1.3300000000000001E-4</v>
          </cell>
          <cell r="O22">
            <v>1.26E-4</v>
          </cell>
          <cell r="P22">
            <v>1.1999999999999999E-4</v>
          </cell>
          <cell r="Q22">
            <v>1.6800000000000002E-4</v>
          </cell>
          <cell r="R22">
            <v>1.9000000000000001E-4</v>
          </cell>
          <cell r="S22">
            <v>2.4399999999999999E-4</v>
          </cell>
          <cell r="T22">
            <v>3.28E-4</v>
          </cell>
          <cell r="U22">
            <v>2.63E-4</v>
          </cell>
          <cell r="V22">
            <v>2.6400000000000002E-4</v>
          </cell>
          <cell r="W22">
            <v>2.7900000000000001E-4</v>
          </cell>
          <cell r="X22">
            <v>3.5E-4</v>
          </cell>
          <cell r="Y22">
            <v>2.8699999999999998E-4</v>
          </cell>
          <cell r="Z22">
            <v>2.4899999999999998E-4</v>
          </cell>
          <cell r="AA22">
            <v>3.4599999999999995E-4</v>
          </cell>
          <cell r="AB22">
            <v>1.8200000000000001E-4</v>
          </cell>
          <cell r="AC22">
            <v>3.6199999999999996E-4</v>
          </cell>
          <cell r="AD22">
            <v>3.5E-4</v>
          </cell>
          <cell r="AE22">
            <v>5.2500000000000008E-4</v>
          </cell>
          <cell r="AF22">
            <v>5.2099999999999998E-4</v>
          </cell>
          <cell r="AG22">
            <v>2.9700000000000001E-4</v>
          </cell>
          <cell r="AH22">
            <v>4.9600000000000002E-4</v>
          </cell>
          <cell r="AI22">
            <v>3.5399999999999999E-4</v>
          </cell>
          <cell r="AJ22">
            <v>2.0999999999999998E-4</v>
          </cell>
          <cell r="AK22">
            <v>1.12E-4</v>
          </cell>
          <cell r="AL22">
            <v>1.93E-4</v>
          </cell>
          <cell r="AM22">
            <v>4.6700000000000002E-4</v>
          </cell>
        </row>
        <row r="24">
          <cell r="G24">
            <v>1.0418621770950001</v>
          </cell>
          <cell r="H24">
            <v>0.90724501151100001</v>
          </cell>
          <cell r="I24">
            <v>0.86738425930800001</v>
          </cell>
          <cell r="J24">
            <v>0.83945238</v>
          </cell>
          <cell r="K24">
            <v>0.8506424788000001</v>
          </cell>
          <cell r="L24">
            <v>0.88470637760000004</v>
          </cell>
          <cell r="M24">
            <v>0.849714368</v>
          </cell>
          <cell r="N24">
            <v>0.80944042679999995</v>
          </cell>
          <cell r="O24">
            <v>0.77309996765400002</v>
          </cell>
          <cell r="P24">
            <v>0.77088660717599999</v>
          </cell>
          <cell r="Q24">
            <v>0.79368861100200006</v>
          </cell>
          <cell r="R24">
            <v>0.71513648795399998</v>
          </cell>
          <cell r="S24">
            <v>0.64878589062000003</v>
          </cell>
          <cell r="T24">
            <v>0.66499182867499995</v>
          </cell>
          <cell r="U24">
            <v>0.649175943192</v>
          </cell>
          <cell r="V24">
            <v>0.615826711104</v>
          </cell>
          <cell r="W24">
            <v>0.60310818086399998</v>
          </cell>
          <cell r="X24">
            <v>0.59807516203700006</v>
          </cell>
          <cell r="Y24">
            <v>0.58001318123700008</v>
          </cell>
          <cell r="Z24">
            <v>0.40360101982200003</v>
          </cell>
          <cell r="AA24">
            <v>0.55461816313500001</v>
          </cell>
          <cell r="AB24">
            <v>0.56369003090399994</v>
          </cell>
          <cell r="AC24">
            <v>0.59423628859200006</v>
          </cell>
          <cell r="AD24">
            <v>0.61641030885000003</v>
          </cell>
          <cell r="AE24">
            <v>0.60605963883000002</v>
          </cell>
          <cell r="AF24">
            <v>0.56220173282200003</v>
          </cell>
          <cell r="AG24">
            <v>0.47159452646400002</v>
          </cell>
          <cell r="AH24">
            <v>0.50285741119899996</v>
          </cell>
          <cell r="AI24">
            <v>0.52457351001600006</v>
          </cell>
          <cell r="AJ24">
            <v>0.51436450309500004</v>
          </cell>
          <cell r="AK24">
            <v>0.413915236332</v>
          </cell>
          <cell r="AL24">
            <v>0.50419558158199995</v>
          </cell>
          <cell r="AM24">
            <v>0.45896927425700002</v>
          </cell>
        </row>
        <row r="25">
          <cell r="G25">
            <v>1.714146133636</v>
          </cell>
          <cell r="H25">
            <v>1.6935948625599999</v>
          </cell>
          <cell r="I25">
            <v>1.64743719225</v>
          </cell>
          <cell r="J25">
            <v>1.656835671754</v>
          </cell>
          <cell r="K25">
            <v>1.659043352988</v>
          </cell>
          <cell r="L25">
            <v>1.6035608717499998</v>
          </cell>
          <cell r="M25">
            <v>1.5846800398000001</v>
          </cell>
          <cell r="N25">
            <v>1.585623174552</v>
          </cell>
          <cell r="O25">
            <v>1.5621585711519999</v>
          </cell>
          <cell r="P25">
            <v>1.4558963003280001</v>
          </cell>
          <cell r="Q25">
            <v>1.4628096731539999</v>
          </cell>
          <cell r="R25">
            <v>1.4765013149819999</v>
          </cell>
          <cell r="S25">
            <v>1.3705717157340001</v>
          </cell>
          <cell r="T25">
            <v>1.3764200118000001</v>
          </cell>
          <cell r="U25">
            <v>1.3977007964370001</v>
          </cell>
          <cell r="V25">
            <v>1.338215463416</v>
          </cell>
          <cell r="W25">
            <v>1.3113576441000001</v>
          </cell>
          <cell r="X25">
            <v>1.2665368942620001</v>
          </cell>
          <cell r="Y25">
            <v>1.2131783271359999</v>
          </cell>
          <cell r="Z25">
            <v>0.98889824620800004</v>
          </cell>
          <cell r="AA25">
            <v>1.0767576633</v>
          </cell>
          <cell r="AB25">
            <v>0.99725100390400001</v>
          </cell>
          <cell r="AC25">
            <v>0.91882329631799997</v>
          </cell>
          <cell r="AD25">
            <v>0.92998666080000003</v>
          </cell>
          <cell r="AE25">
            <v>0.92441491012499999</v>
          </cell>
          <cell r="AF25">
            <v>0.81755680901399996</v>
          </cell>
          <cell r="AG25">
            <v>0.73374121028499995</v>
          </cell>
          <cell r="AH25">
            <v>0.69195408764999999</v>
          </cell>
          <cell r="AI25">
            <v>0.65494342691999996</v>
          </cell>
          <cell r="AJ25">
            <v>0.602883234717</v>
          </cell>
          <cell r="AK25">
            <v>0.52409622705000003</v>
          </cell>
          <cell r="AL25">
            <v>0.53184841090800006</v>
          </cell>
          <cell r="AM25">
            <v>0.52786846038000002</v>
          </cell>
        </row>
        <row r="27">
          <cell r="G27">
            <v>8.4428610000000006</v>
          </cell>
          <cell r="H27">
            <v>8.5723179999999992</v>
          </cell>
          <cell r="I27">
            <v>8.9177970000000002</v>
          </cell>
          <cell r="J27">
            <v>9.0616630000000011</v>
          </cell>
          <cell r="K27">
            <v>9.1260460000000005</v>
          </cell>
          <cell r="L27">
            <v>9.591825</v>
          </cell>
          <cell r="M27">
            <v>9.9005669999999988</v>
          </cell>
          <cell r="N27">
            <v>9.9329359999999998</v>
          </cell>
          <cell r="O27">
            <v>9.7633650000000003</v>
          </cell>
          <cell r="P27">
            <v>9.3753030000000006</v>
          </cell>
          <cell r="Q27">
            <v>9.4997930000000004</v>
          </cell>
          <cell r="R27">
            <v>8.676342</v>
          </cell>
          <cell r="S27">
            <v>8.8315699999999993</v>
          </cell>
          <cell r="T27">
            <v>8.4883389999999999</v>
          </cell>
          <cell r="U27">
            <v>8.5498320000000003</v>
          </cell>
          <cell r="V27">
            <v>7.9073440000000002</v>
          </cell>
          <cell r="W27">
            <v>7.8610249999999997</v>
          </cell>
          <cell r="X27">
            <v>8.0735700000000001</v>
          </cell>
          <cell r="Y27">
            <v>8.0834049999999991</v>
          </cell>
          <cell r="Z27">
            <v>7.6089719999999996</v>
          </cell>
          <cell r="AA27">
            <v>8.277985000000001</v>
          </cell>
          <cell r="AB27">
            <v>8.4805329999999994</v>
          </cell>
          <cell r="AC27">
            <v>8.8186110000000006</v>
          </cell>
          <cell r="AD27">
            <v>9.1404549999999993</v>
          </cell>
          <cell r="AE27">
            <v>9.4410519999999991</v>
          </cell>
          <cell r="AF27">
            <v>9.4256810000000009</v>
          </cell>
          <cell r="AG27">
            <v>9.6174590000000002</v>
          </cell>
          <cell r="AH27">
            <v>9.8643470000000004</v>
          </cell>
          <cell r="AI27">
            <v>10.473767</v>
          </cell>
          <cell r="AJ27">
            <v>10.630355</v>
          </cell>
          <cell r="AK27">
            <v>10.410388000000001</v>
          </cell>
          <cell r="AL27">
            <v>10.603391</v>
          </cell>
          <cell r="AM27">
            <v>10.793370999999999</v>
          </cell>
        </row>
        <row r="28">
          <cell r="G28">
            <v>1.170193</v>
          </cell>
          <cell r="H28">
            <v>1.076535</v>
          </cell>
          <cell r="I28">
            <v>1.10222</v>
          </cell>
          <cell r="J28">
            <v>1.1490199999999999</v>
          </cell>
          <cell r="K28">
            <v>1.172917</v>
          </cell>
          <cell r="L28">
            <v>1.178175</v>
          </cell>
          <cell r="M28">
            <v>1.175932</v>
          </cell>
          <cell r="N28">
            <v>1.2235659999999999</v>
          </cell>
          <cell r="O28">
            <v>1.2625519999999999</v>
          </cell>
          <cell r="P28">
            <v>1.3244130000000001</v>
          </cell>
          <cell r="Q28">
            <v>1.2756780000000001</v>
          </cell>
          <cell r="R28">
            <v>1.2568649999999999</v>
          </cell>
          <cell r="S28">
            <v>1.2399570000000002</v>
          </cell>
          <cell r="T28">
            <v>1.219538</v>
          </cell>
          <cell r="U28">
            <v>1.3038479999999999</v>
          </cell>
          <cell r="V28">
            <v>1.3232380000000001</v>
          </cell>
          <cell r="W28">
            <v>1.261166</v>
          </cell>
          <cell r="X28">
            <v>1.197039</v>
          </cell>
          <cell r="Y28">
            <v>1.011971</v>
          </cell>
          <cell r="Z28">
            <v>0.87308299999999994</v>
          </cell>
          <cell r="AA28">
            <v>0.87776799999999999</v>
          </cell>
          <cell r="AB28">
            <v>0.85948900000000006</v>
          </cell>
          <cell r="AC28">
            <v>0.82669700000000002</v>
          </cell>
          <cell r="AD28">
            <v>0.78334700000000002</v>
          </cell>
          <cell r="AE28">
            <v>0.79263600000000001</v>
          </cell>
          <cell r="AF28">
            <v>0.83165999999999995</v>
          </cell>
          <cell r="AG28">
            <v>0.85336599999999996</v>
          </cell>
          <cell r="AH28">
            <v>0.84918199999999999</v>
          </cell>
          <cell r="AI28">
            <v>0.792763</v>
          </cell>
          <cell r="AJ28">
            <v>0.84388300000000005</v>
          </cell>
          <cell r="AK28">
            <v>0.83227300000000004</v>
          </cell>
          <cell r="AL28">
            <v>0.89808500000000002</v>
          </cell>
          <cell r="AM28">
            <v>0.916134</v>
          </cell>
        </row>
        <row r="30">
          <cell r="G30">
            <v>1.2273999999999998E-2</v>
          </cell>
          <cell r="H30">
            <v>1.1382E-2</v>
          </cell>
          <cell r="I30">
            <v>9.7899999999999984E-3</v>
          </cell>
          <cell r="J30">
            <v>1.3053E-2</v>
          </cell>
          <cell r="K30">
            <v>1.6912E-2</v>
          </cell>
          <cell r="L30">
            <v>1.5444000000000001E-2</v>
          </cell>
          <cell r="M30">
            <v>1.8300999999999998E-2</v>
          </cell>
          <cell r="N30">
            <v>1.8812000000000002E-2</v>
          </cell>
          <cell r="O30">
            <v>2.2071E-2</v>
          </cell>
          <cell r="P30">
            <v>1.2840000000000001E-2</v>
          </cell>
          <cell r="Q30">
            <v>1.5640000000000001E-2</v>
          </cell>
          <cell r="R30">
            <v>2.3223000000000001E-2</v>
          </cell>
          <cell r="S30">
            <v>1.3807999999999999E-2</v>
          </cell>
          <cell r="T30">
            <v>2.4112999999999999E-2</v>
          </cell>
          <cell r="U30">
            <v>2.8219000000000001E-2</v>
          </cell>
          <cell r="V30">
            <v>3.9076E-2</v>
          </cell>
          <cell r="W30">
            <v>2.9576000000000002E-2</v>
          </cell>
          <cell r="X30">
            <v>1.3422E-2</v>
          </cell>
          <cell r="Y30">
            <v>3.8300000000000001E-3</v>
          </cell>
          <cell r="Z30">
            <v>4.3990000000000001E-3</v>
          </cell>
          <cell r="AA30">
            <v>7.3179999999999999E-3</v>
          </cell>
          <cell r="AB30">
            <v>3.6150000000000002E-3</v>
          </cell>
          <cell r="AC30">
            <v>2.0079999999999998E-3</v>
          </cell>
          <cell r="AD30">
            <v>1.477E-3</v>
          </cell>
          <cell r="AE30">
            <v>2.8290000000000004E-3</v>
          </cell>
          <cell r="AF30">
            <v>1.7279999999999999E-3</v>
          </cell>
          <cell r="AG30">
            <v>2.2660000000000002E-3</v>
          </cell>
          <cell r="AH30">
            <v>1.1149999999999999E-3</v>
          </cell>
          <cell r="AI30">
            <v>1.6230000000000001E-3</v>
          </cell>
          <cell r="AJ30">
            <v>1.4199999999999998E-3</v>
          </cell>
          <cell r="AK30">
            <v>3.0230000000000001E-3</v>
          </cell>
          <cell r="AL30">
            <v>1.454E-3</v>
          </cell>
          <cell r="AM30">
            <v>1.284E-3</v>
          </cell>
        </row>
        <row r="31">
          <cell r="G31">
            <v>1.529326302654</v>
          </cell>
          <cell r="H31">
            <v>1.6625429146240001</v>
          </cell>
          <cell r="I31">
            <v>1.7745847447730001</v>
          </cell>
          <cell r="J31">
            <v>1.703870114736</v>
          </cell>
          <cell r="K31">
            <v>1.9111828129390001</v>
          </cell>
          <cell r="L31">
            <v>1.9294595529230001</v>
          </cell>
          <cell r="M31">
            <v>1.9871319279320001</v>
          </cell>
          <cell r="N31">
            <v>2.0354176398889998</v>
          </cell>
          <cell r="O31">
            <v>1.953941975594</v>
          </cell>
          <cell r="P31">
            <v>2.1456808347430001</v>
          </cell>
          <cell r="Q31">
            <v>2.153046369928</v>
          </cell>
          <cell r="R31">
            <v>1.947469666355</v>
          </cell>
          <cell r="S31">
            <v>2.088493158765</v>
          </cell>
          <cell r="T31">
            <v>1.963430224948</v>
          </cell>
          <cell r="U31">
            <v>2.0688134216240002</v>
          </cell>
          <cell r="V31">
            <v>1.9413347836830002</v>
          </cell>
          <cell r="W31">
            <v>2.0302452572430001</v>
          </cell>
          <cell r="X31">
            <v>2.0268967288409998</v>
          </cell>
          <cell r="Y31">
            <v>1.7503391281339999</v>
          </cell>
          <cell r="Z31">
            <v>1.8639699829330001</v>
          </cell>
          <cell r="AA31">
            <v>2.0506972163320003</v>
          </cell>
          <cell r="AB31">
            <v>2.1166836242680001</v>
          </cell>
          <cell r="AC31">
            <v>2.2663780656329999</v>
          </cell>
          <cell r="AD31">
            <v>2.4500035188239999</v>
          </cell>
          <cell r="AE31">
            <v>2.320203315394</v>
          </cell>
          <cell r="AF31">
            <v>2.4566038462259998</v>
          </cell>
          <cell r="AG31">
            <v>2.4798433615969997</v>
          </cell>
          <cell r="AH31">
            <v>2.5000579411710002</v>
          </cell>
          <cell r="AI31">
            <v>2.7998231436239998</v>
          </cell>
          <cell r="AJ31">
            <v>2.804253754366</v>
          </cell>
          <cell r="AK31">
            <v>2.8973225185609999</v>
          </cell>
          <cell r="AL31">
            <v>3.0834958338380001</v>
          </cell>
          <cell r="AM31">
            <v>3.2423838029310001</v>
          </cell>
        </row>
        <row r="32">
          <cell r="G32">
            <v>0.18634299999999998</v>
          </cell>
          <cell r="H32">
            <v>0.16670299999999999</v>
          </cell>
          <cell r="I32">
            <v>0.16996</v>
          </cell>
          <cell r="J32">
            <v>0.173064</v>
          </cell>
          <cell r="K32">
            <v>0.18088599999999999</v>
          </cell>
          <cell r="L32">
            <v>0.17777999999999999</v>
          </cell>
          <cell r="M32">
            <v>0.17253399999999999</v>
          </cell>
          <cell r="N32">
            <v>0.18226200000000001</v>
          </cell>
          <cell r="O32">
            <v>0.190802</v>
          </cell>
          <cell r="P32">
            <v>0.192799</v>
          </cell>
          <cell r="Q32">
            <v>0.18990700000000002</v>
          </cell>
          <cell r="R32">
            <v>0.17399700000000001</v>
          </cell>
          <cell r="S32">
            <v>0.171935</v>
          </cell>
          <cell r="T32">
            <v>0.15895699999999999</v>
          </cell>
          <cell r="U32">
            <v>0.16103999999999999</v>
          </cell>
          <cell r="V32">
            <v>0.16019900000000001</v>
          </cell>
          <cell r="W32">
            <v>0.15607799999999999</v>
          </cell>
          <cell r="X32">
            <v>0.16117699999999999</v>
          </cell>
          <cell r="Y32">
            <v>0.14963499999999999</v>
          </cell>
          <cell r="Z32">
            <v>0.13453299999999999</v>
          </cell>
          <cell r="AA32">
            <v>0.135879</v>
          </cell>
          <cell r="AB32">
            <v>0.12739600000000001</v>
          </cell>
          <cell r="AC32">
            <v>0.118313</v>
          </cell>
          <cell r="AD32">
            <v>0.12509100000000001</v>
          </cell>
          <cell r="AE32">
            <v>0.130663</v>
          </cell>
          <cell r="AF32">
            <v>0.14213499999999998</v>
          </cell>
          <cell r="AG32">
            <v>0.13514799999999999</v>
          </cell>
          <cell r="AH32">
            <v>0.12489499999999999</v>
          </cell>
          <cell r="AI32">
            <v>0.121987</v>
          </cell>
          <cell r="AJ32">
            <v>0.118313</v>
          </cell>
          <cell r="AK32">
            <v>0.11109000000000001</v>
          </cell>
          <cell r="AL32">
            <v>0.113493</v>
          </cell>
          <cell r="AM32">
            <v>0.119544</v>
          </cell>
        </row>
        <row r="33">
          <cell r="G33">
            <v>0.18438499999999999</v>
          </cell>
          <cell r="H33">
            <v>0.19231700000000002</v>
          </cell>
          <cell r="I33">
            <v>0.193109</v>
          </cell>
          <cell r="J33">
            <v>0.17704579271139009</v>
          </cell>
          <cell r="K33">
            <v>0.19039786800525918</v>
          </cell>
          <cell r="L33">
            <v>0.19810710994656261</v>
          </cell>
          <cell r="M33">
            <v>0.19861094402191209</v>
          </cell>
          <cell r="N33">
            <v>0.21004407857297316</v>
          </cell>
          <cell r="O33">
            <v>0.197604907120353</v>
          </cell>
          <cell r="P33">
            <v>0.15024884622895565</v>
          </cell>
          <cell r="Q33">
            <v>0.14865199207083399</v>
          </cell>
          <cell r="R33">
            <v>0.29187223269601342</v>
          </cell>
          <cell r="S33">
            <v>0.30523906833905967</v>
          </cell>
          <cell r="T33">
            <v>0.31891511637470982</v>
          </cell>
          <cell r="U33">
            <v>0.36451484808932555</v>
          </cell>
          <cell r="V33">
            <v>0.34737681033506645</v>
          </cell>
          <cell r="W33">
            <v>0.3641351257234231</v>
          </cell>
          <cell r="X33">
            <v>0.29145995503479283</v>
          </cell>
          <cell r="Y33">
            <v>0.2325831766431041</v>
          </cell>
          <cell r="Z33">
            <v>0.22467700000000002</v>
          </cell>
          <cell r="AA33">
            <v>0.24296499999999999</v>
          </cell>
          <cell r="AB33">
            <v>0.23754599999999998</v>
          </cell>
          <cell r="AC33">
            <v>0.23564100000000002</v>
          </cell>
          <cell r="AD33">
            <v>0.24501400000000001</v>
          </cell>
          <cell r="AE33">
            <v>0.19583899999999999</v>
          </cell>
          <cell r="AF33">
            <v>0.24031800000000003</v>
          </cell>
          <cell r="AG33">
            <v>0.24395600000000001</v>
          </cell>
          <cell r="AH33">
            <v>0.24588299999999999</v>
          </cell>
          <cell r="AI33">
            <v>0.25069499999999995</v>
          </cell>
          <cell r="AJ33">
            <v>0.24781700000000004</v>
          </cell>
          <cell r="AK33">
            <v>0.250116</v>
          </cell>
          <cell r="AL33">
            <v>0.245473</v>
          </cell>
          <cell r="AM33">
            <v>0.24512099999999998</v>
          </cell>
        </row>
        <row r="34">
          <cell r="G34">
            <v>0.41144500000000001</v>
          </cell>
          <cell r="H34">
            <v>0.333899</v>
          </cell>
          <cell r="I34">
            <v>0.38691599999999998</v>
          </cell>
          <cell r="J34">
            <v>0.445909</v>
          </cell>
          <cell r="K34">
            <v>0.41891899999999999</v>
          </cell>
          <cell r="L34">
            <v>0.336729</v>
          </cell>
          <cell r="M34">
            <v>0.335233</v>
          </cell>
          <cell r="N34">
            <v>0.29063900000000004</v>
          </cell>
          <cell r="O34">
            <v>0.22984100000000002</v>
          </cell>
          <cell r="P34">
            <v>0.20747300000000002</v>
          </cell>
          <cell r="Q34">
            <v>0.24063800000000002</v>
          </cell>
          <cell r="R34">
            <v>0.20325200000000002</v>
          </cell>
          <cell r="S34">
            <v>0.190107</v>
          </cell>
          <cell r="T34">
            <v>0.220439</v>
          </cell>
          <cell r="U34">
            <v>0.24870699999999998</v>
          </cell>
          <cell r="V34">
            <v>0.281387</v>
          </cell>
          <cell r="W34">
            <v>0.239264</v>
          </cell>
          <cell r="X34">
            <v>0.19323899999999999</v>
          </cell>
          <cell r="Y34">
            <v>0.19434700000000002</v>
          </cell>
          <cell r="Z34">
            <v>0.130139</v>
          </cell>
          <cell r="AA34">
            <v>0.12020099999999999</v>
          </cell>
          <cell r="AB34">
            <v>0.13492500000000002</v>
          </cell>
          <cell r="AC34">
            <v>6.9885000000000003E-2</v>
          </cell>
          <cell r="AD34">
            <v>4.8225000000000004E-2</v>
          </cell>
          <cell r="AE34">
            <v>4.0579000000000004E-2</v>
          </cell>
          <cell r="AF34">
            <v>3.3856000000000004E-2</v>
          </cell>
          <cell r="AG34">
            <v>5.2414999999999996E-2</v>
          </cell>
          <cell r="AH34">
            <v>4.9936999999999995E-2</v>
          </cell>
          <cell r="AI34">
            <v>4.3340000000000004E-2</v>
          </cell>
          <cell r="AJ34">
            <v>4.0899999999999999E-2</v>
          </cell>
          <cell r="AK34">
            <v>3.1972E-2</v>
          </cell>
          <cell r="AL34">
            <v>4.5841E-2</v>
          </cell>
          <cell r="AM34">
            <v>4.6973999999999995E-2</v>
          </cell>
        </row>
        <row r="36">
          <cell r="G36">
            <v>2.3725600000000001E-4</v>
          </cell>
          <cell r="H36">
            <v>-8.076800000000001E-5</v>
          </cell>
          <cell r="I36">
            <v>1.5648799999999998E-4</v>
          </cell>
          <cell r="J36">
            <v>1.4639199999999999E-4</v>
          </cell>
          <cell r="K36">
            <v>6.0979839999999999E-3</v>
          </cell>
          <cell r="L36">
            <v>5.290304E-3</v>
          </cell>
          <cell r="M36">
            <v>6.9510959999999995E-3</v>
          </cell>
          <cell r="N36">
            <v>9.0561119999999998E-3</v>
          </cell>
          <cell r="O36">
            <v>4.0030639999999998E-3</v>
          </cell>
          <cell r="P36">
            <v>6.3958160000000003E-3</v>
          </cell>
          <cell r="Q36">
            <v>3.8162880000000001E-3</v>
          </cell>
          <cell r="R36">
            <v>6.0727439999999997E-3</v>
          </cell>
          <cell r="S36">
            <v>7.5164720000000006E-3</v>
          </cell>
          <cell r="T36">
            <v>7.47104E-3</v>
          </cell>
          <cell r="U36">
            <v>1.0615944E-2</v>
          </cell>
          <cell r="V36">
            <v>8.3241519999999996E-3</v>
          </cell>
          <cell r="W36">
            <v>6.4109599999999996E-4</v>
          </cell>
          <cell r="X36">
            <v>1.7819439999999999E-3</v>
          </cell>
          <cell r="Y36">
            <v>9.5911999999999999E-5</v>
          </cell>
          <cell r="Z36">
            <v>-8.0263200000000006E-4</v>
          </cell>
          <cell r="AA36">
            <v>-2.4230399999999999E-4</v>
          </cell>
          <cell r="AB36">
            <v>1.0096000000000001E-5</v>
          </cell>
          <cell r="AC36">
            <v>-5.0480000000000006E-6</v>
          </cell>
          <cell r="AD36">
            <v>-3.7859999999999999E-4</v>
          </cell>
          <cell r="AE36">
            <v>-1.4134400000000001E-4</v>
          </cell>
          <cell r="AF36">
            <v>-3.4831200000000004E-4</v>
          </cell>
          <cell r="AG36">
            <v>-2.9278399999999998E-4</v>
          </cell>
          <cell r="AH36">
            <v>-1.91824E-4</v>
          </cell>
          <cell r="AI36">
            <v>-1.554784E-3</v>
          </cell>
          <cell r="AJ36">
            <v>-1.191328E-3</v>
          </cell>
          <cell r="AK36">
            <v>-7.8748799999999993E-4</v>
          </cell>
          <cell r="AL36">
            <v>-8.3292000000000001E-4</v>
          </cell>
          <cell r="AM36">
            <v>-6.61288E-4</v>
          </cell>
        </row>
        <row r="37">
          <cell r="G37">
            <v>5.0883400000000002E-2</v>
          </cell>
          <cell r="H37">
            <v>3.8947000000000002E-2</v>
          </cell>
          <cell r="I37">
            <v>2.7364400000000001E-2</v>
          </cell>
          <cell r="J37">
            <v>2.1152600000000001E-2</v>
          </cell>
          <cell r="K37">
            <v>1.8681799999999998E-2</v>
          </cell>
          <cell r="L37">
            <v>1.45348E-2</v>
          </cell>
          <cell r="M37">
            <v>1.3728600000000001E-2</v>
          </cell>
          <cell r="N37">
            <v>4.6226000000000001E-3</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G38">
            <v>5.3696165999999997E-2</v>
          </cell>
          <cell r="H38">
            <v>-2.5918302000000001E-2</v>
          </cell>
          <cell r="I38">
            <v>7.5685224000000009E-2</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row>
        <row r="39">
          <cell r="G39">
            <v>0.13783467599999999</v>
          </cell>
          <cell r="H39">
            <v>0.152626068</v>
          </cell>
          <cell r="I39">
            <v>0.10006214400000001</v>
          </cell>
          <cell r="J39">
            <v>9.4718231999999999E-2</v>
          </cell>
          <cell r="K39">
            <v>0.10585234800000001</v>
          </cell>
          <cell r="L39">
            <v>9.7123571999999991E-2</v>
          </cell>
          <cell r="M39">
            <v>8.9032355999999993E-2</v>
          </cell>
          <cell r="N39">
            <v>9.7749539999999996E-2</v>
          </cell>
          <cell r="O39">
            <v>0.11898608400000001</v>
          </cell>
          <cell r="P39">
            <v>0.11190916799999999</v>
          </cell>
          <cell r="Q39">
            <v>0.119206332</v>
          </cell>
          <cell r="R39">
            <v>0.12490380000000001</v>
          </cell>
          <cell r="S39">
            <v>0.1341774</v>
          </cell>
          <cell r="T39">
            <v>0.125964468</v>
          </cell>
          <cell r="U39">
            <v>0.11342192400000001</v>
          </cell>
          <cell r="V39">
            <v>0.11279127862799999</v>
          </cell>
          <cell r="W39">
            <v>0.13603287348000001</v>
          </cell>
          <cell r="X39">
            <v>0.13347382356000001</v>
          </cell>
          <cell r="Y39">
            <v>0.142028916624</v>
          </cell>
          <cell r="Z39">
            <v>0.15182563460399998</v>
          </cell>
          <cell r="AA39">
            <v>0.15869992823999998</v>
          </cell>
          <cell r="AB39">
            <v>0.16474156271999998</v>
          </cell>
          <cell r="AC39">
            <v>0.16158244712399999</v>
          </cell>
          <cell r="AD39">
            <v>0.17116153109999999</v>
          </cell>
          <cell r="AE39">
            <v>0.18274043793600001</v>
          </cell>
          <cell r="AF39">
            <v>0.188926108812</v>
          </cell>
          <cell r="AG39">
            <v>0.191341313604</v>
          </cell>
          <cell r="AH39">
            <v>0.19881032320799999</v>
          </cell>
          <cell r="AI39">
            <v>0.19796778766799999</v>
          </cell>
          <cell r="AJ39">
            <v>0.180154361268</v>
          </cell>
          <cell r="AK39">
            <v>0.17066549203200002</v>
          </cell>
          <cell r="AL39">
            <v>0.17080425406800001</v>
          </cell>
          <cell r="AM39">
            <v>0.18338850028799999</v>
          </cell>
        </row>
        <row r="40">
          <cell r="G40">
            <v>0.34780070400000002</v>
          </cell>
          <cell r="H40">
            <v>0.29894707199999998</v>
          </cell>
          <cell r="I40">
            <v>0.37712652800000002</v>
          </cell>
          <cell r="J40">
            <v>0.35059264000000001</v>
          </cell>
          <cell r="K40">
            <v>0.39833894400000003</v>
          </cell>
          <cell r="L40">
            <v>0.37296486399999995</v>
          </cell>
          <cell r="M40">
            <v>0.479310336</v>
          </cell>
          <cell r="N40">
            <v>0.53637708799999995</v>
          </cell>
          <cell r="O40">
            <v>0.58399219200000008</v>
          </cell>
          <cell r="P40">
            <v>0.50207615999999999</v>
          </cell>
          <cell r="Q40">
            <v>0.61353318400000001</v>
          </cell>
          <cell r="R40">
            <v>0.49371609599999999</v>
          </cell>
          <cell r="S40">
            <v>0.58255424</v>
          </cell>
          <cell r="T40">
            <v>0.612955904</v>
          </cell>
          <cell r="U40">
            <v>0.74943014400000008</v>
          </cell>
          <cell r="V40">
            <v>0.69866623999999999</v>
          </cell>
          <cell r="W40">
            <v>0.62885209599999992</v>
          </cell>
          <cell r="X40">
            <v>0.56245439999999991</v>
          </cell>
          <cell r="Y40">
            <v>0.4771744</v>
          </cell>
          <cell r="Z40">
            <v>0.47186867199999999</v>
          </cell>
          <cell r="AA40">
            <v>0.490572544</v>
          </cell>
          <cell r="AB40">
            <v>0.487318784</v>
          </cell>
          <cell r="AC40">
            <v>0.453920512</v>
          </cell>
          <cell r="AD40">
            <v>0.51783590400000001</v>
          </cell>
          <cell r="AE40">
            <v>0.44260582399999998</v>
          </cell>
          <cell r="AF40">
            <v>0.42805836799999997</v>
          </cell>
          <cell r="AG40">
            <v>0.42002368000000001</v>
          </cell>
          <cell r="AH40">
            <v>0.43617702400000002</v>
          </cell>
          <cell r="AI40">
            <v>0.44708761600000002</v>
          </cell>
          <cell r="AJ40">
            <v>0.39669107200000003</v>
          </cell>
          <cell r="AK40">
            <v>0.35460736000000004</v>
          </cell>
          <cell r="AL40">
            <v>0.35481727999999996</v>
          </cell>
          <cell r="AM40">
            <v>0.26551206399999999</v>
          </cell>
        </row>
        <row r="41">
          <cell r="G41">
            <v>0.75392392500000005</v>
          </cell>
          <cell r="H41">
            <v>0.82729562499999998</v>
          </cell>
          <cell r="I41">
            <v>0.81451557500000005</v>
          </cell>
          <cell r="J41">
            <v>0.84407745000000001</v>
          </cell>
          <cell r="K41">
            <v>0.83864272500000003</v>
          </cell>
          <cell r="L41">
            <v>0.80101322500000005</v>
          </cell>
          <cell r="M41">
            <v>0.72964532500000001</v>
          </cell>
          <cell r="N41">
            <v>0.86124372500000002</v>
          </cell>
          <cell r="O41">
            <v>0.81866880000000009</v>
          </cell>
          <cell r="P41">
            <v>0.8111429</v>
          </cell>
          <cell r="Q41">
            <v>0.7221543749999999</v>
          </cell>
          <cell r="R41">
            <v>0.66245394999999996</v>
          </cell>
          <cell r="S41">
            <v>0.632064925</v>
          </cell>
          <cell r="T41">
            <v>0.69937862500000003</v>
          </cell>
          <cell r="U41">
            <v>0.77948985000000004</v>
          </cell>
          <cell r="V41">
            <v>0.70798215000000009</v>
          </cell>
          <cell r="W41">
            <v>0.79063890000000003</v>
          </cell>
          <cell r="X41">
            <v>0.74409132499999997</v>
          </cell>
          <cell r="Y41">
            <v>0.64776329999999993</v>
          </cell>
          <cell r="Z41">
            <v>0.42477647499999999</v>
          </cell>
          <cell r="AA41">
            <v>0.45252095000000003</v>
          </cell>
          <cell r="AB41">
            <v>0.38852749999999997</v>
          </cell>
          <cell r="AC41">
            <v>0.28724239999999995</v>
          </cell>
          <cell r="AD41">
            <v>0.22391882499999999</v>
          </cell>
          <cell r="AE41">
            <v>0.24722464999999999</v>
          </cell>
          <cell r="AF41">
            <v>0.22903899999999999</v>
          </cell>
          <cell r="AG41">
            <v>0.22245675000000001</v>
          </cell>
          <cell r="AH41">
            <v>0.26292884999999999</v>
          </cell>
          <cell r="AI41">
            <v>0.2390813</v>
          </cell>
          <cell r="AJ41">
            <v>0.23408927499999999</v>
          </cell>
          <cell r="AK41">
            <v>0.21701037500000001</v>
          </cell>
          <cell r="AL41">
            <v>0.21689387500000001</v>
          </cell>
          <cell r="AM41">
            <v>0.12773396102500001</v>
          </cell>
        </row>
        <row r="42">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G43">
            <v>0.71421500000000004</v>
          </cell>
          <cell r="H43">
            <v>0.69264899999999996</v>
          </cell>
          <cell r="I43">
            <v>0.79770600000000003</v>
          </cell>
          <cell r="J43">
            <v>0.72529600000000005</v>
          </cell>
          <cell r="K43">
            <v>0.72315799999999997</v>
          </cell>
          <cell r="L43">
            <v>0.72129399999999999</v>
          </cell>
          <cell r="M43">
            <v>0.75683800000000001</v>
          </cell>
          <cell r="N43">
            <v>0.72741</v>
          </cell>
          <cell r="O43">
            <v>0.85848500000000005</v>
          </cell>
          <cell r="P43">
            <v>0.93576400000000004</v>
          </cell>
          <cell r="Q43">
            <v>0.79606899999999992</v>
          </cell>
          <cell r="R43">
            <v>0.85757500000000009</v>
          </cell>
          <cell r="S43">
            <v>0.842082</v>
          </cell>
          <cell r="T43">
            <v>0.82468799999999998</v>
          </cell>
          <cell r="U43">
            <v>0.93676400000000004</v>
          </cell>
          <cell r="V43">
            <v>0.89353300000000002</v>
          </cell>
          <cell r="W43">
            <v>0.93785000000000007</v>
          </cell>
          <cell r="X43">
            <v>0.9095359999999999</v>
          </cell>
          <cell r="Y43">
            <v>0.87014999999999998</v>
          </cell>
          <cell r="Z43">
            <v>0.80467499999999992</v>
          </cell>
          <cell r="AA43">
            <v>0.69398499999999996</v>
          </cell>
          <cell r="AB43">
            <v>0.66269600000000006</v>
          </cell>
          <cell r="AC43">
            <v>0.71674699999999991</v>
          </cell>
          <cell r="AD43">
            <v>0.66326099999999999</v>
          </cell>
          <cell r="AE43">
            <v>0.65346400000000004</v>
          </cell>
          <cell r="AF43">
            <v>0.66328599999999993</v>
          </cell>
          <cell r="AG43">
            <v>0.65268799999999993</v>
          </cell>
          <cell r="AH43">
            <v>0.61007100000000003</v>
          </cell>
          <cell r="AI43">
            <v>0.62862300000000004</v>
          </cell>
          <cell r="AJ43">
            <v>0.602325</v>
          </cell>
          <cell r="AK43">
            <v>0.495168</v>
          </cell>
          <cell r="AL43">
            <v>0.51491900000000002</v>
          </cell>
          <cell r="AM43">
            <v>0.48469799999999996</v>
          </cell>
        </row>
        <row r="44">
          <cell r="G44">
            <v>1.4732100000000001</v>
          </cell>
          <cell r="H44">
            <v>1.4265540000000001</v>
          </cell>
          <cell r="I44">
            <v>1.44696</v>
          </cell>
          <cell r="J44">
            <v>1.4301900000000001</v>
          </cell>
          <cell r="K44">
            <v>1.439406</v>
          </cell>
          <cell r="L44">
            <v>1.4174519999999999</v>
          </cell>
          <cell r="M44">
            <v>1.43709</v>
          </cell>
          <cell r="N44">
            <v>1.4471039999999999</v>
          </cell>
          <cell r="O44">
            <v>1.4372339999999999</v>
          </cell>
          <cell r="P44">
            <v>1.43712</v>
          </cell>
          <cell r="Q44">
            <v>1.4481900000000001</v>
          </cell>
          <cell r="R44">
            <v>1.4665920000000001</v>
          </cell>
          <cell r="S44">
            <v>1.4611020000000001</v>
          </cell>
          <cell r="T44">
            <v>1.5363059999999999</v>
          </cell>
          <cell r="U44">
            <v>1.5461340000000001</v>
          </cell>
          <cell r="V44">
            <v>1.4970840000000001</v>
          </cell>
          <cell r="W44">
            <v>1.553358</v>
          </cell>
          <cell r="X44">
            <v>1.526856</v>
          </cell>
          <cell r="Y44">
            <v>1.4702999999999999</v>
          </cell>
          <cell r="Z44">
            <v>1.4550179999999999</v>
          </cell>
          <cell r="AA44">
            <v>1.4718119999999999</v>
          </cell>
          <cell r="AB44">
            <v>1.486974</v>
          </cell>
          <cell r="AC44">
            <v>1.480818</v>
          </cell>
          <cell r="AD44">
            <v>1.537296</v>
          </cell>
          <cell r="AE44">
            <v>1.5169440000000001</v>
          </cell>
          <cell r="AF44">
            <v>1.495026</v>
          </cell>
          <cell r="AG44">
            <v>1.6047001670000001</v>
          </cell>
          <cell r="AH44">
            <v>1.582821407</v>
          </cell>
          <cell r="AI44">
            <v>1.612156549</v>
          </cell>
          <cell r="AJ44">
            <v>1.5334747440000001</v>
          </cell>
          <cell r="AK44">
            <v>1.404786141</v>
          </cell>
          <cell r="AL44">
            <v>1.4762316089999998</v>
          </cell>
          <cell r="AM44">
            <v>1.5174491809999999</v>
          </cell>
        </row>
        <row r="45">
          <cell r="G45">
            <v>0.107090688</v>
          </cell>
          <cell r="H45">
            <v>8.7987968E-2</v>
          </cell>
          <cell r="I45">
            <v>0.1045664</v>
          </cell>
          <cell r="J45">
            <v>0.104582144</v>
          </cell>
          <cell r="K45">
            <v>8.1050111999999994E-2</v>
          </cell>
          <cell r="L45">
            <v>7.0821759999999997E-2</v>
          </cell>
          <cell r="M45">
            <v>7.4542592000000005E-2</v>
          </cell>
          <cell r="N45">
            <v>7.2264960000000003E-2</v>
          </cell>
          <cell r="O45">
            <v>0.10727436799999999</v>
          </cell>
          <cell r="P45">
            <v>0.14539584</v>
          </cell>
          <cell r="Q45">
            <v>9.737664E-2</v>
          </cell>
          <cell r="R45">
            <v>7.8489087999999999E-2</v>
          </cell>
          <cell r="S45">
            <v>0.10238848</v>
          </cell>
          <cell r="T45">
            <v>8.0483328000000007E-2</v>
          </cell>
          <cell r="U45">
            <v>5.1042048E-2</v>
          </cell>
          <cell r="V45">
            <v>6.2512239487999999E-2</v>
          </cell>
          <cell r="W45">
            <v>7.0050487680000009E-2</v>
          </cell>
          <cell r="X45">
            <v>7.8037613056000002E-2</v>
          </cell>
          <cell r="Y45">
            <v>8.4885061760000005E-2</v>
          </cell>
          <cell r="Z45">
            <v>4.6170030463999999E-2</v>
          </cell>
          <cell r="AA45">
            <v>2.6102455167999999E-2</v>
          </cell>
          <cell r="AB45">
            <v>2.2614177792E-2</v>
          </cell>
          <cell r="AC45">
            <v>1.4715166335999999E-2</v>
          </cell>
          <cell r="AD45">
            <v>0.100016384</v>
          </cell>
          <cell r="AE45">
            <v>0.10611980800000001</v>
          </cell>
          <cell r="AF45">
            <v>9.9265919999999994E-2</v>
          </cell>
          <cell r="AG45">
            <v>9.3577088000000003E-2</v>
          </cell>
          <cell r="AH45">
            <v>0.100336512</v>
          </cell>
          <cell r="AI45">
            <v>9.2049919999999993E-2</v>
          </cell>
          <cell r="AJ45">
            <v>9.5618560000000005E-2</v>
          </cell>
          <cell r="AK45">
            <v>8.6550015999999994E-2</v>
          </cell>
          <cell r="AL45">
            <v>8.1228544E-2</v>
          </cell>
          <cell r="AM45">
            <v>8.9153023999999997E-2</v>
          </cell>
        </row>
        <row r="46">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G47">
            <v>3.3299518E-2</v>
          </cell>
          <cell r="H47">
            <v>3.5126728000000003E-2</v>
          </cell>
          <cell r="I47">
            <v>3.7258473E-2</v>
          </cell>
          <cell r="J47">
            <v>4.0026973E-2</v>
          </cell>
          <cell r="K47">
            <v>4.0586210000000005E-2</v>
          </cell>
          <cell r="L47">
            <v>4.0591746999999997E-2</v>
          </cell>
          <cell r="M47">
            <v>4.8664693000000002E-2</v>
          </cell>
          <cell r="N47">
            <v>4.3742299999999998E-2</v>
          </cell>
          <cell r="O47">
            <v>4.2369124000000001E-2</v>
          </cell>
          <cell r="P47">
            <v>3.7435656999999997E-2</v>
          </cell>
          <cell r="Q47">
            <v>3.3083575000000004E-2</v>
          </cell>
          <cell r="R47">
            <v>3.6333793999999996E-2</v>
          </cell>
          <cell r="S47">
            <v>3.2169969999999999E-2</v>
          </cell>
          <cell r="T47">
            <v>3.1045959000000001E-2</v>
          </cell>
          <cell r="U47">
            <v>3.0769108999999999E-2</v>
          </cell>
          <cell r="V47">
            <v>3.1367453831000001E-2</v>
          </cell>
          <cell r="W47">
            <v>2.6145730611E-2</v>
          </cell>
          <cell r="X47">
            <v>2.1886576082000002E-2</v>
          </cell>
          <cell r="Y47">
            <v>1.9142239549999999E-2</v>
          </cell>
          <cell r="Z47">
            <v>1.2222667260999999E-2</v>
          </cell>
          <cell r="AA47">
            <v>1.7082724715000001E-2</v>
          </cell>
          <cell r="AB47">
            <v>1.5074953145E-2</v>
          </cell>
          <cell r="AC47">
            <v>1.5291095477000001E-2</v>
          </cell>
          <cell r="AD47">
            <v>1.6488781799000003E-2</v>
          </cell>
          <cell r="AE47">
            <v>1.4783479928E-2</v>
          </cell>
          <cell r="AF47">
            <v>1.2357388007999999E-2</v>
          </cell>
          <cell r="AG47">
            <v>1.284910683E-2</v>
          </cell>
          <cell r="AH47">
            <v>1.0161640824999998E-2</v>
          </cell>
          <cell r="AI47">
            <v>1.2411722589E-2</v>
          </cell>
          <cell r="AJ47">
            <v>1.0423690423999999E-2</v>
          </cell>
          <cell r="AK47">
            <v>9.2053898509999992E-3</v>
          </cell>
          <cell r="AL47">
            <v>1.1791190998999999E-2</v>
          </cell>
          <cell r="AM47">
            <v>1.3038350416000001E-2</v>
          </cell>
        </row>
        <row r="50">
          <cell r="G50">
            <v>0.67922799999999994</v>
          </cell>
          <cell r="H50">
            <v>0.62032399999999999</v>
          </cell>
          <cell r="I50">
            <v>0.60810600000000004</v>
          </cell>
          <cell r="J50">
            <v>0.64410100000000003</v>
          </cell>
          <cell r="K50">
            <v>0.708538</v>
          </cell>
          <cell r="L50">
            <v>0.72395200000000004</v>
          </cell>
          <cell r="M50">
            <v>0.73688599999999993</v>
          </cell>
          <cell r="N50">
            <v>0.78031200000000001</v>
          </cell>
          <cell r="O50">
            <v>0.66609699999999994</v>
          </cell>
          <cell r="P50">
            <v>0.67533500000000002</v>
          </cell>
          <cell r="Q50">
            <v>0.671991</v>
          </cell>
          <cell r="R50">
            <v>0.65804600000000002</v>
          </cell>
          <cell r="S50">
            <v>0.69891600000000009</v>
          </cell>
          <cell r="T50">
            <v>0.62744600000000006</v>
          </cell>
          <cell r="U50">
            <v>0.60195500000000002</v>
          </cell>
          <cell r="V50">
            <v>0.62390299999999999</v>
          </cell>
          <cell r="W50">
            <v>0.62497500000000006</v>
          </cell>
          <cell r="X50">
            <v>0.663462</v>
          </cell>
          <cell r="Y50">
            <v>0.69213400000000003</v>
          </cell>
          <cell r="Z50">
            <v>0.71487199999999995</v>
          </cell>
          <cell r="AA50">
            <v>0.71895200000000004</v>
          </cell>
          <cell r="AB50">
            <v>0.73354799999999998</v>
          </cell>
          <cell r="AC50">
            <v>0.779779</v>
          </cell>
          <cell r="AD50">
            <v>0.88727299999999998</v>
          </cell>
          <cell r="AE50">
            <v>0.75970199999999999</v>
          </cell>
          <cell r="AF50">
            <v>0.74484099999999998</v>
          </cell>
          <cell r="AG50">
            <v>0.75718200000000002</v>
          </cell>
          <cell r="AH50">
            <v>0.79856399999999994</v>
          </cell>
          <cell r="AI50">
            <v>0.96217200000000003</v>
          </cell>
          <cell r="AJ50">
            <v>1.1141110000000001</v>
          </cell>
          <cell r="AK50">
            <v>1.10866</v>
          </cell>
          <cell r="AL50">
            <v>1.2322249999999999</v>
          </cell>
          <cell r="AM50">
            <v>1.3258699999999999</v>
          </cell>
        </row>
        <row r="51">
          <cell r="G51">
            <v>4.4978000000000004E-2</v>
          </cell>
          <cell r="H51">
            <v>4.1722000000000002E-2</v>
          </cell>
          <cell r="I51">
            <v>4.1055000000000001E-2</v>
          </cell>
          <cell r="J51">
            <v>3.8395000000000006E-2</v>
          </cell>
          <cell r="K51">
            <v>3.8137999999999998E-2</v>
          </cell>
          <cell r="L51">
            <v>3.9581000000000005E-2</v>
          </cell>
          <cell r="M51">
            <v>3.7354999999999999E-2</v>
          </cell>
          <cell r="N51">
            <v>3.9697000000000003E-2</v>
          </cell>
          <cell r="O51">
            <v>3.5497999999999995E-2</v>
          </cell>
          <cell r="P51">
            <v>3.9171999999999998E-2</v>
          </cell>
          <cell r="Q51">
            <v>3.6284999999999998E-2</v>
          </cell>
          <cell r="R51">
            <v>3.4936999999999996E-2</v>
          </cell>
          <cell r="S51">
            <v>3.3731000000000004E-2</v>
          </cell>
          <cell r="T51">
            <v>3.0222000000000002E-2</v>
          </cell>
          <cell r="U51">
            <v>3.1242000000000002E-2</v>
          </cell>
          <cell r="V51">
            <v>3.5366000000000002E-2</v>
          </cell>
          <cell r="W51">
            <v>3.3447999999999999E-2</v>
          </cell>
          <cell r="X51">
            <v>3.159E-2</v>
          </cell>
          <cell r="Y51">
            <v>2.8284E-2</v>
          </cell>
          <cell r="Z51">
            <v>2.6557999999999998E-2</v>
          </cell>
          <cell r="AA51">
            <v>2.7047000000000002E-2</v>
          </cell>
          <cell r="AB51">
            <v>2.7056999999999998E-2</v>
          </cell>
          <cell r="AC51">
            <v>2.5114000000000001E-2</v>
          </cell>
          <cell r="AD51">
            <v>2.2357999999999999E-2</v>
          </cell>
          <cell r="AE51">
            <v>2.1696E-2</v>
          </cell>
          <cell r="AF51">
            <v>2.1140999999999997E-2</v>
          </cell>
          <cell r="AG51">
            <v>2.0465000000000001E-2</v>
          </cell>
          <cell r="AH51">
            <v>2.0949000000000002E-2</v>
          </cell>
          <cell r="AI51">
            <v>2.2393E-2</v>
          </cell>
          <cell r="AJ51">
            <v>2.3387000000000002E-2</v>
          </cell>
          <cell r="AK51">
            <v>2.0202000000000001E-2</v>
          </cell>
          <cell r="AL51">
            <v>2.155E-2</v>
          </cell>
          <cell r="AM51">
            <v>2.2306999999999997E-2</v>
          </cell>
        </row>
        <row r="53">
          <cell r="G53">
            <v>3.1294879999999998</v>
          </cell>
          <cell r="H53">
            <v>3.025004</v>
          </cell>
          <cell r="I53">
            <v>3.0013290000000001</v>
          </cell>
          <cell r="J53">
            <v>3.028006</v>
          </cell>
          <cell r="K53">
            <v>3.1544989999999999</v>
          </cell>
          <cell r="L53">
            <v>3.132196</v>
          </cell>
          <cell r="M53">
            <v>3.2742370000000003</v>
          </cell>
          <cell r="N53">
            <v>3.3081670000000001</v>
          </cell>
          <cell r="O53">
            <v>3.3567830000000001</v>
          </cell>
          <cell r="P53">
            <v>3.4617830000000001</v>
          </cell>
          <cell r="Q53">
            <v>3.5803499999999997</v>
          </cell>
          <cell r="R53">
            <v>3.425986</v>
          </cell>
          <cell r="S53">
            <v>3.3403180000000003</v>
          </cell>
          <cell r="T53">
            <v>3.2654570000000001</v>
          </cell>
          <cell r="U53">
            <v>3.38253</v>
          </cell>
          <cell r="V53">
            <v>3.4747539999999999</v>
          </cell>
          <cell r="W53">
            <v>3.379381</v>
          </cell>
          <cell r="X53">
            <v>3.3576090000000001</v>
          </cell>
          <cell r="Y53">
            <v>3.1928389999999998</v>
          </cell>
          <cell r="Z53">
            <v>2.8832770000000001</v>
          </cell>
          <cell r="AA53">
            <v>2.962869</v>
          </cell>
          <cell r="AB53">
            <v>2.9498180000000001</v>
          </cell>
          <cell r="AC53">
            <v>2.9014340000000001</v>
          </cell>
          <cell r="AD53">
            <v>2.9685590000000004</v>
          </cell>
          <cell r="AE53">
            <v>3.0420889999999998</v>
          </cell>
          <cell r="AF53">
            <v>3.2041650000000002</v>
          </cell>
          <cell r="AG53">
            <v>3.3498769999999998</v>
          </cell>
          <cell r="AH53">
            <v>3.4813459999999998</v>
          </cell>
          <cell r="AI53">
            <v>3.5327570000000001</v>
          </cell>
          <cell r="AJ53">
            <v>3.6080210000000004</v>
          </cell>
          <cell r="AK53">
            <v>2.2338429999999998</v>
          </cell>
          <cell r="AL53">
            <v>2.8350430000000002</v>
          </cell>
          <cell r="AM53">
            <v>3.2278989999999999</v>
          </cell>
        </row>
        <row r="54">
          <cell r="G54">
            <v>2.2914999999999998E-2</v>
          </cell>
          <cell r="H54">
            <v>2.1158999999999997E-2</v>
          </cell>
          <cell r="I54">
            <v>1.9437000000000003E-2</v>
          </cell>
          <cell r="J54">
            <v>2.027E-2</v>
          </cell>
          <cell r="K54">
            <v>3.4046E-2</v>
          </cell>
          <cell r="L54">
            <v>1.7753000000000001E-2</v>
          </cell>
          <cell r="M54">
            <v>1.5656E-2</v>
          </cell>
          <cell r="N54">
            <v>1.4241E-2</v>
          </cell>
          <cell r="O54">
            <v>1.7667000000000002E-2</v>
          </cell>
          <cell r="P54">
            <v>1.4289999999999999E-2</v>
          </cell>
          <cell r="Q54">
            <v>1.1899E-2</v>
          </cell>
          <cell r="R54">
            <v>1.3738E-2</v>
          </cell>
          <cell r="S54">
            <v>1.43E-2</v>
          </cell>
          <cell r="T54">
            <v>1.7893999999999997E-2</v>
          </cell>
          <cell r="U54">
            <v>1.9129E-2</v>
          </cell>
          <cell r="V54">
            <v>2.8235E-2</v>
          </cell>
          <cell r="W54">
            <v>2.7501999999999999E-2</v>
          </cell>
          <cell r="X54">
            <v>2.1972999999999999E-2</v>
          </cell>
          <cell r="Y54">
            <v>4.0197000000000004E-2</v>
          </cell>
          <cell r="Z54">
            <v>2.8070000000000001E-2</v>
          </cell>
          <cell r="AA54">
            <v>4.5739999999999999E-3</v>
          </cell>
          <cell r="AB54">
            <v>4.5999999999999999E-3</v>
          </cell>
          <cell r="AC54">
            <v>4.5199999999999997E-3</v>
          </cell>
          <cell r="AD54">
            <v>6.0919999999999993E-3</v>
          </cell>
          <cell r="AE54">
            <v>7.6210000000000002E-3</v>
          </cell>
          <cell r="AF54">
            <v>9.9939999999999994E-3</v>
          </cell>
          <cell r="AG54">
            <v>1.1819000000000001E-2</v>
          </cell>
          <cell r="AH54">
            <v>1.2394000000000001E-2</v>
          </cell>
          <cell r="AI54">
            <v>1.2614999999999999E-2</v>
          </cell>
          <cell r="AJ54">
            <v>1.2491E-2</v>
          </cell>
          <cell r="AK54">
            <v>8.6449999999999999E-3</v>
          </cell>
          <cell r="AL54">
            <v>9.7619999999999998E-3</v>
          </cell>
          <cell r="AM54">
            <v>9.8190000000000013E-3</v>
          </cell>
        </row>
        <row r="55">
          <cell r="G55">
            <v>0.17599999999999999</v>
          </cell>
          <cell r="H55">
            <v>0.15744999999999998</v>
          </cell>
          <cell r="I55">
            <v>0.16052699999999998</v>
          </cell>
          <cell r="J55">
            <v>0.16345799999999999</v>
          </cell>
          <cell r="K55">
            <v>0.170846</v>
          </cell>
          <cell r="L55">
            <v>0.16791300000000001</v>
          </cell>
          <cell r="M55">
            <v>0.16295699999999999</v>
          </cell>
          <cell r="N55">
            <v>0.17214599999999999</v>
          </cell>
          <cell r="O55">
            <v>0.18021199999999998</v>
          </cell>
          <cell r="P55">
            <v>0.18209700000000001</v>
          </cell>
          <cell r="Q55">
            <v>0.17936600000000003</v>
          </cell>
          <cell r="R55">
            <v>0.16433899999999999</v>
          </cell>
          <cell r="S55">
            <v>0.16239200000000001</v>
          </cell>
          <cell r="T55">
            <v>0.15013399999999999</v>
          </cell>
          <cell r="U55">
            <v>0.15210200000000001</v>
          </cell>
          <cell r="V55">
            <v>0.151307</v>
          </cell>
          <cell r="W55">
            <v>0.14741399999999999</v>
          </cell>
          <cell r="X55">
            <v>0.15223100000000001</v>
          </cell>
          <cell r="Y55">
            <v>0.14133000000000001</v>
          </cell>
          <cell r="Z55">
            <v>0.12706500000000001</v>
          </cell>
          <cell r="AA55">
            <v>0.15477299999999999</v>
          </cell>
          <cell r="AB55">
            <v>0.148372</v>
          </cell>
          <cell r="AC55">
            <v>0.135408</v>
          </cell>
          <cell r="AD55">
            <v>0.14336099999999999</v>
          </cell>
          <cell r="AE55">
            <v>0.14936099999999999</v>
          </cell>
          <cell r="AF55">
            <v>0.16281100000000001</v>
          </cell>
          <cell r="AG55">
            <v>0.15435099999999999</v>
          </cell>
          <cell r="AH55">
            <v>0.141983</v>
          </cell>
          <cell r="AI55">
            <v>0.136986</v>
          </cell>
          <cell r="AJ55">
            <v>0.131329</v>
          </cell>
          <cell r="AK55">
            <v>0.115615</v>
          </cell>
          <cell r="AL55">
            <v>0.11903799999999999</v>
          </cell>
          <cell r="AM55">
            <v>0.125386</v>
          </cell>
        </row>
        <row r="56">
          <cell r="G56">
            <v>13.514989999999999</v>
          </cell>
          <cell r="H56">
            <v>13.432467000000001</v>
          </cell>
          <cell r="I56">
            <v>13.618953000000001</v>
          </cell>
          <cell r="J56">
            <v>13.932580685611681</v>
          </cell>
          <cell r="K56">
            <v>14.141603962852995</v>
          </cell>
          <cell r="L56">
            <v>14.461004716828677</v>
          </cell>
          <cell r="M56">
            <v>14.740101863815333</v>
          </cell>
          <cell r="N56">
            <v>14.871630460769971</v>
          </cell>
          <cell r="O56">
            <v>15.320102414796915</v>
          </cell>
          <cell r="P56">
            <v>15.7070282751374</v>
          </cell>
          <cell r="Q56">
            <v>15.794266285936159</v>
          </cell>
          <cell r="R56">
            <v>15.868411640863437</v>
          </cell>
          <cell r="S56">
            <v>16.264221231225971</v>
          </cell>
          <cell r="T56">
            <v>16.33119055788897</v>
          </cell>
          <cell r="U56">
            <v>16.606910201008343</v>
          </cell>
          <cell r="V56">
            <v>16.621722608779855</v>
          </cell>
          <cell r="W56">
            <v>16.635958195986213</v>
          </cell>
          <cell r="X56">
            <v>16.494826659756789</v>
          </cell>
          <cell r="Y56">
            <v>15.703603013924344</v>
          </cell>
          <cell r="Z56">
            <v>15.530841999999998</v>
          </cell>
          <cell r="AA56">
            <v>15.278812</v>
          </cell>
          <cell r="AB56">
            <v>14.831718</v>
          </cell>
          <cell r="AC56">
            <v>14.749917999999999</v>
          </cell>
          <cell r="AD56">
            <v>14.958057</v>
          </cell>
          <cell r="AE56">
            <v>15.115327000000001</v>
          </cell>
          <cell r="AF56">
            <v>15.197739000000002</v>
          </cell>
          <cell r="AG56">
            <v>15.458085000000001</v>
          </cell>
          <cell r="AH56">
            <v>15.420721000000002</v>
          </cell>
          <cell r="AI56">
            <v>15.421023999999999</v>
          </cell>
          <cell r="AJ56">
            <v>15.369018000000002</v>
          </cell>
          <cell r="AK56">
            <v>13.238507</v>
          </cell>
          <cell r="AL56">
            <v>14.501171999999999</v>
          </cell>
          <cell r="AM56">
            <v>14.480385</v>
          </cell>
        </row>
        <row r="57">
          <cell r="G57">
            <v>1.016005</v>
          </cell>
          <cell r="H57">
            <v>1.0259210000000001</v>
          </cell>
          <cell r="I57">
            <v>1.0699689999999999</v>
          </cell>
          <cell r="J57">
            <v>0.90145699999999995</v>
          </cell>
          <cell r="K57">
            <v>0.88258999999999999</v>
          </cell>
          <cell r="L57">
            <v>0.91051400000000005</v>
          </cell>
          <cell r="M57">
            <v>0.851302</v>
          </cell>
          <cell r="N57">
            <v>0.71171000000000006</v>
          </cell>
          <cell r="O57">
            <v>0.67371000000000003</v>
          </cell>
          <cell r="P57">
            <v>0.66544899999999996</v>
          </cell>
          <cell r="Q57">
            <v>0.88754</v>
          </cell>
          <cell r="R57">
            <v>0.585534</v>
          </cell>
          <cell r="S57">
            <v>0.67681100000000005</v>
          </cell>
          <cell r="T57">
            <v>0.57092900000000002</v>
          </cell>
          <cell r="U57">
            <v>0.73950800000000005</v>
          </cell>
          <cell r="V57">
            <v>0.83744200000000002</v>
          </cell>
          <cell r="W57">
            <v>0.90567799999999998</v>
          </cell>
          <cell r="X57">
            <v>0.99364300000000005</v>
          </cell>
          <cell r="Y57">
            <v>0.92592200000000002</v>
          </cell>
          <cell r="Z57">
            <v>0.790516</v>
          </cell>
          <cell r="AA57">
            <v>0.89198</v>
          </cell>
          <cell r="AB57">
            <v>0.77632100000000004</v>
          </cell>
          <cell r="AC57">
            <v>0.67052099999999992</v>
          </cell>
          <cell r="AD57">
            <v>0.58115300000000003</v>
          </cell>
          <cell r="AE57">
            <v>0.44653699999999996</v>
          </cell>
          <cell r="AF57">
            <v>0.46339999999999998</v>
          </cell>
          <cell r="AG57">
            <v>0.62312400000000001</v>
          </cell>
          <cell r="AH57">
            <v>0.66458499999999998</v>
          </cell>
          <cell r="AI57">
            <v>0.60403099999999998</v>
          </cell>
          <cell r="AJ57">
            <v>0.52910299999999999</v>
          </cell>
          <cell r="AK57">
            <v>0.391461</v>
          </cell>
          <cell r="AL57">
            <v>0.61485699999999999</v>
          </cell>
          <cell r="AM57">
            <v>0.63005200000000006</v>
          </cell>
        </row>
        <row r="59">
          <cell r="G59">
            <v>16.260952</v>
          </cell>
          <cell r="H59">
            <v>16.249708999999999</v>
          </cell>
          <cell r="I59">
            <v>16.465595</v>
          </cell>
          <cell r="J59">
            <v>17.195927000000001</v>
          </cell>
          <cell r="K59">
            <v>17.260874999999999</v>
          </cell>
          <cell r="L59">
            <v>17.466284999999999</v>
          </cell>
          <cell r="M59">
            <v>18.429026999999998</v>
          </cell>
          <cell r="N59">
            <v>18.904537999999999</v>
          </cell>
          <cell r="O59">
            <v>19.215682000000001</v>
          </cell>
          <cell r="P59">
            <v>19.279487</v>
          </cell>
          <cell r="Q59">
            <v>20.220170999999997</v>
          </cell>
          <cell r="R59">
            <v>19.613672999999999</v>
          </cell>
          <cell r="S59">
            <v>19.782781</v>
          </cell>
          <cell r="T59">
            <v>20.184742999999997</v>
          </cell>
          <cell r="U59">
            <v>20.305035</v>
          </cell>
          <cell r="V59">
            <v>20.737241000000001</v>
          </cell>
          <cell r="W59">
            <v>20.461883</v>
          </cell>
          <cell r="X59">
            <v>20.807722000000002</v>
          </cell>
          <cell r="Y59">
            <v>20.512955000000002</v>
          </cell>
          <cell r="Z59">
            <v>18.225331999999998</v>
          </cell>
          <cell r="AA59">
            <v>19.133455000000001</v>
          </cell>
          <cell r="AB59">
            <v>18.035174999999999</v>
          </cell>
          <cell r="AC59">
            <v>15.821247999999999</v>
          </cell>
          <cell r="AD59">
            <v>16.450559000000002</v>
          </cell>
          <cell r="AE59">
            <v>16.427400000000002</v>
          </cell>
          <cell r="AF59">
            <v>14.138249999999999</v>
          </cell>
          <cell r="AG59">
            <v>12.996354</v>
          </cell>
          <cell r="AH59">
            <v>12.622233</v>
          </cell>
          <cell r="AI59">
            <v>12.052957000000001</v>
          </cell>
          <cell r="AJ59">
            <v>10.181262</v>
          </cell>
          <cell r="AK59">
            <v>8.2292829999999988</v>
          </cell>
          <cell r="AL59">
            <v>9.4976719999999997</v>
          </cell>
          <cell r="AM59">
            <v>8.885491</v>
          </cell>
        </row>
        <row r="60">
          <cell r="G60">
            <v>3.308538</v>
          </cell>
          <cell r="H60">
            <v>3.3773589999999998</v>
          </cell>
          <cell r="I60">
            <v>3.5115020000000001</v>
          </cell>
          <cell r="J60">
            <v>3.5375010000000002</v>
          </cell>
          <cell r="K60">
            <v>3.9772989999999999</v>
          </cell>
          <cell r="L60">
            <v>4.301971</v>
          </cell>
          <cell r="M60">
            <v>3.8624490000000002</v>
          </cell>
          <cell r="N60">
            <v>4.1255119999999996</v>
          </cell>
          <cell r="O60">
            <v>4.6749000000000001</v>
          </cell>
          <cell r="P60">
            <v>4.9021480000000004</v>
          </cell>
          <cell r="Q60">
            <v>5.2933750000000002</v>
          </cell>
          <cell r="R60">
            <v>5.4581010000000001</v>
          </cell>
          <cell r="S60">
            <v>5.7668119999999998</v>
          </cell>
          <cell r="T60">
            <v>5.2462489999999997</v>
          </cell>
          <cell r="U60">
            <v>5.5949350000000004</v>
          </cell>
          <cell r="V60">
            <v>6.0145479999999996</v>
          </cell>
          <cell r="W60">
            <v>6.3751389999999999</v>
          </cell>
          <cell r="X60">
            <v>7.0052340000000006</v>
          </cell>
          <cell r="Y60">
            <v>6.8289239999999998</v>
          </cell>
          <cell r="Z60">
            <v>7.0223900000000006</v>
          </cell>
          <cell r="AA60">
            <v>7.527641</v>
          </cell>
          <cell r="AB60">
            <v>7.712205</v>
          </cell>
          <cell r="AC60">
            <v>9.2867929999999994</v>
          </cell>
          <cell r="AD60">
            <v>8.3762540000000012</v>
          </cell>
          <cell r="AE60">
            <v>8.3616810000000008</v>
          </cell>
          <cell r="AF60">
            <v>9.9264590000000013</v>
          </cell>
          <cell r="AG60">
            <v>10.301311</v>
          </cell>
          <cell r="AH60">
            <v>9.5552070000000011</v>
          </cell>
          <cell r="AI60">
            <v>10.921507999999999</v>
          </cell>
          <cell r="AJ60">
            <v>11.658398999999999</v>
          </cell>
          <cell r="AK60">
            <v>11.999767</v>
          </cell>
          <cell r="AL60">
            <v>11.582585</v>
          </cell>
          <cell r="AM60">
            <v>12.459189</v>
          </cell>
        </row>
        <row r="61">
          <cell r="G61">
            <v>9.6504000000000006E-2</v>
          </cell>
          <cell r="H61">
            <v>8.3640000000000006E-2</v>
          </cell>
          <cell r="I61">
            <v>7.3530999999999999E-2</v>
          </cell>
          <cell r="J61">
            <v>8.649599999999999E-2</v>
          </cell>
          <cell r="K61">
            <v>0.119963</v>
          </cell>
          <cell r="L61">
            <v>0.107976</v>
          </cell>
          <cell r="M61">
            <v>0.10929999999999999</v>
          </cell>
          <cell r="N61">
            <v>0.110514</v>
          </cell>
          <cell r="O61">
            <v>0.13558099999999998</v>
          </cell>
          <cell r="P61">
            <v>0.13999199999999998</v>
          </cell>
          <cell r="Q61">
            <v>0.17466499999999999</v>
          </cell>
          <cell r="R61">
            <v>0.170347</v>
          </cell>
          <cell r="S61">
            <v>0.12729799999999999</v>
          </cell>
          <cell r="T61">
            <v>0.16078899999999999</v>
          </cell>
          <cell r="U61">
            <v>0.111164</v>
          </cell>
          <cell r="V61">
            <v>0.11447</v>
          </cell>
          <cell r="W61">
            <v>7.3388000000000009E-2</v>
          </cell>
          <cell r="X61">
            <v>8.8650000000000007E-2</v>
          </cell>
          <cell r="Y61">
            <v>7.2524000000000005E-2</v>
          </cell>
          <cell r="Z61">
            <v>6.9573999999999997E-2</v>
          </cell>
          <cell r="AA61">
            <v>7.9679E-2</v>
          </cell>
          <cell r="AB61">
            <v>6.3655000000000003E-2</v>
          </cell>
          <cell r="AC61">
            <v>5.2430999999999998E-2</v>
          </cell>
          <cell r="AD61">
            <v>5.5420000000000004E-2</v>
          </cell>
          <cell r="AE61">
            <v>8.2175999999999999E-2</v>
          </cell>
          <cell r="AF61">
            <v>7.0388000000000006E-2</v>
          </cell>
          <cell r="AG61">
            <v>5.4901999999999999E-2</v>
          </cell>
          <cell r="AH61">
            <v>5.4725999999999997E-2</v>
          </cell>
          <cell r="AI61">
            <v>8.0617000000000008E-2</v>
          </cell>
          <cell r="AJ61">
            <v>5.3878999999999996E-2</v>
          </cell>
          <cell r="AK61">
            <v>4.4274000000000001E-2</v>
          </cell>
          <cell r="AL61">
            <v>5.9770999999999998E-2</v>
          </cell>
          <cell r="AM61">
            <v>8.3448999999999995E-2</v>
          </cell>
        </row>
        <row r="62">
          <cell r="G62">
            <v>1.1625619999999999</v>
          </cell>
          <cell r="H62">
            <v>1.0852919999999999</v>
          </cell>
          <cell r="I62">
            <v>0.87217</v>
          </cell>
          <cell r="J62">
            <v>0.95864499999999997</v>
          </cell>
          <cell r="K62">
            <v>0.86899999999999999</v>
          </cell>
          <cell r="L62">
            <v>0.56597299999999995</v>
          </cell>
          <cell r="M62">
            <v>0.62839099999999992</v>
          </cell>
          <cell r="N62">
            <v>0.71463399999999999</v>
          </cell>
          <cell r="O62">
            <v>1.0469600000000001</v>
          </cell>
          <cell r="P62">
            <v>0.95872299999999999</v>
          </cell>
          <cell r="Q62">
            <v>0.870834</v>
          </cell>
          <cell r="R62">
            <v>1.0028029999999999</v>
          </cell>
          <cell r="S62">
            <v>0.65871000000000002</v>
          </cell>
          <cell r="T62">
            <v>0.86936300000000011</v>
          </cell>
          <cell r="U62">
            <v>0.87902200000000008</v>
          </cell>
          <cell r="V62">
            <v>0.87646199999999996</v>
          </cell>
          <cell r="W62">
            <v>0.36052699999999999</v>
          </cell>
          <cell r="X62">
            <v>0.39662400000000003</v>
          </cell>
          <cell r="Y62">
            <v>0.240421</v>
          </cell>
          <cell r="Z62">
            <v>0.180955</v>
          </cell>
          <cell r="AA62">
            <v>0.15405199999999999</v>
          </cell>
          <cell r="AB62">
            <v>9.3064999999999995E-2</v>
          </cell>
          <cell r="AC62">
            <v>7.6719999999999997E-2</v>
          </cell>
          <cell r="AD62">
            <v>7.7224999999999988E-2</v>
          </cell>
          <cell r="AE62">
            <v>9.5138E-2</v>
          </cell>
          <cell r="AF62">
            <v>9.3861E-2</v>
          </cell>
          <cell r="AG62">
            <v>7.0680000000000007E-2</v>
          </cell>
          <cell r="AH62">
            <v>6.5787999999999999E-2</v>
          </cell>
          <cell r="AI62">
            <v>7.8251000000000001E-2</v>
          </cell>
          <cell r="AJ62">
            <v>5.8793999999999999E-2</v>
          </cell>
          <cell r="AK62">
            <v>5.2696E-2</v>
          </cell>
          <cell r="AL62">
            <v>5.7303E-2</v>
          </cell>
          <cell r="AM62">
            <v>7.5635999999999995E-2</v>
          </cell>
        </row>
        <row r="63">
          <cell r="G63">
            <v>3.0367000000000002E-2</v>
          </cell>
          <cell r="H63">
            <v>2.9329000000000001E-2</v>
          </cell>
          <cell r="I63">
            <v>4.5005999999999997E-2</v>
          </cell>
          <cell r="J63">
            <v>7.8647999999999996E-2</v>
          </cell>
          <cell r="K63">
            <v>6.9717000000000001E-2</v>
          </cell>
          <cell r="L63">
            <v>8.0556000000000003E-2</v>
          </cell>
          <cell r="M63">
            <v>7.9571000000000003E-2</v>
          </cell>
          <cell r="N63">
            <v>0.10155800000000001</v>
          </cell>
          <cell r="O63">
            <v>0.123554</v>
          </cell>
          <cell r="P63">
            <v>0.11249099999999999</v>
          </cell>
          <cell r="Q63">
            <v>9.8641000000000006E-2</v>
          </cell>
          <cell r="R63">
            <v>0.103226</v>
          </cell>
          <cell r="S63">
            <v>0.175176</v>
          </cell>
          <cell r="T63">
            <v>0.17466699999999999</v>
          </cell>
          <cell r="U63">
            <v>0.210811</v>
          </cell>
          <cell r="V63">
            <v>0.231132</v>
          </cell>
          <cell r="W63">
            <v>0.203043</v>
          </cell>
          <cell r="X63">
            <v>0.16255699999999998</v>
          </cell>
          <cell r="Y63">
            <v>0.14639099999999999</v>
          </cell>
          <cell r="Z63">
            <v>0.13184200000000001</v>
          </cell>
          <cell r="AA63">
            <v>0.13659499999999999</v>
          </cell>
          <cell r="AB63">
            <v>0.13832</v>
          </cell>
          <cell r="AC63">
            <v>8.5054000000000005E-2</v>
          </cell>
          <cell r="AD63">
            <v>0.122518</v>
          </cell>
          <cell r="AE63">
            <v>0.118155</v>
          </cell>
          <cell r="AF63">
            <v>0.111716</v>
          </cell>
          <cell r="AG63">
            <v>0.11831699999999999</v>
          </cell>
          <cell r="AH63">
            <v>9.7208000000000003E-2</v>
          </cell>
          <cell r="AI63">
            <v>0.101482</v>
          </cell>
          <cell r="AJ63">
            <v>7.5912999999999994E-2</v>
          </cell>
          <cell r="AK63">
            <v>8.7427000000000005E-2</v>
          </cell>
          <cell r="AL63">
            <v>8.7940000000000004E-2</v>
          </cell>
          <cell r="AM63">
            <v>8.4778000000000006E-2</v>
          </cell>
        </row>
        <row r="77">
          <cell r="G77" t="str">
            <v>NA</v>
          </cell>
          <cell r="H77" t="str">
            <v>NA</v>
          </cell>
          <cell r="I77" t="str">
            <v>NA</v>
          </cell>
          <cell r="J77" t="str">
            <v>NA</v>
          </cell>
          <cell r="K77" t="str">
            <v>NA</v>
          </cell>
          <cell r="L77" t="str">
            <v>NA</v>
          </cell>
          <cell r="M77" t="str">
            <v>NA</v>
          </cell>
          <cell r="N77" t="str">
            <v>NA</v>
          </cell>
          <cell r="O77" t="str">
            <v>NA</v>
          </cell>
          <cell r="P77" t="str">
            <v>NA</v>
          </cell>
          <cell r="Q77" t="str">
            <v>NA</v>
          </cell>
          <cell r="R77" t="str">
            <v>NA</v>
          </cell>
          <cell r="S77" t="str">
            <v>NA</v>
          </cell>
          <cell r="T77" t="str">
            <v>NA</v>
          </cell>
          <cell r="U77" t="str">
            <v>NA</v>
          </cell>
          <cell r="V77" t="str">
            <v>NA</v>
          </cell>
          <cell r="W77" t="str">
            <v>NA</v>
          </cell>
          <cell r="X77" t="str">
            <v>NA</v>
          </cell>
          <cell r="Y77" t="str">
            <v>NA</v>
          </cell>
          <cell r="Z77" t="str">
            <v>NA</v>
          </cell>
          <cell r="AA77">
            <v>0.16472879862299999</v>
          </cell>
          <cell r="AB77">
            <v>0.10713786426000001</v>
          </cell>
          <cell r="AC77">
            <v>0.12227378067899999</v>
          </cell>
          <cell r="AD77">
            <v>0.18755948702399999</v>
          </cell>
          <cell r="AE77">
            <v>0.18610896295200002</v>
          </cell>
          <cell r="AF77">
            <v>0.20387813095499999</v>
          </cell>
          <cell r="AG77">
            <v>0.13308885270900001</v>
          </cell>
          <cell r="AH77">
            <v>6.1002428346000004E-2</v>
          </cell>
          <cell r="AI77">
            <v>5.5329468155999997E-2</v>
          </cell>
          <cell r="AJ77">
            <v>8.0243702595000008E-2</v>
          </cell>
          <cell r="AK77">
            <v>-1.7074028727000003E-2</v>
          </cell>
          <cell r="AL77">
            <v>3.6160540767000003E-2</v>
          </cell>
          <cell r="AM77">
            <v>7.7393719493999993E-2</v>
          </cell>
        </row>
        <row r="78">
          <cell r="G78" t="str">
            <v>NA</v>
          </cell>
          <cell r="H78" t="str">
            <v>NA</v>
          </cell>
          <cell r="I78" t="str">
            <v>NA</v>
          </cell>
          <cell r="J78" t="str">
            <v>NA</v>
          </cell>
          <cell r="K78" t="str">
            <v>NA</v>
          </cell>
          <cell r="L78" t="str">
            <v>NA</v>
          </cell>
          <cell r="M78" t="str">
            <v>NA</v>
          </cell>
          <cell r="N78" t="str">
            <v>NA</v>
          </cell>
          <cell r="O78" t="str">
            <v>NA</v>
          </cell>
          <cell r="P78" t="str">
            <v>NA</v>
          </cell>
          <cell r="Q78" t="str">
            <v>NA</v>
          </cell>
          <cell r="R78" t="str">
            <v>NA</v>
          </cell>
          <cell r="S78" t="str">
            <v>NA</v>
          </cell>
          <cell r="T78" t="str">
            <v>NA</v>
          </cell>
          <cell r="U78" t="str">
            <v>NA</v>
          </cell>
          <cell r="V78" t="str">
            <v>NA</v>
          </cell>
          <cell r="W78" t="str">
            <v>NA</v>
          </cell>
          <cell r="X78" t="str">
            <v>NA</v>
          </cell>
          <cell r="Y78" t="str">
            <v>NA</v>
          </cell>
          <cell r="Z78" t="str">
            <v>NA</v>
          </cell>
          <cell r="AA78">
            <v>6.6355320000000004E-3</v>
          </cell>
          <cell r="AB78">
            <v>8.8853099999999991E-4</v>
          </cell>
          <cell r="AC78">
            <v>6.2591100000000005E-4</v>
          </cell>
          <cell r="AD78">
            <v>-5.5631669999999999E-3</v>
          </cell>
          <cell r="AE78">
            <v>2.4861360000000003E-3</v>
          </cell>
          <cell r="AF78">
            <v>-8.609559000000001E-3</v>
          </cell>
          <cell r="AG78">
            <v>-3.8473830000000002E-3</v>
          </cell>
          <cell r="AH78">
            <v>5.2567769999999998E-3</v>
          </cell>
          <cell r="AI78">
            <v>1.3546815E-2</v>
          </cell>
          <cell r="AJ78">
            <v>2.6262E-5</v>
          </cell>
          <cell r="AK78">
            <v>-5.6944769999999999E-3</v>
          </cell>
          <cell r="AL78">
            <v>-4.4601629999999996E-3</v>
          </cell>
          <cell r="AM78">
            <v>-3.98307E-3</v>
          </cell>
        </row>
        <row r="79">
          <cell r="G79" t="str">
            <v>NA</v>
          </cell>
          <cell r="H79" t="str">
            <v>NA</v>
          </cell>
          <cell r="I79" t="str">
            <v>NA</v>
          </cell>
          <cell r="J79" t="str">
            <v>NA</v>
          </cell>
          <cell r="K79" t="str">
            <v>NA</v>
          </cell>
          <cell r="L79" t="str">
            <v>NA</v>
          </cell>
          <cell r="M79" t="str">
            <v>NA</v>
          </cell>
          <cell r="N79" t="str">
            <v>NA</v>
          </cell>
          <cell r="O79" t="str">
            <v>NA</v>
          </cell>
          <cell r="P79" t="str">
            <v>NA</v>
          </cell>
          <cell r="Q79" t="str">
            <v>NA</v>
          </cell>
          <cell r="R79" t="str">
            <v>NA</v>
          </cell>
          <cell r="S79" t="str">
            <v>NA</v>
          </cell>
          <cell r="T79" t="str">
            <v>NA</v>
          </cell>
          <cell r="U79" t="str">
            <v>NA</v>
          </cell>
          <cell r="V79" t="str">
            <v>NA</v>
          </cell>
          <cell r="W79" t="str">
            <v>NA</v>
          </cell>
          <cell r="X79" t="str">
            <v>NA</v>
          </cell>
          <cell r="Y79" t="str">
            <v>NA</v>
          </cell>
          <cell r="Z79" t="str">
            <v>NA</v>
          </cell>
          <cell r="AA79">
            <v>0.88784935800000009</v>
          </cell>
          <cell r="AB79">
            <v>0.96346346800000005</v>
          </cell>
          <cell r="AC79">
            <v>0.967432026</v>
          </cell>
          <cell r="AD79">
            <v>1.010788383</v>
          </cell>
          <cell r="AE79">
            <v>1.0578155170000001</v>
          </cell>
          <cell r="AF79">
            <v>1.0910278390000001</v>
          </cell>
          <cell r="AG79">
            <v>1.1504987706629999</v>
          </cell>
          <cell r="AH79">
            <v>1.2599061928749999</v>
          </cell>
          <cell r="AI79">
            <v>1.5026291001150001</v>
          </cell>
          <cell r="AJ79">
            <v>1.5609240194680001</v>
          </cell>
          <cell r="AK79">
            <v>1.7497703955599999</v>
          </cell>
          <cell r="AL79">
            <v>1.8354242086730002</v>
          </cell>
          <cell r="AM79">
            <v>2.0512375514179997</v>
          </cell>
        </row>
        <row r="80">
          <cell r="G80" t="str">
            <v>NA</v>
          </cell>
          <cell r="H80" t="str">
            <v>NA</v>
          </cell>
          <cell r="I80" t="str">
            <v>NA</v>
          </cell>
          <cell r="J80" t="str">
            <v>NA</v>
          </cell>
          <cell r="K80" t="str">
            <v>NA</v>
          </cell>
          <cell r="L80" t="str">
            <v>NA</v>
          </cell>
          <cell r="M80" t="str">
            <v>NA</v>
          </cell>
          <cell r="N80" t="str">
            <v>NA</v>
          </cell>
          <cell r="O80" t="str">
            <v>NA</v>
          </cell>
          <cell r="P80" t="str">
            <v>NA</v>
          </cell>
          <cell r="Q80" t="str">
            <v>NA</v>
          </cell>
          <cell r="R80" t="str">
            <v>NA</v>
          </cell>
          <cell r="S80" t="str">
            <v>NA</v>
          </cell>
          <cell r="T80" t="str">
            <v>NA</v>
          </cell>
          <cell r="U80" t="str">
            <v>NA</v>
          </cell>
          <cell r="V80" t="str">
            <v>NA</v>
          </cell>
          <cell r="W80" t="str">
            <v>NA</v>
          </cell>
          <cell r="X80" t="str">
            <v>NA</v>
          </cell>
          <cell r="Y80" t="str">
            <v>NA</v>
          </cell>
          <cell r="Z80" t="str">
            <v>NA</v>
          </cell>
          <cell r="AA80">
            <v>5.269068E-3</v>
          </cell>
          <cell r="AB80">
            <v>5.2666320000000003E-3</v>
          </cell>
          <cell r="AC80">
            <v>4.5723719999999999E-3</v>
          </cell>
          <cell r="AD80">
            <v>7.5516000000000005E-4</v>
          </cell>
          <cell r="AE80">
            <v>9.5003999999999998E-4</v>
          </cell>
          <cell r="AF80">
            <v>8.1605999999999996E-4</v>
          </cell>
          <cell r="AG80">
            <v>6.4554E-4</v>
          </cell>
          <cell r="AH80">
            <v>6.5771999999999998E-4</v>
          </cell>
          <cell r="AI80">
            <v>2.1923999999999999E-4</v>
          </cell>
          <cell r="AJ80">
            <v>3.0937199999999998E-4</v>
          </cell>
          <cell r="AK80">
            <v>5.5053600000000002E-4</v>
          </cell>
          <cell r="AL80">
            <v>6.7477200000000002E-4</v>
          </cell>
          <cell r="AM80">
            <v>7.0156799999999996E-4</v>
          </cell>
        </row>
        <row r="81">
          <cell r="G81" t="str">
            <v>NA</v>
          </cell>
          <cell r="H81" t="str">
            <v>NA</v>
          </cell>
          <cell r="I81" t="str">
            <v>NA</v>
          </cell>
          <cell r="J81" t="str">
            <v>NA</v>
          </cell>
          <cell r="K81" t="str">
            <v>NA</v>
          </cell>
          <cell r="L81" t="str">
            <v>NA</v>
          </cell>
          <cell r="M81" t="str">
            <v>NA</v>
          </cell>
          <cell r="N81" t="str">
            <v>NA</v>
          </cell>
          <cell r="O81" t="str">
            <v>NA</v>
          </cell>
          <cell r="P81" t="str">
            <v>NA</v>
          </cell>
          <cell r="Q81" t="str">
            <v>NA</v>
          </cell>
          <cell r="R81" t="str">
            <v>NA</v>
          </cell>
          <cell r="S81" t="str">
            <v>NA</v>
          </cell>
          <cell r="T81" t="str">
            <v>NA</v>
          </cell>
          <cell r="U81" t="str">
            <v>NA</v>
          </cell>
          <cell r="V81" t="str">
            <v>NA</v>
          </cell>
          <cell r="W81" t="str">
            <v>NA</v>
          </cell>
          <cell r="X81" t="str">
            <v>NA</v>
          </cell>
          <cell r="Y81" t="str">
            <v>NA</v>
          </cell>
          <cell r="Z81" t="str">
            <v>NA</v>
          </cell>
          <cell r="AA81">
            <v>3.7960724999999994E-2</v>
          </cell>
          <cell r="AB81">
            <v>4.8978746999999996E-2</v>
          </cell>
          <cell r="AC81">
            <v>6.1427354999999996E-2</v>
          </cell>
          <cell r="AD81">
            <v>9.1867046000000008E-2</v>
          </cell>
          <cell r="AE81">
            <v>9.5828346999999994E-2</v>
          </cell>
          <cell r="AF81">
            <v>0.148729196107</v>
          </cell>
          <cell r="AG81">
            <v>0.196203987287</v>
          </cell>
          <cell r="AH81">
            <v>0.21328621732799999</v>
          </cell>
          <cell r="AI81">
            <v>0.24372898701599999</v>
          </cell>
          <cell r="AJ81">
            <v>0.28588016612200001</v>
          </cell>
          <cell r="AK81">
            <v>0.32688298205499999</v>
          </cell>
          <cell r="AL81">
            <v>0.33787281900099997</v>
          </cell>
          <cell r="AM81">
            <v>0.27569075459200004</v>
          </cell>
        </row>
        <row r="82">
          <cell r="G82" t="str">
            <v>NA</v>
          </cell>
          <cell r="H82" t="str">
            <v>NA</v>
          </cell>
          <cell r="I82" t="str">
            <v>NA</v>
          </cell>
          <cell r="J82" t="str">
            <v>NA</v>
          </cell>
          <cell r="K82" t="str">
            <v>NA</v>
          </cell>
          <cell r="L82" t="str">
            <v>NA</v>
          </cell>
          <cell r="M82" t="str">
            <v>NA</v>
          </cell>
          <cell r="N82" t="str">
            <v>NA</v>
          </cell>
          <cell r="O82" t="str">
            <v>NA</v>
          </cell>
          <cell r="P82" t="str">
            <v>NA</v>
          </cell>
          <cell r="Q82" t="str">
            <v>NA</v>
          </cell>
          <cell r="R82" t="str">
            <v>NA</v>
          </cell>
          <cell r="S82" t="str">
            <v>NA</v>
          </cell>
          <cell r="T82" t="str">
            <v>NA</v>
          </cell>
          <cell r="U82" t="str">
            <v>NA</v>
          </cell>
          <cell r="V82" t="str">
            <v>NA</v>
          </cell>
          <cell r="W82" t="str">
            <v>NA</v>
          </cell>
          <cell r="X82" t="str">
            <v>NA</v>
          </cell>
          <cell r="Y82" t="str">
            <v>NA</v>
          </cell>
          <cell r="Z82" t="str">
            <v>NA</v>
          </cell>
          <cell r="AA82">
            <v>1.19327E-3</v>
          </cell>
          <cell r="AB82">
            <v>2.9918850000000001E-3</v>
          </cell>
          <cell r="AC82">
            <v>8.6229000000000004E-4</v>
          </cell>
          <cell r="AD82">
            <v>-7.4034999999999997E-4</v>
          </cell>
          <cell r="AE82">
            <v>-1.1018149999999999E-3</v>
          </cell>
          <cell r="AF82">
            <v>-1.223755E-3</v>
          </cell>
          <cell r="AG82">
            <v>7.7519000000000004E-4</v>
          </cell>
          <cell r="AH82">
            <v>1.2194E-3</v>
          </cell>
          <cell r="AI82">
            <v>-8.3615999999999996E-4</v>
          </cell>
          <cell r="AJ82">
            <v>1.08875E-4</v>
          </cell>
          <cell r="AK82">
            <v>-3.1356E-4</v>
          </cell>
          <cell r="AL82">
            <v>-6.0970000000000002E-4</v>
          </cell>
          <cell r="AM82">
            <v>1.2281100000000001E-3</v>
          </cell>
        </row>
        <row r="83">
          <cell r="G83">
            <v>0.6601148596530001</v>
          </cell>
          <cell r="H83">
            <v>0.69305155562499998</v>
          </cell>
          <cell r="I83">
            <v>0.76375796777100002</v>
          </cell>
          <cell r="J83">
            <v>0.70367527673600005</v>
          </cell>
          <cell r="K83">
            <v>0.79179577193899997</v>
          </cell>
          <cell r="L83">
            <v>0.793675468923</v>
          </cell>
          <cell r="M83">
            <v>0.76783965493200002</v>
          </cell>
          <cell r="N83">
            <v>0.7624800878889999</v>
          </cell>
          <cell r="O83">
            <v>0.74316578359300001</v>
          </cell>
          <cell r="P83">
            <v>0.77399313674400005</v>
          </cell>
          <cell r="Q83">
            <v>0.70276099492699995</v>
          </cell>
          <cell r="R83">
            <v>0.62300255335499999</v>
          </cell>
          <cell r="S83">
            <v>0.72981515376499995</v>
          </cell>
          <cell r="T83">
            <v>0.64949683994700003</v>
          </cell>
          <cell r="U83">
            <v>0.75173346462400004</v>
          </cell>
          <cell r="V83">
            <v>0.70878074616599995</v>
          </cell>
          <cell r="W83">
            <v>0.73097631237400007</v>
          </cell>
          <cell r="X83">
            <v>0.75079367336099989</v>
          </cell>
          <cell r="Y83">
            <v>0.54694389855300007</v>
          </cell>
          <cell r="Z83">
            <v>0.53702415846199991</v>
          </cell>
          <cell r="AA83">
            <v>0.51952315970899998</v>
          </cell>
          <cell r="AB83">
            <v>0.55397639200799997</v>
          </cell>
          <cell r="AC83">
            <v>0.67673439095400001</v>
          </cell>
          <cell r="AD83">
            <v>0.73674886480000001</v>
          </cell>
          <cell r="AE83">
            <v>0.56159677744199998</v>
          </cell>
          <cell r="AF83">
            <v>0.60863429416400006</v>
          </cell>
          <cell r="AG83">
            <v>0.57937819393799994</v>
          </cell>
          <cell r="AH83">
            <v>0.52673179562200001</v>
          </cell>
          <cell r="AI83">
            <v>0.54958037333699994</v>
          </cell>
          <cell r="AJ83">
            <v>0.45896495218099997</v>
          </cell>
          <cell r="AK83">
            <v>0.45364904067299999</v>
          </cell>
          <cell r="AL83">
            <v>0.45099192639699998</v>
          </cell>
          <cell r="AM83">
            <v>0.453620034427</v>
          </cell>
        </row>
        <row r="84">
          <cell r="G84">
            <v>0.14723332</v>
          </cell>
          <cell r="H84">
            <v>0.17457303500000002</v>
          </cell>
          <cell r="I84">
            <v>0.190791250001</v>
          </cell>
          <cell r="J84">
            <v>0.18672998499999999</v>
          </cell>
          <cell r="K84">
            <v>0.199262764999</v>
          </cell>
          <cell r="L84">
            <v>0.21997943500100001</v>
          </cell>
          <cell r="M84">
            <v>0.22068507500000001</v>
          </cell>
          <cell r="N84">
            <v>0.28716863499900003</v>
          </cell>
          <cell r="O84">
            <v>0.26637142999999996</v>
          </cell>
          <cell r="P84">
            <v>0.29120688999900002</v>
          </cell>
          <cell r="Q84">
            <v>0.31454670000000001</v>
          </cell>
          <cell r="R84">
            <v>0.29396425500000001</v>
          </cell>
          <cell r="S84">
            <v>0.32614757500000002</v>
          </cell>
          <cell r="T84">
            <v>0.33272076499999997</v>
          </cell>
          <cell r="U84">
            <v>0.35767127499999996</v>
          </cell>
          <cell r="V84">
            <v>0.34077426500000002</v>
          </cell>
          <cell r="W84">
            <v>0.37465649000000001</v>
          </cell>
          <cell r="X84">
            <v>0.35206833999999998</v>
          </cell>
          <cell r="Y84">
            <v>0.32331734499999998</v>
          </cell>
          <cell r="Z84">
            <v>0.37386648</v>
          </cell>
          <cell r="AA84">
            <v>0.42753730499999998</v>
          </cell>
          <cell r="AB84">
            <v>0.433980105</v>
          </cell>
          <cell r="AC84">
            <v>0.43244994000000003</v>
          </cell>
          <cell r="AD84">
            <v>0.428588095</v>
          </cell>
          <cell r="AE84">
            <v>0.41651934999999995</v>
          </cell>
          <cell r="AF84">
            <v>0.41335163999999996</v>
          </cell>
          <cell r="AG84">
            <v>0.42310020999999998</v>
          </cell>
          <cell r="AH84">
            <v>0.43199741000000003</v>
          </cell>
          <cell r="AI84">
            <v>0.43562531999999998</v>
          </cell>
          <cell r="AJ84">
            <v>0.41779640499999998</v>
          </cell>
          <cell r="AK84">
            <v>0.38955162999999998</v>
          </cell>
          <cell r="AL84">
            <v>0.42744143000000001</v>
          </cell>
          <cell r="AM84">
            <v>0.38649513499999999</v>
          </cell>
        </row>
      </sheetData>
      <sheetData sheetId="1"/>
      <sheetData sheetId="2"/>
      <sheetData sheetId="3">
        <row r="9">
          <cell r="E9">
            <v>305.91000000000003</v>
          </cell>
          <cell r="F9">
            <v>301.05199999999996</v>
          </cell>
          <cell r="G9">
            <v>318.92266666666666</v>
          </cell>
          <cell r="H9">
            <v>335.81333333333333</v>
          </cell>
          <cell r="I9">
            <v>353.976</v>
          </cell>
          <cell r="J9">
            <v>371.00375000000003</v>
          </cell>
          <cell r="K9">
            <v>388.71949999999998</v>
          </cell>
          <cell r="L9">
            <v>406.43525000000005</v>
          </cell>
          <cell r="M9">
            <v>426.62899999999996</v>
          </cell>
          <cell r="N9">
            <v>413.51300000000003</v>
          </cell>
          <cell r="O9">
            <v>401.67900000000003</v>
          </cell>
          <cell r="P9">
            <v>391.79174999999998</v>
          </cell>
          <cell r="Q9">
            <v>380.73</v>
          </cell>
          <cell r="R9">
            <v>345.28025000000002</v>
          </cell>
          <cell r="S9">
            <v>306.55949999999996</v>
          </cell>
          <cell r="T9">
            <v>270.36975000000001</v>
          </cell>
          <cell r="U9">
            <v>233.35599999999999</v>
          </cell>
          <cell r="V9">
            <v>252.64199999999997</v>
          </cell>
          <cell r="W9">
            <v>272.15499999999997</v>
          </cell>
          <cell r="X9">
            <v>291.10000000000002</v>
          </cell>
          <cell r="Y9">
            <v>309.96899999999999</v>
          </cell>
          <cell r="Z9">
            <v>314.0095</v>
          </cell>
          <cell r="AA9">
            <v>319.28750000000002</v>
          </cell>
          <cell r="AB9">
            <v>324.59100000000001</v>
          </cell>
          <cell r="AC9">
            <v>330.56</v>
          </cell>
          <cell r="AD9">
            <v>431.80800000000005</v>
          </cell>
          <cell r="AE9">
            <v>531.96799999999996</v>
          </cell>
          <cell r="AF9">
            <v>631.10400000000004</v>
          </cell>
          <cell r="AG9">
            <v>730.75199999999995</v>
          </cell>
          <cell r="AH9">
            <v>732.16000000000008</v>
          </cell>
          <cell r="AI9">
            <v>731.45600000000002</v>
          </cell>
          <cell r="AJ9">
            <v>731.45600000000002</v>
          </cell>
          <cell r="AK9">
            <v>729.34399999999994</v>
          </cell>
        </row>
        <row r="11">
          <cell r="E11">
            <v>1302.2437395617837</v>
          </cell>
          <cell r="F11">
            <v>1438.9519744085785</v>
          </cell>
          <cell r="G11">
            <v>1525.5564260453011</v>
          </cell>
          <cell r="H11">
            <v>1465.8131042330449</v>
          </cell>
          <cell r="I11">
            <v>1684.9977291137209</v>
          </cell>
          <cell r="J11">
            <v>1651.6164700966506</v>
          </cell>
          <cell r="K11">
            <v>1744.7919269481797</v>
          </cell>
          <cell r="L11">
            <v>1802.9688194746766</v>
          </cell>
          <cell r="M11">
            <v>1717.4645571841068</v>
          </cell>
          <cell r="N11">
            <v>2001.4533227973809</v>
          </cell>
          <cell r="O11">
            <v>1759.2793713654823</v>
          </cell>
          <cell r="P11">
            <v>1642.346635941163</v>
          </cell>
          <cell r="Q11">
            <v>1766.2851168840132</v>
          </cell>
          <cell r="R11">
            <v>1701.5741023453579</v>
          </cell>
          <cell r="S11">
            <v>1768.5116121665342</v>
          </cell>
          <cell r="T11">
            <v>1659.4772978420046</v>
          </cell>
          <cell r="U11">
            <v>1734.577676057304</v>
          </cell>
          <cell r="V11">
            <v>1726.7322472178485</v>
          </cell>
          <cell r="W11">
            <v>1596.5822523901313</v>
          </cell>
          <cell r="X11">
            <v>1747.9982040749719</v>
          </cell>
          <cell r="Y11">
            <v>1899.8664338264293</v>
          </cell>
          <cell r="Z11">
            <v>1954.4033134040958</v>
          </cell>
          <cell r="AA11">
            <v>1983.6587699593242</v>
          </cell>
          <cell r="AB11">
            <v>2155.1857299178482</v>
          </cell>
          <cell r="AC11">
            <v>2142.7536628346425</v>
          </cell>
          <cell r="AD11">
            <v>2216.7559784923624</v>
          </cell>
          <cell r="AE11">
            <v>2257.1477836390804</v>
          </cell>
          <cell r="AF11">
            <v>2329.7316554651738</v>
          </cell>
          <cell r="AG11">
            <v>2677.441123751451</v>
          </cell>
          <cell r="AH11">
            <v>2758.7677783638755</v>
          </cell>
          <cell r="AI11">
            <v>2884.5017990910087</v>
          </cell>
          <cell r="AJ11">
            <v>3043.8864109986448</v>
          </cell>
          <cell r="AK11">
            <v>3251.2724321913706</v>
          </cell>
        </row>
        <row r="13">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6">
          <cell r="E16">
            <v>36.726000000000091</v>
          </cell>
          <cell r="F16">
            <v>40.632000000000005</v>
          </cell>
          <cell r="G16">
            <v>28.54200000000003</v>
          </cell>
          <cell r="H16">
            <v>45.630000000000088</v>
          </cell>
          <cell r="I16">
            <v>35.37000000000004</v>
          </cell>
          <cell r="J16">
            <v>47.903999999999805</v>
          </cell>
          <cell r="K16">
            <v>2.159999999999985</v>
          </cell>
          <cell r="L16">
            <v>12.113999999999985</v>
          </cell>
          <cell r="M16">
            <v>6.2039999999999154</v>
          </cell>
          <cell r="N16">
            <v>23.022000000000041</v>
          </cell>
          <cell r="O16">
            <v>16.980000000000114</v>
          </cell>
          <cell r="P16">
            <v>49.265999999999934</v>
          </cell>
          <cell r="Q16">
            <v>61.722000000000023</v>
          </cell>
          <cell r="R16">
            <v>59.015999999999899</v>
          </cell>
          <cell r="S16">
            <v>62.856000000000094</v>
          </cell>
          <cell r="T16">
            <v>67.668000000000077</v>
          </cell>
          <cell r="U16">
            <v>57.209999999999781</v>
          </cell>
          <cell r="V16">
            <v>44.219999999999949</v>
          </cell>
          <cell r="W16">
            <v>47.334000000000017</v>
          </cell>
          <cell r="X16">
            <v>133.87199999999984</v>
          </cell>
          <cell r="Y16">
            <v>147.77069312812213</v>
          </cell>
          <cell r="Z16">
            <v>163.56713999999999</v>
          </cell>
          <cell r="AA16">
            <v>160.61969674331783</v>
          </cell>
          <cell r="AB16">
            <v>166.74568875089008</v>
          </cell>
          <cell r="AC16">
            <v>164.53817096807006</v>
          </cell>
          <cell r="AD16">
            <v>162.16079406339975</v>
          </cell>
          <cell r="AE16">
            <v>166.11115754857593</v>
          </cell>
          <cell r="AF16">
            <v>163.84636925723936</v>
          </cell>
          <cell r="AG16">
            <v>166.88300781108319</v>
          </cell>
          <cell r="AH16">
            <v>158.73823037830232</v>
          </cell>
          <cell r="AI16">
            <v>145.41697993710437</v>
          </cell>
          <cell r="AJ16">
            <v>152.81268515053802</v>
          </cell>
          <cell r="AK16">
            <v>157.07933803502155</v>
          </cell>
        </row>
        <row r="17">
          <cell r="E17">
            <v>123.06334817514723</v>
          </cell>
          <cell r="F17">
            <v>105.06134051999996</v>
          </cell>
          <cell r="G17">
            <v>171.01352964211358</v>
          </cell>
          <cell r="H17">
            <v>110.67020975747928</v>
          </cell>
          <cell r="I17">
            <v>128.28867635803448</v>
          </cell>
          <cell r="J17">
            <v>120.61074349815493</v>
          </cell>
          <cell r="K17">
            <v>118.5905869373607</v>
          </cell>
          <cell r="L17">
            <v>87.499823858914766</v>
          </cell>
          <cell r="M17">
            <v>150.76418520000007</v>
          </cell>
          <cell r="N17">
            <v>215.9866516206726</v>
          </cell>
          <cell r="O17">
            <v>98.722771036562733</v>
          </cell>
          <cell r="P17">
            <v>174.28643426774994</v>
          </cell>
          <cell r="Q17">
            <v>145.81051577183675</v>
          </cell>
          <cell r="R17">
            <v>122.83683504646952</v>
          </cell>
          <cell r="S17">
            <v>218.28935787510309</v>
          </cell>
          <cell r="T17">
            <v>186.94181868530003</v>
          </cell>
          <cell r="U17">
            <v>213.5899839965642</v>
          </cell>
          <cell r="V17">
            <v>201.1547269133589</v>
          </cell>
          <cell r="W17">
            <v>225.10882087824848</v>
          </cell>
          <cell r="X17">
            <v>180.6926152492947</v>
          </cell>
          <cell r="Y17">
            <v>60.951921357330654</v>
          </cell>
          <cell r="Z17">
            <v>62.405128262155976</v>
          </cell>
          <cell r="AA17">
            <v>67.791519103521011</v>
          </cell>
          <cell r="AB17">
            <v>62.404493328103698</v>
          </cell>
          <cell r="AC17">
            <v>61.364894639841161</v>
          </cell>
          <cell r="AD17">
            <v>62.521109549038684</v>
          </cell>
          <cell r="AE17">
            <v>61.243543376467009</v>
          </cell>
          <cell r="AF17">
            <v>57.021734077578316</v>
          </cell>
          <cell r="AG17">
            <v>58.860714737658327</v>
          </cell>
          <cell r="AH17">
            <v>56.436748170746554</v>
          </cell>
          <cell r="AI17">
            <v>46.243725640923849</v>
          </cell>
          <cell r="AJ17">
            <v>48.061544731836854</v>
          </cell>
          <cell r="AK17">
            <v>44.971532344085873</v>
          </cell>
        </row>
        <row r="20">
          <cell r="E20">
            <v>7.0441517976514909</v>
          </cell>
          <cell r="F20">
            <v>7.0831999999999997</v>
          </cell>
          <cell r="G20">
            <v>7.003591666666666</v>
          </cell>
          <cell r="H20">
            <v>6.9239833333333332</v>
          </cell>
          <cell r="I20">
            <v>6.8443749999999994</v>
          </cell>
          <cell r="J20">
            <v>8.045781250000001</v>
          </cell>
          <cell r="K20">
            <v>9.2471875000000008</v>
          </cell>
          <cell r="L20">
            <v>10.448593750000002</v>
          </cell>
          <cell r="M20">
            <v>11.65</v>
          </cell>
          <cell r="N20">
            <v>11.65</v>
          </cell>
          <cell r="O20">
            <v>11.65</v>
          </cell>
          <cell r="P20">
            <v>11.65</v>
          </cell>
          <cell r="Q20">
            <v>11.65</v>
          </cell>
          <cell r="R20">
            <v>13.106249999999999</v>
          </cell>
          <cell r="S20">
            <v>14.5625</v>
          </cell>
          <cell r="T20">
            <v>16.018749999999997</v>
          </cell>
          <cell r="U20">
            <v>17.475000000000001</v>
          </cell>
          <cell r="V20">
            <v>14.5625</v>
          </cell>
          <cell r="W20">
            <v>11.65</v>
          </cell>
          <cell r="X20">
            <v>8.7375000000000007</v>
          </cell>
          <cell r="Y20">
            <v>5.8250000000000002</v>
          </cell>
          <cell r="Z20">
            <v>5.8250000000000002</v>
          </cell>
          <cell r="AA20">
            <v>5.8250000000000002</v>
          </cell>
          <cell r="AB20">
            <v>5.8250000000000002</v>
          </cell>
          <cell r="AC20">
            <v>5.8250000000000002</v>
          </cell>
          <cell r="AD20">
            <v>5.8250000000000002</v>
          </cell>
          <cell r="AE20">
            <v>5.8250000000000002</v>
          </cell>
          <cell r="AF20">
            <v>5.8250000000000002</v>
          </cell>
          <cell r="AG20">
            <v>5.8250000000000002</v>
          </cell>
          <cell r="AH20">
            <v>5.8250000000000002</v>
          </cell>
          <cell r="AI20">
            <v>5.8250000000000002</v>
          </cell>
          <cell r="AJ20">
            <v>5.8250000000000002</v>
          </cell>
          <cell r="AK20">
            <v>5.8250000000000002</v>
          </cell>
        </row>
        <row r="21">
          <cell r="E21">
            <v>47.297065711824445</v>
          </cell>
          <cell r="F21">
            <v>63.008313999999999</v>
          </cell>
          <cell r="G21">
            <v>58.858893999999999</v>
          </cell>
          <cell r="H21">
            <v>54.709474</v>
          </cell>
          <cell r="I21">
            <v>50.560053999999994</v>
          </cell>
          <cell r="J21">
            <v>52.065790499999991</v>
          </cell>
          <cell r="K21">
            <v>53.571526999999996</v>
          </cell>
          <cell r="L21">
            <v>55.077263499999994</v>
          </cell>
          <cell r="M21">
            <v>56.582999999999998</v>
          </cell>
          <cell r="N21">
            <v>53.439500000000002</v>
          </cell>
          <cell r="O21">
            <v>50.295999999999999</v>
          </cell>
          <cell r="P21">
            <v>47.152500000000003</v>
          </cell>
          <cell r="Q21">
            <v>44.009</v>
          </cell>
          <cell r="R21">
            <v>48.724249999999998</v>
          </cell>
          <cell r="S21">
            <v>53.439500000000002</v>
          </cell>
          <cell r="T21">
            <v>58.15475</v>
          </cell>
          <cell r="U21">
            <v>62.87</v>
          </cell>
          <cell r="V21">
            <v>70.728750000000005</v>
          </cell>
          <cell r="W21">
            <v>78.587500000000006</v>
          </cell>
          <cell r="X21">
            <v>86.446250000000006</v>
          </cell>
          <cell r="Y21">
            <v>94.305000000000007</v>
          </cell>
          <cell r="Z21">
            <v>84.874500000000012</v>
          </cell>
          <cell r="AA21">
            <v>75.444000000000003</v>
          </cell>
          <cell r="AB21">
            <v>66.013500000000008</v>
          </cell>
          <cell r="AC21">
            <v>56.582999999999998</v>
          </cell>
          <cell r="AD21">
            <v>53.439500000000002</v>
          </cell>
          <cell r="AE21">
            <v>50.295999999999999</v>
          </cell>
          <cell r="AF21">
            <v>47.152500000000003</v>
          </cell>
          <cell r="AG21">
            <v>44.009</v>
          </cell>
          <cell r="AH21">
            <v>44.009</v>
          </cell>
          <cell r="AI21">
            <v>44.009</v>
          </cell>
          <cell r="AJ21">
            <v>44.009</v>
          </cell>
          <cell r="AK21">
            <v>44.009</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Summary"/>
      <sheetName val="EIA Adjust"/>
      <sheetName val="Trans"/>
      <sheetName val="SEDS data"/>
      <sheetName val="SEDS key"/>
      <sheetName val="pivot"/>
      <sheetName val="Mo Gas Adjustment"/>
      <sheetName val="EIA compare"/>
      <sheetName val="FOKS Adjust"/>
      <sheetName val="FOKS"/>
      <sheetName val="Sales"/>
      <sheetName val="supp"/>
    </sheetNames>
    <sheetDataSet>
      <sheetData sheetId="0" refreshError="1"/>
      <sheetData sheetId="1">
        <row r="7">
          <cell r="B7">
            <v>959.16154043954384</v>
          </cell>
          <cell r="C7">
            <v>930.97471590967007</v>
          </cell>
          <cell r="D7">
            <v>931.40955508891352</v>
          </cell>
          <cell r="E7">
            <v>883.26424090759792</v>
          </cell>
          <cell r="F7">
            <v>854.60665989202562</v>
          </cell>
          <cell r="G7">
            <v>789.70185360567677</v>
          </cell>
          <cell r="H7">
            <v>836.88532402277406</v>
          </cell>
          <cell r="I7">
            <v>783.72642899600487</v>
          </cell>
          <cell r="J7">
            <v>672.74211986965486</v>
          </cell>
          <cell r="K7">
            <v>702.39853676825817</v>
          </cell>
          <cell r="L7">
            <v>775.2453985358319</v>
          </cell>
          <cell r="M7">
            <v>839.04168776856193</v>
          </cell>
          <cell r="N7">
            <v>758.27598600589943</v>
          </cell>
          <cell r="O7">
            <v>847.67694716300514</v>
          </cell>
          <cell r="P7">
            <v>873.2335347326574</v>
          </cell>
          <cell r="Q7">
            <v>765.24090513941735</v>
          </cell>
          <cell r="R7">
            <v>673.07179713650589</v>
          </cell>
          <cell r="S7">
            <v>664.48036623739097</v>
          </cell>
          <cell r="T7">
            <v>606.08208830823241</v>
          </cell>
          <cell r="U7">
            <v>544.72014949523475</v>
          </cell>
          <cell r="V7">
            <v>540.9124798329276</v>
          </cell>
          <cell r="W7">
            <v>525.19890370687642</v>
          </cell>
          <cell r="X7">
            <v>431.55097582041327</v>
          </cell>
          <cell r="Y7">
            <v>447.19061533662392</v>
          </cell>
          <cell r="Z7">
            <v>502.57940643086511</v>
          </cell>
          <cell r="AA7">
            <v>487.29495671263209</v>
          </cell>
          <cell r="AB7">
            <v>361.34790733198992</v>
          </cell>
          <cell r="AC7">
            <v>334.53205047663374</v>
          </cell>
          <cell r="AD7">
            <v>440.68872473704488</v>
          </cell>
          <cell r="AE7">
            <v>421.16053400322193</v>
          </cell>
          <cell r="AF7">
            <v>357.81006676248023</v>
          </cell>
          <cell r="AG7">
            <v>381.23634113425965</v>
          </cell>
          <cell r="AH7">
            <v>403.21663013490144</v>
          </cell>
        </row>
        <row r="8">
          <cell r="B8">
            <v>525.43995081801233</v>
          </cell>
          <cell r="C8">
            <v>517.70494422742649</v>
          </cell>
          <cell r="D8">
            <v>481.71058348560973</v>
          </cell>
          <cell r="E8">
            <v>447.19717596306373</v>
          </cell>
          <cell r="F8">
            <v>446.03916165181835</v>
          </cell>
          <cell r="G8">
            <v>417.98562278373203</v>
          </cell>
          <cell r="H8">
            <v>436.44150402945979</v>
          </cell>
          <cell r="I8">
            <v>397.77238150633514</v>
          </cell>
          <cell r="J8">
            <v>373.75037205267205</v>
          </cell>
          <cell r="K8">
            <v>372.04137646381236</v>
          </cell>
          <cell r="L8">
            <v>420.66424864464409</v>
          </cell>
          <cell r="M8">
            <v>469.58701469237423</v>
          </cell>
          <cell r="N8">
            <v>391.63175094660932</v>
          </cell>
          <cell r="O8">
            <v>451.12756086985428</v>
          </cell>
          <cell r="P8">
            <v>444.57987796530313</v>
          </cell>
          <cell r="Q8">
            <v>400.8967257607481</v>
          </cell>
          <cell r="R8">
            <v>379.25393664619156</v>
          </cell>
          <cell r="S8">
            <v>351.34729659850325</v>
          </cell>
          <cell r="T8">
            <v>310.31916366685192</v>
          </cell>
          <cell r="U8">
            <v>369.69415191195827</v>
          </cell>
          <cell r="V8">
            <v>376.84173758227683</v>
          </cell>
          <cell r="W8">
            <v>393.32267709810907</v>
          </cell>
          <cell r="X8">
            <v>317.76859578251867</v>
          </cell>
          <cell r="Y8">
            <v>312.60620898365926</v>
          </cell>
          <cell r="Z8">
            <v>336.18226738868799</v>
          </cell>
          <cell r="AA8">
            <v>318.20990158373081</v>
          </cell>
          <cell r="AB8">
            <v>271.09903494247459</v>
          </cell>
          <cell r="AC8">
            <v>249.67562320316469</v>
          </cell>
          <cell r="AD8">
            <v>280.49274187314353</v>
          </cell>
          <cell r="AE8">
            <v>292.86392135374274</v>
          </cell>
          <cell r="AF8">
            <v>242.11412010551922</v>
          </cell>
          <cell r="AG8">
            <v>264.13927112458236</v>
          </cell>
          <cell r="AH8">
            <v>279.36831163385483</v>
          </cell>
        </row>
        <row r="9">
          <cell r="B9">
            <v>1128.1754593376818</v>
          </cell>
          <cell r="C9">
            <v>1078.6351047438552</v>
          </cell>
          <cell r="D9">
            <v>1052.5402774969054</v>
          </cell>
          <cell r="E9">
            <v>1013.0051813436233</v>
          </cell>
          <cell r="F9">
            <v>988.7910040513932</v>
          </cell>
          <cell r="G9">
            <v>987.17558253916206</v>
          </cell>
          <cell r="H9">
            <v>1072.6481290906233</v>
          </cell>
          <cell r="I9">
            <v>1078.2446948548034</v>
          </cell>
          <cell r="J9">
            <v>1055.8275051014828</v>
          </cell>
          <cell r="K9">
            <v>1007.3661504584055</v>
          </cell>
          <cell r="L9">
            <v>1028.4740283613662</v>
          </cell>
          <cell r="M9">
            <v>1200.7142796819182</v>
          </cell>
          <cell r="N9">
            <v>1062.0713880474918</v>
          </cell>
          <cell r="O9">
            <v>1064.7068562528545</v>
          </cell>
          <cell r="P9">
            <v>1147.960850397277</v>
          </cell>
          <cell r="Q9">
            <v>1131.988913147454</v>
          </cell>
          <cell r="R9">
            <v>1193.6619209792075</v>
          </cell>
          <cell r="S9">
            <v>1157.5750443069637</v>
          </cell>
          <cell r="T9">
            <v>1089.6979335005101</v>
          </cell>
          <cell r="U9">
            <v>1004.2472510229262</v>
          </cell>
          <cell r="V9">
            <v>1111.0427995191997</v>
          </cell>
          <cell r="W9">
            <v>1241.9326858672785</v>
          </cell>
          <cell r="X9">
            <v>1137.6180148821848</v>
          </cell>
          <cell r="Y9">
            <v>1152.3585623832871</v>
          </cell>
          <cell r="Z9">
            <v>1288.0893942017292</v>
          </cell>
          <cell r="AA9">
            <v>1033.9685070103872</v>
          </cell>
          <cell r="AB9">
            <v>961.69657226312893</v>
          </cell>
          <cell r="AC9">
            <v>932.54254941044144</v>
          </cell>
          <cell r="AD9">
            <v>1088.4290164991201</v>
          </cell>
          <cell r="AE9">
            <v>1079.2785178608356</v>
          </cell>
          <cell r="AF9">
            <v>935.92263651135227</v>
          </cell>
          <cell r="AG9">
            <v>954.22705767853574</v>
          </cell>
          <cell r="AH9">
            <v>1009.2410686756436</v>
          </cell>
        </row>
        <row r="10">
          <cell r="B10">
            <v>3712.8010494047617</v>
          </cell>
          <cell r="C10">
            <v>3598.9672351190479</v>
          </cell>
          <cell r="D10">
            <v>3811.6465839285711</v>
          </cell>
          <cell r="E10">
            <v>4036.036401785715</v>
          </cell>
          <cell r="F10">
            <v>4308.1451744047627</v>
          </cell>
          <cell r="G10">
            <v>4508.9989410714297</v>
          </cell>
          <cell r="H10">
            <v>4713.094042857143</v>
          </cell>
          <cell r="I10">
            <v>4927.6624946428565</v>
          </cell>
          <cell r="J10">
            <v>5113.9790029761907</v>
          </cell>
          <cell r="K10">
            <v>5364.8889363095241</v>
          </cell>
          <cell r="L10">
            <v>5528.261324458158</v>
          </cell>
          <cell r="M10">
            <v>5489.3510178571441</v>
          </cell>
          <cell r="N10">
            <v>5678.4138750000002</v>
          </cell>
          <cell r="O10">
            <v>5814.7696357142859</v>
          </cell>
          <cell r="P10">
            <v>6061.2517369047628</v>
          </cell>
          <cell r="Q10">
            <v>6320.699455952381</v>
          </cell>
          <cell r="R10">
            <v>6477.9353452380956</v>
          </cell>
          <cell r="S10">
            <v>6551.0562928571426</v>
          </cell>
          <cell r="T10">
            <v>6229.1028145244054</v>
          </cell>
          <cell r="U10">
            <v>5605.7221304398809</v>
          </cell>
          <cell r="V10">
            <v>5857.5844457255953</v>
          </cell>
          <cell r="W10">
            <v>5875.2594188077364</v>
          </cell>
          <cell r="X10">
            <v>5843.1484955148835</v>
          </cell>
          <cell r="Y10">
            <v>5870.6860832964303</v>
          </cell>
          <cell r="Z10">
            <v>6073.8520259787183</v>
          </cell>
          <cell r="AA10">
            <v>6268.1546686932488</v>
          </cell>
          <cell r="AB10">
            <v>6221.6073754624076</v>
          </cell>
          <cell r="AC10">
            <v>6409.1572999197597</v>
          </cell>
          <cell r="AD10">
            <v>6562.291516890692</v>
          </cell>
          <cell r="AE10">
            <v>6529.2837587821996</v>
          </cell>
          <cell r="AF10">
            <v>6140.774506620648</v>
          </cell>
          <cell r="AG10">
            <v>6584.0781120626216</v>
          </cell>
          <cell r="AH10">
            <v>6582.6595535556016</v>
          </cell>
        </row>
        <row r="31">
          <cell r="B31">
            <v>0.15296050764305841</v>
          </cell>
          <cell r="C31">
            <v>0.16145118917117388</v>
          </cell>
          <cell r="D31">
            <v>0.10130830423941403</v>
          </cell>
          <cell r="E31">
            <v>4.0827714185755995E-2</v>
          </cell>
          <cell r="F31">
            <v>3.2102181585899857E-2</v>
          </cell>
          <cell r="G31">
            <v>3.3511290654078138E-2</v>
          </cell>
          <cell r="H31">
            <v>4.221763531357977E-2</v>
          </cell>
          <cell r="I31">
            <v>5.8145463626014311E-2</v>
          </cell>
          <cell r="J31">
            <v>5.8129635304776828E-2</v>
          </cell>
          <cell r="K31">
            <v>2.7655017047930101E-2</v>
          </cell>
          <cell r="L31">
            <v>7.4094276022359934E-2</v>
          </cell>
          <cell r="M31">
            <v>4.8024075031754612E-2</v>
          </cell>
          <cell r="N31">
            <v>6.5907510475913894E-2</v>
          </cell>
          <cell r="O31">
            <v>8.4871129711039023E-2</v>
          </cell>
          <cell r="P31">
            <v>6.815548109252012E-2</v>
          </cell>
          <cell r="Q31">
            <v>8.8571079935514066E-2</v>
          </cell>
          <cell r="R31">
            <v>0.11907375477160655</v>
          </cell>
          <cell r="S31">
            <v>0.17005901403533216</v>
          </cell>
          <cell r="T31">
            <v>0.13513574602883136</v>
          </cell>
          <cell r="U31">
            <v>0.13863648566484724</v>
          </cell>
          <cell r="V31">
            <v>0.1117659672492721</v>
          </cell>
          <cell r="W31">
            <v>7.8957471033379467E-2</v>
          </cell>
          <cell r="X31">
            <v>6.6110863380946253E-2</v>
          </cell>
          <cell r="Y31">
            <v>9.2061153159495909E-2</v>
          </cell>
          <cell r="Z31">
            <v>5.2706364466475024E-2</v>
          </cell>
          <cell r="AA31">
            <v>0.46855321482961898</v>
          </cell>
          <cell r="AB31">
            <v>0.41080241284840374</v>
          </cell>
          <cell r="AC31">
            <v>0.40366216413380446</v>
          </cell>
          <cell r="AD31">
            <v>0.27954407002190312</v>
          </cell>
          <cell r="AE31">
            <v>0.33610215682519934</v>
          </cell>
          <cell r="AF31">
            <v>0.33289595857229903</v>
          </cell>
          <cell r="AG31">
            <v>0.31350465626967228</v>
          </cell>
          <cell r="AH31">
            <v>0.22998565238476884</v>
          </cell>
        </row>
        <row r="32">
          <cell r="B32">
            <v>0.25477987474583769</v>
          </cell>
          <cell r="C32">
            <v>0.36690623952794654</v>
          </cell>
          <cell r="D32">
            <v>0.24726111013930699</v>
          </cell>
          <cell r="E32">
            <v>0.24774678732727479</v>
          </cell>
          <cell r="F32">
            <v>0.24508213908625573</v>
          </cell>
          <cell r="G32">
            <v>0.37045284458653011</v>
          </cell>
          <cell r="H32">
            <v>0.31806057842633406</v>
          </cell>
          <cell r="I32">
            <v>0.28824879807351356</v>
          </cell>
          <cell r="J32">
            <v>0.29748128442811611</v>
          </cell>
          <cell r="K32">
            <v>0.14760023743863498</v>
          </cell>
          <cell r="L32">
            <v>0.24990433044879914</v>
          </cell>
          <cell r="M32">
            <v>0.37851501245829439</v>
          </cell>
          <cell r="N32">
            <v>0.45140430653437419</v>
          </cell>
          <cell r="O32">
            <v>0.45909323254515477</v>
          </cell>
          <cell r="P32">
            <v>0.56757382359701347</v>
          </cell>
          <cell r="Q32">
            <v>0.68947242905420048</v>
          </cell>
          <cell r="R32">
            <v>0.92069404499461072</v>
          </cell>
          <cell r="S32">
            <v>0.85069234786283854</v>
          </cell>
          <cell r="T32">
            <v>0.73835845325676741</v>
          </cell>
          <cell r="U32">
            <v>0.63550066694660479</v>
          </cell>
          <cell r="V32">
            <v>0.55973983247556158</v>
          </cell>
          <cell r="W32">
            <v>0.45591850589696292</v>
          </cell>
          <cell r="X32">
            <v>0.43215795489207592</v>
          </cell>
          <cell r="Y32">
            <v>0.60617213673969328</v>
          </cell>
          <cell r="Z32">
            <v>0.2056454428057698</v>
          </cell>
          <cell r="AA32">
            <v>0.32137593394893571</v>
          </cell>
          <cell r="AB32">
            <v>0.28724977837765575</v>
          </cell>
          <cell r="AC32">
            <v>0.29573138720077768</v>
          </cell>
          <cell r="AD32">
            <v>0.20556170090472864</v>
          </cell>
          <cell r="AE32">
            <v>0.24274768433861654</v>
          </cell>
          <cell r="AF32">
            <v>0.24127304953178136</v>
          </cell>
          <cell r="AG32">
            <v>0.22117809769037061</v>
          </cell>
          <cell r="AH32">
            <v>0.16225532059511202</v>
          </cell>
        </row>
        <row r="33">
          <cell r="B33">
            <v>13.464072617611103</v>
          </cell>
          <cell r="C33">
            <v>13.252593571300881</v>
          </cell>
          <cell r="D33">
            <v>13.623953585621285</v>
          </cell>
          <cell r="E33">
            <v>13.850228440006967</v>
          </cell>
          <cell r="F33">
            <v>14.079756850747843</v>
          </cell>
          <cell r="G33">
            <v>14.273068528259389</v>
          </cell>
          <cell r="H33">
            <v>14.604797133100085</v>
          </cell>
          <cell r="I33">
            <v>14.777650308020474</v>
          </cell>
          <cell r="J33">
            <v>15.200709591607108</v>
          </cell>
          <cell r="K33">
            <v>15.710173138693436</v>
          </cell>
          <cell r="L33">
            <v>15.66299358458884</v>
          </cell>
          <cell r="M33">
            <v>15.770776062349951</v>
          </cell>
          <cell r="N33">
            <v>16.096715064669709</v>
          </cell>
          <cell r="O33">
            <v>16.165098151903806</v>
          </cell>
          <cell r="P33">
            <v>16.379467468550462</v>
          </cell>
          <cell r="Q33">
            <v>16.235680666590284</v>
          </cell>
          <cell r="R33">
            <v>16.007419273553786</v>
          </cell>
          <cell r="S33">
            <v>15.823800021241826</v>
          </cell>
          <cell r="T33">
            <v>15.105259799574403</v>
          </cell>
          <cell r="U33">
            <v>15.030395847388544</v>
          </cell>
          <cell r="V33">
            <v>14.898785200275166</v>
          </cell>
          <cell r="W33">
            <v>14.575527023069657</v>
          </cell>
          <cell r="X33">
            <v>14.523338181726977</v>
          </cell>
          <cell r="Y33">
            <v>14.542048710100808</v>
          </cell>
          <cell r="Z33">
            <v>15.103007192727755</v>
          </cell>
          <cell r="AA33">
            <v>14.998501851221452</v>
          </cell>
          <cell r="AB33">
            <v>15.352875808773939</v>
          </cell>
          <cell r="AC33">
            <v>15.302831448665419</v>
          </cell>
          <cell r="AD33">
            <v>15.527534229073368</v>
          </cell>
          <cell r="AE33">
            <v>15.381106158836184</v>
          </cell>
          <cell r="AF33">
            <v>13.259550991895921</v>
          </cell>
          <cell r="AG33">
            <v>14.559903246039957</v>
          </cell>
          <cell r="AH33">
            <v>14.680707027020116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TOC"/>
      <sheetName val="CRF Reporter Input"/>
      <sheetName val="InvDB"/>
      <sheetName val="InvDB-Old"/>
      <sheetName val="Summary"/>
      <sheetName val="Aviation Emissions"/>
      <sheetName val="Marine Emissions"/>
      <sheetName val="Inventory Tables"/>
      <sheetName val="Commerce Marine Data"/>
      <sheetName val="Military Aircraft"/>
      <sheetName val="Military Marine"/>
      <sheetName val="Factors"/>
      <sheetName val="Output to Mobile"/>
      <sheetName val="2022ER Comparison"/>
      <sheetName val="2021BY Comparison"/>
      <sheetName val="Aviation Fuel - SAGE - OLD"/>
      <sheetName val="Aircraft Consumption - OLD"/>
      <sheetName val="Foreign Carriers in US PortsOLD"/>
      <sheetName val="IBF Changes"/>
      <sheetName val="International Bunker Fuels 90-2"/>
    </sheetNames>
    <sheetDataSet>
      <sheetData sheetId="0"/>
      <sheetData sheetId="1"/>
      <sheetData sheetId="2"/>
      <sheetData sheetId="3"/>
      <sheetData sheetId="4"/>
      <sheetData sheetId="5">
        <row r="10">
          <cell r="D10">
            <v>103.63420130524366</v>
          </cell>
        </row>
      </sheetData>
      <sheetData sheetId="6">
        <row r="9">
          <cell r="D9">
            <v>541.82069611021325</v>
          </cell>
          <cell r="E9">
            <v>653.83474818058585</v>
          </cell>
          <cell r="F9">
            <v>659.49550556120562</v>
          </cell>
          <cell r="G9">
            <v>661.52276025554227</v>
          </cell>
          <cell r="H9">
            <v>682.46745276342131</v>
          </cell>
          <cell r="I9">
            <v>705.05567371155803</v>
          </cell>
          <cell r="J9">
            <v>719.8022298769738</v>
          </cell>
          <cell r="K9">
            <v>755.82884678099151</v>
          </cell>
          <cell r="L9">
            <v>750.24196992392456</v>
          </cell>
          <cell r="M9">
            <v>798.34012176602073</v>
          </cell>
          <cell r="N9">
            <v>881.45014880742485</v>
          </cell>
          <cell r="O9">
            <v>801.17289306002192</v>
          </cell>
          <cell r="P9">
            <v>776.20775422890858</v>
          </cell>
          <cell r="Q9">
            <v>784.31912822478034</v>
          </cell>
          <cell r="R9">
            <v>799.1259685693858</v>
          </cell>
          <cell r="S9">
            <v>854.39812796000024</v>
          </cell>
          <cell r="T9">
            <v>856.69363534447564</v>
          </cell>
          <cell r="U9">
            <v>873.82720853348292</v>
          </cell>
          <cell r="V9">
            <v>797.87819334561755</v>
          </cell>
          <cell r="W9">
            <v>750.11662055458169</v>
          </cell>
          <cell r="X9">
            <v>866.4359203494854</v>
          </cell>
          <cell r="Y9">
            <v>920.81140713384332</v>
          </cell>
          <cell r="Z9">
            <v>917.17514185690175</v>
          </cell>
          <cell r="AA9">
            <v>932.49186776158558</v>
          </cell>
          <cell r="AB9">
            <v>988.79048924126096</v>
          </cell>
          <cell r="AC9">
            <v>1023.2524866426733</v>
          </cell>
          <cell r="AD9">
            <v>1052.0845621630212</v>
          </cell>
          <cell r="AE9">
            <v>1104.1889361689159</v>
          </cell>
          <cell r="AF9">
            <v>1147.6629896579316</v>
          </cell>
          <cell r="AG9">
            <v>1112.0356750483818</v>
          </cell>
          <cell r="AH9">
            <v>563.66616431474301</v>
          </cell>
          <cell r="AI9">
            <v>721.46880886175848</v>
          </cell>
          <cell r="AJ9">
            <v>908.76435987107743</v>
          </cell>
        </row>
        <row r="26">
          <cell r="D26">
            <v>38.205227775598104</v>
          </cell>
          <cell r="E26">
            <v>46.50944508724568</v>
          </cell>
          <cell r="F26">
            <v>46.908663670833413</v>
          </cell>
          <cell r="G26">
            <v>47.025345411631029</v>
          </cell>
          <cell r="H26">
            <v>48.465030873013127</v>
          </cell>
          <cell r="I26">
            <v>50.020775922835128</v>
          </cell>
          <cell r="J26">
            <v>51.140649946253539</v>
          </cell>
          <cell r="K26">
            <v>54.587638934182706</v>
          </cell>
          <cell r="L26">
            <v>54.184142272283431</v>
          </cell>
          <cell r="M26">
            <v>57.657897683101496</v>
          </cell>
          <cell r="N26">
            <v>62.128568401865579</v>
          </cell>
          <cell r="O26">
            <v>56.492685979066238</v>
          </cell>
          <cell r="P26">
            <v>54.72583705289378</v>
          </cell>
          <cell r="Q26">
            <v>55.294081052978434</v>
          </cell>
          <cell r="R26">
            <v>56.342164226958012</v>
          </cell>
          <cell r="S26">
            <v>60.220980376771422</v>
          </cell>
          <cell r="T26">
            <v>60.36624039029023</v>
          </cell>
          <cell r="U26">
            <v>61.574300430789435</v>
          </cell>
          <cell r="V26">
            <v>56.225577547909261</v>
          </cell>
          <cell r="W26">
            <v>52.860915996122117</v>
          </cell>
          <cell r="X26">
            <v>61.043245465497669</v>
          </cell>
          <cell r="Y26">
            <v>64.855900877315491</v>
          </cell>
          <cell r="Z26">
            <v>64.590426911887349</v>
          </cell>
          <cell r="AA26">
            <v>65.724412671670066</v>
          </cell>
          <cell r="AB26">
            <v>69.679313111868836</v>
          </cell>
          <cell r="AC26">
            <v>72.012679590859733</v>
          </cell>
          <cell r="AD26">
            <v>74.128329489551533</v>
          </cell>
          <cell r="AE26">
            <v>77.76364538997727</v>
          </cell>
          <cell r="AF26">
            <v>82.953438141961726</v>
          </cell>
          <cell r="AG26">
            <v>78.280354309049784</v>
          </cell>
          <cell r="AH26">
            <v>39.781445200509218</v>
          </cell>
          <cell r="AI26">
            <v>50.811636195571445</v>
          </cell>
          <cell r="AJ26">
            <v>63.978681546244488</v>
          </cell>
        </row>
      </sheetData>
      <sheetData sheetId="7">
        <row r="9">
          <cell r="D9">
            <v>53.744340413228386</v>
          </cell>
          <cell r="E9">
            <v>60.187882123550722</v>
          </cell>
          <cell r="F9">
            <v>50.300652704576848</v>
          </cell>
          <cell r="G9">
            <v>40.094672763828918</v>
          </cell>
          <cell r="H9">
            <v>39.38436027998209</v>
          </cell>
          <cell r="I9">
            <v>39.289663153588911</v>
          </cell>
          <cell r="J9">
            <v>40.279510193650353</v>
          </cell>
          <cell r="K9">
            <v>43.193789212869973</v>
          </cell>
          <cell r="L9">
            <v>44.665886640216755</v>
          </cell>
          <cell r="M9">
            <v>36.775429001024854</v>
          </cell>
          <cell r="N9">
            <v>33.347037242149554</v>
          </cell>
          <cell r="O9">
            <v>31.992523032166403</v>
          </cell>
          <cell r="P9">
            <v>33.711350564287144</v>
          </cell>
          <cell r="Q9">
            <v>35.4301780964079</v>
          </cell>
          <cell r="R9">
            <v>41.534278041681915</v>
          </cell>
          <cell r="S9">
            <v>43.629589937800532</v>
          </cell>
          <cell r="T9">
            <v>45.008488249453222</v>
          </cell>
          <cell r="U9">
            <v>45.622081552124591</v>
          </cell>
          <cell r="V9">
            <v>49.156856620448437</v>
          </cell>
          <cell r="W9">
            <v>45.414915123240966</v>
          </cell>
          <cell r="X9">
            <v>46.543409120139948</v>
          </cell>
          <cell r="Y9">
            <v>38.926176263133868</v>
          </cell>
          <cell r="Z9">
            <v>34.502121991208959</v>
          </cell>
          <cell r="AA9">
            <v>28.519980224082126</v>
          </cell>
          <cell r="AB9">
            <v>27.722727509640539</v>
          </cell>
          <cell r="AC9">
            <v>30.551687430997333</v>
          </cell>
          <cell r="AD9">
            <v>33.843139389255683</v>
          </cell>
          <cell r="AE9">
            <v>33.440867099190619</v>
          </cell>
          <cell r="AF9">
            <v>31.356444461431472</v>
          </cell>
          <cell r="AG9">
            <v>25.248356597337704</v>
          </cell>
          <cell r="AH9">
            <v>22.076563250414932</v>
          </cell>
          <cell r="AI9">
            <v>21.949565179801599</v>
          </cell>
          <cell r="AJ9">
            <v>24.418594156680534</v>
          </cell>
        </row>
        <row r="16">
          <cell r="D16">
            <v>11.684633116417167</v>
          </cell>
          <cell r="E16">
            <v>11.042467468234369</v>
          </cell>
          <cell r="F16">
            <v>10.792966001360892</v>
          </cell>
          <cell r="G16">
            <v>10.844628786117024</v>
          </cell>
          <cell r="H16">
            <v>8.9625781924071486</v>
          </cell>
          <cell r="I16">
            <v>9.2989800452197713</v>
          </cell>
          <cell r="J16">
            <v>8.4411229728801871</v>
          </cell>
          <cell r="K16">
            <v>9.2819472636068436</v>
          </cell>
          <cell r="L16">
            <v>11.744364506047587</v>
          </cell>
          <cell r="M16">
            <v>8.400466007334165</v>
          </cell>
          <cell r="N16">
            <v>6.4190851407625225</v>
          </cell>
          <cell r="O16">
            <v>5.4047137428756242</v>
          </cell>
          <cell r="P16">
            <v>6.1629008209232561</v>
          </cell>
          <cell r="Q16">
            <v>7.7595563271134145</v>
          </cell>
          <cell r="R16">
            <v>10.733302138865053</v>
          </cell>
          <cell r="S16">
            <v>9.4772662719710645</v>
          </cell>
          <cell r="T16">
            <v>8.8938022563286072</v>
          </cell>
          <cell r="U16">
            <v>8.2664234991607515</v>
          </cell>
          <cell r="V16">
            <v>9.0751338162517907</v>
          </cell>
          <cell r="W16">
            <v>8.2348288739069346</v>
          </cell>
          <cell r="X16">
            <v>9.5143974599426411</v>
          </cell>
          <cell r="Y16">
            <v>7.9636505868177778</v>
          </cell>
          <cell r="Z16">
            <v>6.796131559002121</v>
          </cell>
          <cell r="AA16">
            <v>5.5959297910329262</v>
          </cell>
          <cell r="AB16">
            <v>6.0859768652726194</v>
          </cell>
          <cell r="AC16">
            <v>8.4155987877232281</v>
          </cell>
          <cell r="AD16">
            <v>8.7106792874976229</v>
          </cell>
          <cell r="AE16">
            <v>8.9871459800547768</v>
          </cell>
          <cell r="AF16">
            <v>9.9688542066402608</v>
          </cell>
          <cell r="AG16">
            <v>10.102828885941072</v>
          </cell>
          <cell r="AH16">
            <v>7.7804134322158891</v>
          </cell>
          <cell r="AI16">
            <v>7.4191465730951567</v>
          </cell>
          <cell r="AJ16">
            <v>7.1763950052135499</v>
          </cell>
        </row>
        <row r="40">
          <cell r="D40">
            <v>715.70055592900007</v>
          </cell>
          <cell r="E40">
            <v>801.50766322200002</v>
          </cell>
          <cell r="F40">
            <v>669.84178850199987</v>
          </cell>
          <cell r="G40">
            <v>533.93118914900003</v>
          </cell>
          <cell r="H40">
            <v>524.47212730800004</v>
          </cell>
          <cell r="I40">
            <v>523.21106827400001</v>
          </cell>
          <cell r="J40">
            <v>536.39262509299999</v>
          </cell>
          <cell r="K40">
            <v>575.2013833389999</v>
          </cell>
          <cell r="L40">
            <v>594.80495348299996</v>
          </cell>
          <cell r="M40">
            <v>489.72961205199994</v>
          </cell>
          <cell r="N40">
            <v>444.07453713799998</v>
          </cell>
          <cell r="O40">
            <v>426.03679463999998</v>
          </cell>
          <cell r="P40">
            <v>448.92601071049995</v>
          </cell>
          <cell r="Q40">
            <v>471.81522678099998</v>
          </cell>
          <cell r="R40">
            <v>553.10206909199985</v>
          </cell>
          <cell r="S40">
            <v>581.00483759499991</v>
          </cell>
          <cell r="T40">
            <v>599.36729735599988</v>
          </cell>
          <cell r="U40">
            <v>607.53837294199991</v>
          </cell>
          <cell r="V40">
            <v>654.61012900100002</v>
          </cell>
          <cell r="W40">
            <v>604.77958704599996</v>
          </cell>
          <cell r="X40">
            <v>619.80747230299994</v>
          </cell>
          <cell r="Y40">
            <v>518.37060009499999</v>
          </cell>
          <cell r="Z40">
            <v>459.45652509599995</v>
          </cell>
          <cell r="AA40">
            <v>379.79377073972995</v>
          </cell>
          <cell r="AB40">
            <v>369.176946595</v>
          </cell>
          <cell r="AC40">
            <v>406.84953077499995</v>
          </cell>
          <cell r="AD40">
            <v>450.68101104299996</v>
          </cell>
          <cell r="AE40">
            <v>445.32404695299994</v>
          </cell>
          <cell r="AF40">
            <v>417.56628810500001</v>
          </cell>
          <cell r="AG40">
            <v>336.22633963073997</v>
          </cell>
          <cell r="AH40">
            <v>293.98832453499995</v>
          </cell>
          <cell r="AI40">
            <v>292.29712153499997</v>
          </cell>
          <cell r="AJ40">
            <v>325.17659121999998</v>
          </cell>
        </row>
        <row r="41">
          <cell r="D41">
            <v>157.99296592261908</v>
          </cell>
          <cell r="E41">
            <v>149.30996711904763</v>
          </cell>
          <cell r="F41">
            <v>145.93635013333335</v>
          </cell>
          <cell r="G41">
            <v>146.63490493690477</v>
          </cell>
          <cell r="H41">
            <v>121.18688681309524</v>
          </cell>
          <cell r="I41">
            <v>125.73552141190476</v>
          </cell>
          <cell r="J41">
            <v>114.13606579817262</v>
          </cell>
          <cell r="K41">
            <v>125.50521382260119</v>
          </cell>
          <cell r="L41">
            <v>158.80061981404765</v>
          </cell>
          <cell r="M41">
            <v>113.58632542480953</v>
          </cell>
          <cell r="N41">
            <v>85.858733881526433</v>
          </cell>
          <cell r="O41">
            <v>72.397487179080514</v>
          </cell>
          <cell r="P41">
            <v>82.553591993078072</v>
          </cell>
          <cell r="Q41">
            <v>103.89016370482545</v>
          </cell>
          <cell r="R41">
            <v>143.56371847427505</v>
          </cell>
          <cell r="S41">
            <v>126.88802077883335</v>
          </cell>
          <cell r="T41">
            <v>119.3104984527381</v>
          </cell>
          <cell r="U41">
            <v>111.33230301900001</v>
          </cell>
          <cell r="V41">
            <v>122.22402446130357</v>
          </cell>
          <cell r="W41">
            <v>111.01643203936906</v>
          </cell>
          <cell r="X41">
            <v>128.2033434235893</v>
          </cell>
          <cell r="Y41">
            <v>107.41368474261905</v>
          </cell>
          <cell r="Z41">
            <v>91.666193134638803</v>
          </cell>
          <cell r="AA41">
            <v>75.44056699365828</v>
          </cell>
          <cell r="AB41">
            <v>82.047052513449216</v>
          </cell>
          <cell r="AC41">
            <v>113.50034480709412</v>
          </cell>
          <cell r="AD41">
            <v>117.52308765543356</v>
          </cell>
          <cell r="AE41">
            <v>121.30000998407694</v>
          </cell>
          <cell r="AF41">
            <v>134.44842939592129</v>
          </cell>
          <cell r="AG41">
            <v>136.25532563870291</v>
          </cell>
          <cell r="AH41">
            <v>104.9583132795492</v>
          </cell>
          <cell r="AI41">
            <v>100.08479845833058</v>
          </cell>
          <cell r="AJ41">
            <v>96.810063081760362</v>
          </cell>
        </row>
      </sheetData>
      <sheetData sheetId="8"/>
      <sheetData sheetId="9"/>
      <sheetData sheetId="10"/>
      <sheetData sheetId="11"/>
      <sheetData sheetId="12">
        <row r="21">
          <cell r="G21">
            <v>3.5750000000000002</v>
          </cell>
        </row>
      </sheetData>
      <sheetData sheetId="13">
        <row r="6">
          <cell r="B6">
            <v>4781203.0140000004</v>
          </cell>
        </row>
      </sheetData>
      <sheetData sheetId="14"/>
      <sheetData sheetId="15"/>
      <sheetData sheetId="16"/>
      <sheetData sheetId="17"/>
      <sheetData sheetId="18"/>
      <sheetData sheetId="19"/>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of Contents"/>
      <sheetName val="MER_ALL_GEN_raw"/>
      <sheetName val="MER_ALL_GEN_feeder"/>
      <sheetName val="MER_COM_raw"/>
      <sheetName val="MER_COM_feeder"/>
      <sheetName val="MER_EPS_raw"/>
      <sheetName val="MER_EPS_feeder"/>
      <sheetName val="MER_TRA_raw"/>
      <sheetName val="MER_TRA_feeder"/>
      <sheetName val="MER_IND_raw"/>
      <sheetName val="MER_IND_feeder"/>
      <sheetName val="MER_RES_raw"/>
      <sheetName val="MER_RES_feeder"/>
      <sheetName val="PET_TRA_EPS_raw"/>
      <sheetName val="PET_TRA_EPS_feeder"/>
      <sheetName val="PET_RES_COM_raw"/>
      <sheetName val="PET_RES_COM_feeder"/>
      <sheetName val="PET_IND_raw"/>
      <sheetName val="PET_IND_feeder"/>
      <sheetName val="Table 1.3"/>
      <sheetName val="Table 1.4a"/>
      <sheetName val="Table 1.4b"/>
      <sheetName val="Table 1.10"/>
      <sheetName val="Table 1.11"/>
      <sheetName val="Table 3.7b_raw"/>
      <sheetName val="Table 3.7b_feeder"/>
      <sheetName val="Table 3.7c"/>
      <sheetName val="Table 3.8a"/>
      <sheetName val="Table 3.8b"/>
      <sheetName val="Table 3.8c"/>
      <sheetName val="Table 4.1"/>
      <sheetName val="Table 4.3_raw"/>
      <sheetName val="Table 4.3_feeder"/>
      <sheetName val="Table 6.1"/>
      <sheetName val="Table 6.2_raw"/>
      <sheetName val="Table 6.2_feeder"/>
      <sheetName val="Table 7.2b"/>
      <sheetName val="Table 7.6"/>
      <sheetName val="Table 8.1"/>
      <sheetName val="Table 9.8"/>
      <sheetName val="Table 9.9"/>
      <sheetName val="Table 9.10"/>
      <sheetName val="Table 10.1"/>
      <sheetName val="Table 10.2a"/>
      <sheetName val="Table 10.2b"/>
      <sheetName val="Table 10.2c"/>
      <sheetName val="Table 10.3"/>
      <sheetName val="Table 10.4a"/>
      <sheetName val="Table 10.4b"/>
      <sheetName val="Table 10.4c"/>
      <sheetName val="Table A2"/>
      <sheetName val="Table A3"/>
      <sheetName val="Table A4"/>
      <sheetName val="Table A5"/>
      <sheetName val="Table A6"/>
    </sheetNames>
    <sheetDataSet>
      <sheetData sheetId="0"/>
      <sheetData sheetId="1">
        <row r="2">
          <cell r="A2" t="str">
            <v>November 2023 Monthly Energy Review</v>
          </cell>
        </row>
      </sheetData>
      <sheetData sheetId="2">
        <row r="18">
          <cell r="B18">
            <v>5.2661732652000005E-2</v>
          </cell>
        </row>
      </sheetData>
      <sheetData sheetId="3">
        <row r="9">
          <cell r="A9" t="str">
            <v>Table 2.3 Commercial Sector Energy Consumption</v>
          </cell>
        </row>
      </sheetData>
      <sheetData sheetId="4">
        <row r="2">
          <cell r="B2">
            <v>124.456</v>
          </cell>
        </row>
      </sheetData>
      <sheetData sheetId="5">
        <row r="9">
          <cell r="A9" t="str">
            <v>Table 2.6 Electric Power Sector Energy Consumption</v>
          </cell>
        </row>
      </sheetData>
      <sheetData sheetId="6">
        <row r="2">
          <cell r="B2">
            <v>16260.951999999999</v>
          </cell>
        </row>
      </sheetData>
      <sheetData sheetId="7">
        <row r="9">
          <cell r="A9" t="str">
            <v>Table 2.5 Transportation Sector Energy Consumption</v>
          </cell>
        </row>
      </sheetData>
      <sheetData sheetId="8">
        <row r="3">
          <cell r="B3">
            <v>679.22799999999995</v>
          </cell>
        </row>
      </sheetData>
      <sheetData sheetId="9">
        <row r="9">
          <cell r="A9" t="str">
            <v>Table 2.4 Industrial Sector Energy Consumption</v>
          </cell>
        </row>
      </sheetData>
      <sheetData sheetId="10">
        <row r="2">
          <cell r="B2">
            <v>2756.0079999999998</v>
          </cell>
        </row>
      </sheetData>
      <sheetData sheetId="11">
        <row r="9">
          <cell r="A9" t="str">
            <v>Table 2.2 Residential Sector Energy Consumption</v>
          </cell>
        </row>
      </sheetData>
      <sheetData sheetId="12">
        <row r="2">
          <cell r="B2">
            <v>31.114000000000001</v>
          </cell>
        </row>
      </sheetData>
      <sheetData sheetId="13">
        <row r="9">
          <cell r="A9" t="str">
            <v>Table 3.8c Heat Content of Petroleum Consumption:  Transportation and Electric Power Sectors</v>
          </cell>
        </row>
      </sheetData>
      <sheetData sheetId="14">
        <row r="2">
          <cell r="B2">
            <v>44.978000000000002</v>
          </cell>
        </row>
      </sheetData>
      <sheetData sheetId="15">
        <row r="9">
          <cell r="A9" t="str">
            <v>Table 3.8a Heat Content of Petroleum Consumption:  Residential and Commercial Sectors</v>
          </cell>
        </row>
      </sheetData>
      <sheetData sheetId="16">
        <row r="2">
          <cell r="B2">
            <v>978.12800000000004</v>
          </cell>
        </row>
      </sheetData>
      <sheetData sheetId="17">
        <row r="9">
          <cell r="A9" t="str">
            <v>Table 3.8b Heat Content of Petroleum Consumption:  Industrial Sector</v>
          </cell>
        </row>
      </sheetData>
      <sheetData sheetId="18">
        <row r="2">
          <cell r="B2">
            <v>1170.193</v>
          </cell>
        </row>
      </sheetData>
      <sheetData sheetId="19">
        <row r="11">
          <cell r="A11" t="str">
            <v>Annual Total</v>
          </cell>
        </row>
      </sheetData>
      <sheetData sheetId="20">
        <row r="11">
          <cell r="A11" t="str">
            <v>Annual Total</v>
          </cell>
        </row>
      </sheetData>
      <sheetData sheetId="21"/>
      <sheetData sheetId="22">
        <row r="11">
          <cell r="A11" t="str">
            <v>Year</v>
          </cell>
        </row>
      </sheetData>
      <sheetData sheetId="23">
        <row r="11">
          <cell r="A11" t="str">
            <v>Year</v>
          </cell>
        </row>
      </sheetData>
      <sheetData sheetId="24"/>
      <sheetData sheetId="25"/>
      <sheetData sheetId="26"/>
      <sheetData sheetId="27"/>
      <sheetData sheetId="28"/>
      <sheetData sheetId="29"/>
      <sheetData sheetId="30">
        <row r="54">
          <cell r="E54">
            <v>17809.673999999999</v>
          </cell>
        </row>
      </sheetData>
      <sheetData sheetId="31">
        <row r="54">
          <cell r="H54">
            <v>8254.8060000000005</v>
          </cell>
        </row>
      </sheetData>
      <sheetData sheetId="32"/>
      <sheetData sheetId="33">
        <row r="11">
          <cell r="A11" t="str">
            <v>Annual Total</v>
          </cell>
        </row>
      </sheetData>
      <sheetData sheetId="34"/>
      <sheetData sheetId="35"/>
      <sheetData sheetId="36">
        <row r="11">
          <cell r="A11" t="str">
            <v>Annual Total</v>
          </cell>
        </row>
      </sheetData>
      <sheetData sheetId="37">
        <row r="11">
          <cell r="A11" t="str">
            <v>Annual Total</v>
          </cell>
          <cell r="B11" t="str">
            <v>Electricity Sales to Ultimate Customers, Residential</v>
          </cell>
          <cell r="C11" t="str">
            <v>Electricity Sales to Ultimate Customers, Commercial</v>
          </cell>
          <cell r="D11" t="str">
            <v>Electricity Sales to Ultimate Customers, Industrial</v>
          </cell>
          <cell r="E11" t="str">
            <v>Electricity Sales to Ultimate Customers, Transportation</v>
          </cell>
          <cell r="F11" t="str">
            <v>Electricity Sales to Ultimate Customers, Total</v>
          </cell>
          <cell r="G11" t="str">
            <v>Electricity Direct Use</v>
          </cell>
          <cell r="H11" t="str">
            <v>Electricity End Use, Total</v>
          </cell>
        </row>
        <row r="13">
          <cell r="A13">
            <v>1949</v>
          </cell>
          <cell r="B13">
            <v>66791.967999999993</v>
          </cell>
          <cell r="C13">
            <v>58647.203999999998</v>
          </cell>
          <cell r="D13">
            <v>122590.923</v>
          </cell>
          <cell r="E13">
            <v>6481.2389999999996</v>
          </cell>
          <cell r="F13">
            <v>254511.334</v>
          </cell>
          <cell r="G13" t="str">
            <v>Not Available</v>
          </cell>
          <cell r="H13">
            <v>254511.334</v>
          </cell>
        </row>
        <row r="14">
          <cell r="A14">
            <v>1950</v>
          </cell>
          <cell r="B14">
            <v>72200.34</v>
          </cell>
          <cell r="C14">
            <v>65971.214999999997</v>
          </cell>
          <cell r="D14">
            <v>146478.73199999999</v>
          </cell>
          <cell r="E14">
            <v>6793.0389999999998</v>
          </cell>
          <cell r="F14">
            <v>291443.326</v>
          </cell>
          <cell r="G14" t="str">
            <v>Not Available</v>
          </cell>
          <cell r="H14">
            <v>291443.326</v>
          </cell>
        </row>
        <row r="15">
          <cell r="A15">
            <v>1951</v>
          </cell>
          <cell r="B15">
            <v>83092.820999999996</v>
          </cell>
          <cell r="C15">
            <v>73962.588000000003</v>
          </cell>
          <cell r="D15">
            <v>166168.06</v>
          </cell>
          <cell r="E15">
            <v>7061.1139999999996</v>
          </cell>
          <cell r="F15">
            <v>330284.58299999998</v>
          </cell>
          <cell r="G15" t="str">
            <v>Not Available</v>
          </cell>
          <cell r="H15">
            <v>330284.58299999998</v>
          </cell>
        </row>
        <row r="16">
          <cell r="A16">
            <v>1952</v>
          </cell>
          <cell r="B16">
            <v>93544.873000000007</v>
          </cell>
          <cell r="C16">
            <v>80095.755999999994</v>
          </cell>
          <cell r="D16">
            <v>176127.49400000001</v>
          </cell>
          <cell r="E16">
            <v>6395.8370000000004</v>
          </cell>
          <cell r="F16">
            <v>356163.96</v>
          </cell>
          <cell r="G16" t="str">
            <v>Not Available</v>
          </cell>
          <cell r="H16">
            <v>356163.96</v>
          </cell>
        </row>
        <row r="17">
          <cell r="A17">
            <v>1953</v>
          </cell>
          <cell r="B17">
            <v>104146.29</v>
          </cell>
          <cell r="C17">
            <v>87024.49</v>
          </cell>
          <cell r="D17">
            <v>198618.114</v>
          </cell>
          <cell r="E17">
            <v>6428.0020000000004</v>
          </cell>
          <cell r="F17">
            <v>396216.89600000001</v>
          </cell>
          <cell r="G17" t="str">
            <v>Not Available</v>
          </cell>
          <cell r="H17">
            <v>396216.89600000001</v>
          </cell>
        </row>
        <row r="18">
          <cell r="A18">
            <v>1954</v>
          </cell>
          <cell r="B18">
            <v>116228.28599999999</v>
          </cell>
          <cell r="C18">
            <v>93594.892999999996</v>
          </cell>
          <cell r="D18">
            <v>208464.736</v>
          </cell>
          <cell r="E18">
            <v>5875.8770000000004</v>
          </cell>
          <cell r="F18">
            <v>424163.79200000002</v>
          </cell>
          <cell r="G18" t="str">
            <v>Not Available</v>
          </cell>
          <cell r="H18">
            <v>424163.79200000002</v>
          </cell>
        </row>
        <row r="19">
          <cell r="A19">
            <v>1955</v>
          </cell>
          <cell r="B19">
            <v>128400.614</v>
          </cell>
          <cell r="C19">
            <v>102547.31600000001</v>
          </cell>
          <cell r="D19">
            <v>259974.38800000001</v>
          </cell>
          <cell r="E19">
            <v>5825.7349999999997</v>
          </cell>
          <cell r="F19">
            <v>496748.05300000001</v>
          </cell>
          <cell r="G19" t="str">
            <v>Not Available</v>
          </cell>
          <cell r="H19">
            <v>496748.05300000001</v>
          </cell>
        </row>
        <row r="20">
          <cell r="A20">
            <v>1956</v>
          </cell>
          <cell r="B20">
            <v>143476.45300000001</v>
          </cell>
          <cell r="C20">
            <v>111423.632</v>
          </cell>
          <cell r="D20">
            <v>285947.44699999999</v>
          </cell>
          <cell r="E20">
            <v>5432.9589999999998</v>
          </cell>
          <cell r="F20">
            <v>546280.49100000004</v>
          </cell>
          <cell r="G20" t="str">
            <v>Not Available</v>
          </cell>
          <cell r="H20">
            <v>546280.49100000004</v>
          </cell>
        </row>
        <row r="21">
          <cell r="A21">
            <v>1957</v>
          </cell>
          <cell r="B21">
            <v>156723.27100000001</v>
          </cell>
          <cell r="C21">
            <v>120363.16899999999</v>
          </cell>
          <cell r="D21">
            <v>293989.66100000002</v>
          </cell>
          <cell r="E21">
            <v>4744.0739999999996</v>
          </cell>
          <cell r="F21">
            <v>575820.17500000005</v>
          </cell>
          <cell r="G21" t="str">
            <v>Not Available</v>
          </cell>
          <cell r="H21">
            <v>575820.17500000005</v>
          </cell>
        </row>
        <row r="22">
          <cell r="A22">
            <v>1958</v>
          </cell>
          <cell r="B22">
            <v>169492.24100000001</v>
          </cell>
          <cell r="C22">
            <v>127566.18</v>
          </cell>
          <cell r="D22">
            <v>286549.90500000003</v>
          </cell>
          <cell r="E22">
            <v>4254.7259999999997</v>
          </cell>
          <cell r="F22">
            <v>587863.05200000003</v>
          </cell>
          <cell r="G22" t="str">
            <v>Not Available</v>
          </cell>
          <cell r="H22">
            <v>587863.05200000003</v>
          </cell>
        </row>
        <row r="23">
          <cell r="A23">
            <v>1959</v>
          </cell>
          <cell r="B23">
            <v>184544.08799999999</v>
          </cell>
          <cell r="C23">
            <v>142983.473</v>
          </cell>
          <cell r="D23">
            <v>315134.50300000003</v>
          </cell>
          <cell r="E23">
            <v>4225.8130000000001</v>
          </cell>
          <cell r="F23">
            <v>646887.87699999998</v>
          </cell>
          <cell r="G23" t="str">
            <v>Not Available</v>
          </cell>
          <cell r="H23">
            <v>646887.87699999998</v>
          </cell>
        </row>
        <row r="24">
          <cell r="A24">
            <v>1960</v>
          </cell>
          <cell r="B24">
            <v>201463.38099999999</v>
          </cell>
          <cell r="C24">
            <v>159143.78700000001</v>
          </cell>
          <cell r="D24">
            <v>324401.90700000001</v>
          </cell>
          <cell r="E24">
            <v>3065.6869999999999</v>
          </cell>
          <cell r="F24">
            <v>688074.76199999999</v>
          </cell>
          <cell r="G24" t="str">
            <v>Not Available</v>
          </cell>
          <cell r="H24">
            <v>688074.76199999999</v>
          </cell>
        </row>
        <row r="25">
          <cell r="A25">
            <v>1961</v>
          </cell>
          <cell r="B25">
            <v>214444.853</v>
          </cell>
          <cell r="C25">
            <v>167655.99900000001</v>
          </cell>
          <cell r="D25">
            <v>336825.95799999998</v>
          </cell>
          <cell r="E25">
            <v>3023.373</v>
          </cell>
          <cell r="F25">
            <v>721950.18299999996</v>
          </cell>
          <cell r="G25" t="str">
            <v>Not Available</v>
          </cell>
          <cell r="H25">
            <v>721950.18299999996</v>
          </cell>
        </row>
        <row r="26">
          <cell r="A26">
            <v>1962</v>
          </cell>
          <cell r="B26">
            <v>232801.889</v>
          </cell>
          <cell r="C26">
            <v>181964.47099999999</v>
          </cell>
          <cell r="D26">
            <v>359853.73100000003</v>
          </cell>
          <cell r="E26">
            <v>2979.6379999999999</v>
          </cell>
          <cell r="F26">
            <v>777599.72900000005</v>
          </cell>
          <cell r="G26" t="str">
            <v>Not Available</v>
          </cell>
          <cell r="H26">
            <v>777599.72900000005</v>
          </cell>
        </row>
        <row r="27">
          <cell r="A27">
            <v>1963</v>
          </cell>
          <cell r="B27">
            <v>250752.65100000001</v>
          </cell>
          <cell r="C27">
            <v>201513.28400000001</v>
          </cell>
          <cell r="D27">
            <v>377429.63900000002</v>
          </cell>
          <cell r="E27">
            <v>2917.5340000000001</v>
          </cell>
          <cell r="F27">
            <v>832613.10800000001</v>
          </cell>
          <cell r="G27" t="str">
            <v>Not Available</v>
          </cell>
          <cell r="H27">
            <v>832613.10800000001</v>
          </cell>
        </row>
        <row r="28">
          <cell r="A28">
            <v>1964</v>
          </cell>
          <cell r="B28">
            <v>271842.07900000003</v>
          </cell>
          <cell r="C28">
            <v>216233.90900000001</v>
          </cell>
          <cell r="D28">
            <v>405049.06199999998</v>
          </cell>
          <cell r="E28">
            <v>2933.9639999999999</v>
          </cell>
          <cell r="F28">
            <v>896059.01399999997</v>
          </cell>
          <cell r="G28" t="str">
            <v>Not Available</v>
          </cell>
          <cell r="H28">
            <v>896059.01399999997</v>
          </cell>
        </row>
        <row r="29">
          <cell r="A29">
            <v>1965</v>
          </cell>
          <cell r="B29">
            <v>291012.652</v>
          </cell>
          <cell r="C29">
            <v>231126.28700000001</v>
          </cell>
          <cell r="D29">
            <v>428727.266</v>
          </cell>
          <cell r="E29">
            <v>2923.1080000000002</v>
          </cell>
          <cell r="F29">
            <v>953789.31299999997</v>
          </cell>
          <cell r="G29" t="str">
            <v>Not Available</v>
          </cell>
          <cell r="H29">
            <v>953789.31299999997</v>
          </cell>
        </row>
        <row r="30">
          <cell r="A30">
            <v>1966</v>
          </cell>
          <cell r="B30">
            <v>316888.36</v>
          </cell>
          <cell r="C30">
            <v>251826.89300000001</v>
          </cell>
          <cell r="D30">
            <v>463603.40600000002</v>
          </cell>
          <cell r="E30">
            <v>2825.9409999999998</v>
          </cell>
          <cell r="F30">
            <v>1035144.6</v>
          </cell>
          <cell r="G30" t="str">
            <v>Not Available</v>
          </cell>
          <cell r="H30">
            <v>1035144.6</v>
          </cell>
        </row>
        <row r="31">
          <cell r="A31">
            <v>1967</v>
          </cell>
          <cell r="B31">
            <v>340113.93599999999</v>
          </cell>
          <cell r="C31">
            <v>271154.28899999999</v>
          </cell>
          <cell r="D31">
            <v>485015.19900000002</v>
          </cell>
          <cell r="E31">
            <v>2933.8420000000001</v>
          </cell>
          <cell r="F31">
            <v>1099217.2660000001</v>
          </cell>
          <cell r="G31" t="str">
            <v>Not Available</v>
          </cell>
          <cell r="H31">
            <v>1099217.2660000001</v>
          </cell>
        </row>
        <row r="32">
          <cell r="A32">
            <v>1968</v>
          </cell>
          <cell r="B32">
            <v>381569.84700000001</v>
          </cell>
          <cell r="C32">
            <v>297174.47100000002</v>
          </cell>
          <cell r="D32">
            <v>521132.90399999998</v>
          </cell>
          <cell r="E32">
            <v>2993.7950000000001</v>
          </cell>
          <cell r="F32">
            <v>1202871.017</v>
          </cell>
          <cell r="G32" t="str">
            <v>Not Available</v>
          </cell>
          <cell r="H32">
            <v>1202871.017</v>
          </cell>
        </row>
        <row r="33">
          <cell r="A33">
            <v>1969</v>
          </cell>
          <cell r="B33">
            <v>426736.08399999997</v>
          </cell>
          <cell r="C33">
            <v>324657.85700000002</v>
          </cell>
          <cell r="D33">
            <v>559385.27</v>
          </cell>
          <cell r="E33">
            <v>3054.0349999999999</v>
          </cell>
          <cell r="F33">
            <v>1313833.246</v>
          </cell>
          <cell r="G33" t="str">
            <v>Not Available</v>
          </cell>
          <cell r="H33">
            <v>1313833.246</v>
          </cell>
        </row>
        <row r="34">
          <cell r="A34">
            <v>1970</v>
          </cell>
          <cell r="B34">
            <v>466290.58799999999</v>
          </cell>
          <cell r="C34">
            <v>352040.59299999999</v>
          </cell>
          <cell r="D34">
            <v>570854.19499999995</v>
          </cell>
          <cell r="E34">
            <v>3114.5239999999999</v>
          </cell>
          <cell r="F34">
            <v>1392299.9</v>
          </cell>
          <cell r="G34" t="str">
            <v>Not Available</v>
          </cell>
          <cell r="H34">
            <v>1392299.9</v>
          </cell>
        </row>
        <row r="35">
          <cell r="A35">
            <v>1971</v>
          </cell>
          <cell r="B35">
            <v>499531.99900000001</v>
          </cell>
          <cell r="C35">
            <v>377493.93300000002</v>
          </cell>
          <cell r="D35">
            <v>589447.99</v>
          </cell>
          <cell r="E35">
            <v>3066.355</v>
          </cell>
          <cell r="F35">
            <v>1469540.277</v>
          </cell>
          <cell r="G35" t="str">
            <v>Not Available</v>
          </cell>
          <cell r="H35">
            <v>1469540.277</v>
          </cell>
        </row>
        <row r="36">
          <cell r="A36">
            <v>1972</v>
          </cell>
          <cell r="B36">
            <v>538609.18400000001</v>
          </cell>
          <cell r="C36">
            <v>412534.05200000003</v>
          </cell>
          <cell r="D36">
            <v>640977.91799999995</v>
          </cell>
          <cell r="E36">
            <v>3039.5369999999998</v>
          </cell>
          <cell r="F36">
            <v>1595160.6910000001</v>
          </cell>
          <cell r="G36" t="str">
            <v>Not Available</v>
          </cell>
          <cell r="H36">
            <v>1595160.6910000001</v>
          </cell>
        </row>
        <row r="37">
          <cell r="A37">
            <v>1973</v>
          </cell>
          <cell r="B37">
            <v>579231.37399999995</v>
          </cell>
          <cell r="C37">
            <v>444505.47700000001</v>
          </cell>
          <cell r="D37">
            <v>686085.18</v>
          </cell>
          <cell r="E37">
            <v>3086.75</v>
          </cell>
          <cell r="F37">
            <v>1712908.781</v>
          </cell>
          <cell r="G37" t="str">
            <v>Not Available</v>
          </cell>
          <cell r="H37">
            <v>1712908.781</v>
          </cell>
        </row>
        <row r="38">
          <cell r="A38">
            <v>1974</v>
          </cell>
          <cell r="B38">
            <v>578183.69299999997</v>
          </cell>
          <cell r="C38">
            <v>440015.80300000001</v>
          </cell>
          <cell r="D38">
            <v>684875.07400000002</v>
          </cell>
          <cell r="E38">
            <v>2849.1559999999999</v>
          </cell>
          <cell r="F38">
            <v>1705923.726</v>
          </cell>
          <cell r="G38" t="str">
            <v>Not Available</v>
          </cell>
          <cell r="H38">
            <v>1705923.726</v>
          </cell>
        </row>
        <row r="39">
          <cell r="A39">
            <v>1975</v>
          </cell>
          <cell r="B39">
            <v>588140.39300000004</v>
          </cell>
          <cell r="C39">
            <v>468296.09899999999</v>
          </cell>
          <cell r="D39">
            <v>687679.652</v>
          </cell>
          <cell r="E39">
            <v>2974.4830000000002</v>
          </cell>
          <cell r="F39">
            <v>1747090.6270000001</v>
          </cell>
          <cell r="G39" t="str">
            <v>Not Available</v>
          </cell>
          <cell r="H39">
            <v>1747090.6270000001</v>
          </cell>
        </row>
        <row r="40">
          <cell r="A40">
            <v>1976</v>
          </cell>
          <cell r="B40">
            <v>606452.08200000005</v>
          </cell>
          <cell r="C40">
            <v>491776.96</v>
          </cell>
          <cell r="D40">
            <v>754068.87300000002</v>
          </cell>
          <cell r="E40">
            <v>2948.1790000000001</v>
          </cell>
          <cell r="F40">
            <v>1855246.094</v>
          </cell>
          <cell r="G40" t="str">
            <v>Not Available</v>
          </cell>
          <cell r="H40">
            <v>1855246.094</v>
          </cell>
        </row>
        <row r="41">
          <cell r="A41">
            <v>1977</v>
          </cell>
          <cell r="B41">
            <v>645238.97100000002</v>
          </cell>
          <cell r="C41">
            <v>514028.68599999999</v>
          </cell>
          <cell r="D41">
            <v>786037.12600000005</v>
          </cell>
          <cell r="E41">
            <v>3056.4290000000001</v>
          </cell>
          <cell r="F41">
            <v>1948361.2120000001</v>
          </cell>
          <cell r="G41" t="str">
            <v>Not Available</v>
          </cell>
          <cell r="H41">
            <v>1948361.2120000001</v>
          </cell>
        </row>
        <row r="42">
          <cell r="A42">
            <v>1978</v>
          </cell>
          <cell r="B42">
            <v>674466</v>
          </cell>
          <cell r="C42">
            <v>531439.15</v>
          </cell>
          <cell r="D42">
            <v>809078</v>
          </cell>
          <cell r="E42">
            <v>2938.85</v>
          </cell>
          <cell r="F42">
            <v>2017922</v>
          </cell>
          <cell r="G42" t="str">
            <v>Not Available</v>
          </cell>
          <cell r="H42">
            <v>2017922</v>
          </cell>
        </row>
        <row r="43">
          <cell r="A43">
            <v>1979</v>
          </cell>
          <cell r="B43">
            <v>682819</v>
          </cell>
          <cell r="C43">
            <v>543411.81900000002</v>
          </cell>
          <cell r="D43">
            <v>841903</v>
          </cell>
          <cell r="E43">
            <v>2965.181</v>
          </cell>
          <cell r="F43">
            <v>2071099</v>
          </cell>
          <cell r="G43" t="str">
            <v>Not Available</v>
          </cell>
          <cell r="H43">
            <v>2071099</v>
          </cell>
        </row>
        <row r="44">
          <cell r="A44">
            <v>1980</v>
          </cell>
          <cell r="B44">
            <v>717495</v>
          </cell>
          <cell r="C44">
            <v>558642.79200000002</v>
          </cell>
          <cell r="D44">
            <v>815067</v>
          </cell>
          <cell r="E44">
            <v>3244.2080000000001</v>
          </cell>
          <cell r="F44">
            <v>2094449</v>
          </cell>
          <cell r="G44" t="str">
            <v>Not Available</v>
          </cell>
          <cell r="H44">
            <v>2094449</v>
          </cell>
        </row>
        <row r="45">
          <cell r="A45">
            <v>1981</v>
          </cell>
          <cell r="B45">
            <v>722265.02399999998</v>
          </cell>
          <cell r="C45">
            <v>595908.40399999998</v>
          </cell>
          <cell r="D45">
            <v>825743.44900000002</v>
          </cell>
          <cell r="E45">
            <v>3185.9850000000001</v>
          </cell>
          <cell r="F45">
            <v>2147102.8620000002</v>
          </cell>
          <cell r="G45" t="str">
            <v>Not Available</v>
          </cell>
          <cell r="H45">
            <v>2147102.8620000002</v>
          </cell>
        </row>
        <row r="46">
          <cell r="A46">
            <v>1982</v>
          </cell>
          <cell r="B46">
            <v>729519.76800000004</v>
          </cell>
          <cell r="C46">
            <v>608747.98400000005</v>
          </cell>
          <cell r="D46">
            <v>744949.12399999995</v>
          </cell>
          <cell r="E46">
            <v>3224.4760000000001</v>
          </cell>
          <cell r="F46">
            <v>2086441.352</v>
          </cell>
          <cell r="G46" t="str">
            <v>Not Available</v>
          </cell>
          <cell r="H46">
            <v>2086441.352</v>
          </cell>
        </row>
        <row r="47">
          <cell r="A47">
            <v>1983</v>
          </cell>
          <cell r="B47">
            <v>750948.24199999997</v>
          </cell>
          <cell r="C47">
            <v>620292.09499999997</v>
          </cell>
          <cell r="D47">
            <v>775999.28799999994</v>
          </cell>
          <cell r="E47">
            <v>3714.9589999999998</v>
          </cell>
          <cell r="F47">
            <v>2150954.5839999998</v>
          </cell>
          <cell r="G47" t="str">
            <v>Not Available</v>
          </cell>
          <cell r="H47">
            <v>2150954.5839999998</v>
          </cell>
        </row>
        <row r="48">
          <cell r="A48">
            <v>1984</v>
          </cell>
          <cell r="B48">
            <v>780091.66</v>
          </cell>
          <cell r="C48">
            <v>663679.53599999996</v>
          </cell>
          <cell r="D48">
            <v>837836.12600000005</v>
          </cell>
          <cell r="E48">
            <v>4189.0720000000001</v>
          </cell>
          <cell r="F48">
            <v>2285796.3939999999</v>
          </cell>
          <cell r="G48" t="str">
            <v>Not Available</v>
          </cell>
          <cell r="H48">
            <v>2285796.3939999999</v>
          </cell>
        </row>
        <row r="49">
          <cell r="A49">
            <v>1985</v>
          </cell>
          <cell r="B49">
            <v>793933.848</v>
          </cell>
          <cell r="C49">
            <v>689121.38699999999</v>
          </cell>
          <cell r="D49">
            <v>836771.99699999997</v>
          </cell>
          <cell r="E49">
            <v>4146.62</v>
          </cell>
          <cell r="F49">
            <v>2323973.852</v>
          </cell>
          <cell r="G49" t="str">
            <v>Not Available</v>
          </cell>
          <cell r="H49">
            <v>2323973.852</v>
          </cell>
        </row>
        <row r="50">
          <cell r="A50">
            <v>1986</v>
          </cell>
          <cell r="B50">
            <v>819088.31499999994</v>
          </cell>
          <cell r="C50">
            <v>714721.22600000002</v>
          </cell>
          <cell r="D50">
            <v>830530.50300000003</v>
          </cell>
          <cell r="E50">
            <v>4413.0079999999998</v>
          </cell>
          <cell r="F50">
            <v>2368753.0520000001</v>
          </cell>
          <cell r="G50" t="str">
            <v>Not Available</v>
          </cell>
          <cell r="H50">
            <v>2368753.0520000001</v>
          </cell>
        </row>
        <row r="51">
          <cell r="A51">
            <v>1987</v>
          </cell>
          <cell r="B51">
            <v>850410.25100000005</v>
          </cell>
          <cell r="C51">
            <v>744066.68799999997</v>
          </cell>
          <cell r="D51">
            <v>858232.91899999999</v>
          </cell>
          <cell r="E51">
            <v>4562.3609999999999</v>
          </cell>
          <cell r="F51">
            <v>2457272.219</v>
          </cell>
          <cell r="G51" t="str">
            <v>Not Available</v>
          </cell>
          <cell r="H51">
            <v>2457272.219</v>
          </cell>
        </row>
        <row r="52">
          <cell r="A52">
            <v>1988</v>
          </cell>
          <cell r="B52">
            <v>892866.14099999995</v>
          </cell>
          <cell r="C52">
            <v>784029.28099999996</v>
          </cell>
          <cell r="D52">
            <v>896498.11699999997</v>
          </cell>
          <cell r="E52">
            <v>4668.9560000000001</v>
          </cell>
          <cell r="F52">
            <v>2578062.4950000001</v>
          </cell>
          <cell r="G52" t="str">
            <v>Not Available</v>
          </cell>
          <cell r="H52">
            <v>2578062.4950000001</v>
          </cell>
        </row>
        <row r="53">
          <cell r="A53">
            <v>1989</v>
          </cell>
          <cell r="B53">
            <v>905524.63399999996</v>
          </cell>
          <cell r="C53">
            <v>810855.91799999995</v>
          </cell>
          <cell r="D53">
            <v>925658.66899999999</v>
          </cell>
          <cell r="E53">
            <v>4770.1109999999999</v>
          </cell>
          <cell r="F53">
            <v>2646809.3319999999</v>
          </cell>
          <cell r="G53">
            <v>108825.821</v>
          </cell>
          <cell r="H53">
            <v>2755635.1529999999</v>
          </cell>
        </row>
        <row r="54">
          <cell r="A54">
            <v>1990</v>
          </cell>
          <cell r="B54">
            <v>924018.69900000002</v>
          </cell>
          <cell r="C54">
            <v>838263.10600000003</v>
          </cell>
          <cell r="D54">
            <v>945521.69499999995</v>
          </cell>
          <cell r="E54">
            <v>4751.165</v>
          </cell>
          <cell r="F54">
            <v>2712554.665</v>
          </cell>
          <cell r="G54">
            <v>124528.94</v>
          </cell>
          <cell r="H54">
            <v>2837083.605</v>
          </cell>
        </row>
        <row r="55">
          <cell r="A55">
            <v>1991</v>
          </cell>
          <cell r="B55">
            <v>955417.35</v>
          </cell>
          <cell r="C55">
            <v>855243.85600000003</v>
          </cell>
          <cell r="D55">
            <v>946583.39099999995</v>
          </cell>
          <cell r="E55">
            <v>4758.4430000000002</v>
          </cell>
          <cell r="F55">
            <v>2762003.04</v>
          </cell>
          <cell r="G55">
            <v>124057.179</v>
          </cell>
          <cell r="H55">
            <v>2886060.219</v>
          </cell>
        </row>
        <row r="56">
          <cell r="A56">
            <v>1992</v>
          </cell>
          <cell r="B56">
            <v>935938.78799999994</v>
          </cell>
          <cell r="C56">
            <v>850006.92200000002</v>
          </cell>
          <cell r="D56">
            <v>972713.99</v>
          </cell>
          <cell r="E56">
            <v>4705.7460000000001</v>
          </cell>
          <cell r="F56">
            <v>2763365.446</v>
          </cell>
          <cell r="G56">
            <v>133841.24400000001</v>
          </cell>
          <cell r="H56">
            <v>2897206.69</v>
          </cell>
        </row>
        <row r="57">
          <cell r="A57">
            <v>1993</v>
          </cell>
          <cell r="B57">
            <v>994780.81799999997</v>
          </cell>
          <cell r="C57">
            <v>884746.34</v>
          </cell>
          <cell r="D57">
            <v>977164.25</v>
          </cell>
          <cell r="E57">
            <v>4770.9319999999998</v>
          </cell>
          <cell r="F57">
            <v>2861462.34</v>
          </cell>
          <cell r="G57">
            <v>139237.87700000001</v>
          </cell>
          <cell r="H57">
            <v>3000700.2170000002</v>
          </cell>
        </row>
        <row r="58">
          <cell r="A58">
            <v>1994</v>
          </cell>
          <cell r="B58">
            <v>1008481.682</v>
          </cell>
          <cell r="C58">
            <v>913105.69099999999</v>
          </cell>
          <cell r="D58">
            <v>1007981.245</v>
          </cell>
          <cell r="E58">
            <v>4994.2460000000001</v>
          </cell>
          <cell r="F58">
            <v>2934562.8640000001</v>
          </cell>
          <cell r="G58">
            <v>146325.334</v>
          </cell>
          <cell r="H58">
            <v>3080888.1979999999</v>
          </cell>
        </row>
        <row r="59">
          <cell r="A59">
            <v>1995</v>
          </cell>
          <cell r="B59">
            <v>1042501.471</v>
          </cell>
          <cell r="C59">
            <v>953117.24800000002</v>
          </cell>
          <cell r="D59">
            <v>1012693.35</v>
          </cell>
          <cell r="E59">
            <v>4974.5200000000004</v>
          </cell>
          <cell r="F59">
            <v>3013286.5890000002</v>
          </cell>
          <cell r="G59">
            <v>150676.54</v>
          </cell>
          <cell r="H59">
            <v>3163963.1290000002</v>
          </cell>
        </row>
        <row r="60">
          <cell r="A60">
            <v>1996</v>
          </cell>
          <cell r="B60">
            <v>1082511.75</v>
          </cell>
          <cell r="C60">
            <v>980061.11899999995</v>
          </cell>
          <cell r="D60">
            <v>1033631.378</v>
          </cell>
          <cell r="E60">
            <v>4922.7780000000002</v>
          </cell>
          <cell r="F60">
            <v>3101127.0249999999</v>
          </cell>
          <cell r="G60">
            <v>152638.016</v>
          </cell>
          <cell r="H60">
            <v>3253765.0410000002</v>
          </cell>
        </row>
        <row r="61">
          <cell r="A61">
            <v>1997</v>
          </cell>
          <cell r="B61">
            <v>1075880.095</v>
          </cell>
          <cell r="C61">
            <v>1026626.105</v>
          </cell>
          <cell r="D61">
            <v>1038196.892</v>
          </cell>
          <cell r="E61">
            <v>4907.3329999999996</v>
          </cell>
          <cell r="F61">
            <v>3145610.4249999998</v>
          </cell>
          <cell r="G61">
            <v>156238.89799999999</v>
          </cell>
          <cell r="H61">
            <v>3301849.3229999999</v>
          </cell>
        </row>
        <row r="62">
          <cell r="A62">
            <v>1998</v>
          </cell>
          <cell r="B62">
            <v>1130109.1200000001</v>
          </cell>
          <cell r="C62">
            <v>1077956.919</v>
          </cell>
          <cell r="D62">
            <v>1051203.1140000001</v>
          </cell>
          <cell r="E62">
            <v>4961.598</v>
          </cell>
          <cell r="F62">
            <v>3264230.7510000002</v>
          </cell>
          <cell r="G62">
            <v>160865.88399999999</v>
          </cell>
          <cell r="H62">
            <v>3425096.6349999998</v>
          </cell>
        </row>
        <row r="63">
          <cell r="A63">
            <v>1999</v>
          </cell>
          <cell r="B63">
            <v>1144923.068</v>
          </cell>
          <cell r="C63">
            <v>1103821.21</v>
          </cell>
          <cell r="D63">
            <v>1058216.608</v>
          </cell>
          <cell r="E63">
            <v>5126.1940000000004</v>
          </cell>
          <cell r="F63">
            <v>3312087.08</v>
          </cell>
          <cell r="G63">
            <v>171629.285</v>
          </cell>
          <cell r="H63">
            <v>3483716.3650000002</v>
          </cell>
        </row>
        <row r="64">
          <cell r="A64">
            <v>2000</v>
          </cell>
          <cell r="B64">
            <v>1192446.4909999999</v>
          </cell>
          <cell r="C64">
            <v>1159346.6399999999</v>
          </cell>
          <cell r="D64">
            <v>1064239.3940000001</v>
          </cell>
          <cell r="E64">
            <v>5381.7430000000004</v>
          </cell>
          <cell r="F64">
            <v>3421414.2680000002</v>
          </cell>
          <cell r="G64">
            <v>170942.50899999999</v>
          </cell>
          <cell r="H64">
            <v>3592356.7769999998</v>
          </cell>
        </row>
        <row r="65">
          <cell r="A65">
            <v>2001</v>
          </cell>
          <cell r="B65">
            <v>1201606.5930000001</v>
          </cell>
          <cell r="C65">
            <v>1190517.8759999999</v>
          </cell>
          <cell r="D65">
            <v>996609.31</v>
          </cell>
          <cell r="E65">
            <v>5724.3249999999998</v>
          </cell>
          <cell r="F65">
            <v>3394458.1039999998</v>
          </cell>
          <cell r="G65">
            <v>162648.61499999999</v>
          </cell>
          <cell r="H65">
            <v>3557106.719</v>
          </cell>
        </row>
        <row r="66">
          <cell r="A66">
            <v>2002</v>
          </cell>
          <cell r="B66">
            <v>1265179.8689999999</v>
          </cell>
          <cell r="C66">
            <v>1204531.3130000001</v>
          </cell>
          <cell r="D66">
            <v>990237.63100000005</v>
          </cell>
          <cell r="E66">
            <v>5517.1980000000003</v>
          </cell>
          <cell r="F66">
            <v>3465466.0109999999</v>
          </cell>
          <cell r="G66">
            <v>166184.296</v>
          </cell>
          <cell r="H66">
            <v>3631650.307</v>
          </cell>
        </row>
        <row r="67">
          <cell r="A67">
            <v>2003</v>
          </cell>
          <cell r="B67">
            <v>1275823.9099999999</v>
          </cell>
          <cell r="C67">
            <v>1198727.601</v>
          </cell>
          <cell r="D67">
            <v>1012373.247</v>
          </cell>
          <cell r="E67">
            <v>6809.7280000000001</v>
          </cell>
          <cell r="F67">
            <v>3493734.486</v>
          </cell>
          <cell r="G67">
            <v>168294.52600000001</v>
          </cell>
          <cell r="H67">
            <v>3662029.0120000001</v>
          </cell>
        </row>
        <row r="68">
          <cell r="A68">
            <v>2004</v>
          </cell>
          <cell r="B68">
            <v>1291981.578</v>
          </cell>
          <cell r="C68">
            <v>1230424.7309999999</v>
          </cell>
          <cell r="D68">
            <v>1017849.532</v>
          </cell>
          <cell r="E68">
            <v>7223.6419999999998</v>
          </cell>
          <cell r="F68">
            <v>3547479.483</v>
          </cell>
          <cell r="G68">
            <v>168470.00200000001</v>
          </cell>
          <cell r="H68">
            <v>3715949.4849999999</v>
          </cell>
        </row>
        <row r="69">
          <cell r="A69">
            <v>2005</v>
          </cell>
          <cell r="B69">
            <v>1359227.1070000001</v>
          </cell>
          <cell r="C69">
            <v>1275079.02</v>
          </cell>
          <cell r="D69">
            <v>1019156.0649999999</v>
          </cell>
          <cell r="E69">
            <v>7506.3209999999999</v>
          </cell>
          <cell r="F69">
            <v>3660968.5129999998</v>
          </cell>
          <cell r="G69">
            <v>150015.53099999999</v>
          </cell>
          <cell r="H69">
            <v>3810984.0440000002</v>
          </cell>
        </row>
        <row r="70">
          <cell r="A70">
            <v>2006</v>
          </cell>
          <cell r="B70">
            <v>1351520.0360000001</v>
          </cell>
          <cell r="C70">
            <v>1299743.6950000001</v>
          </cell>
          <cell r="D70">
            <v>1011297.566</v>
          </cell>
          <cell r="E70">
            <v>7357.5429999999997</v>
          </cell>
          <cell r="F70">
            <v>3669918.84</v>
          </cell>
          <cell r="G70">
            <v>146926.61199999999</v>
          </cell>
          <cell r="H70">
            <v>3816845.452</v>
          </cell>
        </row>
        <row r="71">
          <cell r="A71">
            <v>2007</v>
          </cell>
          <cell r="B71">
            <v>1392240.996</v>
          </cell>
          <cell r="C71">
            <v>1336315.196</v>
          </cell>
          <cell r="D71">
            <v>1027831.925</v>
          </cell>
          <cell r="E71">
            <v>8172.5950000000003</v>
          </cell>
          <cell r="F71">
            <v>3764560.7119999998</v>
          </cell>
          <cell r="G71">
            <v>125670.185</v>
          </cell>
          <cell r="H71">
            <v>3890230.8969999999</v>
          </cell>
        </row>
        <row r="72">
          <cell r="A72">
            <v>2008</v>
          </cell>
          <cell r="B72">
            <v>1380661.7450000001</v>
          </cell>
          <cell r="C72">
            <v>1336133.4850000001</v>
          </cell>
          <cell r="D72">
            <v>1009516.178</v>
          </cell>
          <cell r="E72">
            <v>7653.2110000000002</v>
          </cell>
          <cell r="F72">
            <v>3733964.6189999999</v>
          </cell>
          <cell r="G72">
            <v>132196.685</v>
          </cell>
          <cell r="H72">
            <v>3866161.304</v>
          </cell>
        </row>
        <row r="73">
          <cell r="A73">
            <v>2009</v>
          </cell>
          <cell r="B73">
            <v>1364758.1529999999</v>
          </cell>
          <cell r="C73">
            <v>1306852.524</v>
          </cell>
          <cell r="D73">
            <v>917416.46799999999</v>
          </cell>
          <cell r="E73">
            <v>7767.9889999999996</v>
          </cell>
          <cell r="F73">
            <v>3596795.1340000001</v>
          </cell>
          <cell r="G73">
            <v>126937.958</v>
          </cell>
          <cell r="H73">
            <v>3723733.0920000002</v>
          </cell>
        </row>
        <row r="74">
          <cell r="A74">
            <v>2010</v>
          </cell>
          <cell r="B74">
            <v>1445708.4029999999</v>
          </cell>
          <cell r="C74">
            <v>1330199.3640000001</v>
          </cell>
          <cell r="D74">
            <v>971221.18900000001</v>
          </cell>
          <cell r="E74">
            <v>7712.4120000000003</v>
          </cell>
          <cell r="F74">
            <v>3754841.3679999998</v>
          </cell>
          <cell r="G74">
            <v>131910.24900000001</v>
          </cell>
          <cell r="H74">
            <v>3886751.6170000001</v>
          </cell>
        </row>
        <row r="75">
          <cell r="A75">
            <v>2011</v>
          </cell>
          <cell r="B75">
            <v>1422801.0930000001</v>
          </cell>
          <cell r="C75">
            <v>1328057.439</v>
          </cell>
          <cell r="D75">
            <v>991315.56400000001</v>
          </cell>
          <cell r="E75">
            <v>7672.0839999999998</v>
          </cell>
          <cell r="F75">
            <v>3749846.18</v>
          </cell>
          <cell r="G75">
            <v>132754.03700000001</v>
          </cell>
          <cell r="H75">
            <v>3882600.2170000002</v>
          </cell>
        </row>
        <row r="76">
          <cell r="A76">
            <v>2012</v>
          </cell>
          <cell r="B76">
            <v>1374514.7080000001</v>
          </cell>
          <cell r="C76">
            <v>1327101.196</v>
          </cell>
          <cell r="D76">
            <v>985713.85400000005</v>
          </cell>
          <cell r="E76">
            <v>7320.0280000000002</v>
          </cell>
          <cell r="F76">
            <v>3694649.7859999998</v>
          </cell>
          <cell r="G76">
            <v>137656.51</v>
          </cell>
          <cell r="H76">
            <v>3832306.2960000001</v>
          </cell>
        </row>
        <row r="77">
          <cell r="A77">
            <v>2013</v>
          </cell>
          <cell r="B77">
            <v>1394812.129</v>
          </cell>
          <cell r="C77">
            <v>1337078.777</v>
          </cell>
          <cell r="D77">
            <v>985351.87399999995</v>
          </cell>
          <cell r="E77">
            <v>7625.0410000000002</v>
          </cell>
          <cell r="F77">
            <v>3724867.821</v>
          </cell>
          <cell r="G77">
            <v>143461.93700000001</v>
          </cell>
          <cell r="H77">
            <v>3868329.7579999999</v>
          </cell>
        </row>
        <row r="78">
          <cell r="A78">
            <v>2014</v>
          </cell>
          <cell r="B78">
            <v>1407208.311</v>
          </cell>
          <cell r="C78">
            <v>1352158.263</v>
          </cell>
          <cell r="D78">
            <v>997576.13800000004</v>
          </cell>
          <cell r="E78">
            <v>7757.5550000000003</v>
          </cell>
          <cell r="F78">
            <v>3764700.267</v>
          </cell>
          <cell r="G78">
            <v>138573.88399999999</v>
          </cell>
          <cell r="H78">
            <v>3903274.1510000001</v>
          </cell>
        </row>
        <row r="79">
          <cell r="A79">
            <v>2015</v>
          </cell>
          <cell r="B79">
            <v>1404096.4990000001</v>
          </cell>
          <cell r="C79">
            <v>1360751.527</v>
          </cell>
          <cell r="D79">
            <v>986507.73199999996</v>
          </cell>
          <cell r="E79">
            <v>7636.6319999999996</v>
          </cell>
          <cell r="F79">
            <v>3758992.389</v>
          </cell>
          <cell r="G79">
            <v>141167.519</v>
          </cell>
          <cell r="H79">
            <v>3900159.9079999998</v>
          </cell>
        </row>
        <row r="80">
          <cell r="A80">
            <v>2016</v>
          </cell>
          <cell r="B80">
            <v>1411058.1529999999</v>
          </cell>
          <cell r="C80">
            <v>1367191.3859999999</v>
          </cell>
          <cell r="D80">
            <v>976715.18099999998</v>
          </cell>
          <cell r="E80">
            <v>7496.91</v>
          </cell>
          <cell r="F80">
            <v>3762461.63</v>
          </cell>
          <cell r="G80">
            <v>139836.69899999999</v>
          </cell>
          <cell r="H80">
            <v>3902298.3289999999</v>
          </cell>
        </row>
        <row r="81">
          <cell r="A81">
            <v>2017</v>
          </cell>
          <cell r="B81">
            <v>1378647.7420000001</v>
          </cell>
          <cell r="C81">
            <v>1352887.6939999999</v>
          </cell>
          <cell r="D81">
            <v>984297.94499999995</v>
          </cell>
          <cell r="E81">
            <v>7522.5929999999998</v>
          </cell>
          <cell r="F81">
            <v>3723355.9739999999</v>
          </cell>
          <cell r="G81">
            <v>140959.389</v>
          </cell>
          <cell r="H81">
            <v>3864315.3629999999</v>
          </cell>
        </row>
        <row r="82">
          <cell r="A82">
            <v>2018</v>
          </cell>
          <cell r="B82">
            <v>1469093.0589999999</v>
          </cell>
          <cell r="C82">
            <v>1381754.845</v>
          </cell>
          <cell r="D82">
            <v>1000672.553</v>
          </cell>
          <cell r="E82">
            <v>7664.8040000000001</v>
          </cell>
          <cell r="F82">
            <v>3859185.2609999999</v>
          </cell>
          <cell r="G82">
            <v>143903.73199999999</v>
          </cell>
          <cell r="H82">
            <v>4003088.9929999998</v>
          </cell>
        </row>
        <row r="83">
          <cell r="A83">
            <v>2019</v>
          </cell>
          <cell r="B83">
            <v>1440288.909</v>
          </cell>
          <cell r="C83">
            <v>1360876.5549999999</v>
          </cell>
          <cell r="D83">
            <v>1002352.849</v>
          </cell>
          <cell r="E83">
            <v>7632.15</v>
          </cell>
          <cell r="F83">
            <v>3811150.463</v>
          </cell>
          <cell r="G83">
            <v>143270.33799999999</v>
          </cell>
          <cell r="H83">
            <v>3954420.801</v>
          </cell>
        </row>
        <row r="84">
          <cell r="A84">
            <v>2020</v>
          </cell>
          <cell r="B84">
            <v>1464605.0460000001</v>
          </cell>
          <cell r="C84">
            <v>1287439.5830000001</v>
          </cell>
          <cell r="D84">
            <v>959082.02800000005</v>
          </cell>
          <cell r="E84">
            <v>6547.8239999999996</v>
          </cell>
          <cell r="F84">
            <v>3717674.4810000001</v>
          </cell>
          <cell r="G84">
            <v>138702.54</v>
          </cell>
          <cell r="H84">
            <v>3856377.0210000002</v>
          </cell>
        </row>
        <row r="85">
          <cell r="A85">
            <v>2021</v>
          </cell>
          <cell r="B85">
            <v>1470486.882</v>
          </cell>
          <cell r="C85">
            <v>1328439.4979999999</v>
          </cell>
          <cell r="D85">
            <v>1000613.49</v>
          </cell>
          <cell r="E85">
            <v>6334.3829999999998</v>
          </cell>
          <cell r="F85">
            <v>3805874.253</v>
          </cell>
          <cell r="G85">
            <v>138699.826</v>
          </cell>
          <cell r="H85">
            <v>3944574.0789999999</v>
          </cell>
        </row>
        <row r="86">
          <cell r="A86">
            <v>2022</v>
          </cell>
          <cell r="B86">
            <v>1509233.162</v>
          </cell>
          <cell r="C86">
            <v>1390872.8130000001</v>
          </cell>
          <cell r="D86">
            <v>1020463.986</v>
          </cell>
          <cell r="E86">
            <v>6599.1080000000002</v>
          </cell>
          <cell r="F86">
            <v>3927169.0690000001</v>
          </cell>
          <cell r="G86">
            <v>143312.17199999999</v>
          </cell>
          <cell r="H86">
            <v>4070481.2409999999</v>
          </cell>
        </row>
      </sheetData>
      <sheetData sheetId="38">
        <row r="13">
          <cell r="C13">
            <v>5.5E-2</v>
          </cell>
        </row>
      </sheetData>
      <sheetData sheetId="39"/>
      <sheetData sheetId="40">
        <row r="52">
          <cell r="B52">
            <v>2.38</v>
          </cell>
        </row>
      </sheetData>
      <sheetData sheetId="41"/>
      <sheetData sheetId="42">
        <row r="11">
          <cell r="A11" t="str">
            <v>Annual Total</v>
          </cell>
        </row>
      </sheetData>
      <sheetData sheetId="43">
        <row r="2">
          <cell r="A2" t="str">
            <v>November 2023 Monthly Energy Review</v>
          </cell>
        </row>
      </sheetData>
      <sheetData sheetId="44">
        <row r="11">
          <cell r="A11" t="str">
            <v>Annual Total</v>
          </cell>
        </row>
      </sheetData>
      <sheetData sheetId="45">
        <row r="11">
          <cell r="A11" t="str">
            <v>Annual Total</v>
          </cell>
        </row>
      </sheetData>
      <sheetData sheetId="46"/>
      <sheetData sheetId="47">
        <row r="2">
          <cell r="A2" t="str">
            <v>November 2023 Monthly Energy Review</v>
          </cell>
        </row>
      </sheetData>
      <sheetData sheetId="48"/>
      <sheetData sheetId="49"/>
      <sheetData sheetId="50">
        <row r="54">
          <cell r="B54">
            <v>5.8</v>
          </cell>
        </row>
      </sheetData>
      <sheetData sheetId="51">
        <row r="54">
          <cell r="J54">
            <v>5.2530000000000001</v>
          </cell>
        </row>
        <row r="55">
          <cell r="J55">
            <v>5.2530000000000001</v>
          </cell>
        </row>
        <row r="56">
          <cell r="J56">
            <v>5.2530000000000001</v>
          </cell>
        </row>
        <row r="57">
          <cell r="J57">
            <v>5.2169999999999996</v>
          </cell>
        </row>
        <row r="58">
          <cell r="J58">
            <v>5.2140000000000004</v>
          </cell>
        </row>
        <row r="59">
          <cell r="J59">
            <v>5.2039999999999997</v>
          </cell>
        </row>
        <row r="60">
          <cell r="J60">
            <v>5.2110000000000003</v>
          </cell>
        </row>
        <row r="61">
          <cell r="J61">
            <v>5.2050000000000001</v>
          </cell>
        </row>
        <row r="62">
          <cell r="J62">
            <v>5.2030000000000003</v>
          </cell>
        </row>
        <row r="63">
          <cell r="J63">
            <v>5.202</v>
          </cell>
        </row>
        <row r="64">
          <cell r="J64">
            <v>5.2009999999999996</v>
          </cell>
        </row>
        <row r="65">
          <cell r="J65">
            <v>5.2009999999999996</v>
          </cell>
        </row>
        <row r="66">
          <cell r="J66">
            <v>5.1989999999999998</v>
          </cell>
        </row>
        <row r="67">
          <cell r="J67">
            <v>5.1970000000000001</v>
          </cell>
        </row>
        <row r="68">
          <cell r="J68">
            <v>5.1959999999999997</v>
          </cell>
        </row>
        <row r="69">
          <cell r="J69">
            <v>5.1920000000000002</v>
          </cell>
        </row>
        <row r="70">
          <cell r="J70">
            <v>5.1849999999999996</v>
          </cell>
        </row>
        <row r="71">
          <cell r="J71">
            <v>5.1420000000000003</v>
          </cell>
        </row>
        <row r="72">
          <cell r="J72">
            <v>5.1059999999999999</v>
          </cell>
        </row>
        <row r="73">
          <cell r="J73">
            <v>5.09</v>
          </cell>
        </row>
        <row r="74">
          <cell r="J74">
            <v>5.0670000000000002</v>
          </cell>
        </row>
        <row r="75">
          <cell r="J75">
            <v>5.0629999999999997</v>
          </cell>
        </row>
        <row r="76">
          <cell r="J76">
            <v>5.0620000000000003</v>
          </cell>
        </row>
        <row r="77">
          <cell r="J77">
            <v>5.0599999999999996</v>
          </cell>
        </row>
        <row r="78">
          <cell r="J78">
            <v>5.0590000000000002</v>
          </cell>
        </row>
        <row r="79">
          <cell r="J79">
            <v>5.0570000000000004</v>
          </cell>
        </row>
        <row r="80">
          <cell r="J80">
            <v>5.0549999999999997</v>
          </cell>
        </row>
        <row r="81">
          <cell r="J81">
            <v>5.0529999999999999</v>
          </cell>
        </row>
        <row r="82">
          <cell r="J82">
            <v>5.0540000000000003</v>
          </cell>
        </row>
        <row r="83">
          <cell r="J83">
            <v>5.0519999999999996</v>
          </cell>
        </row>
        <row r="84">
          <cell r="J84">
            <v>5.0519999999999996</v>
          </cell>
        </row>
        <row r="85">
          <cell r="J85">
            <v>5.05</v>
          </cell>
        </row>
        <row r="86">
          <cell r="J86">
            <v>5.0490000000000004</v>
          </cell>
        </row>
      </sheetData>
      <sheetData sheetId="52">
        <row r="54">
          <cell r="C54">
            <v>1029</v>
          </cell>
          <cell r="F54">
            <v>1029</v>
          </cell>
        </row>
        <row r="55">
          <cell r="F55">
            <v>1030</v>
          </cell>
        </row>
        <row r="56">
          <cell r="F56">
            <v>1030</v>
          </cell>
        </row>
        <row r="57">
          <cell r="F57">
            <v>1027</v>
          </cell>
        </row>
        <row r="58">
          <cell r="F58">
            <v>1028</v>
          </cell>
        </row>
        <row r="59">
          <cell r="F59">
            <v>1026</v>
          </cell>
        </row>
        <row r="60">
          <cell r="F60">
            <v>1026</v>
          </cell>
        </row>
        <row r="61">
          <cell r="F61">
            <v>1026</v>
          </cell>
        </row>
        <row r="62">
          <cell r="F62">
            <v>1031</v>
          </cell>
        </row>
        <row r="63">
          <cell r="F63">
            <v>1027</v>
          </cell>
        </row>
        <row r="64">
          <cell r="F64">
            <v>1025</v>
          </cell>
        </row>
        <row r="65">
          <cell r="F65">
            <v>1028</v>
          </cell>
        </row>
        <row r="66">
          <cell r="F66">
            <v>1024</v>
          </cell>
        </row>
        <row r="67">
          <cell r="F67">
            <v>1028</v>
          </cell>
        </row>
        <row r="68">
          <cell r="F68">
            <v>1026</v>
          </cell>
        </row>
        <row r="69">
          <cell r="F69">
            <v>1028</v>
          </cell>
        </row>
        <row r="70">
          <cell r="F70">
            <v>1028</v>
          </cell>
        </row>
        <row r="71">
          <cell r="F71">
            <v>1027</v>
          </cell>
        </row>
        <row r="72">
          <cell r="F72">
            <v>1027</v>
          </cell>
        </row>
        <row r="73">
          <cell r="F73">
            <v>1025</v>
          </cell>
        </row>
        <row r="74">
          <cell r="F74">
            <v>1023</v>
          </cell>
        </row>
        <row r="75">
          <cell r="F75">
            <v>1022</v>
          </cell>
        </row>
        <row r="76">
          <cell r="F76">
            <v>1024</v>
          </cell>
        </row>
        <row r="77">
          <cell r="F77">
            <v>1027</v>
          </cell>
        </row>
        <row r="78">
          <cell r="F78">
            <v>1032</v>
          </cell>
        </row>
        <row r="79">
          <cell r="F79">
            <v>1037</v>
          </cell>
        </row>
        <row r="80">
          <cell r="F80">
            <v>1037</v>
          </cell>
        </row>
        <row r="81">
          <cell r="F81">
            <v>1036</v>
          </cell>
        </row>
        <row r="82">
          <cell r="F82">
            <v>1036</v>
          </cell>
        </row>
        <row r="83">
          <cell r="F83">
            <v>1038</v>
          </cell>
        </row>
        <row r="84">
          <cell r="F84">
            <v>1037</v>
          </cell>
        </row>
        <row r="85">
          <cell r="F85">
            <v>1037</v>
          </cell>
        </row>
        <row r="86">
          <cell r="F86">
            <v>1036</v>
          </cell>
        </row>
      </sheetData>
      <sheetData sheetId="53">
        <row r="11">
          <cell r="A11" t="str">
            <v>Year</v>
          </cell>
        </row>
      </sheetData>
      <sheetData sheetId="54">
        <row r="85">
          <cell r="E85">
            <v>8844</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F Reporter Input"/>
      <sheetName val="Checker"/>
      <sheetName val="Summary"/>
      <sheetName val="Main calcs"/>
      <sheetName val="Jet Fuel"/>
      <sheetName val="Heat Contents"/>
      <sheetName val="Carbon Contents"/>
      <sheetName val="Military Jet Fuel"/>
      <sheetName val="key"/>
      <sheetName val="Changes"/>
      <sheetName val="Jet Fuels Summary"/>
      <sheetName val="Sheet1"/>
      <sheetName val="transport 1990-2022_12_18_23"/>
    </sheetNames>
    <sheetDataSet>
      <sheetData sheetId="0"/>
      <sheetData sheetId="1"/>
      <sheetData sheetId="2">
        <row r="7">
          <cell r="D7">
            <v>612.76738466169525</v>
          </cell>
        </row>
      </sheetData>
      <sheetData sheetId="3">
        <row r="6">
          <cell r="C6">
            <v>108125135694.72821</v>
          </cell>
        </row>
        <row r="40">
          <cell r="C40">
            <v>4751165000.000001</v>
          </cell>
          <cell r="D40">
            <v>4758443000.000001</v>
          </cell>
          <cell r="E40">
            <v>4705746000</v>
          </cell>
          <cell r="F40">
            <v>4770932000.000001</v>
          </cell>
          <cell r="G40">
            <v>4994246000</v>
          </cell>
          <cell r="H40">
            <v>4974520000.000001</v>
          </cell>
          <cell r="I40">
            <v>4922778000</v>
          </cell>
          <cell r="J40">
            <v>4907333000</v>
          </cell>
          <cell r="K40">
            <v>4961598000.000001</v>
          </cell>
          <cell r="L40">
            <v>5126194000</v>
          </cell>
          <cell r="M40">
            <v>5381743000</v>
          </cell>
          <cell r="N40">
            <v>5724325000.000001</v>
          </cell>
          <cell r="O40">
            <v>5517198000</v>
          </cell>
          <cell r="P40">
            <v>6809727999.999999</v>
          </cell>
          <cell r="Q40">
            <v>7223641999.999999</v>
          </cell>
          <cell r="R40">
            <v>7506321000</v>
          </cell>
          <cell r="S40">
            <v>7357543000</v>
          </cell>
          <cell r="T40">
            <v>8172595000.0000019</v>
          </cell>
          <cell r="U40">
            <v>7653211000</v>
          </cell>
          <cell r="V40">
            <v>7767989000</v>
          </cell>
          <cell r="W40">
            <v>7741833333.9517736</v>
          </cell>
          <cell r="X40">
            <v>7765260506.8729057</v>
          </cell>
          <cell r="Y40">
            <v>7529583590.007287</v>
          </cell>
          <cell r="Z40">
            <v>8078501741.7692862</v>
          </cell>
          <cell r="AA40">
            <v>8514589086.4831085</v>
          </cell>
          <cell r="AB40">
            <v>8738991282.7603416</v>
          </cell>
          <cell r="AC40">
            <v>9061875375.7858601</v>
          </cell>
          <cell r="AD40">
            <v>9630756595.4084435</v>
          </cell>
          <cell r="AE40">
            <v>10879248626.114531</v>
          </cell>
          <cell r="AF40">
            <v>11841971569.55978</v>
          </cell>
          <cell r="AG40">
            <v>10975915350.65229</v>
          </cell>
          <cell r="AH40">
            <v>12888996279.011292</v>
          </cell>
          <cell r="AI40">
            <v>16174275502.940857</v>
          </cell>
        </row>
        <row r="131">
          <cell r="C131">
            <v>958.87096801748817</v>
          </cell>
          <cell r="D131">
            <v>944.59536443935872</v>
          </cell>
          <cell r="E131">
            <v>973.71231411190684</v>
          </cell>
          <cell r="F131">
            <v>987.20212142278001</v>
          </cell>
          <cell r="G131">
            <v>999.67097498511282</v>
          </cell>
          <cell r="H131">
            <v>1013.055452226066</v>
          </cell>
          <cell r="I131">
            <v>1036.4543061546442</v>
          </cell>
          <cell r="J131">
            <v>1048.7507095836045</v>
          </cell>
          <cell r="K131">
            <v>1079.4231249270201</v>
          </cell>
          <cell r="L131">
            <v>1113.0028967407427</v>
          </cell>
          <cell r="M131">
            <v>1118.1811120037971</v>
          </cell>
          <cell r="N131">
            <v>1118.3582998347761</v>
          </cell>
          <cell r="O131">
            <v>1142.6521467240207</v>
          </cell>
          <cell r="P131">
            <v>1162.32444078239</v>
          </cell>
          <cell r="Q131">
            <v>1166.9278606844302</v>
          </cell>
          <cell r="R131">
            <v>1150.1356184212557</v>
          </cell>
          <cell r="S131">
            <v>1142.7696619390047</v>
          </cell>
          <cell r="T131">
            <v>1135.4631435242425</v>
          </cell>
          <cell r="U131">
            <v>1071.718182779804</v>
          </cell>
          <cell r="V131">
            <v>1071.3666160018554</v>
          </cell>
          <cell r="W131">
            <v>1059.2539651222301</v>
          </cell>
          <cell r="X131">
            <v>1035.7369502593297</v>
          </cell>
          <cell r="Y131">
            <v>1030.4308439935292</v>
          </cell>
          <cell r="Z131">
            <v>1028.0258968127264</v>
          </cell>
          <cell r="AA131">
            <v>1066.5743679504342</v>
          </cell>
          <cell r="AB131">
            <v>1058.7852913239838</v>
          </cell>
          <cell r="AC131">
            <v>1084.3609350463498</v>
          </cell>
          <cell r="AD131">
            <v>1081.8051058891069</v>
          </cell>
          <cell r="AE131">
            <v>1097.0180823604708</v>
          </cell>
          <cell r="AF131">
            <v>1086.5359143278301</v>
          </cell>
          <cell r="AG131">
            <v>936.85613912457495</v>
          </cell>
          <cell r="AH131">
            <v>1028.7327790699164</v>
          </cell>
          <cell r="AI131">
            <v>1037.2681935730093</v>
          </cell>
        </row>
        <row r="138">
          <cell r="C138">
            <v>262.90175649406103</v>
          </cell>
          <cell r="D138">
            <v>255.12515268372005</v>
          </cell>
          <cell r="E138">
            <v>271.10370985738314</v>
          </cell>
          <cell r="F138">
            <v>287.64717003528193</v>
          </cell>
          <cell r="G138">
            <v>309.65347842265442</v>
          </cell>
          <cell r="H138">
            <v>324.1715516399529</v>
          </cell>
          <cell r="I138">
            <v>340.12360212335801</v>
          </cell>
          <cell r="J138">
            <v>355.1515452985301</v>
          </cell>
          <cell r="K138">
            <v>366.46847595739496</v>
          </cell>
          <cell r="L138">
            <v>388.36883675899719</v>
          </cell>
          <cell r="M138">
            <v>406.89215901347757</v>
          </cell>
          <cell r="N138">
            <v>404.39363757688636</v>
          </cell>
          <cell r="O138">
            <v>417.74962299407673</v>
          </cell>
          <cell r="P138">
            <v>426.54558776438665</v>
          </cell>
          <cell r="Q138">
            <v>442.42608188459133</v>
          </cell>
          <cell r="R138">
            <v>462.61577609311223</v>
          </cell>
          <cell r="S138">
            <v>473.99309149553648</v>
          </cell>
          <cell r="T138">
            <v>478.14950624548203</v>
          </cell>
          <cell r="U138">
            <v>453.43575016218529</v>
          </cell>
          <cell r="V138">
            <v>407.57895302168868</v>
          </cell>
          <cell r="W138">
            <v>425.19646953883949</v>
          </cell>
          <cell r="X138">
            <v>427.6280827235878</v>
          </cell>
          <cell r="Y138">
            <v>426.41489789847134</v>
          </cell>
          <cell r="Z138">
            <v>429.87199491428527</v>
          </cell>
          <cell r="AA138">
            <v>444.45212024840879</v>
          </cell>
          <cell r="AB138">
            <v>456.34311997010326</v>
          </cell>
          <cell r="AC138">
            <v>452.42787298808332</v>
          </cell>
          <cell r="AD138">
            <v>465.86881051223031</v>
          </cell>
          <cell r="AE138">
            <v>476.60081185254569</v>
          </cell>
          <cell r="AF138">
            <v>474.01943388448933</v>
          </cell>
          <cell r="AG138">
            <v>447.42663937423902</v>
          </cell>
          <cell r="AH138">
            <v>480.64938445799595</v>
          </cell>
          <cell r="AI138">
            <v>480.78698026148368</v>
          </cell>
        </row>
        <row r="146">
          <cell r="C146">
            <v>184.06940088336012</v>
          </cell>
          <cell r="D146">
            <v>168.66917277942096</v>
          </cell>
          <cell r="E146">
            <v>166.49655534295016</v>
          </cell>
          <cell r="F146">
            <v>168.07552796411721</v>
          </cell>
          <cell r="G146">
            <v>175.39063827643523</v>
          </cell>
          <cell r="H146">
            <v>172.11661100486771</v>
          </cell>
          <cell r="I146">
            <v>184.48695561999631</v>
          </cell>
          <cell r="J146">
            <v>184.33553328803944</v>
          </cell>
          <cell r="K146">
            <v>188.25018550549427</v>
          </cell>
          <cell r="L146">
            <v>192.35976342800956</v>
          </cell>
          <cell r="M146">
            <v>194.92054480835256</v>
          </cell>
          <cell r="N146">
            <v>189.56983550122058</v>
          </cell>
          <cell r="O146">
            <v>185.1857399723566</v>
          </cell>
          <cell r="P146">
            <v>179.19329073932138</v>
          </cell>
          <cell r="Q146">
            <v>186.5791800477665</v>
          </cell>
          <cell r="R146">
            <v>189.24792409177772</v>
          </cell>
          <cell r="S146">
            <v>182.19408744734335</v>
          </cell>
          <cell r="T146">
            <v>179.38424049480398</v>
          </cell>
          <cell r="U146">
            <v>172.96939159170532</v>
          </cell>
          <cell r="V146">
            <v>154.06158295994686</v>
          </cell>
          <cell r="W146">
            <v>151.40905575253709</v>
          </cell>
          <cell r="X146">
            <v>146.53936504033354</v>
          </cell>
          <cell r="Y146">
            <v>143.30758419922373</v>
          </cell>
          <cell r="Z146">
            <v>147.04929288388544</v>
          </cell>
          <cell r="AA146">
            <v>148.29378133257555</v>
          </cell>
          <cell r="AB146">
            <v>157.51034818691798</v>
          </cell>
          <cell r="AC146">
            <v>165.95167606600393</v>
          </cell>
          <cell r="AD146">
            <v>171.68356572113379</v>
          </cell>
          <cell r="AE146">
            <v>172.25678963581601</v>
          </cell>
          <cell r="AF146">
            <v>180.26560680206128</v>
          </cell>
          <cell r="AG146">
            <v>120.6238825772685</v>
          </cell>
          <cell r="AH146">
            <v>152.64702491553962</v>
          </cell>
          <cell r="AI146">
            <v>167.49305734264436</v>
          </cell>
        </row>
        <row r="150">
          <cell r="C150">
            <v>3.1096121236133114</v>
          </cell>
          <cell r="D150">
            <v>2.8845043581616476</v>
          </cell>
          <cell r="E150">
            <v>2.8383904516640253</v>
          </cell>
          <cell r="F150">
            <v>2.6544879160063384</v>
          </cell>
          <cell r="G150">
            <v>2.6367198890649757</v>
          </cell>
          <cell r="H150">
            <v>2.7364835578446907</v>
          </cell>
          <cell r="I150">
            <v>2.5825861727416788</v>
          </cell>
          <cell r="J150">
            <v>2.7445033676703643</v>
          </cell>
          <cell r="K150">
            <v>2.4542000792393024</v>
          </cell>
          <cell r="L150">
            <v>2.7082068145800311</v>
          </cell>
          <cell r="M150">
            <v>2.5086103407290006</v>
          </cell>
          <cell r="N150">
            <v>2.4154146196513464</v>
          </cell>
          <cell r="O150">
            <v>2.3320362519809823</v>
          </cell>
          <cell r="P150">
            <v>2.0894370047543576</v>
          </cell>
          <cell r="Q150">
            <v>2.1599560221870044</v>
          </cell>
          <cell r="R150">
            <v>2.4450740887480187</v>
          </cell>
          <cell r="S150">
            <v>2.3124706814580032</v>
          </cell>
          <cell r="T150">
            <v>2.1840154516640249</v>
          </cell>
          <cell r="U150">
            <v>1.9554508716323291</v>
          </cell>
          <cell r="V150">
            <v>1.8361216323296348</v>
          </cell>
          <cell r="W150">
            <v>1.869929278922345</v>
          </cell>
          <cell r="X150">
            <v>1.8706206418383515</v>
          </cell>
          <cell r="Y150">
            <v>1.7362888272583199</v>
          </cell>
          <cell r="Z150">
            <v>1.545749207606973</v>
          </cell>
          <cell r="AA150">
            <v>1.4999809825673529</v>
          </cell>
          <cell r="AB150">
            <v>1.4616103407290009</v>
          </cell>
          <cell r="AC150">
            <v>1.4148742076069727</v>
          </cell>
          <cell r="AD150">
            <v>1.4483361727416797</v>
          </cell>
          <cell r="AE150">
            <v>1.548168977812995</v>
          </cell>
          <cell r="AF150">
            <v>1.616890451664025</v>
          </cell>
          <cell r="AG150">
            <v>1.3966913629160063</v>
          </cell>
          <cell r="AH150">
            <v>1.4898870839936607</v>
          </cell>
          <cell r="AI150">
            <v>1.5422232567353402</v>
          </cell>
        </row>
        <row r="152">
          <cell r="C152">
            <v>22.550861720104951</v>
          </cell>
          <cell r="D152">
            <v>16.85194550311595</v>
          </cell>
          <cell r="E152">
            <v>30.046886068756475</v>
          </cell>
          <cell r="F152">
            <v>27.598738222837749</v>
          </cell>
          <cell r="G152">
            <v>26.892264786684578</v>
          </cell>
          <cell r="H152">
            <v>29.083868153077759</v>
          </cell>
          <cell r="I152">
            <v>23.647594659682987</v>
          </cell>
          <cell r="J152">
            <v>10.250887053796703</v>
          </cell>
          <cell r="K152">
            <v>5.925242959783259</v>
          </cell>
          <cell r="L152">
            <v>13.19535457230848</v>
          </cell>
          <cell r="M152">
            <v>33.301299824517116</v>
          </cell>
          <cell r="N152">
            <v>11.977176807833601</v>
          </cell>
          <cell r="O152">
            <v>17.112643462379527</v>
          </cell>
          <cell r="P152">
            <v>7.4427836102587737</v>
          </cell>
          <cell r="Q152">
            <v>13.997842704984761</v>
          </cell>
          <cell r="R152">
            <v>19.256721315532808</v>
          </cell>
          <cell r="S152">
            <v>23.001891697213448</v>
          </cell>
          <cell r="T152">
            <v>28.993883461208757</v>
          </cell>
          <cell r="U152">
            <v>20.373712766218244</v>
          </cell>
          <cell r="V152">
            <v>13.947566370092373</v>
          </cell>
          <cell r="W152">
            <v>20.438342346526728</v>
          </cell>
          <cell r="X152">
            <v>19.370355363532806</v>
          </cell>
          <cell r="Y152">
            <v>15.849534968791041</v>
          </cell>
          <cell r="Z152">
            <v>15.120735722584548</v>
          </cell>
          <cell r="AA152">
            <v>5.8092242770261313</v>
          </cell>
          <cell r="AB152">
            <v>4.2465632356693357</v>
          </cell>
          <cell r="AC152">
            <v>12.949318850744325</v>
          </cell>
          <cell r="AD152">
            <v>16.465035834142718</v>
          </cell>
          <cell r="AE152">
            <v>14.002256765235195</v>
          </cell>
          <cell r="AF152">
            <v>14.483751349328964</v>
          </cell>
          <cell r="AG152">
            <v>7.3195481095850718</v>
          </cell>
          <cell r="AH152">
            <v>24.222096473531732</v>
          </cell>
          <cell r="AI152">
            <v>22.894110696652799</v>
          </cell>
        </row>
        <row r="154">
          <cell r="C154">
            <v>36.000628828726228</v>
          </cell>
          <cell r="D154">
            <v>32.870998544585845</v>
          </cell>
          <cell r="E154">
            <v>32.223566137943912</v>
          </cell>
          <cell r="F154">
            <v>34.15461398423664</v>
          </cell>
          <cell r="G154">
            <v>37.56280519579169</v>
          </cell>
          <cell r="H154">
            <v>38.397759997364879</v>
          </cell>
          <cell r="I154">
            <v>39.083767671638746</v>
          </cell>
          <cell r="J154">
            <v>41.387043476727435</v>
          </cell>
          <cell r="K154">
            <v>35.288383859149057</v>
          </cell>
          <cell r="L154">
            <v>35.810853010699333</v>
          </cell>
          <cell r="M154">
            <v>35.650075735907123</v>
          </cell>
          <cell r="N154">
            <v>34.885995822200002</v>
          </cell>
          <cell r="O154">
            <v>37.087113998567915</v>
          </cell>
          <cell r="P154">
            <v>33.263751370962055</v>
          </cell>
          <cell r="Q154">
            <v>31.927149340306773</v>
          </cell>
          <cell r="R154">
            <v>33.075920910480484</v>
          </cell>
          <cell r="S154">
            <v>33.132752480798366</v>
          </cell>
          <cell r="T154">
            <v>35.181265831305353</v>
          </cell>
          <cell r="U154">
            <v>36.701650199837665</v>
          </cell>
          <cell r="V154">
            <v>37.924973610479</v>
          </cell>
          <cell r="W154">
            <v>38.159193121908444</v>
          </cell>
          <cell r="X154">
            <v>38.942984233329362</v>
          </cell>
          <cell r="Y154">
            <v>41.37800918377787</v>
          </cell>
          <cell r="Z154">
            <v>47.049246645534772</v>
          </cell>
          <cell r="AA154">
            <v>40.238122656789713</v>
          </cell>
          <cell r="AB154">
            <v>39.405905197849926</v>
          </cell>
          <cell r="AC154">
            <v>40.058807328702912</v>
          </cell>
          <cell r="AD154">
            <v>42.257759266894162</v>
          </cell>
          <cell r="AE154">
            <v>50.915434140965644</v>
          </cell>
          <cell r="AF154">
            <v>58.928767923685299</v>
          </cell>
          <cell r="AG154">
            <v>58.653794375777238</v>
          </cell>
          <cell r="AH154">
            <v>65.191015978471412</v>
          </cell>
          <cell r="AI154">
            <v>70.161308648019386</v>
          </cell>
        </row>
        <row r="160">
          <cell r="C160">
            <v>1.4406660499999997</v>
          </cell>
          <cell r="D160">
            <v>1.3302663299999995</v>
          </cell>
          <cell r="E160">
            <v>1.2220041899999998</v>
          </cell>
          <cell r="F160">
            <v>1.2743748999999998</v>
          </cell>
          <cell r="G160">
            <v>2.1404720199999994</v>
          </cell>
          <cell r="H160">
            <v>1.1161311099999998</v>
          </cell>
          <cell r="I160">
            <v>0.98429271999999979</v>
          </cell>
          <cell r="J160">
            <v>0.89533166999999991</v>
          </cell>
          <cell r="K160">
            <v>1.1107242900000001</v>
          </cell>
          <cell r="L160">
            <v>0.89841229999999983</v>
          </cell>
          <cell r="M160">
            <v>0.7480901299999998</v>
          </cell>
          <cell r="N160">
            <v>0.86370805999999978</v>
          </cell>
          <cell r="O160">
            <v>0.89904099999999998</v>
          </cell>
          <cell r="P160">
            <v>1.1249957799999997</v>
          </cell>
          <cell r="Q160">
            <v>1.2026402300000001</v>
          </cell>
          <cell r="R160">
            <v>1.7751344499999997</v>
          </cell>
          <cell r="S160">
            <v>1.7290507399999997</v>
          </cell>
          <cell r="T160">
            <v>1.3814425099999996</v>
          </cell>
          <cell r="U160">
            <v>2.5271853899999996</v>
          </cell>
          <cell r="V160">
            <v>1.7647609</v>
          </cell>
          <cell r="W160">
            <v>0.28756737999999993</v>
          </cell>
          <cell r="X160">
            <v>0.28920199999999996</v>
          </cell>
          <cell r="Y160">
            <v>0.28417239999999994</v>
          </cell>
          <cell r="Z160">
            <v>0.38300403999999999</v>
          </cell>
          <cell r="AA160">
            <v>0.47913227000000003</v>
          </cell>
          <cell r="AB160">
            <v>0.62832277999999997</v>
          </cell>
          <cell r="AC160">
            <v>0.74306052999999994</v>
          </cell>
          <cell r="AD160">
            <v>0.77921077999999999</v>
          </cell>
          <cell r="AE160">
            <v>0.79310504999999976</v>
          </cell>
          <cell r="AF160">
            <v>0.78530916999999978</v>
          </cell>
          <cell r="AG160">
            <v>0.54351114999999983</v>
          </cell>
          <cell r="AH160">
            <v>0.6137369399999999</v>
          </cell>
          <cell r="AI160">
            <v>0.61732052999999998</v>
          </cell>
        </row>
        <row r="165">
          <cell r="C165">
            <v>3.0478078004311948</v>
          </cell>
          <cell r="D165">
            <v>2.9964023805385849</v>
          </cell>
          <cell r="E165">
            <v>2.9734684004888496</v>
          </cell>
          <cell r="F165">
            <v>3.0306983994105288</v>
          </cell>
          <cell r="G165">
            <v>3.1293684918237497</v>
          </cell>
          <cell r="H165">
            <v>3.0614301812042424</v>
          </cell>
          <cell r="I165">
            <v>3.0565229893866466</v>
          </cell>
          <cell r="J165">
            <v>3.1025506666998042</v>
          </cell>
          <cell r="K165">
            <v>3.1529589456535567</v>
          </cell>
          <cell r="L165">
            <v>3.2220337783615247</v>
          </cell>
          <cell r="M165">
            <v>3.4399160732406937</v>
          </cell>
          <cell r="N165">
            <v>3.6324373970003858</v>
          </cell>
          <cell r="O165">
            <v>3.4519641877923997</v>
          </cell>
          <cell r="P165">
            <v>4.2838063564161679</v>
          </cell>
          <cell r="Q165">
            <v>4.5392977642948242</v>
          </cell>
          <cell r="R165">
            <v>4.7272834778815946</v>
          </cell>
          <cell r="S165">
            <v>4.5191745835277208</v>
          </cell>
          <cell r="T165">
            <v>5.0653159975713491</v>
          </cell>
          <cell r="U165">
            <v>4.670386178213243</v>
          </cell>
          <cell r="V165">
            <v>4.475353884539695</v>
          </cell>
          <cell r="W165">
            <v>4.4988742171125962</v>
          </cell>
          <cell r="X165">
            <v>4.3161676718606765</v>
          </cell>
          <cell r="Y165">
            <v>3.9752234349295001</v>
          </cell>
          <cell r="Z165">
            <v>4.2566610929504423</v>
          </cell>
          <cell r="AA165">
            <v>4.4438667215693011</v>
          </cell>
          <cell r="AB165">
            <v>4.2587118124190182</v>
          </cell>
          <cell r="AC165">
            <v>4.200542056673827</v>
          </cell>
          <cell r="AD165">
            <v>4.3166211759904849</v>
          </cell>
          <cell r="AE165">
            <v>4.7653266553458336</v>
          </cell>
          <cell r="AF165">
            <v>4.8115117081795677</v>
          </cell>
          <cell r="AG165">
            <v>4.0972527663802349</v>
          </cell>
          <cell r="AH165">
            <v>5.0350371086792869</v>
          </cell>
          <cell r="AI165">
            <v>6.0863762660731098</v>
          </cell>
        </row>
      </sheetData>
      <sheetData sheetId="4"/>
      <sheetData sheetId="5">
        <row r="4">
          <cell r="D4">
            <v>5.0479999999999998E-6</v>
          </cell>
        </row>
      </sheetData>
      <sheetData sheetId="6">
        <row r="8">
          <cell r="C8">
            <v>19.422820377744564</v>
          </cell>
          <cell r="D8">
            <v>19.438981221928678</v>
          </cell>
          <cell r="E8">
            <v>19.491985360913997</v>
          </cell>
          <cell r="F8">
            <v>19.439169784991449</v>
          </cell>
          <cell r="G8">
            <v>19.363795946364121</v>
          </cell>
          <cell r="H8">
            <v>19.357284669381631</v>
          </cell>
          <cell r="I8">
            <v>19.354555468857317</v>
          </cell>
          <cell r="J8">
            <v>19.355101442635394</v>
          </cell>
          <cell r="K8">
            <v>19.366735691249527</v>
          </cell>
          <cell r="L8">
            <v>19.321635852506081</v>
          </cell>
          <cell r="M8">
            <v>19.47</v>
          </cell>
          <cell r="N8">
            <v>19.34</v>
          </cell>
          <cell r="O8">
            <v>19.36</v>
          </cell>
          <cell r="P8">
            <v>19.61</v>
          </cell>
          <cell r="Q8">
            <v>19.43</v>
          </cell>
          <cell r="R8">
            <v>19.32</v>
          </cell>
          <cell r="S8">
            <v>19.47</v>
          </cell>
          <cell r="T8">
            <v>19.57</v>
          </cell>
          <cell r="U8">
            <v>19.350000000000001</v>
          </cell>
          <cell r="V8">
            <v>19.440000000000001</v>
          </cell>
          <cell r="W8">
            <v>19.39</v>
          </cell>
          <cell r="X8">
            <v>19.38</v>
          </cell>
          <cell r="Y8">
            <v>19.350000000000001</v>
          </cell>
          <cell r="Z8">
            <v>19.28</v>
          </cell>
          <cell r="AA8">
            <v>19.260000000000002</v>
          </cell>
          <cell r="AB8">
            <v>19.252564540839455</v>
          </cell>
          <cell r="AC8">
            <v>19.262501967102367</v>
          </cell>
          <cell r="AD8">
            <v>19.279945488604678</v>
          </cell>
          <cell r="AE8">
            <v>19.268142985283784</v>
          </cell>
          <cell r="AF8">
            <v>19.265712984148887</v>
          </cell>
          <cell r="AG8">
            <v>19.26959818755628</v>
          </cell>
          <cell r="AH8">
            <v>19.26959818755628</v>
          </cell>
          <cell r="AI8">
            <v>19.26959818755628</v>
          </cell>
        </row>
        <row r="9">
          <cell r="C9">
            <v>20.170000000000002</v>
          </cell>
          <cell r="D9">
            <v>20.170000000000002</v>
          </cell>
          <cell r="E9">
            <v>20.170000000000002</v>
          </cell>
          <cell r="F9">
            <v>20.170000000000002</v>
          </cell>
          <cell r="G9">
            <v>20.170000000000002</v>
          </cell>
          <cell r="H9">
            <v>20.170000000000002</v>
          </cell>
          <cell r="I9">
            <v>20.170000000000002</v>
          </cell>
          <cell r="J9">
            <v>20.170000000000002</v>
          </cell>
          <cell r="K9">
            <v>20.170000000000002</v>
          </cell>
          <cell r="L9">
            <v>20.170000000000002</v>
          </cell>
          <cell r="M9">
            <v>20.39</v>
          </cell>
          <cell r="N9">
            <v>20.36</v>
          </cell>
          <cell r="O9">
            <v>20.36</v>
          </cell>
          <cell r="P9">
            <v>20.37</v>
          </cell>
          <cell r="Q9">
            <v>20.39</v>
          </cell>
          <cell r="R9">
            <v>20.37</v>
          </cell>
          <cell r="S9">
            <v>20.329999999999998</v>
          </cell>
          <cell r="T9">
            <v>20.25</v>
          </cell>
          <cell r="U9">
            <v>20.25</v>
          </cell>
          <cell r="V9">
            <v>20.23</v>
          </cell>
          <cell r="W9">
            <v>20.239999999999998</v>
          </cell>
          <cell r="X9">
            <v>20.22</v>
          </cell>
          <cell r="Y9">
            <v>20.22</v>
          </cell>
          <cell r="Z9">
            <v>20.23</v>
          </cell>
          <cell r="AA9">
            <v>20.23</v>
          </cell>
          <cell r="AB9">
            <v>20.221641702001627</v>
          </cell>
          <cell r="AC9">
            <v>20.214239202481796</v>
          </cell>
          <cell r="AD9">
            <v>20.206427131077398</v>
          </cell>
          <cell r="AE9">
            <v>20.221719451899205</v>
          </cell>
          <cell r="AF9">
            <v>20.221719451899205</v>
          </cell>
          <cell r="AG9">
            <v>20.216892495282984</v>
          </cell>
          <cell r="AH9">
            <v>20.216892495282984</v>
          </cell>
          <cell r="AI9">
            <v>20.216892495282984</v>
          </cell>
        </row>
      </sheetData>
      <sheetData sheetId="7"/>
      <sheetData sheetId="8"/>
      <sheetData sheetId="9"/>
      <sheetData sheetId="10"/>
      <sheetData sheetId="1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utput to CO2FFC"/>
      <sheetName val="Summary"/>
      <sheetName val="PHEV"/>
      <sheetName val="BEV"/>
      <sheetName val="MDEV"/>
      <sheetName val="NEVs"/>
      <sheetName val="Elect Buses"/>
    </sheetNames>
    <sheetDataSet>
      <sheetData sheetId="0">
        <row r="6">
          <cell r="B6">
            <v>25008133.859007843</v>
          </cell>
          <cell r="C6">
            <v>79200030.841970354</v>
          </cell>
          <cell r="D6">
            <v>178122251.50619385</v>
          </cell>
          <cell r="E6">
            <v>385441630.50389326</v>
          </cell>
          <cell r="F6">
            <v>643478973.51064217</v>
          </cell>
          <cell r="G6">
            <v>937005390.34629118</v>
          </cell>
          <cell r="H6">
            <v>1330220569.4179819</v>
          </cell>
          <cell r="I6">
            <v>1791939056.0971763</v>
          </cell>
          <cell r="J6">
            <v>2732277932.1973515</v>
          </cell>
          <cell r="K6">
            <v>3578348334.1258121</v>
          </cell>
          <cell r="L6">
            <v>3763877648.0544477</v>
          </cell>
          <cell r="M6">
            <v>5571421287.1595964</v>
          </cell>
          <cell r="N6">
            <v>8231744523.6712732</v>
          </cell>
        </row>
        <row r="7">
          <cell r="B7">
            <v>4413200.0927660903</v>
          </cell>
          <cell r="C7">
            <v>13976476.030935945</v>
          </cell>
          <cell r="D7">
            <v>31433338.50109303</v>
          </cell>
          <cell r="E7">
            <v>68019111.265392929</v>
          </cell>
          <cell r="F7">
            <v>113555112.97246628</v>
          </cell>
          <cell r="G7">
            <v>165353892.41405138</v>
          </cell>
          <cell r="H7">
            <v>234744806.36787915</v>
          </cell>
          <cell r="I7">
            <v>316224539.31126642</v>
          </cell>
          <cell r="J7">
            <v>482166693.91717964</v>
          </cell>
          <cell r="K7">
            <v>631473235.43396688</v>
          </cell>
          <cell r="L7">
            <v>664213702.59784365</v>
          </cell>
          <cell r="M7">
            <v>983191991.85169351</v>
          </cell>
          <cell r="N7">
            <v>1452660798.2949305</v>
          </cell>
        </row>
      </sheetData>
      <sheetData sheetId="1">
        <row r="27">
          <cell r="C27">
            <v>719565.8924576412</v>
          </cell>
        </row>
      </sheetData>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TOC"/>
      <sheetName val="CRF Reporter Input"/>
      <sheetName val="InvDB"/>
      <sheetName val="InvDB-Old"/>
      <sheetName val="Summary"/>
      <sheetName val="Wood"/>
      <sheetName val="MSW"/>
      <sheetName val="Biodiesel"/>
      <sheetName val="Ethanol"/>
      <sheetName val="Ethanol Adjustment"/>
      <sheetName val="Wood Adjustment"/>
      <sheetName val="Emission Factor Comparison"/>
      <sheetName val="Biomass90-22_12_12_23_PR"/>
    </sheetNames>
    <sheetDataSet>
      <sheetData sheetId="0"/>
      <sheetData sheetId="1"/>
      <sheetData sheetId="2"/>
      <sheetData sheetId="3"/>
      <sheetData sheetId="4"/>
      <sheetData sheetId="5">
        <row r="6">
          <cell r="C6">
            <v>4.2265145999999989</v>
          </cell>
        </row>
      </sheetData>
      <sheetData sheetId="6">
        <row r="16">
          <cell r="B16">
            <v>1441912</v>
          </cell>
        </row>
      </sheetData>
      <sheetData sheetId="7"/>
      <sheetData sheetId="8"/>
      <sheetData sheetId="9">
        <row r="14">
          <cell r="B14">
            <v>59292.568208118981</v>
          </cell>
          <cell r="C14">
            <v>68103.988777369916</v>
          </cell>
          <cell r="D14">
            <v>78591.291501711428</v>
          </cell>
          <cell r="E14">
            <v>91737.080276773588</v>
          </cell>
          <cell r="F14">
            <v>102868.19559326631</v>
          </cell>
          <cell r="G14">
            <v>109439.31636217865</v>
          </cell>
          <cell r="H14">
            <v>78803.378262521903</v>
          </cell>
          <cell r="I14">
            <v>99915.740825134097</v>
          </cell>
          <cell r="J14">
            <v>110450.03235696942</v>
          </cell>
          <cell r="K14">
            <v>116273.7746372565</v>
          </cell>
          <cell r="L14">
            <v>132006.57596851813</v>
          </cell>
          <cell r="M14">
            <v>138127.39529642128</v>
          </cell>
          <cell r="N14">
            <v>163740.11497220898</v>
          </cell>
          <cell r="O14">
            <v>222889.03423434519</v>
          </cell>
          <cell r="P14">
            <v>278835.87961199629</v>
          </cell>
          <cell r="Q14">
            <v>315767.05017769331</v>
          </cell>
          <cell r="R14">
            <v>419598.86500495992</v>
          </cell>
          <cell r="S14">
            <v>527248.13217258721</v>
          </cell>
          <cell r="T14">
            <v>745733.80966143194</v>
          </cell>
          <cell r="U14">
            <v>854644.92307927401</v>
          </cell>
          <cell r="V14">
            <v>1003557.5337472352</v>
          </cell>
          <cell r="W14">
            <v>1015046.4775511798</v>
          </cell>
          <cell r="X14">
            <v>1016847.7355386466</v>
          </cell>
          <cell r="Y14">
            <v>1030163.949979275</v>
          </cell>
          <cell r="Z14">
            <v>1081068.6275646118</v>
          </cell>
          <cell r="AA14">
            <v>1083709.8559272808</v>
          </cell>
          <cell r="AB14">
            <v>1123378.0422164581</v>
          </cell>
          <cell r="AC14">
            <v>1134597.7276855428</v>
          </cell>
          <cell r="AD14">
            <v>1148222.0033933765</v>
          </cell>
          <cell r="AE14">
            <v>1150204.290348276</v>
          </cell>
          <cell r="AF14">
            <v>994564.99983933312</v>
          </cell>
          <cell r="AG14">
            <v>1101668.5259577536</v>
          </cell>
          <cell r="AH14">
            <v>1119757.4075858381</v>
          </cell>
        </row>
        <row r="15">
          <cell r="B15">
            <v>1529.2960059058021</v>
          </cell>
          <cell r="C15">
            <v>2386.7553910896904</v>
          </cell>
          <cell r="D15">
            <v>1949.8259418735088</v>
          </cell>
          <cell r="E15">
            <v>2840.5691869017046</v>
          </cell>
          <cell r="F15">
            <v>3155.3012342937136</v>
          </cell>
          <cell r="G15">
            <v>4338.883149207144</v>
          </cell>
          <cell r="H15">
            <v>2726.687956460567</v>
          </cell>
          <cell r="I15">
            <v>3145.7469547458572</v>
          </cell>
          <cell r="J15">
            <v>3457.4471716035141</v>
          </cell>
          <cell r="K15">
            <v>2408.0775873742591</v>
          </cell>
          <cell r="L15">
            <v>3491.3844678314435</v>
          </cell>
          <cell r="M15">
            <v>4981.5113457806638</v>
          </cell>
          <cell r="N15">
            <v>6501.5829612620209</v>
          </cell>
          <cell r="O15">
            <v>8838.7947114935232</v>
          </cell>
          <cell r="P15">
            <v>12938.399106580322</v>
          </cell>
          <cell r="Q15">
            <v>17174.540059612085</v>
          </cell>
          <cell r="R15">
            <v>29239.615025568452</v>
          </cell>
          <cell r="S15">
            <v>34462.531641674803</v>
          </cell>
          <cell r="T15">
            <v>45552.594026063038</v>
          </cell>
          <cell r="U15">
            <v>45156.97042970937</v>
          </cell>
          <cell r="V15">
            <v>48063.352361195546</v>
          </cell>
          <cell r="W15">
            <v>42268.289037155671</v>
          </cell>
          <cell r="X15">
            <v>40763.33620550963</v>
          </cell>
          <cell r="Y15">
            <v>53531.957941938752</v>
          </cell>
          <cell r="Z15">
            <v>24054.336855936388</v>
          </cell>
          <cell r="AA15">
            <v>28212.102418291262</v>
          </cell>
          <cell r="AB15">
            <v>26131.173320190701</v>
          </cell>
          <cell r="AC15">
            <v>27284.670083124693</v>
          </cell>
          <cell r="AD15">
            <v>20513.107412434489</v>
          </cell>
          <cell r="AE15">
            <v>23515.154273488883</v>
          </cell>
          <cell r="AF15">
            <v>23102.871790312394</v>
          </cell>
          <cell r="AG15">
            <v>22041.749991834651</v>
          </cell>
          <cell r="AH15">
            <v>17755.454026682492</v>
          </cell>
        </row>
        <row r="16">
          <cell r="B16">
            <v>918.13578597521621</v>
          </cell>
          <cell r="C16">
            <v>1050.2558315403801</v>
          </cell>
          <cell r="D16">
            <v>798.88255641506032</v>
          </cell>
          <cell r="E16">
            <v>468.35053632468606</v>
          </cell>
          <cell r="F16">
            <v>413.50317243999257</v>
          </cell>
          <cell r="G16">
            <v>392.80048861418584</v>
          </cell>
          <cell r="H16">
            <v>361.93378101752961</v>
          </cell>
          <cell r="I16">
            <v>634.5122201200445</v>
          </cell>
          <cell r="J16">
            <v>675.52047142709205</v>
          </cell>
          <cell r="K16">
            <v>451.14777536922691</v>
          </cell>
          <cell r="L16">
            <v>1035.0395636504545</v>
          </cell>
          <cell r="M16">
            <v>632.09335779806406</v>
          </cell>
          <cell r="N16">
            <v>949.30206652900313</v>
          </cell>
          <cell r="O16">
            <v>1634.171054161317</v>
          </cell>
          <cell r="P16">
            <v>1553.7212814234172</v>
          </cell>
          <cell r="Q16">
            <v>2206.4097626946273</v>
          </cell>
          <cell r="R16">
            <v>3782.5199694716139</v>
          </cell>
          <cell r="S16">
            <v>6886.3361857380614</v>
          </cell>
          <cell r="T16">
            <v>8332.5963125051039</v>
          </cell>
          <cell r="U16">
            <v>9851.1064910166879</v>
          </cell>
          <cell r="V16">
            <v>9597.1138915692736</v>
          </cell>
          <cell r="W16">
            <v>7320.2334116644106</v>
          </cell>
          <cell r="X16">
            <v>6235.9282558440655</v>
          </cell>
          <cell r="Y16">
            <v>8130.0920787863352</v>
          </cell>
          <cell r="Z16">
            <v>6165.0355794517336</v>
          </cell>
          <cell r="AA16">
            <v>41132.041654427703</v>
          </cell>
          <cell r="AB16">
            <v>37370.784463351025</v>
          </cell>
          <cell r="AC16">
            <v>37242.602231332305</v>
          </cell>
          <cell r="AD16">
            <v>27895.889194189087</v>
          </cell>
          <cell r="AE16">
            <v>32558.555378235127</v>
          </cell>
          <cell r="AF16">
            <v>31876.128370354356</v>
          </cell>
          <cell r="AG16">
            <v>31242.724050411744</v>
          </cell>
          <cell r="AH16">
            <v>25167.138387479161</v>
          </cell>
        </row>
      </sheetData>
      <sheetData sheetId="10"/>
      <sheetData sheetId="11"/>
      <sheetData sheetId="12"/>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le Information"/>
      <sheetName val="Summary Sheet"/>
      <sheetName val="Annual"/>
      <sheetName val="CO2FFC Adjustments"/>
      <sheetName val="SNG Oil - Hawaii"/>
      <sheetName val="SNG Coal - N. Dakota"/>
      <sheetName val="EOR"/>
      <sheetName val="BFG CO2"/>
      <sheetName val="COG CO2"/>
      <sheetName val="BFG Analysis"/>
      <sheetName val="Propane Air SNG"/>
      <sheetName val="Manufactured Gas SNG"/>
      <sheetName val="Refinery Gas SNG"/>
      <sheetName val="ALT BFG Analysis"/>
      <sheetName val="RAW COG Analysis"/>
      <sheetName val="COG Analysis"/>
      <sheetName val="Biomass SNG"/>
      <sheetName val="BTU Conversions"/>
      <sheetName val="Tracking"/>
    </sheetNames>
    <sheetDataSet>
      <sheetData sheetId="0"/>
      <sheetData sheetId="1"/>
      <sheetData sheetId="2"/>
      <sheetData sheetId="3">
        <row r="4">
          <cell r="D4">
            <v>0</v>
          </cell>
          <cell r="E4">
            <v>0</v>
          </cell>
          <cell r="F4">
            <v>0</v>
          </cell>
          <cell r="G4">
            <v>0</v>
          </cell>
          <cell r="H4">
            <v>0</v>
          </cell>
          <cell r="I4">
            <v>0</v>
          </cell>
          <cell r="J4">
            <v>0</v>
          </cell>
          <cell r="K4">
            <v>0</v>
          </cell>
          <cell r="L4">
            <v>0</v>
          </cell>
          <cell r="M4">
            <v>0</v>
          </cell>
          <cell r="N4">
            <v>17.747978702425556</v>
          </cell>
          <cell r="O4">
            <v>19.719976336028392</v>
          </cell>
          <cell r="P4">
            <v>19.719976336028392</v>
          </cell>
          <cell r="Q4">
            <v>19.719976336028392</v>
          </cell>
          <cell r="R4">
            <v>19.719976336028392</v>
          </cell>
          <cell r="S4">
            <v>19.719976336028392</v>
          </cell>
          <cell r="T4">
            <v>19.719976336028399</v>
          </cell>
          <cell r="U4">
            <v>19.719976336028395</v>
          </cell>
          <cell r="V4">
            <v>19.719976336028395</v>
          </cell>
          <cell r="W4">
            <v>19.719976336028395</v>
          </cell>
          <cell r="X4">
            <v>19.719976336028392</v>
          </cell>
          <cell r="Y4">
            <v>19.719976336028395</v>
          </cell>
          <cell r="Z4">
            <v>19.719976336028395</v>
          </cell>
          <cell r="AA4">
            <v>19.719976336028395</v>
          </cell>
          <cell r="AB4">
            <v>23.946937093275487</v>
          </cell>
          <cell r="AC4">
            <v>19.819253697495558</v>
          </cell>
          <cell r="AD4">
            <v>16.446709327548803</v>
          </cell>
          <cell r="AE4">
            <v>17.611025241569706</v>
          </cell>
          <cell r="AF4">
            <v>15.001232597120884</v>
          </cell>
          <cell r="AG4">
            <v>17.081318290278052</v>
          </cell>
          <cell r="AH4">
            <v>15.711728002366396</v>
          </cell>
          <cell r="AI4">
            <v>16.420069019917172</v>
          </cell>
          <cell r="AJ4">
            <v>16.420069019917172</v>
          </cell>
        </row>
        <row r="5">
          <cell r="D5">
            <v>1.9103000000000001</v>
          </cell>
          <cell r="E5">
            <v>1.5012000000000001</v>
          </cell>
          <cell r="F5">
            <v>1.4692000000000001</v>
          </cell>
          <cell r="G5">
            <v>1.2794000000000001</v>
          </cell>
          <cell r="H5">
            <v>1.3687</v>
          </cell>
          <cell r="I5">
            <v>2.1377999999999999</v>
          </cell>
          <cell r="J5">
            <v>2.1848000000000001</v>
          </cell>
          <cell r="K5">
            <v>2.2238000000000002</v>
          </cell>
          <cell r="L5">
            <v>2.1966999999999999</v>
          </cell>
          <cell r="M5">
            <v>2.0895999999999999</v>
          </cell>
          <cell r="N5">
            <v>1.2422</v>
          </cell>
          <cell r="O5">
            <v>0.40539999999999998</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row>
        <row r="6">
          <cell r="D6">
            <v>1.1259999999999999</v>
          </cell>
          <cell r="E6">
            <v>1.1205000000000001</v>
          </cell>
          <cell r="F6">
            <v>1.335</v>
          </cell>
          <cell r="G6">
            <v>1.3354999999999999</v>
          </cell>
          <cell r="H6">
            <v>1.0740000000000001</v>
          </cell>
          <cell r="I6">
            <v>1.3029999999999999</v>
          </cell>
          <cell r="J6">
            <v>1.3274999999999999</v>
          </cell>
          <cell r="K6">
            <v>1.4770000000000001</v>
          </cell>
          <cell r="L6">
            <v>1.2164999999999999</v>
          </cell>
          <cell r="M6">
            <v>2.7210000000000001</v>
          </cell>
          <cell r="N6">
            <v>2.7905000000000002</v>
          </cell>
          <cell r="O6">
            <v>2.6095000000000002</v>
          </cell>
          <cell r="P6">
            <v>0.84350000000000003</v>
          </cell>
          <cell r="Q6">
            <v>1.137</v>
          </cell>
          <cell r="R6">
            <v>1.333</v>
          </cell>
          <cell r="S6">
            <v>1.1964999999999999</v>
          </cell>
          <cell r="T6">
            <v>0.90749999999999997</v>
          </cell>
          <cell r="U6">
            <v>0.46650000000000003</v>
          </cell>
          <cell r="V6">
            <v>0.2445</v>
          </cell>
          <cell r="W6">
            <v>0.22700000000000001</v>
          </cell>
          <cell r="X6">
            <v>0.22850000000000001</v>
          </cell>
          <cell r="Y6">
            <v>0.19600000000000001</v>
          </cell>
          <cell r="Z6">
            <v>6.9500000000000006E-2</v>
          </cell>
          <cell r="AA6">
            <v>0.1275</v>
          </cell>
          <cell r="AB6">
            <v>0.26500000000000001</v>
          </cell>
          <cell r="AC6">
            <v>0.23150000000000001</v>
          </cell>
          <cell r="AD6">
            <v>0.14949999999999999</v>
          </cell>
          <cell r="AE6">
            <v>0</v>
          </cell>
          <cell r="AF6">
            <v>0</v>
          </cell>
          <cell r="AG6">
            <v>0</v>
          </cell>
          <cell r="AH6">
            <v>0</v>
          </cell>
          <cell r="AI6">
            <v>0</v>
          </cell>
          <cell r="AJ6">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iskRGT2.2.TemplaportR6C7"/>
      <sheetName val="RiskRGT2.2.TemplaportR30C7"/>
      <sheetName val="RiskRGT2.2.TemplaportR54C7"/>
      <sheetName val="RiskRGT2.2.TemplaportR78C7"/>
      <sheetName val="RiskRGT2.2.TemplaportR102C7"/>
      <sheetName val="RiskRGT2.2.TemplaportR126C7"/>
      <sheetName val="RiskRGT2.2.TemplaportR150C7"/>
      <sheetName val="RiskRGT2.2.TemplaportR174C7"/>
      <sheetName val="RiskRGT2.2.TemplaportR198C7"/>
      <sheetName val="RiskRGRiskTemplatcalsR54C7"/>
      <sheetName val="RiskRGRiskTemplatcalsR78C7"/>
      <sheetName val="RiskRGRiskTemplatcalsR102C7"/>
      <sheetName val="RiskRGRiskTemplatcalsR126C7"/>
      <sheetName val="RiskRGRiskTemplatcalsR150C7"/>
      <sheetName val="RiskRGRiskTemplatcalsR174C7"/>
      <sheetName val="RiskRGRiskTemplatcalsR30C7"/>
      <sheetName val="RiskRGRiskTemplatcalsR55C7"/>
      <sheetName val="RiskRGRiskTemplatcalsR79C7"/>
      <sheetName val="RiskRGRiskTemplatcalsR103C7"/>
      <sheetName val="RiskRGRiskTemplatcalsR127C7"/>
      <sheetName val="RiskRGRiskTemplatcalsR151C7"/>
      <sheetName val="RiskRGRiskTemplatcalsR175C7"/>
      <sheetName val="RiskRGRiskTemplatcalsR199C7"/>
      <sheetName val="RiskRGT2.2.TemplateR6C7"/>
      <sheetName val="RiskRGT2.2.TemplateR30C7"/>
      <sheetName val="RiskRGT2.2.TemplateR54C7"/>
      <sheetName val="RiskRGT2.2.TemplateR78C7"/>
      <sheetName val="RiskRGT2.2.TemplateR102C7"/>
      <sheetName val="RiskRGT2.2.TemplateR126C7"/>
      <sheetName val="RiskRGT2.2.TemplateR150C7"/>
      <sheetName val="RiskRGT2.2.TemplateR174C7"/>
      <sheetName val="RiskRGT2.2.TemplateR198C7"/>
      <sheetName val="RiskRGT2.2.TemplateR31C7"/>
      <sheetName val="RiskRGT2.2.TemplateR56C7"/>
      <sheetName val="RiskRGT2.2.TemplateR81C7"/>
      <sheetName val="RiskRGT2.2.TemplateR106C7"/>
      <sheetName val="RiskRGT2.2.TemplateR131C7"/>
      <sheetName val="RiskRGT2.2.TemplateR156C7"/>
      <sheetName val="RiskRGT2.2.TemplateR181C7"/>
      <sheetName val="CRT Reporter Input"/>
      <sheetName val="InvDB"/>
      <sheetName val="InvDB-Old"/>
      <sheetName val="Uncertainty"/>
      <sheetName val="1990 Uncertainty"/>
      <sheetName val="Summary"/>
      <sheetName val="Tracking"/>
      <sheetName val="Ammonia"/>
      <sheetName val="RiskRGRiskTemplatcalsR6C7"/>
      <sheetName val="Urea Consumption Non-ag"/>
      <sheetName val="Caprolactam"/>
      <sheetName val="Carbides"/>
      <sheetName val="TiO2"/>
      <sheetName val="Soda Ash"/>
      <sheetName val="Petrochemicals"/>
      <sheetName val="Phosphoric Acid"/>
      <sheetName val="Non-Energy Calcs"/>
      <sheetName val="CoaltoChemicals"/>
      <sheetName val="CO2FFC Adj"/>
      <sheetName val="Log"/>
      <sheetName val="HistoryCharts"/>
      <sheetName val="Backgro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5">
          <cell r="D5">
            <v>1.4313534566699124</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row r="6">
          <cell r="C6">
            <v>374.83531288722821</v>
          </cell>
          <cell r="D6">
            <v>378.86265149285344</v>
          </cell>
          <cell r="E6">
            <v>395.52298709056464</v>
          </cell>
          <cell r="F6">
            <v>378.33123038502708</v>
          </cell>
          <cell r="G6">
            <v>393.54367109339199</v>
          </cell>
          <cell r="H6">
            <v>382.53488810846778</v>
          </cell>
          <cell r="I6">
            <v>393.96499451635157</v>
          </cell>
          <cell r="J6">
            <v>393.26160335278962</v>
          </cell>
          <cell r="K6">
            <v>408.0775295736056</v>
          </cell>
          <cell r="L6">
            <v>381.45557087439443</v>
          </cell>
          <cell r="M6">
            <v>346.8644214859155</v>
          </cell>
          <cell r="N6">
            <v>264.48087836061399</v>
          </cell>
          <cell r="O6">
            <v>298.3124429785849</v>
          </cell>
          <cell r="P6">
            <v>242.13650361531592</v>
          </cell>
          <cell r="Q6">
            <v>258.25006570181955</v>
          </cell>
          <cell r="R6">
            <v>237.14810798586524</v>
          </cell>
          <cell r="S6">
            <v>233.71018940857064</v>
          </cell>
          <cell r="T6">
            <v>244.87005383978945</v>
          </cell>
          <cell r="U6">
            <v>224.20544581913478</v>
          </cell>
          <cell r="V6">
            <v>217.29492881504237</v>
          </cell>
          <cell r="W6">
            <v>235.36468686884066</v>
          </cell>
          <cell r="X6">
            <v>238.44438809389447</v>
          </cell>
          <cell r="Y6">
            <v>244.13045762571915</v>
          </cell>
          <cell r="Z6">
            <v>247.67280044710373</v>
          </cell>
          <cell r="AA6">
            <v>251.2189710270863</v>
          </cell>
          <cell r="AB6">
            <v>249.35372780772784</v>
          </cell>
          <cell r="AC6">
            <v>269.37285312322354</v>
          </cell>
          <cell r="AD6">
            <v>336.62826461301654</v>
          </cell>
          <cell r="AE6">
            <v>364.83611784310114</v>
          </cell>
          <cell r="AF6">
            <v>365.53435230295742</v>
          </cell>
          <cell r="AG6">
            <v>378.72007701898383</v>
          </cell>
          <cell r="AH6">
            <v>350.23363381117628</v>
          </cell>
        </row>
        <row r="10">
          <cell r="C10">
            <v>11.704751645721123</v>
          </cell>
          <cell r="D10">
            <v>11.860177357053477</v>
          </cell>
          <cell r="E10">
            <v>13.629639301452583</v>
          </cell>
          <cell r="F10">
            <v>13.868755780425438</v>
          </cell>
          <cell r="G10">
            <v>14.944779935803274</v>
          </cell>
          <cell r="H10">
            <v>14.944779935803274</v>
          </cell>
          <cell r="I10">
            <v>14.822781732245696</v>
          </cell>
          <cell r="J10">
            <v>16.425735901904311</v>
          </cell>
          <cell r="K10">
            <v>16.277086211277105</v>
          </cell>
          <cell r="L10">
            <v>16.578858319155533</v>
          </cell>
          <cell r="M10">
            <v>17.157294695568119</v>
          </cell>
          <cell r="N10">
            <v>16.616271270301937</v>
          </cell>
          <cell r="O10">
            <v>17.863538060749097</v>
          </cell>
          <cell r="P10">
            <v>18.009773900264204</v>
          </cell>
          <cell r="Q10">
            <v>20.208258527827645</v>
          </cell>
          <cell r="R10">
            <v>17.190141994450787</v>
          </cell>
          <cell r="S10">
            <v>17.977476742288225</v>
          </cell>
          <cell r="T10">
            <v>18.896033948098577</v>
          </cell>
          <cell r="U10">
            <v>17.715031826342418</v>
          </cell>
          <cell r="V10">
            <v>16.140362330667532</v>
          </cell>
          <cell r="W10">
            <v>17.321364452423694</v>
          </cell>
          <cell r="X10">
            <v>16.927697078504977</v>
          </cell>
          <cell r="Y10">
            <v>14.959360208911372</v>
          </cell>
          <cell r="Z10">
            <v>16.796474620532067</v>
          </cell>
          <cell r="AA10">
            <v>16.534029704586253</v>
          </cell>
          <cell r="AB10">
            <v>16.009139872694629</v>
          </cell>
          <cell r="AC10">
            <v>16.271584788640443</v>
          </cell>
          <cell r="AD10">
            <v>16.534029704586253</v>
          </cell>
          <cell r="AE10">
            <v>15.090582666884281</v>
          </cell>
          <cell r="AF10">
            <v>13.122245797290677</v>
          </cell>
          <cell r="AG10">
            <v>13.122245797290677</v>
          </cell>
          <cell r="AH10">
            <v>14.434470377019746</v>
          </cell>
        </row>
        <row r="12">
          <cell r="C12">
            <v>48.858205832242675</v>
          </cell>
          <cell r="D12">
            <v>34.613650421211219</v>
          </cell>
          <cell r="E12">
            <v>98.177967493684832</v>
          </cell>
          <cell r="F12">
            <v>123.22357497362509</v>
          </cell>
          <cell r="G12">
            <v>154.92662950003921</v>
          </cell>
          <cell r="H12">
            <v>165.78503132198421</v>
          </cell>
          <cell r="I12">
            <v>174.33407023751806</v>
          </cell>
          <cell r="J12">
            <v>177.93660662936884</v>
          </cell>
          <cell r="K12">
            <v>176.26082060300257</v>
          </cell>
          <cell r="L12">
            <v>149.50818456295076</v>
          </cell>
          <cell r="M12">
            <v>166.90302832190559</v>
          </cell>
          <cell r="N12">
            <v>151.08517065127944</v>
          </cell>
          <cell r="O12">
            <v>178.04491085508096</v>
          </cell>
          <cell r="P12">
            <v>177.04284323307354</v>
          </cell>
          <cell r="Q12">
            <v>194.01441724107099</v>
          </cell>
          <cell r="R12">
            <v>190.67179510023971</v>
          </cell>
          <cell r="S12">
            <v>204.84682511085339</v>
          </cell>
          <cell r="T12">
            <v>50.757322373433453</v>
          </cell>
          <cell r="U12">
            <v>36.23462067851267</v>
          </cell>
          <cell r="V12">
            <v>14.726988874663448</v>
          </cell>
          <cell r="W12">
            <v>5.7420342703733809</v>
          </cell>
          <cell r="X12">
            <v>7.2213336304576501</v>
          </cell>
          <cell r="Y12">
            <v>7.2213336304576501</v>
          </cell>
          <cell r="Z12">
            <v>7.2213336304576501</v>
          </cell>
          <cell r="AA12">
            <v>7.2213336304576501</v>
          </cell>
          <cell r="AB12">
            <v>7.2213336304576501</v>
          </cell>
          <cell r="AC12">
            <v>7.2213336304576501</v>
          </cell>
          <cell r="AD12">
            <v>7.2213336304576501</v>
          </cell>
          <cell r="AE12">
            <v>7.2213336304576501</v>
          </cell>
          <cell r="AF12">
            <v>7.2213336304576501</v>
          </cell>
          <cell r="AG12">
            <v>7.2213336304576501</v>
          </cell>
          <cell r="AH12">
            <v>7.2213336304576501</v>
          </cell>
        </row>
        <row r="14">
          <cell r="C14">
            <v>1.6880055492084214</v>
          </cell>
          <cell r="D14">
            <v>1.0128033295250527</v>
          </cell>
          <cell r="E14">
            <v>1.1686192263750608</v>
          </cell>
          <cell r="F14">
            <v>0.9089260649583808</v>
          </cell>
          <cell r="G14">
            <v>1.1686192263750608</v>
          </cell>
          <cell r="H14">
            <v>0.93489538110004888</v>
          </cell>
          <cell r="I14">
            <v>1.090711277950057</v>
          </cell>
          <cell r="J14">
            <v>0.96086469724171686</v>
          </cell>
          <cell r="K14">
            <v>0.98683401338338483</v>
          </cell>
          <cell r="L14">
            <v>0.85698743267504474</v>
          </cell>
          <cell r="M14">
            <v>0.83101811653337676</v>
          </cell>
          <cell r="N14">
            <v>0.83101811653337676</v>
          </cell>
          <cell r="O14">
            <v>0.7790794842500407</v>
          </cell>
          <cell r="P14">
            <v>0.9089260649583808</v>
          </cell>
          <cell r="Q14">
            <v>0.9089260649583808</v>
          </cell>
          <cell r="R14">
            <v>0.9089260649583808</v>
          </cell>
          <cell r="S14">
            <v>0.9089260649583808</v>
          </cell>
          <cell r="T14">
            <v>0.9089260649583808</v>
          </cell>
          <cell r="U14">
            <v>0.9089260649583808</v>
          </cell>
          <cell r="V14">
            <v>0.9089260649583808</v>
          </cell>
          <cell r="W14">
            <v>0.9089260649583808</v>
          </cell>
          <cell r="X14">
            <v>0.9089260649583808</v>
          </cell>
          <cell r="Y14">
            <v>0.9089260649583808</v>
          </cell>
          <cell r="Z14">
            <v>0.9089260649583808</v>
          </cell>
          <cell r="AA14">
            <v>0.9089260649583808</v>
          </cell>
          <cell r="AB14">
            <v>0.9089260649583808</v>
          </cell>
          <cell r="AC14">
            <v>0.9089260649583808</v>
          </cell>
          <cell r="AD14">
            <v>0.9089260649583808</v>
          </cell>
          <cell r="AE14">
            <v>0.9089260649583808</v>
          </cell>
          <cell r="AF14">
            <v>0.9089260649583808</v>
          </cell>
          <cell r="AG14">
            <v>0.9089260649583808</v>
          </cell>
          <cell r="AH14">
            <v>0.9089260649583808</v>
          </cell>
        </row>
        <row r="15">
          <cell r="C15">
            <v>0</v>
          </cell>
          <cell r="D15">
            <v>0</v>
          </cell>
          <cell r="E15">
            <v>0</v>
          </cell>
          <cell r="F15">
            <v>0</v>
          </cell>
          <cell r="G15">
            <v>0</v>
          </cell>
          <cell r="H15">
            <v>0</v>
          </cell>
          <cell r="I15">
            <v>0</v>
          </cell>
          <cell r="J15">
            <v>0</v>
          </cell>
          <cell r="K15">
            <v>0</v>
          </cell>
          <cell r="L15">
            <v>0</v>
          </cell>
          <cell r="M15">
            <v>0.48778084189659754</v>
          </cell>
          <cell r="N15">
            <v>7.9450064700688579</v>
          </cell>
          <cell r="O15">
            <v>9.6551356842567486</v>
          </cell>
          <cell r="P15">
            <v>12.226439265201773</v>
          </cell>
          <cell r="Q15">
            <v>11.182774934631407</v>
          </cell>
          <cell r="R15">
            <v>14.944122260639388</v>
          </cell>
          <cell r="S15">
            <v>13.141465</v>
          </cell>
          <cell r="T15">
            <v>13.485004</v>
          </cell>
          <cell r="U15">
            <v>13.538923999999996</v>
          </cell>
          <cell r="V15">
            <v>14.546097499999995</v>
          </cell>
          <cell r="W15">
            <v>10.594746531744736</v>
          </cell>
          <cell r="X15">
            <v>13.259766933246285</v>
          </cell>
          <cell r="Y15">
            <v>12.452471682715844</v>
          </cell>
          <cell r="Z15">
            <v>12.844409662151133</v>
          </cell>
          <cell r="AA15">
            <v>13.017765301126163</v>
          </cell>
          <cell r="AB15">
            <v>12.032582340460257</v>
          </cell>
          <cell r="AC15">
            <v>13.345058593112448</v>
          </cell>
          <cell r="AD15">
            <v>12.631559001142483</v>
          </cell>
          <cell r="AE15">
            <v>11.847160110984166</v>
          </cell>
          <cell r="AF15">
            <v>13.968908764485064</v>
          </cell>
          <cell r="AG15">
            <v>13.737223763669006</v>
          </cell>
          <cell r="AH15">
            <v>13.496839889015828</v>
          </cell>
        </row>
        <row r="16">
          <cell r="C16">
            <v>7.610742236648556</v>
          </cell>
          <cell r="D16">
            <v>7.8497011520169808</v>
          </cell>
          <cell r="E16">
            <v>8.8232125744641685</v>
          </cell>
          <cell r="F16">
            <v>9.2565522462834089</v>
          </cell>
          <cell r="G16">
            <v>10.135953402448999</v>
          </cell>
          <cell r="H16">
            <v>10.473082705547876</v>
          </cell>
          <cell r="I16">
            <v>10.62258759673575</v>
          </cell>
          <cell r="J16">
            <v>10.361514324729033</v>
          </cell>
          <cell r="K16">
            <v>9.669458452587806</v>
          </cell>
          <cell r="L16">
            <v>10.28914950870919</v>
          </cell>
          <cell r="M16">
            <v>11.506242966610891</v>
          </cell>
          <cell r="N16">
            <v>10.527041935244348</v>
          </cell>
          <cell r="O16">
            <v>11.265650724274195</v>
          </cell>
          <cell r="P16">
            <v>11.146202513710181</v>
          </cell>
          <cell r="Q16">
            <v>11.142983074743613</v>
          </cell>
          <cell r="R16">
            <v>11.036504396603048</v>
          </cell>
          <cell r="S16">
            <v>11.020231805481213</v>
          </cell>
          <cell r="T16">
            <v>11.028963986917233</v>
          </cell>
          <cell r="U16">
            <v>11.02919773917794</v>
          </cell>
          <cell r="V16">
            <v>11.007552100023295</v>
          </cell>
          <cell r="W16">
            <v>9.5527659077247407</v>
          </cell>
          <cell r="X16">
            <v>9.5455336165308484</v>
          </cell>
          <cell r="Y16">
            <v>9.5258951694052083</v>
          </cell>
          <cell r="Z16">
            <v>9.529551072727271</v>
          </cell>
          <cell r="AA16">
            <v>9.5221588939794586</v>
          </cell>
          <cell r="AB16">
            <v>9.5007240748646513</v>
          </cell>
          <cell r="AC16">
            <v>9.4896221748660459</v>
          </cell>
          <cell r="AD16">
            <v>9.4806373686218848</v>
          </cell>
          <cell r="AE16">
            <v>9.4728649587449354</v>
          </cell>
          <cell r="AF16">
            <v>9.4764377365449537</v>
          </cell>
          <cell r="AG16">
            <v>9.4556176457652974</v>
          </cell>
          <cell r="AH16">
            <v>9.4672439396515937</v>
          </cell>
        </row>
      </sheetData>
      <sheetData sheetId="58"/>
      <sheetData sheetId="59"/>
      <sheetData sheetId="6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iskRGT2.2.TemplateR31C7"/>
      <sheetName val="RiskRGT2.2.TemplateR56C7"/>
      <sheetName val="RiskRGT2.2.TemplateR81C7"/>
      <sheetName val="RiskRGT2.2.TemplateR106C7"/>
      <sheetName val="RiskRGT2.2.TemplateR131C7"/>
      <sheetName val="RiskRGT2.2.TemplateR30C7"/>
      <sheetName val="RiskRGT2.2.TemplateR55C7"/>
      <sheetName val="RiskRGT2.2.TemplateR79C7"/>
      <sheetName val="RiskRGT2.2.TemplateR103C7"/>
      <sheetName val="RiskRGT2.2.TemplateR128C7"/>
      <sheetName val="RiskRGT2.2.TemplateR153C7"/>
      <sheetName val="RiskRGT2.2.TemplateR178C7"/>
      <sheetName val="RiskRGT2.2.TemplateR206C7"/>
      <sheetName val="RiskRGT2.2.TemplateR6C7"/>
      <sheetName val="RiskRGT2.2.TemplateR33C7"/>
      <sheetName val="RiskRGT2.2.TemplateR60C7"/>
      <sheetName val="RiskRGT2.2.TemplateR87C7"/>
      <sheetName val="RiskRGRiskTemplattalsR33C7"/>
      <sheetName val="RiskRGRiskTemplattalsR60C7"/>
      <sheetName val="RiskRGRiskTemplattalsR87C7"/>
      <sheetName val="RiskRGRiskTemplattalsR212C7"/>
      <sheetName val="RiskRGRiskTemplattalsR237C7"/>
      <sheetName val="RiskRGRiskTemplattalsR262C7"/>
      <sheetName val="RiskRGRiskTemplattalsR287C7"/>
      <sheetName val="RiskTemplate_Metals"/>
      <sheetName val="RiskRGRiskTemplattalsR6C19"/>
      <sheetName val="RiskRGRiskTemplattalsR31C7"/>
      <sheetName val="RiskRGRiskTemplattalsR55C7"/>
      <sheetName val="RiskRGRiskTemplattalsR56C19"/>
      <sheetName val="RiskRGRiskTemplattalsR79C7"/>
      <sheetName val="RiskRGRiskTemplattalsR104C7"/>
      <sheetName val="RiskRGRiskTemplattalsR131C7"/>
      <sheetName val="RiskRGRiskTemplattalsR158C7"/>
      <sheetName val="RiskRGRiskTemplattalsR185C7"/>
      <sheetName val="CRT Reporter Input"/>
      <sheetName val="InvDB"/>
      <sheetName val="InvDB-Old"/>
      <sheetName val="Summary"/>
      <sheetName val="Tracking"/>
      <sheetName val="Uncertainty"/>
      <sheetName val="Iron and Steel"/>
      <sheetName val="RiskRGRiskTemplattalsR6C7"/>
      <sheetName val="1990 Uncertainty"/>
      <sheetName val="Revised I&amp;S"/>
      <sheetName val="Ferroalloys Revised (don't use)"/>
      <sheetName val="Ferroalloys"/>
      <sheetName val="Lead"/>
      <sheetName val="Zinc"/>
      <sheetName val="Non-Energy Calcs"/>
      <sheetName val="CO2FFC Adj"/>
      <sheetName val="Log"/>
      <sheetName val="Background"/>
      <sheetName val="Sheet1"/>
      <sheetName val="IndCalc_Metals_1990-2022_PR_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5">
          <cell r="D5">
            <v>2.1515515000000001</v>
          </cell>
        </row>
      </sheetData>
      <sheetData sheetId="38"/>
      <sheetData sheetId="39"/>
      <sheetData sheetId="40"/>
      <sheetData sheetId="41"/>
      <sheetData sheetId="42"/>
      <sheetData sheetId="43"/>
      <sheetData sheetId="44"/>
      <sheetData sheetId="45"/>
      <sheetData sheetId="46"/>
      <sheetData sheetId="47"/>
      <sheetData sheetId="48"/>
      <sheetData sheetId="49">
        <row r="6">
          <cell r="C6">
            <v>21.087809230781787</v>
          </cell>
          <cell r="D6">
            <v>18.908988416435449</v>
          </cell>
          <cell r="E6">
            <v>19.18297034160274</v>
          </cell>
          <cell r="F6">
            <v>18.664221635792391</v>
          </cell>
          <cell r="G6">
            <v>19.802614166802677</v>
          </cell>
          <cell r="H6">
            <v>19.951880447200914</v>
          </cell>
          <cell r="I6">
            <v>20.904946956095962</v>
          </cell>
          <cell r="J6">
            <v>21.811269136608448</v>
          </cell>
          <cell r="K6">
            <v>21.732668842826826</v>
          </cell>
          <cell r="L6">
            <v>21.414087644850657</v>
          </cell>
          <cell r="M6">
            <v>18.547530112616286</v>
          </cell>
          <cell r="N6">
            <v>14.294004569936344</v>
          </cell>
          <cell r="O6">
            <v>13.224805451281211</v>
          </cell>
          <cell r="P6">
            <v>12.78436094336543</v>
          </cell>
          <cell r="Q6">
            <v>13.908393912191935</v>
          </cell>
          <cell r="R6">
            <v>13.640901827974536</v>
          </cell>
          <cell r="S6">
            <v>14.747674147217232</v>
          </cell>
          <cell r="T6">
            <v>15.214289701322015</v>
          </cell>
          <cell r="U6">
            <v>15.666175779337355</v>
          </cell>
          <cell r="V6">
            <v>14.398898948098577</v>
          </cell>
          <cell r="W6">
            <v>16.292936836951196</v>
          </cell>
          <cell r="X6">
            <v>17.002950139478887</v>
          </cell>
          <cell r="Y6">
            <v>18.647191471648274</v>
          </cell>
          <cell r="Z6">
            <v>17.488748714892569</v>
          </cell>
          <cell r="AA6">
            <v>19.656157743661307</v>
          </cell>
          <cell r="AB6">
            <v>19.207728289433291</v>
          </cell>
          <cell r="AC6">
            <v>17.600856078449571</v>
          </cell>
          <cell r="AD6">
            <v>19.357204774175965</v>
          </cell>
          <cell r="AE6">
            <v>20.216694561446324</v>
          </cell>
          <cell r="AF6">
            <v>15.657661776794843</v>
          </cell>
          <cell r="AG6">
            <v>13.490252748026107</v>
          </cell>
          <cell r="AH6">
            <v>15.358708807309499</v>
          </cell>
        </row>
        <row r="7">
          <cell r="C7">
            <v>1044.7647202336889</v>
          </cell>
          <cell r="D7">
            <v>932.22358615298174</v>
          </cell>
          <cell r="E7">
            <v>887.16476440660347</v>
          </cell>
          <cell r="F7">
            <v>838.46232808479726</v>
          </cell>
          <cell r="G7">
            <v>841.7251746150273</v>
          </cell>
          <cell r="H7">
            <v>846.94301620947226</v>
          </cell>
          <cell r="I7">
            <v>825.63699147547584</v>
          </cell>
          <cell r="J7">
            <v>836.8151535665578</v>
          </cell>
          <cell r="K7">
            <v>762.18865577643771</v>
          </cell>
          <cell r="L7">
            <v>730.80933714400874</v>
          </cell>
          <cell r="M7">
            <v>740.14490193556492</v>
          </cell>
          <cell r="N7">
            <v>690.37209296348908</v>
          </cell>
          <cell r="O7">
            <v>608.48793776068374</v>
          </cell>
          <cell r="P7">
            <v>613.10317101275837</v>
          </cell>
          <cell r="Q7">
            <v>481.40837175006118</v>
          </cell>
          <cell r="R7">
            <v>535.38558119889262</v>
          </cell>
          <cell r="S7">
            <v>540.23352600195494</v>
          </cell>
          <cell r="T7">
            <v>595.75484711871309</v>
          </cell>
          <cell r="U7">
            <v>550.85297382009753</v>
          </cell>
          <cell r="V7">
            <v>397.21610548198259</v>
          </cell>
          <cell r="W7">
            <v>489.8611590290497</v>
          </cell>
          <cell r="X7">
            <v>502.84884581806352</v>
          </cell>
          <cell r="Y7">
            <v>461.75349722506826</v>
          </cell>
          <cell r="Z7">
            <v>496.50391735639903</v>
          </cell>
          <cell r="AA7">
            <v>556.95327385147584</v>
          </cell>
          <cell r="AB7">
            <v>439.85033454156104</v>
          </cell>
          <cell r="AC7">
            <v>381.95927248286921</v>
          </cell>
          <cell r="AD7">
            <v>389.85432478132032</v>
          </cell>
          <cell r="AE7">
            <v>399.89597594511588</v>
          </cell>
          <cell r="AF7">
            <v>401.52702445369732</v>
          </cell>
          <cell r="AG7">
            <v>334.03964633486987</v>
          </cell>
          <cell r="AH7">
            <v>426.31606380854544</v>
          </cell>
        </row>
        <row r="8">
          <cell r="C8">
            <v>-2.8999972336889108</v>
          </cell>
          <cell r="D8">
            <v>-24.978574641981705</v>
          </cell>
          <cell r="E8">
            <v>-19.780505098603523</v>
          </cell>
          <cell r="F8">
            <v>0.99002511520280623</v>
          </cell>
          <cell r="G8">
            <v>8.9173041849727195</v>
          </cell>
          <cell r="H8">
            <v>37.763388190527749</v>
          </cell>
          <cell r="I8">
            <v>24.077403324524216</v>
          </cell>
          <cell r="J8">
            <v>-27.374699966557738</v>
          </cell>
          <cell r="K8">
            <v>10.911284451562233</v>
          </cell>
          <cell r="L8">
            <v>40.077270031991205</v>
          </cell>
          <cell r="M8">
            <v>53.543709066435099</v>
          </cell>
          <cell r="N8">
            <v>24.764422416510882</v>
          </cell>
          <cell r="O8">
            <v>40.301518239316287</v>
          </cell>
          <cell r="P8">
            <v>51.898228987241602</v>
          </cell>
          <cell r="Q8">
            <v>167.76504824993879</v>
          </cell>
          <cell r="R8">
            <v>80.441235021107474</v>
          </cell>
          <cell r="S8">
            <v>62.874549778045008</v>
          </cell>
          <cell r="T8">
            <v>2.3083878812868801</v>
          </cell>
          <cell r="U8">
            <v>29.168696179902494</v>
          </cell>
          <cell r="V8">
            <v>6.3787785180173797</v>
          </cell>
          <cell r="W8">
            <v>64.752980970950304</v>
          </cell>
          <cell r="X8">
            <v>60.843920181936483</v>
          </cell>
          <cell r="Y8">
            <v>132.47213877493178</v>
          </cell>
          <cell r="Z8">
            <v>119.90725264360094</v>
          </cell>
          <cell r="AA8">
            <v>49.116752148524199</v>
          </cell>
          <cell r="AB8">
            <v>122.34007345843902</v>
          </cell>
          <cell r="AC8">
            <v>89.643607517130832</v>
          </cell>
          <cell r="AD8">
            <v>113.0127492186796</v>
          </cell>
          <cell r="AE8">
            <v>124.68892005488409</v>
          </cell>
          <cell r="AF8">
            <v>111.61917154630268</v>
          </cell>
          <cell r="AG8">
            <v>79.887191665130089</v>
          </cell>
          <cell r="AH8">
            <v>77.890210191454543</v>
          </cell>
        </row>
        <row r="9">
          <cell r="C9">
            <v>74.887533000000005</v>
          </cell>
          <cell r="D9">
            <v>87.268810000000002</v>
          </cell>
          <cell r="E9">
            <v>101.69087</v>
          </cell>
          <cell r="F9">
            <v>106.738164</v>
          </cell>
          <cell r="G9">
            <v>112.70375199999999</v>
          </cell>
          <cell r="H9">
            <v>137.76102</v>
          </cell>
          <cell r="I9">
            <v>120.23591399999999</v>
          </cell>
          <cell r="J9">
            <v>123.16616999999999</v>
          </cell>
          <cell r="K9">
            <v>128.21412900000001</v>
          </cell>
          <cell r="L9">
            <v>176.631676</v>
          </cell>
          <cell r="M9">
            <v>114.63395</v>
          </cell>
          <cell r="N9">
            <v>86.392092000000005</v>
          </cell>
          <cell r="O9">
            <v>84.687871999999999</v>
          </cell>
          <cell r="P9">
            <v>71.25582</v>
          </cell>
          <cell r="Q9">
            <v>87.337224000000006</v>
          </cell>
          <cell r="R9">
            <v>85.144099999999995</v>
          </cell>
          <cell r="S9">
            <v>85.856504000000001</v>
          </cell>
          <cell r="T9">
            <v>89.860445999999996</v>
          </cell>
          <cell r="U9">
            <v>69.126343000000006</v>
          </cell>
          <cell r="V9">
            <v>47.049550000000004</v>
          </cell>
          <cell r="W9">
            <v>62.735475000000001</v>
          </cell>
          <cell r="X9">
            <v>70.078540000000004</v>
          </cell>
          <cell r="Y9">
            <v>78.726144000000005</v>
          </cell>
          <cell r="Z9">
            <v>64.262471000000005</v>
          </cell>
          <cell r="AA9">
            <v>62.327640000000002</v>
          </cell>
          <cell r="AB9">
            <v>56.395170999999998</v>
          </cell>
          <cell r="AC9">
            <v>46.030355999999998</v>
          </cell>
          <cell r="AD9">
            <v>50.090600000000002</v>
          </cell>
          <cell r="AE9">
            <v>52.872259999999997</v>
          </cell>
          <cell r="AF9">
            <v>51.109043999999997</v>
          </cell>
          <cell r="AG9">
            <v>43.698927281200028</v>
          </cell>
          <cell r="AH9">
            <v>48.768848421495434</v>
          </cell>
        </row>
        <row r="10">
          <cell r="C10">
            <v>22.661607738095238</v>
          </cell>
          <cell r="D10">
            <v>20.749620833333331</v>
          </cell>
          <cell r="E10">
            <v>16.99943035714286</v>
          </cell>
          <cell r="F10">
            <v>16.022910714285718</v>
          </cell>
          <cell r="G10">
            <v>8.6197517857142856</v>
          </cell>
          <cell r="H10">
            <v>15.005754761904761</v>
          </cell>
          <cell r="I10">
            <v>19.483931547619047</v>
          </cell>
          <cell r="J10">
            <v>17.070855952380953</v>
          </cell>
          <cell r="K10">
            <v>20.037861309523809</v>
          </cell>
          <cell r="L10">
            <v>16.035392857142856</v>
          </cell>
          <cell r="M10">
            <v>16.770591071428573</v>
          </cell>
          <cell r="N10">
            <v>11.885357738095239</v>
          </cell>
          <cell r="O10">
            <v>6.9112238095238085</v>
          </cell>
          <cell r="P10">
            <v>2.1236285714285712</v>
          </cell>
          <cell r="Q10">
            <v>3.1285797619047622</v>
          </cell>
          <cell r="R10">
            <v>2.2426249999999999</v>
          </cell>
          <cell r="S10">
            <v>12.163432142857143</v>
          </cell>
          <cell r="T10">
            <v>11.719067857142859</v>
          </cell>
          <cell r="U10">
            <v>7.7045333333333339</v>
          </cell>
          <cell r="V10">
            <v>3.2147065476190479</v>
          </cell>
          <cell r="W10">
            <v>3.8146815476190481</v>
          </cell>
          <cell r="X10">
            <v>2.964925</v>
          </cell>
          <cell r="Y10">
            <v>2.6684047619047617</v>
          </cell>
          <cell r="Z10">
            <v>2.4226452380952384</v>
          </cell>
          <cell r="AA10">
            <v>2.3125249999999999</v>
          </cell>
          <cell r="AB10">
            <v>1.2934273809523809</v>
          </cell>
          <cell r="AC10">
            <v>0.84934047619047615</v>
          </cell>
          <cell r="AD10">
            <v>0.60358095238095244</v>
          </cell>
          <cell r="AE10">
            <v>0.46669345238095239</v>
          </cell>
          <cell r="AF10">
            <v>0.32190059523809522</v>
          </cell>
          <cell r="AG10">
            <v>0.27549479336220994</v>
          </cell>
          <cell r="AH10">
            <v>0.30745752022551404</v>
          </cell>
        </row>
        <row r="11">
          <cell r="C11">
            <v>35.508870113372502</v>
          </cell>
          <cell r="D11">
            <v>30.654795613025964</v>
          </cell>
          <cell r="E11">
            <v>33.739404531965391</v>
          </cell>
          <cell r="F11">
            <v>32.495996285571202</v>
          </cell>
          <cell r="G11">
            <v>24.150814016502515</v>
          </cell>
          <cell r="H11">
            <v>36.082750842477516</v>
          </cell>
          <cell r="I11">
            <v>89.955804287210356</v>
          </cell>
          <cell r="J11">
            <v>62.385617593123825</v>
          </cell>
          <cell r="K11">
            <v>53.131790836305527</v>
          </cell>
          <cell r="L11">
            <v>44.953990446559132</v>
          </cell>
          <cell r="M11">
            <v>72.022031502678786</v>
          </cell>
          <cell r="N11">
            <v>62.313882501985688</v>
          </cell>
          <cell r="O11">
            <v>69.320009736476038</v>
          </cell>
          <cell r="P11">
            <v>70.180830830133544</v>
          </cell>
          <cell r="Q11">
            <v>81.204123168358947</v>
          </cell>
          <cell r="R11">
            <v>61.524796499466305</v>
          </cell>
          <cell r="S11">
            <v>60.400946738302331</v>
          </cell>
          <cell r="T11">
            <v>65.37457972387908</v>
          </cell>
          <cell r="U11">
            <v>61.644354984696513</v>
          </cell>
          <cell r="V11">
            <v>40.028180855074467</v>
          </cell>
          <cell r="W11">
            <v>54.494757567929931</v>
          </cell>
          <cell r="X11">
            <v>62.266059107893611</v>
          </cell>
          <cell r="Y11">
            <v>67.000575123009938</v>
          </cell>
          <cell r="Z11">
            <v>63.963789598162599</v>
          </cell>
          <cell r="AA11">
            <v>57.985865336652076</v>
          </cell>
          <cell r="AB11">
            <v>54.399110779745762</v>
          </cell>
          <cell r="AC11">
            <v>46.269133784091451</v>
          </cell>
          <cell r="AD11">
            <v>50.812356222839448</v>
          </cell>
          <cell r="AE11">
            <v>61.429149711282136</v>
          </cell>
          <cell r="AF11">
            <v>58.942333218493758</v>
          </cell>
          <cell r="AG11">
            <v>50.445094387926574</v>
          </cell>
          <cell r="AH11">
            <v>56.297701451157046</v>
          </cell>
        </row>
      </sheetData>
      <sheetData sheetId="50"/>
      <sheetData sheetId="51"/>
      <sheetData sheetId="52"/>
      <sheetData sheetId="5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iskRGT2.2.TemplaportR34C7"/>
      <sheetName val="RiskRGT2.2.TemplaportR62C7"/>
      <sheetName val="RiskRGT2.2.Templa (2)R6C7"/>
      <sheetName val="RiskRGT2.2.Templa (2)R34C7"/>
      <sheetName val="RiskRGT2.2.Templa (2)R62C7"/>
      <sheetName val="RiskRGT2.2.TemplateR92C7"/>
      <sheetName val="RiskRGT2.2.TemplateR34C7"/>
      <sheetName val="RiskRGT2.2.TemplateR62C7"/>
      <sheetName val="RiskRGRiskTemplatinumR34C7"/>
      <sheetName val="RiskRGRiskTemplatinumR62C7"/>
      <sheetName val="RiskRGRiskTemplatinumR6C7"/>
      <sheetName val="2014 Uncertainty Results"/>
      <sheetName val="RiskRGRiskTemplate_ALR36C6"/>
      <sheetName val="RiskRGRiskTemplate_ALR66C6"/>
      <sheetName val="RiskRGRiskTemplate_ALR94C6"/>
      <sheetName val="RiskTemplate_AL"/>
      <sheetName val="2015 Aluminum Uncertainty"/>
      <sheetName val="UncResults"/>
      <sheetName val="2018 GHGRP Data_Subpart F (2)"/>
      <sheetName val="RiskTemplate_AL1990"/>
      <sheetName val="RiskTemplate_AL (2)"/>
      <sheetName val="UncOutput"/>
      <sheetName val="UncOutput_1990"/>
      <sheetName val="1990 Unc Inputs"/>
      <sheetName val="Unc Inputs"/>
      <sheetName val="CRF Reporter Input"/>
      <sheetName val="Previous Inventory Comp. (HVAE)"/>
      <sheetName val="2012 Aluminum Uncertainty"/>
      <sheetName val="Past Inventory Est. HVAE (PFC)"/>
      <sheetName val="RiskRGRiskTemplate_ALR6C6"/>
      <sheetName val="Summary (PFC)"/>
      <sheetName val="Summary (CO2)"/>
      <sheetName val="GHGRP Emissions Data"/>
      <sheetName val="2015 Envirofacts Data_Subpart F"/>
      <sheetName val="2016 GHGRP Data_Subpart F"/>
      <sheetName val="2019 GHGRP Data_Subpart F"/>
      <sheetName val="2021  GHGRP Data_Subpart F"/>
      <sheetName val="2022  GHGRP Data_Subpart F"/>
      <sheetName val="Emissions in MMT CO2e (PFC)"/>
      <sheetName val="Emissions in MMTCE (PFC)"/>
      <sheetName val="Emissions in MMT CO2e (CO2)"/>
      <sheetName val="Methodology (PFC)"/>
      <sheetName val="LVAE Emissions Tier 1"/>
      <sheetName val="Emissions Factors (PFC)"/>
      <sheetName val="Production Totals (PFC)"/>
      <sheetName val="Commitment"/>
      <sheetName val="Old Comments"/>
      <sheetName val="Alcan"/>
      <sheetName val="Alcoa"/>
      <sheetName val="Century"/>
      <sheetName val="Columbia Falls"/>
      <sheetName val="Goldendale"/>
      <sheetName val="Kaiser-Mead"/>
      <sheetName val="Kaiser-Tacoma"/>
      <sheetName val="Southwire"/>
      <sheetName val="Noranda"/>
      <sheetName val="Northwest"/>
      <sheetName val="Vanalco"/>
      <sheetName val="Conversions"/>
      <sheetName val="Production (CO2)"/>
      <sheetName val="Factors - Prebake (CO2)"/>
      <sheetName val="Factors - Anode Baking (CO2)"/>
      <sheetName val="Factors - Søderberg (CO2)"/>
      <sheetName val="Factors - Tier 1 (CO2)"/>
      <sheetName val="Assumptions (CO2)"/>
      <sheetName val="CO2 FFC Adj. and CRF"/>
      <sheetName val="Facility Mapp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ow r="6">
          <cell r="C6">
            <v>59.465693686434179</v>
          </cell>
          <cell r="D6">
            <v>60.456581875687085</v>
          </cell>
          <cell r="E6">
            <v>59.228676971664903</v>
          </cell>
          <cell r="F6">
            <v>54.065296536276939</v>
          </cell>
          <cell r="G6">
            <v>48.216048834143123</v>
          </cell>
          <cell r="H6">
            <v>49.261191231223492</v>
          </cell>
          <cell r="I6">
            <v>52.11219974842065</v>
          </cell>
          <cell r="J6">
            <v>52.391803328683395</v>
          </cell>
          <cell r="K6">
            <v>53.890398195186783</v>
          </cell>
          <cell r="L6">
            <v>54.71665247342802</v>
          </cell>
          <cell r="M6">
            <v>52.973727343323716</v>
          </cell>
          <cell r="N6">
            <v>38.140835206635273</v>
          </cell>
          <cell r="O6">
            <v>39.090189560060708</v>
          </cell>
          <cell r="P6">
            <v>39.184301244549061</v>
          </cell>
          <cell r="Q6">
            <v>36.831442693718742</v>
          </cell>
          <cell r="R6">
            <v>36.055054280499277</v>
          </cell>
          <cell r="S6">
            <v>33.087223730993216</v>
          </cell>
          <cell r="T6">
            <v>37.002023060455528</v>
          </cell>
          <cell r="U6">
            <v>38.968700813935143</v>
          </cell>
          <cell r="V6">
            <v>26.196116263402068</v>
          </cell>
          <cell r="W6">
            <v>23.694226864697239</v>
          </cell>
          <cell r="X6">
            <v>28.655080789946144</v>
          </cell>
          <cell r="Y6">
            <v>29.936046134595504</v>
          </cell>
          <cell r="Z6">
            <v>28.337092432403026</v>
          </cell>
          <cell r="AA6">
            <v>24.659837876067673</v>
          </cell>
          <cell r="AB6">
            <v>24.085523964963819</v>
          </cell>
          <cell r="AC6">
            <v>11.608348620858495</v>
          </cell>
          <cell r="AD6">
            <v>10.49097132908982</v>
          </cell>
          <cell r="AE6">
            <v>12.664803873565093</v>
          </cell>
          <cell r="AF6">
            <v>16.366676024155378</v>
          </cell>
          <cell r="AG6">
            <v>15.218694956748811</v>
          </cell>
          <cell r="AH6">
            <v>13.411210271475978</v>
          </cell>
          <cell r="AI6">
            <v>12.589899570208365</v>
          </cell>
        </row>
      </sheetData>
      <sheetData sheetId="6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sheetName val="Emissions Summary"/>
      <sheetName val="Summary data"/>
      <sheetName val="Factors"/>
      <sheetName val="Summary data_old"/>
      <sheetName val="Coal_22"/>
      <sheetName val="Petroleum_22"/>
      <sheetName val="NaturalGas_22"/>
      <sheetName val="Coal"/>
      <sheetName val="Petroleum"/>
      <sheetName val="NaturalGas"/>
      <sheetName val="1990-2017 Data_QBtu"/>
      <sheetName val="Lubricants"/>
      <sheetName val="1990-2015 Data"/>
      <sheetName val="1990-2014 Data"/>
      <sheetName val="Pet 06_14"/>
      <sheetName val="NG 08_14"/>
      <sheetName val="Coal 08_13"/>
      <sheetName val="Pet 08_13"/>
      <sheetName val="NG 08_13"/>
      <sheetName val="Coal 08_12"/>
      <sheetName val="Pet 08_12"/>
      <sheetName val="NG 08_12"/>
      <sheetName val="Coal 08_11"/>
      <sheetName val="NG 08_11"/>
      <sheetName val="Motor Gas_8_10"/>
      <sheetName val="Jet Fuel_8_10"/>
      <sheetName val="Kerosene_8_10"/>
      <sheetName val="Dis Fuel_ 8_10"/>
      <sheetName val="Resid Fuel_8_10"/>
      <sheetName val="LPG_8_10"/>
      <sheetName val="Other P_8_10"/>
      <sheetName val="2010 data_OLD"/>
      <sheetName val="2009 data_OLD"/>
    </sheetNames>
    <sheetDataSet>
      <sheetData sheetId="0"/>
      <sheetData sheetId="1"/>
      <sheetData sheetId="2">
        <row r="2">
          <cell r="B2">
            <v>39.542801727244779</v>
          </cell>
          <cell r="C2">
            <v>38.871370563099745</v>
          </cell>
          <cell r="D2">
            <v>43.111438422867081</v>
          </cell>
          <cell r="E2">
            <v>42.567204634802437</v>
          </cell>
          <cell r="F2">
            <v>46.608000641333966</v>
          </cell>
          <cell r="G2">
            <v>44.431931067337729</v>
          </cell>
          <cell r="H2">
            <v>44.039816357713839</v>
          </cell>
          <cell r="I2">
            <v>46.205982207214788</v>
          </cell>
          <cell r="J2">
            <v>44.497755777161181</v>
          </cell>
          <cell r="K2">
            <v>31.697683592200711</v>
          </cell>
          <cell r="L2">
            <v>98.057774590163888</v>
          </cell>
          <cell r="M2">
            <v>98.826884931506839</v>
          </cell>
          <cell r="N2">
            <v>100.81681232876704</v>
          </cell>
          <cell r="O2">
            <v>113.61550547945214</v>
          </cell>
          <cell r="P2">
            <v>106.29062158469951</v>
          </cell>
          <cell r="Q2">
            <v>105.54842465753424</v>
          </cell>
          <cell r="R2">
            <v>77.762556164383597</v>
          </cell>
          <cell r="S2">
            <v>79.589853424657505</v>
          </cell>
          <cell r="T2">
            <v>60.921144808743129</v>
          </cell>
          <cell r="U2">
            <v>80.104934246575297</v>
          </cell>
          <cell r="V2">
            <v>61.018871232876705</v>
          </cell>
          <cell r="W2">
            <v>79.865676712328693</v>
          </cell>
          <cell r="X2">
            <v>71.065987932480013</v>
          </cell>
          <cell r="Y2">
            <v>63.559389835616429</v>
          </cell>
          <cell r="Z2">
            <v>68.557013698630158</v>
          </cell>
          <cell r="AA2">
            <v>61.163863013698659</v>
          </cell>
          <cell r="AB2">
            <v>56.868605749217842</v>
          </cell>
          <cell r="AC2">
            <v>69.959301796580078</v>
          </cell>
          <cell r="AD2">
            <v>64.531162070500002</v>
          </cell>
          <cell r="AE2">
            <v>40.168096317980094</v>
          </cell>
          <cell r="AF2">
            <v>34.598503329161865</v>
          </cell>
          <cell r="AG2">
            <v>40.978094857919764</v>
          </cell>
          <cell r="AH2">
            <v>40.978094857919764</v>
          </cell>
        </row>
        <row r="3">
          <cell r="B3">
            <v>23.476887290073577</v>
          </cell>
          <cell r="C3">
            <v>26.003152685641361</v>
          </cell>
          <cell r="D3">
            <v>21.997090219408591</v>
          </cell>
          <cell r="E3">
            <v>24.063231947030829</v>
          </cell>
          <cell r="F3">
            <v>27.066313932980592</v>
          </cell>
          <cell r="G3">
            <v>27.625222146274773</v>
          </cell>
          <cell r="H3">
            <v>26.932265375921421</v>
          </cell>
          <cell r="I3">
            <v>22.787283121942789</v>
          </cell>
          <cell r="J3">
            <v>21.492335073541902</v>
          </cell>
          <cell r="K3">
            <v>18.953020119840073</v>
          </cell>
          <cell r="L3">
            <v>33.11656693989076</v>
          </cell>
          <cell r="M3">
            <v>48.226227420301377</v>
          </cell>
          <cell r="N3">
            <v>33.49893150684936</v>
          </cell>
          <cell r="O3">
            <v>34.52365831825621</v>
          </cell>
          <cell r="P3">
            <v>32.848131147540968</v>
          </cell>
          <cell r="Q3">
            <v>31.632824410958872</v>
          </cell>
          <cell r="R3">
            <v>40.426204359438223</v>
          </cell>
          <cell r="S3">
            <v>33.1890904798828</v>
          </cell>
          <cell r="T3">
            <v>23.024607923497271</v>
          </cell>
          <cell r="U3">
            <v>24.702838356164392</v>
          </cell>
          <cell r="V3">
            <v>17.653638356164382</v>
          </cell>
          <cell r="W3">
            <v>22.751745205479452</v>
          </cell>
          <cell r="X3">
            <v>18.87168421317266</v>
          </cell>
          <cell r="Y3">
            <v>14.509183217024205</v>
          </cell>
          <cell r="Z3">
            <v>16.892873972602739</v>
          </cell>
          <cell r="AA3">
            <v>17.405202739726029</v>
          </cell>
          <cell r="AB3">
            <v>14.284569317978008</v>
          </cell>
          <cell r="AC3">
            <v>21.185363343078308</v>
          </cell>
          <cell r="AD3">
            <v>19.510930466299996</v>
          </cell>
          <cell r="AE3">
            <v>16.688859234078308</v>
          </cell>
          <cell r="AF3">
            <v>17.592746963950361</v>
          </cell>
          <cell r="AG3">
            <v>21.023397948806611</v>
          </cell>
          <cell r="AH3">
            <v>21.023397948806611</v>
          </cell>
        </row>
        <row r="4">
          <cell r="B4">
            <v>0.97819229390680995</v>
          </cell>
          <cell r="C4">
            <v>0.86622082444313242</v>
          </cell>
          <cell r="D4">
            <v>1.1022551103293603</v>
          </cell>
          <cell r="E4">
            <v>1.2546956790123502</v>
          </cell>
          <cell r="F4">
            <v>0.97750151515151495</v>
          </cell>
          <cell r="G4">
            <v>0.97861421425464501</v>
          </cell>
          <cell r="H4">
            <v>1.0493419473081331</v>
          </cell>
          <cell r="I4">
            <v>1.0099348300579951</v>
          </cell>
          <cell r="J4">
            <v>1.4610629913451989</v>
          </cell>
          <cell r="K4">
            <v>1.2422264626974417</v>
          </cell>
          <cell r="L4">
            <v>1.1521857923497287</v>
          </cell>
          <cell r="M4">
            <v>0.42557534246575335</v>
          </cell>
          <cell r="N4">
            <v>3.9435068493150718</v>
          </cell>
          <cell r="O4">
            <v>5.1599452054794543</v>
          </cell>
          <cell r="P4">
            <v>3.2071243169398898</v>
          </cell>
          <cell r="Q4">
            <v>2.7893424657534229</v>
          </cell>
          <cell r="R4">
            <v>3.0718109589041065</v>
          </cell>
          <cell r="S4">
            <v>4.8757671232876696</v>
          </cell>
          <cell r="T4">
            <v>2.5649972677595607</v>
          </cell>
          <cell r="U4">
            <v>4.2178506849315065</v>
          </cell>
          <cell r="V4">
            <v>3.6063424657534253</v>
          </cell>
          <cell r="W4">
            <v>0.53636986301369827</v>
          </cell>
          <cell r="X4">
            <v>0.29344063008896543</v>
          </cell>
          <cell r="Y4">
            <v>5.0016438356164386E-2</v>
          </cell>
          <cell r="Z4">
            <v>5.5479452054794522E-2</v>
          </cell>
          <cell r="AA4">
            <v>7.1917808219178106E-2</v>
          </cell>
          <cell r="AB4">
            <v>0.2161319761382417</v>
          </cell>
          <cell r="AC4">
            <v>0.21206533194615401</v>
          </cell>
          <cell r="AD4">
            <v>0.203846154</v>
          </cell>
          <cell r="AE4">
            <v>0.223024235846154</v>
          </cell>
          <cell r="AF4">
            <v>0.05</v>
          </cell>
          <cell r="AG4">
            <v>0.2203121193522079</v>
          </cell>
          <cell r="AH4">
            <v>0.2203121193522079</v>
          </cell>
        </row>
        <row r="5">
          <cell r="B5">
            <v>26.502327455721311</v>
          </cell>
          <cell r="C5">
            <v>22.292623896012614</v>
          </cell>
          <cell r="D5">
            <v>31.002112788485551</v>
          </cell>
          <cell r="E5">
            <v>35.639761362852639</v>
          </cell>
          <cell r="F5">
            <v>39.940676607343306</v>
          </cell>
          <cell r="G5">
            <v>29.386089189916959</v>
          </cell>
          <cell r="H5">
            <v>24.929261707551802</v>
          </cell>
          <cell r="I5">
            <v>25.767391992947029</v>
          </cell>
          <cell r="J5">
            <v>21.475681968686292</v>
          </cell>
          <cell r="K5">
            <v>25.477397605342389</v>
          </cell>
          <cell r="L5">
            <v>41.137498633879744</v>
          </cell>
          <cell r="M5">
            <v>56.387766959593392</v>
          </cell>
          <cell r="N5">
            <v>43.25974630136988</v>
          </cell>
          <cell r="O5">
            <v>54.781389041095927</v>
          </cell>
          <cell r="P5">
            <v>56.318993169398937</v>
          </cell>
          <cell r="Q5">
            <v>64.178432876712321</v>
          </cell>
          <cell r="R5">
            <v>45.198923287671199</v>
          </cell>
          <cell r="S5">
            <v>64.956972602739697</v>
          </cell>
          <cell r="T5">
            <v>39.24910928961755</v>
          </cell>
          <cell r="U5">
            <v>31.936742465753447</v>
          </cell>
          <cell r="V5">
            <v>31.22629452054797</v>
          </cell>
          <cell r="W5">
            <v>27.856838726630514</v>
          </cell>
          <cell r="X5">
            <v>29.861984478605081</v>
          </cell>
          <cell r="Y5">
            <v>33.803941994855158</v>
          </cell>
          <cell r="Z5">
            <v>30.833825028000348</v>
          </cell>
          <cell r="AA5">
            <v>37.047522808219149</v>
          </cell>
          <cell r="AB5">
            <v>37.686786076774347</v>
          </cell>
          <cell r="AC5">
            <v>32.32668749364651</v>
          </cell>
          <cell r="AD5">
            <v>40.150279274299997</v>
          </cell>
          <cell r="AE5">
            <v>33.635377907046504</v>
          </cell>
          <cell r="AF5">
            <v>31.960719684406627</v>
          </cell>
          <cell r="AG5">
            <v>23.27871846583529</v>
          </cell>
          <cell r="AH5">
            <v>23.27871846583529</v>
          </cell>
        </row>
        <row r="6">
          <cell r="B6">
            <v>34.164786748180049</v>
          </cell>
          <cell r="C6">
            <v>32.055388076120927</v>
          </cell>
          <cell r="D6">
            <v>40.634133188255554</v>
          </cell>
          <cell r="E6">
            <v>40.00289301538038</v>
          </cell>
          <cell r="F6">
            <v>42.778258778258824</v>
          </cell>
          <cell r="G6">
            <v>35.661177737732764</v>
          </cell>
          <cell r="H6">
            <v>29.50839237131715</v>
          </cell>
          <cell r="I6">
            <v>32.641525239924007</v>
          </cell>
          <cell r="J6">
            <v>34.96708310980808</v>
          </cell>
          <cell r="K6">
            <v>20.881254354653692</v>
          </cell>
          <cell r="L6">
            <v>60.339924863387964</v>
          </cell>
          <cell r="M6">
            <v>103.50897945205469</v>
          </cell>
          <cell r="N6">
            <v>87.765351780822002</v>
          </cell>
          <cell r="O6">
            <v>89.525430136986301</v>
          </cell>
          <cell r="P6">
            <v>111.07863387978138</v>
          </cell>
          <cell r="Q6">
            <v>100.5328452054795</v>
          </cell>
          <cell r="R6">
            <v>124.1432410958904</v>
          </cell>
          <cell r="S6">
            <v>83.396193150685008</v>
          </cell>
          <cell r="T6">
            <v>83.155173497267839</v>
          </cell>
          <cell r="U6">
            <v>75.937316438356163</v>
          </cell>
          <cell r="V6">
            <v>73.448249315068537</v>
          </cell>
          <cell r="W6">
            <v>55.538018082191783</v>
          </cell>
          <cell r="X6">
            <v>55.439415301444718</v>
          </cell>
          <cell r="Y6">
            <v>31.749122191780838</v>
          </cell>
          <cell r="Z6">
            <v>26.971503013698651</v>
          </cell>
          <cell r="AA6">
            <v>30.330407123287699</v>
          </cell>
          <cell r="AB6">
            <v>20.098675670194773</v>
          </cell>
          <cell r="AC6">
            <v>17.99050544729554</v>
          </cell>
          <cell r="AD6">
            <v>10.380171200500001</v>
          </cell>
          <cell r="AE6">
            <v>21.697206818195539</v>
          </cell>
          <cell r="AF6">
            <v>27.442956047360507</v>
          </cell>
          <cell r="AG6">
            <v>24.188273151096837</v>
          </cell>
          <cell r="AH6">
            <v>24.188273151096837</v>
          </cell>
        </row>
        <row r="7">
          <cell r="B7">
            <v>4.8707924039236499</v>
          </cell>
          <cell r="C7">
            <v>4.51184669469355</v>
          </cell>
          <cell r="D7">
            <v>3.8627687486653404</v>
          </cell>
          <cell r="E7">
            <v>2.1373459010966269</v>
          </cell>
          <cell r="F7">
            <v>2.4526490075356699</v>
          </cell>
          <cell r="G7">
            <v>1.6101453348246682</v>
          </cell>
          <cell r="H7">
            <v>2.100487971877866</v>
          </cell>
          <cell r="I7">
            <v>1.7050545671804134</v>
          </cell>
          <cell r="J7">
            <v>1.5598066373721311</v>
          </cell>
          <cell r="K7">
            <v>1.6729369891793882</v>
          </cell>
          <cell r="L7">
            <v>5.6027322404371596</v>
          </cell>
          <cell r="M7">
            <v>4.9048410958904096</v>
          </cell>
          <cell r="N7">
            <v>7.8824679452054758</v>
          </cell>
          <cell r="O7">
            <v>7.4706191780821962</v>
          </cell>
          <cell r="P7">
            <v>8.5673360655737678</v>
          </cell>
          <cell r="Q7">
            <v>7.5358904109588956</v>
          </cell>
          <cell r="R7">
            <v>9.6201479452054812</v>
          </cell>
          <cell r="S7">
            <v>8.3277671232876731</v>
          </cell>
          <cell r="T7">
            <v>11.463972677595629</v>
          </cell>
          <cell r="U7">
            <v>11.041761643835621</v>
          </cell>
          <cell r="V7">
            <v>11.092454794520551</v>
          </cell>
          <cell r="W7">
            <v>13.471032876712339</v>
          </cell>
          <cell r="X7">
            <v>6.5207267759562804</v>
          </cell>
          <cell r="Y7">
            <v>5.1800767123287699</v>
          </cell>
          <cell r="Z7">
            <v>6.8520547945205497</v>
          </cell>
          <cell r="AA7">
            <v>5.7068493150684905</v>
          </cell>
          <cell r="AB7">
            <v>5.8355240197618601</v>
          </cell>
          <cell r="AC7">
            <v>6.2376677895147496</v>
          </cell>
          <cell r="AD7">
            <v>6.2376677898999997</v>
          </cell>
          <cell r="AE7">
            <v>7.2376677896147497</v>
          </cell>
          <cell r="AF7">
            <v>6.8113383154153997</v>
          </cell>
          <cell r="AG7">
            <v>6.5157693898634799</v>
          </cell>
          <cell r="AH7">
            <v>6.5157693898634799</v>
          </cell>
        </row>
        <row r="8">
          <cell r="B8">
            <v>23.653402080949817</v>
          </cell>
          <cell r="C8">
            <v>30.114617259988719</v>
          </cell>
          <cell r="D8">
            <v>16.103191521988609</v>
          </cell>
          <cell r="E8">
            <v>17.513087459824778</v>
          </cell>
          <cell r="F8">
            <v>13.45208951739618</v>
          </cell>
          <cell r="G8">
            <v>25.222040309658478</v>
          </cell>
          <cell r="H8">
            <v>33.643574268309827</v>
          </cell>
          <cell r="I8">
            <v>35.372238040733038</v>
          </cell>
          <cell r="J8">
            <v>35.561494442085248</v>
          </cell>
          <cell r="K8">
            <v>63.190713752798565</v>
          </cell>
          <cell r="L8">
            <v>65.009918032786899</v>
          </cell>
          <cell r="M8">
            <v>39.17900000000008</v>
          </cell>
          <cell r="N8">
            <v>64.767492876712311</v>
          </cell>
          <cell r="O8">
            <v>54.64686624712327</v>
          </cell>
          <cell r="P8">
            <v>51.132394808743236</v>
          </cell>
          <cell r="Q8">
            <v>52.088779452054816</v>
          </cell>
          <cell r="R8">
            <v>43.602116438356099</v>
          </cell>
          <cell r="S8">
            <v>49.585206849315099</v>
          </cell>
          <cell r="T8">
            <v>35.57393715846996</v>
          </cell>
          <cell r="U8">
            <v>18.554162970621178</v>
          </cell>
          <cell r="V8">
            <v>12.450708219178072</v>
          </cell>
          <cell r="W8">
            <v>6.4003671232876709</v>
          </cell>
          <cell r="X8">
            <v>7.8260198794476077</v>
          </cell>
          <cell r="Y8">
            <v>4.4815498398869664</v>
          </cell>
          <cell r="Z8">
            <v>4.5374164383561624</v>
          </cell>
          <cell r="AA8">
            <v>4.3935808219178094</v>
          </cell>
          <cell r="AB8">
            <v>4.4707803679359097</v>
          </cell>
          <cell r="AC8">
            <v>1.156457534247</v>
          </cell>
          <cell r="AD8">
            <v>1.1959095890410001</v>
          </cell>
          <cell r="AE8">
            <v>1.2279763319189998</v>
          </cell>
          <cell r="AF8">
            <v>1.7099999999999999E-3</v>
          </cell>
          <cell r="AG8">
            <v>1.98E-3</v>
          </cell>
          <cell r="AH8">
            <v>1.98E-3</v>
          </cell>
        </row>
        <row r="10">
          <cell r="B10">
            <v>0</v>
          </cell>
          <cell r="C10">
            <v>0</v>
          </cell>
          <cell r="D10">
            <v>0</v>
          </cell>
          <cell r="E10">
            <v>0</v>
          </cell>
          <cell r="F10">
            <v>0</v>
          </cell>
          <cell r="G10">
            <v>0</v>
          </cell>
          <cell r="H10">
            <v>0</v>
          </cell>
          <cell r="I10">
            <v>0</v>
          </cell>
          <cell r="J10">
            <v>0</v>
          </cell>
          <cell r="K10">
            <v>0</v>
          </cell>
          <cell r="L10">
            <v>12.360250000000001</v>
          </cell>
          <cell r="M10">
            <v>22.248449999999998</v>
          </cell>
          <cell r="N10">
            <v>22.248449999999998</v>
          </cell>
          <cell r="O10">
            <v>26.133099999999999</v>
          </cell>
          <cell r="P10">
            <v>24.014199999999999</v>
          </cell>
          <cell r="Q10">
            <v>23.661049999999999</v>
          </cell>
          <cell r="R10">
            <v>25.4268</v>
          </cell>
          <cell r="S10">
            <v>26</v>
          </cell>
          <cell r="T10">
            <v>28.486000000000001</v>
          </cell>
          <cell r="U10">
            <v>26.722999999999999</v>
          </cell>
          <cell r="V10">
            <v>27.193000000000001</v>
          </cell>
          <cell r="W10">
            <v>26.486249999999998</v>
          </cell>
          <cell r="X10">
            <v>48.028399999999998</v>
          </cell>
          <cell r="Y10">
            <v>56.706929000000002</v>
          </cell>
          <cell r="Z10">
            <v>58.713233000000002</v>
          </cell>
          <cell r="AA10">
            <v>55.373429000000002</v>
          </cell>
          <cell r="AB10">
            <v>61.334954000000003</v>
          </cell>
          <cell r="AC10">
            <v>46.432853999999999</v>
          </cell>
          <cell r="AD10">
            <v>60.268787000000003</v>
          </cell>
          <cell r="AE10">
            <v>68.721584000000007</v>
          </cell>
          <cell r="AF10">
            <v>48.258432999999997</v>
          </cell>
          <cell r="AG10">
            <v>71.499424000000005</v>
          </cell>
          <cell r="AH10">
            <v>71.499424000000005</v>
          </cell>
        </row>
        <row r="11">
          <cell r="B11">
            <v>242.83919299999999</v>
          </cell>
          <cell r="C11">
            <v>225.22807999999802</v>
          </cell>
          <cell r="D11">
            <v>192.353332999998</v>
          </cell>
          <cell r="E11">
            <v>201.722981</v>
          </cell>
          <cell r="F11">
            <v>205.581067999997</v>
          </cell>
          <cell r="G11">
            <v>209.43915400000299</v>
          </cell>
          <cell r="H11">
            <v>214.95071399999699</v>
          </cell>
          <cell r="I11">
            <v>218.47811600000199</v>
          </cell>
          <cell r="J11">
            <v>220.903199</v>
          </cell>
          <cell r="K11">
            <v>204.47875999999999</v>
          </cell>
          <cell r="L11">
            <v>231.07640200000299</v>
          </cell>
          <cell r="M11">
            <v>290.34100000000296</v>
          </cell>
          <cell r="N11">
            <v>984.31399999999599</v>
          </cell>
          <cell r="O11">
            <v>1295.91198776533</v>
          </cell>
          <cell r="P11">
            <v>1433.00477000004</v>
          </cell>
          <cell r="Q11">
            <v>1466.07410999997</v>
          </cell>
          <cell r="R11">
            <v>1653.46703999997</v>
          </cell>
          <cell r="S11">
            <v>1655.16039844434</v>
          </cell>
          <cell r="T11">
            <v>1670.2635552080201</v>
          </cell>
          <cell r="U11">
            <v>1658.6679999999701</v>
          </cell>
          <cell r="V11">
            <v>1554.62700000004</v>
          </cell>
          <cell r="W11">
            <v>1672.6299999999601</v>
          </cell>
          <cell r="X11">
            <v>1599.4474007599699</v>
          </cell>
          <cell r="Y11">
            <v>1593.4651643899999</v>
          </cell>
          <cell r="Z11">
            <v>1674.6105986328</v>
          </cell>
          <cell r="AA11">
            <v>1610.2617673384</v>
          </cell>
          <cell r="AB11">
            <v>1591.0999335546001</v>
          </cell>
          <cell r="AC11">
            <v>1119.1220000000001</v>
          </cell>
          <cell r="AD11">
            <v>1243.8030000000001</v>
          </cell>
          <cell r="AE11">
            <v>1732.0730000000001</v>
          </cell>
          <cell r="AF11">
            <v>1499.59528725</v>
          </cell>
          <cell r="AG11">
            <v>1405.20982013</v>
          </cell>
          <cell r="AH11">
            <v>1405.20982013</v>
          </cell>
        </row>
        <row r="15">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row>
        <row r="16">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row>
        <row r="17">
          <cell r="B17">
            <v>0.29599999999999999</v>
          </cell>
          <cell r="C17">
            <v>0.247</v>
          </cell>
          <cell r="D17">
            <v>0.56799999999999995</v>
          </cell>
          <cell r="E17">
            <v>0.76027397260273999</v>
          </cell>
          <cell r="F17">
            <v>0.83</v>
          </cell>
          <cell r="G17">
            <v>0.62</v>
          </cell>
          <cell r="H17">
            <v>0.64426229508196697</v>
          </cell>
          <cell r="I17">
            <v>1.0960000000000001</v>
          </cell>
          <cell r="J17">
            <v>0.54800000000000004</v>
          </cell>
          <cell r="K17">
            <v>0.60299999999999998</v>
          </cell>
          <cell r="L17">
            <v>1.03825136612022</v>
          </cell>
          <cell r="M17">
            <v>0.82306575342465704</v>
          </cell>
          <cell r="N17">
            <v>0.96056438356164298</v>
          </cell>
          <cell r="O17">
            <v>2.1546219178082202</v>
          </cell>
          <cell r="P17">
            <v>2.2568306010928962</v>
          </cell>
          <cell r="Q17">
            <v>2.0356164383561643</v>
          </cell>
          <cell r="R17">
            <v>2.7643835616438355</v>
          </cell>
          <cell r="S17">
            <v>2.6498622856359075</v>
          </cell>
          <cell r="T17">
            <v>1.17</v>
          </cell>
          <cell r="U17">
            <v>0.44</v>
          </cell>
          <cell r="V17">
            <v>0.44</v>
          </cell>
          <cell r="W17">
            <v>0.44</v>
          </cell>
          <cell r="X17">
            <v>0.44</v>
          </cell>
          <cell r="Y17">
            <v>0.44</v>
          </cell>
          <cell r="Z17">
            <v>0.44</v>
          </cell>
          <cell r="AA17">
            <v>0.44</v>
          </cell>
          <cell r="AB17">
            <v>0.44</v>
          </cell>
          <cell r="AC17">
            <v>0.44</v>
          </cell>
          <cell r="AD17">
            <v>0.44</v>
          </cell>
          <cell r="AE17">
            <v>0.44</v>
          </cell>
          <cell r="AF17">
            <v>0.44</v>
          </cell>
          <cell r="AG17">
            <v>0.44</v>
          </cell>
          <cell r="AH17">
            <v>0.44</v>
          </cell>
        </row>
        <row r="18">
          <cell r="B18">
            <v>5.0000000000000001E-3</v>
          </cell>
          <cell r="C18">
            <v>3.0000000000000001E-3</v>
          </cell>
          <cell r="D18">
            <v>7.6999999999999999E-2</v>
          </cell>
          <cell r="E18">
            <v>0</v>
          </cell>
          <cell r="F18">
            <v>3.0000000000000001E-3</v>
          </cell>
          <cell r="G18">
            <v>0.26800000000000002</v>
          </cell>
          <cell r="H18">
            <v>0</v>
          </cell>
          <cell r="I18">
            <v>0</v>
          </cell>
          <cell r="J18">
            <v>5.0000000000000001E-3</v>
          </cell>
          <cell r="K18">
            <v>0</v>
          </cell>
          <cell r="L18">
            <v>0.34399999999999997</v>
          </cell>
          <cell r="M18">
            <v>0.29308219178082201</v>
          </cell>
          <cell r="N18">
            <v>0.38600000000000001</v>
          </cell>
          <cell r="O18">
            <v>1.8654794520547947E-2</v>
          </cell>
          <cell r="P18">
            <v>1.3661202185792349E-2</v>
          </cell>
          <cell r="Q18">
            <v>1.3698630136986301E-2</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row>
        <row r="19">
          <cell r="B19">
            <v>1.9E-2</v>
          </cell>
          <cell r="C19">
            <v>1.9E-2</v>
          </cell>
          <cell r="D19">
            <v>1.9E-2</v>
          </cell>
          <cell r="E19">
            <v>1.9E-2</v>
          </cell>
          <cell r="F19">
            <v>1.9E-2</v>
          </cell>
          <cell r="G19">
            <v>1.9E-2</v>
          </cell>
          <cell r="H19">
            <v>1.9E-2</v>
          </cell>
          <cell r="I19">
            <v>1.9E-2</v>
          </cell>
          <cell r="J19">
            <v>1.9E-2</v>
          </cell>
          <cell r="K19">
            <v>1.9E-2</v>
          </cell>
          <cell r="L19">
            <v>1.9E-2</v>
          </cell>
          <cell r="M19">
            <v>1.9E-2</v>
          </cell>
          <cell r="N19">
            <v>1.9E-2</v>
          </cell>
          <cell r="O19">
            <v>1.9E-2</v>
          </cell>
          <cell r="P19">
            <v>1.912568306010929E-2</v>
          </cell>
          <cell r="Q19">
            <v>1.9178082191780823E-2</v>
          </cell>
          <cell r="R19">
            <v>0.03</v>
          </cell>
          <cell r="S19">
            <v>3.0145631067961164E-2</v>
          </cell>
          <cell r="T19">
            <v>2.9126213592233011E-2</v>
          </cell>
          <cell r="U19">
            <v>0.03</v>
          </cell>
          <cell r="V19">
            <v>0.03</v>
          </cell>
          <cell r="W19">
            <v>0.03</v>
          </cell>
          <cell r="X19">
            <v>0.03</v>
          </cell>
          <cell r="Y19">
            <v>0.03</v>
          </cell>
          <cell r="Z19">
            <v>0.03</v>
          </cell>
          <cell r="AA19">
            <v>0.03</v>
          </cell>
          <cell r="AB19">
            <v>0.03</v>
          </cell>
          <cell r="AC19">
            <v>0.03</v>
          </cell>
          <cell r="AD19">
            <v>0.03</v>
          </cell>
          <cell r="AE19">
            <v>0.03</v>
          </cell>
          <cell r="AF19">
            <v>0.03</v>
          </cell>
          <cell r="AG19">
            <v>0.03</v>
          </cell>
          <cell r="AH19">
            <v>0.03</v>
          </cell>
        </row>
        <row r="20">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Summary Coal"/>
      <sheetName val="1990"/>
      <sheetName val="1991"/>
      <sheetName val="1992"/>
      <sheetName val="1993"/>
      <sheetName val="1994"/>
      <sheetName val="1995"/>
      <sheetName val="1996"/>
      <sheetName val="1997"/>
      <sheetName val="1998"/>
      <sheetName val="1999"/>
      <sheetName val="2000"/>
      <sheetName val="2001"/>
      <sheetName val="2002"/>
      <sheetName val="2003"/>
      <sheetName val="2004"/>
      <sheetName val="2005"/>
      <sheetName val="2006"/>
      <sheetName val="2007"/>
      <sheetName val="2008"/>
      <sheetName val="2009"/>
      <sheetName val="2010"/>
      <sheetName val="2011"/>
      <sheetName val="2012"/>
      <sheetName val="2013"/>
      <sheetName val="2014"/>
      <sheetName val="2015"/>
      <sheetName val="2016"/>
      <sheetName val="2017"/>
      <sheetName val="2018"/>
      <sheetName val="2019"/>
      <sheetName val="2020"/>
      <sheetName val="2021"/>
      <sheetName val="2022"/>
      <sheetName val="State Carbon Contents"/>
    </sheetNames>
    <sheetDataSet>
      <sheetData sheetId="0"/>
      <sheetData sheetId="1">
        <row r="7">
          <cell r="B7" t="str">
            <v>(MMTC/quad. Btu)</v>
          </cell>
        </row>
        <row r="18">
          <cell r="C18">
            <v>25.937996057334406</v>
          </cell>
          <cell r="D18">
            <v>25.96702960313344</v>
          </cell>
          <cell r="E18">
            <v>25.980478757244502</v>
          </cell>
          <cell r="F18">
            <v>25.877462041936699</v>
          </cell>
          <cell r="G18">
            <v>25.878591831903154</v>
          </cell>
          <cell r="H18">
            <v>25.91789491540214</v>
          </cell>
          <cell r="I18">
            <v>25.920424261243117</v>
          </cell>
          <cell r="J18">
            <v>25.910357205212129</v>
          </cell>
          <cell r="K18">
            <v>25.932621499274997</v>
          </cell>
          <cell r="L18">
            <v>25.963566646993332</v>
          </cell>
          <cell r="M18">
            <v>25.982584881780109</v>
          </cell>
          <cell r="N18">
            <v>25.986062888967851</v>
          </cell>
          <cell r="O18">
            <v>26.040478918241558</v>
          </cell>
          <cell r="P18">
            <v>26.076716277910279</v>
          </cell>
          <cell r="Q18">
            <v>26.084257586280138</v>
          </cell>
          <cell r="R18">
            <v>26.076556063342331</v>
          </cell>
          <cell r="S18">
            <v>26.026523902182998</v>
          </cell>
          <cell r="T18">
            <v>26.033819892125507</v>
          </cell>
          <cell r="U18">
            <v>26.037482691484755</v>
          </cell>
          <cell r="V18">
            <v>26.039969620971139</v>
          </cell>
          <cell r="W18">
            <v>26.045458638153619</v>
          </cell>
          <cell r="X18">
            <v>26.045615716301278</v>
          </cell>
          <cell r="Y18">
            <v>26.058623054411257</v>
          </cell>
          <cell r="Z18">
            <v>26.049147311306413</v>
          </cell>
          <cell r="AA18">
            <v>26.04112929797094</v>
          </cell>
          <cell r="AB18">
            <v>26.068323582825943</v>
          </cell>
          <cell r="AC18">
            <v>26.063603453552993</v>
          </cell>
          <cell r="AD18">
            <v>26.080965214865213</v>
          </cell>
          <cell r="AE18">
            <v>26.086614483816899</v>
          </cell>
          <cell r="AF18">
            <v>26.078382988493807</v>
          </cell>
          <cell r="AG18">
            <v>26.120456105517995</v>
          </cell>
          <cell r="AH18">
            <v>26.132656264652134</v>
          </cell>
          <cell r="AI18">
            <v>26.134701137600572</v>
          </cell>
        </row>
        <row r="19">
          <cell r="C19">
            <v>25.532291814167994</v>
          </cell>
          <cell r="D19">
            <v>25.543158586033801</v>
          </cell>
          <cell r="E19">
            <v>25.533925567912991</v>
          </cell>
          <cell r="F19">
            <v>25.525274710441376</v>
          </cell>
          <cell r="G19">
            <v>25.563112206017067</v>
          </cell>
          <cell r="H19">
            <v>25.566786609612485</v>
          </cell>
          <cell r="I19">
            <v>25.559723668433751</v>
          </cell>
          <cell r="J19">
            <v>25.591985592118377</v>
          </cell>
          <cell r="K19">
            <v>25.616489835056033</v>
          </cell>
          <cell r="L19">
            <v>25.591188788895408</v>
          </cell>
          <cell r="M19">
            <v>25.628425193088074</v>
          </cell>
          <cell r="N19">
            <v>25.629598258977765</v>
          </cell>
          <cell r="O19">
            <v>25.649069146612121</v>
          </cell>
          <cell r="P19">
            <v>25.631727459051351</v>
          </cell>
          <cell r="Q19">
            <v>25.634800953667938</v>
          </cell>
          <cell r="R19">
            <v>25.601635188979003</v>
          </cell>
          <cell r="S19">
            <v>25.59861228868181</v>
          </cell>
          <cell r="T19">
            <v>25.614339573069</v>
          </cell>
          <cell r="U19">
            <v>25.60706535359062</v>
          </cell>
          <cell r="V19">
            <v>25.583890249034596</v>
          </cell>
          <cell r="W19">
            <v>25.580590045198662</v>
          </cell>
          <cell r="X19">
            <v>25.574389306102162</v>
          </cell>
          <cell r="Y19">
            <v>25.57194123561866</v>
          </cell>
          <cell r="Z19">
            <v>25.579304450740384</v>
          </cell>
          <cell r="AA19">
            <v>25.565197824291008</v>
          </cell>
          <cell r="AB19">
            <v>25.569057482176802</v>
          </cell>
          <cell r="AC19">
            <v>25.567370485058145</v>
          </cell>
          <cell r="AD19">
            <v>25.564085680666491</v>
          </cell>
          <cell r="AE19">
            <v>25.594522090325675</v>
          </cell>
          <cell r="AF19">
            <v>25.594048438950679</v>
          </cell>
          <cell r="AG19">
            <v>25.601082279442927</v>
          </cell>
          <cell r="AH19">
            <v>25.59791634553288</v>
          </cell>
          <cell r="AI19">
            <v>25.605077665523787</v>
          </cell>
        </row>
        <row r="20">
          <cell r="C20">
            <v>25.805642720842716</v>
          </cell>
          <cell r="D20">
            <v>25.871881489576712</v>
          </cell>
          <cell r="E20">
            <v>25.855929983116827</v>
          </cell>
          <cell r="F20">
            <v>25.7596293373355</v>
          </cell>
          <cell r="G20">
            <v>25.760898130645295</v>
          </cell>
          <cell r="H20">
            <v>25.786514287120493</v>
          </cell>
          <cell r="I20">
            <v>25.743650552579652</v>
          </cell>
          <cell r="J20">
            <v>25.746983670488884</v>
          </cell>
          <cell r="K20">
            <v>25.78479363546386</v>
          </cell>
          <cell r="L20">
            <v>25.795891623557694</v>
          </cell>
          <cell r="M20">
            <v>25.736471250030551</v>
          </cell>
          <cell r="N20">
            <v>25.654338462605946</v>
          </cell>
          <cell r="O20">
            <v>25.561804762419062</v>
          </cell>
          <cell r="P20">
            <v>25.540878814005229</v>
          </cell>
          <cell r="Q20">
            <v>25.548258103728873</v>
          </cell>
          <cell r="R20">
            <v>25.794744187902076</v>
          </cell>
          <cell r="S20">
            <v>25.832832980649002</v>
          </cell>
          <cell r="T20">
            <v>25.812379837011846</v>
          </cell>
          <cell r="U20">
            <v>25.81183277073524</v>
          </cell>
          <cell r="V20">
            <v>25.862590070178246</v>
          </cell>
          <cell r="W20">
            <v>25.862499126220154</v>
          </cell>
          <cell r="X20">
            <v>25.88209416744013</v>
          </cell>
          <cell r="Y20">
            <v>25.935452316860108</v>
          </cell>
          <cell r="Z20">
            <v>25.92550247708688</v>
          </cell>
          <cell r="AA20">
            <v>25.945628789887504</v>
          </cell>
          <cell r="AB20">
            <v>26.004165366210408</v>
          </cell>
          <cell r="AC20">
            <v>26.034587614654345</v>
          </cell>
          <cell r="AD20">
            <v>26.059260610389686</v>
          </cell>
          <cell r="AE20">
            <v>26.080642025139742</v>
          </cell>
          <cell r="AF20">
            <v>26.070809180622827</v>
          </cell>
          <cell r="AG20">
            <v>26.128213850965309</v>
          </cell>
          <cell r="AH20">
            <v>26.096126973845443</v>
          </cell>
          <cell r="AI20">
            <v>26.104948569451711</v>
          </cell>
        </row>
        <row r="21">
          <cell r="C21">
            <v>26.188403221531779</v>
          </cell>
          <cell r="D21">
            <v>26.265573230967654</v>
          </cell>
          <cell r="E21">
            <v>26.383192558471539</v>
          </cell>
          <cell r="F21">
            <v>26.159033043068632</v>
          </cell>
          <cell r="G21">
            <v>26.091045386983762</v>
          </cell>
          <cell r="H21">
            <v>26.125178785663419</v>
          </cell>
          <cell r="I21">
            <v>26.025855036863565</v>
          </cell>
          <cell r="J21">
            <v>25.890869922857618</v>
          </cell>
          <cell r="K21">
            <v>26.05516957877683</v>
          </cell>
          <cell r="L21">
            <v>25.972353624013728</v>
          </cell>
          <cell r="M21">
            <v>25.999060569647476</v>
          </cell>
          <cell r="N21">
            <v>25.991107715662618</v>
          </cell>
          <cell r="O21">
            <v>25.964551734270447</v>
          </cell>
          <cell r="P21">
            <v>26.02716693872711</v>
          </cell>
          <cell r="Q21">
            <v>25.88579600257</v>
          </cell>
          <cell r="R21">
            <v>26.036169679622709</v>
          </cell>
          <cell r="S21">
            <v>26.261987709907</v>
          </cell>
          <cell r="T21">
            <v>25.914168123912859</v>
          </cell>
          <cell r="U21">
            <v>25.705698174336916</v>
          </cell>
          <cell r="V21">
            <v>25.73345015802569</v>
          </cell>
          <cell r="W21">
            <v>25.749810942329489</v>
          </cell>
          <cell r="X21">
            <v>25.81266735450231</v>
          </cell>
          <cell r="Y21">
            <v>25.883027630938649</v>
          </cell>
          <cell r="Z21">
            <v>25.904476827329631</v>
          </cell>
          <cell r="AA21">
            <v>25.884448536287529</v>
          </cell>
          <cell r="AB21">
            <v>25.981544092334147</v>
          </cell>
          <cell r="AC21">
            <v>26.01385695348554</v>
          </cell>
          <cell r="AD21">
            <v>26.087352515682195</v>
          </cell>
          <cell r="AE21">
            <v>26.094091194618521</v>
          </cell>
          <cell r="AF21">
            <v>26.106167105273808</v>
          </cell>
          <cell r="AG21">
            <v>26.208874299954459</v>
          </cell>
          <cell r="AH21">
            <v>26.155796779903174</v>
          </cell>
          <cell r="AI21">
            <v>26.17943592337086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3">
          <cell r="Y13">
            <v>3.7059100859961188E-3</v>
          </cell>
        </row>
      </sheetData>
      <sheetData sheetId="35">
        <row r="54">
          <cell r="C54" t="str">
            <v xml:space="preserve">Bituminous Total </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ighted Factors"/>
      <sheetName val="Ref Approach"/>
      <sheetName val="Annex Table"/>
      <sheetName val="PET_CONS_feeder"/>
      <sheetName val="Constant Factors"/>
    </sheetNames>
    <sheetDataSet>
      <sheetData sheetId="0">
        <row r="1">
          <cell r="B1" t="str">
            <v>Data Source</v>
          </cell>
        </row>
        <row r="79">
          <cell r="D79">
            <v>17.146363636363635</v>
          </cell>
          <cell r="E79">
            <v>17.146363636363635</v>
          </cell>
          <cell r="F79">
            <v>17.146363636363635</v>
          </cell>
          <cell r="G79">
            <v>17.146363636363635</v>
          </cell>
          <cell r="H79">
            <v>17.146363636363635</v>
          </cell>
          <cell r="I79">
            <v>17.146363636363635</v>
          </cell>
          <cell r="J79">
            <v>17.146363636363635</v>
          </cell>
          <cell r="K79">
            <v>17.146363636363635</v>
          </cell>
          <cell r="L79">
            <v>17.146363636363635</v>
          </cell>
          <cell r="M79">
            <v>17.146363636363635</v>
          </cell>
          <cell r="N79">
            <v>17.146363636363635</v>
          </cell>
          <cell r="O79">
            <v>17.146363636363635</v>
          </cell>
          <cell r="P79">
            <v>17.146363636363635</v>
          </cell>
          <cell r="Q79">
            <v>17.146363636363635</v>
          </cell>
          <cell r="R79">
            <v>17.146363636363635</v>
          </cell>
          <cell r="S79">
            <v>17.146363636363635</v>
          </cell>
          <cell r="T79">
            <v>17.146363636363635</v>
          </cell>
          <cell r="U79">
            <v>17.146363636363635</v>
          </cell>
          <cell r="V79">
            <v>17.146363636363635</v>
          </cell>
          <cell r="W79">
            <v>17.146363636363635</v>
          </cell>
          <cell r="X79">
            <v>17.146363636363635</v>
          </cell>
          <cell r="Y79">
            <v>17.146363636363635</v>
          </cell>
          <cell r="Z79">
            <v>17.146363636363635</v>
          </cell>
          <cell r="AA79">
            <v>17.146363636363635</v>
          </cell>
          <cell r="AB79">
            <v>17.146363636363635</v>
          </cell>
          <cell r="AC79">
            <v>17.146363636363635</v>
          </cell>
          <cell r="AD79">
            <v>17.146363636363635</v>
          </cell>
          <cell r="AE79">
            <v>17.146363636363635</v>
          </cell>
          <cell r="AF79">
            <v>17.146363636363635</v>
          </cell>
          <cell r="AG79">
            <v>17.146363636363635</v>
          </cell>
          <cell r="AH79">
            <v>17.146363636363635</v>
          </cell>
          <cell r="AI79">
            <v>17.146363636363635</v>
          </cell>
          <cell r="AJ79">
            <v>17.146363636363635</v>
          </cell>
        </row>
        <row r="80">
          <cell r="D80">
            <v>17.34597441530552</v>
          </cell>
          <cell r="E80">
            <v>17.389884943324603</v>
          </cell>
          <cell r="F80">
            <v>17.381129202360352</v>
          </cell>
          <cell r="G80">
            <v>17.400741387965933</v>
          </cell>
          <cell r="H80">
            <v>17.384858457284938</v>
          </cell>
          <cell r="I80">
            <v>17.406573427205515</v>
          </cell>
          <cell r="J80">
            <v>17.408011760738027</v>
          </cell>
          <cell r="K80">
            <v>17.456898398309974</v>
          </cell>
          <cell r="L80">
            <v>17.486782178206113</v>
          </cell>
          <cell r="M80">
            <v>17.481293204534854</v>
          </cell>
          <cell r="N80">
            <v>17.498812340308277</v>
          </cell>
          <cell r="O80">
            <v>17.531675652497988</v>
          </cell>
          <cell r="P80">
            <v>17.527380437151844</v>
          </cell>
          <cell r="Q80">
            <v>17.575218724301944</v>
          </cell>
          <cell r="R80">
            <v>17.560810647221505</v>
          </cell>
          <cell r="S80">
            <v>17.548639616961314</v>
          </cell>
          <cell r="T80">
            <v>17.564747148461482</v>
          </cell>
          <cell r="U80">
            <v>17.545496543859304</v>
          </cell>
          <cell r="V80">
            <v>17.614902347680069</v>
          </cell>
          <cell r="W80">
            <v>17.680080156052945</v>
          </cell>
          <cell r="X80">
            <v>17.74259458536784</v>
          </cell>
          <cell r="Y80">
            <v>17.727109048868925</v>
          </cell>
          <cell r="Z80">
            <v>17.664206338104695</v>
          </cell>
          <cell r="AA80">
            <v>17.634981008548731</v>
          </cell>
          <cell r="AB80">
            <v>17.707734142299049</v>
          </cell>
          <cell r="AC80">
            <v>17.678747622917093</v>
          </cell>
          <cell r="AD80">
            <v>17.702346346416931</v>
          </cell>
          <cell r="AE80">
            <v>17.740059296020736</v>
          </cell>
          <cell r="AF80">
            <v>17.730487220668685</v>
          </cell>
          <cell r="AG80">
            <v>17.765137541392221</v>
          </cell>
          <cell r="AH80">
            <v>17.746560604157896</v>
          </cell>
          <cell r="AI80">
            <v>17.774410481887031</v>
          </cell>
          <cell r="AJ80">
            <v>17.741669062118369</v>
          </cell>
        </row>
        <row r="81">
          <cell r="D81">
            <v>17.034046122869142</v>
          </cell>
          <cell r="E81">
            <v>17.017770166798133</v>
          </cell>
          <cell r="F81">
            <v>17.04836968847728</v>
          </cell>
          <cell r="G81">
            <v>17.00367036966577</v>
          </cell>
          <cell r="H81">
            <v>17.08362666492491</v>
          </cell>
          <cell r="I81">
            <v>17.049825000036137</v>
          </cell>
          <cell r="J81">
            <v>17.03101429870107</v>
          </cell>
          <cell r="K81">
            <v>17.061112627867821</v>
          </cell>
          <cell r="L81">
            <v>17.038809990505385</v>
          </cell>
          <cell r="M81">
            <v>17.060438677278349</v>
          </cell>
          <cell r="N81">
            <v>16.993788992837722</v>
          </cell>
          <cell r="O81">
            <v>17.003297137301661</v>
          </cell>
          <cell r="P81">
            <v>17.00907039198437</v>
          </cell>
          <cell r="Q81">
            <v>17.031270458397266</v>
          </cell>
          <cell r="R81">
            <v>17.008824246038724</v>
          </cell>
          <cell r="S81">
            <v>17.01947307227082</v>
          </cell>
          <cell r="T81">
            <v>17.003733585144943</v>
          </cell>
          <cell r="U81">
            <v>16.964207767178955</v>
          </cell>
          <cell r="V81">
            <v>16.962197955333178</v>
          </cell>
          <cell r="W81">
            <v>16.903247712794997</v>
          </cell>
          <cell r="X81">
            <v>16.907399302359956</v>
          </cell>
          <cell r="Y81">
            <v>16.868462552226546</v>
          </cell>
          <cell r="Z81">
            <v>16.874046318664156</v>
          </cell>
          <cell r="AA81">
            <v>16.887731958033104</v>
          </cell>
          <cell r="AB81">
            <v>16.865854200909247</v>
          </cell>
          <cell r="AC81">
            <v>16.866991672803604</v>
          </cell>
          <cell r="AD81">
            <v>16.849630882011688</v>
          </cell>
          <cell r="AE81">
            <v>16.812068549100584</v>
          </cell>
          <cell r="AF81">
            <v>16.776351446683535</v>
          </cell>
          <cell r="AG81">
            <v>16.767011992040413</v>
          </cell>
          <cell r="AH81">
            <v>16.703178354729324</v>
          </cell>
          <cell r="AI81">
            <v>16.716898122755865</v>
          </cell>
          <cell r="AJ81">
            <v>16.669044482808058</v>
          </cell>
        </row>
      </sheetData>
      <sheetData sheetId="1">
        <row r="62">
          <cell r="D62" t="str">
            <v>1990</v>
          </cell>
        </row>
      </sheetData>
      <sheetData sheetId="2">
        <row r="1">
          <cell r="D1">
            <v>1990</v>
          </cell>
        </row>
      </sheetData>
      <sheetData sheetId="3"/>
      <sheetData sheetId="4">
        <row r="6">
          <cell r="A6" t="str">
            <v>Ethane</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iskTemplate_NEU"/>
      <sheetName val="Introduction"/>
      <sheetName val="TOC"/>
      <sheetName val="Uncertainty"/>
      <sheetName val="Text Tables"/>
      <sheetName val="Annex Tables"/>
      <sheetName val="Revisions Log"/>
      <sheetName val="NEU Flow Chart"/>
      <sheetName val="Summary"/>
      <sheetName val="Feedstock Summary"/>
      <sheetName val="Feedstock Summary TgCO2Eq"/>
      <sheetName val="Asphalt Summary"/>
      <sheetName val="Lubricant Summary"/>
      <sheetName val="Wax Summary"/>
      <sheetName val="Other Summary"/>
      <sheetName val="Chart1"/>
      <sheetName val="Chart2"/>
      <sheetName val="Chart3"/>
      <sheetName val="Chart4"/>
      <sheetName val="Petrochem FdStck StorageFactors"/>
      <sheetName val="FF Inputs"/>
      <sheetName val="Antifreeze"/>
      <sheetName val="Food Additives"/>
      <sheetName val="Silicones"/>
      <sheetName val="Rubber"/>
      <sheetName val="Rubber 2"/>
      <sheetName val="Syn. Rubber"/>
      <sheetName val="CO"/>
      <sheetName val="Solvents"/>
      <sheetName val="VOC"/>
      <sheetName val="Plastics"/>
      <sheetName val="Pesticides 1987"/>
      <sheetName val="Pesticides 1993"/>
      <sheetName val="Pesticides 1995"/>
      <sheetName val="Pesticides 1997"/>
      <sheetName val="Pesticides 1999"/>
      <sheetName val="Pesticides 2001"/>
      <sheetName val="Pesticides 2007"/>
      <sheetName val="Pesticides 2009"/>
      <sheetName val="Pesticides 2012"/>
      <sheetName val="Pest Summary"/>
      <sheetName val="Pesticides"/>
      <sheetName val="energy recovery summary"/>
      <sheetName val="ER 1991"/>
      <sheetName val="ER 1994"/>
      <sheetName val="ER 1998"/>
      <sheetName val="ER 2002"/>
      <sheetName val="ER 2006"/>
      <sheetName val="ER 2010"/>
      <sheetName val="ER 2014"/>
      <sheetName val="ER 2018"/>
      <sheetName val="haz waste summary"/>
      <sheetName val="Incineration"/>
      <sheetName val="HW Energy Recovery"/>
      <sheetName val="BRS Data"/>
      <sheetName val="BRS List"/>
      <sheetName val="cleanser ingredients"/>
      <sheetName val="cleanser production 1992"/>
      <sheetName val="cleanser production 1997"/>
      <sheetName val="Cleanser Consumption"/>
      <sheetName val="Fabrics"/>
      <sheetName val="Constants"/>
      <sheetName val="C accounting"/>
      <sheetName val="On-site Land Release Break-down"/>
      <sheetName val="Release Data for Top 90%"/>
      <sheetName val="Cumulative Frequency"/>
    </sheetNames>
    <sheetDataSet>
      <sheetData sheetId="0"/>
      <sheetData sheetId="1"/>
      <sheetData sheetId="2"/>
      <sheetData sheetId="3">
        <row r="5">
          <cell r="C5">
            <v>95.804417224932919</v>
          </cell>
        </row>
        <row r="6">
          <cell r="C6">
            <v>0.30319368909442768</v>
          </cell>
        </row>
        <row r="7">
          <cell r="C7">
            <v>16.545299580604539</v>
          </cell>
        </row>
        <row r="8">
          <cell r="C8">
            <v>0.39913629606760009</v>
          </cell>
        </row>
        <row r="9">
          <cell r="C9">
            <v>2.9752667690377361</v>
          </cell>
        </row>
      </sheetData>
      <sheetData sheetId="4"/>
      <sheetData sheetId="5"/>
      <sheetData sheetId="6"/>
      <sheetData sheetId="7"/>
      <sheetData sheetId="8"/>
      <sheetData sheetId="9">
        <row r="4">
          <cell r="AH4">
            <v>71.157043900294397</v>
          </cell>
        </row>
      </sheetData>
      <sheetData sheetId="10"/>
      <sheetData sheetId="11">
        <row r="16">
          <cell r="N16">
            <v>0.99560852232832731</v>
          </cell>
        </row>
      </sheetData>
      <sheetData sheetId="12">
        <row r="23">
          <cell r="I23">
            <v>9.1799999999999993E-2</v>
          </cell>
        </row>
      </sheetData>
      <sheetData sheetId="13">
        <row r="15">
          <cell r="F15">
            <v>0.57824999999999982</v>
          </cell>
        </row>
      </sheetData>
      <sheetData sheetId="14"/>
      <sheetData sheetId="15" refreshError="1"/>
      <sheetData sheetId="16" refreshError="1"/>
      <sheetData sheetId="17" refreshError="1"/>
      <sheetData sheetId="18" refreshError="1"/>
      <sheetData sheetId="19">
        <row r="7">
          <cell r="B7">
            <v>0.58178727746671044</v>
          </cell>
          <cell r="C7">
            <v>0.56567609104243644</v>
          </cell>
          <cell r="D7">
            <v>0.57111837780128927</v>
          </cell>
          <cell r="E7">
            <v>0.60374587970370186</v>
          </cell>
          <cell r="F7">
            <v>0.59572902993663335</v>
          </cell>
          <cell r="G7">
            <v>0.61501180649345966</v>
          </cell>
          <cell r="H7">
            <v>0.63836533410972207</v>
          </cell>
          <cell r="I7">
            <v>0.59880431574943138</v>
          </cell>
          <cell r="J7">
            <v>0.60328039453582427</v>
          </cell>
          <cell r="K7">
            <v>0.59034736110666508</v>
          </cell>
          <cell r="L7">
            <v>0.61867824523732684</v>
          </cell>
          <cell r="M7">
            <v>0.60833527974272095</v>
          </cell>
          <cell r="N7">
            <v>0.6182376996058202</v>
          </cell>
          <cell r="O7">
            <v>0.61391823078380892</v>
          </cell>
          <cell r="P7">
            <v>0.62368105906242866</v>
          </cell>
          <cell r="Q7">
            <v>0.60838029733168519</v>
          </cell>
          <cell r="R7">
            <v>0.61896767720015911</v>
          </cell>
          <cell r="S7">
            <v>0.64700499580579218</v>
          </cell>
          <cell r="T7">
            <v>0.64099826390404724</v>
          </cell>
          <cell r="U7">
            <v>0.67184397312987598</v>
          </cell>
          <cell r="V7">
            <v>0.68984355980832801</v>
          </cell>
          <cell r="W7">
            <v>0.6893814119284023</v>
          </cell>
          <cell r="X7">
            <v>0.69629100906407437</v>
          </cell>
          <cell r="Y7">
            <v>0.67523318805581278</v>
          </cell>
          <cell r="Z7">
            <v>0.67215151467701395</v>
          </cell>
          <cell r="AA7">
            <v>0.67703002807245971</v>
          </cell>
          <cell r="AB7">
            <v>0.6902600217662137</v>
          </cell>
          <cell r="AC7">
            <v>0.66008522704042638</v>
          </cell>
          <cell r="AD7">
            <v>0.63320541134502684</v>
          </cell>
          <cell r="AE7">
            <v>0.64570139333107024</v>
          </cell>
          <cell r="AF7">
            <v>0.66041672998585665</v>
          </cell>
          <cell r="AG7">
            <v>0.62526003009322539</v>
          </cell>
          <cell r="AH7">
            <v>0.63280546811931848</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umentation"/>
      <sheetName val="Computations"/>
      <sheetName val="CO2 Coeff"/>
      <sheetName val="Data_Param"/>
    </sheetNames>
    <sheetDataSet>
      <sheetData sheetId="0"/>
      <sheetData sheetId="1"/>
      <sheetData sheetId="2">
        <row r="30">
          <cell r="E30">
            <v>69.19</v>
          </cell>
        </row>
      </sheetData>
      <sheetData sheetId="3">
        <row r="21">
          <cell r="AR21">
            <v>19.37</v>
          </cell>
        </row>
        <row r="35">
          <cell r="AR35">
            <v>18.239999999999998</v>
          </cell>
        </row>
        <row r="37">
          <cell r="AR37">
            <v>19.41</v>
          </cell>
        </row>
        <row r="42">
          <cell r="AR42">
            <v>19.41</v>
          </cell>
        </row>
        <row r="44">
          <cell r="AP44">
            <v>21.29</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Imports"/>
      <sheetName val="Imports (kg)"/>
      <sheetName val="Exports"/>
      <sheetName val="Exports (kg)"/>
      <sheetName val="I - MTBE"/>
      <sheetName val="I - Coal Tar Products"/>
      <sheetName val="I - C Black"/>
      <sheetName val="I - Carbonates"/>
      <sheetName val="I - Carbides"/>
      <sheetName val="I - Cleansers"/>
      <sheetName val="I - Pesticides"/>
      <sheetName val="I - Plastics"/>
      <sheetName val="I - Paints"/>
      <sheetName val="I - Syn Rubber"/>
      <sheetName val="I - Rubber Products"/>
      <sheetName val="I - Syn Fibers"/>
      <sheetName val="E - MTBE"/>
      <sheetName val="E - Coal Tar Products"/>
      <sheetName val="E - C Black"/>
      <sheetName val="E - Carbonates"/>
      <sheetName val="E - Carbides"/>
      <sheetName val="E - Cleansers"/>
      <sheetName val="E - Pesticides"/>
      <sheetName val="E - Plastics"/>
      <sheetName val="E - Paint"/>
      <sheetName val="E - Syn Rubber"/>
      <sheetName val="E - Rubber Products"/>
      <sheetName val="E - Syn Fibers"/>
      <sheetName val="ITCi 89-95"/>
      <sheetName val="ITCi 96-2022"/>
      <sheetName val="ITCi 96-2012 (previous)"/>
      <sheetName val="ITCi 96-2013 (Check)"/>
      <sheetName val="ITCe 89-95"/>
      <sheetName val="ITCe 96-2022"/>
      <sheetName val="ITCi 96-2013 (Check) (2)"/>
      <sheetName val="ITCe 96-2013 (previous year)"/>
      <sheetName val="ITCe 96-2013 (Check)"/>
      <sheetName val="I For Future Review"/>
      <sheetName val="E For Future Review"/>
      <sheetName val="Conversions"/>
      <sheetName val="Misc"/>
      <sheetName val="rubber CC"/>
      <sheetName val="I-Petrochemicals"/>
      <sheetName val="E-Petrochemicals"/>
      <sheetName val="Comparison"/>
      <sheetName val="Match"/>
      <sheetName val="07-08 By Comparison"/>
    </sheetNames>
    <sheetDataSet>
      <sheetData sheetId="0">
        <row r="15">
          <cell r="B15">
            <v>0.19670131010250022</v>
          </cell>
        </row>
        <row r="19">
          <cell r="B19">
            <v>3.2645910795000361</v>
          </cell>
          <cell r="C19">
            <v>3.6905095183662358</v>
          </cell>
          <cell r="D19">
            <v>3.4786836610202378</v>
          </cell>
          <cell r="E19">
            <v>4.1262651837741124</v>
          </cell>
          <cell r="F19">
            <v>3.47572995179469</v>
          </cell>
          <cell r="G19">
            <v>3.0185836864816795</v>
          </cell>
          <cell r="H19">
            <v>3.1023592525473482</v>
          </cell>
          <cell r="I19">
            <v>3.6629142164437125</v>
          </cell>
          <cell r="J19">
            <v>2.3653036568517991</v>
          </cell>
          <cell r="K19">
            <v>2.320000624821533</v>
          </cell>
          <cell r="L19">
            <v>2.2610237405678237</v>
          </cell>
          <cell r="M19">
            <v>0.48690082719042316</v>
          </cell>
          <cell r="N19">
            <v>1.9413310715180654</v>
          </cell>
          <cell r="O19">
            <v>3.9889636586699964</v>
          </cell>
          <cell r="P19">
            <v>5.4581315487272324</v>
          </cell>
          <cell r="Q19">
            <v>1.728012752461952</v>
          </cell>
          <cell r="R19">
            <v>1.054143757769654</v>
          </cell>
          <cell r="S19">
            <v>2.2324933292150759</v>
          </cell>
          <cell r="T19">
            <v>1.164220882584061</v>
          </cell>
          <cell r="U19">
            <v>2.394566218983285</v>
          </cell>
          <cell r="V19">
            <v>1.9112802253020502</v>
          </cell>
          <cell r="W19">
            <v>2.1006301487932286</v>
          </cell>
          <cell r="X19">
            <v>2.668224501833357</v>
          </cell>
          <cell r="Y19">
            <v>2.2061405660310101</v>
          </cell>
          <cell r="Z19">
            <v>0.94739754729614911</v>
          </cell>
          <cell r="AA19">
            <v>1.4185120434136789</v>
          </cell>
          <cell r="AB19">
            <v>3.3599977882933199</v>
          </cell>
          <cell r="AC19">
            <v>3.6915447294230135</v>
          </cell>
          <cell r="AD19">
            <v>4.510874171352028</v>
          </cell>
          <cell r="AE19">
            <v>5.4687764263824832</v>
          </cell>
          <cell r="AF19">
            <v>5.7151793379753766</v>
          </cell>
          <cell r="AG19">
            <v>5.6778340307592092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9">
          <cell r="D9">
            <v>119.591375204</v>
          </cell>
        </row>
      </sheetData>
      <sheetData sheetId="44">
        <row r="9">
          <cell r="D9">
            <v>252.679522096</v>
          </cell>
        </row>
      </sheetData>
      <sheetData sheetId="45"/>
      <sheetData sheetId="46"/>
      <sheetData sheetId="4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Geothermal Calcs"/>
      <sheetName val="Conversions and EFs"/>
      <sheetName val="EIA Data 2001-2022"/>
      <sheetName val="Nonutilty EIA Data 1989-1998"/>
      <sheetName val="Utility EIA Data 1990-2000"/>
    </sheetNames>
    <sheetDataSet>
      <sheetData sheetId="0">
        <row r="7">
          <cell r="C7">
            <v>78742.951000000001</v>
          </cell>
          <cell r="D7">
            <v>351574.56</v>
          </cell>
          <cell r="E7">
            <v>354525.20299999998</v>
          </cell>
          <cell r="F7">
            <v>344084.22</v>
          </cell>
          <cell r="G7">
            <v>304645.95999999996</v>
          </cell>
          <cell r="H7">
            <v>281712.25</v>
          </cell>
          <cell r="I7">
            <v>278552.95999999996</v>
          </cell>
          <cell r="J7">
            <v>234972.79999999999</v>
          </cell>
          <cell r="K7">
            <v>322445.45999999996</v>
          </cell>
          <cell r="L7">
            <v>249274.61465110988</v>
          </cell>
          <cell r="M7">
            <v>236936.90223831372</v>
          </cell>
          <cell r="N7">
            <v>231008</v>
          </cell>
          <cell r="O7">
            <v>224388</v>
          </cell>
          <cell r="P7">
            <v>219265</v>
          </cell>
          <cell r="Q7">
            <v>586015.53999999992</v>
          </cell>
          <cell r="R7">
            <v>675562.00399999996</v>
          </cell>
          <cell r="S7">
            <v>752684.00300000003</v>
          </cell>
          <cell r="T7">
            <v>782583.99699999997</v>
          </cell>
          <cell r="U7">
            <v>1494187</v>
          </cell>
          <cell r="V7">
            <v>1915850</v>
          </cell>
          <cell r="W7">
            <v>2412638.12</v>
          </cell>
          <cell r="X7">
            <v>2162984</v>
          </cell>
          <cell r="Y7">
            <v>2425570.6260000002</v>
          </cell>
          <cell r="Z7">
            <v>2745237.08</v>
          </cell>
          <cell r="AA7">
            <v>3124700</v>
          </cell>
          <cell r="AB7">
            <v>3359437</v>
          </cell>
          <cell r="AC7">
            <v>3621279</v>
          </cell>
          <cell r="AD7">
            <v>3560175</v>
          </cell>
          <cell r="AE7">
            <v>3844588</v>
          </cell>
          <cell r="AF7">
            <v>4340131</v>
          </cell>
          <cell r="AG7">
            <v>4222968</v>
          </cell>
          <cell r="AH7">
            <v>4770859</v>
          </cell>
          <cell r="AI7">
            <v>4764842</v>
          </cell>
        </row>
        <row r="8">
          <cell r="C8">
            <v>6147576.7129999995</v>
          </cell>
          <cell r="D8">
            <v>6875305.3839999996</v>
          </cell>
          <cell r="E8">
            <v>7016967.6959999986</v>
          </cell>
          <cell r="F8">
            <v>8180554.4680000003</v>
          </cell>
          <cell r="G8">
            <v>7602342.1270000003</v>
          </cell>
          <cell r="H8">
            <v>7625556.2850000001</v>
          </cell>
          <cell r="I8">
            <v>7918659.5929999994</v>
          </cell>
          <cell r="J8">
            <v>7930614.4759999989</v>
          </cell>
          <cell r="K8">
            <v>7961512.4400000013</v>
          </cell>
          <cell r="L8">
            <v>7816070.5835416922</v>
          </cell>
          <cell r="M8">
            <v>7429218.3916615751</v>
          </cell>
          <cell r="N8">
            <v>7243316.1150000002</v>
          </cell>
          <cell r="O8">
            <v>8102059.8909999998</v>
          </cell>
          <cell r="P8">
            <v>8073805.0949999997</v>
          </cell>
          <cell r="Q8">
            <v>8085221.0010000002</v>
          </cell>
          <cell r="R8">
            <v>7925753.1959999995</v>
          </cell>
          <cell r="S8">
            <v>7772487.9979999997</v>
          </cell>
          <cell r="T8">
            <v>7665335.9959999993</v>
          </cell>
          <cell r="U8">
            <v>7325189.5600000005</v>
          </cell>
          <cell r="V8">
            <v>7143373</v>
          </cell>
          <cell r="W8">
            <v>6825519</v>
          </cell>
          <cell r="X8">
            <v>7172118</v>
          </cell>
          <cell r="Y8">
            <v>7021925</v>
          </cell>
          <cell r="Z8">
            <v>7026778</v>
          </cell>
          <cell r="AA8">
            <v>6915926</v>
          </cell>
          <cell r="AB8">
            <v>6999576</v>
          </cell>
          <cell r="AC8">
            <v>6650140</v>
          </cell>
          <cell r="AD8">
            <v>6692952.2249999996</v>
          </cell>
          <cell r="AE8">
            <v>6394150</v>
          </cell>
          <cell r="AF8">
            <v>5924392</v>
          </cell>
          <cell r="AG8">
            <v>6054766</v>
          </cell>
          <cell r="AH8">
            <v>5684740</v>
          </cell>
          <cell r="AI8">
            <v>5778197</v>
          </cell>
        </row>
        <row r="9">
          <cell r="C9">
            <v>9207951.4130000006</v>
          </cell>
          <cell r="D9">
            <v>8739564.5199999996</v>
          </cell>
          <cell r="E9">
            <v>8766469.5390000008</v>
          </cell>
          <cell r="F9">
            <v>8263926.642</v>
          </cell>
          <cell r="G9">
            <v>7628465.3939999994</v>
          </cell>
          <cell r="H9">
            <v>5470989.0779999997</v>
          </cell>
          <cell r="I9">
            <v>6131471.2390000001</v>
          </cell>
          <cell r="J9">
            <v>6560514.7000000002</v>
          </cell>
          <cell r="K9">
            <v>6489960.557</v>
          </cell>
          <cell r="L9">
            <v>6761667.8018071977</v>
          </cell>
          <cell r="M9">
            <v>6427002.7061001109</v>
          </cell>
          <cell r="N9">
            <v>6266179</v>
          </cell>
          <cell r="O9">
            <v>6164862</v>
          </cell>
          <cell r="P9">
            <v>6131161</v>
          </cell>
          <cell r="Q9">
            <v>6139737.9989999998</v>
          </cell>
          <cell r="R9">
            <v>6090430.0010000002</v>
          </cell>
          <cell r="S9">
            <v>6042857</v>
          </cell>
          <cell r="T9">
            <v>6189292.9989999998</v>
          </cell>
          <cell r="U9">
            <v>6020600</v>
          </cell>
          <cell r="V9">
            <v>5949435</v>
          </cell>
          <cell r="W9">
            <v>5981056</v>
          </cell>
          <cell r="X9">
            <v>5980966</v>
          </cell>
          <cell r="Y9">
            <v>6114930</v>
          </cell>
          <cell r="Z9">
            <v>6002659</v>
          </cell>
          <cell r="AA9">
            <v>5836315</v>
          </cell>
          <cell r="AB9">
            <v>5558562</v>
          </cell>
          <cell r="AC9">
            <v>5554388</v>
          </cell>
          <cell r="AD9">
            <v>5673647</v>
          </cell>
          <cell r="AE9">
            <v>5728396</v>
          </cell>
          <cell r="AF9">
            <v>5208194</v>
          </cell>
          <cell r="AG9">
            <v>5611963</v>
          </cell>
          <cell r="AH9">
            <v>5519168</v>
          </cell>
          <cell r="AI9">
            <v>5543890</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RF Reporter Input"/>
      <sheetName val="Checker"/>
      <sheetName val="InvDB"/>
      <sheetName val="Summary Table"/>
      <sheetName val="Inv Tables"/>
      <sheetName val="Summary"/>
      <sheetName val="HW Gas-Diesel (MMT)"/>
      <sheetName val="VMT Totals"/>
      <sheetName val="AFV VMT"/>
      <sheetName val="AFV Emissions"/>
      <sheetName val="%VMT by MY"/>
      <sheetName val="AFV EFs"/>
      <sheetName val="Control Tech"/>
      <sheetName val="Emission Factors"/>
      <sheetName val="HDGV"/>
      <sheetName val="LDGT"/>
      <sheetName val="LDGV"/>
      <sheetName val="LDDV"/>
      <sheetName val="LDDT"/>
      <sheetName val="HDDV"/>
      <sheetName val="HDDB"/>
      <sheetName val="Key"/>
      <sheetName val="MC"/>
      <sheetName val="Non_HW_Input"/>
      <sheetName val="Non-HW EFs"/>
      <sheetName val="Non_HW_Calcs"/>
      <sheetName val="EIA Vessel Bunkering"/>
      <sheetName val="Documentation"/>
      <sheetName val="Densities"/>
      <sheetName val="OUTPUT to Stationary"/>
      <sheetName val="Changes"/>
      <sheetName val="mobile 1990-2022_12_18_23 (1)"/>
    </sheetNames>
    <sheetDataSet>
      <sheetData sheetId="0" refreshError="1"/>
      <sheetData sheetId="1" refreshError="1"/>
      <sheetData sheetId="2" refreshError="1"/>
      <sheetData sheetId="3">
        <row r="5">
          <cell r="C5">
            <v>5.7726969666358636</v>
          </cell>
        </row>
        <row r="23">
          <cell r="C23">
            <v>7.2161423502559483</v>
          </cell>
          <cell r="D23">
            <v>7.0329835118905315</v>
          </cell>
          <cell r="E23">
            <v>7.0785476449182907</v>
          </cell>
          <cell r="F23">
            <v>6.9885149345492223</v>
          </cell>
          <cell r="G23">
            <v>6.9829619381930623</v>
          </cell>
          <cell r="H23">
            <v>6.9396744723887238</v>
          </cell>
          <cell r="I23">
            <v>6.833271910448266</v>
          </cell>
          <cell r="J23">
            <v>6.6405485034784268</v>
          </cell>
          <cell r="K23">
            <v>6.3767977679488617</v>
          </cell>
          <cell r="L23">
            <v>5.7551126130297607</v>
          </cell>
          <cell r="M23">
            <v>5.5066305710851999</v>
          </cell>
          <cell r="N23">
            <v>5.2101358185811506</v>
          </cell>
          <cell r="O23">
            <v>4.9563309758860861</v>
          </cell>
          <cell r="P23">
            <v>4.7389864952944034</v>
          </cell>
          <cell r="Q23">
            <v>4.5510030984447551</v>
          </cell>
          <cell r="R23">
            <v>4.3093184564700691</v>
          </cell>
          <cell r="S23">
            <v>4.2368125941999812</v>
          </cell>
          <cell r="T23">
            <v>4.0559867910708247</v>
          </cell>
          <cell r="U23">
            <v>3.8016906727928452</v>
          </cell>
          <cell r="V23">
            <v>3.6408627393582167</v>
          </cell>
          <cell r="W23">
            <v>3.5955702352342698</v>
          </cell>
          <cell r="X23">
            <v>3.5772621862263159</v>
          </cell>
          <cell r="Y23">
            <v>3.3828252580865601</v>
          </cell>
          <cell r="Z23">
            <v>3.30359522970583</v>
          </cell>
          <cell r="AA23">
            <v>3.1227443274255129</v>
          </cell>
          <cell r="AB23">
            <v>3.060778055075644</v>
          </cell>
          <cell r="AC23">
            <v>2.9912233333591844</v>
          </cell>
          <cell r="AD23">
            <v>2.9069741400757421</v>
          </cell>
          <cell r="AE23">
            <v>2.8200232382715855</v>
          </cell>
          <cell r="AF23">
            <v>2.8526852267559279</v>
          </cell>
          <cell r="AG23">
            <v>2.5440904223725576</v>
          </cell>
          <cell r="AH23">
            <v>2.5830269875678979</v>
          </cell>
          <cell r="AI23">
            <v>2.598675876038139</v>
          </cell>
        </row>
        <row r="46">
          <cell r="C46">
            <v>38.417058581937795</v>
          </cell>
          <cell r="D46">
            <v>39.85682609618479</v>
          </cell>
          <cell r="E46">
            <v>42.284547888642983</v>
          </cell>
          <cell r="F46">
            <v>44.104595307835787</v>
          </cell>
          <cell r="G46">
            <v>46.049352807793312</v>
          </cell>
          <cell r="H46">
            <v>47.654954652078771</v>
          </cell>
          <cell r="I46">
            <v>48.977874492088432</v>
          </cell>
          <cell r="J46">
            <v>50.168871209253012</v>
          </cell>
          <cell r="K46">
            <v>50.923605846698884</v>
          </cell>
          <cell r="L46">
            <v>49.011014548331829</v>
          </cell>
          <cell r="M46">
            <v>48.338250941213985</v>
          </cell>
          <cell r="N46">
            <v>46.373166630467672</v>
          </cell>
          <cell r="O46">
            <v>44.878226154437378</v>
          </cell>
          <cell r="P46">
            <v>43.150487710522405</v>
          </cell>
          <cell r="Q46">
            <v>41.134327159734482</v>
          </cell>
          <cell r="R46">
            <v>37.033988921274528</v>
          </cell>
          <cell r="S46">
            <v>37.358505031102595</v>
          </cell>
          <cell r="T46">
            <v>34.496238818055517</v>
          </cell>
          <cell r="U46">
            <v>31.895035032716532</v>
          </cell>
          <cell r="V46">
            <v>30.271149671337916</v>
          </cell>
          <cell r="W46">
            <v>29.301051553447373</v>
          </cell>
          <cell r="X46">
            <v>28.223964095241961</v>
          </cell>
          <cell r="Y46">
            <v>26.191298271854059</v>
          </cell>
          <cell r="Z46">
            <v>24.473704998319796</v>
          </cell>
          <cell r="AA46">
            <v>22.568800043276241</v>
          </cell>
          <cell r="AB46">
            <v>20.791142747252096</v>
          </cell>
          <cell r="AC46">
            <v>19.792092085719013</v>
          </cell>
          <cell r="AD46">
            <v>18.741287153058572</v>
          </cell>
          <cell r="AE46">
            <v>17.657847086227349</v>
          </cell>
          <cell r="AF46">
            <v>19.076692759576606</v>
          </cell>
          <cell r="AG46">
            <v>16.135908274221755</v>
          </cell>
          <cell r="AH46">
            <v>16.819843099276984</v>
          </cell>
          <cell r="AI46">
            <v>16.606687822669816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persons/person.xml><?xml version="1.0" encoding="utf-8"?>
<personList xmlns="http://schemas.microsoft.com/office/spreadsheetml/2018/threadedcomments" xmlns:x="http://schemas.openxmlformats.org/spreadsheetml/2006/main">
  <person displayName="Katie O'Malley" id="{46F42285-C4A4-4275-B487-0548540C504A}" userId="S::39671@icf.com::91b67882-f543-4017-b07b-ea79ab6fe9cf" providerId="AD"/>
  <person displayName="Kerkezis, Georgia" id="{28736AF7-295F-4293-893F-8629F799FDE2}" userId="S::58514@icf.com::727e3cd1-95b1-4111-ae25-e99e82f93118" providerId="AD"/>
  <person displayName="Carr, Emily" id="{A75A79DF-B504-48CE-B5E2-3DB86C91E3EB}" userId="S::58700@icf.com::211b5b85-f55b-4f4e-8ce8-d781fbc5575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H28" dT="2022-12-20T21:42:44.07" personId="{A75A79DF-B504-48CE-B5E2-3DB86C91E3EB}" id="{29D9F2BE-CDD1-4455-9199-3A0D60303FD9}" done="1">
    <text>Note for FR: let's add a row under here for Electric Power. This will improve text updates and Summary updates</text>
  </threadedComment>
</ThreadedComments>
</file>

<file path=xl/threadedComments/threadedComment2.xml><?xml version="1.0" encoding="utf-8"?>
<ThreadedComments xmlns="http://schemas.microsoft.com/office/spreadsheetml/2018/threadedcomments" xmlns:x="http://schemas.openxmlformats.org/spreadsheetml/2006/main">
  <threadedComment ref="P25" dT="2023-12-18T22:47:13.58" personId="{28736AF7-295F-4293-893F-8629F799FDE2}" id="{E9A91E1C-9761-48FF-BFDC-34A4D0360136}">
    <text>NEU subtraction is more than total consumption, so ICF and EPA decided to make this value 0 for PR cycle 2022.</text>
  </threadedComment>
</ThreadedComments>
</file>

<file path=xl/threadedComments/threadedComment3.xml><?xml version="1.0" encoding="utf-8"?>
<ThreadedComments xmlns="http://schemas.microsoft.com/office/spreadsheetml/2018/threadedcomments" xmlns:x="http://schemas.openxmlformats.org/spreadsheetml/2006/main">
  <threadedComment ref="D5" dT="2022-11-28T15:25:35.49" personId="{46F42285-C4A4-4275-B487-0548540C504A}" id="{5731CE68-C4A0-42E1-84DB-F43E8FCEDA2C}">
    <text>This column needs to be updated to use 2021 values</text>
  </threadedComment>
  <threadedComment ref="F5" dT="2022-11-28T15:24:06.01" personId="{46F42285-C4A4-4275-B487-0548540C504A}" id="{7DE49492-ADB6-47F7-9962-E54753D4D12C}">
    <text>This column needs to be updated to use 2021 values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mailto:Camobreco.Vincent@EPA.gov"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46.bin"/><Relationship Id="rId4" Type="http://schemas.microsoft.com/office/2017/10/relationships/threadedComment" Target="../threadedComments/threadedComment2.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3" Type="http://schemas.openxmlformats.org/officeDocument/2006/relationships/vmlDrawing" Target="../drawings/vmlDrawing48.vml"/><Relationship Id="rId2" Type="http://schemas.openxmlformats.org/officeDocument/2006/relationships/drawing" Target="../drawings/drawing3.xml"/><Relationship Id="rId1" Type="http://schemas.openxmlformats.org/officeDocument/2006/relationships/printerSettings" Target="../printerSettings/printerSettings52.bin"/><Relationship Id="rId5" Type="http://schemas.microsoft.com/office/2017/10/relationships/threadedComment" Target="../threadedComments/threadedComment3.xml"/><Relationship Id="rId4" Type="http://schemas.openxmlformats.org/officeDocument/2006/relationships/comments" Target="../comments48.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53.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55.bin"/></Relationships>
</file>

<file path=xl/worksheets/_rels/sheet59.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tabColor rgb="FFFF0000"/>
  </sheetPr>
  <dimension ref="A1:D16"/>
  <sheetViews>
    <sheetView workbookViewId="0">
      <selection activeCell="D7" sqref="D7"/>
    </sheetView>
  </sheetViews>
  <sheetFormatPr defaultColWidth="11.6640625" defaultRowHeight="10.5"/>
  <cols>
    <col min="1" max="1" width="11.6640625" style="687"/>
    <col min="2" max="2" width="17" style="687" customWidth="1"/>
    <col min="3" max="3" width="18.6640625" style="687" customWidth="1"/>
    <col min="4" max="4" width="160.6640625" style="687" customWidth="1"/>
    <col min="5" max="16384" width="11.6640625" style="687"/>
  </cols>
  <sheetData>
    <row r="1" spans="1:4" ht="11.1" thickBot="1"/>
    <row r="2" spans="1:4" ht="21.75" customHeight="1">
      <c r="B2" s="1147" t="s">
        <v>0</v>
      </c>
      <c r="C2" s="1148"/>
      <c r="D2" s="1149"/>
    </row>
    <row r="3" spans="1:4" ht="14.25" customHeight="1">
      <c r="A3" s="688"/>
      <c r="B3" s="689" t="s">
        <v>1</v>
      </c>
      <c r="C3" s="690"/>
      <c r="D3" s="754" t="s">
        <v>2</v>
      </c>
    </row>
    <row r="4" spans="1:4" ht="14.25" customHeight="1">
      <c r="A4" s="688"/>
      <c r="B4" s="694" t="s">
        <v>3</v>
      </c>
      <c r="C4" s="692"/>
      <c r="D4" s="755" t="s">
        <v>4</v>
      </c>
    </row>
    <row r="5" spans="1:4" ht="14.25" customHeight="1">
      <c r="A5" s="688"/>
      <c r="B5" s="1143" t="s">
        <v>5</v>
      </c>
      <c r="C5" s="1144"/>
      <c r="D5" s="755" t="s">
        <v>6</v>
      </c>
    </row>
    <row r="6" spans="1:4" ht="50.1">
      <c r="B6" s="691" t="s">
        <v>7</v>
      </c>
      <c r="C6" s="692"/>
      <c r="D6" s="755" t="s">
        <v>8</v>
      </c>
    </row>
    <row r="7" spans="1:4" ht="13.5" customHeight="1">
      <c r="B7" s="691" t="s">
        <v>9</v>
      </c>
      <c r="C7" s="692"/>
      <c r="D7" s="755" t="s">
        <v>10</v>
      </c>
    </row>
    <row r="8" spans="1:4" ht="13.5" customHeight="1">
      <c r="B8" s="713" t="s">
        <v>11</v>
      </c>
      <c r="C8" s="714"/>
      <c r="D8" s="756" t="s">
        <v>12</v>
      </c>
    </row>
    <row r="9" spans="1:4" ht="13.5" customHeight="1" thickBot="1">
      <c r="B9" s="715" t="s">
        <v>13</v>
      </c>
      <c r="C9" s="693"/>
      <c r="D9" s="757">
        <v>45272</v>
      </c>
    </row>
    <row r="12" spans="1:4" ht="14.85" customHeight="1" thickBot="1"/>
    <row r="13" spans="1:4" ht="15" customHeight="1">
      <c r="B13" s="1145" t="s">
        <v>14</v>
      </c>
      <c r="C13" s="1146"/>
    </row>
    <row r="14" spans="1:4" ht="12.6">
      <c r="B14" s="695"/>
      <c r="C14" s="696" t="s">
        <v>15</v>
      </c>
    </row>
    <row r="15" spans="1:4" ht="12.6">
      <c r="B15" s="697"/>
      <c r="C15" s="696" t="s">
        <v>16</v>
      </c>
    </row>
    <row r="16" spans="1:4" ht="12.95" thickBot="1">
      <c r="B16" s="698" t="s">
        <v>17</v>
      </c>
      <c r="C16" s="699" t="s">
        <v>18</v>
      </c>
    </row>
  </sheetData>
  <mergeCells count="3">
    <mergeCell ref="B5:C5"/>
    <mergeCell ref="B13:C13"/>
    <mergeCell ref="B2:D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1"/>
  <dimension ref="B1:E56"/>
  <sheetViews>
    <sheetView workbookViewId="0"/>
  </sheetViews>
  <sheetFormatPr defaultRowHeight="9.9499999999999993"/>
  <cols>
    <col min="1" max="1" width="3.6640625" customWidth="1"/>
    <col min="2" max="2" width="24" customWidth="1"/>
    <col min="4" max="4" width="56" customWidth="1"/>
    <col min="5" max="5" width="64" customWidth="1"/>
  </cols>
  <sheetData>
    <row r="1" spans="2:5" ht="10.5" thickBot="1"/>
    <row r="2" spans="2:5" ht="13.5" thickBot="1">
      <c r="B2" s="1154" t="s">
        <v>19</v>
      </c>
      <c r="C2" s="1155"/>
      <c r="D2" s="1156" t="s">
        <v>20</v>
      </c>
      <c r="E2" s="1157"/>
    </row>
    <row r="3" spans="2:5" ht="12.95">
      <c r="B3" s="1158" t="s">
        <v>21</v>
      </c>
      <c r="C3" s="1159"/>
      <c r="D3" s="1160" t="s">
        <v>22</v>
      </c>
      <c r="E3" s="1161"/>
    </row>
    <row r="4" spans="2:5" ht="12.95">
      <c r="B4" s="1152" t="s">
        <v>23</v>
      </c>
      <c r="C4" s="1153"/>
      <c r="D4" s="1150" t="s">
        <v>24</v>
      </c>
      <c r="E4" s="1151"/>
    </row>
    <row r="5" spans="2:5" ht="12.95">
      <c r="B5" s="1152" t="s">
        <v>25</v>
      </c>
      <c r="C5" s="1153"/>
      <c r="D5" s="1150" t="s">
        <v>26</v>
      </c>
      <c r="E5" s="1151"/>
    </row>
    <row r="6" spans="2:5" ht="12.95">
      <c r="B6" s="1152" t="s">
        <v>27</v>
      </c>
      <c r="C6" s="1153"/>
      <c r="D6" s="1150" t="s">
        <v>28</v>
      </c>
      <c r="E6" s="1151"/>
    </row>
    <row r="7" spans="2:5" ht="12.95">
      <c r="B7" s="1162" t="s">
        <v>29</v>
      </c>
      <c r="C7" s="1163"/>
      <c r="D7" s="1150" t="s">
        <v>30</v>
      </c>
      <c r="E7" s="1151"/>
    </row>
    <row r="8" spans="2:5" ht="12.95">
      <c r="B8" s="1152" t="s">
        <v>31</v>
      </c>
      <c r="C8" s="1153"/>
      <c r="D8" s="1150" t="s">
        <v>32</v>
      </c>
      <c r="E8" s="1151"/>
    </row>
    <row r="9" spans="2:5" ht="12.95">
      <c r="B9" s="1152" t="s">
        <v>33</v>
      </c>
      <c r="C9" s="1153"/>
      <c r="D9" s="1150" t="s">
        <v>34</v>
      </c>
      <c r="E9" s="1151"/>
    </row>
    <row r="10" spans="2:5" ht="12.95">
      <c r="B10" s="1152" t="s">
        <v>35</v>
      </c>
      <c r="C10" s="1153"/>
      <c r="D10" s="1150" t="s">
        <v>36</v>
      </c>
      <c r="E10" s="1151"/>
    </row>
    <row r="11" spans="2:5" ht="12.95">
      <c r="B11" s="1152" t="s">
        <v>37</v>
      </c>
      <c r="C11" s="1153"/>
      <c r="D11" s="1150" t="s">
        <v>38</v>
      </c>
      <c r="E11" s="1151"/>
    </row>
    <row r="12" spans="2:5" ht="12.95">
      <c r="B12" s="1152" t="s">
        <v>39</v>
      </c>
      <c r="C12" s="1153"/>
      <c r="D12" s="1150" t="s">
        <v>40</v>
      </c>
      <c r="E12" s="1151"/>
    </row>
    <row r="13" spans="2:5" ht="12.95">
      <c r="B13" s="1152">
        <v>1990</v>
      </c>
      <c r="C13" s="1153"/>
      <c r="D13" s="1150" t="s">
        <v>41</v>
      </c>
      <c r="E13" s="1151"/>
    </row>
    <row r="14" spans="2:5" ht="12.95">
      <c r="B14" s="1152">
        <v>1991</v>
      </c>
      <c r="C14" s="1153"/>
      <c r="D14" s="1150" t="s">
        <v>42</v>
      </c>
      <c r="E14" s="1151"/>
    </row>
    <row r="15" spans="2:5" ht="12.95">
      <c r="B15" s="1152">
        <v>1992</v>
      </c>
      <c r="C15" s="1153"/>
      <c r="D15" s="1150" t="s">
        <v>43</v>
      </c>
      <c r="E15" s="1151"/>
    </row>
    <row r="16" spans="2:5" ht="12.95">
      <c r="B16" s="1152">
        <v>1993</v>
      </c>
      <c r="C16" s="1153"/>
      <c r="D16" s="1150" t="s">
        <v>44</v>
      </c>
      <c r="E16" s="1151"/>
    </row>
    <row r="17" spans="2:5" ht="12.95">
      <c r="B17" s="1152">
        <v>1994</v>
      </c>
      <c r="C17" s="1153"/>
      <c r="D17" s="1150" t="s">
        <v>45</v>
      </c>
      <c r="E17" s="1151"/>
    </row>
    <row r="18" spans="2:5" ht="12.95">
      <c r="B18" s="1152">
        <v>1995</v>
      </c>
      <c r="C18" s="1153"/>
      <c r="D18" s="1150" t="s">
        <v>46</v>
      </c>
      <c r="E18" s="1151"/>
    </row>
    <row r="19" spans="2:5" ht="12.95">
      <c r="B19" s="1152">
        <v>1996</v>
      </c>
      <c r="C19" s="1153"/>
      <c r="D19" s="1150" t="s">
        <v>47</v>
      </c>
      <c r="E19" s="1151"/>
    </row>
    <row r="20" spans="2:5" ht="12.95">
      <c r="B20" s="1152">
        <v>1997</v>
      </c>
      <c r="C20" s="1153"/>
      <c r="D20" s="1150" t="s">
        <v>48</v>
      </c>
      <c r="E20" s="1151"/>
    </row>
    <row r="21" spans="2:5" ht="12.95">
      <c r="B21" s="1152">
        <v>1998</v>
      </c>
      <c r="C21" s="1153"/>
      <c r="D21" s="1150" t="s">
        <v>49</v>
      </c>
      <c r="E21" s="1151"/>
    </row>
    <row r="22" spans="2:5" ht="12.95">
      <c r="B22" s="1152">
        <v>1999</v>
      </c>
      <c r="C22" s="1153"/>
      <c r="D22" s="1150" t="s">
        <v>50</v>
      </c>
      <c r="E22" s="1151"/>
    </row>
    <row r="23" spans="2:5" ht="12.95">
      <c r="B23" s="1152">
        <v>2000</v>
      </c>
      <c r="C23" s="1153"/>
      <c r="D23" s="1150" t="s">
        <v>51</v>
      </c>
      <c r="E23" s="1151"/>
    </row>
    <row r="24" spans="2:5" ht="12.95">
      <c r="B24" s="1152">
        <v>2001</v>
      </c>
      <c r="C24" s="1153"/>
      <c r="D24" s="1150" t="s">
        <v>52</v>
      </c>
      <c r="E24" s="1151"/>
    </row>
    <row r="25" spans="2:5" ht="12.95">
      <c r="B25" s="1152">
        <v>2002</v>
      </c>
      <c r="C25" s="1153"/>
      <c r="D25" s="1150" t="s">
        <v>53</v>
      </c>
      <c r="E25" s="1151"/>
    </row>
    <row r="26" spans="2:5" ht="12.95">
      <c r="B26" s="1152">
        <v>2003</v>
      </c>
      <c r="C26" s="1153"/>
      <c r="D26" s="1150" t="s">
        <v>54</v>
      </c>
      <c r="E26" s="1151"/>
    </row>
    <row r="27" spans="2:5" ht="12.95">
      <c r="B27" s="1152">
        <v>2004</v>
      </c>
      <c r="C27" s="1153"/>
      <c r="D27" s="1150" t="s">
        <v>55</v>
      </c>
      <c r="E27" s="1151"/>
    </row>
    <row r="28" spans="2:5" ht="12.95">
      <c r="B28" s="1152">
        <v>2005</v>
      </c>
      <c r="C28" s="1153"/>
      <c r="D28" s="1150" t="s">
        <v>56</v>
      </c>
      <c r="E28" s="1151"/>
    </row>
    <row r="29" spans="2:5" ht="12.95">
      <c r="B29" s="1152">
        <v>2006</v>
      </c>
      <c r="C29" s="1153"/>
      <c r="D29" s="1150" t="s">
        <v>57</v>
      </c>
      <c r="E29" s="1151"/>
    </row>
    <row r="30" spans="2:5" ht="12.95">
      <c r="B30" s="1152">
        <v>2007</v>
      </c>
      <c r="C30" s="1153"/>
      <c r="D30" s="1150" t="s">
        <v>58</v>
      </c>
      <c r="E30" s="1151"/>
    </row>
    <row r="31" spans="2:5" ht="12.95">
      <c r="B31" s="1152">
        <v>2008</v>
      </c>
      <c r="C31" s="1153"/>
      <c r="D31" s="1150" t="s">
        <v>59</v>
      </c>
      <c r="E31" s="1151"/>
    </row>
    <row r="32" spans="2:5" ht="12.95">
      <c r="B32" s="1152">
        <v>2009</v>
      </c>
      <c r="C32" s="1153"/>
      <c r="D32" s="1150" t="s">
        <v>60</v>
      </c>
      <c r="E32" s="1151"/>
    </row>
    <row r="33" spans="2:5" ht="12.95">
      <c r="B33" s="1152">
        <v>2010</v>
      </c>
      <c r="C33" s="1153"/>
      <c r="D33" s="1150" t="s">
        <v>61</v>
      </c>
      <c r="E33" s="1151"/>
    </row>
    <row r="34" spans="2:5" ht="12.95">
      <c r="B34" s="1152">
        <v>2011</v>
      </c>
      <c r="C34" s="1153"/>
      <c r="D34" s="1150" t="s">
        <v>62</v>
      </c>
      <c r="E34" s="1151"/>
    </row>
    <row r="35" spans="2:5" ht="12.95">
      <c r="B35" s="1152">
        <v>2012</v>
      </c>
      <c r="C35" s="1153"/>
      <c r="D35" s="1150" t="s">
        <v>63</v>
      </c>
      <c r="E35" s="1151"/>
    </row>
    <row r="36" spans="2:5" ht="12.95">
      <c r="B36" s="1152">
        <v>2013</v>
      </c>
      <c r="C36" s="1153"/>
      <c r="D36" s="1150" t="s">
        <v>64</v>
      </c>
      <c r="E36" s="1151"/>
    </row>
    <row r="37" spans="2:5" ht="12.95">
      <c r="B37" s="1152">
        <v>2014</v>
      </c>
      <c r="C37" s="1153"/>
      <c r="D37" s="1150" t="s">
        <v>65</v>
      </c>
      <c r="E37" s="1151"/>
    </row>
    <row r="38" spans="2:5" ht="12.95">
      <c r="B38" s="1152">
        <v>2015</v>
      </c>
      <c r="C38" s="1153"/>
      <c r="D38" s="1150" t="s">
        <v>66</v>
      </c>
      <c r="E38" s="1151"/>
    </row>
    <row r="39" spans="2:5" ht="12.95">
      <c r="B39" s="1152">
        <v>2016</v>
      </c>
      <c r="C39" s="1153"/>
      <c r="D39" s="1150" t="s">
        <v>67</v>
      </c>
      <c r="E39" s="1151"/>
    </row>
    <row r="40" spans="2:5" ht="12.75" customHeight="1">
      <c r="B40" s="1152">
        <v>2017</v>
      </c>
      <c r="C40" s="1153"/>
      <c r="D40" s="1150" t="s">
        <v>68</v>
      </c>
      <c r="E40" s="1151"/>
    </row>
    <row r="41" spans="2:5" ht="12.95">
      <c r="B41" s="1152">
        <v>2018</v>
      </c>
      <c r="C41" s="1153"/>
      <c r="D41" s="1150" t="s">
        <v>69</v>
      </c>
      <c r="E41" s="1151"/>
    </row>
    <row r="42" spans="2:5" ht="12.95">
      <c r="B42" s="1162">
        <v>2019</v>
      </c>
      <c r="C42" s="1163"/>
      <c r="D42" s="1150" t="s">
        <v>70</v>
      </c>
      <c r="E42" s="1151"/>
    </row>
    <row r="43" spans="2:5" ht="12.95">
      <c r="B43" s="1162">
        <v>2020</v>
      </c>
      <c r="C43" s="1163"/>
      <c r="D43" s="1150" t="s">
        <v>71</v>
      </c>
      <c r="E43" s="1151"/>
    </row>
    <row r="44" spans="2:5" ht="12.95">
      <c r="B44" s="1162">
        <v>2021</v>
      </c>
      <c r="C44" s="1163"/>
      <c r="D44" s="1150" t="s">
        <v>72</v>
      </c>
      <c r="E44" s="1151"/>
    </row>
    <row r="45" spans="2:5" ht="12.95">
      <c r="B45" s="1162">
        <v>2022</v>
      </c>
      <c r="C45" s="1163"/>
      <c r="D45" s="1125" t="s">
        <v>73</v>
      </c>
      <c r="E45" s="1118"/>
    </row>
    <row r="46" spans="2:5" ht="12.95">
      <c r="B46" s="1152" t="s">
        <v>74</v>
      </c>
      <c r="C46" s="1153"/>
      <c r="D46" s="1150" t="s">
        <v>75</v>
      </c>
      <c r="E46" s="1151"/>
    </row>
    <row r="47" spans="2:5" ht="12.95">
      <c r="B47" s="1152" t="s">
        <v>76</v>
      </c>
      <c r="C47" s="1153"/>
      <c r="D47" s="1150" t="s">
        <v>77</v>
      </c>
      <c r="E47" s="1151"/>
    </row>
    <row r="48" spans="2:5" ht="12.95">
      <c r="B48" s="1152" t="s">
        <v>78</v>
      </c>
      <c r="C48" s="1153"/>
      <c r="D48" s="1150" t="s">
        <v>79</v>
      </c>
      <c r="E48" s="1151"/>
    </row>
    <row r="49" spans="2:5" ht="12.95">
      <c r="B49" s="1152" t="s">
        <v>80</v>
      </c>
      <c r="C49" s="1153"/>
      <c r="D49" s="1150" t="s">
        <v>81</v>
      </c>
      <c r="E49" s="1151"/>
    </row>
    <row r="50" spans="2:5" ht="12.95">
      <c r="B50" s="1152" t="s">
        <v>82</v>
      </c>
      <c r="C50" s="1153"/>
      <c r="D50" s="1150" t="s">
        <v>83</v>
      </c>
      <c r="E50" s="1151"/>
    </row>
    <row r="51" spans="2:5" ht="12.95">
      <c r="B51" s="1152" t="s">
        <v>84</v>
      </c>
      <c r="C51" s="1153"/>
      <c r="D51" s="1150" t="s">
        <v>85</v>
      </c>
      <c r="E51" s="1151"/>
    </row>
    <row r="52" spans="2:5" ht="12.95">
      <c r="B52" s="1152" t="s">
        <v>86</v>
      </c>
      <c r="C52" s="1153"/>
      <c r="D52" s="1150" t="s">
        <v>87</v>
      </c>
      <c r="E52" s="1151"/>
    </row>
    <row r="53" spans="2:5" ht="12.95">
      <c r="B53" s="1152" t="s">
        <v>88</v>
      </c>
      <c r="C53" s="1153"/>
      <c r="D53" s="1150" t="s">
        <v>89</v>
      </c>
      <c r="E53" s="1151"/>
    </row>
    <row r="54" spans="2:5" ht="12.95">
      <c r="B54" s="1152" t="s">
        <v>90</v>
      </c>
      <c r="C54" s="1153"/>
      <c r="D54" s="1150" t="s">
        <v>91</v>
      </c>
      <c r="E54" s="1151"/>
    </row>
    <row r="55" spans="2:5" ht="12.95">
      <c r="B55" s="1152" t="s">
        <v>92</v>
      </c>
      <c r="C55" s="1153"/>
      <c r="D55" s="1150" t="s">
        <v>93</v>
      </c>
      <c r="E55" s="1151"/>
    </row>
    <row r="56" spans="2:5" ht="13.5" thickBot="1">
      <c r="B56" s="1166" t="s">
        <v>94</v>
      </c>
      <c r="C56" s="1167"/>
      <c r="D56" s="1164" t="s">
        <v>95</v>
      </c>
      <c r="E56" s="1165"/>
    </row>
  </sheetData>
  <mergeCells count="109">
    <mergeCell ref="D56:E56"/>
    <mergeCell ref="D55:E55"/>
    <mergeCell ref="D54:E54"/>
    <mergeCell ref="D53:E53"/>
    <mergeCell ref="D52:E52"/>
    <mergeCell ref="D51:E51"/>
    <mergeCell ref="B56:C56"/>
    <mergeCell ref="D23:E23"/>
    <mergeCell ref="D24:E24"/>
    <mergeCell ref="D25:E25"/>
    <mergeCell ref="D27:E27"/>
    <mergeCell ref="D28:E28"/>
    <mergeCell ref="D29:E29"/>
    <mergeCell ref="D30:E30"/>
    <mergeCell ref="D31:E31"/>
    <mergeCell ref="D32:E32"/>
    <mergeCell ref="D26:E26"/>
    <mergeCell ref="B27:C27"/>
    <mergeCell ref="B28:C28"/>
    <mergeCell ref="B29:C29"/>
    <mergeCell ref="B30:C30"/>
    <mergeCell ref="B53:C53"/>
    <mergeCell ref="B54:C54"/>
    <mergeCell ref="B55:C55"/>
    <mergeCell ref="B32:C32"/>
    <mergeCell ref="B33:C33"/>
    <mergeCell ref="B34:C34"/>
    <mergeCell ref="B46:C46"/>
    <mergeCell ref="B47:C47"/>
    <mergeCell ref="B40:C40"/>
    <mergeCell ref="B48:C48"/>
    <mergeCell ref="B41:C41"/>
    <mergeCell ref="B23:C23"/>
    <mergeCell ref="B24:C24"/>
    <mergeCell ref="B25:C25"/>
    <mergeCell ref="B31:C31"/>
    <mergeCell ref="B35:C35"/>
    <mergeCell ref="B36:C36"/>
    <mergeCell ref="B37:C37"/>
    <mergeCell ref="B38:C38"/>
    <mergeCell ref="B39:C39"/>
    <mergeCell ref="B26:C26"/>
    <mergeCell ref="B45:C45"/>
    <mergeCell ref="D40:E40"/>
    <mergeCell ref="D39:E39"/>
    <mergeCell ref="D33:E33"/>
    <mergeCell ref="D34:E34"/>
    <mergeCell ref="D36:E36"/>
    <mergeCell ref="D37:E37"/>
    <mergeCell ref="D38:E38"/>
    <mergeCell ref="D35:E35"/>
    <mergeCell ref="D41:E41"/>
    <mergeCell ref="D42:E42"/>
    <mergeCell ref="B44:C44"/>
    <mergeCell ref="D43:E43"/>
    <mergeCell ref="B52:C52"/>
    <mergeCell ref="D50:E50"/>
    <mergeCell ref="D47:E47"/>
    <mergeCell ref="D46:E46"/>
    <mergeCell ref="D49:E49"/>
    <mergeCell ref="D48:E48"/>
    <mergeCell ref="B43:C43"/>
    <mergeCell ref="D44:E44"/>
    <mergeCell ref="B42:C42"/>
    <mergeCell ref="B50:C50"/>
    <mergeCell ref="B49:C49"/>
    <mergeCell ref="B51:C51"/>
    <mergeCell ref="B2:C2"/>
    <mergeCell ref="D2:E2"/>
    <mergeCell ref="B3:C3"/>
    <mergeCell ref="B4:C4"/>
    <mergeCell ref="D4:E4"/>
    <mergeCell ref="D3:E3"/>
    <mergeCell ref="B7:C7"/>
    <mergeCell ref="D7:E7"/>
    <mergeCell ref="D17:E17"/>
    <mergeCell ref="D16:E16"/>
    <mergeCell ref="D15:E15"/>
    <mergeCell ref="D8:E8"/>
    <mergeCell ref="B13:C13"/>
    <mergeCell ref="D12:E12"/>
    <mergeCell ref="D11:E11"/>
    <mergeCell ref="D10:E10"/>
    <mergeCell ref="D13:E13"/>
    <mergeCell ref="B8:C8"/>
    <mergeCell ref="B9:C9"/>
    <mergeCell ref="B10:C10"/>
    <mergeCell ref="B11:C11"/>
    <mergeCell ref="B14:C14"/>
    <mergeCell ref="B15:C15"/>
    <mergeCell ref="B16:C16"/>
    <mergeCell ref="D22:E22"/>
    <mergeCell ref="B12:C12"/>
    <mergeCell ref="D9:E9"/>
    <mergeCell ref="D14:E14"/>
    <mergeCell ref="D20:E20"/>
    <mergeCell ref="D19:E19"/>
    <mergeCell ref="D18:E18"/>
    <mergeCell ref="B5:C5"/>
    <mergeCell ref="D5:E5"/>
    <mergeCell ref="B17:C17"/>
    <mergeCell ref="B18:C18"/>
    <mergeCell ref="B6:C6"/>
    <mergeCell ref="D6:E6"/>
    <mergeCell ref="B20:C20"/>
    <mergeCell ref="B21:C21"/>
    <mergeCell ref="B22:C22"/>
    <mergeCell ref="B19:C19"/>
    <mergeCell ref="D21:E21"/>
  </mergeCells>
  <hyperlinks>
    <hyperlink ref="B3:C3" location="'CRF Reporter Input'!A1" display="CRF Reporter Input" xr:uid="{00000000-0004-0000-0100-000000000000}"/>
    <hyperlink ref="B4:C4" location="InvDB!A1" display="InvDB" xr:uid="{00000000-0004-0000-0100-000001000000}"/>
    <hyperlink ref="B5:C5" location="'Summary Table'!A1" display="Summary Table" xr:uid="{00000000-0004-0000-0100-000002000000}"/>
    <hyperlink ref="B40:C40" location="'2017'!A1" display="'2017'!A1" xr:uid="{00000000-0004-0000-0100-000003000000}"/>
    <hyperlink ref="B46:C46" location="'US Territories'!A1" display="US Territories" xr:uid="{00000000-0004-0000-0100-000004000000}"/>
    <hyperlink ref="B47:C47" location="'International Bunker Fuels'!A1" display="International Bunker Fuels" xr:uid="{00000000-0004-0000-0100-000005000000}"/>
    <hyperlink ref="B7:C7" location="'2018BY Comparison'!A1" display="2017BY Comparison" xr:uid="{00000000-0004-0000-0100-000006000000}"/>
    <hyperlink ref="B8:C8" location="'Yearly Change'!A1" display="Yearly Change" xr:uid="{00000000-0004-0000-0100-000007000000}"/>
    <hyperlink ref="B9:C9" location="'Consumption (E)'!A1" display="Consumption (E) " xr:uid="{00000000-0004-0000-0100-000008000000}"/>
    <hyperlink ref="B10:C10" location="'Consumption (E + non-E)'!A1" display="Consumption (E + non-E)" xr:uid="{00000000-0004-0000-0100-000009000000}"/>
    <hyperlink ref="B11:C11" location="'Consumption Input'!A1" display="Consumption Input" xr:uid="{00000000-0004-0000-0100-00000A000000}"/>
    <hyperlink ref="B12:C12" location="Corrections!A1" display="Corrections" xr:uid="{00000000-0004-0000-0100-00000B000000}"/>
    <hyperlink ref="B13:C13" location="'1990'!A1" display="'1990'!A1" xr:uid="{00000000-0004-0000-0100-00000C000000}"/>
    <hyperlink ref="B14:C14" location="'1991'!A1" display="'1991'!A1" xr:uid="{00000000-0004-0000-0100-00000D000000}"/>
    <hyperlink ref="B15:C15" location="'1992'!A1" display="'1992'!A1" xr:uid="{00000000-0004-0000-0100-00000E000000}"/>
    <hyperlink ref="B16:C16" location="'1993'!A1" display="'1993'!A1" xr:uid="{00000000-0004-0000-0100-00000F000000}"/>
    <hyperlink ref="B17:C17" location="'1994'!A1" display="'1994'!A1" xr:uid="{00000000-0004-0000-0100-000010000000}"/>
    <hyperlink ref="B18:C18" location="'1995'!A1" display="'1995'!A1" xr:uid="{00000000-0004-0000-0100-000011000000}"/>
    <hyperlink ref="B19:C19" location="'1996'!A1" display="'1996'!A1" xr:uid="{00000000-0004-0000-0100-000012000000}"/>
    <hyperlink ref="B20:C20" location="'1997'!A1" display="'1997'!A1" xr:uid="{00000000-0004-0000-0100-000013000000}"/>
    <hyperlink ref="B21:C21" location="'1998'!A1" display="'1998'!A1" xr:uid="{00000000-0004-0000-0100-000014000000}"/>
    <hyperlink ref="B22:C22" location="'1999'!A1" display="'1999'!A1" xr:uid="{00000000-0004-0000-0100-000015000000}"/>
    <hyperlink ref="B23:C23" location="'2000'!A1" display="'2000'!A1" xr:uid="{00000000-0004-0000-0100-000016000000}"/>
    <hyperlink ref="B24:C24" location="'2001'!A1" display="'2001'!A1" xr:uid="{00000000-0004-0000-0100-000017000000}"/>
    <hyperlink ref="B25:C25" location="'2002'!A1" display="'2002'!A1" xr:uid="{00000000-0004-0000-0100-000018000000}"/>
    <hyperlink ref="B26:C26" location="'2003'!A1" display="'2003'!A1" xr:uid="{00000000-0004-0000-0100-000019000000}"/>
    <hyperlink ref="B27:C27" location="'2004'!A1" display="'2004'!A1" xr:uid="{00000000-0004-0000-0100-00001A000000}"/>
    <hyperlink ref="B28:C28" location="'2005'!A1" display="'2005'!A1" xr:uid="{00000000-0004-0000-0100-00001B000000}"/>
    <hyperlink ref="B29:C29" location="'2006'!A1" display="'2006'!A1" xr:uid="{00000000-0004-0000-0100-00001C000000}"/>
    <hyperlink ref="B30:C30" location="'2007'!A1" display="'2007'!A1" xr:uid="{00000000-0004-0000-0100-00001D000000}"/>
    <hyperlink ref="B31:C31" location="'2008'!A1" display="'2008'!A1" xr:uid="{00000000-0004-0000-0100-00001E000000}"/>
    <hyperlink ref="B32:C32" location="'2009'!A1" display="'2009'!A1" xr:uid="{00000000-0004-0000-0100-00001F000000}"/>
    <hyperlink ref="B33:C33" location="'2010'!A1" display="'2010'!A1" xr:uid="{00000000-0004-0000-0100-000020000000}"/>
    <hyperlink ref="B34:C34" location="'2011'!A1" display="'2011'!A1" xr:uid="{00000000-0004-0000-0100-000021000000}"/>
    <hyperlink ref="B35:C35" location="'2012'!A1" display="'2012'!A1" xr:uid="{00000000-0004-0000-0100-000022000000}"/>
    <hyperlink ref="B36:C36" location="'2013'!A1" display="'2013'!A1" xr:uid="{00000000-0004-0000-0100-000023000000}"/>
    <hyperlink ref="B37:C37" location="'2014'!A1" display="'2014'!A1" xr:uid="{00000000-0004-0000-0100-000024000000}"/>
    <hyperlink ref="B38:C38" location="'2015'!A1" display="'2015'!A1" xr:uid="{00000000-0004-0000-0100-000025000000}"/>
    <hyperlink ref="B39:C39" location="'2016'!A1" display="'2016'!A1" xr:uid="{00000000-0004-0000-0100-000026000000}"/>
    <hyperlink ref="B48:C48" location="Factors!A1" display="Factors" xr:uid="{00000000-0004-0000-0100-000027000000}"/>
    <hyperlink ref="B49:C49" location="'Non-Energy Use'!A1" display="Non-Energy use" xr:uid="{00000000-0004-0000-0100-000028000000}"/>
    <hyperlink ref="B51:C51" location="'Inventory Table'!A1" display="Inventory Table" xr:uid="{00000000-0004-0000-0100-000029000000}"/>
    <hyperlink ref="B52:C52" location="'OUTPUT to INDCALC'!A1" display="OUTPUT to INDCALC" xr:uid="{00000000-0004-0000-0100-00002A000000}"/>
    <hyperlink ref="B53:C53" location="'OUTPUT to MOBILE'!A1" display="OUTPUT to MOBILE" xr:uid="{00000000-0004-0000-0100-00002B000000}"/>
    <hyperlink ref="B54:C54" location="'Consumption Input Diff.'!A1" display="Consumption Input Diff." xr:uid="{00000000-0004-0000-0100-00002C000000}"/>
    <hyperlink ref="B55:C55" location="'Electricity Distributed'!A1" display="Electricity Distributed" xr:uid="{00000000-0004-0000-0100-00002D000000}"/>
    <hyperlink ref="B56:C56" location="'Gas-Level Emissions'!A1" display="Gas-Level Emissions" xr:uid="{00000000-0004-0000-0100-00002E000000}"/>
    <hyperlink ref="B50:C50" location="Geothermal!A1" display="Geothermal" xr:uid="{00000000-0004-0000-0100-00002F000000}"/>
    <hyperlink ref="B41" location="'2018'!A1" display="2018" xr:uid="{00000000-0004-0000-0100-000030000000}"/>
    <hyperlink ref="B42" location="'2018'!A1" display="2018" xr:uid="{E8E005BE-7730-433B-9853-8D089C1F2D9C}"/>
    <hyperlink ref="B42:C42" location="'2019'!A1" display="'2019'!A1" xr:uid="{42D6D170-B5A0-405B-9F52-5799C60CC2B0}"/>
    <hyperlink ref="B43" location="'2018'!A1" display="2018" xr:uid="{6D9129E5-F9CC-489B-9E7E-96F224D1AAE7}"/>
    <hyperlink ref="B43:C43" location="'2020'!A1" display="'2020'!A1" xr:uid="{B5235E6A-E4AA-45EC-B101-8626AB59E278}"/>
    <hyperlink ref="B44:C44" location="'2021'!A1" display="'2021'!A1" xr:uid="{755D6DEE-85B0-431F-A4B8-1DD8614BFF14}"/>
    <hyperlink ref="B6:C6" location="'2020FR Comparison'!A1" display="2020FR Comparison" xr:uid="{1543B1F6-B450-41E9-BF87-CD08E9597F09}"/>
    <hyperlink ref="B45:C45" location="'2022'!A1" display="'2022'!A1" xr:uid="{2CE4D8EB-B142-4B31-8E07-C284202756E0}"/>
  </hyperlink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ED71F-55E5-4194-93A5-715C940616D1}">
  <sheetPr codeName="Sheet16"/>
  <dimension ref="A1:AN1587"/>
  <sheetViews>
    <sheetView topLeftCell="C660" workbookViewId="0">
      <selection activeCell="F689" sqref="F689"/>
    </sheetView>
  </sheetViews>
  <sheetFormatPr defaultColWidth="10.6640625" defaultRowHeight="9.9499999999999993"/>
  <cols>
    <col min="1" max="1" width="5" customWidth="1"/>
    <col min="2" max="3" width="25" customWidth="1"/>
    <col min="4" max="4" width="20.6640625" customWidth="1"/>
    <col min="5" max="5" width="17" customWidth="1"/>
    <col min="6" max="6" width="21" customWidth="1"/>
    <col min="7" max="29" width="16" customWidth="1"/>
    <col min="30" max="30" width="19" customWidth="1"/>
    <col min="31" max="38" width="21.6640625" customWidth="1"/>
    <col min="39" max="39" width="40" customWidth="1"/>
    <col min="40" max="40" width="25.6640625" customWidth="1"/>
  </cols>
  <sheetData>
    <row r="1" spans="1:40" s="303" customFormat="1" ht="23.1">
      <c r="A1" s="302" t="s">
        <v>96</v>
      </c>
      <c r="B1" s="302"/>
      <c r="C1" s="302"/>
      <c r="D1" s="302"/>
      <c r="E1" s="302"/>
      <c r="F1" s="302"/>
      <c r="G1" s="302"/>
      <c r="H1" s="302"/>
      <c r="I1" s="302"/>
      <c r="J1" s="302"/>
      <c r="K1" s="302"/>
      <c r="L1" s="302"/>
      <c r="M1" s="302"/>
      <c r="N1" s="302"/>
      <c r="O1" s="302"/>
      <c r="P1" s="302"/>
      <c r="Q1" s="302"/>
      <c r="R1" s="302"/>
      <c r="S1" s="302"/>
      <c r="T1" s="302"/>
      <c r="U1" s="302"/>
      <c r="V1" s="302"/>
      <c r="W1" s="302"/>
      <c r="X1" s="302"/>
      <c r="Y1" s="302"/>
      <c r="Z1" s="302"/>
      <c r="AA1" s="302"/>
      <c r="AB1" s="302"/>
      <c r="AC1" s="302"/>
      <c r="AD1" s="302"/>
      <c r="AE1" s="302"/>
      <c r="AF1" s="302"/>
      <c r="AG1" s="302"/>
      <c r="AH1" s="302"/>
      <c r="AI1" s="302"/>
      <c r="AJ1" s="302"/>
      <c r="AK1" s="302"/>
      <c r="AL1" s="302"/>
      <c r="AM1" s="302"/>
      <c r="AN1" s="302"/>
    </row>
    <row r="2" spans="1:40" s="304" customFormat="1" ht="24.75" customHeight="1">
      <c r="A2" s="304" t="s">
        <v>97</v>
      </c>
      <c r="J2" s="982" t="s">
        <v>98</v>
      </c>
      <c r="K2" s="1170">
        <v>45195</v>
      </c>
      <c r="L2" s="1170"/>
      <c r="M2" s="305"/>
    </row>
    <row r="3" spans="1:40" s="320" customFormat="1" ht="9" customHeight="1">
      <c r="A3" s="983"/>
      <c r="D3" s="984"/>
      <c r="T3" s="306" t="s">
        <v>99</v>
      </c>
      <c r="U3" s="306" t="s">
        <v>100</v>
      </c>
    </row>
    <row r="4" spans="1:40" s="307" customFormat="1" ht="12.75" customHeight="1">
      <c r="B4" s="1171" t="s">
        <v>101</v>
      </c>
      <c r="C4" s="1171"/>
      <c r="D4" s="1171"/>
      <c r="E4" s="1171"/>
      <c r="F4" s="1171"/>
      <c r="G4" s="1171"/>
      <c r="H4" s="1171"/>
      <c r="I4" s="1171"/>
      <c r="J4" s="1171"/>
      <c r="K4" s="1171"/>
      <c r="L4" s="1171"/>
      <c r="N4" s="308"/>
      <c r="O4" s="309" t="s">
        <v>102</v>
      </c>
      <c r="T4" s="306" t="s">
        <v>103</v>
      </c>
      <c r="U4" s="306" t="s">
        <v>104</v>
      </c>
    </row>
    <row r="5" spans="1:40" s="307" customFormat="1" ht="14.25" customHeight="1">
      <c r="B5" s="1171"/>
      <c r="C5" s="1171"/>
      <c r="D5" s="1171"/>
      <c r="E5" s="1171"/>
      <c r="F5" s="1171"/>
      <c r="G5" s="1171"/>
      <c r="H5" s="1171"/>
      <c r="I5" s="1171"/>
      <c r="J5" s="1171"/>
      <c r="K5" s="1171"/>
      <c r="L5" s="1171"/>
      <c r="N5" s="1126"/>
      <c r="O5" s="320" t="s">
        <v>105</v>
      </c>
      <c r="T5" s="306" t="s">
        <v>106</v>
      </c>
      <c r="U5" s="306"/>
    </row>
    <row r="6" spans="1:40" s="307" customFormat="1" ht="14.25" customHeight="1">
      <c r="B6" s="1171"/>
      <c r="C6" s="1171"/>
      <c r="D6" s="1171"/>
      <c r="E6" s="1171"/>
      <c r="F6" s="1171"/>
      <c r="G6" s="1171"/>
      <c r="H6" s="1171"/>
      <c r="I6" s="1171"/>
      <c r="J6" s="1171"/>
      <c r="K6" s="1171"/>
      <c r="L6" s="1171"/>
      <c r="P6" s="307" t="s">
        <v>107</v>
      </c>
      <c r="T6" s="306" t="s">
        <v>108</v>
      </c>
      <c r="U6" s="306"/>
    </row>
    <row r="7" spans="1:40" s="307" customFormat="1" ht="14.25" customHeight="1">
      <c r="B7" s="1171"/>
      <c r="C7" s="1171"/>
      <c r="D7" s="1171"/>
      <c r="E7" s="1171"/>
      <c r="F7" s="1171"/>
      <c r="G7" s="1171"/>
      <c r="H7" s="1171"/>
      <c r="I7" s="1171"/>
      <c r="J7" s="1171"/>
      <c r="K7" s="1171"/>
      <c r="L7" s="1171"/>
      <c r="T7" s="306" t="s">
        <v>109</v>
      </c>
      <c r="U7" s="306"/>
    </row>
    <row r="8" spans="1:40" s="307" customFormat="1" ht="6" customHeight="1"/>
    <row r="9" spans="1:40" s="311" customFormat="1" ht="18">
      <c r="A9" s="310" t="s">
        <v>110</v>
      </c>
      <c r="D9" s="312"/>
      <c r="P9" s="313"/>
    </row>
    <row r="10" spans="1:40" s="320" customFormat="1" ht="9" customHeight="1">
      <c r="A10" s="983"/>
      <c r="D10" s="984"/>
    </row>
    <row r="11" spans="1:40" s="320" customFormat="1" ht="9" customHeight="1">
      <c r="A11" s="983"/>
      <c r="D11" s="984"/>
    </row>
    <row r="12" spans="1:40" s="320" customFormat="1" ht="197.45" customHeight="1">
      <c r="A12" s="983"/>
      <c r="D12" s="984"/>
    </row>
    <row r="13" spans="1:40" s="320" customFormat="1" ht="9" customHeight="1" thickBot="1">
      <c r="A13" s="983"/>
      <c r="D13" s="984"/>
    </row>
    <row r="14" spans="1:40" s="988" customFormat="1" ht="28.5" thickBot="1">
      <c r="A14" s="985" t="s">
        <v>111</v>
      </c>
      <c r="B14" s="986" t="s">
        <v>112</v>
      </c>
      <c r="C14" s="986" t="s">
        <v>113</v>
      </c>
      <c r="D14" s="985" t="s">
        <v>114</v>
      </c>
      <c r="E14" s="985" t="s">
        <v>115</v>
      </c>
      <c r="F14" s="987">
        <v>1990</v>
      </c>
      <c r="G14" s="987">
        <v>1991</v>
      </c>
      <c r="H14" s="987">
        <v>1992</v>
      </c>
      <c r="I14" s="987">
        <v>1993</v>
      </c>
      <c r="J14" s="987">
        <v>1994</v>
      </c>
      <c r="K14" s="987">
        <v>1995</v>
      </c>
      <c r="L14" s="987">
        <v>1996</v>
      </c>
      <c r="M14" s="987">
        <v>1997</v>
      </c>
      <c r="N14" s="987">
        <v>1998</v>
      </c>
      <c r="O14" s="987">
        <v>1999</v>
      </c>
      <c r="P14" s="987">
        <v>2000</v>
      </c>
      <c r="Q14" s="987">
        <v>2001</v>
      </c>
      <c r="R14" s="987">
        <v>2002</v>
      </c>
      <c r="S14" s="987">
        <v>2003</v>
      </c>
      <c r="T14" s="987">
        <v>2004</v>
      </c>
      <c r="U14" s="987">
        <v>2005</v>
      </c>
      <c r="V14" s="987">
        <v>2006</v>
      </c>
      <c r="W14" s="987">
        <v>2007</v>
      </c>
      <c r="X14" s="987">
        <v>2008</v>
      </c>
      <c r="Y14" s="987">
        <v>2009</v>
      </c>
      <c r="Z14" s="987">
        <v>2010</v>
      </c>
      <c r="AA14" s="987">
        <v>2011</v>
      </c>
      <c r="AB14" s="987">
        <v>2012</v>
      </c>
      <c r="AC14" s="987">
        <v>2013</v>
      </c>
      <c r="AD14" s="987">
        <v>2014</v>
      </c>
      <c r="AE14" s="987">
        <v>2015</v>
      </c>
      <c r="AF14" s="987">
        <v>2016</v>
      </c>
      <c r="AG14" s="987">
        <v>2017</v>
      </c>
      <c r="AH14" s="987">
        <v>2018</v>
      </c>
      <c r="AI14" s="987">
        <v>2019</v>
      </c>
      <c r="AJ14" s="987">
        <v>2020</v>
      </c>
      <c r="AK14" s="987">
        <v>2021</v>
      </c>
      <c r="AL14" s="987">
        <v>2022</v>
      </c>
      <c r="AM14" s="987" t="s">
        <v>116</v>
      </c>
      <c r="AN14" s="987" t="s">
        <v>117</v>
      </c>
    </row>
    <row r="15" spans="1:40" s="797" customFormat="1" ht="12.95">
      <c r="A15" s="796" t="s">
        <v>118</v>
      </c>
      <c r="B15" s="796"/>
      <c r="C15" s="796"/>
      <c r="D15" s="796"/>
      <c r="E15" s="796"/>
      <c r="F15" s="795"/>
      <c r="G15" s="795"/>
      <c r="H15" s="795"/>
      <c r="I15" s="795"/>
      <c r="J15" s="795"/>
      <c r="K15" s="795"/>
      <c r="L15" s="795"/>
      <c r="M15" s="795"/>
      <c r="N15" s="795"/>
      <c r="O15" s="795"/>
      <c r="P15" s="795"/>
      <c r="Q15" s="795"/>
      <c r="R15" s="795"/>
      <c r="S15" s="795"/>
      <c r="T15" s="795"/>
      <c r="U15" s="795"/>
      <c r="V15" s="795"/>
      <c r="W15" s="795"/>
      <c r="X15" s="795"/>
      <c r="Y15" s="795"/>
      <c r="Z15" s="795"/>
      <c r="AA15" s="795"/>
      <c r="AB15" s="795"/>
      <c r="AC15" s="795"/>
      <c r="AD15" s="795"/>
      <c r="AE15" s="795"/>
      <c r="AF15" s="795"/>
      <c r="AG15" s="795"/>
      <c r="AH15" s="795"/>
      <c r="AI15" s="795"/>
      <c r="AJ15" s="795"/>
      <c r="AK15" s="795"/>
      <c r="AL15" s="795"/>
      <c r="AM15" s="796"/>
      <c r="AN15" s="796"/>
    </row>
    <row r="16" spans="1:40" s="792" customFormat="1" ht="12.6">
      <c r="A16" s="989" t="s">
        <v>119</v>
      </c>
      <c r="B16" s="791"/>
      <c r="C16" s="791"/>
      <c r="D16" s="791"/>
      <c r="E16" s="791"/>
      <c r="F16" s="790"/>
      <c r="G16" s="790"/>
      <c r="H16" s="790"/>
      <c r="I16" s="790"/>
      <c r="J16" s="790"/>
      <c r="K16" s="790"/>
      <c r="L16" s="790"/>
      <c r="M16" s="790"/>
      <c r="N16" s="790"/>
      <c r="O16" s="790"/>
      <c r="P16" s="790"/>
      <c r="Q16" s="790"/>
      <c r="R16" s="790"/>
      <c r="S16" s="790"/>
      <c r="T16" s="790"/>
      <c r="U16" s="790"/>
      <c r="V16" s="790"/>
      <c r="W16" s="790"/>
      <c r="X16" s="790"/>
      <c r="Y16" s="790"/>
      <c r="Z16" s="790"/>
      <c r="AA16" s="790"/>
      <c r="AB16" s="790"/>
      <c r="AC16" s="790"/>
      <c r="AD16" s="790"/>
      <c r="AE16" s="790"/>
      <c r="AF16" s="790"/>
      <c r="AG16" s="790"/>
      <c r="AH16" s="790"/>
      <c r="AI16" s="790"/>
      <c r="AJ16" s="790"/>
      <c r="AK16" s="790"/>
      <c r="AL16" s="790"/>
      <c r="AM16" s="791"/>
      <c r="AN16" s="791"/>
    </row>
    <row r="17" spans="1:40" ht="12.6">
      <c r="A17" s="990" t="s">
        <v>120</v>
      </c>
      <c r="B17" s="991" t="s">
        <v>121</v>
      </c>
      <c r="C17" s="991"/>
      <c r="D17" s="315"/>
      <c r="E17" s="991" t="s">
        <v>122</v>
      </c>
      <c r="F17" s="295">
        <f>'1990'!$R$18*1055.05585262</f>
        <v>1360423.8332113642</v>
      </c>
      <c r="G17" s="295">
        <f>'1991'!$R$18*1055.05585262</f>
        <v>1264232.2810162937</v>
      </c>
      <c r="H17" s="295">
        <f>'1992'!$R$18*1055.05585262</f>
        <v>1045251.2185816022</v>
      </c>
      <c r="I17" s="295">
        <f>'1993'!$R$18*1055.05585262</f>
        <v>1185660.1615599771</v>
      </c>
      <c r="J17" s="295">
        <f>'1994'!$R$18*1055.05585262</f>
        <v>1116966.5300517417</v>
      </c>
      <c r="K17" s="295">
        <f>'1995'!$R$18*1055.05585262</f>
        <v>796044.91608105309</v>
      </c>
      <c r="L17" s="295">
        <f>'1996'!$R$18*1055.05585262</f>
        <v>862257.05622392637</v>
      </c>
      <c r="M17" s="295">
        <f>'1997'!$R$18*1055.05585262</f>
        <v>977726.58895806968</v>
      </c>
      <c r="N17" s="295">
        <f>'1998'!$R$18*1055.05585262</f>
        <v>1378003.1738277189</v>
      </c>
      <c r="O17" s="295">
        <f>'1999'!$R$18*1055.05585262</f>
        <v>1277889.9790284596</v>
      </c>
      <c r="P17" s="295">
        <f>'2000'!$R$18*1055.05585262</f>
        <v>1207131.6032166469</v>
      </c>
      <c r="Q17" s="295">
        <f>'2001'!$R$18*1055.05585262</f>
        <v>1346647.9689437049</v>
      </c>
      <c r="R17" s="295">
        <f>'2002'!$R$18*1055.05585262</f>
        <v>1014102.804644702</v>
      </c>
      <c r="S17" s="295">
        <f>'2003'!$R$18*1055.05585262</f>
        <v>1271151.3372977758</v>
      </c>
      <c r="T17" s="295">
        <f>'2004'!$R$18*1055.05585262</f>
        <v>1267118.9138290621</v>
      </c>
      <c r="U17" s="295">
        <f>'2005'!$R$18*1055.05585262</f>
        <v>1289345.7754762077</v>
      </c>
      <c r="V17" s="295">
        <f>'2006'!$R$18*1055.05585262</f>
        <v>672026.26577312988</v>
      </c>
      <c r="W17" s="295">
        <f>'2007'!$R$18*1055.05585262</f>
        <v>683497.88805866719</v>
      </c>
      <c r="X17" s="295">
        <f>'2008'!$R$18*1055.05585262</f>
        <v>484625.13511906035</v>
      </c>
      <c r="Y17" s="295">
        <f>'2009'!$R$18*1055.05585262</f>
        <v>403422.761422162</v>
      </c>
      <c r="Z17" s="295">
        <f>'2010'!$R$18*1055.05585262</f>
        <v>390714.61367735412</v>
      </c>
      <c r="AA17" s="295">
        <f>'2011'!$R$18*1055.05585262</f>
        <v>311283.67875700479</v>
      </c>
      <c r="AB17" s="295">
        <f>'2012'!$R$18*1055.05585262</f>
        <v>225998.2389104671</v>
      </c>
      <c r="AC17" s="295">
        <f>'2013'!$R$18*1055.05585262</f>
        <v>269211.21652207704</v>
      </c>
      <c r="AD17" s="295">
        <f>'2014'!$R$18*1055.05585262</f>
        <v>311736.29771777877</v>
      </c>
      <c r="AE17" s="295">
        <f>'2015'!$R$18*1055.05585262</f>
        <v>291158.48836827831</v>
      </c>
      <c r="AF17" s="295">
        <f>'2016'!$R$18*1055.05585262</f>
        <v>257327.06739816538</v>
      </c>
      <c r="AG17" s="295">
        <f>'2017'!$R$18*1055.05585262</f>
        <v>229708.87034413163</v>
      </c>
      <c r="AH17" s="295">
        <f>'2018'!$R$18*1055.05585262</f>
        <v>274683.79122961703</v>
      </c>
      <c r="AI17" s="295">
        <f>'2019'!$R$18*1055.05585262</f>
        <v>198968.76302219534</v>
      </c>
      <c r="AJ17" s="295">
        <f>'2020'!$R$18*1055.05585262</f>
        <v>194549.13405557012</v>
      </c>
      <c r="AK17" s="295">
        <f>'2021'!$R$18*1055.05585262</f>
        <v>216301.22056903667</v>
      </c>
      <c r="AL17" s="295">
        <f>'2022'!$R$18*1055.05585262</f>
        <v>257289.08538747104</v>
      </c>
      <c r="AM17" s="315"/>
      <c r="AN17" s="315"/>
    </row>
    <row r="18" spans="1:40" ht="12.6">
      <c r="A18" s="990" t="s">
        <v>123</v>
      </c>
      <c r="B18" s="991" t="s">
        <v>124</v>
      </c>
      <c r="C18" s="991"/>
      <c r="D18" s="315"/>
      <c r="E18" s="315" t="s">
        <v>125</v>
      </c>
      <c r="F18" s="300" t="s">
        <v>126</v>
      </c>
      <c r="G18" s="300" t="s">
        <v>126</v>
      </c>
      <c r="H18" s="300" t="s">
        <v>126</v>
      </c>
      <c r="I18" s="300" t="s">
        <v>126</v>
      </c>
      <c r="J18" s="300" t="s">
        <v>126</v>
      </c>
      <c r="K18" s="300" t="s">
        <v>126</v>
      </c>
      <c r="L18" s="300" t="s">
        <v>126</v>
      </c>
      <c r="M18" s="300" t="s">
        <v>126</v>
      </c>
      <c r="N18" s="300" t="s">
        <v>126</v>
      </c>
      <c r="O18" s="300" t="s">
        <v>126</v>
      </c>
      <c r="P18" s="300" t="s">
        <v>126</v>
      </c>
      <c r="Q18" s="300" t="s">
        <v>126</v>
      </c>
      <c r="R18" s="300" t="s">
        <v>126</v>
      </c>
      <c r="S18" s="300" t="s">
        <v>126</v>
      </c>
      <c r="T18" s="300" t="s">
        <v>126</v>
      </c>
      <c r="U18" s="300" t="s">
        <v>126</v>
      </c>
      <c r="V18" s="300" t="s">
        <v>126</v>
      </c>
      <c r="W18" s="300" t="s">
        <v>126</v>
      </c>
      <c r="X18" s="300" t="s">
        <v>126</v>
      </c>
      <c r="Y18" s="300" t="s">
        <v>126</v>
      </c>
      <c r="Z18" s="300" t="s">
        <v>126</v>
      </c>
      <c r="AA18" s="300" t="s">
        <v>126</v>
      </c>
      <c r="AB18" s="300" t="s">
        <v>126</v>
      </c>
      <c r="AC18" s="300" t="s">
        <v>126</v>
      </c>
      <c r="AD18" s="300" t="s">
        <v>126</v>
      </c>
      <c r="AE18" s="300" t="s">
        <v>126</v>
      </c>
      <c r="AF18" s="300" t="s">
        <v>126</v>
      </c>
      <c r="AG18" s="300" t="s">
        <v>126</v>
      </c>
      <c r="AH18" s="300" t="s">
        <v>126</v>
      </c>
      <c r="AI18" s="300" t="s">
        <v>126</v>
      </c>
      <c r="AJ18" s="300" t="s">
        <v>126</v>
      </c>
      <c r="AK18" s="300" t="s">
        <v>126</v>
      </c>
      <c r="AL18" s="300" t="s">
        <v>126</v>
      </c>
      <c r="AM18" s="315"/>
      <c r="AN18" s="315"/>
    </row>
    <row r="19" spans="1:40" ht="12.6">
      <c r="A19" s="990" t="s">
        <v>127</v>
      </c>
      <c r="B19" s="991" t="s">
        <v>128</v>
      </c>
      <c r="C19" s="991"/>
      <c r="D19" s="991" t="s">
        <v>129</v>
      </c>
      <c r="E19" s="991" t="s">
        <v>130</v>
      </c>
      <c r="F19" s="300">
        <f>('Summary Table'!C26*1000)</f>
        <v>97538.490680398405</v>
      </c>
      <c r="G19" s="300">
        <f>('Summary Table'!D26*1000)</f>
        <v>90678.661907118192</v>
      </c>
      <c r="H19" s="300">
        <f>('Summary Table'!E26*1000)</f>
        <v>75527.743357330677</v>
      </c>
      <c r="I19" s="300">
        <f>('Summary Table'!F26*1000)</f>
        <v>86415.412739867199</v>
      </c>
      <c r="J19" s="300">
        <f>('Summary Table'!G26*1000)</f>
        <v>81246.850001075683</v>
      </c>
      <c r="K19" s="300">
        <f>('Summary Table'!H26*1000)</f>
        <v>58711.775063160683</v>
      </c>
      <c r="L19" s="300">
        <f>('Summary Table'!I26*1000)</f>
        <v>63396.292759601602</v>
      </c>
      <c r="M19" s="300">
        <f>('Summary Table'!J26*1000)</f>
        <v>72207.404234661357</v>
      </c>
      <c r="N19" s="300">
        <f>('Summary Table'!K26*1000)</f>
        <v>101262.71580049137</v>
      </c>
      <c r="O19" s="300">
        <f>('Summary Table'!L26*1000)</f>
        <v>93833.304814050454</v>
      </c>
      <c r="P19" s="300">
        <f>('Summary Table'!M26*1000)</f>
        <v>88524.4237401992</v>
      </c>
      <c r="Q19" s="300">
        <f>('Summary Table'!N26*1000)</f>
        <v>98561.015855192571</v>
      </c>
      <c r="R19" s="300">
        <f>('Summary Table'!O26*1000)</f>
        <v>76854.86157885789</v>
      </c>
      <c r="S19" s="300">
        <f>('Summary Table'!P26*1000)</f>
        <v>95127.634817888451</v>
      </c>
      <c r="T19" s="300">
        <f>('Summary Table'!Q26*1000)</f>
        <v>95845.222101221792</v>
      </c>
      <c r="U19" s="300">
        <f>('Summary Table'!R26*1000)</f>
        <v>97966.697698884454</v>
      </c>
      <c r="V19" s="300">
        <f>('Summary Table'!S26*1000)</f>
        <v>53276.122434926961</v>
      </c>
      <c r="W19" s="300">
        <f>('Summary Table'!T26*1000)</f>
        <v>52964.488890730405</v>
      </c>
      <c r="X19" s="300">
        <f>('Summary Table'!U26*1000)</f>
        <v>38386.647737556435</v>
      </c>
      <c r="Y19" s="300">
        <f>('Summary Table'!V26*1000)</f>
        <v>32211.435291660026</v>
      </c>
      <c r="Z19" s="300">
        <f>('Summary Table'!W26*1000)</f>
        <v>31428.99655992031</v>
      </c>
      <c r="AA19" s="300">
        <f>('Summary Table'!X26*1000)</f>
        <v>25831.553656440901</v>
      </c>
      <c r="AB19" s="300">
        <f>('Summary Table'!Y26*1000)</f>
        <v>18333.10858515272</v>
      </c>
      <c r="AC19" s="300">
        <f>('Summary Table'!Z26*1000)</f>
        <v>22420.050113678615</v>
      </c>
      <c r="AD19" s="300">
        <f>('Summary Table'!AA26*1000)</f>
        <v>25304.36966324037</v>
      </c>
      <c r="AE19" s="300">
        <f>('Summary Table'!AB26*1000)</f>
        <v>23674.448825350166</v>
      </c>
      <c r="AF19" s="300">
        <f>('Summary Table'!AC26*1000)</f>
        <v>21458.011279651982</v>
      </c>
      <c r="AG19" s="300">
        <f>('Summary Table'!AD26*1000)</f>
        <v>18920.639478904537</v>
      </c>
      <c r="AH19" s="300">
        <f>('Summary Table'!AE26*1000)</f>
        <v>22215.728844761521</v>
      </c>
      <c r="AI19" s="300">
        <f>('Summary Table'!AF26*1000)</f>
        <v>16161.308535890104</v>
      </c>
      <c r="AJ19" s="300">
        <f>('Summary Table'!AG26*1000)</f>
        <v>16166.104737697387</v>
      </c>
      <c r="AK19" s="300">
        <f>('Summary Table'!AH26*1000)</f>
        <v>17713.212252599576</v>
      </c>
      <c r="AL19" s="300">
        <f>('Summary Table'!AI26*1000)</f>
        <v>20522.249226051947</v>
      </c>
      <c r="AM19" s="315"/>
      <c r="AN19" s="315"/>
    </row>
    <row r="20" spans="1:40" ht="12.6">
      <c r="A20" s="990" t="s">
        <v>131</v>
      </c>
      <c r="B20" s="991" t="s">
        <v>132</v>
      </c>
      <c r="C20" s="991"/>
      <c r="D20" s="991" t="s">
        <v>129</v>
      </c>
      <c r="E20" s="991" t="s">
        <v>130</v>
      </c>
      <c r="F20" s="293" t="s">
        <v>106</v>
      </c>
      <c r="G20" s="293" t="s">
        <v>106</v>
      </c>
      <c r="H20" s="293" t="s">
        <v>106</v>
      </c>
      <c r="I20" s="293" t="s">
        <v>106</v>
      </c>
      <c r="J20" s="293" t="s">
        <v>106</v>
      </c>
      <c r="K20" s="293" t="s">
        <v>106</v>
      </c>
      <c r="L20" s="293" t="s">
        <v>106</v>
      </c>
      <c r="M20" s="293" t="s">
        <v>106</v>
      </c>
      <c r="N20" s="293" t="s">
        <v>106</v>
      </c>
      <c r="O20" s="293" t="s">
        <v>106</v>
      </c>
      <c r="P20" s="293" t="s">
        <v>106</v>
      </c>
      <c r="Q20" s="293" t="s">
        <v>106</v>
      </c>
      <c r="R20" s="293" t="s">
        <v>106</v>
      </c>
      <c r="S20" s="293" t="s">
        <v>106</v>
      </c>
      <c r="T20" s="293" t="s">
        <v>106</v>
      </c>
      <c r="U20" s="293" t="s">
        <v>106</v>
      </c>
      <c r="V20" s="293" t="s">
        <v>106</v>
      </c>
      <c r="W20" s="293" t="s">
        <v>106</v>
      </c>
      <c r="X20" s="293" t="s">
        <v>106</v>
      </c>
      <c r="Y20" s="293" t="s">
        <v>106</v>
      </c>
      <c r="Z20" s="293" t="s">
        <v>106</v>
      </c>
      <c r="AA20" s="293" t="s">
        <v>106</v>
      </c>
      <c r="AB20" s="293" t="s">
        <v>106</v>
      </c>
      <c r="AC20" s="293" t="s">
        <v>106</v>
      </c>
      <c r="AD20" s="293" t="s">
        <v>106</v>
      </c>
      <c r="AE20" s="293" t="s">
        <v>106</v>
      </c>
      <c r="AF20" s="293" t="s">
        <v>106</v>
      </c>
      <c r="AG20" s="293" t="s">
        <v>106</v>
      </c>
      <c r="AH20" s="293" t="s">
        <v>106</v>
      </c>
      <c r="AI20" s="293" t="s">
        <v>106</v>
      </c>
      <c r="AJ20" s="293" t="s">
        <v>106</v>
      </c>
      <c r="AK20" s="293" t="s">
        <v>106</v>
      </c>
      <c r="AL20" s="293" t="s">
        <v>106</v>
      </c>
      <c r="AM20" s="315"/>
      <c r="AN20" s="315"/>
    </row>
    <row r="21" spans="1:40" ht="12.6">
      <c r="A21" s="990" t="s">
        <v>133</v>
      </c>
      <c r="B21" s="991" t="s">
        <v>134</v>
      </c>
      <c r="C21" s="991"/>
      <c r="D21" s="315"/>
      <c r="E21" s="315" t="s">
        <v>125</v>
      </c>
      <c r="F21" s="293"/>
      <c r="G21" s="293"/>
      <c r="H21" s="293"/>
      <c r="I21" s="293"/>
      <c r="J21" s="293"/>
      <c r="K21" s="293"/>
      <c r="L21" s="293"/>
      <c r="M21" s="293"/>
      <c r="N21" s="293"/>
      <c r="O21" s="293"/>
      <c r="P21" s="293"/>
      <c r="Q21" s="293"/>
      <c r="R21" s="293"/>
      <c r="S21" s="293"/>
      <c r="T21" s="293"/>
      <c r="U21" s="293"/>
      <c r="V21" s="293"/>
      <c r="W21" s="293"/>
      <c r="X21" s="293"/>
      <c r="Y21" s="293"/>
      <c r="Z21" s="293"/>
      <c r="AA21" s="293"/>
      <c r="AB21" s="293"/>
      <c r="AC21" s="293"/>
      <c r="AD21" s="293"/>
      <c r="AE21" s="293"/>
      <c r="AF21" s="293"/>
      <c r="AG21" s="293"/>
      <c r="AH21" s="293"/>
      <c r="AI21" s="293"/>
      <c r="AJ21" s="293"/>
      <c r="AK21" s="293"/>
      <c r="AL21" s="293"/>
      <c r="AM21" s="315"/>
      <c r="AN21" s="315"/>
    </row>
    <row r="22" spans="1:40" s="792" customFormat="1" ht="12.6">
      <c r="A22" s="989" t="s">
        <v>135</v>
      </c>
      <c r="B22" s="791"/>
      <c r="C22" s="791"/>
      <c r="D22" s="791"/>
      <c r="E22" s="791"/>
      <c r="F22" s="790"/>
      <c r="G22" s="790"/>
      <c r="H22" s="790"/>
      <c r="I22" s="790"/>
      <c r="J22" s="790"/>
      <c r="K22" s="790"/>
      <c r="L22" s="790"/>
      <c r="M22" s="790"/>
      <c r="N22" s="790"/>
      <c r="O22" s="790"/>
      <c r="P22" s="790"/>
      <c r="Q22" s="790"/>
      <c r="R22" s="790"/>
      <c r="S22" s="790"/>
      <c r="T22" s="790"/>
      <c r="U22" s="790"/>
      <c r="V22" s="790"/>
      <c r="W22" s="790"/>
      <c r="X22" s="790"/>
      <c r="Y22" s="790"/>
      <c r="Z22" s="790"/>
      <c r="AA22" s="790"/>
      <c r="AB22" s="790"/>
      <c r="AC22" s="790"/>
      <c r="AD22" s="790"/>
      <c r="AE22" s="790"/>
      <c r="AF22" s="790"/>
      <c r="AG22" s="790"/>
      <c r="AH22" s="790"/>
      <c r="AI22" s="790"/>
      <c r="AJ22" s="790"/>
      <c r="AK22" s="790"/>
      <c r="AL22" s="790"/>
      <c r="AM22" s="791"/>
      <c r="AN22" s="791"/>
    </row>
    <row r="23" spans="1:40" ht="12.6">
      <c r="A23" s="990" t="s">
        <v>136</v>
      </c>
      <c r="B23" s="991" t="s">
        <v>121</v>
      </c>
      <c r="C23" s="991"/>
      <c r="D23" s="315"/>
      <c r="E23" s="991" t="s">
        <v>122</v>
      </c>
      <c r="F23" s="295">
        <f>'1990'!$R$8*1055.05585262</f>
        <v>17156212.576772895</v>
      </c>
      <c r="G23" s="295">
        <f>'1991'!$R$8*1055.05585262</f>
        <v>17144350.583821885</v>
      </c>
      <c r="H23" s="295">
        <f>'1992'!$R$8*1055.05585262</f>
        <v>17372122.37162061</v>
      </c>
      <c r="I23" s="295">
        <f>'1993'!$R$8*1055.05585262</f>
        <v>18142663.422576278</v>
      </c>
      <c r="J23" s="295">
        <f>'1994'!$R$8*1055.05585262</f>
        <v>18211187.190092243</v>
      </c>
      <c r="K23" s="295">
        <f>'1995'!$R$8*1055.05585262</f>
        <v>18427906.212778915</v>
      </c>
      <c r="L23" s="295">
        <f>'1996'!$R$8*1055.05585262</f>
        <v>19443652.794441998</v>
      </c>
      <c r="M23" s="295">
        <f>'1997'!$R$8*1055.05585262</f>
        <v>19945343.457977187</v>
      </c>
      <c r="N23" s="295">
        <f>'1998'!$R$8*1055.05585262</f>
        <v>20273617.756184787</v>
      </c>
      <c r="O23" s="295">
        <f>'1999'!$R$8*1055.05585262</f>
        <v>20340935.594861206</v>
      </c>
      <c r="P23" s="295">
        <f>'2000'!$R$8*1055.05585262</f>
        <v>21333409.754527193</v>
      </c>
      <c r="Q23" s="295">
        <f>'2001'!$R$8*1055.05585262</f>
        <v>20693520.490024872</v>
      </c>
      <c r="R23" s="295">
        <f>'2002'!$R$8*1055.05585262</f>
        <v>20871938.875149734</v>
      </c>
      <c r="S23" s="295">
        <f>'2003'!$R$8*1055.05585262</f>
        <v>21296031.235780574</v>
      </c>
      <c r="T23" s="295">
        <f>'2004'!$R$8*1055.05585262</f>
        <v>21422946.014403943</v>
      </c>
      <c r="U23" s="295">
        <f>'2005'!$R$8*1055.05585262</f>
        <v>21878947.484241422</v>
      </c>
      <c r="V23" s="295">
        <f>'2006'!$R$8*1055.05585262</f>
        <v>21588429.414775684</v>
      </c>
      <c r="W23" s="295">
        <f>'2007'!$R$8*1055.05585262</f>
        <v>21953308.875789933</v>
      </c>
      <c r="X23" s="295">
        <f>'2008'!$R$8*1055.05585262</f>
        <v>21642313.227280695</v>
      </c>
      <c r="Y23" s="295">
        <f>'2009'!$R$8*1055.05585262</f>
        <v>19228743.192542568</v>
      </c>
      <c r="Z23" s="295">
        <f>'2010'!$R$8*1055.05585262</f>
        <v>20186863.678591404</v>
      </c>
      <c r="AA23" s="295">
        <f>'2011'!$R$8*1055.05585262</f>
        <v>19028116.936775908</v>
      </c>
      <c r="AB23" s="295">
        <f>'2012'!$R$8*1055.05585262</f>
        <v>16692300.298152467</v>
      </c>
      <c r="AC23" s="295">
        <f>'2013'!$R$8*1055.05585262</f>
        <v>17356258.551820617</v>
      </c>
      <c r="AD23" s="295">
        <f>'2014'!$R$8*1055.05585262</f>
        <v>17331824.513329789</v>
      </c>
      <c r="AE23" s="295">
        <f>'2015'!$R$8*1055.05585262</f>
        <v>14916643.408304714</v>
      </c>
      <c r="AF23" s="295">
        <f>'2016'!$R$8*1055.05585262</f>
        <v>13711879.350421347</v>
      </c>
      <c r="AG23" s="295">
        <f>'2017'!$R$8*1055.05585262</f>
        <v>13317160.799783301</v>
      </c>
      <c r="AH23" s="295">
        <f>'2018'!$R$8*1055.05585262</f>
        <v>12716542.824227197</v>
      </c>
      <c r="AI23" s="295">
        <f>'2019'!$R$8*1055.05585262</f>
        <v>10741800.060157606</v>
      </c>
      <c r="AJ23" s="295">
        <f>'2020'!$R$8*1055.05585262</f>
        <v>8682353.19201627</v>
      </c>
      <c r="AK23" s="295">
        <f>'2021'!$R$8*1055.05585262</f>
        <v>10020574.429865099</v>
      </c>
      <c r="AL23" s="295">
        <f>'2022'!$R$8*1055.05585262</f>
        <v>9374689.2829523366</v>
      </c>
      <c r="AM23" s="315"/>
      <c r="AN23" s="315"/>
    </row>
    <row r="24" spans="1:40" ht="12.6">
      <c r="A24" s="990" t="s">
        <v>137</v>
      </c>
      <c r="B24" s="991" t="s">
        <v>124</v>
      </c>
      <c r="C24" s="991"/>
      <c r="D24" s="315"/>
      <c r="E24" s="315" t="s">
        <v>125</v>
      </c>
      <c r="F24" s="300" t="s">
        <v>126</v>
      </c>
      <c r="G24" s="300" t="s">
        <v>126</v>
      </c>
      <c r="H24" s="300" t="s">
        <v>126</v>
      </c>
      <c r="I24" s="300" t="s">
        <v>126</v>
      </c>
      <c r="J24" s="300" t="s">
        <v>126</v>
      </c>
      <c r="K24" s="300" t="s">
        <v>126</v>
      </c>
      <c r="L24" s="300" t="s">
        <v>126</v>
      </c>
      <c r="M24" s="300" t="s">
        <v>126</v>
      </c>
      <c r="N24" s="300" t="s">
        <v>126</v>
      </c>
      <c r="O24" s="300" t="s">
        <v>126</v>
      </c>
      <c r="P24" s="300" t="s">
        <v>126</v>
      </c>
      <c r="Q24" s="300" t="s">
        <v>126</v>
      </c>
      <c r="R24" s="300" t="s">
        <v>126</v>
      </c>
      <c r="S24" s="300" t="s">
        <v>126</v>
      </c>
      <c r="T24" s="300" t="s">
        <v>126</v>
      </c>
      <c r="U24" s="300" t="s">
        <v>126</v>
      </c>
      <c r="V24" s="300" t="s">
        <v>126</v>
      </c>
      <c r="W24" s="300" t="s">
        <v>126</v>
      </c>
      <c r="X24" s="300" t="s">
        <v>126</v>
      </c>
      <c r="Y24" s="300" t="s">
        <v>126</v>
      </c>
      <c r="Z24" s="300" t="s">
        <v>126</v>
      </c>
      <c r="AA24" s="300" t="s">
        <v>126</v>
      </c>
      <c r="AB24" s="300" t="s">
        <v>126</v>
      </c>
      <c r="AC24" s="300" t="s">
        <v>126</v>
      </c>
      <c r="AD24" s="300" t="s">
        <v>126</v>
      </c>
      <c r="AE24" s="300" t="s">
        <v>126</v>
      </c>
      <c r="AF24" s="300" t="s">
        <v>126</v>
      </c>
      <c r="AG24" s="300" t="s">
        <v>126</v>
      </c>
      <c r="AH24" s="300" t="s">
        <v>126</v>
      </c>
      <c r="AI24" s="300" t="s">
        <v>126</v>
      </c>
      <c r="AJ24" s="300" t="s">
        <v>126</v>
      </c>
      <c r="AK24" s="300" t="s">
        <v>126</v>
      </c>
      <c r="AL24" s="300" t="s">
        <v>126</v>
      </c>
      <c r="AM24" s="315"/>
      <c r="AN24" s="315"/>
    </row>
    <row r="25" spans="1:40" ht="12.6">
      <c r="A25" s="990" t="s">
        <v>138</v>
      </c>
      <c r="B25" s="991" t="s">
        <v>128</v>
      </c>
      <c r="C25" s="991"/>
      <c r="D25" s="991" t="s">
        <v>129</v>
      </c>
      <c r="E25" s="991" t="s">
        <v>130</v>
      </c>
      <c r="F25" s="300">
        <f>('Summary Table'!C12*1000)</f>
        <v>1546513.8658365146</v>
      </c>
      <c r="G25" s="300">
        <f>('Summary Table'!D12*1000)</f>
        <v>1547174.4736994475</v>
      </c>
      <c r="H25" s="300">
        <f>('Summary Table'!E12*1000)</f>
        <v>1568541.4841172681</v>
      </c>
      <c r="I25" s="300">
        <f>('Summary Table'!F12*1000)</f>
        <v>1631618.8101341862</v>
      </c>
      <c r="J25" s="300">
        <f>('Summary Table'!G12*1000)</f>
        <v>1637852.8422171716</v>
      </c>
      <c r="K25" s="300">
        <f>('Summary Table'!H12*1000)</f>
        <v>1659860.9103723704</v>
      </c>
      <c r="L25" s="300">
        <f>('Summary Table'!I12*1000)</f>
        <v>1751523.3947269828</v>
      </c>
      <c r="M25" s="300">
        <f>('Summary Table'!J12*1000)</f>
        <v>1796018.8853915236</v>
      </c>
      <c r="N25" s="300">
        <f>('Summary Table'!K12*1000)</f>
        <v>1827147.6965735827</v>
      </c>
      <c r="O25" s="300">
        <f>('Summary Table'!L12*1000)</f>
        <v>1835402.2340292525</v>
      </c>
      <c r="P25" s="300">
        <f>('Summary Table'!M12*1000)</f>
        <v>1926365.1342158976</v>
      </c>
      <c r="Q25" s="300">
        <f>('Summary Table'!N12*1000)</f>
        <v>1868834.5135593859</v>
      </c>
      <c r="R25" s="300">
        <f>('Summary Table'!O12*1000)</f>
        <v>1888894.6691071952</v>
      </c>
      <c r="S25" s="300">
        <f>('Summary Table'!P12*1000)</f>
        <v>1929956.6599629633</v>
      </c>
      <c r="T25" s="300">
        <f>('Summary Table'!Q12*1000)</f>
        <v>1942019.7985409237</v>
      </c>
      <c r="U25" s="300">
        <f>('Summary Table'!R12*1000)</f>
        <v>1982771.3676303178</v>
      </c>
      <c r="V25" s="300">
        <f>('Summary Table'!S12*1000)</f>
        <v>1952689.5189382972</v>
      </c>
      <c r="W25" s="300">
        <f>('Summary Table'!T12*1000)</f>
        <v>1986249.7853491975</v>
      </c>
      <c r="X25" s="300">
        <f>('Summary Table'!U12*1000)</f>
        <v>1958387.6061335874</v>
      </c>
      <c r="Y25" s="300">
        <f>('Summary Table'!V12*1000)</f>
        <v>1740152.6692444147</v>
      </c>
      <c r="Z25" s="300">
        <f>('Summary Table'!W12*1000)</f>
        <v>1827245.2396274032</v>
      </c>
      <c r="AA25" s="300">
        <f>('Summary Table'!X12*1000)</f>
        <v>1722369.8705628943</v>
      </c>
      <c r="AB25" s="300">
        <f>('Summary Table'!Y12*1000)</f>
        <v>1511693.1055686455</v>
      </c>
      <c r="AC25" s="300">
        <f>('Summary Table'!Z12*1000)</f>
        <v>1571251.1273959044</v>
      </c>
      <c r="AD25" s="300">
        <f>('Summary Table'!AA12*1000)</f>
        <v>1568556.1739081219</v>
      </c>
      <c r="AE25" s="300">
        <f>('Summary Table'!AB12*1000)</f>
        <v>1351388.4116145927</v>
      </c>
      <c r="AF25" s="300">
        <f>('Summary Table'!AC12*1000)</f>
        <v>1242016.6623259897</v>
      </c>
      <c r="AG25" s="300">
        <f>('Summary Table'!AD12*1000)</f>
        <v>1207066.7392920537</v>
      </c>
      <c r="AH25" s="300">
        <f>('Summary Table'!AE12*1000)</f>
        <v>1152876.423046415</v>
      </c>
      <c r="AI25" s="300">
        <f>('Summary Table'!AF12*1000)</f>
        <v>973539.78238806105</v>
      </c>
      <c r="AJ25" s="300">
        <f>('Summary Table'!AG12*1000)</f>
        <v>788159.62639841321</v>
      </c>
      <c r="AK25" s="300">
        <f>('Summary Table'!AH12*1000)</f>
        <v>910064.45819817402</v>
      </c>
      <c r="AL25" s="300">
        <f>('Summary Table'!AI12*1000)</f>
        <v>851472.056401412</v>
      </c>
      <c r="AM25" s="315"/>
      <c r="AN25" s="315"/>
    </row>
    <row r="26" spans="1:40" ht="12.6">
      <c r="A26" s="990" t="s">
        <v>139</v>
      </c>
      <c r="B26" s="991" t="s">
        <v>132</v>
      </c>
      <c r="C26" s="991"/>
      <c r="D26" s="991" t="s">
        <v>129</v>
      </c>
      <c r="E26" s="991" t="s">
        <v>130</v>
      </c>
      <c r="F26" s="293" t="s">
        <v>106</v>
      </c>
      <c r="G26" s="293" t="s">
        <v>106</v>
      </c>
      <c r="H26" s="293" t="s">
        <v>106</v>
      </c>
      <c r="I26" s="293" t="s">
        <v>106</v>
      </c>
      <c r="J26" s="293" t="s">
        <v>106</v>
      </c>
      <c r="K26" s="293" t="s">
        <v>106</v>
      </c>
      <c r="L26" s="293" t="s">
        <v>106</v>
      </c>
      <c r="M26" s="293" t="s">
        <v>106</v>
      </c>
      <c r="N26" s="293" t="s">
        <v>106</v>
      </c>
      <c r="O26" s="293" t="s">
        <v>106</v>
      </c>
      <c r="P26" s="293" t="s">
        <v>106</v>
      </c>
      <c r="Q26" s="293" t="s">
        <v>106</v>
      </c>
      <c r="R26" s="293" t="s">
        <v>106</v>
      </c>
      <c r="S26" s="293" t="s">
        <v>106</v>
      </c>
      <c r="T26" s="293" t="s">
        <v>106</v>
      </c>
      <c r="U26" s="293" t="s">
        <v>106</v>
      </c>
      <c r="V26" s="293" t="s">
        <v>106</v>
      </c>
      <c r="W26" s="293" t="s">
        <v>106</v>
      </c>
      <c r="X26" s="293" t="s">
        <v>106</v>
      </c>
      <c r="Y26" s="293" t="s">
        <v>106</v>
      </c>
      <c r="Z26" s="293" t="s">
        <v>106</v>
      </c>
      <c r="AA26" s="293" t="s">
        <v>106</v>
      </c>
      <c r="AB26" s="293" t="s">
        <v>106</v>
      </c>
      <c r="AC26" s="293" t="s">
        <v>106</v>
      </c>
      <c r="AD26" s="293" t="s">
        <v>106</v>
      </c>
      <c r="AE26" s="293" t="s">
        <v>106</v>
      </c>
      <c r="AF26" s="293" t="s">
        <v>106</v>
      </c>
      <c r="AG26" s="293" t="s">
        <v>106</v>
      </c>
      <c r="AH26" s="293" t="s">
        <v>106</v>
      </c>
      <c r="AI26" s="293" t="s">
        <v>106</v>
      </c>
      <c r="AJ26" s="293" t="s">
        <v>106</v>
      </c>
      <c r="AK26" s="293" t="s">
        <v>106</v>
      </c>
      <c r="AL26" s="293" t="s">
        <v>106</v>
      </c>
      <c r="AM26" s="315"/>
      <c r="AN26" s="315"/>
    </row>
    <row r="27" spans="1:40" ht="12.6">
      <c r="A27" s="990" t="s">
        <v>140</v>
      </c>
      <c r="B27" s="991" t="s">
        <v>134</v>
      </c>
      <c r="C27" s="991"/>
      <c r="D27" s="315"/>
      <c r="E27" s="315" t="s">
        <v>125</v>
      </c>
      <c r="F27" s="293"/>
      <c r="G27" s="293"/>
      <c r="H27" s="293"/>
      <c r="I27" s="293"/>
      <c r="J27" s="293"/>
      <c r="K27" s="293"/>
      <c r="L27" s="293"/>
      <c r="M27" s="293"/>
      <c r="N27" s="293"/>
      <c r="O27" s="293"/>
      <c r="P27" s="293"/>
      <c r="Q27" s="293"/>
      <c r="R27" s="293"/>
      <c r="S27" s="293"/>
      <c r="T27" s="293"/>
      <c r="U27" s="293"/>
      <c r="V27" s="293"/>
      <c r="W27" s="293"/>
      <c r="X27" s="293"/>
      <c r="Y27" s="293"/>
      <c r="Z27" s="293"/>
      <c r="AA27" s="293"/>
      <c r="AB27" s="293"/>
      <c r="AC27" s="293"/>
      <c r="AD27" s="293"/>
      <c r="AE27" s="293"/>
      <c r="AF27" s="293"/>
      <c r="AG27" s="293"/>
      <c r="AH27" s="293"/>
      <c r="AI27" s="293"/>
      <c r="AJ27" s="293"/>
      <c r="AK27" s="293"/>
      <c r="AL27" s="293"/>
      <c r="AM27" s="315"/>
      <c r="AN27" s="315"/>
    </row>
    <row r="28" spans="1:40" s="792" customFormat="1" ht="12.6">
      <c r="A28" s="989" t="s">
        <v>141</v>
      </c>
      <c r="B28" s="791"/>
      <c r="C28" s="791"/>
      <c r="D28" s="791"/>
      <c r="E28" s="791"/>
      <c r="F28" s="790"/>
      <c r="G28" s="790"/>
      <c r="H28" s="790"/>
      <c r="I28" s="790"/>
      <c r="J28" s="790"/>
      <c r="K28" s="790"/>
      <c r="L28" s="790"/>
      <c r="M28" s="790"/>
      <c r="N28" s="790"/>
      <c r="O28" s="790"/>
      <c r="P28" s="790"/>
      <c r="Q28" s="790"/>
      <c r="R28" s="790"/>
      <c r="S28" s="790"/>
      <c r="T28" s="790"/>
      <c r="U28" s="790"/>
      <c r="V28" s="790"/>
      <c r="W28" s="790"/>
      <c r="X28" s="790"/>
      <c r="Y28" s="790"/>
      <c r="Z28" s="790"/>
      <c r="AA28" s="790"/>
      <c r="AB28" s="790"/>
      <c r="AC28" s="790"/>
      <c r="AD28" s="790"/>
      <c r="AE28" s="790"/>
      <c r="AF28" s="790"/>
      <c r="AG28" s="790"/>
      <c r="AH28" s="790"/>
      <c r="AI28" s="790"/>
      <c r="AJ28" s="790"/>
      <c r="AK28" s="790"/>
      <c r="AL28" s="790"/>
      <c r="AM28" s="791"/>
      <c r="AN28" s="791"/>
    </row>
    <row r="29" spans="1:40" ht="12.6">
      <c r="A29" s="990" t="s">
        <v>142</v>
      </c>
      <c r="B29" s="991" t="s">
        <v>121</v>
      </c>
      <c r="C29" s="991"/>
      <c r="D29" s="315"/>
      <c r="E29" s="991" t="s">
        <v>122</v>
      </c>
      <c r="F29" s="295">
        <f>'1990'!$R$17*1055.05585262</f>
        <v>3490692.3805156695</v>
      </c>
      <c r="G29" s="295">
        <f>'1991'!$R$17*1055.05585262</f>
        <v>3563302.3793488303</v>
      </c>
      <c r="H29" s="295">
        <f>'1992'!$R$17*1055.05585262</f>
        <v>3704830.7365868352</v>
      </c>
      <c r="I29" s="295">
        <f>'1993'!$R$17*1055.05585262</f>
        <v>3732261.1336991028</v>
      </c>
      <c r="J29" s="295">
        <f>'1994'!$R$17*1055.05585262</f>
        <v>4196272.5875696735</v>
      </c>
      <c r="K29" s="295">
        <f>'1995'!$R$17*1055.05585262</f>
        <v>4538819.6813515136</v>
      </c>
      <c r="L29" s="295">
        <f>'1996'!$R$17*1055.05585262</f>
        <v>4075099.4228962664</v>
      </c>
      <c r="M29" s="295">
        <f>'1997'!$R$17*1055.05585262</f>
        <v>4352645.5806540409</v>
      </c>
      <c r="N29" s="295">
        <f>'1998'!$R$17*1055.05585262</f>
        <v>4932280.6054132376</v>
      </c>
      <c r="O29" s="295">
        <f>'1999'!$R$17*1055.05585262</f>
        <v>5172039.9378094282</v>
      </c>
      <c r="P29" s="295">
        <f>'2000'!$R$17*1055.05585262</f>
        <v>5584806.2738623926</v>
      </c>
      <c r="Q29" s="295">
        <f>'2001'!$R$17*1055.05585262</f>
        <v>5758601.4042410739</v>
      </c>
      <c r="R29" s="295">
        <f>'2002'!$R$17*1055.05585262</f>
        <v>6084308.7515592473</v>
      </c>
      <c r="S29" s="295">
        <f>'2003'!$R$17*1055.05585262</f>
        <v>5535085.7117518224</v>
      </c>
      <c r="T29" s="295">
        <f>'2004'!$R$17*1055.05585262</f>
        <v>5902968.9167784797</v>
      </c>
      <c r="U29" s="295">
        <f>'2005'!$R$17*1055.05585262</f>
        <v>6345684.0682639154</v>
      </c>
      <c r="V29" s="295">
        <f>'2006'!$R$17*1055.05585262</f>
        <v>6726127.7132160142</v>
      </c>
      <c r="W29" s="295">
        <f>'2007'!$R$17*1055.05585262</f>
        <v>7390913.1306726132</v>
      </c>
      <c r="X29" s="295">
        <f>'2008'!$R$17*1055.05585262</f>
        <v>7204896.2332971804</v>
      </c>
      <c r="Y29" s="295">
        <f>'2009'!$R$17*1055.05585262</f>
        <v>7409013.6688801618</v>
      </c>
      <c r="Z29" s="295">
        <f>'2010'!$R$17*1055.05585262</f>
        <v>7942081.693472269</v>
      </c>
      <c r="AA29" s="295">
        <f>'2011'!$R$17*1055.05585262</f>
        <v>8136807.0218552267</v>
      </c>
      <c r="AB29" s="295">
        <f>'2012'!$R$17*1055.05585262</f>
        <v>9798085.3067204468</v>
      </c>
      <c r="AC29" s="295">
        <f>'2013'!$R$17*1055.05585262</f>
        <v>8837415.8057316858</v>
      </c>
      <c r="AD29" s="295">
        <f>'2014'!$R$17*1055.05585262</f>
        <v>8822040.4767914545</v>
      </c>
      <c r="AE29" s="295">
        <f>'2015'!$R$17*1055.05585262</f>
        <v>10472968.663742473</v>
      </c>
      <c r="AF29" s="295">
        <f>'2016'!$R$17*1055.05585262</f>
        <v>10868458.460208785</v>
      </c>
      <c r="AG29" s="295">
        <f>'2017'!$R$17*1055.05585262</f>
        <v>10081277.068345593</v>
      </c>
      <c r="AH29" s="295">
        <f>'2018'!$R$17*1055.05585262</f>
        <v>11522800.934836151</v>
      </c>
      <c r="AI29" s="295">
        <f>'2019'!$R$17*1055.05585262</f>
        <v>12300262.097129155</v>
      </c>
      <c r="AJ29" s="295">
        <f>'2020'!$R$17*1055.05585262</f>
        <v>12660424.40342634</v>
      </c>
      <c r="AK29" s="295">
        <f>'2021'!$R$17*1055.05585262</f>
        <v>12220274.092718622</v>
      </c>
      <c r="AL29" s="295">
        <f>'2022'!$R$17*1055.05585262</f>
        <v>13145140.273348726</v>
      </c>
      <c r="AM29" s="315"/>
      <c r="AN29" s="315"/>
    </row>
    <row r="30" spans="1:40" ht="12.6">
      <c r="A30" s="990" t="s">
        <v>143</v>
      </c>
      <c r="B30" s="991" t="s">
        <v>124</v>
      </c>
      <c r="C30" s="991"/>
      <c r="D30" s="315"/>
      <c r="E30" s="315" t="s">
        <v>125</v>
      </c>
      <c r="F30" s="300" t="s">
        <v>126</v>
      </c>
      <c r="G30" s="300" t="s">
        <v>126</v>
      </c>
      <c r="H30" s="300" t="s">
        <v>126</v>
      </c>
      <c r="I30" s="300" t="s">
        <v>126</v>
      </c>
      <c r="J30" s="300" t="s">
        <v>126</v>
      </c>
      <c r="K30" s="300" t="s">
        <v>126</v>
      </c>
      <c r="L30" s="300" t="s">
        <v>126</v>
      </c>
      <c r="M30" s="300" t="s">
        <v>126</v>
      </c>
      <c r="N30" s="300" t="s">
        <v>126</v>
      </c>
      <c r="O30" s="300" t="s">
        <v>126</v>
      </c>
      <c r="P30" s="300" t="s">
        <v>126</v>
      </c>
      <c r="Q30" s="300" t="s">
        <v>126</v>
      </c>
      <c r="R30" s="300" t="s">
        <v>126</v>
      </c>
      <c r="S30" s="300" t="s">
        <v>126</v>
      </c>
      <c r="T30" s="300" t="s">
        <v>126</v>
      </c>
      <c r="U30" s="300" t="s">
        <v>126</v>
      </c>
      <c r="V30" s="300" t="s">
        <v>126</v>
      </c>
      <c r="W30" s="300" t="s">
        <v>126</v>
      </c>
      <c r="X30" s="300" t="s">
        <v>126</v>
      </c>
      <c r="Y30" s="300" t="s">
        <v>126</v>
      </c>
      <c r="Z30" s="300" t="s">
        <v>126</v>
      </c>
      <c r="AA30" s="300" t="s">
        <v>126</v>
      </c>
      <c r="AB30" s="300" t="s">
        <v>126</v>
      </c>
      <c r="AC30" s="300" t="s">
        <v>126</v>
      </c>
      <c r="AD30" s="300" t="s">
        <v>126</v>
      </c>
      <c r="AE30" s="300" t="s">
        <v>126</v>
      </c>
      <c r="AF30" s="300" t="s">
        <v>126</v>
      </c>
      <c r="AG30" s="300" t="s">
        <v>126</v>
      </c>
      <c r="AH30" s="300" t="s">
        <v>126</v>
      </c>
      <c r="AI30" s="300" t="s">
        <v>126</v>
      </c>
      <c r="AJ30" s="300" t="s">
        <v>126</v>
      </c>
      <c r="AK30" s="300" t="s">
        <v>126</v>
      </c>
      <c r="AL30" s="300" t="s">
        <v>126</v>
      </c>
      <c r="AM30" s="315"/>
      <c r="AN30" s="315"/>
    </row>
    <row r="31" spans="1:40" ht="12.6">
      <c r="A31" s="990" t="s">
        <v>144</v>
      </c>
      <c r="B31" s="991" t="s">
        <v>128</v>
      </c>
      <c r="C31" s="991"/>
      <c r="D31" s="991" t="s">
        <v>129</v>
      </c>
      <c r="E31" s="991" t="s">
        <v>130</v>
      </c>
      <c r="F31" s="300">
        <f>('Summary Table'!C19*1000)</f>
        <v>175360.03890260149</v>
      </c>
      <c r="G31" s="300">
        <f>('Summary Table'!D19*1000)</f>
        <v>178966.41557241685</v>
      </c>
      <c r="H31" s="300">
        <f>('Summary Table'!E19*1000)</f>
        <v>186074.65958323443</v>
      </c>
      <c r="I31" s="300">
        <f>('Summary Table'!F19*1000)</f>
        <v>187582.35295994123</v>
      </c>
      <c r="J31" s="300">
        <f>('Summary Table'!G19*1000)</f>
        <v>210854.61547922212</v>
      </c>
      <c r="K31" s="300">
        <f>('Summary Table'!H19*1000)</f>
        <v>228172.65505672165</v>
      </c>
      <c r="L31" s="300">
        <f>('Summary Table'!I19*1000)</f>
        <v>204860.80527999366</v>
      </c>
      <c r="M31" s="300">
        <f>('Summary Table'!J19*1000)</f>
        <v>218813.42912547896</v>
      </c>
      <c r="N31" s="300">
        <f>('Summary Table'!K19*1000)</f>
        <v>247666.12926215841</v>
      </c>
      <c r="O31" s="300">
        <f>('Summary Table'!L19*1000)</f>
        <v>259945.21454492025</v>
      </c>
      <c r="P31" s="300">
        <f>('Summary Table'!M19*1000)</f>
        <v>280821.05213992053</v>
      </c>
      <c r="Q31" s="300">
        <f>('Summary Table'!N19*1000)</f>
        <v>289358.62946229539</v>
      </c>
      <c r="R31" s="300">
        <f>('Summary Table'!O19*1000)</f>
        <v>306008.75363034965</v>
      </c>
      <c r="S31" s="300">
        <f>('Summary Table'!P19*1000)</f>
        <v>278127.39640727377</v>
      </c>
      <c r="T31" s="300">
        <f>('Summary Table'!Q19*1000)</f>
        <v>296750.2974380299</v>
      </c>
      <c r="U31" s="300">
        <f>('Summary Table'!R19*1000)</f>
        <v>318858.40260471357</v>
      </c>
      <c r="V31" s="300">
        <f>('Summary Table'!S19*1000)</f>
        <v>337974.96302681614</v>
      </c>
      <c r="W31" s="300">
        <f>('Summary Table'!T19*1000)</f>
        <v>371465.13223741314</v>
      </c>
      <c r="X31" s="300">
        <f>('Summary Table'!U19*1000)</f>
        <v>362115.97738194664</v>
      </c>
      <c r="Y31" s="300">
        <f>('Summary Table'!V19*1000)</f>
        <v>372547.75041195017</v>
      </c>
      <c r="Z31" s="300">
        <f>('Summary Table'!W19*1000)</f>
        <v>399538.08692568628</v>
      </c>
      <c r="AA31" s="300">
        <f>('Summary Table'!X19*1000)</f>
        <v>409429.61840152781</v>
      </c>
      <c r="AB31" s="300">
        <f>('Summary Table'!Y19*1000)</f>
        <v>492792.19630413747</v>
      </c>
      <c r="AC31" s="300">
        <f>('Summary Table'!Z19*1000)</f>
        <v>444165.93360966392</v>
      </c>
      <c r="AD31" s="300">
        <f>('Summary Table'!AA19*1000)</f>
        <v>442882.00596411235</v>
      </c>
      <c r="AE31" s="300">
        <f>('Summary Table'!AB19*1000)</f>
        <v>525160.54071183549</v>
      </c>
      <c r="AF31" s="300">
        <f>('Summary Table'!AC19*1000)</f>
        <v>544992.13211889321</v>
      </c>
      <c r="AG31" s="300">
        <f>('Summary Table'!AD19*1000)</f>
        <v>505634.66065505327</v>
      </c>
      <c r="AH31" s="300">
        <f>('Summary Table'!AE19*1000)</f>
        <v>577935.4640272524</v>
      </c>
      <c r="AI31" s="300">
        <f>('Summary Table'!AF19*1000)</f>
        <v>616648.69033042912</v>
      </c>
      <c r="AJ31" s="300">
        <f>('Summary Table'!AG19*1000)</f>
        <v>634849.15679760918</v>
      </c>
      <c r="AK31" s="300">
        <f>('Summary Table'!AH19*1000)</f>
        <v>612778.09150682972</v>
      </c>
      <c r="AL31" s="300">
        <f>('Summary Table'!AI19*1000)</f>
        <v>659305.21463869628</v>
      </c>
      <c r="AM31" s="315"/>
      <c r="AN31" s="315"/>
    </row>
    <row r="32" spans="1:40" ht="12.6">
      <c r="A32" s="990" t="s">
        <v>145</v>
      </c>
      <c r="B32" s="991" t="s">
        <v>132</v>
      </c>
      <c r="C32" s="991"/>
      <c r="D32" s="991" t="s">
        <v>129</v>
      </c>
      <c r="E32" s="991" t="s">
        <v>130</v>
      </c>
      <c r="F32" s="293" t="s">
        <v>106</v>
      </c>
      <c r="G32" s="293" t="s">
        <v>106</v>
      </c>
      <c r="H32" s="293" t="s">
        <v>106</v>
      </c>
      <c r="I32" s="293" t="s">
        <v>106</v>
      </c>
      <c r="J32" s="293" t="s">
        <v>106</v>
      </c>
      <c r="K32" s="293" t="s">
        <v>106</v>
      </c>
      <c r="L32" s="293" t="s">
        <v>106</v>
      </c>
      <c r="M32" s="293" t="s">
        <v>106</v>
      </c>
      <c r="N32" s="293" t="s">
        <v>106</v>
      </c>
      <c r="O32" s="293" t="s">
        <v>106</v>
      </c>
      <c r="P32" s="293" t="s">
        <v>106</v>
      </c>
      <c r="Q32" s="293" t="s">
        <v>106</v>
      </c>
      <c r="R32" s="293" t="s">
        <v>106</v>
      </c>
      <c r="S32" s="293" t="s">
        <v>106</v>
      </c>
      <c r="T32" s="293" t="s">
        <v>106</v>
      </c>
      <c r="U32" s="293" t="s">
        <v>106</v>
      </c>
      <c r="V32" s="293" t="s">
        <v>106</v>
      </c>
      <c r="W32" s="293" t="s">
        <v>106</v>
      </c>
      <c r="X32" s="293" t="s">
        <v>106</v>
      </c>
      <c r="Y32" s="293" t="s">
        <v>106</v>
      </c>
      <c r="Z32" s="293" t="s">
        <v>106</v>
      </c>
      <c r="AA32" s="293" t="s">
        <v>106</v>
      </c>
      <c r="AB32" s="293" t="s">
        <v>106</v>
      </c>
      <c r="AC32" s="293" t="s">
        <v>106</v>
      </c>
      <c r="AD32" s="293" t="s">
        <v>106</v>
      </c>
      <c r="AE32" s="293" t="s">
        <v>106</v>
      </c>
      <c r="AF32" s="293" t="s">
        <v>106</v>
      </c>
      <c r="AG32" s="293" t="s">
        <v>106</v>
      </c>
      <c r="AH32" s="293" t="s">
        <v>106</v>
      </c>
      <c r="AI32" s="293" t="s">
        <v>106</v>
      </c>
      <c r="AJ32" s="293" t="s">
        <v>106</v>
      </c>
      <c r="AK32" s="293" t="s">
        <v>106</v>
      </c>
      <c r="AL32" s="293" t="s">
        <v>106</v>
      </c>
      <c r="AM32" s="315"/>
      <c r="AN32" s="315"/>
    </row>
    <row r="33" spans="1:40" ht="12.6">
      <c r="A33" s="990" t="s">
        <v>146</v>
      </c>
      <c r="B33" s="991" t="s">
        <v>134</v>
      </c>
      <c r="C33" s="991"/>
      <c r="D33" s="315"/>
      <c r="E33" s="315" t="s">
        <v>125</v>
      </c>
      <c r="F33" s="293"/>
      <c r="G33" s="293"/>
      <c r="H33" s="293"/>
      <c r="I33" s="293"/>
      <c r="J33" s="293"/>
      <c r="K33" s="293"/>
      <c r="L33" s="293"/>
      <c r="M33" s="293"/>
      <c r="N33" s="293"/>
      <c r="O33" s="293"/>
      <c r="P33" s="293"/>
      <c r="Q33" s="293"/>
      <c r="R33" s="293"/>
      <c r="S33" s="293"/>
      <c r="T33" s="293"/>
      <c r="U33" s="293"/>
      <c r="V33" s="293"/>
      <c r="W33" s="293"/>
      <c r="X33" s="293"/>
      <c r="Y33" s="293"/>
      <c r="Z33" s="293"/>
      <c r="AA33" s="293"/>
      <c r="AB33" s="293"/>
      <c r="AC33" s="293"/>
      <c r="AD33" s="293"/>
      <c r="AE33" s="293"/>
      <c r="AF33" s="293"/>
      <c r="AG33" s="293"/>
      <c r="AH33" s="293"/>
      <c r="AI33" s="293"/>
      <c r="AJ33" s="293"/>
      <c r="AK33" s="293"/>
      <c r="AL33" s="293"/>
      <c r="AM33" s="315"/>
      <c r="AN33" s="315"/>
    </row>
    <row r="34" spans="1:40" s="792" customFormat="1" ht="12.6">
      <c r="A34" s="989" t="s">
        <v>147</v>
      </c>
      <c r="B34" s="791"/>
      <c r="C34" s="791"/>
      <c r="D34" s="791"/>
      <c r="E34" s="791"/>
      <c r="F34" s="790"/>
      <c r="G34" s="790"/>
      <c r="H34" s="790"/>
      <c r="I34" s="790"/>
      <c r="J34" s="790"/>
      <c r="K34" s="790"/>
      <c r="L34" s="790"/>
      <c r="M34" s="790"/>
      <c r="N34" s="790"/>
      <c r="O34" s="790"/>
      <c r="P34" s="790"/>
      <c r="Q34" s="790"/>
      <c r="R34" s="790"/>
      <c r="S34" s="790"/>
      <c r="T34" s="790"/>
      <c r="U34" s="790"/>
      <c r="V34" s="790"/>
      <c r="W34" s="790"/>
      <c r="X34" s="790"/>
      <c r="Y34" s="790"/>
      <c r="Z34" s="790"/>
      <c r="AA34" s="790"/>
      <c r="AB34" s="790"/>
      <c r="AC34" s="790"/>
      <c r="AD34" s="790"/>
      <c r="AE34" s="790"/>
      <c r="AF34" s="790"/>
      <c r="AG34" s="790"/>
      <c r="AH34" s="790"/>
      <c r="AI34" s="790"/>
      <c r="AJ34" s="790"/>
      <c r="AK34" s="790"/>
      <c r="AL34" s="790"/>
      <c r="AM34" s="791"/>
      <c r="AN34" s="791"/>
    </row>
    <row r="35" spans="1:40" ht="12.6">
      <c r="A35" s="990" t="s">
        <v>148</v>
      </c>
      <c r="B35" s="991" t="s">
        <v>121</v>
      </c>
      <c r="C35" s="991"/>
      <c r="D35" s="315"/>
      <c r="E35" s="991" t="s">
        <v>122</v>
      </c>
      <c r="F35" s="295">
        <f>('1990'!$R$42*1055.05585262)</f>
        <v>55561.06952079085</v>
      </c>
      <c r="G35" s="295">
        <f>('1991'!$R$42*1055.05585262)</f>
        <v>57476.814190863661</v>
      </c>
      <c r="H35" s="295">
        <f>('1992'!$R$42*1055.05585262)</f>
        <v>58094.253267185195</v>
      </c>
      <c r="I35" s="295">
        <f>('1993'!$R$42*1055.05585262)</f>
        <v>60436.326458235177</v>
      </c>
      <c r="J35" s="295">
        <f>('1994'!$R$42*1055.05585262)</f>
        <v>55925.311055417136</v>
      </c>
      <c r="K35" s="295">
        <f>('1995'!$R$42*1055.05585262)</f>
        <v>48159.728282252101</v>
      </c>
      <c r="L35" s="295">
        <f>('1996'!$R$42*1055.05585262)</f>
        <v>51581.120503650265</v>
      </c>
      <c r="M35" s="295">
        <f>('1997'!$R$42*1055.05585262)</f>
        <v>53011.766579509029</v>
      </c>
      <c r="N35" s="295">
        <f>('1998'!$R$42*1055.05585262)</f>
        <v>53183.898765851132</v>
      </c>
      <c r="O35" s="295">
        <f>('1999'!$R$42*1055.05585262)</f>
        <v>53375.031186687876</v>
      </c>
      <c r="P35" s="295">
        <f>('2000'!$R$42*1055.05585262)</f>
        <v>50733.262847272053</v>
      </c>
      <c r="Q35" s="295">
        <f>('2001'!$R$42*1055.05585262)</f>
        <v>49463.757958794995</v>
      </c>
      <c r="R35" s="295">
        <f>('2002'!$R$42*1055.05585262)</f>
        <v>52166.550158692342</v>
      </c>
      <c r="S35" s="295">
        <f>('2003'!$R$42*1055.05585262)</f>
        <v>51925.076516734553</v>
      </c>
      <c r="T35" s="295">
        <f>('2004'!$R$42*1055.05585262)</f>
        <v>53317.295127328747</v>
      </c>
      <c r="U35" s="295">
        <f>('2005'!$R$42*1055.05585262)</f>
        <v>52888.087323471489</v>
      </c>
      <c r="V35" s="295">
        <f>('2006'!$R$42*1055.05585262)</f>
        <v>52442.727490489713</v>
      </c>
      <c r="W35" s="295">
        <f>('2007'!$R$42*1055.05585262)</f>
        <v>52691.779519866395</v>
      </c>
      <c r="X35" s="295">
        <f>('2008'!$R$42*1055.05585262)</f>
        <v>53421.698065531949</v>
      </c>
      <c r="Y35" s="295">
        <f>('2009'!$R$42*1055.05585262)</f>
        <v>54028.92604331921</v>
      </c>
      <c r="Z35" s="295">
        <f>('2010'!$R$42*1055.05585262)</f>
        <v>54786.89301188643</v>
      </c>
      <c r="AA35" s="295">
        <f>('2011'!$R$42*1055.05585262)</f>
        <v>55135.556106778364</v>
      </c>
      <c r="AB35" s="295">
        <f>('2012'!$R$42*1055.05585262)</f>
        <v>56022.406746946312</v>
      </c>
      <c r="AC35" s="295">
        <f>('2013'!$R$42*1055.05585262)</f>
        <v>56786.469464877169</v>
      </c>
      <c r="AD35" s="295">
        <f>('2014'!$R$42*1055.05585262)</f>
        <v>57154.615095043308</v>
      </c>
      <c r="AE35" s="295">
        <f>('2015'!$R$42*1055.05585262)</f>
        <v>57300.891423069719</v>
      </c>
      <c r="AF35" s="295">
        <f>('2016'!$R$42*1055.05585262)</f>
        <v>56970.54033604094</v>
      </c>
      <c r="AG35" s="295">
        <f>('2017'!$R$42*1055.05585262)</f>
        <v>57334.007258421618</v>
      </c>
      <c r="AH35" s="295">
        <f>('2018'!$R$42*1055.05585262)</f>
        <v>57479.296417425707</v>
      </c>
      <c r="AI35" s="295">
        <f>('2019'!$R$42*1055.05585262)</f>
        <v>55699.46909858349</v>
      </c>
      <c r="AJ35" s="295">
        <f>('2020'!$R$42*1055.05585262)</f>
        <v>57200.534788903249</v>
      </c>
      <c r="AK35" s="295">
        <f>('2021'!$R$42*1055.05585262)</f>
        <v>57506.774076819944</v>
      </c>
      <c r="AL35" s="295">
        <f>('2022'!$R$42*1055.05585262)</f>
        <v>57910.540516355759</v>
      </c>
      <c r="AM35" s="315"/>
      <c r="AN35" s="315"/>
    </row>
    <row r="36" spans="1:40" ht="12.6">
      <c r="A36" s="990" t="s">
        <v>149</v>
      </c>
      <c r="B36" s="991" t="s">
        <v>124</v>
      </c>
      <c r="C36" s="991"/>
      <c r="D36" s="315"/>
      <c r="E36" s="315" t="s">
        <v>125</v>
      </c>
      <c r="F36" s="300" t="s">
        <v>126</v>
      </c>
      <c r="G36" s="300" t="s">
        <v>126</v>
      </c>
      <c r="H36" s="300" t="s">
        <v>126</v>
      </c>
      <c r="I36" s="300" t="s">
        <v>126</v>
      </c>
      <c r="J36" s="300" t="s">
        <v>126</v>
      </c>
      <c r="K36" s="300" t="s">
        <v>126</v>
      </c>
      <c r="L36" s="300" t="s">
        <v>126</v>
      </c>
      <c r="M36" s="300" t="s">
        <v>126</v>
      </c>
      <c r="N36" s="300" t="s">
        <v>126</v>
      </c>
      <c r="O36" s="300" t="s">
        <v>126</v>
      </c>
      <c r="P36" s="300" t="s">
        <v>126</v>
      </c>
      <c r="Q36" s="300" t="s">
        <v>126</v>
      </c>
      <c r="R36" s="300" t="s">
        <v>126</v>
      </c>
      <c r="S36" s="300" t="s">
        <v>126</v>
      </c>
      <c r="T36" s="300" t="s">
        <v>126</v>
      </c>
      <c r="U36" s="300" t="s">
        <v>126</v>
      </c>
      <c r="V36" s="300" t="s">
        <v>126</v>
      </c>
      <c r="W36" s="300" t="s">
        <v>126</v>
      </c>
      <c r="X36" s="300" t="s">
        <v>126</v>
      </c>
      <c r="Y36" s="300" t="s">
        <v>126</v>
      </c>
      <c r="Z36" s="300" t="s">
        <v>126</v>
      </c>
      <c r="AA36" s="300" t="s">
        <v>126</v>
      </c>
      <c r="AB36" s="300" t="s">
        <v>126</v>
      </c>
      <c r="AC36" s="300" t="s">
        <v>126</v>
      </c>
      <c r="AD36" s="300" t="s">
        <v>126</v>
      </c>
      <c r="AE36" s="300" t="s">
        <v>126</v>
      </c>
      <c r="AF36" s="300" t="s">
        <v>126</v>
      </c>
      <c r="AG36" s="300" t="s">
        <v>126</v>
      </c>
      <c r="AH36" s="300" t="s">
        <v>126</v>
      </c>
      <c r="AI36" s="300" t="s">
        <v>126</v>
      </c>
      <c r="AJ36" s="300" t="s">
        <v>126</v>
      </c>
      <c r="AK36" s="300" t="s">
        <v>126</v>
      </c>
      <c r="AL36" s="300" t="s">
        <v>126</v>
      </c>
      <c r="AM36" s="315"/>
      <c r="AN36" s="315"/>
    </row>
    <row r="37" spans="1:40" ht="12.6">
      <c r="A37" s="990" t="s">
        <v>150</v>
      </c>
      <c r="B37" s="991" t="s">
        <v>128</v>
      </c>
      <c r="C37" s="991"/>
      <c r="D37" s="991" t="s">
        <v>129</v>
      </c>
      <c r="E37" s="991" t="s">
        <v>130</v>
      </c>
      <c r="F37" s="293">
        <f>'Summary Table'!C28*1000</f>
        <v>538.1939189853133</v>
      </c>
      <c r="G37" s="293">
        <f>'Summary Table'!D28*1000</f>
        <v>539.13328761937328</v>
      </c>
      <c r="H37" s="293">
        <f>'Summary Table'!E28*1000</f>
        <v>544.07238576943519</v>
      </c>
      <c r="I37" s="293">
        <f>'Summary Table'!F28*1000</f>
        <v>555.49804438478373</v>
      </c>
      <c r="J37" s="293">
        <f>'Summary Table'!G28*1000</f>
        <v>514.16615280727979</v>
      </c>
      <c r="K37" s="293">
        <f>'Summary Table'!H28*1000</f>
        <v>427.89739562582275</v>
      </c>
      <c r="L37" s="293">
        <f>'Summary Table'!I28*1000</f>
        <v>462.4777429769955</v>
      </c>
      <c r="M37" s="293">
        <f>'Summary Table'!J28*1000</f>
        <v>480.08445222437274</v>
      </c>
      <c r="N37" s="293">
        <f>'Summary Table'!K28*1000</f>
        <v>478.08351702318311</v>
      </c>
      <c r="O37" s="293">
        <f>'Summary Table'!L28*1000</f>
        <v>485.06929832140986</v>
      </c>
      <c r="P37" s="293">
        <f>'Summary Table'!M28*1000</f>
        <v>461.06105539886988</v>
      </c>
      <c r="Q37" s="293">
        <f>'Summary Table'!N28*1000</f>
        <v>449.52386597193896</v>
      </c>
      <c r="R37" s="293">
        <f>'Summary Table'!O28*1000</f>
        <v>468.8139949642254</v>
      </c>
      <c r="S37" s="293">
        <f>'Summary Table'!P28*1000</f>
        <v>466.68759381997495</v>
      </c>
      <c r="T37" s="293">
        <f>'Summary Table'!Q28*1000</f>
        <v>467.34375342683256</v>
      </c>
      <c r="U37" s="293">
        <f>'Summary Table'!R28*1000</f>
        <v>461.01770673125719</v>
      </c>
      <c r="V37" s="293">
        <f>'Summary Table'!S28*1000</f>
        <v>454.93035004951315</v>
      </c>
      <c r="W37" s="293">
        <f>'Summary Table'!T28*1000</f>
        <v>457.9124305993156</v>
      </c>
      <c r="X37" s="293">
        <f>'Summary Table'!U28*1000</f>
        <v>441.86045906642403</v>
      </c>
      <c r="Y37" s="293">
        <f>'Summary Table'!V28*1000</f>
        <v>434.04580842672004</v>
      </c>
      <c r="Z37" s="293">
        <f>'Summary Table'!W28*1000</f>
        <v>426.66894035695202</v>
      </c>
      <c r="AA37" s="293">
        <f>'Summary Table'!X28*1000</f>
        <v>436.09814569027202</v>
      </c>
      <c r="AB37" s="293">
        <f>'Summary Table'!Y28*1000</f>
        <v>437.40649120955999</v>
      </c>
      <c r="AC37" s="293">
        <f>'Summary Table'!Z28*1000</f>
        <v>433.01642728912799</v>
      </c>
      <c r="AD37" s="293">
        <f>'Summary Table'!AA28*1000</f>
        <v>423.29941039188003</v>
      </c>
      <c r="AE37" s="293">
        <f>'Summary Table'!AB28*1000</f>
        <v>414.38842328750405</v>
      </c>
      <c r="AF37" s="293">
        <f>'Summary Table'!AC28*1000</f>
        <v>404.71025909529595</v>
      </c>
      <c r="AG37" s="293">
        <f>'Summary Table'!AD28*1000</f>
        <v>410.67901937868902</v>
      </c>
      <c r="AH37" s="293">
        <f>'Summary Table'!AE28*1000</f>
        <v>404.75222088763195</v>
      </c>
      <c r="AI37" s="293">
        <f>'Summary Table'!AF28*1000</f>
        <v>371.01446085844805</v>
      </c>
      <c r="AJ37" s="293">
        <f>'Summary Table'!AG28*1000</f>
        <v>390.82596898509598</v>
      </c>
      <c r="AK37" s="293">
        <f>'Summary Table'!AH28*1000</f>
        <v>377.01789288105601</v>
      </c>
      <c r="AL37" s="293">
        <f>'Summary Table'!AI28*1000</f>
        <v>380.55713481468001</v>
      </c>
      <c r="AM37" s="315"/>
      <c r="AN37" s="315"/>
    </row>
    <row r="38" spans="1:40" ht="12.6">
      <c r="A38" s="990" t="s">
        <v>151</v>
      </c>
      <c r="B38" s="991" t="s">
        <v>132</v>
      </c>
      <c r="C38" s="991"/>
      <c r="D38" s="991" t="s">
        <v>129</v>
      </c>
      <c r="E38" s="991" t="s">
        <v>130</v>
      </c>
      <c r="F38" s="293" t="s">
        <v>106</v>
      </c>
      <c r="G38" s="293" t="s">
        <v>106</v>
      </c>
      <c r="H38" s="293" t="s">
        <v>106</v>
      </c>
      <c r="I38" s="293" t="s">
        <v>106</v>
      </c>
      <c r="J38" s="293" t="s">
        <v>106</v>
      </c>
      <c r="K38" s="293" t="s">
        <v>106</v>
      </c>
      <c r="L38" s="293" t="s">
        <v>106</v>
      </c>
      <c r="M38" s="293" t="s">
        <v>106</v>
      </c>
      <c r="N38" s="293" t="s">
        <v>106</v>
      </c>
      <c r="O38" s="293" t="s">
        <v>106</v>
      </c>
      <c r="P38" s="293" t="s">
        <v>106</v>
      </c>
      <c r="Q38" s="293" t="s">
        <v>106</v>
      </c>
      <c r="R38" s="293" t="s">
        <v>106</v>
      </c>
      <c r="S38" s="293" t="s">
        <v>106</v>
      </c>
      <c r="T38" s="293" t="s">
        <v>106</v>
      </c>
      <c r="U38" s="293" t="s">
        <v>106</v>
      </c>
      <c r="V38" s="293" t="s">
        <v>106</v>
      </c>
      <c r="W38" s="293" t="s">
        <v>106</v>
      </c>
      <c r="X38" s="293" t="s">
        <v>106</v>
      </c>
      <c r="Y38" s="293" t="s">
        <v>106</v>
      </c>
      <c r="Z38" s="293" t="s">
        <v>106</v>
      </c>
      <c r="AA38" s="293" t="s">
        <v>106</v>
      </c>
      <c r="AB38" s="293" t="s">
        <v>106</v>
      </c>
      <c r="AC38" s="293" t="s">
        <v>106</v>
      </c>
      <c r="AD38" s="293" t="s">
        <v>106</v>
      </c>
      <c r="AE38" s="293" t="s">
        <v>106</v>
      </c>
      <c r="AF38" s="293" t="s">
        <v>106</v>
      </c>
      <c r="AG38" s="293" t="s">
        <v>106</v>
      </c>
      <c r="AH38" s="293" t="s">
        <v>106</v>
      </c>
      <c r="AI38" s="293" t="s">
        <v>106</v>
      </c>
      <c r="AJ38" s="293" t="s">
        <v>106</v>
      </c>
      <c r="AK38" s="293" t="s">
        <v>106</v>
      </c>
      <c r="AL38" s="293" t="s">
        <v>106</v>
      </c>
      <c r="AM38" s="315"/>
      <c r="AN38" s="315"/>
    </row>
    <row r="39" spans="1:40" ht="12.6">
      <c r="A39" s="990" t="s">
        <v>152</v>
      </c>
      <c r="B39" s="991" t="s">
        <v>134</v>
      </c>
      <c r="D39" s="315"/>
      <c r="E39" s="315"/>
      <c r="F39" s="793" t="s">
        <v>153</v>
      </c>
      <c r="G39" s="793" t="s">
        <v>153</v>
      </c>
      <c r="H39" s="793" t="s">
        <v>153</v>
      </c>
      <c r="I39" s="793" t="s">
        <v>153</v>
      </c>
      <c r="J39" s="793" t="s">
        <v>153</v>
      </c>
      <c r="K39" s="793" t="s">
        <v>153</v>
      </c>
      <c r="L39" s="793" t="s">
        <v>153</v>
      </c>
      <c r="M39" s="793" t="s">
        <v>153</v>
      </c>
      <c r="N39" s="793" t="s">
        <v>153</v>
      </c>
      <c r="O39" s="793" t="s">
        <v>153</v>
      </c>
      <c r="P39" s="793" t="s">
        <v>153</v>
      </c>
      <c r="Q39" s="793" t="s">
        <v>153</v>
      </c>
      <c r="R39" s="793" t="s">
        <v>153</v>
      </c>
      <c r="S39" s="793" t="s">
        <v>153</v>
      </c>
      <c r="T39" s="793" t="s">
        <v>153</v>
      </c>
      <c r="U39" s="793" t="s">
        <v>153</v>
      </c>
      <c r="V39" s="793" t="s">
        <v>153</v>
      </c>
      <c r="W39" s="793" t="s">
        <v>153</v>
      </c>
      <c r="X39" s="793" t="s">
        <v>153</v>
      </c>
      <c r="Y39" s="793" t="s">
        <v>153</v>
      </c>
      <c r="Z39" s="793" t="s">
        <v>153</v>
      </c>
      <c r="AA39" s="793" t="s">
        <v>153</v>
      </c>
      <c r="AB39" s="793" t="s">
        <v>153</v>
      </c>
      <c r="AC39" s="793" t="s">
        <v>153</v>
      </c>
      <c r="AD39" s="793" t="s">
        <v>153</v>
      </c>
      <c r="AE39" s="793" t="s">
        <v>153</v>
      </c>
      <c r="AF39" s="793" t="s">
        <v>153</v>
      </c>
      <c r="AG39" s="793" t="s">
        <v>153</v>
      </c>
      <c r="AH39" s="793" t="s">
        <v>153</v>
      </c>
      <c r="AI39" s="793" t="s">
        <v>153</v>
      </c>
      <c r="AJ39" s="793" t="s">
        <v>153</v>
      </c>
      <c r="AK39" s="793" t="s">
        <v>153</v>
      </c>
      <c r="AL39" s="793" t="s">
        <v>153</v>
      </c>
      <c r="AM39" s="315"/>
      <c r="AN39" s="315"/>
    </row>
    <row r="40" spans="1:40" s="792" customFormat="1" ht="12.6">
      <c r="A40" s="989" t="s">
        <v>154</v>
      </c>
      <c r="B40" s="791"/>
      <c r="C40" s="791"/>
      <c r="D40" s="791"/>
      <c r="E40" s="791"/>
      <c r="F40" s="790"/>
      <c r="G40" s="790"/>
      <c r="H40" s="790"/>
      <c r="I40" s="790"/>
      <c r="J40" s="790"/>
      <c r="K40" s="790"/>
      <c r="L40" s="790"/>
      <c r="M40" s="790"/>
      <c r="N40" s="790"/>
      <c r="O40" s="790"/>
      <c r="P40" s="790"/>
      <c r="Q40" s="790"/>
      <c r="R40" s="790"/>
      <c r="S40" s="790"/>
      <c r="T40" s="790"/>
      <c r="U40" s="790"/>
      <c r="V40" s="790"/>
      <c r="W40" s="790"/>
      <c r="X40" s="790"/>
      <c r="Y40" s="790"/>
      <c r="Z40" s="790"/>
      <c r="AA40" s="790"/>
      <c r="AB40" s="790"/>
      <c r="AC40" s="790"/>
      <c r="AD40" s="790"/>
      <c r="AE40" s="790"/>
      <c r="AF40" s="790"/>
      <c r="AG40" s="790"/>
      <c r="AH40" s="790"/>
      <c r="AI40" s="790"/>
      <c r="AJ40" s="790"/>
      <c r="AK40" s="790"/>
      <c r="AL40" s="790"/>
      <c r="AM40" s="791"/>
      <c r="AN40" s="791"/>
    </row>
    <row r="41" spans="1:40" ht="12.6">
      <c r="A41" s="990" t="s">
        <v>155</v>
      </c>
      <c r="B41" s="991" t="s">
        <v>121</v>
      </c>
      <c r="C41" s="991"/>
      <c r="D41" s="315"/>
      <c r="E41" s="991" t="s">
        <v>122</v>
      </c>
      <c r="F41" s="300" t="s">
        <v>108</v>
      </c>
      <c r="G41" s="300" t="s">
        <v>108</v>
      </c>
      <c r="H41" s="300" t="s">
        <v>108</v>
      </c>
      <c r="I41" s="300" t="s">
        <v>108</v>
      </c>
      <c r="J41" s="300" t="s">
        <v>108</v>
      </c>
      <c r="K41" s="300" t="s">
        <v>108</v>
      </c>
      <c r="L41" s="300" t="s">
        <v>108</v>
      </c>
      <c r="M41" s="300" t="s">
        <v>108</v>
      </c>
      <c r="N41" s="300" t="s">
        <v>108</v>
      </c>
      <c r="O41" s="300" t="s">
        <v>108</v>
      </c>
      <c r="P41" s="300" t="s">
        <v>108</v>
      </c>
      <c r="Q41" s="300" t="s">
        <v>108</v>
      </c>
      <c r="R41" s="300" t="s">
        <v>108</v>
      </c>
      <c r="S41" s="300" t="s">
        <v>108</v>
      </c>
      <c r="T41" s="300" t="s">
        <v>108</v>
      </c>
      <c r="U41" s="300" t="s">
        <v>108</v>
      </c>
      <c r="V41" s="300" t="s">
        <v>108</v>
      </c>
      <c r="W41" s="300" t="s">
        <v>108</v>
      </c>
      <c r="X41" s="300" t="s">
        <v>108</v>
      </c>
      <c r="Y41" s="300" t="s">
        <v>108</v>
      </c>
      <c r="Z41" s="300" t="s">
        <v>108</v>
      </c>
      <c r="AA41" s="300" t="s">
        <v>108</v>
      </c>
      <c r="AB41" s="300" t="s">
        <v>108</v>
      </c>
      <c r="AC41" s="300" t="s">
        <v>108</v>
      </c>
      <c r="AD41" s="300" t="s">
        <v>108</v>
      </c>
      <c r="AE41" s="300" t="s">
        <v>108</v>
      </c>
      <c r="AF41" s="300" t="s">
        <v>108</v>
      </c>
      <c r="AG41" s="300" t="s">
        <v>108</v>
      </c>
      <c r="AH41" s="300" t="s">
        <v>108</v>
      </c>
      <c r="AI41" s="300" t="s">
        <v>108</v>
      </c>
      <c r="AJ41" s="300" t="s">
        <v>108</v>
      </c>
      <c r="AK41" s="300" t="s">
        <v>108</v>
      </c>
      <c r="AL41" s="300" t="s">
        <v>108</v>
      </c>
      <c r="AM41" s="315"/>
      <c r="AN41" s="315"/>
    </row>
    <row r="42" spans="1:40" ht="12.6">
      <c r="A42" s="990" t="s">
        <v>156</v>
      </c>
      <c r="B42" s="991" t="s">
        <v>124</v>
      </c>
      <c r="C42" s="991"/>
      <c r="D42" s="315"/>
      <c r="E42" s="315" t="s">
        <v>125</v>
      </c>
      <c r="F42" s="300" t="s">
        <v>126</v>
      </c>
      <c r="G42" s="300" t="s">
        <v>126</v>
      </c>
      <c r="H42" s="300" t="s">
        <v>126</v>
      </c>
      <c r="I42" s="300" t="s">
        <v>126</v>
      </c>
      <c r="J42" s="300" t="s">
        <v>126</v>
      </c>
      <c r="K42" s="300" t="s">
        <v>126</v>
      </c>
      <c r="L42" s="300" t="s">
        <v>126</v>
      </c>
      <c r="M42" s="300" t="s">
        <v>126</v>
      </c>
      <c r="N42" s="300" t="s">
        <v>126</v>
      </c>
      <c r="O42" s="300" t="s">
        <v>126</v>
      </c>
      <c r="P42" s="300" t="s">
        <v>126</v>
      </c>
      <c r="Q42" s="300" t="s">
        <v>126</v>
      </c>
      <c r="R42" s="300" t="s">
        <v>126</v>
      </c>
      <c r="S42" s="300" t="s">
        <v>126</v>
      </c>
      <c r="T42" s="300" t="s">
        <v>126</v>
      </c>
      <c r="U42" s="300" t="s">
        <v>126</v>
      </c>
      <c r="V42" s="300" t="s">
        <v>126</v>
      </c>
      <c r="W42" s="300" t="s">
        <v>126</v>
      </c>
      <c r="X42" s="300" t="s">
        <v>126</v>
      </c>
      <c r="Y42" s="300" t="s">
        <v>126</v>
      </c>
      <c r="Z42" s="300" t="s">
        <v>126</v>
      </c>
      <c r="AA42" s="300" t="s">
        <v>126</v>
      </c>
      <c r="AB42" s="300" t="s">
        <v>126</v>
      </c>
      <c r="AC42" s="300" t="s">
        <v>126</v>
      </c>
      <c r="AD42" s="300" t="s">
        <v>126</v>
      </c>
      <c r="AE42" s="300" t="s">
        <v>126</v>
      </c>
      <c r="AF42" s="300" t="s">
        <v>126</v>
      </c>
      <c r="AG42" s="300" t="s">
        <v>126</v>
      </c>
      <c r="AH42" s="300" t="s">
        <v>126</v>
      </c>
      <c r="AI42" s="300" t="s">
        <v>126</v>
      </c>
      <c r="AJ42" s="300" t="s">
        <v>126</v>
      </c>
      <c r="AK42" s="300" t="s">
        <v>126</v>
      </c>
      <c r="AL42" s="300" t="s">
        <v>126</v>
      </c>
      <c r="AM42" s="315"/>
      <c r="AN42" s="315"/>
    </row>
    <row r="43" spans="1:40" ht="12.6">
      <c r="A43" s="990" t="s">
        <v>157</v>
      </c>
      <c r="B43" s="991" t="s">
        <v>128</v>
      </c>
      <c r="C43" s="991"/>
      <c r="D43" s="991" t="s">
        <v>129</v>
      </c>
      <c r="E43" s="991" t="s">
        <v>130</v>
      </c>
      <c r="F43" s="300" t="s">
        <v>108</v>
      </c>
      <c r="G43" s="300" t="s">
        <v>108</v>
      </c>
      <c r="H43" s="300" t="s">
        <v>108</v>
      </c>
      <c r="I43" s="300" t="s">
        <v>108</v>
      </c>
      <c r="J43" s="300" t="s">
        <v>108</v>
      </c>
      <c r="K43" s="300" t="s">
        <v>108</v>
      </c>
      <c r="L43" s="300" t="s">
        <v>108</v>
      </c>
      <c r="M43" s="300" t="s">
        <v>108</v>
      </c>
      <c r="N43" s="300" t="s">
        <v>108</v>
      </c>
      <c r="O43" s="300" t="s">
        <v>108</v>
      </c>
      <c r="P43" s="300" t="s">
        <v>108</v>
      </c>
      <c r="Q43" s="300" t="s">
        <v>108</v>
      </c>
      <c r="R43" s="300" t="s">
        <v>108</v>
      </c>
      <c r="S43" s="300" t="s">
        <v>108</v>
      </c>
      <c r="T43" s="300" t="s">
        <v>108</v>
      </c>
      <c r="U43" s="300" t="s">
        <v>108</v>
      </c>
      <c r="V43" s="300" t="s">
        <v>108</v>
      </c>
      <c r="W43" s="300" t="s">
        <v>108</v>
      </c>
      <c r="X43" s="300" t="s">
        <v>108</v>
      </c>
      <c r="Y43" s="300" t="s">
        <v>108</v>
      </c>
      <c r="Z43" s="300" t="s">
        <v>108</v>
      </c>
      <c r="AA43" s="300" t="s">
        <v>108</v>
      </c>
      <c r="AB43" s="300" t="s">
        <v>108</v>
      </c>
      <c r="AC43" s="300" t="s">
        <v>108</v>
      </c>
      <c r="AD43" s="300" t="s">
        <v>108</v>
      </c>
      <c r="AE43" s="300" t="s">
        <v>108</v>
      </c>
      <c r="AF43" s="300" t="s">
        <v>108</v>
      </c>
      <c r="AG43" s="300" t="s">
        <v>108</v>
      </c>
      <c r="AH43" s="300" t="s">
        <v>108</v>
      </c>
      <c r="AI43" s="300" t="s">
        <v>108</v>
      </c>
      <c r="AJ43" s="300" t="s">
        <v>108</v>
      </c>
      <c r="AK43" s="300" t="s">
        <v>108</v>
      </c>
      <c r="AL43" s="300" t="s">
        <v>108</v>
      </c>
      <c r="AM43" s="315"/>
      <c r="AN43" s="315"/>
    </row>
    <row r="44" spans="1:40" ht="12.6">
      <c r="A44" s="990" t="s">
        <v>158</v>
      </c>
      <c r="B44" s="991" t="s">
        <v>132</v>
      </c>
      <c r="C44" s="991"/>
      <c r="D44" s="991" t="s">
        <v>129</v>
      </c>
      <c r="E44" s="991" t="s">
        <v>130</v>
      </c>
      <c r="F44" s="794" t="s">
        <v>108</v>
      </c>
      <c r="G44" s="794" t="s">
        <v>108</v>
      </c>
      <c r="H44" s="794" t="s">
        <v>108</v>
      </c>
      <c r="I44" s="794" t="s">
        <v>108</v>
      </c>
      <c r="J44" s="794" t="s">
        <v>108</v>
      </c>
      <c r="K44" s="794" t="s">
        <v>108</v>
      </c>
      <c r="L44" s="794" t="s">
        <v>108</v>
      </c>
      <c r="M44" s="794" t="s">
        <v>108</v>
      </c>
      <c r="N44" s="794" t="s">
        <v>108</v>
      </c>
      <c r="O44" s="794" t="s">
        <v>108</v>
      </c>
      <c r="P44" s="794" t="s">
        <v>108</v>
      </c>
      <c r="Q44" s="794" t="s">
        <v>108</v>
      </c>
      <c r="R44" s="794" t="s">
        <v>108</v>
      </c>
      <c r="S44" s="794" t="s">
        <v>108</v>
      </c>
      <c r="T44" s="794" t="s">
        <v>108</v>
      </c>
      <c r="U44" s="794" t="s">
        <v>108</v>
      </c>
      <c r="V44" s="794" t="s">
        <v>108</v>
      </c>
      <c r="W44" s="794" t="s">
        <v>108</v>
      </c>
      <c r="X44" s="794" t="s">
        <v>108</v>
      </c>
      <c r="Y44" s="794" t="s">
        <v>108</v>
      </c>
      <c r="Z44" s="794" t="s">
        <v>108</v>
      </c>
      <c r="AA44" s="794" t="s">
        <v>108</v>
      </c>
      <c r="AB44" s="794" t="s">
        <v>108</v>
      </c>
      <c r="AC44" s="794" t="s">
        <v>108</v>
      </c>
      <c r="AD44" s="794" t="s">
        <v>108</v>
      </c>
      <c r="AE44" s="794" t="s">
        <v>108</v>
      </c>
      <c r="AF44" s="794" t="s">
        <v>108</v>
      </c>
      <c r="AG44" s="794" t="s">
        <v>108</v>
      </c>
      <c r="AH44" s="794" t="s">
        <v>108</v>
      </c>
      <c r="AI44" s="794" t="s">
        <v>108</v>
      </c>
      <c r="AJ44" s="794" t="s">
        <v>108</v>
      </c>
      <c r="AK44" s="794" t="s">
        <v>108</v>
      </c>
      <c r="AL44" s="794" t="s">
        <v>108</v>
      </c>
      <c r="AM44" s="315"/>
      <c r="AN44" s="315"/>
    </row>
    <row r="45" spans="1:40" ht="12.6">
      <c r="A45" s="990" t="s">
        <v>159</v>
      </c>
      <c r="B45" s="991" t="s">
        <v>134</v>
      </c>
      <c r="C45" s="991"/>
      <c r="D45" s="315"/>
      <c r="E45" s="315" t="s">
        <v>125</v>
      </c>
      <c r="F45" s="293"/>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293"/>
      <c r="AF45" s="293"/>
      <c r="AG45" s="293"/>
      <c r="AH45" s="293"/>
      <c r="AI45" s="293"/>
      <c r="AJ45" s="293"/>
      <c r="AK45" s="293"/>
      <c r="AL45" s="293"/>
      <c r="AM45" s="315"/>
      <c r="AN45" s="315"/>
    </row>
    <row r="46" spans="1:40" s="792" customFormat="1" ht="14.25" customHeight="1">
      <c r="A46" s="992" t="s">
        <v>160</v>
      </c>
      <c r="B46" s="791"/>
      <c r="C46" s="791"/>
      <c r="D46" s="791"/>
      <c r="E46" s="791"/>
      <c r="F46" s="790"/>
      <c r="G46" s="790"/>
      <c r="H46" s="790"/>
      <c r="I46" s="790"/>
      <c r="J46" s="790"/>
      <c r="K46" s="790"/>
      <c r="L46" s="790"/>
      <c r="M46" s="790"/>
      <c r="N46" s="790"/>
      <c r="O46" s="790"/>
      <c r="P46" s="790"/>
      <c r="Q46" s="790"/>
      <c r="R46" s="790"/>
      <c r="S46" s="790"/>
      <c r="T46" s="790"/>
      <c r="U46" s="790"/>
      <c r="V46" s="790"/>
      <c r="W46" s="790"/>
      <c r="X46" s="790"/>
      <c r="Y46" s="790"/>
      <c r="Z46" s="790"/>
      <c r="AA46" s="790"/>
      <c r="AB46" s="790"/>
      <c r="AC46" s="790"/>
      <c r="AD46" s="790"/>
      <c r="AE46" s="790"/>
      <c r="AF46" s="790"/>
      <c r="AG46" s="790"/>
      <c r="AH46" s="790"/>
      <c r="AI46" s="790"/>
      <c r="AJ46" s="790"/>
      <c r="AK46" s="790"/>
      <c r="AL46" s="790"/>
      <c r="AM46" s="791"/>
      <c r="AN46" s="791"/>
    </row>
    <row r="47" spans="1:40" s="792" customFormat="1" ht="12.6">
      <c r="A47" s="989" t="s">
        <v>161</v>
      </c>
      <c r="B47" s="791"/>
      <c r="C47" s="791"/>
      <c r="D47" s="791"/>
      <c r="E47" s="791"/>
      <c r="F47" s="790"/>
      <c r="G47" s="790"/>
      <c r="H47" s="790"/>
      <c r="I47" s="790"/>
      <c r="J47" s="790"/>
      <c r="K47" s="790"/>
      <c r="L47" s="790"/>
      <c r="M47" s="790"/>
      <c r="N47" s="790"/>
      <c r="O47" s="790"/>
      <c r="P47" s="790"/>
      <c r="Q47" s="790"/>
      <c r="R47" s="790"/>
      <c r="S47" s="790"/>
      <c r="T47" s="790"/>
      <c r="U47" s="790"/>
      <c r="V47" s="790"/>
      <c r="W47" s="790"/>
      <c r="X47" s="790"/>
      <c r="Y47" s="790"/>
      <c r="Z47" s="790"/>
      <c r="AA47" s="790"/>
      <c r="AB47" s="790"/>
      <c r="AC47" s="790"/>
      <c r="AD47" s="790"/>
      <c r="AE47" s="790"/>
      <c r="AF47" s="790"/>
      <c r="AG47" s="790"/>
      <c r="AH47" s="790"/>
      <c r="AI47" s="790"/>
      <c r="AJ47" s="790"/>
      <c r="AK47" s="790"/>
      <c r="AL47" s="790"/>
      <c r="AM47" s="791"/>
      <c r="AN47" s="791"/>
    </row>
    <row r="48" spans="1:40" ht="12.6">
      <c r="A48" s="990" t="s">
        <v>162</v>
      </c>
      <c r="B48" s="991" t="s">
        <v>121</v>
      </c>
      <c r="C48" s="991"/>
      <c r="D48" s="315"/>
      <c r="E48" s="991" t="s">
        <v>122</v>
      </c>
      <c r="F48" s="300" t="s">
        <v>99</v>
      </c>
      <c r="G48" s="300" t="s">
        <v>99</v>
      </c>
      <c r="H48" s="300" t="s">
        <v>99</v>
      </c>
      <c r="I48" s="300" t="s">
        <v>99</v>
      </c>
      <c r="J48" s="300" t="s">
        <v>99</v>
      </c>
      <c r="K48" s="300" t="s">
        <v>99</v>
      </c>
      <c r="L48" s="300" t="s">
        <v>99</v>
      </c>
      <c r="M48" s="300" t="s">
        <v>99</v>
      </c>
      <c r="N48" s="300" t="s">
        <v>99</v>
      </c>
      <c r="O48" s="300" t="s">
        <v>99</v>
      </c>
      <c r="P48" s="300" t="s">
        <v>99</v>
      </c>
      <c r="Q48" s="300" t="s">
        <v>99</v>
      </c>
      <c r="R48" s="300" t="s">
        <v>99</v>
      </c>
      <c r="S48" s="300" t="s">
        <v>99</v>
      </c>
      <c r="T48" s="300" t="s">
        <v>99</v>
      </c>
      <c r="U48" s="300" t="s">
        <v>99</v>
      </c>
      <c r="V48" s="300" t="s">
        <v>99</v>
      </c>
      <c r="W48" s="300" t="s">
        <v>99</v>
      </c>
      <c r="X48" s="300" t="s">
        <v>99</v>
      </c>
      <c r="Y48" s="300" t="s">
        <v>99</v>
      </c>
      <c r="Z48" s="300" t="s">
        <v>99</v>
      </c>
      <c r="AA48" s="300" t="s">
        <v>99</v>
      </c>
      <c r="AB48" s="300" t="s">
        <v>99</v>
      </c>
      <c r="AC48" s="300" t="s">
        <v>99</v>
      </c>
      <c r="AD48" s="300" t="s">
        <v>99</v>
      </c>
      <c r="AE48" s="300" t="s">
        <v>99</v>
      </c>
      <c r="AF48" s="300" t="s">
        <v>99</v>
      </c>
      <c r="AG48" s="300" t="s">
        <v>99</v>
      </c>
      <c r="AH48" s="300" t="s">
        <v>99</v>
      </c>
      <c r="AI48" s="300" t="s">
        <v>99</v>
      </c>
      <c r="AJ48" s="300" t="s">
        <v>99</v>
      </c>
      <c r="AK48" s="300" t="s">
        <v>99</v>
      </c>
      <c r="AL48" s="300" t="s">
        <v>99</v>
      </c>
      <c r="AM48" s="344" t="s">
        <v>163</v>
      </c>
      <c r="AN48" s="344"/>
    </row>
    <row r="49" spans="1:40" ht="12.6">
      <c r="A49" s="990" t="s">
        <v>164</v>
      </c>
      <c r="B49" s="991" t="s">
        <v>124</v>
      </c>
      <c r="C49" s="991"/>
      <c r="D49" s="315"/>
      <c r="E49" s="315" t="s">
        <v>125</v>
      </c>
      <c r="F49" s="300" t="s">
        <v>126</v>
      </c>
      <c r="G49" s="300" t="s">
        <v>126</v>
      </c>
      <c r="H49" s="300" t="s">
        <v>126</v>
      </c>
      <c r="I49" s="300" t="s">
        <v>126</v>
      </c>
      <c r="J49" s="300" t="s">
        <v>126</v>
      </c>
      <c r="K49" s="300" t="s">
        <v>126</v>
      </c>
      <c r="L49" s="300" t="s">
        <v>126</v>
      </c>
      <c r="M49" s="300" t="s">
        <v>126</v>
      </c>
      <c r="N49" s="300" t="s">
        <v>126</v>
      </c>
      <c r="O49" s="300" t="s">
        <v>126</v>
      </c>
      <c r="P49" s="300" t="s">
        <v>126</v>
      </c>
      <c r="Q49" s="300" t="s">
        <v>126</v>
      </c>
      <c r="R49" s="300" t="s">
        <v>126</v>
      </c>
      <c r="S49" s="300" t="s">
        <v>126</v>
      </c>
      <c r="T49" s="300" t="s">
        <v>126</v>
      </c>
      <c r="U49" s="300" t="s">
        <v>126</v>
      </c>
      <c r="V49" s="300" t="s">
        <v>126</v>
      </c>
      <c r="W49" s="300" t="s">
        <v>126</v>
      </c>
      <c r="X49" s="300" t="s">
        <v>126</v>
      </c>
      <c r="Y49" s="300" t="s">
        <v>126</v>
      </c>
      <c r="Z49" s="300" t="s">
        <v>126</v>
      </c>
      <c r="AA49" s="300" t="s">
        <v>126</v>
      </c>
      <c r="AB49" s="300" t="s">
        <v>126</v>
      </c>
      <c r="AC49" s="300" t="s">
        <v>126</v>
      </c>
      <c r="AD49" s="300" t="s">
        <v>126</v>
      </c>
      <c r="AE49" s="300" t="s">
        <v>126</v>
      </c>
      <c r="AF49" s="300" t="s">
        <v>126</v>
      </c>
      <c r="AG49" s="300" t="s">
        <v>126</v>
      </c>
      <c r="AH49" s="300" t="s">
        <v>126</v>
      </c>
      <c r="AI49" s="300" t="s">
        <v>126</v>
      </c>
      <c r="AJ49" s="300" t="s">
        <v>126</v>
      </c>
      <c r="AK49" s="300" t="s">
        <v>126</v>
      </c>
      <c r="AL49" s="300" t="s">
        <v>126</v>
      </c>
      <c r="AM49" s="315"/>
      <c r="AN49" s="315"/>
    </row>
    <row r="50" spans="1:40" ht="12.6">
      <c r="A50" s="990" t="s">
        <v>165</v>
      </c>
      <c r="B50" s="991" t="s">
        <v>128</v>
      </c>
      <c r="C50" s="991"/>
      <c r="D50" s="991" t="s">
        <v>129</v>
      </c>
      <c r="E50" s="991" t="s">
        <v>130</v>
      </c>
      <c r="F50" s="300" t="s">
        <v>99</v>
      </c>
      <c r="G50" s="300" t="s">
        <v>99</v>
      </c>
      <c r="H50" s="300" t="s">
        <v>99</v>
      </c>
      <c r="I50" s="300" t="s">
        <v>99</v>
      </c>
      <c r="J50" s="300" t="s">
        <v>99</v>
      </c>
      <c r="K50" s="300" t="s">
        <v>99</v>
      </c>
      <c r="L50" s="300" t="s">
        <v>99</v>
      </c>
      <c r="M50" s="300" t="s">
        <v>99</v>
      </c>
      <c r="N50" s="300" t="s">
        <v>99</v>
      </c>
      <c r="O50" s="300" t="s">
        <v>99</v>
      </c>
      <c r="P50" s="300" t="s">
        <v>99</v>
      </c>
      <c r="Q50" s="300" t="s">
        <v>99</v>
      </c>
      <c r="R50" s="300" t="s">
        <v>99</v>
      </c>
      <c r="S50" s="300" t="s">
        <v>99</v>
      </c>
      <c r="T50" s="300" t="s">
        <v>99</v>
      </c>
      <c r="U50" s="300" t="s">
        <v>99</v>
      </c>
      <c r="V50" s="300" t="s">
        <v>99</v>
      </c>
      <c r="W50" s="300" t="s">
        <v>99</v>
      </c>
      <c r="X50" s="300" t="s">
        <v>99</v>
      </c>
      <c r="Y50" s="300" t="s">
        <v>99</v>
      </c>
      <c r="Z50" s="300" t="s">
        <v>99</v>
      </c>
      <c r="AA50" s="300" t="s">
        <v>99</v>
      </c>
      <c r="AB50" s="300" t="s">
        <v>99</v>
      </c>
      <c r="AC50" s="300" t="s">
        <v>99</v>
      </c>
      <c r="AD50" s="300" t="s">
        <v>99</v>
      </c>
      <c r="AE50" s="300" t="s">
        <v>99</v>
      </c>
      <c r="AF50" s="300" t="s">
        <v>99</v>
      </c>
      <c r="AG50" s="300" t="s">
        <v>99</v>
      </c>
      <c r="AH50" s="300" t="s">
        <v>99</v>
      </c>
      <c r="AI50" s="300" t="s">
        <v>99</v>
      </c>
      <c r="AJ50" s="300" t="s">
        <v>99</v>
      </c>
      <c r="AK50" s="300" t="s">
        <v>99</v>
      </c>
      <c r="AL50" s="300" t="s">
        <v>99</v>
      </c>
      <c r="AM50" s="344" t="s">
        <v>163</v>
      </c>
      <c r="AN50" s="344"/>
    </row>
    <row r="51" spans="1:40" ht="12.6">
      <c r="A51" s="990" t="s">
        <v>166</v>
      </c>
      <c r="B51" s="991" t="s">
        <v>132</v>
      </c>
      <c r="C51" s="991"/>
      <c r="D51" s="991" t="s">
        <v>129</v>
      </c>
      <c r="E51" s="991" t="s">
        <v>130</v>
      </c>
      <c r="F51" s="293" t="s">
        <v>106</v>
      </c>
      <c r="G51" s="293" t="s">
        <v>106</v>
      </c>
      <c r="H51" s="293" t="s">
        <v>106</v>
      </c>
      <c r="I51" s="293" t="s">
        <v>106</v>
      </c>
      <c r="J51" s="293" t="s">
        <v>106</v>
      </c>
      <c r="K51" s="293" t="s">
        <v>106</v>
      </c>
      <c r="L51" s="293" t="s">
        <v>106</v>
      </c>
      <c r="M51" s="293" t="s">
        <v>106</v>
      </c>
      <c r="N51" s="293" t="s">
        <v>106</v>
      </c>
      <c r="O51" s="293" t="s">
        <v>106</v>
      </c>
      <c r="P51" s="293" t="s">
        <v>106</v>
      </c>
      <c r="Q51" s="293" t="s">
        <v>106</v>
      </c>
      <c r="R51" s="293" t="s">
        <v>106</v>
      </c>
      <c r="S51" s="293" t="s">
        <v>106</v>
      </c>
      <c r="T51" s="293" t="s">
        <v>106</v>
      </c>
      <c r="U51" s="293" t="s">
        <v>106</v>
      </c>
      <c r="V51" s="293" t="s">
        <v>106</v>
      </c>
      <c r="W51" s="293" t="s">
        <v>106</v>
      </c>
      <c r="X51" s="293" t="s">
        <v>106</v>
      </c>
      <c r="Y51" s="293" t="s">
        <v>106</v>
      </c>
      <c r="Z51" s="293" t="s">
        <v>106</v>
      </c>
      <c r="AA51" s="293" t="s">
        <v>106</v>
      </c>
      <c r="AB51" s="293" t="s">
        <v>106</v>
      </c>
      <c r="AC51" s="293" t="s">
        <v>106</v>
      </c>
      <c r="AD51" s="293" t="s">
        <v>106</v>
      </c>
      <c r="AE51" s="293" t="s">
        <v>106</v>
      </c>
      <c r="AF51" s="293" t="s">
        <v>106</v>
      </c>
      <c r="AG51" s="293" t="s">
        <v>106</v>
      </c>
      <c r="AH51" s="293" t="s">
        <v>106</v>
      </c>
      <c r="AI51" s="293" t="s">
        <v>106</v>
      </c>
      <c r="AJ51" s="293" t="s">
        <v>106</v>
      </c>
      <c r="AK51" s="293" t="s">
        <v>106</v>
      </c>
      <c r="AL51" s="293" t="s">
        <v>106</v>
      </c>
      <c r="AM51" s="315"/>
      <c r="AN51" s="315"/>
    </row>
    <row r="52" spans="1:40" ht="12.6">
      <c r="A52" s="990" t="s">
        <v>167</v>
      </c>
      <c r="B52" s="991" t="s">
        <v>134</v>
      </c>
      <c r="C52" s="991"/>
      <c r="D52" s="315"/>
      <c r="E52" s="315" t="s">
        <v>125</v>
      </c>
      <c r="F52" s="293"/>
      <c r="G52" s="293"/>
      <c r="H52" s="293"/>
      <c r="I52" s="293"/>
      <c r="J52" s="293"/>
      <c r="K52" s="293"/>
      <c r="L52" s="293"/>
      <c r="M52" s="293"/>
      <c r="N52" s="293"/>
      <c r="O52" s="293"/>
      <c r="P52" s="293"/>
      <c r="Q52" s="293"/>
      <c r="R52" s="293"/>
      <c r="S52" s="293"/>
      <c r="T52" s="293"/>
      <c r="U52" s="293"/>
      <c r="V52" s="293"/>
      <c r="W52" s="293"/>
      <c r="X52" s="293"/>
      <c r="Y52" s="293"/>
      <c r="Z52" s="293"/>
      <c r="AA52" s="293"/>
      <c r="AB52" s="293"/>
      <c r="AC52" s="293"/>
      <c r="AD52" s="293"/>
      <c r="AE52" s="293"/>
      <c r="AF52" s="293"/>
      <c r="AG52" s="293"/>
      <c r="AH52" s="293"/>
      <c r="AI52" s="293"/>
      <c r="AJ52" s="293"/>
      <c r="AK52" s="293"/>
      <c r="AL52" s="293"/>
      <c r="AM52" s="315"/>
      <c r="AN52" s="315"/>
    </row>
    <row r="53" spans="1:40" s="792" customFormat="1" ht="12.6">
      <c r="A53" s="989" t="s">
        <v>168</v>
      </c>
      <c r="B53" s="791"/>
      <c r="C53" s="791"/>
      <c r="D53" s="791"/>
      <c r="E53" s="791"/>
      <c r="F53" s="790"/>
      <c r="G53" s="790"/>
      <c r="H53" s="790"/>
      <c r="I53" s="790"/>
      <c r="J53" s="790"/>
      <c r="K53" s="790"/>
      <c r="L53" s="790"/>
      <c r="M53" s="790"/>
      <c r="N53" s="790"/>
      <c r="O53" s="790"/>
      <c r="P53" s="790"/>
      <c r="Q53" s="790"/>
      <c r="R53" s="790"/>
      <c r="S53" s="790"/>
      <c r="T53" s="790"/>
      <c r="U53" s="790"/>
      <c r="V53" s="790"/>
      <c r="W53" s="790"/>
      <c r="X53" s="790"/>
      <c r="Y53" s="790"/>
      <c r="Z53" s="790"/>
      <c r="AA53" s="790"/>
      <c r="AB53" s="790"/>
      <c r="AC53" s="790"/>
      <c r="AD53" s="790"/>
      <c r="AE53" s="790"/>
      <c r="AF53" s="790"/>
      <c r="AG53" s="790"/>
      <c r="AH53" s="790"/>
      <c r="AI53" s="790"/>
      <c r="AJ53" s="790"/>
      <c r="AK53" s="790"/>
      <c r="AL53" s="790"/>
      <c r="AM53" s="791"/>
      <c r="AN53" s="791"/>
    </row>
    <row r="54" spans="1:40" ht="12.6">
      <c r="A54" s="990" t="s">
        <v>169</v>
      </c>
      <c r="B54" s="991" t="s">
        <v>121</v>
      </c>
      <c r="C54" s="991"/>
      <c r="D54" s="315"/>
      <c r="E54" s="991" t="s">
        <v>122</v>
      </c>
      <c r="F54" s="300" t="s">
        <v>99</v>
      </c>
      <c r="G54" s="300" t="s">
        <v>99</v>
      </c>
      <c r="H54" s="300" t="s">
        <v>99</v>
      </c>
      <c r="I54" s="300" t="s">
        <v>99</v>
      </c>
      <c r="J54" s="300" t="s">
        <v>99</v>
      </c>
      <c r="K54" s="300" t="s">
        <v>99</v>
      </c>
      <c r="L54" s="300" t="s">
        <v>99</v>
      </c>
      <c r="M54" s="300" t="s">
        <v>99</v>
      </c>
      <c r="N54" s="300" t="s">
        <v>99</v>
      </c>
      <c r="O54" s="300" t="s">
        <v>99</v>
      </c>
      <c r="P54" s="300" t="s">
        <v>99</v>
      </c>
      <c r="Q54" s="300" t="s">
        <v>99</v>
      </c>
      <c r="R54" s="300" t="s">
        <v>99</v>
      </c>
      <c r="S54" s="300" t="s">
        <v>99</v>
      </c>
      <c r="T54" s="300" t="s">
        <v>99</v>
      </c>
      <c r="U54" s="300" t="s">
        <v>99</v>
      </c>
      <c r="V54" s="300" t="s">
        <v>99</v>
      </c>
      <c r="W54" s="300" t="s">
        <v>99</v>
      </c>
      <c r="X54" s="300" t="s">
        <v>99</v>
      </c>
      <c r="Y54" s="300" t="s">
        <v>99</v>
      </c>
      <c r="Z54" s="300" t="s">
        <v>99</v>
      </c>
      <c r="AA54" s="300" t="s">
        <v>99</v>
      </c>
      <c r="AB54" s="300" t="s">
        <v>99</v>
      </c>
      <c r="AC54" s="300" t="s">
        <v>99</v>
      </c>
      <c r="AD54" s="300" t="s">
        <v>99</v>
      </c>
      <c r="AE54" s="300" t="s">
        <v>99</v>
      </c>
      <c r="AF54" s="300" t="s">
        <v>99</v>
      </c>
      <c r="AG54" s="300" t="s">
        <v>99</v>
      </c>
      <c r="AH54" s="300" t="s">
        <v>99</v>
      </c>
      <c r="AI54" s="300" t="s">
        <v>99</v>
      </c>
      <c r="AJ54" s="300" t="s">
        <v>99</v>
      </c>
      <c r="AK54" s="300" t="s">
        <v>99</v>
      </c>
      <c r="AL54" s="300" t="s">
        <v>99</v>
      </c>
      <c r="AM54" s="344" t="s">
        <v>163</v>
      </c>
      <c r="AN54" s="344"/>
    </row>
    <row r="55" spans="1:40" ht="12.6">
      <c r="A55" s="990" t="s">
        <v>170</v>
      </c>
      <c r="B55" s="991" t="s">
        <v>124</v>
      </c>
      <c r="C55" s="991"/>
      <c r="D55" s="315"/>
      <c r="E55" s="315" t="s">
        <v>125</v>
      </c>
      <c r="F55" s="300" t="s">
        <v>126</v>
      </c>
      <c r="G55" s="300" t="s">
        <v>126</v>
      </c>
      <c r="H55" s="300" t="s">
        <v>126</v>
      </c>
      <c r="I55" s="300" t="s">
        <v>126</v>
      </c>
      <c r="J55" s="300" t="s">
        <v>126</v>
      </c>
      <c r="K55" s="300" t="s">
        <v>126</v>
      </c>
      <c r="L55" s="300" t="s">
        <v>126</v>
      </c>
      <c r="M55" s="300" t="s">
        <v>126</v>
      </c>
      <c r="N55" s="300" t="s">
        <v>126</v>
      </c>
      <c r="O55" s="300" t="s">
        <v>126</v>
      </c>
      <c r="P55" s="300" t="s">
        <v>126</v>
      </c>
      <c r="Q55" s="300" t="s">
        <v>126</v>
      </c>
      <c r="R55" s="300" t="s">
        <v>126</v>
      </c>
      <c r="S55" s="300" t="s">
        <v>126</v>
      </c>
      <c r="T55" s="300" t="s">
        <v>126</v>
      </c>
      <c r="U55" s="300" t="s">
        <v>126</v>
      </c>
      <c r="V55" s="300" t="s">
        <v>126</v>
      </c>
      <c r="W55" s="300" t="s">
        <v>126</v>
      </c>
      <c r="X55" s="300" t="s">
        <v>126</v>
      </c>
      <c r="Y55" s="300" t="s">
        <v>126</v>
      </c>
      <c r="Z55" s="300" t="s">
        <v>126</v>
      </c>
      <c r="AA55" s="300" t="s">
        <v>126</v>
      </c>
      <c r="AB55" s="300" t="s">
        <v>126</v>
      </c>
      <c r="AC55" s="300" t="s">
        <v>126</v>
      </c>
      <c r="AD55" s="300" t="s">
        <v>126</v>
      </c>
      <c r="AE55" s="300" t="s">
        <v>126</v>
      </c>
      <c r="AF55" s="300" t="s">
        <v>126</v>
      </c>
      <c r="AG55" s="300" t="s">
        <v>126</v>
      </c>
      <c r="AH55" s="300" t="s">
        <v>126</v>
      </c>
      <c r="AI55" s="300" t="s">
        <v>126</v>
      </c>
      <c r="AJ55" s="300" t="s">
        <v>126</v>
      </c>
      <c r="AK55" s="300" t="s">
        <v>126</v>
      </c>
      <c r="AL55" s="300" t="s">
        <v>126</v>
      </c>
      <c r="AM55" s="315"/>
      <c r="AN55" s="315"/>
    </row>
    <row r="56" spans="1:40" ht="12.6">
      <c r="A56" s="990" t="s">
        <v>171</v>
      </c>
      <c r="B56" s="991" t="s">
        <v>128</v>
      </c>
      <c r="C56" s="991"/>
      <c r="D56" s="991" t="s">
        <v>129</v>
      </c>
      <c r="E56" s="991" t="s">
        <v>130</v>
      </c>
      <c r="F56" s="300" t="s">
        <v>99</v>
      </c>
      <c r="G56" s="300" t="s">
        <v>99</v>
      </c>
      <c r="H56" s="300" t="s">
        <v>99</v>
      </c>
      <c r="I56" s="300" t="s">
        <v>99</v>
      </c>
      <c r="J56" s="300" t="s">
        <v>99</v>
      </c>
      <c r="K56" s="300" t="s">
        <v>99</v>
      </c>
      <c r="L56" s="300" t="s">
        <v>99</v>
      </c>
      <c r="M56" s="300" t="s">
        <v>99</v>
      </c>
      <c r="N56" s="300" t="s">
        <v>99</v>
      </c>
      <c r="O56" s="300" t="s">
        <v>99</v>
      </c>
      <c r="P56" s="300" t="s">
        <v>99</v>
      </c>
      <c r="Q56" s="300" t="s">
        <v>99</v>
      </c>
      <c r="R56" s="300" t="s">
        <v>99</v>
      </c>
      <c r="S56" s="300" t="s">
        <v>99</v>
      </c>
      <c r="T56" s="300" t="s">
        <v>99</v>
      </c>
      <c r="U56" s="300" t="s">
        <v>99</v>
      </c>
      <c r="V56" s="300" t="s">
        <v>99</v>
      </c>
      <c r="W56" s="300" t="s">
        <v>99</v>
      </c>
      <c r="X56" s="300" t="s">
        <v>99</v>
      </c>
      <c r="Y56" s="300" t="s">
        <v>99</v>
      </c>
      <c r="Z56" s="300" t="s">
        <v>99</v>
      </c>
      <c r="AA56" s="300" t="s">
        <v>99</v>
      </c>
      <c r="AB56" s="300" t="s">
        <v>99</v>
      </c>
      <c r="AC56" s="300" t="s">
        <v>99</v>
      </c>
      <c r="AD56" s="300" t="s">
        <v>99</v>
      </c>
      <c r="AE56" s="300" t="s">
        <v>99</v>
      </c>
      <c r="AF56" s="300" t="s">
        <v>99</v>
      </c>
      <c r="AG56" s="300" t="s">
        <v>99</v>
      </c>
      <c r="AH56" s="300" t="s">
        <v>99</v>
      </c>
      <c r="AI56" s="300" t="s">
        <v>99</v>
      </c>
      <c r="AJ56" s="300" t="s">
        <v>99</v>
      </c>
      <c r="AK56" s="300" t="s">
        <v>99</v>
      </c>
      <c r="AL56" s="300" t="s">
        <v>99</v>
      </c>
      <c r="AM56" s="344" t="s">
        <v>163</v>
      </c>
      <c r="AN56" s="344"/>
    </row>
    <row r="57" spans="1:40" ht="12.6">
      <c r="A57" s="990" t="s">
        <v>172</v>
      </c>
      <c r="B57" s="991" t="s">
        <v>132</v>
      </c>
      <c r="C57" s="991"/>
      <c r="D57" s="991" t="s">
        <v>129</v>
      </c>
      <c r="E57" s="991" t="s">
        <v>130</v>
      </c>
      <c r="F57" s="293" t="s">
        <v>106</v>
      </c>
      <c r="G57" s="293" t="s">
        <v>106</v>
      </c>
      <c r="H57" s="293" t="s">
        <v>106</v>
      </c>
      <c r="I57" s="293" t="s">
        <v>106</v>
      </c>
      <c r="J57" s="293" t="s">
        <v>106</v>
      </c>
      <c r="K57" s="293" t="s">
        <v>106</v>
      </c>
      <c r="L57" s="293" t="s">
        <v>106</v>
      </c>
      <c r="M57" s="293" t="s">
        <v>106</v>
      </c>
      <c r="N57" s="293" t="s">
        <v>106</v>
      </c>
      <c r="O57" s="293" t="s">
        <v>106</v>
      </c>
      <c r="P57" s="293" t="s">
        <v>106</v>
      </c>
      <c r="Q57" s="293" t="s">
        <v>106</v>
      </c>
      <c r="R57" s="293" t="s">
        <v>106</v>
      </c>
      <c r="S57" s="293" t="s">
        <v>106</v>
      </c>
      <c r="T57" s="293" t="s">
        <v>106</v>
      </c>
      <c r="U57" s="293" t="s">
        <v>106</v>
      </c>
      <c r="V57" s="293" t="s">
        <v>106</v>
      </c>
      <c r="W57" s="293" t="s">
        <v>106</v>
      </c>
      <c r="X57" s="293" t="s">
        <v>106</v>
      </c>
      <c r="Y57" s="293" t="s">
        <v>106</v>
      </c>
      <c r="Z57" s="293" t="s">
        <v>106</v>
      </c>
      <c r="AA57" s="293" t="s">
        <v>106</v>
      </c>
      <c r="AB57" s="293" t="s">
        <v>106</v>
      </c>
      <c r="AC57" s="293" t="s">
        <v>106</v>
      </c>
      <c r="AD57" s="293" t="s">
        <v>106</v>
      </c>
      <c r="AE57" s="293" t="s">
        <v>106</v>
      </c>
      <c r="AF57" s="293" t="s">
        <v>106</v>
      </c>
      <c r="AG57" s="293" t="s">
        <v>106</v>
      </c>
      <c r="AH57" s="293" t="s">
        <v>106</v>
      </c>
      <c r="AI57" s="293" t="s">
        <v>106</v>
      </c>
      <c r="AJ57" s="293" t="s">
        <v>106</v>
      </c>
      <c r="AK57" s="293" t="s">
        <v>106</v>
      </c>
      <c r="AL57" s="293" t="s">
        <v>106</v>
      </c>
      <c r="AM57" s="315"/>
      <c r="AN57" s="315"/>
    </row>
    <row r="58" spans="1:40" ht="12.6">
      <c r="A58" s="990" t="s">
        <v>173</v>
      </c>
      <c r="B58" s="991" t="s">
        <v>134</v>
      </c>
      <c r="C58" s="991"/>
      <c r="D58" s="315"/>
      <c r="E58" s="315" t="s">
        <v>125</v>
      </c>
      <c r="F58" s="293"/>
      <c r="G58" s="293"/>
      <c r="H58" s="293"/>
      <c r="I58" s="293"/>
      <c r="J58" s="293"/>
      <c r="K58" s="293"/>
      <c r="L58" s="293"/>
      <c r="M58" s="293"/>
      <c r="N58" s="293"/>
      <c r="O58" s="293"/>
      <c r="P58" s="293"/>
      <c r="Q58" s="293"/>
      <c r="R58" s="293"/>
      <c r="S58" s="293"/>
      <c r="T58" s="293"/>
      <c r="U58" s="293"/>
      <c r="V58" s="293"/>
      <c r="W58" s="293"/>
      <c r="X58" s="293"/>
      <c r="Y58" s="293"/>
      <c r="Z58" s="293"/>
      <c r="AA58" s="293"/>
      <c r="AB58" s="293"/>
      <c r="AC58" s="293"/>
      <c r="AD58" s="293"/>
      <c r="AE58" s="293"/>
      <c r="AF58" s="293"/>
      <c r="AG58" s="293"/>
      <c r="AH58" s="293"/>
      <c r="AI58" s="293"/>
      <c r="AJ58" s="293"/>
      <c r="AK58" s="293"/>
      <c r="AL58" s="293"/>
      <c r="AM58" s="315"/>
      <c r="AN58" s="315"/>
    </row>
    <row r="59" spans="1:40" s="792" customFormat="1" ht="12.6">
      <c r="A59" s="989" t="s">
        <v>174</v>
      </c>
      <c r="B59" s="791"/>
      <c r="C59" s="791"/>
      <c r="D59" s="791"/>
      <c r="E59" s="791"/>
      <c r="F59" s="790"/>
      <c r="G59" s="790"/>
      <c r="H59" s="790"/>
      <c r="I59" s="790"/>
      <c r="J59" s="790"/>
      <c r="K59" s="790"/>
      <c r="L59" s="790"/>
      <c r="M59" s="790"/>
      <c r="N59" s="790"/>
      <c r="O59" s="790"/>
      <c r="P59" s="790"/>
      <c r="Q59" s="790"/>
      <c r="R59" s="790"/>
      <c r="S59" s="790"/>
      <c r="T59" s="790"/>
      <c r="U59" s="790"/>
      <c r="V59" s="790"/>
      <c r="W59" s="790"/>
      <c r="X59" s="790"/>
      <c r="Y59" s="790"/>
      <c r="Z59" s="790"/>
      <c r="AA59" s="790"/>
      <c r="AB59" s="790"/>
      <c r="AC59" s="790"/>
      <c r="AD59" s="790"/>
      <c r="AE59" s="790"/>
      <c r="AF59" s="790"/>
      <c r="AG59" s="790"/>
      <c r="AH59" s="790"/>
      <c r="AI59" s="790"/>
      <c r="AJ59" s="790"/>
      <c r="AK59" s="790"/>
      <c r="AL59" s="790"/>
      <c r="AM59" s="791"/>
      <c r="AN59" s="791"/>
    </row>
    <row r="60" spans="1:40" ht="12.6">
      <c r="A60" s="990" t="s">
        <v>175</v>
      </c>
      <c r="B60" s="991" t="s">
        <v>121</v>
      </c>
      <c r="C60" s="991"/>
      <c r="D60" s="315"/>
      <c r="E60" s="991" t="s">
        <v>122</v>
      </c>
      <c r="F60" s="300" t="s">
        <v>99</v>
      </c>
      <c r="G60" s="300" t="s">
        <v>99</v>
      </c>
      <c r="H60" s="300" t="s">
        <v>99</v>
      </c>
      <c r="I60" s="300" t="s">
        <v>99</v>
      </c>
      <c r="J60" s="300" t="s">
        <v>99</v>
      </c>
      <c r="K60" s="300" t="s">
        <v>99</v>
      </c>
      <c r="L60" s="300" t="s">
        <v>99</v>
      </c>
      <c r="M60" s="300" t="s">
        <v>99</v>
      </c>
      <c r="N60" s="300" t="s">
        <v>99</v>
      </c>
      <c r="O60" s="300" t="s">
        <v>99</v>
      </c>
      <c r="P60" s="300" t="s">
        <v>99</v>
      </c>
      <c r="Q60" s="300" t="s">
        <v>99</v>
      </c>
      <c r="R60" s="300" t="s">
        <v>99</v>
      </c>
      <c r="S60" s="300" t="s">
        <v>99</v>
      </c>
      <c r="T60" s="300" t="s">
        <v>99</v>
      </c>
      <c r="U60" s="300" t="s">
        <v>99</v>
      </c>
      <c r="V60" s="300" t="s">
        <v>99</v>
      </c>
      <c r="W60" s="300" t="s">
        <v>99</v>
      </c>
      <c r="X60" s="300" t="s">
        <v>99</v>
      </c>
      <c r="Y60" s="300" t="s">
        <v>99</v>
      </c>
      <c r="Z60" s="300" t="s">
        <v>99</v>
      </c>
      <c r="AA60" s="300" t="s">
        <v>99</v>
      </c>
      <c r="AB60" s="300" t="s">
        <v>99</v>
      </c>
      <c r="AC60" s="300" t="s">
        <v>99</v>
      </c>
      <c r="AD60" s="300" t="s">
        <v>99</v>
      </c>
      <c r="AE60" s="300" t="s">
        <v>99</v>
      </c>
      <c r="AF60" s="300" t="s">
        <v>99</v>
      </c>
      <c r="AG60" s="300" t="s">
        <v>99</v>
      </c>
      <c r="AH60" s="300" t="s">
        <v>99</v>
      </c>
      <c r="AI60" s="300" t="s">
        <v>99</v>
      </c>
      <c r="AJ60" s="300" t="s">
        <v>99</v>
      </c>
      <c r="AK60" s="300" t="s">
        <v>99</v>
      </c>
      <c r="AL60" s="300" t="s">
        <v>99</v>
      </c>
      <c r="AM60" s="344" t="s">
        <v>163</v>
      </c>
      <c r="AN60" s="344"/>
    </row>
    <row r="61" spans="1:40" ht="12.6">
      <c r="A61" s="990" t="s">
        <v>176</v>
      </c>
      <c r="B61" s="991" t="s">
        <v>124</v>
      </c>
      <c r="C61" s="991"/>
      <c r="D61" s="315"/>
      <c r="E61" s="315" t="s">
        <v>125</v>
      </c>
      <c r="F61" s="300" t="s">
        <v>126</v>
      </c>
      <c r="G61" s="300" t="s">
        <v>126</v>
      </c>
      <c r="H61" s="300" t="s">
        <v>126</v>
      </c>
      <c r="I61" s="300" t="s">
        <v>126</v>
      </c>
      <c r="J61" s="300" t="s">
        <v>126</v>
      </c>
      <c r="K61" s="300" t="s">
        <v>126</v>
      </c>
      <c r="L61" s="300" t="s">
        <v>126</v>
      </c>
      <c r="M61" s="300" t="s">
        <v>126</v>
      </c>
      <c r="N61" s="300" t="s">
        <v>126</v>
      </c>
      <c r="O61" s="300" t="s">
        <v>126</v>
      </c>
      <c r="P61" s="300" t="s">
        <v>126</v>
      </c>
      <c r="Q61" s="300" t="s">
        <v>126</v>
      </c>
      <c r="R61" s="300" t="s">
        <v>126</v>
      </c>
      <c r="S61" s="300" t="s">
        <v>126</v>
      </c>
      <c r="T61" s="300" t="s">
        <v>126</v>
      </c>
      <c r="U61" s="300" t="s">
        <v>126</v>
      </c>
      <c r="V61" s="300" t="s">
        <v>126</v>
      </c>
      <c r="W61" s="300" t="s">
        <v>126</v>
      </c>
      <c r="X61" s="300" t="s">
        <v>126</v>
      </c>
      <c r="Y61" s="300" t="s">
        <v>126</v>
      </c>
      <c r="Z61" s="300" t="s">
        <v>126</v>
      </c>
      <c r="AA61" s="300" t="s">
        <v>126</v>
      </c>
      <c r="AB61" s="300" t="s">
        <v>126</v>
      </c>
      <c r="AC61" s="300" t="s">
        <v>126</v>
      </c>
      <c r="AD61" s="300" t="s">
        <v>126</v>
      </c>
      <c r="AE61" s="300" t="s">
        <v>126</v>
      </c>
      <c r="AF61" s="300" t="s">
        <v>126</v>
      </c>
      <c r="AG61" s="300" t="s">
        <v>126</v>
      </c>
      <c r="AH61" s="300" t="s">
        <v>126</v>
      </c>
      <c r="AI61" s="300" t="s">
        <v>126</v>
      </c>
      <c r="AJ61" s="300" t="s">
        <v>126</v>
      </c>
      <c r="AK61" s="300" t="s">
        <v>126</v>
      </c>
      <c r="AL61" s="300" t="s">
        <v>126</v>
      </c>
      <c r="AM61" s="315"/>
      <c r="AN61" s="315"/>
    </row>
    <row r="62" spans="1:40" ht="12.6">
      <c r="A62" s="990" t="s">
        <v>177</v>
      </c>
      <c r="B62" s="991" t="s">
        <v>128</v>
      </c>
      <c r="C62" s="991"/>
      <c r="D62" s="991" t="s">
        <v>129</v>
      </c>
      <c r="E62" s="991" t="s">
        <v>130</v>
      </c>
      <c r="F62" s="300" t="s">
        <v>99</v>
      </c>
      <c r="G62" s="300" t="s">
        <v>99</v>
      </c>
      <c r="H62" s="300" t="s">
        <v>99</v>
      </c>
      <c r="I62" s="300" t="s">
        <v>99</v>
      </c>
      <c r="J62" s="300" t="s">
        <v>99</v>
      </c>
      <c r="K62" s="300" t="s">
        <v>99</v>
      </c>
      <c r="L62" s="300" t="s">
        <v>99</v>
      </c>
      <c r="M62" s="300" t="s">
        <v>99</v>
      </c>
      <c r="N62" s="300" t="s">
        <v>99</v>
      </c>
      <c r="O62" s="300" t="s">
        <v>99</v>
      </c>
      <c r="P62" s="300" t="s">
        <v>99</v>
      </c>
      <c r="Q62" s="300" t="s">
        <v>99</v>
      </c>
      <c r="R62" s="300" t="s">
        <v>99</v>
      </c>
      <c r="S62" s="300" t="s">
        <v>99</v>
      </c>
      <c r="T62" s="300" t="s">
        <v>99</v>
      </c>
      <c r="U62" s="300" t="s">
        <v>99</v>
      </c>
      <c r="V62" s="300" t="s">
        <v>99</v>
      </c>
      <c r="W62" s="300" t="s">
        <v>99</v>
      </c>
      <c r="X62" s="300" t="s">
        <v>99</v>
      </c>
      <c r="Y62" s="300" t="s">
        <v>99</v>
      </c>
      <c r="Z62" s="300" t="s">
        <v>99</v>
      </c>
      <c r="AA62" s="300" t="s">
        <v>99</v>
      </c>
      <c r="AB62" s="300" t="s">
        <v>99</v>
      </c>
      <c r="AC62" s="300" t="s">
        <v>99</v>
      </c>
      <c r="AD62" s="300" t="s">
        <v>99</v>
      </c>
      <c r="AE62" s="300" t="s">
        <v>99</v>
      </c>
      <c r="AF62" s="300" t="s">
        <v>99</v>
      </c>
      <c r="AG62" s="300" t="s">
        <v>99</v>
      </c>
      <c r="AH62" s="300" t="s">
        <v>99</v>
      </c>
      <c r="AI62" s="300" t="s">
        <v>99</v>
      </c>
      <c r="AJ62" s="300" t="s">
        <v>99</v>
      </c>
      <c r="AK62" s="300" t="s">
        <v>99</v>
      </c>
      <c r="AL62" s="300" t="s">
        <v>99</v>
      </c>
      <c r="AM62" s="344" t="s">
        <v>163</v>
      </c>
      <c r="AN62" s="344"/>
    </row>
    <row r="63" spans="1:40" ht="12.6">
      <c r="A63" s="990" t="s">
        <v>178</v>
      </c>
      <c r="B63" s="991" t="s">
        <v>132</v>
      </c>
      <c r="C63" s="991"/>
      <c r="D63" s="991" t="s">
        <v>129</v>
      </c>
      <c r="E63" s="991" t="s">
        <v>130</v>
      </c>
      <c r="F63" s="293" t="s">
        <v>106</v>
      </c>
      <c r="G63" s="293" t="s">
        <v>106</v>
      </c>
      <c r="H63" s="293" t="s">
        <v>106</v>
      </c>
      <c r="I63" s="293" t="s">
        <v>106</v>
      </c>
      <c r="J63" s="293" t="s">
        <v>106</v>
      </c>
      <c r="K63" s="293" t="s">
        <v>106</v>
      </c>
      <c r="L63" s="293" t="s">
        <v>106</v>
      </c>
      <c r="M63" s="293" t="s">
        <v>106</v>
      </c>
      <c r="N63" s="293" t="s">
        <v>106</v>
      </c>
      <c r="O63" s="293" t="s">
        <v>106</v>
      </c>
      <c r="P63" s="293" t="s">
        <v>106</v>
      </c>
      <c r="Q63" s="293" t="s">
        <v>106</v>
      </c>
      <c r="R63" s="293" t="s">
        <v>106</v>
      </c>
      <c r="S63" s="293" t="s">
        <v>106</v>
      </c>
      <c r="T63" s="293" t="s">
        <v>106</v>
      </c>
      <c r="U63" s="293" t="s">
        <v>106</v>
      </c>
      <c r="V63" s="293" t="s">
        <v>106</v>
      </c>
      <c r="W63" s="293" t="s">
        <v>106</v>
      </c>
      <c r="X63" s="293" t="s">
        <v>106</v>
      </c>
      <c r="Y63" s="293" t="s">
        <v>106</v>
      </c>
      <c r="Z63" s="293" t="s">
        <v>106</v>
      </c>
      <c r="AA63" s="293" t="s">
        <v>106</v>
      </c>
      <c r="AB63" s="293" t="s">
        <v>106</v>
      </c>
      <c r="AC63" s="293" t="s">
        <v>106</v>
      </c>
      <c r="AD63" s="293" t="s">
        <v>106</v>
      </c>
      <c r="AE63" s="293" t="s">
        <v>106</v>
      </c>
      <c r="AF63" s="293" t="s">
        <v>106</v>
      </c>
      <c r="AG63" s="293" t="s">
        <v>106</v>
      </c>
      <c r="AH63" s="293" t="s">
        <v>106</v>
      </c>
      <c r="AI63" s="293" t="s">
        <v>106</v>
      </c>
      <c r="AJ63" s="293" t="s">
        <v>106</v>
      </c>
      <c r="AK63" s="293" t="s">
        <v>106</v>
      </c>
      <c r="AL63" s="293" t="s">
        <v>106</v>
      </c>
      <c r="AM63" s="315"/>
      <c r="AN63" s="315"/>
    </row>
    <row r="64" spans="1:40" ht="12.6">
      <c r="A64" s="990" t="s">
        <v>179</v>
      </c>
      <c r="B64" s="991" t="s">
        <v>134</v>
      </c>
      <c r="C64" s="991"/>
      <c r="D64" s="315"/>
      <c r="E64" s="315" t="s">
        <v>125</v>
      </c>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93"/>
      <c r="AH64" s="293"/>
      <c r="AI64" s="293"/>
      <c r="AJ64" s="293"/>
      <c r="AK64" s="293"/>
      <c r="AL64" s="293"/>
      <c r="AM64" s="315"/>
      <c r="AN64" s="315"/>
    </row>
    <row r="65" spans="1:40" s="792" customFormat="1" ht="12.6">
      <c r="A65" s="989" t="s">
        <v>180</v>
      </c>
      <c r="B65" s="791"/>
      <c r="C65" s="791"/>
      <c r="D65" s="791"/>
      <c r="E65" s="791"/>
      <c r="F65" s="790"/>
      <c r="G65" s="790"/>
      <c r="H65" s="790"/>
      <c r="I65" s="790"/>
      <c r="J65" s="790"/>
      <c r="K65" s="790"/>
      <c r="L65" s="790"/>
      <c r="M65" s="790"/>
      <c r="N65" s="790"/>
      <c r="O65" s="790"/>
      <c r="P65" s="790"/>
      <c r="Q65" s="790"/>
      <c r="R65" s="790"/>
      <c r="S65" s="790"/>
      <c r="T65" s="790"/>
      <c r="U65" s="790"/>
      <c r="V65" s="790"/>
      <c r="W65" s="790"/>
      <c r="X65" s="790"/>
      <c r="Y65" s="790"/>
      <c r="Z65" s="790"/>
      <c r="AA65" s="790"/>
      <c r="AB65" s="790"/>
      <c r="AC65" s="790"/>
      <c r="AD65" s="790"/>
      <c r="AE65" s="790"/>
      <c r="AF65" s="790"/>
      <c r="AG65" s="790"/>
      <c r="AH65" s="790"/>
      <c r="AI65" s="790"/>
      <c r="AJ65" s="790"/>
      <c r="AK65" s="790"/>
      <c r="AL65" s="790"/>
      <c r="AM65" s="791"/>
      <c r="AN65" s="791"/>
    </row>
    <row r="66" spans="1:40" ht="12.6">
      <c r="A66" s="990" t="s">
        <v>181</v>
      </c>
      <c r="B66" s="991" t="s">
        <v>121</v>
      </c>
      <c r="C66" s="991"/>
      <c r="D66" s="315"/>
      <c r="E66" s="991" t="s">
        <v>122</v>
      </c>
      <c r="F66" s="300" t="s">
        <v>99</v>
      </c>
      <c r="G66" s="300" t="s">
        <v>99</v>
      </c>
      <c r="H66" s="300" t="s">
        <v>99</v>
      </c>
      <c r="I66" s="300" t="s">
        <v>99</v>
      </c>
      <c r="J66" s="300" t="s">
        <v>99</v>
      </c>
      <c r="K66" s="300" t="s">
        <v>99</v>
      </c>
      <c r="L66" s="300" t="s">
        <v>99</v>
      </c>
      <c r="M66" s="300" t="s">
        <v>99</v>
      </c>
      <c r="N66" s="300" t="s">
        <v>99</v>
      </c>
      <c r="O66" s="300" t="s">
        <v>99</v>
      </c>
      <c r="P66" s="300" t="s">
        <v>99</v>
      </c>
      <c r="Q66" s="300" t="s">
        <v>99</v>
      </c>
      <c r="R66" s="300" t="s">
        <v>99</v>
      </c>
      <c r="S66" s="300" t="s">
        <v>99</v>
      </c>
      <c r="T66" s="300" t="s">
        <v>99</v>
      </c>
      <c r="U66" s="300" t="s">
        <v>99</v>
      </c>
      <c r="V66" s="300" t="s">
        <v>99</v>
      </c>
      <c r="W66" s="300" t="s">
        <v>99</v>
      </c>
      <c r="X66" s="300" t="s">
        <v>99</v>
      </c>
      <c r="Y66" s="300" t="s">
        <v>99</v>
      </c>
      <c r="Z66" s="300" t="s">
        <v>99</v>
      </c>
      <c r="AA66" s="300" t="s">
        <v>99</v>
      </c>
      <c r="AB66" s="300" t="s">
        <v>99</v>
      </c>
      <c r="AC66" s="300" t="s">
        <v>99</v>
      </c>
      <c r="AD66" s="300" t="s">
        <v>99</v>
      </c>
      <c r="AE66" s="300" t="s">
        <v>99</v>
      </c>
      <c r="AF66" s="300" t="s">
        <v>99</v>
      </c>
      <c r="AG66" s="300" t="s">
        <v>99</v>
      </c>
      <c r="AH66" s="300" t="s">
        <v>99</v>
      </c>
      <c r="AI66" s="300" t="s">
        <v>99</v>
      </c>
      <c r="AJ66" s="300" t="s">
        <v>99</v>
      </c>
      <c r="AK66" s="300" t="s">
        <v>99</v>
      </c>
      <c r="AL66" s="300" t="s">
        <v>99</v>
      </c>
      <c r="AM66" s="344" t="s">
        <v>163</v>
      </c>
      <c r="AN66" s="344"/>
    </row>
    <row r="67" spans="1:40" ht="12.6">
      <c r="A67" s="990" t="s">
        <v>182</v>
      </c>
      <c r="B67" s="991" t="s">
        <v>124</v>
      </c>
      <c r="C67" s="991"/>
      <c r="D67" s="315"/>
      <c r="E67" s="315" t="s">
        <v>125</v>
      </c>
      <c r="F67" s="300" t="s">
        <v>126</v>
      </c>
      <c r="G67" s="300" t="s">
        <v>126</v>
      </c>
      <c r="H67" s="300" t="s">
        <v>126</v>
      </c>
      <c r="I67" s="300" t="s">
        <v>126</v>
      </c>
      <c r="J67" s="300" t="s">
        <v>126</v>
      </c>
      <c r="K67" s="300" t="s">
        <v>126</v>
      </c>
      <c r="L67" s="300" t="s">
        <v>126</v>
      </c>
      <c r="M67" s="300" t="s">
        <v>126</v>
      </c>
      <c r="N67" s="300" t="s">
        <v>126</v>
      </c>
      <c r="O67" s="300" t="s">
        <v>126</v>
      </c>
      <c r="P67" s="300" t="s">
        <v>126</v>
      </c>
      <c r="Q67" s="300" t="s">
        <v>126</v>
      </c>
      <c r="R67" s="300" t="s">
        <v>126</v>
      </c>
      <c r="S67" s="300" t="s">
        <v>126</v>
      </c>
      <c r="T67" s="300" t="s">
        <v>126</v>
      </c>
      <c r="U67" s="300" t="s">
        <v>126</v>
      </c>
      <c r="V67" s="300" t="s">
        <v>126</v>
      </c>
      <c r="W67" s="300" t="s">
        <v>126</v>
      </c>
      <c r="X67" s="300" t="s">
        <v>126</v>
      </c>
      <c r="Y67" s="300" t="s">
        <v>126</v>
      </c>
      <c r="Z67" s="300" t="s">
        <v>126</v>
      </c>
      <c r="AA67" s="300" t="s">
        <v>126</v>
      </c>
      <c r="AB67" s="300" t="s">
        <v>126</v>
      </c>
      <c r="AC67" s="300" t="s">
        <v>126</v>
      </c>
      <c r="AD67" s="300" t="s">
        <v>126</v>
      </c>
      <c r="AE67" s="300" t="s">
        <v>126</v>
      </c>
      <c r="AF67" s="300" t="s">
        <v>126</v>
      </c>
      <c r="AG67" s="300" t="s">
        <v>126</v>
      </c>
      <c r="AH67" s="300" t="s">
        <v>126</v>
      </c>
      <c r="AI67" s="300" t="s">
        <v>126</v>
      </c>
      <c r="AJ67" s="300" t="s">
        <v>126</v>
      </c>
      <c r="AK67" s="300" t="s">
        <v>126</v>
      </c>
      <c r="AL67" s="300" t="s">
        <v>126</v>
      </c>
      <c r="AM67" s="315"/>
      <c r="AN67" s="315"/>
    </row>
    <row r="68" spans="1:40" ht="12.6">
      <c r="A68" s="990" t="s">
        <v>183</v>
      </c>
      <c r="B68" s="991" t="s">
        <v>128</v>
      </c>
      <c r="C68" s="991"/>
      <c r="D68" s="991" t="s">
        <v>129</v>
      </c>
      <c r="E68" s="991" t="s">
        <v>130</v>
      </c>
      <c r="F68" s="300" t="s">
        <v>99</v>
      </c>
      <c r="G68" s="300" t="s">
        <v>99</v>
      </c>
      <c r="H68" s="300" t="s">
        <v>99</v>
      </c>
      <c r="I68" s="300" t="s">
        <v>99</v>
      </c>
      <c r="J68" s="300" t="s">
        <v>99</v>
      </c>
      <c r="K68" s="300" t="s">
        <v>99</v>
      </c>
      <c r="L68" s="300" t="s">
        <v>99</v>
      </c>
      <c r="M68" s="300" t="s">
        <v>99</v>
      </c>
      <c r="N68" s="300" t="s">
        <v>99</v>
      </c>
      <c r="O68" s="300" t="s">
        <v>99</v>
      </c>
      <c r="P68" s="300" t="s">
        <v>99</v>
      </c>
      <c r="Q68" s="300" t="s">
        <v>99</v>
      </c>
      <c r="R68" s="300" t="s">
        <v>99</v>
      </c>
      <c r="S68" s="300" t="s">
        <v>99</v>
      </c>
      <c r="T68" s="300" t="s">
        <v>99</v>
      </c>
      <c r="U68" s="300" t="s">
        <v>99</v>
      </c>
      <c r="V68" s="300" t="s">
        <v>99</v>
      </c>
      <c r="W68" s="300" t="s">
        <v>99</v>
      </c>
      <c r="X68" s="300" t="s">
        <v>99</v>
      </c>
      <c r="Y68" s="300" t="s">
        <v>99</v>
      </c>
      <c r="Z68" s="300" t="s">
        <v>99</v>
      </c>
      <c r="AA68" s="300" t="s">
        <v>99</v>
      </c>
      <c r="AB68" s="300" t="s">
        <v>99</v>
      </c>
      <c r="AC68" s="300" t="s">
        <v>99</v>
      </c>
      <c r="AD68" s="300" t="s">
        <v>99</v>
      </c>
      <c r="AE68" s="300" t="s">
        <v>99</v>
      </c>
      <c r="AF68" s="300" t="s">
        <v>99</v>
      </c>
      <c r="AG68" s="300" t="s">
        <v>99</v>
      </c>
      <c r="AH68" s="300" t="s">
        <v>99</v>
      </c>
      <c r="AI68" s="300" t="s">
        <v>99</v>
      </c>
      <c r="AJ68" s="300" t="s">
        <v>99</v>
      </c>
      <c r="AK68" s="300" t="s">
        <v>99</v>
      </c>
      <c r="AL68" s="300" t="s">
        <v>99</v>
      </c>
      <c r="AM68" s="344" t="s">
        <v>163</v>
      </c>
      <c r="AN68" s="344"/>
    </row>
    <row r="69" spans="1:40" ht="12.6">
      <c r="A69" s="990" t="s">
        <v>184</v>
      </c>
      <c r="B69" s="991" t="s">
        <v>132</v>
      </c>
      <c r="C69" s="991"/>
      <c r="D69" s="991" t="s">
        <v>129</v>
      </c>
      <c r="E69" s="991" t="s">
        <v>130</v>
      </c>
      <c r="F69" s="293" t="s">
        <v>106</v>
      </c>
      <c r="G69" s="293" t="s">
        <v>106</v>
      </c>
      <c r="H69" s="293" t="s">
        <v>106</v>
      </c>
      <c r="I69" s="293" t="s">
        <v>106</v>
      </c>
      <c r="J69" s="293" t="s">
        <v>106</v>
      </c>
      <c r="K69" s="293" t="s">
        <v>106</v>
      </c>
      <c r="L69" s="293" t="s">
        <v>106</v>
      </c>
      <c r="M69" s="293" t="s">
        <v>106</v>
      </c>
      <c r="N69" s="293" t="s">
        <v>106</v>
      </c>
      <c r="O69" s="293" t="s">
        <v>106</v>
      </c>
      <c r="P69" s="293" t="s">
        <v>106</v>
      </c>
      <c r="Q69" s="293" t="s">
        <v>106</v>
      </c>
      <c r="R69" s="293" t="s">
        <v>106</v>
      </c>
      <c r="S69" s="293" t="s">
        <v>106</v>
      </c>
      <c r="T69" s="293" t="s">
        <v>106</v>
      </c>
      <c r="U69" s="293" t="s">
        <v>106</v>
      </c>
      <c r="V69" s="293" t="s">
        <v>106</v>
      </c>
      <c r="W69" s="293" t="s">
        <v>106</v>
      </c>
      <c r="X69" s="293" t="s">
        <v>106</v>
      </c>
      <c r="Y69" s="293" t="s">
        <v>106</v>
      </c>
      <c r="Z69" s="293" t="s">
        <v>106</v>
      </c>
      <c r="AA69" s="293" t="s">
        <v>106</v>
      </c>
      <c r="AB69" s="293" t="s">
        <v>106</v>
      </c>
      <c r="AC69" s="293" t="s">
        <v>106</v>
      </c>
      <c r="AD69" s="293" t="s">
        <v>106</v>
      </c>
      <c r="AE69" s="293" t="s">
        <v>106</v>
      </c>
      <c r="AF69" s="293" t="s">
        <v>106</v>
      </c>
      <c r="AG69" s="293" t="s">
        <v>106</v>
      </c>
      <c r="AH69" s="293" t="s">
        <v>106</v>
      </c>
      <c r="AI69" s="293" t="s">
        <v>106</v>
      </c>
      <c r="AJ69" s="293" t="s">
        <v>106</v>
      </c>
      <c r="AK69" s="293" t="s">
        <v>106</v>
      </c>
      <c r="AL69" s="293" t="s">
        <v>106</v>
      </c>
      <c r="AM69" s="315"/>
      <c r="AN69" s="315"/>
    </row>
    <row r="70" spans="1:40" ht="12.6">
      <c r="A70" s="990" t="s">
        <v>185</v>
      </c>
      <c r="B70" s="991" t="s">
        <v>134</v>
      </c>
      <c r="C70" s="991"/>
      <c r="D70" s="315"/>
      <c r="E70" s="315"/>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293"/>
      <c r="AF70" s="293"/>
      <c r="AG70" s="293"/>
      <c r="AH70" s="293"/>
      <c r="AI70" s="293"/>
      <c r="AJ70" s="293"/>
      <c r="AK70" s="293"/>
      <c r="AL70" s="293"/>
      <c r="AM70" s="315"/>
      <c r="AN70" s="315"/>
    </row>
    <row r="71" spans="1:40" s="792" customFormat="1" ht="12.6">
      <c r="A71" s="989" t="s">
        <v>186</v>
      </c>
      <c r="B71" s="791"/>
      <c r="C71" s="791"/>
      <c r="D71" s="791"/>
      <c r="E71" s="791"/>
      <c r="F71" s="790"/>
      <c r="G71" s="790"/>
      <c r="H71" s="790"/>
      <c r="I71" s="790"/>
      <c r="J71" s="790"/>
      <c r="K71" s="790"/>
      <c r="L71" s="790"/>
      <c r="M71" s="790"/>
      <c r="N71" s="790"/>
      <c r="O71" s="790"/>
      <c r="P71" s="790"/>
      <c r="Q71" s="790"/>
      <c r="R71" s="790"/>
      <c r="S71" s="790"/>
      <c r="T71" s="790"/>
      <c r="U71" s="790"/>
      <c r="V71" s="790"/>
      <c r="W71" s="790"/>
      <c r="X71" s="790"/>
      <c r="Y71" s="790"/>
      <c r="Z71" s="790"/>
      <c r="AA71" s="790"/>
      <c r="AB71" s="790"/>
      <c r="AC71" s="790"/>
      <c r="AD71" s="790"/>
      <c r="AE71" s="790"/>
      <c r="AF71" s="790"/>
      <c r="AG71" s="790"/>
      <c r="AH71" s="790"/>
      <c r="AI71" s="790"/>
      <c r="AJ71" s="790"/>
      <c r="AK71" s="790"/>
      <c r="AL71" s="790"/>
      <c r="AM71" s="791"/>
      <c r="AN71" s="791"/>
    </row>
    <row r="72" spans="1:40" ht="12.6">
      <c r="A72" s="990" t="s">
        <v>187</v>
      </c>
      <c r="B72" s="991" t="s">
        <v>121</v>
      </c>
      <c r="C72" s="991"/>
      <c r="D72" s="315"/>
      <c r="E72" s="991" t="s">
        <v>122</v>
      </c>
      <c r="F72" s="300" t="s">
        <v>108</v>
      </c>
      <c r="G72" s="300" t="s">
        <v>108</v>
      </c>
      <c r="H72" s="300" t="s">
        <v>108</v>
      </c>
      <c r="I72" s="300" t="s">
        <v>108</v>
      </c>
      <c r="J72" s="300" t="s">
        <v>108</v>
      </c>
      <c r="K72" s="300" t="s">
        <v>108</v>
      </c>
      <c r="L72" s="300" t="s">
        <v>108</v>
      </c>
      <c r="M72" s="300" t="s">
        <v>108</v>
      </c>
      <c r="N72" s="300" t="s">
        <v>108</v>
      </c>
      <c r="O72" s="300" t="s">
        <v>108</v>
      </c>
      <c r="P72" s="300" t="s">
        <v>108</v>
      </c>
      <c r="Q72" s="300" t="s">
        <v>108</v>
      </c>
      <c r="R72" s="300" t="s">
        <v>108</v>
      </c>
      <c r="S72" s="300" t="s">
        <v>108</v>
      </c>
      <c r="T72" s="300" t="s">
        <v>108</v>
      </c>
      <c r="U72" s="300" t="s">
        <v>108</v>
      </c>
      <c r="V72" s="300" t="s">
        <v>108</v>
      </c>
      <c r="W72" s="300" t="s">
        <v>108</v>
      </c>
      <c r="X72" s="300" t="s">
        <v>108</v>
      </c>
      <c r="Y72" s="300" t="s">
        <v>108</v>
      </c>
      <c r="Z72" s="300" t="s">
        <v>108</v>
      </c>
      <c r="AA72" s="300" t="s">
        <v>108</v>
      </c>
      <c r="AB72" s="300" t="s">
        <v>108</v>
      </c>
      <c r="AC72" s="300" t="s">
        <v>108</v>
      </c>
      <c r="AD72" s="300" t="s">
        <v>108</v>
      </c>
      <c r="AE72" s="300" t="s">
        <v>108</v>
      </c>
      <c r="AF72" s="300" t="s">
        <v>108</v>
      </c>
      <c r="AG72" s="300" t="s">
        <v>108</v>
      </c>
      <c r="AH72" s="300" t="s">
        <v>108</v>
      </c>
      <c r="AI72" s="300" t="s">
        <v>108</v>
      </c>
      <c r="AJ72" s="300" t="s">
        <v>108</v>
      </c>
      <c r="AK72" s="300" t="s">
        <v>108</v>
      </c>
      <c r="AL72" s="300" t="s">
        <v>108</v>
      </c>
      <c r="AM72" s="344" t="s">
        <v>163</v>
      </c>
      <c r="AN72" s="344"/>
    </row>
    <row r="73" spans="1:40" ht="12.6">
      <c r="A73" s="990" t="s">
        <v>188</v>
      </c>
      <c r="B73" s="991" t="s">
        <v>124</v>
      </c>
      <c r="C73" s="991"/>
      <c r="D73" s="315"/>
      <c r="E73" s="315" t="s">
        <v>125</v>
      </c>
      <c r="F73" s="300" t="s">
        <v>126</v>
      </c>
      <c r="G73" s="300" t="s">
        <v>126</v>
      </c>
      <c r="H73" s="300" t="s">
        <v>126</v>
      </c>
      <c r="I73" s="300" t="s">
        <v>126</v>
      </c>
      <c r="J73" s="300" t="s">
        <v>126</v>
      </c>
      <c r="K73" s="300" t="s">
        <v>126</v>
      </c>
      <c r="L73" s="300" t="s">
        <v>126</v>
      </c>
      <c r="M73" s="300" t="s">
        <v>126</v>
      </c>
      <c r="N73" s="300" t="s">
        <v>126</v>
      </c>
      <c r="O73" s="300" t="s">
        <v>126</v>
      </c>
      <c r="P73" s="300" t="s">
        <v>126</v>
      </c>
      <c r="Q73" s="300" t="s">
        <v>126</v>
      </c>
      <c r="R73" s="300" t="s">
        <v>126</v>
      </c>
      <c r="S73" s="300" t="s">
        <v>126</v>
      </c>
      <c r="T73" s="300" t="s">
        <v>126</v>
      </c>
      <c r="U73" s="300" t="s">
        <v>126</v>
      </c>
      <c r="V73" s="300" t="s">
        <v>126</v>
      </c>
      <c r="W73" s="300" t="s">
        <v>126</v>
      </c>
      <c r="X73" s="300" t="s">
        <v>126</v>
      </c>
      <c r="Y73" s="300" t="s">
        <v>126</v>
      </c>
      <c r="Z73" s="300" t="s">
        <v>126</v>
      </c>
      <c r="AA73" s="300" t="s">
        <v>126</v>
      </c>
      <c r="AB73" s="300" t="s">
        <v>126</v>
      </c>
      <c r="AC73" s="300" t="s">
        <v>126</v>
      </c>
      <c r="AD73" s="300" t="s">
        <v>126</v>
      </c>
      <c r="AE73" s="300" t="s">
        <v>126</v>
      </c>
      <c r="AF73" s="300" t="s">
        <v>126</v>
      </c>
      <c r="AG73" s="300" t="s">
        <v>126</v>
      </c>
      <c r="AH73" s="300" t="s">
        <v>126</v>
      </c>
      <c r="AI73" s="300" t="s">
        <v>126</v>
      </c>
      <c r="AJ73" s="300" t="s">
        <v>126</v>
      </c>
      <c r="AK73" s="300" t="s">
        <v>126</v>
      </c>
      <c r="AL73" s="300" t="s">
        <v>126</v>
      </c>
      <c r="AM73" s="315"/>
      <c r="AN73" s="315"/>
    </row>
    <row r="74" spans="1:40" ht="12.6">
      <c r="A74" s="990" t="s">
        <v>189</v>
      </c>
      <c r="B74" s="991" t="s">
        <v>128</v>
      </c>
      <c r="C74" s="991"/>
      <c r="D74" s="991" t="s">
        <v>129</v>
      </c>
      <c r="E74" s="991" t="s">
        <v>130</v>
      </c>
      <c r="F74" s="300" t="s">
        <v>108</v>
      </c>
      <c r="G74" s="300" t="s">
        <v>108</v>
      </c>
      <c r="H74" s="300" t="s">
        <v>108</v>
      </c>
      <c r="I74" s="300" t="s">
        <v>108</v>
      </c>
      <c r="J74" s="300" t="s">
        <v>108</v>
      </c>
      <c r="K74" s="300" t="s">
        <v>108</v>
      </c>
      <c r="L74" s="300" t="s">
        <v>108</v>
      </c>
      <c r="M74" s="300" t="s">
        <v>108</v>
      </c>
      <c r="N74" s="300" t="s">
        <v>108</v>
      </c>
      <c r="O74" s="300" t="s">
        <v>108</v>
      </c>
      <c r="P74" s="300" t="s">
        <v>108</v>
      </c>
      <c r="Q74" s="300" t="s">
        <v>108</v>
      </c>
      <c r="R74" s="300" t="s">
        <v>108</v>
      </c>
      <c r="S74" s="300" t="s">
        <v>108</v>
      </c>
      <c r="T74" s="300" t="s">
        <v>108</v>
      </c>
      <c r="U74" s="300" t="s">
        <v>108</v>
      </c>
      <c r="V74" s="300" t="s">
        <v>108</v>
      </c>
      <c r="W74" s="300" t="s">
        <v>108</v>
      </c>
      <c r="X74" s="300" t="s">
        <v>108</v>
      </c>
      <c r="Y74" s="300" t="s">
        <v>108</v>
      </c>
      <c r="Z74" s="300" t="s">
        <v>108</v>
      </c>
      <c r="AA74" s="300" t="s">
        <v>108</v>
      </c>
      <c r="AB74" s="300" t="s">
        <v>108</v>
      </c>
      <c r="AC74" s="300" t="s">
        <v>108</v>
      </c>
      <c r="AD74" s="300" t="s">
        <v>108</v>
      </c>
      <c r="AE74" s="300" t="s">
        <v>108</v>
      </c>
      <c r="AF74" s="300" t="s">
        <v>108</v>
      </c>
      <c r="AG74" s="300" t="s">
        <v>108</v>
      </c>
      <c r="AH74" s="300" t="s">
        <v>108</v>
      </c>
      <c r="AI74" s="300" t="s">
        <v>108</v>
      </c>
      <c r="AJ74" s="300" t="s">
        <v>108</v>
      </c>
      <c r="AK74" s="300" t="s">
        <v>108</v>
      </c>
      <c r="AL74" s="300" t="s">
        <v>108</v>
      </c>
      <c r="AM74" s="344" t="s">
        <v>163</v>
      </c>
      <c r="AN74" s="344"/>
    </row>
    <row r="75" spans="1:40" ht="12.6">
      <c r="A75" s="990" t="s">
        <v>190</v>
      </c>
      <c r="B75" s="991" t="s">
        <v>132</v>
      </c>
      <c r="C75" s="991"/>
      <c r="D75" s="991" t="s">
        <v>129</v>
      </c>
      <c r="E75" s="991" t="s">
        <v>130</v>
      </c>
      <c r="F75" s="794" t="s">
        <v>108</v>
      </c>
      <c r="G75" s="794" t="s">
        <v>108</v>
      </c>
      <c r="H75" s="794" t="s">
        <v>108</v>
      </c>
      <c r="I75" s="794" t="s">
        <v>108</v>
      </c>
      <c r="J75" s="794" t="s">
        <v>108</v>
      </c>
      <c r="K75" s="794" t="s">
        <v>108</v>
      </c>
      <c r="L75" s="794" t="s">
        <v>108</v>
      </c>
      <c r="M75" s="794" t="s">
        <v>108</v>
      </c>
      <c r="N75" s="794" t="s">
        <v>108</v>
      </c>
      <c r="O75" s="794" t="s">
        <v>108</v>
      </c>
      <c r="P75" s="794" t="s">
        <v>108</v>
      </c>
      <c r="Q75" s="794" t="s">
        <v>108</v>
      </c>
      <c r="R75" s="794" t="s">
        <v>108</v>
      </c>
      <c r="S75" s="794" t="s">
        <v>108</v>
      </c>
      <c r="T75" s="794" t="s">
        <v>108</v>
      </c>
      <c r="U75" s="794" t="s">
        <v>108</v>
      </c>
      <c r="V75" s="794" t="s">
        <v>108</v>
      </c>
      <c r="W75" s="794" t="s">
        <v>108</v>
      </c>
      <c r="X75" s="794" t="s">
        <v>108</v>
      </c>
      <c r="Y75" s="794" t="s">
        <v>108</v>
      </c>
      <c r="Z75" s="794" t="s">
        <v>108</v>
      </c>
      <c r="AA75" s="794" t="s">
        <v>108</v>
      </c>
      <c r="AB75" s="794" t="s">
        <v>108</v>
      </c>
      <c r="AC75" s="794" t="s">
        <v>108</v>
      </c>
      <c r="AD75" s="794" t="s">
        <v>108</v>
      </c>
      <c r="AE75" s="794" t="s">
        <v>108</v>
      </c>
      <c r="AF75" s="794" t="s">
        <v>108</v>
      </c>
      <c r="AG75" s="794" t="s">
        <v>108</v>
      </c>
      <c r="AH75" s="794" t="s">
        <v>108</v>
      </c>
      <c r="AI75" s="794" t="s">
        <v>108</v>
      </c>
      <c r="AJ75" s="794" t="s">
        <v>108</v>
      </c>
      <c r="AK75" s="794" t="s">
        <v>108</v>
      </c>
      <c r="AL75" s="794" t="s">
        <v>108</v>
      </c>
      <c r="AM75" s="315"/>
      <c r="AN75" s="315"/>
    </row>
    <row r="76" spans="1:40" ht="12.6">
      <c r="A76" s="990" t="s">
        <v>191</v>
      </c>
      <c r="B76" s="991" t="s">
        <v>134</v>
      </c>
      <c r="C76" s="991"/>
      <c r="D76" s="315"/>
      <c r="E76" s="315" t="s">
        <v>125</v>
      </c>
      <c r="F76" s="293"/>
      <c r="G76" s="293"/>
      <c r="H76" s="293"/>
      <c r="I76" s="293"/>
      <c r="J76" s="293"/>
      <c r="K76" s="293"/>
      <c r="L76" s="293"/>
      <c r="M76" s="293"/>
      <c r="N76" s="293"/>
      <c r="O76" s="293"/>
      <c r="P76" s="293"/>
      <c r="Q76" s="293"/>
      <c r="R76" s="293"/>
      <c r="S76" s="293"/>
      <c r="T76" s="293"/>
      <c r="U76" s="293"/>
      <c r="V76" s="293"/>
      <c r="W76" s="293"/>
      <c r="X76" s="293"/>
      <c r="Y76" s="293"/>
      <c r="Z76" s="293"/>
      <c r="AA76" s="293"/>
      <c r="AB76" s="293"/>
      <c r="AC76" s="293"/>
      <c r="AD76" s="293"/>
      <c r="AE76" s="293"/>
      <c r="AF76" s="293"/>
      <c r="AG76" s="293"/>
      <c r="AH76" s="293"/>
      <c r="AI76" s="293"/>
      <c r="AJ76" s="293"/>
      <c r="AK76" s="293"/>
      <c r="AL76" s="293"/>
      <c r="AM76" s="315"/>
      <c r="AN76" s="315"/>
    </row>
    <row r="77" spans="1:40" s="792" customFormat="1" ht="14.25" customHeight="1">
      <c r="A77" s="992" t="s">
        <v>192</v>
      </c>
      <c r="B77" s="791"/>
      <c r="C77" s="791"/>
      <c r="D77" s="791"/>
      <c r="E77" s="791"/>
      <c r="F77" s="790"/>
      <c r="G77" s="790"/>
      <c r="H77" s="790"/>
      <c r="I77" s="790"/>
      <c r="J77" s="790"/>
      <c r="K77" s="790"/>
      <c r="L77" s="790"/>
      <c r="M77" s="790"/>
      <c r="N77" s="790"/>
      <c r="O77" s="790"/>
      <c r="P77" s="790"/>
      <c r="Q77" s="790"/>
      <c r="R77" s="790"/>
      <c r="S77" s="790"/>
      <c r="T77" s="790"/>
      <c r="U77" s="790"/>
      <c r="V77" s="790"/>
      <c r="W77" s="790"/>
      <c r="X77" s="790"/>
      <c r="Y77" s="790"/>
      <c r="Z77" s="790"/>
      <c r="AA77" s="790"/>
      <c r="AB77" s="790"/>
      <c r="AC77" s="790"/>
      <c r="AD77" s="790"/>
      <c r="AE77" s="790"/>
      <c r="AF77" s="790"/>
      <c r="AG77" s="790"/>
      <c r="AH77" s="790"/>
      <c r="AI77" s="790"/>
      <c r="AJ77" s="790"/>
      <c r="AK77" s="790"/>
      <c r="AL77" s="790"/>
      <c r="AM77" s="791"/>
      <c r="AN77" s="791"/>
    </row>
    <row r="78" spans="1:40" s="792" customFormat="1" ht="12.6">
      <c r="A78" s="989" t="s">
        <v>193</v>
      </c>
      <c r="B78" s="791"/>
      <c r="C78" s="791"/>
      <c r="D78" s="791"/>
      <c r="E78" s="791"/>
      <c r="F78" s="790"/>
      <c r="G78" s="790"/>
      <c r="H78" s="790"/>
      <c r="I78" s="790"/>
      <c r="J78" s="790"/>
      <c r="K78" s="790"/>
      <c r="L78" s="790"/>
      <c r="M78" s="790"/>
      <c r="N78" s="790"/>
      <c r="O78" s="790"/>
      <c r="P78" s="790"/>
      <c r="Q78" s="790"/>
      <c r="R78" s="790"/>
      <c r="S78" s="790"/>
      <c r="T78" s="790"/>
      <c r="U78" s="790"/>
      <c r="V78" s="790"/>
      <c r="W78" s="790"/>
      <c r="X78" s="790"/>
      <c r="Y78" s="790"/>
      <c r="Z78" s="790"/>
      <c r="AA78" s="790"/>
      <c r="AB78" s="790"/>
      <c r="AC78" s="790"/>
      <c r="AD78" s="790"/>
      <c r="AE78" s="790"/>
      <c r="AF78" s="790"/>
      <c r="AG78" s="790"/>
      <c r="AH78" s="790"/>
      <c r="AI78" s="790"/>
      <c r="AJ78" s="790"/>
      <c r="AK78" s="790"/>
      <c r="AL78" s="790"/>
      <c r="AM78" s="791"/>
      <c r="AN78" s="791"/>
    </row>
    <row r="79" spans="1:40" ht="12.6">
      <c r="A79" s="990" t="s">
        <v>194</v>
      </c>
      <c r="B79" s="991" t="s">
        <v>121</v>
      </c>
      <c r="C79" s="991"/>
      <c r="D79" s="315"/>
      <c r="E79" s="991" t="s">
        <v>122</v>
      </c>
      <c r="F79" s="300" t="s">
        <v>99</v>
      </c>
      <c r="G79" s="300" t="s">
        <v>99</v>
      </c>
      <c r="H79" s="300" t="s">
        <v>99</v>
      </c>
      <c r="I79" s="300" t="s">
        <v>99</v>
      </c>
      <c r="J79" s="300" t="s">
        <v>99</v>
      </c>
      <c r="K79" s="300" t="s">
        <v>99</v>
      </c>
      <c r="L79" s="300" t="s">
        <v>99</v>
      </c>
      <c r="M79" s="300" t="s">
        <v>99</v>
      </c>
      <c r="N79" s="300" t="s">
        <v>99</v>
      </c>
      <c r="O79" s="300" t="s">
        <v>99</v>
      </c>
      <c r="P79" s="300" t="s">
        <v>99</v>
      </c>
      <c r="Q79" s="300" t="s">
        <v>99</v>
      </c>
      <c r="R79" s="300" t="s">
        <v>99</v>
      </c>
      <c r="S79" s="300" t="s">
        <v>99</v>
      </c>
      <c r="T79" s="300" t="s">
        <v>99</v>
      </c>
      <c r="U79" s="300" t="s">
        <v>99</v>
      </c>
      <c r="V79" s="300" t="s">
        <v>99</v>
      </c>
      <c r="W79" s="300" t="s">
        <v>99</v>
      </c>
      <c r="X79" s="300" t="s">
        <v>99</v>
      </c>
      <c r="Y79" s="300" t="s">
        <v>99</v>
      </c>
      <c r="Z79" s="300" t="s">
        <v>99</v>
      </c>
      <c r="AA79" s="300" t="s">
        <v>99</v>
      </c>
      <c r="AB79" s="300" t="s">
        <v>99</v>
      </c>
      <c r="AC79" s="300" t="s">
        <v>99</v>
      </c>
      <c r="AD79" s="300" t="s">
        <v>99</v>
      </c>
      <c r="AE79" s="300" t="s">
        <v>99</v>
      </c>
      <c r="AF79" s="300" t="s">
        <v>99</v>
      </c>
      <c r="AG79" s="300" t="s">
        <v>99</v>
      </c>
      <c r="AH79" s="300" t="s">
        <v>99</v>
      </c>
      <c r="AI79" s="300" t="s">
        <v>99</v>
      </c>
      <c r="AJ79" s="300" t="s">
        <v>99</v>
      </c>
      <c r="AK79" s="300" t="s">
        <v>99</v>
      </c>
      <c r="AL79" s="300" t="s">
        <v>99</v>
      </c>
      <c r="AM79" s="344" t="s">
        <v>163</v>
      </c>
      <c r="AN79" s="344"/>
    </row>
    <row r="80" spans="1:40" ht="12.6">
      <c r="A80" s="990" t="s">
        <v>195</v>
      </c>
      <c r="B80" s="991" t="s">
        <v>124</v>
      </c>
      <c r="C80" s="991"/>
      <c r="D80" s="315"/>
      <c r="E80" s="315" t="s">
        <v>125</v>
      </c>
      <c r="F80" s="300" t="s">
        <v>126</v>
      </c>
      <c r="G80" s="300" t="s">
        <v>126</v>
      </c>
      <c r="H80" s="300" t="s">
        <v>126</v>
      </c>
      <c r="I80" s="300" t="s">
        <v>126</v>
      </c>
      <c r="J80" s="300" t="s">
        <v>126</v>
      </c>
      <c r="K80" s="300" t="s">
        <v>126</v>
      </c>
      <c r="L80" s="300" t="s">
        <v>126</v>
      </c>
      <c r="M80" s="300" t="s">
        <v>126</v>
      </c>
      <c r="N80" s="300" t="s">
        <v>126</v>
      </c>
      <c r="O80" s="300" t="s">
        <v>126</v>
      </c>
      <c r="P80" s="300" t="s">
        <v>126</v>
      </c>
      <c r="Q80" s="300" t="s">
        <v>126</v>
      </c>
      <c r="R80" s="300" t="s">
        <v>126</v>
      </c>
      <c r="S80" s="300" t="s">
        <v>126</v>
      </c>
      <c r="T80" s="300" t="s">
        <v>126</v>
      </c>
      <c r="U80" s="300" t="s">
        <v>126</v>
      </c>
      <c r="V80" s="300" t="s">
        <v>126</v>
      </c>
      <c r="W80" s="300" t="s">
        <v>126</v>
      </c>
      <c r="X80" s="300" t="s">
        <v>126</v>
      </c>
      <c r="Y80" s="300" t="s">
        <v>126</v>
      </c>
      <c r="Z80" s="300" t="s">
        <v>126</v>
      </c>
      <c r="AA80" s="300" t="s">
        <v>126</v>
      </c>
      <c r="AB80" s="300" t="s">
        <v>126</v>
      </c>
      <c r="AC80" s="300" t="s">
        <v>126</v>
      </c>
      <c r="AD80" s="300" t="s">
        <v>126</v>
      </c>
      <c r="AE80" s="300" t="s">
        <v>126</v>
      </c>
      <c r="AF80" s="300" t="s">
        <v>126</v>
      </c>
      <c r="AG80" s="300" t="s">
        <v>126</v>
      </c>
      <c r="AH80" s="300" t="s">
        <v>126</v>
      </c>
      <c r="AI80" s="300" t="s">
        <v>126</v>
      </c>
      <c r="AJ80" s="300" t="s">
        <v>126</v>
      </c>
      <c r="AK80" s="300" t="s">
        <v>126</v>
      </c>
      <c r="AL80" s="300" t="s">
        <v>126</v>
      </c>
      <c r="AM80" s="315"/>
      <c r="AN80" s="315"/>
    </row>
    <row r="81" spans="1:40" ht="12.6">
      <c r="A81" s="990" t="s">
        <v>196</v>
      </c>
      <c r="B81" s="991" t="s">
        <v>128</v>
      </c>
      <c r="C81" s="991"/>
      <c r="D81" s="991" t="s">
        <v>129</v>
      </c>
      <c r="E81" s="991" t="s">
        <v>130</v>
      </c>
      <c r="F81" s="300" t="s">
        <v>99</v>
      </c>
      <c r="G81" s="300" t="s">
        <v>99</v>
      </c>
      <c r="H81" s="300" t="s">
        <v>99</v>
      </c>
      <c r="I81" s="300" t="s">
        <v>99</v>
      </c>
      <c r="J81" s="300" t="s">
        <v>99</v>
      </c>
      <c r="K81" s="300" t="s">
        <v>99</v>
      </c>
      <c r="L81" s="300" t="s">
        <v>99</v>
      </c>
      <c r="M81" s="300" t="s">
        <v>99</v>
      </c>
      <c r="N81" s="300" t="s">
        <v>99</v>
      </c>
      <c r="O81" s="300" t="s">
        <v>99</v>
      </c>
      <c r="P81" s="300" t="s">
        <v>99</v>
      </c>
      <c r="Q81" s="300" t="s">
        <v>99</v>
      </c>
      <c r="R81" s="300" t="s">
        <v>99</v>
      </c>
      <c r="S81" s="300" t="s">
        <v>99</v>
      </c>
      <c r="T81" s="300" t="s">
        <v>99</v>
      </c>
      <c r="U81" s="300" t="s">
        <v>99</v>
      </c>
      <c r="V81" s="300" t="s">
        <v>99</v>
      </c>
      <c r="W81" s="300" t="s">
        <v>99</v>
      </c>
      <c r="X81" s="300" t="s">
        <v>99</v>
      </c>
      <c r="Y81" s="300" t="s">
        <v>99</v>
      </c>
      <c r="Z81" s="300" t="s">
        <v>99</v>
      </c>
      <c r="AA81" s="300" t="s">
        <v>99</v>
      </c>
      <c r="AB81" s="300" t="s">
        <v>99</v>
      </c>
      <c r="AC81" s="300" t="s">
        <v>99</v>
      </c>
      <c r="AD81" s="300" t="s">
        <v>99</v>
      </c>
      <c r="AE81" s="300" t="s">
        <v>99</v>
      </c>
      <c r="AF81" s="300" t="s">
        <v>99</v>
      </c>
      <c r="AG81" s="300" t="s">
        <v>99</v>
      </c>
      <c r="AH81" s="300" t="s">
        <v>99</v>
      </c>
      <c r="AI81" s="300" t="s">
        <v>99</v>
      </c>
      <c r="AJ81" s="300" t="s">
        <v>99</v>
      </c>
      <c r="AK81" s="300" t="s">
        <v>99</v>
      </c>
      <c r="AL81" s="300" t="s">
        <v>99</v>
      </c>
      <c r="AM81" s="344" t="s">
        <v>163</v>
      </c>
      <c r="AN81" s="344"/>
    </row>
    <row r="82" spans="1:40" ht="12.6">
      <c r="A82" s="990" t="s">
        <v>197</v>
      </c>
      <c r="B82" s="991" t="s">
        <v>132</v>
      </c>
      <c r="C82" s="991"/>
      <c r="D82" s="991" t="s">
        <v>129</v>
      </c>
      <c r="E82" s="991" t="s">
        <v>130</v>
      </c>
      <c r="F82" s="293" t="s">
        <v>106</v>
      </c>
      <c r="G82" s="293" t="s">
        <v>106</v>
      </c>
      <c r="H82" s="293" t="s">
        <v>106</v>
      </c>
      <c r="I82" s="293" t="s">
        <v>106</v>
      </c>
      <c r="J82" s="293" t="s">
        <v>106</v>
      </c>
      <c r="K82" s="293" t="s">
        <v>106</v>
      </c>
      <c r="L82" s="293" t="s">
        <v>106</v>
      </c>
      <c r="M82" s="293" t="s">
        <v>106</v>
      </c>
      <c r="N82" s="293" t="s">
        <v>106</v>
      </c>
      <c r="O82" s="293" t="s">
        <v>106</v>
      </c>
      <c r="P82" s="293" t="s">
        <v>106</v>
      </c>
      <c r="Q82" s="293" t="s">
        <v>106</v>
      </c>
      <c r="R82" s="293" t="s">
        <v>106</v>
      </c>
      <c r="S82" s="293" t="s">
        <v>106</v>
      </c>
      <c r="T82" s="293" t="s">
        <v>106</v>
      </c>
      <c r="U82" s="293" t="s">
        <v>106</v>
      </c>
      <c r="V82" s="293" t="s">
        <v>106</v>
      </c>
      <c r="W82" s="293" t="s">
        <v>106</v>
      </c>
      <c r="X82" s="293" t="s">
        <v>106</v>
      </c>
      <c r="Y82" s="293" t="s">
        <v>106</v>
      </c>
      <c r="Z82" s="293" t="s">
        <v>106</v>
      </c>
      <c r="AA82" s="293" t="s">
        <v>106</v>
      </c>
      <c r="AB82" s="293" t="s">
        <v>106</v>
      </c>
      <c r="AC82" s="293" t="s">
        <v>106</v>
      </c>
      <c r="AD82" s="293" t="s">
        <v>106</v>
      </c>
      <c r="AE82" s="293" t="s">
        <v>106</v>
      </c>
      <c r="AF82" s="293" t="s">
        <v>106</v>
      </c>
      <c r="AG82" s="293" t="s">
        <v>106</v>
      </c>
      <c r="AH82" s="293" t="s">
        <v>106</v>
      </c>
      <c r="AI82" s="293" t="s">
        <v>106</v>
      </c>
      <c r="AJ82" s="293" t="s">
        <v>106</v>
      </c>
      <c r="AK82" s="293" t="s">
        <v>106</v>
      </c>
      <c r="AL82" s="293" t="s">
        <v>106</v>
      </c>
      <c r="AM82" s="315"/>
      <c r="AN82" s="315"/>
    </row>
    <row r="83" spans="1:40" ht="12.6">
      <c r="A83" s="990" t="s">
        <v>198</v>
      </c>
      <c r="B83" s="991" t="s">
        <v>134</v>
      </c>
      <c r="C83" s="991"/>
      <c r="D83" s="315"/>
      <c r="E83" s="315" t="s">
        <v>125</v>
      </c>
      <c r="F83" s="293"/>
      <c r="G83" s="293"/>
      <c r="H83" s="293"/>
      <c r="I83" s="293"/>
      <c r="J83" s="293"/>
      <c r="K83" s="293"/>
      <c r="L83" s="293"/>
      <c r="M83" s="293"/>
      <c r="N83" s="293"/>
      <c r="O83" s="293"/>
      <c r="P83" s="293"/>
      <c r="Q83" s="293"/>
      <c r="R83" s="293"/>
      <c r="S83" s="293"/>
      <c r="T83" s="293"/>
      <c r="U83" s="293"/>
      <c r="V83" s="293"/>
      <c r="W83" s="293"/>
      <c r="X83" s="293"/>
      <c r="Y83" s="293"/>
      <c r="Z83" s="293"/>
      <c r="AA83" s="293"/>
      <c r="AB83" s="293"/>
      <c r="AC83" s="293"/>
      <c r="AD83" s="293"/>
      <c r="AE83" s="293"/>
      <c r="AF83" s="293"/>
      <c r="AG83" s="293"/>
      <c r="AH83" s="293"/>
      <c r="AI83" s="293"/>
      <c r="AJ83" s="293"/>
      <c r="AK83" s="293"/>
      <c r="AL83" s="293"/>
      <c r="AM83" s="315"/>
      <c r="AN83" s="315"/>
    </row>
    <row r="84" spans="1:40" s="792" customFormat="1" ht="12.6">
      <c r="A84" s="989" t="s">
        <v>199</v>
      </c>
      <c r="B84" s="791"/>
      <c r="C84" s="791"/>
      <c r="D84" s="791"/>
      <c r="E84" s="791"/>
      <c r="F84" s="790"/>
      <c r="G84" s="790"/>
      <c r="H84" s="790"/>
      <c r="I84" s="790"/>
      <c r="J84" s="790"/>
      <c r="K84" s="790"/>
      <c r="L84" s="790"/>
      <c r="M84" s="790"/>
      <c r="N84" s="790"/>
      <c r="O84" s="790"/>
      <c r="P84" s="790"/>
      <c r="Q84" s="790"/>
      <c r="R84" s="790"/>
      <c r="S84" s="790"/>
      <c r="T84" s="790"/>
      <c r="U84" s="790"/>
      <c r="V84" s="790"/>
      <c r="W84" s="790"/>
      <c r="X84" s="790"/>
      <c r="Y84" s="790"/>
      <c r="Z84" s="790"/>
      <c r="AA84" s="790"/>
      <c r="AB84" s="790"/>
      <c r="AC84" s="790"/>
      <c r="AD84" s="790"/>
      <c r="AE84" s="790"/>
      <c r="AF84" s="790"/>
      <c r="AG84" s="790"/>
      <c r="AH84" s="790"/>
      <c r="AI84" s="790"/>
      <c r="AJ84" s="790"/>
      <c r="AK84" s="790"/>
      <c r="AL84" s="790"/>
      <c r="AM84" s="791"/>
      <c r="AN84" s="791"/>
    </row>
    <row r="85" spans="1:40" ht="12.6">
      <c r="A85" s="990" t="s">
        <v>200</v>
      </c>
      <c r="B85" s="991" t="s">
        <v>121</v>
      </c>
      <c r="C85" s="991"/>
      <c r="D85" s="315"/>
      <c r="E85" s="991" t="s">
        <v>122</v>
      </c>
      <c r="F85" s="300" t="s">
        <v>99</v>
      </c>
      <c r="G85" s="300" t="s">
        <v>99</v>
      </c>
      <c r="H85" s="300" t="s">
        <v>99</v>
      </c>
      <c r="I85" s="300" t="s">
        <v>99</v>
      </c>
      <c r="J85" s="300" t="s">
        <v>99</v>
      </c>
      <c r="K85" s="300" t="s">
        <v>99</v>
      </c>
      <c r="L85" s="300" t="s">
        <v>99</v>
      </c>
      <c r="M85" s="300" t="s">
        <v>99</v>
      </c>
      <c r="N85" s="300" t="s">
        <v>99</v>
      </c>
      <c r="O85" s="300" t="s">
        <v>99</v>
      </c>
      <c r="P85" s="300" t="s">
        <v>99</v>
      </c>
      <c r="Q85" s="300" t="s">
        <v>99</v>
      </c>
      <c r="R85" s="300" t="s">
        <v>99</v>
      </c>
      <c r="S85" s="300" t="s">
        <v>99</v>
      </c>
      <c r="T85" s="300" t="s">
        <v>99</v>
      </c>
      <c r="U85" s="300" t="s">
        <v>99</v>
      </c>
      <c r="V85" s="300" t="s">
        <v>99</v>
      </c>
      <c r="W85" s="300" t="s">
        <v>99</v>
      </c>
      <c r="X85" s="300" t="s">
        <v>99</v>
      </c>
      <c r="Y85" s="300" t="s">
        <v>99</v>
      </c>
      <c r="Z85" s="300" t="s">
        <v>99</v>
      </c>
      <c r="AA85" s="300" t="s">
        <v>99</v>
      </c>
      <c r="AB85" s="300" t="s">
        <v>99</v>
      </c>
      <c r="AC85" s="300" t="s">
        <v>99</v>
      </c>
      <c r="AD85" s="300" t="s">
        <v>99</v>
      </c>
      <c r="AE85" s="300" t="s">
        <v>99</v>
      </c>
      <c r="AF85" s="300" t="s">
        <v>99</v>
      </c>
      <c r="AG85" s="300" t="s">
        <v>99</v>
      </c>
      <c r="AH85" s="300" t="s">
        <v>99</v>
      </c>
      <c r="AI85" s="300" t="s">
        <v>99</v>
      </c>
      <c r="AJ85" s="300" t="s">
        <v>99</v>
      </c>
      <c r="AK85" s="300" t="s">
        <v>99</v>
      </c>
      <c r="AL85" s="300" t="s">
        <v>99</v>
      </c>
      <c r="AM85" s="344" t="s">
        <v>163</v>
      </c>
      <c r="AN85" s="344"/>
    </row>
    <row r="86" spans="1:40" ht="12.6">
      <c r="A86" s="990" t="s">
        <v>201</v>
      </c>
      <c r="B86" s="991" t="s">
        <v>124</v>
      </c>
      <c r="C86" s="991"/>
      <c r="D86" s="315"/>
      <c r="E86" s="315" t="s">
        <v>125</v>
      </c>
      <c r="F86" s="300" t="s">
        <v>126</v>
      </c>
      <c r="G86" s="300" t="s">
        <v>126</v>
      </c>
      <c r="H86" s="300" t="s">
        <v>126</v>
      </c>
      <c r="I86" s="300" t="s">
        <v>126</v>
      </c>
      <c r="J86" s="300" t="s">
        <v>126</v>
      </c>
      <c r="K86" s="300" t="s">
        <v>126</v>
      </c>
      <c r="L86" s="300" t="s">
        <v>126</v>
      </c>
      <c r="M86" s="300" t="s">
        <v>126</v>
      </c>
      <c r="N86" s="300" t="s">
        <v>126</v>
      </c>
      <c r="O86" s="300" t="s">
        <v>126</v>
      </c>
      <c r="P86" s="300" t="s">
        <v>126</v>
      </c>
      <c r="Q86" s="300" t="s">
        <v>126</v>
      </c>
      <c r="R86" s="300" t="s">
        <v>126</v>
      </c>
      <c r="S86" s="300" t="s">
        <v>126</v>
      </c>
      <c r="T86" s="300" t="s">
        <v>126</v>
      </c>
      <c r="U86" s="300" t="s">
        <v>126</v>
      </c>
      <c r="V86" s="300" t="s">
        <v>126</v>
      </c>
      <c r="W86" s="300" t="s">
        <v>126</v>
      </c>
      <c r="X86" s="300" t="s">
        <v>126</v>
      </c>
      <c r="Y86" s="300" t="s">
        <v>126</v>
      </c>
      <c r="Z86" s="300" t="s">
        <v>126</v>
      </c>
      <c r="AA86" s="300" t="s">
        <v>126</v>
      </c>
      <c r="AB86" s="300" t="s">
        <v>126</v>
      </c>
      <c r="AC86" s="300" t="s">
        <v>126</v>
      </c>
      <c r="AD86" s="300" t="s">
        <v>126</v>
      </c>
      <c r="AE86" s="300" t="s">
        <v>126</v>
      </c>
      <c r="AF86" s="300" t="s">
        <v>126</v>
      </c>
      <c r="AG86" s="300" t="s">
        <v>126</v>
      </c>
      <c r="AH86" s="300" t="s">
        <v>126</v>
      </c>
      <c r="AI86" s="300" t="s">
        <v>126</v>
      </c>
      <c r="AJ86" s="300" t="s">
        <v>126</v>
      </c>
      <c r="AK86" s="300" t="s">
        <v>126</v>
      </c>
      <c r="AL86" s="300" t="s">
        <v>126</v>
      </c>
      <c r="AM86" s="315"/>
      <c r="AN86" s="315"/>
    </row>
    <row r="87" spans="1:40" ht="12.6">
      <c r="A87" s="990" t="s">
        <v>202</v>
      </c>
      <c r="B87" s="991" t="s">
        <v>128</v>
      </c>
      <c r="C87" s="991"/>
      <c r="D87" s="991" t="s">
        <v>129</v>
      </c>
      <c r="E87" s="991" t="s">
        <v>130</v>
      </c>
      <c r="F87" s="300" t="s">
        <v>99</v>
      </c>
      <c r="G87" s="300" t="s">
        <v>99</v>
      </c>
      <c r="H87" s="300" t="s">
        <v>99</v>
      </c>
      <c r="I87" s="300" t="s">
        <v>99</v>
      </c>
      <c r="J87" s="300" t="s">
        <v>99</v>
      </c>
      <c r="K87" s="300" t="s">
        <v>99</v>
      </c>
      <c r="L87" s="300" t="s">
        <v>99</v>
      </c>
      <c r="M87" s="300" t="s">
        <v>99</v>
      </c>
      <c r="N87" s="300" t="s">
        <v>99</v>
      </c>
      <c r="O87" s="300" t="s">
        <v>99</v>
      </c>
      <c r="P87" s="300" t="s">
        <v>99</v>
      </c>
      <c r="Q87" s="300" t="s">
        <v>99</v>
      </c>
      <c r="R87" s="300" t="s">
        <v>99</v>
      </c>
      <c r="S87" s="300" t="s">
        <v>99</v>
      </c>
      <c r="T87" s="300" t="s">
        <v>99</v>
      </c>
      <c r="U87" s="300" t="s">
        <v>99</v>
      </c>
      <c r="V87" s="300" t="s">
        <v>99</v>
      </c>
      <c r="W87" s="300" t="s">
        <v>99</v>
      </c>
      <c r="X87" s="300" t="s">
        <v>99</v>
      </c>
      <c r="Y87" s="300" t="s">
        <v>99</v>
      </c>
      <c r="Z87" s="300" t="s">
        <v>99</v>
      </c>
      <c r="AA87" s="300" t="s">
        <v>99</v>
      </c>
      <c r="AB87" s="300" t="s">
        <v>99</v>
      </c>
      <c r="AC87" s="300" t="s">
        <v>99</v>
      </c>
      <c r="AD87" s="300" t="s">
        <v>99</v>
      </c>
      <c r="AE87" s="300" t="s">
        <v>99</v>
      </c>
      <c r="AF87" s="300" t="s">
        <v>99</v>
      </c>
      <c r="AG87" s="300" t="s">
        <v>99</v>
      </c>
      <c r="AH87" s="300" t="s">
        <v>99</v>
      </c>
      <c r="AI87" s="300" t="s">
        <v>99</v>
      </c>
      <c r="AJ87" s="300" t="s">
        <v>99</v>
      </c>
      <c r="AK87" s="300" t="s">
        <v>99</v>
      </c>
      <c r="AL87" s="300" t="s">
        <v>99</v>
      </c>
      <c r="AM87" s="344" t="s">
        <v>163</v>
      </c>
      <c r="AN87" s="344"/>
    </row>
    <row r="88" spans="1:40" ht="12.6">
      <c r="A88" s="990" t="s">
        <v>203</v>
      </c>
      <c r="B88" s="991" t="s">
        <v>132</v>
      </c>
      <c r="C88" s="991"/>
      <c r="D88" s="991" t="s">
        <v>129</v>
      </c>
      <c r="E88" s="991" t="s">
        <v>130</v>
      </c>
      <c r="F88" s="293" t="s">
        <v>106</v>
      </c>
      <c r="G88" s="293" t="s">
        <v>106</v>
      </c>
      <c r="H88" s="293" t="s">
        <v>106</v>
      </c>
      <c r="I88" s="293" t="s">
        <v>106</v>
      </c>
      <c r="J88" s="293" t="s">
        <v>106</v>
      </c>
      <c r="K88" s="293" t="s">
        <v>106</v>
      </c>
      <c r="L88" s="293" t="s">
        <v>106</v>
      </c>
      <c r="M88" s="293" t="s">
        <v>106</v>
      </c>
      <c r="N88" s="293" t="s">
        <v>106</v>
      </c>
      <c r="O88" s="293" t="s">
        <v>106</v>
      </c>
      <c r="P88" s="293" t="s">
        <v>106</v>
      </c>
      <c r="Q88" s="293" t="s">
        <v>106</v>
      </c>
      <c r="R88" s="293" t="s">
        <v>106</v>
      </c>
      <c r="S88" s="293" t="s">
        <v>106</v>
      </c>
      <c r="T88" s="293" t="s">
        <v>106</v>
      </c>
      <c r="U88" s="293" t="s">
        <v>106</v>
      </c>
      <c r="V88" s="293" t="s">
        <v>106</v>
      </c>
      <c r="W88" s="293" t="s">
        <v>106</v>
      </c>
      <c r="X88" s="293" t="s">
        <v>106</v>
      </c>
      <c r="Y88" s="293" t="s">
        <v>106</v>
      </c>
      <c r="Z88" s="293" t="s">
        <v>106</v>
      </c>
      <c r="AA88" s="293" t="s">
        <v>106</v>
      </c>
      <c r="AB88" s="293" t="s">
        <v>106</v>
      </c>
      <c r="AC88" s="293" t="s">
        <v>106</v>
      </c>
      <c r="AD88" s="293" t="s">
        <v>106</v>
      </c>
      <c r="AE88" s="293" t="s">
        <v>106</v>
      </c>
      <c r="AF88" s="293" t="s">
        <v>106</v>
      </c>
      <c r="AG88" s="293" t="s">
        <v>106</v>
      </c>
      <c r="AH88" s="293" t="s">
        <v>106</v>
      </c>
      <c r="AI88" s="293" t="s">
        <v>106</v>
      </c>
      <c r="AJ88" s="293" t="s">
        <v>106</v>
      </c>
      <c r="AK88" s="293" t="s">
        <v>106</v>
      </c>
      <c r="AL88" s="293" t="s">
        <v>106</v>
      </c>
      <c r="AM88" s="315"/>
      <c r="AN88" s="315"/>
    </row>
    <row r="89" spans="1:40" ht="12.6">
      <c r="A89" s="990" t="s">
        <v>204</v>
      </c>
      <c r="B89" s="991" t="s">
        <v>134</v>
      </c>
      <c r="C89" s="991"/>
      <c r="D89" s="315"/>
      <c r="E89" s="315" t="s">
        <v>125</v>
      </c>
      <c r="F89" s="293"/>
      <c r="G89" s="293"/>
      <c r="H89" s="293"/>
      <c r="I89" s="293"/>
      <c r="J89" s="293"/>
      <c r="K89" s="293"/>
      <c r="L89" s="293"/>
      <c r="M89" s="293"/>
      <c r="N89" s="293"/>
      <c r="O89" s="293"/>
      <c r="P89" s="293"/>
      <c r="Q89" s="293"/>
      <c r="R89" s="293"/>
      <c r="S89" s="293"/>
      <c r="T89" s="293"/>
      <c r="U89" s="293"/>
      <c r="V89" s="293"/>
      <c r="W89" s="293"/>
      <c r="X89" s="293"/>
      <c r="Y89" s="293"/>
      <c r="Z89" s="293"/>
      <c r="AA89" s="293"/>
      <c r="AB89" s="293"/>
      <c r="AC89" s="293"/>
      <c r="AD89" s="293"/>
      <c r="AE89" s="293"/>
      <c r="AF89" s="293"/>
      <c r="AG89" s="293"/>
      <c r="AH89" s="293"/>
      <c r="AI89" s="293"/>
      <c r="AJ89" s="293"/>
      <c r="AK89" s="293"/>
      <c r="AL89" s="293"/>
      <c r="AM89" s="315"/>
      <c r="AN89" s="315"/>
    </row>
    <row r="90" spans="1:40" s="792" customFormat="1" ht="12.6">
      <c r="A90" s="989" t="s">
        <v>205</v>
      </c>
      <c r="B90" s="791"/>
      <c r="C90" s="791"/>
      <c r="D90" s="791"/>
      <c r="E90" s="791"/>
      <c r="F90" s="790"/>
      <c r="G90" s="790"/>
      <c r="H90" s="790"/>
      <c r="I90" s="790"/>
      <c r="J90" s="790"/>
      <c r="K90" s="790"/>
      <c r="L90" s="790"/>
      <c r="M90" s="790"/>
      <c r="N90" s="790"/>
      <c r="O90" s="790"/>
      <c r="P90" s="790"/>
      <c r="Q90" s="790"/>
      <c r="R90" s="790"/>
      <c r="S90" s="790"/>
      <c r="T90" s="790"/>
      <c r="U90" s="790"/>
      <c r="V90" s="790"/>
      <c r="W90" s="790"/>
      <c r="X90" s="790"/>
      <c r="Y90" s="790"/>
      <c r="Z90" s="790"/>
      <c r="AA90" s="790"/>
      <c r="AB90" s="790"/>
      <c r="AC90" s="790"/>
      <c r="AD90" s="790"/>
      <c r="AE90" s="790"/>
      <c r="AF90" s="790"/>
      <c r="AG90" s="790"/>
      <c r="AH90" s="790"/>
      <c r="AI90" s="790"/>
      <c r="AJ90" s="790"/>
      <c r="AK90" s="790"/>
      <c r="AL90" s="790"/>
      <c r="AM90" s="791"/>
      <c r="AN90" s="791"/>
    </row>
    <row r="91" spans="1:40" ht="12.6">
      <c r="A91" s="990" t="s">
        <v>206</v>
      </c>
      <c r="B91" s="991" t="s">
        <v>121</v>
      </c>
      <c r="C91" s="991"/>
      <c r="D91" s="315"/>
      <c r="E91" s="991" t="s">
        <v>122</v>
      </c>
      <c r="F91" s="300" t="s">
        <v>99</v>
      </c>
      <c r="G91" s="300" t="s">
        <v>99</v>
      </c>
      <c r="H91" s="300" t="s">
        <v>99</v>
      </c>
      <c r="I91" s="300" t="s">
        <v>99</v>
      </c>
      <c r="J91" s="300" t="s">
        <v>99</v>
      </c>
      <c r="K91" s="300" t="s">
        <v>99</v>
      </c>
      <c r="L91" s="300" t="s">
        <v>99</v>
      </c>
      <c r="M91" s="300" t="s">
        <v>99</v>
      </c>
      <c r="N91" s="300" t="s">
        <v>99</v>
      </c>
      <c r="O91" s="300" t="s">
        <v>99</v>
      </c>
      <c r="P91" s="300" t="s">
        <v>99</v>
      </c>
      <c r="Q91" s="300" t="s">
        <v>99</v>
      </c>
      <c r="R91" s="300" t="s">
        <v>99</v>
      </c>
      <c r="S91" s="300" t="s">
        <v>99</v>
      </c>
      <c r="T91" s="300" t="s">
        <v>99</v>
      </c>
      <c r="U91" s="300" t="s">
        <v>99</v>
      </c>
      <c r="V91" s="300" t="s">
        <v>99</v>
      </c>
      <c r="W91" s="300" t="s">
        <v>99</v>
      </c>
      <c r="X91" s="300" t="s">
        <v>99</v>
      </c>
      <c r="Y91" s="300" t="s">
        <v>99</v>
      </c>
      <c r="Z91" s="300" t="s">
        <v>99</v>
      </c>
      <c r="AA91" s="300" t="s">
        <v>99</v>
      </c>
      <c r="AB91" s="300" t="s">
        <v>99</v>
      </c>
      <c r="AC91" s="300" t="s">
        <v>99</v>
      </c>
      <c r="AD91" s="300" t="s">
        <v>99</v>
      </c>
      <c r="AE91" s="300" t="s">
        <v>99</v>
      </c>
      <c r="AF91" s="300" t="s">
        <v>99</v>
      </c>
      <c r="AG91" s="300" t="s">
        <v>99</v>
      </c>
      <c r="AH91" s="300" t="s">
        <v>99</v>
      </c>
      <c r="AI91" s="300" t="s">
        <v>99</v>
      </c>
      <c r="AJ91" s="300" t="s">
        <v>99</v>
      </c>
      <c r="AK91" s="300" t="s">
        <v>99</v>
      </c>
      <c r="AL91" s="300" t="s">
        <v>99</v>
      </c>
      <c r="AM91" s="344" t="s">
        <v>163</v>
      </c>
      <c r="AN91" s="344"/>
    </row>
    <row r="92" spans="1:40" ht="12.6">
      <c r="A92" s="990" t="s">
        <v>207</v>
      </c>
      <c r="B92" s="991" t="s">
        <v>124</v>
      </c>
      <c r="C92" s="991"/>
      <c r="D92" s="315"/>
      <c r="E92" s="315" t="s">
        <v>125</v>
      </c>
      <c r="F92" s="300" t="s">
        <v>126</v>
      </c>
      <c r="G92" s="300" t="s">
        <v>126</v>
      </c>
      <c r="H92" s="300" t="s">
        <v>126</v>
      </c>
      <c r="I92" s="300" t="s">
        <v>126</v>
      </c>
      <c r="J92" s="300" t="s">
        <v>126</v>
      </c>
      <c r="K92" s="300" t="s">
        <v>126</v>
      </c>
      <c r="L92" s="300" t="s">
        <v>126</v>
      </c>
      <c r="M92" s="300" t="s">
        <v>126</v>
      </c>
      <c r="N92" s="300" t="s">
        <v>126</v>
      </c>
      <c r="O92" s="300" t="s">
        <v>126</v>
      </c>
      <c r="P92" s="300" t="s">
        <v>126</v>
      </c>
      <c r="Q92" s="300" t="s">
        <v>126</v>
      </c>
      <c r="R92" s="300" t="s">
        <v>126</v>
      </c>
      <c r="S92" s="300" t="s">
        <v>126</v>
      </c>
      <c r="T92" s="300" t="s">
        <v>126</v>
      </c>
      <c r="U92" s="300" t="s">
        <v>126</v>
      </c>
      <c r="V92" s="300" t="s">
        <v>126</v>
      </c>
      <c r="W92" s="300" t="s">
        <v>126</v>
      </c>
      <c r="X92" s="300" t="s">
        <v>126</v>
      </c>
      <c r="Y92" s="300" t="s">
        <v>126</v>
      </c>
      <c r="Z92" s="300" t="s">
        <v>126</v>
      </c>
      <c r="AA92" s="300" t="s">
        <v>126</v>
      </c>
      <c r="AB92" s="300" t="s">
        <v>126</v>
      </c>
      <c r="AC92" s="300" t="s">
        <v>126</v>
      </c>
      <c r="AD92" s="300" t="s">
        <v>126</v>
      </c>
      <c r="AE92" s="300" t="s">
        <v>126</v>
      </c>
      <c r="AF92" s="300" t="s">
        <v>126</v>
      </c>
      <c r="AG92" s="300" t="s">
        <v>126</v>
      </c>
      <c r="AH92" s="300" t="s">
        <v>126</v>
      </c>
      <c r="AI92" s="300" t="s">
        <v>126</v>
      </c>
      <c r="AJ92" s="300" t="s">
        <v>126</v>
      </c>
      <c r="AK92" s="300" t="s">
        <v>126</v>
      </c>
      <c r="AL92" s="300" t="s">
        <v>126</v>
      </c>
      <c r="AM92" s="315"/>
      <c r="AN92" s="315"/>
    </row>
    <row r="93" spans="1:40" ht="12.6">
      <c r="A93" s="990" t="s">
        <v>208</v>
      </c>
      <c r="B93" s="991" t="s">
        <v>128</v>
      </c>
      <c r="C93" s="991"/>
      <c r="D93" s="991" t="s">
        <v>129</v>
      </c>
      <c r="E93" s="991" t="s">
        <v>130</v>
      </c>
      <c r="F93" s="300" t="s">
        <v>99</v>
      </c>
      <c r="G93" s="300" t="s">
        <v>99</v>
      </c>
      <c r="H93" s="300" t="s">
        <v>99</v>
      </c>
      <c r="I93" s="300" t="s">
        <v>99</v>
      </c>
      <c r="J93" s="300" t="s">
        <v>99</v>
      </c>
      <c r="K93" s="300" t="s">
        <v>99</v>
      </c>
      <c r="L93" s="300" t="s">
        <v>99</v>
      </c>
      <c r="M93" s="300" t="s">
        <v>99</v>
      </c>
      <c r="N93" s="300" t="s">
        <v>99</v>
      </c>
      <c r="O93" s="300" t="s">
        <v>99</v>
      </c>
      <c r="P93" s="300" t="s">
        <v>99</v>
      </c>
      <c r="Q93" s="300" t="s">
        <v>99</v>
      </c>
      <c r="R93" s="300" t="s">
        <v>99</v>
      </c>
      <c r="S93" s="300" t="s">
        <v>99</v>
      </c>
      <c r="T93" s="300" t="s">
        <v>99</v>
      </c>
      <c r="U93" s="300" t="s">
        <v>99</v>
      </c>
      <c r="V93" s="300" t="s">
        <v>99</v>
      </c>
      <c r="W93" s="300" t="s">
        <v>99</v>
      </c>
      <c r="X93" s="300" t="s">
        <v>99</v>
      </c>
      <c r="Y93" s="300" t="s">
        <v>99</v>
      </c>
      <c r="Z93" s="300" t="s">
        <v>99</v>
      </c>
      <c r="AA93" s="300" t="s">
        <v>99</v>
      </c>
      <c r="AB93" s="300" t="s">
        <v>99</v>
      </c>
      <c r="AC93" s="300" t="s">
        <v>99</v>
      </c>
      <c r="AD93" s="300" t="s">
        <v>99</v>
      </c>
      <c r="AE93" s="300" t="s">
        <v>99</v>
      </c>
      <c r="AF93" s="300" t="s">
        <v>99</v>
      </c>
      <c r="AG93" s="300" t="s">
        <v>99</v>
      </c>
      <c r="AH93" s="300" t="s">
        <v>99</v>
      </c>
      <c r="AI93" s="300" t="s">
        <v>99</v>
      </c>
      <c r="AJ93" s="300" t="s">
        <v>99</v>
      </c>
      <c r="AK93" s="300" t="s">
        <v>99</v>
      </c>
      <c r="AL93" s="300" t="s">
        <v>99</v>
      </c>
      <c r="AM93" s="344" t="s">
        <v>163</v>
      </c>
      <c r="AN93" s="344"/>
    </row>
    <row r="94" spans="1:40" ht="12.6">
      <c r="A94" s="990" t="s">
        <v>209</v>
      </c>
      <c r="B94" s="991" t="s">
        <v>132</v>
      </c>
      <c r="C94" s="991"/>
      <c r="D94" s="991" t="s">
        <v>129</v>
      </c>
      <c r="E94" s="991" t="s">
        <v>130</v>
      </c>
      <c r="F94" s="293" t="s">
        <v>106</v>
      </c>
      <c r="G94" s="293" t="s">
        <v>106</v>
      </c>
      <c r="H94" s="293" t="s">
        <v>106</v>
      </c>
      <c r="I94" s="293" t="s">
        <v>106</v>
      </c>
      <c r="J94" s="293" t="s">
        <v>106</v>
      </c>
      <c r="K94" s="293" t="s">
        <v>106</v>
      </c>
      <c r="L94" s="293" t="s">
        <v>106</v>
      </c>
      <c r="M94" s="293" t="s">
        <v>106</v>
      </c>
      <c r="N94" s="293" t="s">
        <v>106</v>
      </c>
      <c r="O94" s="293" t="s">
        <v>106</v>
      </c>
      <c r="P94" s="293" t="s">
        <v>106</v>
      </c>
      <c r="Q94" s="293" t="s">
        <v>106</v>
      </c>
      <c r="R94" s="293" t="s">
        <v>106</v>
      </c>
      <c r="S94" s="293" t="s">
        <v>106</v>
      </c>
      <c r="T94" s="293" t="s">
        <v>106</v>
      </c>
      <c r="U94" s="293" t="s">
        <v>106</v>
      </c>
      <c r="V94" s="293" t="s">
        <v>106</v>
      </c>
      <c r="W94" s="293" t="s">
        <v>106</v>
      </c>
      <c r="X94" s="293" t="s">
        <v>106</v>
      </c>
      <c r="Y94" s="293" t="s">
        <v>106</v>
      </c>
      <c r="Z94" s="293" t="s">
        <v>106</v>
      </c>
      <c r="AA94" s="293" t="s">
        <v>106</v>
      </c>
      <c r="AB94" s="293" t="s">
        <v>106</v>
      </c>
      <c r="AC94" s="293" t="s">
        <v>106</v>
      </c>
      <c r="AD94" s="293" t="s">
        <v>106</v>
      </c>
      <c r="AE94" s="293" t="s">
        <v>106</v>
      </c>
      <c r="AF94" s="293" t="s">
        <v>106</v>
      </c>
      <c r="AG94" s="293" t="s">
        <v>106</v>
      </c>
      <c r="AH94" s="293" t="s">
        <v>106</v>
      </c>
      <c r="AI94" s="293" t="s">
        <v>106</v>
      </c>
      <c r="AJ94" s="293" t="s">
        <v>106</v>
      </c>
      <c r="AK94" s="293" t="s">
        <v>106</v>
      </c>
      <c r="AL94" s="293" t="s">
        <v>106</v>
      </c>
      <c r="AM94" s="315"/>
      <c r="AN94" s="315"/>
    </row>
    <row r="95" spans="1:40" ht="12.6">
      <c r="A95" s="990" t="s">
        <v>210</v>
      </c>
      <c r="B95" s="991" t="s">
        <v>134</v>
      </c>
      <c r="C95" s="991"/>
      <c r="D95" s="315"/>
      <c r="E95" s="315" t="s">
        <v>125</v>
      </c>
      <c r="F95" s="293"/>
      <c r="G95" s="293"/>
      <c r="H95" s="293"/>
      <c r="I95" s="293"/>
      <c r="J95" s="293"/>
      <c r="K95" s="293"/>
      <c r="L95" s="293"/>
      <c r="M95" s="293"/>
      <c r="N95" s="293"/>
      <c r="O95" s="293"/>
      <c r="P95" s="293"/>
      <c r="Q95" s="293"/>
      <c r="R95" s="293"/>
      <c r="S95" s="293"/>
      <c r="T95" s="293"/>
      <c r="U95" s="293"/>
      <c r="V95" s="293"/>
      <c r="W95" s="293"/>
      <c r="X95" s="293"/>
      <c r="Y95" s="293"/>
      <c r="Z95" s="293"/>
      <c r="AA95" s="293"/>
      <c r="AB95" s="293"/>
      <c r="AC95" s="293"/>
      <c r="AD95" s="293"/>
      <c r="AE95" s="293"/>
      <c r="AF95" s="293"/>
      <c r="AG95" s="293"/>
      <c r="AH95" s="293"/>
      <c r="AI95" s="293"/>
      <c r="AJ95" s="293"/>
      <c r="AK95" s="293"/>
      <c r="AL95" s="293"/>
      <c r="AM95" s="315"/>
      <c r="AN95" s="315"/>
    </row>
    <row r="96" spans="1:40" s="792" customFormat="1" ht="12.6">
      <c r="A96" s="989" t="s">
        <v>211</v>
      </c>
      <c r="B96" s="791"/>
      <c r="C96" s="791"/>
      <c r="D96" s="791"/>
      <c r="E96" s="791"/>
      <c r="F96" s="790"/>
      <c r="G96" s="790"/>
      <c r="H96" s="790"/>
      <c r="I96" s="790"/>
      <c r="J96" s="790"/>
      <c r="K96" s="790"/>
      <c r="L96" s="790"/>
      <c r="M96" s="790"/>
      <c r="N96" s="790"/>
      <c r="O96" s="790"/>
      <c r="P96" s="790"/>
      <c r="Q96" s="790"/>
      <c r="R96" s="790"/>
      <c r="S96" s="790"/>
      <c r="T96" s="790"/>
      <c r="U96" s="790"/>
      <c r="V96" s="790"/>
      <c r="W96" s="790"/>
      <c r="X96" s="790"/>
      <c r="Y96" s="790"/>
      <c r="Z96" s="790"/>
      <c r="AA96" s="790"/>
      <c r="AB96" s="790"/>
      <c r="AC96" s="790"/>
      <c r="AD96" s="790"/>
      <c r="AE96" s="790"/>
      <c r="AF96" s="790"/>
      <c r="AG96" s="790"/>
      <c r="AH96" s="790"/>
      <c r="AI96" s="790"/>
      <c r="AJ96" s="790"/>
      <c r="AK96" s="790"/>
      <c r="AL96" s="790"/>
      <c r="AM96" s="791"/>
      <c r="AN96" s="791"/>
    </row>
    <row r="97" spans="1:40" ht="12.6">
      <c r="A97" s="990" t="s">
        <v>212</v>
      </c>
      <c r="B97" s="991" t="s">
        <v>121</v>
      </c>
      <c r="C97" s="991"/>
      <c r="D97" s="315"/>
      <c r="E97" s="991" t="s">
        <v>122</v>
      </c>
      <c r="F97" s="300" t="s">
        <v>99</v>
      </c>
      <c r="G97" s="300" t="s">
        <v>99</v>
      </c>
      <c r="H97" s="300" t="s">
        <v>99</v>
      </c>
      <c r="I97" s="300" t="s">
        <v>99</v>
      </c>
      <c r="J97" s="300" t="s">
        <v>99</v>
      </c>
      <c r="K97" s="300" t="s">
        <v>99</v>
      </c>
      <c r="L97" s="300" t="s">
        <v>99</v>
      </c>
      <c r="M97" s="300" t="s">
        <v>99</v>
      </c>
      <c r="N97" s="300" t="s">
        <v>99</v>
      </c>
      <c r="O97" s="300" t="s">
        <v>99</v>
      </c>
      <c r="P97" s="300" t="s">
        <v>99</v>
      </c>
      <c r="Q97" s="300" t="s">
        <v>99</v>
      </c>
      <c r="R97" s="300" t="s">
        <v>99</v>
      </c>
      <c r="S97" s="300" t="s">
        <v>99</v>
      </c>
      <c r="T97" s="300" t="s">
        <v>99</v>
      </c>
      <c r="U97" s="300" t="s">
        <v>99</v>
      </c>
      <c r="V97" s="300" t="s">
        <v>99</v>
      </c>
      <c r="W97" s="300" t="s">
        <v>99</v>
      </c>
      <c r="X97" s="300" t="s">
        <v>99</v>
      </c>
      <c r="Y97" s="300" t="s">
        <v>99</v>
      </c>
      <c r="Z97" s="300" t="s">
        <v>99</v>
      </c>
      <c r="AA97" s="300" t="s">
        <v>99</v>
      </c>
      <c r="AB97" s="300" t="s">
        <v>99</v>
      </c>
      <c r="AC97" s="300" t="s">
        <v>99</v>
      </c>
      <c r="AD97" s="300" t="s">
        <v>99</v>
      </c>
      <c r="AE97" s="300" t="s">
        <v>99</v>
      </c>
      <c r="AF97" s="300" t="s">
        <v>99</v>
      </c>
      <c r="AG97" s="300" t="s">
        <v>99</v>
      </c>
      <c r="AH97" s="300" t="s">
        <v>99</v>
      </c>
      <c r="AI97" s="300" t="s">
        <v>99</v>
      </c>
      <c r="AJ97" s="300" t="s">
        <v>99</v>
      </c>
      <c r="AK97" s="300" t="s">
        <v>99</v>
      </c>
      <c r="AL97" s="300" t="s">
        <v>99</v>
      </c>
      <c r="AM97" s="344" t="s">
        <v>163</v>
      </c>
      <c r="AN97" s="344"/>
    </row>
    <row r="98" spans="1:40" ht="12.6">
      <c r="A98" s="990" t="s">
        <v>213</v>
      </c>
      <c r="B98" s="991" t="s">
        <v>124</v>
      </c>
      <c r="C98" s="991"/>
      <c r="D98" s="315"/>
      <c r="E98" s="315" t="s">
        <v>125</v>
      </c>
      <c r="F98" s="300" t="s">
        <v>126</v>
      </c>
      <c r="G98" s="300" t="s">
        <v>126</v>
      </c>
      <c r="H98" s="300" t="s">
        <v>126</v>
      </c>
      <c r="I98" s="300" t="s">
        <v>126</v>
      </c>
      <c r="J98" s="300" t="s">
        <v>126</v>
      </c>
      <c r="K98" s="300" t="s">
        <v>126</v>
      </c>
      <c r="L98" s="300" t="s">
        <v>126</v>
      </c>
      <c r="M98" s="300" t="s">
        <v>126</v>
      </c>
      <c r="N98" s="300" t="s">
        <v>126</v>
      </c>
      <c r="O98" s="300" t="s">
        <v>126</v>
      </c>
      <c r="P98" s="300" t="s">
        <v>126</v>
      </c>
      <c r="Q98" s="300" t="s">
        <v>126</v>
      </c>
      <c r="R98" s="300" t="s">
        <v>126</v>
      </c>
      <c r="S98" s="300" t="s">
        <v>126</v>
      </c>
      <c r="T98" s="300" t="s">
        <v>126</v>
      </c>
      <c r="U98" s="300" t="s">
        <v>126</v>
      </c>
      <c r="V98" s="300" t="s">
        <v>126</v>
      </c>
      <c r="W98" s="300" t="s">
        <v>126</v>
      </c>
      <c r="X98" s="300" t="s">
        <v>126</v>
      </c>
      <c r="Y98" s="300" t="s">
        <v>126</v>
      </c>
      <c r="Z98" s="300" t="s">
        <v>126</v>
      </c>
      <c r="AA98" s="300" t="s">
        <v>126</v>
      </c>
      <c r="AB98" s="300" t="s">
        <v>126</v>
      </c>
      <c r="AC98" s="300" t="s">
        <v>126</v>
      </c>
      <c r="AD98" s="300" t="s">
        <v>126</v>
      </c>
      <c r="AE98" s="300" t="s">
        <v>126</v>
      </c>
      <c r="AF98" s="300" t="s">
        <v>126</v>
      </c>
      <c r="AG98" s="300" t="s">
        <v>126</v>
      </c>
      <c r="AH98" s="300" t="s">
        <v>126</v>
      </c>
      <c r="AI98" s="300" t="s">
        <v>126</v>
      </c>
      <c r="AJ98" s="300" t="s">
        <v>126</v>
      </c>
      <c r="AK98" s="300" t="s">
        <v>126</v>
      </c>
      <c r="AL98" s="300" t="s">
        <v>126</v>
      </c>
      <c r="AM98" s="315"/>
      <c r="AN98" s="315"/>
    </row>
    <row r="99" spans="1:40" ht="12.6">
      <c r="A99" s="990" t="s">
        <v>214</v>
      </c>
      <c r="B99" s="991" t="s">
        <v>128</v>
      </c>
      <c r="C99" s="991"/>
      <c r="D99" s="991" t="s">
        <v>129</v>
      </c>
      <c r="E99" s="991" t="s">
        <v>130</v>
      </c>
      <c r="F99" s="300" t="s">
        <v>99</v>
      </c>
      <c r="G99" s="300" t="s">
        <v>99</v>
      </c>
      <c r="H99" s="300" t="s">
        <v>99</v>
      </c>
      <c r="I99" s="300" t="s">
        <v>99</v>
      </c>
      <c r="J99" s="300" t="s">
        <v>99</v>
      </c>
      <c r="K99" s="300" t="s">
        <v>99</v>
      </c>
      <c r="L99" s="300" t="s">
        <v>99</v>
      </c>
      <c r="M99" s="300" t="s">
        <v>99</v>
      </c>
      <c r="N99" s="300" t="s">
        <v>99</v>
      </c>
      <c r="O99" s="300" t="s">
        <v>99</v>
      </c>
      <c r="P99" s="300" t="s">
        <v>99</v>
      </c>
      <c r="Q99" s="300" t="s">
        <v>99</v>
      </c>
      <c r="R99" s="300" t="s">
        <v>99</v>
      </c>
      <c r="S99" s="300" t="s">
        <v>99</v>
      </c>
      <c r="T99" s="300" t="s">
        <v>99</v>
      </c>
      <c r="U99" s="300" t="s">
        <v>99</v>
      </c>
      <c r="V99" s="300" t="s">
        <v>99</v>
      </c>
      <c r="W99" s="300" t="s">
        <v>99</v>
      </c>
      <c r="X99" s="300" t="s">
        <v>99</v>
      </c>
      <c r="Y99" s="300" t="s">
        <v>99</v>
      </c>
      <c r="Z99" s="300" t="s">
        <v>99</v>
      </c>
      <c r="AA99" s="300" t="s">
        <v>99</v>
      </c>
      <c r="AB99" s="300" t="s">
        <v>99</v>
      </c>
      <c r="AC99" s="300" t="s">
        <v>99</v>
      </c>
      <c r="AD99" s="300" t="s">
        <v>99</v>
      </c>
      <c r="AE99" s="300" t="s">
        <v>99</v>
      </c>
      <c r="AF99" s="300" t="s">
        <v>99</v>
      </c>
      <c r="AG99" s="300" t="s">
        <v>99</v>
      </c>
      <c r="AH99" s="300" t="s">
        <v>99</v>
      </c>
      <c r="AI99" s="300" t="s">
        <v>99</v>
      </c>
      <c r="AJ99" s="300" t="s">
        <v>99</v>
      </c>
      <c r="AK99" s="300" t="s">
        <v>99</v>
      </c>
      <c r="AL99" s="300" t="s">
        <v>99</v>
      </c>
      <c r="AM99" s="344" t="s">
        <v>163</v>
      </c>
      <c r="AN99" s="344"/>
    </row>
    <row r="100" spans="1:40" ht="12.6">
      <c r="A100" s="990" t="s">
        <v>215</v>
      </c>
      <c r="B100" s="991" t="s">
        <v>132</v>
      </c>
      <c r="C100" s="991"/>
      <c r="D100" s="991" t="s">
        <v>129</v>
      </c>
      <c r="E100" s="991" t="s">
        <v>130</v>
      </c>
      <c r="F100" s="293" t="s">
        <v>106</v>
      </c>
      <c r="G100" s="293" t="s">
        <v>106</v>
      </c>
      <c r="H100" s="293" t="s">
        <v>106</v>
      </c>
      <c r="I100" s="293" t="s">
        <v>106</v>
      </c>
      <c r="J100" s="293" t="s">
        <v>106</v>
      </c>
      <c r="K100" s="293" t="s">
        <v>106</v>
      </c>
      <c r="L100" s="293" t="s">
        <v>106</v>
      </c>
      <c r="M100" s="293" t="s">
        <v>106</v>
      </c>
      <c r="N100" s="293" t="s">
        <v>106</v>
      </c>
      <c r="O100" s="293" t="s">
        <v>106</v>
      </c>
      <c r="P100" s="293" t="s">
        <v>106</v>
      </c>
      <c r="Q100" s="293" t="s">
        <v>106</v>
      </c>
      <c r="R100" s="293" t="s">
        <v>106</v>
      </c>
      <c r="S100" s="293" t="s">
        <v>106</v>
      </c>
      <c r="T100" s="293" t="s">
        <v>106</v>
      </c>
      <c r="U100" s="293" t="s">
        <v>106</v>
      </c>
      <c r="V100" s="293" t="s">
        <v>106</v>
      </c>
      <c r="W100" s="293" t="s">
        <v>106</v>
      </c>
      <c r="X100" s="293" t="s">
        <v>106</v>
      </c>
      <c r="Y100" s="293" t="s">
        <v>106</v>
      </c>
      <c r="Z100" s="293" t="s">
        <v>106</v>
      </c>
      <c r="AA100" s="293" t="s">
        <v>106</v>
      </c>
      <c r="AB100" s="293" t="s">
        <v>106</v>
      </c>
      <c r="AC100" s="293" t="s">
        <v>106</v>
      </c>
      <c r="AD100" s="293" t="s">
        <v>106</v>
      </c>
      <c r="AE100" s="293" t="s">
        <v>106</v>
      </c>
      <c r="AF100" s="293" t="s">
        <v>106</v>
      </c>
      <c r="AG100" s="293" t="s">
        <v>106</v>
      </c>
      <c r="AH100" s="293" t="s">
        <v>106</v>
      </c>
      <c r="AI100" s="293" t="s">
        <v>106</v>
      </c>
      <c r="AJ100" s="293" t="s">
        <v>106</v>
      </c>
      <c r="AK100" s="293" t="s">
        <v>106</v>
      </c>
      <c r="AL100" s="293" t="s">
        <v>106</v>
      </c>
      <c r="AM100" s="315"/>
      <c r="AN100" s="315"/>
    </row>
    <row r="101" spans="1:40" ht="12.6">
      <c r="A101" s="990" t="s">
        <v>216</v>
      </c>
      <c r="B101" s="991" t="s">
        <v>134</v>
      </c>
      <c r="C101" s="991"/>
      <c r="D101" s="315"/>
      <c r="E101" s="315"/>
      <c r="F101" s="293"/>
      <c r="G101" s="293"/>
      <c r="H101" s="293"/>
      <c r="I101" s="293"/>
      <c r="J101" s="293"/>
      <c r="K101" s="293"/>
      <c r="L101" s="293"/>
      <c r="M101" s="293"/>
      <c r="N101" s="293"/>
      <c r="O101" s="293"/>
      <c r="P101" s="293"/>
      <c r="Q101" s="293"/>
      <c r="R101" s="293"/>
      <c r="S101" s="293"/>
      <c r="T101" s="293"/>
      <c r="U101" s="293"/>
      <c r="V101" s="293"/>
      <c r="W101" s="293"/>
      <c r="X101" s="293"/>
      <c r="Y101" s="293"/>
      <c r="Z101" s="293"/>
      <c r="AA101" s="293"/>
      <c r="AB101" s="293"/>
      <c r="AC101" s="293"/>
      <c r="AD101" s="293"/>
      <c r="AE101" s="293"/>
      <c r="AF101" s="293"/>
      <c r="AG101" s="293"/>
      <c r="AH101" s="293"/>
      <c r="AI101" s="293"/>
      <c r="AJ101" s="293"/>
      <c r="AK101" s="293"/>
      <c r="AL101" s="293"/>
      <c r="AM101" s="315"/>
      <c r="AN101" s="315"/>
    </row>
    <row r="102" spans="1:40" s="792" customFormat="1" ht="12.6">
      <c r="A102" s="989" t="s">
        <v>217</v>
      </c>
      <c r="B102" s="791"/>
      <c r="C102" s="791"/>
      <c r="D102" s="791"/>
      <c r="E102" s="791"/>
      <c r="F102" s="790"/>
      <c r="G102" s="790"/>
      <c r="H102" s="790"/>
      <c r="I102" s="790"/>
      <c r="J102" s="790"/>
      <c r="K102" s="790"/>
      <c r="L102" s="790"/>
      <c r="M102" s="790"/>
      <c r="N102" s="790"/>
      <c r="O102" s="790"/>
      <c r="P102" s="790"/>
      <c r="Q102" s="790"/>
      <c r="R102" s="790"/>
      <c r="S102" s="790"/>
      <c r="T102" s="790"/>
      <c r="U102" s="790"/>
      <c r="V102" s="790"/>
      <c r="W102" s="790"/>
      <c r="X102" s="790"/>
      <c r="Y102" s="790"/>
      <c r="Z102" s="790"/>
      <c r="AA102" s="790"/>
      <c r="AB102" s="790"/>
      <c r="AC102" s="790"/>
      <c r="AD102" s="790"/>
      <c r="AE102" s="790"/>
      <c r="AF102" s="790"/>
      <c r="AG102" s="790"/>
      <c r="AH102" s="790"/>
      <c r="AI102" s="790"/>
      <c r="AJ102" s="790"/>
      <c r="AK102" s="790"/>
      <c r="AL102" s="790"/>
      <c r="AM102" s="791"/>
      <c r="AN102" s="791"/>
    </row>
    <row r="103" spans="1:40" ht="12.6">
      <c r="A103" s="990" t="s">
        <v>218</v>
      </c>
      <c r="B103" s="991" t="s">
        <v>121</v>
      </c>
      <c r="C103" s="991"/>
      <c r="D103" s="315"/>
      <c r="E103" s="991" t="s">
        <v>122</v>
      </c>
      <c r="F103" s="300" t="s">
        <v>108</v>
      </c>
      <c r="G103" s="300" t="s">
        <v>108</v>
      </c>
      <c r="H103" s="300" t="s">
        <v>108</v>
      </c>
      <c r="I103" s="300" t="s">
        <v>108</v>
      </c>
      <c r="J103" s="300" t="s">
        <v>108</v>
      </c>
      <c r="K103" s="300" t="s">
        <v>108</v>
      </c>
      <c r="L103" s="300" t="s">
        <v>108</v>
      </c>
      <c r="M103" s="300" t="s">
        <v>108</v>
      </c>
      <c r="N103" s="300" t="s">
        <v>108</v>
      </c>
      <c r="O103" s="300" t="s">
        <v>108</v>
      </c>
      <c r="P103" s="300" t="s">
        <v>108</v>
      </c>
      <c r="Q103" s="300" t="s">
        <v>108</v>
      </c>
      <c r="R103" s="300" t="s">
        <v>108</v>
      </c>
      <c r="S103" s="300" t="s">
        <v>108</v>
      </c>
      <c r="T103" s="300" t="s">
        <v>108</v>
      </c>
      <c r="U103" s="300" t="s">
        <v>108</v>
      </c>
      <c r="V103" s="300" t="s">
        <v>108</v>
      </c>
      <c r="W103" s="300" t="s">
        <v>108</v>
      </c>
      <c r="X103" s="300" t="s">
        <v>108</v>
      </c>
      <c r="Y103" s="300" t="s">
        <v>108</v>
      </c>
      <c r="Z103" s="300" t="s">
        <v>108</v>
      </c>
      <c r="AA103" s="300" t="s">
        <v>108</v>
      </c>
      <c r="AB103" s="300" t="s">
        <v>108</v>
      </c>
      <c r="AC103" s="300" t="s">
        <v>108</v>
      </c>
      <c r="AD103" s="300" t="s">
        <v>108</v>
      </c>
      <c r="AE103" s="300" t="s">
        <v>108</v>
      </c>
      <c r="AF103" s="300" t="s">
        <v>108</v>
      </c>
      <c r="AG103" s="300" t="s">
        <v>108</v>
      </c>
      <c r="AH103" s="300" t="s">
        <v>108</v>
      </c>
      <c r="AI103" s="300" t="s">
        <v>108</v>
      </c>
      <c r="AJ103" s="300" t="s">
        <v>108</v>
      </c>
      <c r="AK103" s="300" t="s">
        <v>108</v>
      </c>
      <c r="AL103" s="300" t="s">
        <v>108</v>
      </c>
      <c r="AM103" s="344" t="s">
        <v>163</v>
      </c>
      <c r="AN103" s="344"/>
    </row>
    <row r="104" spans="1:40" ht="12.6">
      <c r="A104" s="990" t="s">
        <v>219</v>
      </c>
      <c r="B104" s="991" t="s">
        <v>124</v>
      </c>
      <c r="C104" s="991"/>
      <c r="D104" s="315"/>
      <c r="E104" s="315" t="s">
        <v>125</v>
      </c>
      <c r="F104" s="300" t="s">
        <v>126</v>
      </c>
      <c r="G104" s="300" t="s">
        <v>126</v>
      </c>
      <c r="H104" s="300" t="s">
        <v>126</v>
      </c>
      <c r="I104" s="300" t="s">
        <v>126</v>
      </c>
      <c r="J104" s="300" t="s">
        <v>126</v>
      </c>
      <c r="K104" s="300" t="s">
        <v>126</v>
      </c>
      <c r="L104" s="300" t="s">
        <v>126</v>
      </c>
      <c r="M104" s="300" t="s">
        <v>126</v>
      </c>
      <c r="N104" s="300" t="s">
        <v>126</v>
      </c>
      <c r="O104" s="300" t="s">
        <v>126</v>
      </c>
      <c r="P104" s="300" t="s">
        <v>126</v>
      </c>
      <c r="Q104" s="300" t="s">
        <v>126</v>
      </c>
      <c r="R104" s="300" t="s">
        <v>126</v>
      </c>
      <c r="S104" s="300" t="s">
        <v>126</v>
      </c>
      <c r="T104" s="300" t="s">
        <v>126</v>
      </c>
      <c r="U104" s="300" t="s">
        <v>126</v>
      </c>
      <c r="V104" s="300" t="s">
        <v>126</v>
      </c>
      <c r="W104" s="300" t="s">
        <v>126</v>
      </c>
      <c r="X104" s="300" t="s">
        <v>126</v>
      </c>
      <c r="Y104" s="300" t="s">
        <v>126</v>
      </c>
      <c r="Z104" s="300" t="s">
        <v>126</v>
      </c>
      <c r="AA104" s="300" t="s">
        <v>126</v>
      </c>
      <c r="AB104" s="300" t="s">
        <v>126</v>
      </c>
      <c r="AC104" s="300" t="s">
        <v>126</v>
      </c>
      <c r="AD104" s="300" t="s">
        <v>126</v>
      </c>
      <c r="AE104" s="300" t="s">
        <v>126</v>
      </c>
      <c r="AF104" s="300" t="s">
        <v>126</v>
      </c>
      <c r="AG104" s="300" t="s">
        <v>126</v>
      </c>
      <c r="AH104" s="300" t="s">
        <v>126</v>
      </c>
      <c r="AI104" s="300" t="s">
        <v>126</v>
      </c>
      <c r="AJ104" s="300" t="s">
        <v>126</v>
      </c>
      <c r="AK104" s="300" t="s">
        <v>126</v>
      </c>
      <c r="AL104" s="300" t="s">
        <v>126</v>
      </c>
      <c r="AM104" s="315"/>
      <c r="AN104" s="315"/>
    </row>
    <row r="105" spans="1:40" ht="12.6">
      <c r="A105" s="990" t="s">
        <v>220</v>
      </c>
      <c r="B105" s="991" t="s">
        <v>128</v>
      </c>
      <c r="C105" s="991"/>
      <c r="D105" s="991" t="s">
        <v>129</v>
      </c>
      <c r="E105" s="991" t="s">
        <v>130</v>
      </c>
      <c r="F105" s="300" t="s">
        <v>108</v>
      </c>
      <c r="G105" s="300" t="s">
        <v>108</v>
      </c>
      <c r="H105" s="300" t="s">
        <v>108</v>
      </c>
      <c r="I105" s="300" t="s">
        <v>108</v>
      </c>
      <c r="J105" s="300" t="s">
        <v>108</v>
      </c>
      <c r="K105" s="300" t="s">
        <v>108</v>
      </c>
      <c r="L105" s="300" t="s">
        <v>108</v>
      </c>
      <c r="M105" s="300" t="s">
        <v>108</v>
      </c>
      <c r="N105" s="300" t="s">
        <v>108</v>
      </c>
      <c r="O105" s="300" t="s">
        <v>108</v>
      </c>
      <c r="P105" s="300" t="s">
        <v>108</v>
      </c>
      <c r="Q105" s="300" t="s">
        <v>108</v>
      </c>
      <c r="R105" s="300" t="s">
        <v>108</v>
      </c>
      <c r="S105" s="300" t="s">
        <v>108</v>
      </c>
      <c r="T105" s="300" t="s">
        <v>108</v>
      </c>
      <c r="U105" s="300" t="s">
        <v>108</v>
      </c>
      <c r="V105" s="300" t="s">
        <v>108</v>
      </c>
      <c r="W105" s="300" t="s">
        <v>108</v>
      </c>
      <c r="X105" s="300" t="s">
        <v>108</v>
      </c>
      <c r="Y105" s="300" t="s">
        <v>108</v>
      </c>
      <c r="Z105" s="300" t="s">
        <v>108</v>
      </c>
      <c r="AA105" s="300" t="s">
        <v>108</v>
      </c>
      <c r="AB105" s="300" t="s">
        <v>108</v>
      </c>
      <c r="AC105" s="300" t="s">
        <v>108</v>
      </c>
      <c r="AD105" s="300" t="s">
        <v>108</v>
      </c>
      <c r="AE105" s="300" t="s">
        <v>108</v>
      </c>
      <c r="AF105" s="300" t="s">
        <v>108</v>
      </c>
      <c r="AG105" s="300" t="s">
        <v>108</v>
      </c>
      <c r="AH105" s="300" t="s">
        <v>108</v>
      </c>
      <c r="AI105" s="300" t="s">
        <v>108</v>
      </c>
      <c r="AJ105" s="300" t="s">
        <v>108</v>
      </c>
      <c r="AK105" s="300" t="s">
        <v>108</v>
      </c>
      <c r="AL105" s="300" t="s">
        <v>108</v>
      </c>
      <c r="AM105" s="344" t="s">
        <v>163</v>
      </c>
      <c r="AN105" s="344"/>
    </row>
    <row r="106" spans="1:40" ht="12.6">
      <c r="A106" s="990" t="s">
        <v>221</v>
      </c>
      <c r="B106" s="991" t="s">
        <v>132</v>
      </c>
      <c r="C106" s="991"/>
      <c r="D106" s="991" t="s">
        <v>129</v>
      </c>
      <c r="E106" s="991" t="s">
        <v>130</v>
      </c>
      <c r="F106" s="794" t="s">
        <v>108</v>
      </c>
      <c r="G106" s="794" t="s">
        <v>108</v>
      </c>
      <c r="H106" s="794" t="s">
        <v>108</v>
      </c>
      <c r="I106" s="794" t="s">
        <v>108</v>
      </c>
      <c r="J106" s="794" t="s">
        <v>108</v>
      </c>
      <c r="K106" s="794" t="s">
        <v>108</v>
      </c>
      <c r="L106" s="794" t="s">
        <v>108</v>
      </c>
      <c r="M106" s="794" t="s">
        <v>108</v>
      </c>
      <c r="N106" s="794" t="s">
        <v>108</v>
      </c>
      <c r="O106" s="794" t="s">
        <v>108</v>
      </c>
      <c r="P106" s="794" t="s">
        <v>108</v>
      </c>
      <c r="Q106" s="794" t="s">
        <v>108</v>
      </c>
      <c r="R106" s="794" t="s">
        <v>108</v>
      </c>
      <c r="S106" s="794" t="s">
        <v>108</v>
      </c>
      <c r="T106" s="794" t="s">
        <v>108</v>
      </c>
      <c r="U106" s="794" t="s">
        <v>108</v>
      </c>
      <c r="V106" s="794" t="s">
        <v>108</v>
      </c>
      <c r="W106" s="794" t="s">
        <v>108</v>
      </c>
      <c r="X106" s="794" t="s">
        <v>108</v>
      </c>
      <c r="Y106" s="794" t="s">
        <v>108</v>
      </c>
      <c r="Z106" s="794" t="s">
        <v>108</v>
      </c>
      <c r="AA106" s="794" t="s">
        <v>108</v>
      </c>
      <c r="AB106" s="794" t="s">
        <v>108</v>
      </c>
      <c r="AC106" s="794" t="s">
        <v>108</v>
      </c>
      <c r="AD106" s="794" t="s">
        <v>108</v>
      </c>
      <c r="AE106" s="794" t="s">
        <v>108</v>
      </c>
      <c r="AF106" s="794" t="s">
        <v>108</v>
      </c>
      <c r="AG106" s="794" t="s">
        <v>108</v>
      </c>
      <c r="AH106" s="794" t="s">
        <v>108</v>
      </c>
      <c r="AI106" s="794" t="s">
        <v>108</v>
      </c>
      <c r="AJ106" s="794" t="s">
        <v>108</v>
      </c>
      <c r="AK106" s="794" t="s">
        <v>108</v>
      </c>
      <c r="AL106" s="794" t="s">
        <v>108</v>
      </c>
      <c r="AM106" s="315"/>
      <c r="AN106" s="315"/>
    </row>
    <row r="107" spans="1:40" ht="12.6">
      <c r="A107" s="990" t="s">
        <v>222</v>
      </c>
      <c r="B107" s="991" t="s">
        <v>134</v>
      </c>
      <c r="C107" s="991"/>
      <c r="D107" s="315"/>
      <c r="E107" s="315" t="s">
        <v>125</v>
      </c>
      <c r="F107" s="293"/>
      <c r="G107" s="293"/>
      <c r="H107" s="293"/>
      <c r="I107" s="293"/>
      <c r="J107" s="293"/>
      <c r="K107" s="293"/>
      <c r="L107" s="293"/>
      <c r="M107" s="293"/>
      <c r="N107" s="293"/>
      <c r="O107" s="293"/>
      <c r="P107" s="293"/>
      <c r="Q107" s="293"/>
      <c r="R107" s="293"/>
      <c r="S107" s="293"/>
      <c r="T107" s="293"/>
      <c r="U107" s="293"/>
      <c r="V107" s="293"/>
      <c r="W107" s="293"/>
      <c r="X107" s="293"/>
      <c r="Y107" s="293"/>
      <c r="Z107" s="293"/>
      <c r="AA107" s="293"/>
      <c r="AB107" s="293"/>
      <c r="AC107" s="293"/>
      <c r="AD107" s="293"/>
      <c r="AE107" s="293"/>
      <c r="AF107" s="293"/>
      <c r="AG107" s="293"/>
      <c r="AH107" s="293"/>
      <c r="AI107" s="293"/>
      <c r="AJ107" s="293"/>
      <c r="AK107" s="293"/>
      <c r="AL107" s="293"/>
      <c r="AM107" s="315"/>
      <c r="AN107" s="315"/>
    </row>
    <row r="108" spans="1:40" s="797" customFormat="1" ht="12.95">
      <c r="A108" s="796" t="s">
        <v>223</v>
      </c>
      <c r="B108" s="796"/>
      <c r="C108" s="796"/>
      <c r="D108" s="796"/>
      <c r="E108" s="796"/>
      <c r="F108" s="795"/>
      <c r="G108" s="795"/>
      <c r="H108" s="795"/>
      <c r="I108" s="795"/>
      <c r="J108" s="795"/>
      <c r="K108" s="795"/>
      <c r="L108" s="795"/>
      <c r="M108" s="795"/>
      <c r="N108" s="795"/>
      <c r="O108" s="795"/>
      <c r="P108" s="795"/>
      <c r="Q108" s="795"/>
      <c r="R108" s="795"/>
      <c r="S108" s="795"/>
      <c r="T108" s="795"/>
      <c r="U108" s="795"/>
      <c r="V108" s="795"/>
      <c r="W108" s="795"/>
      <c r="X108" s="795"/>
      <c r="Y108" s="795"/>
      <c r="Z108" s="795"/>
      <c r="AA108" s="795"/>
      <c r="AB108" s="795"/>
      <c r="AC108" s="795"/>
      <c r="AD108" s="795"/>
      <c r="AE108" s="795"/>
      <c r="AF108" s="795"/>
      <c r="AG108" s="795"/>
      <c r="AH108" s="795"/>
      <c r="AI108" s="795"/>
      <c r="AJ108" s="795"/>
      <c r="AK108" s="795"/>
      <c r="AL108" s="795"/>
      <c r="AM108" s="796"/>
      <c r="AN108" s="796"/>
    </row>
    <row r="109" spans="1:40" s="792" customFormat="1" ht="12.6">
      <c r="A109" s="989" t="s">
        <v>224</v>
      </c>
      <c r="B109" s="791"/>
      <c r="C109" s="791"/>
      <c r="D109" s="791"/>
      <c r="E109" s="791"/>
      <c r="F109" s="790"/>
      <c r="G109" s="790"/>
      <c r="H109" s="790"/>
      <c r="I109" s="790"/>
      <c r="J109" s="790"/>
      <c r="K109" s="790"/>
      <c r="L109" s="790"/>
      <c r="M109" s="790"/>
      <c r="N109" s="790"/>
      <c r="O109" s="790"/>
      <c r="P109" s="790"/>
      <c r="Q109" s="790"/>
      <c r="R109" s="790"/>
      <c r="S109" s="790"/>
      <c r="T109" s="790"/>
      <c r="U109" s="790"/>
      <c r="V109" s="790"/>
      <c r="W109" s="790"/>
      <c r="X109" s="790"/>
      <c r="Y109" s="790"/>
      <c r="Z109" s="790"/>
      <c r="AA109" s="790"/>
      <c r="AB109" s="790"/>
      <c r="AC109" s="790"/>
      <c r="AD109" s="790"/>
      <c r="AE109" s="790"/>
      <c r="AF109" s="790"/>
      <c r="AG109" s="790"/>
      <c r="AH109" s="790"/>
      <c r="AI109" s="790"/>
      <c r="AJ109" s="790"/>
      <c r="AK109" s="790"/>
      <c r="AL109" s="790"/>
      <c r="AM109" s="791"/>
      <c r="AN109" s="791"/>
    </row>
    <row r="110" spans="1:40" ht="12.6">
      <c r="A110" s="990" t="s">
        <v>225</v>
      </c>
      <c r="B110" s="991" t="s">
        <v>121</v>
      </c>
      <c r="C110" s="991"/>
      <c r="D110" s="315"/>
      <c r="E110" s="991" t="s">
        <v>122</v>
      </c>
      <c r="F110" s="798">
        <f>'[5]Petroleum Refining'!C16</f>
        <v>72015.593730641864</v>
      </c>
      <c r="G110" s="798">
        <f>'[5]Petroleum Refining'!D16</f>
        <v>70048.442761751634</v>
      </c>
      <c r="H110" s="798">
        <f>'[5]Petroleum Refining'!E16</f>
        <v>68081.291792861433</v>
      </c>
      <c r="I110" s="798">
        <f>'[5]Petroleum Refining'!F16</f>
        <v>66114.140823971218</v>
      </c>
      <c r="J110" s="798">
        <f>'[5]Petroleum Refining'!G16</f>
        <v>64146.989855080996</v>
      </c>
      <c r="K110" s="798">
        <f>'[5]Petroleum Refining'!H16</f>
        <v>52227.837734571331</v>
      </c>
      <c r="L110" s="798">
        <f>'[5]Petroleum Refining'!I16</f>
        <v>40308.685614061666</v>
      </c>
      <c r="M110" s="798">
        <f>'[5]Petroleum Refining'!J16</f>
        <v>28389.533493551997</v>
      </c>
      <c r="N110" s="798">
        <f>'[5]Petroleum Refining'!K16</f>
        <v>16470.381373042332</v>
      </c>
      <c r="O110" s="798">
        <f>'[5]Petroleum Refining'!L16</f>
        <v>19389.877936582765</v>
      </c>
      <c r="P110" s="798">
        <f>'[5]Petroleum Refining'!M16</f>
        <v>22309.374500123195</v>
      </c>
      <c r="Q110" s="798">
        <f>'[5]Petroleum Refining'!N16</f>
        <v>25228.871063663621</v>
      </c>
      <c r="R110" s="798">
        <f>'[5]Petroleum Refining'!O16</f>
        <v>28148.367627204047</v>
      </c>
      <c r="S110" s="798">
        <f>'[5]Petroleum Refining'!P16</f>
        <v>35113.289623758777</v>
      </c>
      <c r="T110" s="798">
        <f>'[5]Petroleum Refining'!Q16</f>
        <v>42078.211620313516</v>
      </c>
      <c r="U110" s="798">
        <f>'[5]Petroleum Refining'!R16</f>
        <v>49043.133616868246</v>
      </c>
      <c r="V110" s="798">
        <f>'[5]Petroleum Refining'!S16</f>
        <v>56008.055613422985</v>
      </c>
      <c r="W110" s="798">
        <f>'[5]Petroleum Refining'!T16</f>
        <v>49870.007493315214</v>
      </c>
      <c r="X110" s="798">
        <f>'[5]Petroleum Refining'!U16</f>
        <v>43731.95937320745</v>
      </c>
      <c r="Y110" s="798">
        <f>'[5]Petroleum Refining'!V16</f>
        <v>37593.911253099686</v>
      </c>
      <c r="Z110" s="798">
        <f>'[5]Petroleum Refining'!W16</f>
        <v>31455.863132991926</v>
      </c>
      <c r="AA110" s="798">
        <f>'[5]Petroleum Refining'!X16</f>
        <v>27863.765242485388</v>
      </c>
      <c r="AB110" s="798">
        <f>'[5]Petroleum Refining'!Y16</f>
        <v>18715.903689936949</v>
      </c>
      <c r="AC110" s="798">
        <f>'[5]Petroleum Refining'!Z16</f>
        <v>11504.274221035848</v>
      </c>
      <c r="AD110" s="798">
        <f>'[5]Petroleum Refining'!AA16</f>
        <v>12108.140479697739</v>
      </c>
      <c r="AE110" s="798">
        <f>'[5]Petroleum Refining'!AB16</f>
        <v>11482.108371576907</v>
      </c>
      <c r="AF110" s="798">
        <f>'[5]Petroleum Refining'!AC16</f>
        <v>11566.363306793244</v>
      </c>
      <c r="AG110" s="798">
        <f>'[5]Petroleum Refining'!AD16</f>
        <v>9926.2440711682993</v>
      </c>
      <c r="AH110" s="798">
        <f>'[5]Petroleum Refining'!AE16</f>
        <v>12005.149385629949</v>
      </c>
      <c r="AI110" s="798">
        <f>'[5]Petroleum Refining'!AF16</f>
        <v>11236.463384764356</v>
      </c>
      <c r="AJ110" s="798">
        <f>'[5]Petroleum Refining'!AG16</f>
        <v>10596.489922078403</v>
      </c>
      <c r="AK110" s="798">
        <f>'[5]Petroleum Refining'!AH16</f>
        <v>10485.970279608022</v>
      </c>
      <c r="AL110" s="1068">
        <f>AK110</f>
        <v>10485.970279608022</v>
      </c>
      <c r="AM110" s="315"/>
      <c r="AN110" s="315"/>
    </row>
    <row r="111" spans="1:40" ht="12.6">
      <c r="A111" s="990" t="s">
        <v>226</v>
      </c>
      <c r="B111" s="991" t="s">
        <v>124</v>
      </c>
      <c r="C111" s="991"/>
      <c r="D111" s="315"/>
      <c r="E111" s="315" t="s">
        <v>125</v>
      </c>
      <c r="F111" s="300" t="s">
        <v>126</v>
      </c>
      <c r="G111" s="300" t="s">
        <v>126</v>
      </c>
      <c r="H111" s="300" t="s">
        <v>126</v>
      </c>
      <c r="I111" s="300" t="s">
        <v>126</v>
      </c>
      <c r="J111" s="300" t="s">
        <v>126</v>
      </c>
      <c r="K111" s="300" t="s">
        <v>126</v>
      </c>
      <c r="L111" s="300" t="s">
        <v>126</v>
      </c>
      <c r="M111" s="300" t="s">
        <v>126</v>
      </c>
      <c r="N111" s="300" t="s">
        <v>126</v>
      </c>
      <c r="O111" s="300" t="s">
        <v>126</v>
      </c>
      <c r="P111" s="300" t="s">
        <v>126</v>
      </c>
      <c r="Q111" s="300" t="s">
        <v>126</v>
      </c>
      <c r="R111" s="300" t="s">
        <v>126</v>
      </c>
      <c r="S111" s="300" t="s">
        <v>126</v>
      </c>
      <c r="T111" s="300" t="s">
        <v>126</v>
      </c>
      <c r="U111" s="300" t="s">
        <v>126</v>
      </c>
      <c r="V111" s="300" t="s">
        <v>126</v>
      </c>
      <c r="W111" s="300" t="s">
        <v>126</v>
      </c>
      <c r="X111" s="300" t="s">
        <v>126</v>
      </c>
      <c r="Y111" s="300" t="s">
        <v>126</v>
      </c>
      <c r="Z111" s="300" t="s">
        <v>126</v>
      </c>
      <c r="AA111" s="300" t="s">
        <v>126</v>
      </c>
      <c r="AB111" s="300" t="s">
        <v>126</v>
      </c>
      <c r="AC111" s="300" t="s">
        <v>126</v>
      </c>
      <c r="AD111" s="300" t="s">
        <v>126</v>
      </c>
      <c r="AE111" s="300" t="s">
        <v>126</v>
      </c>
      <c r="AF111" s="300" t="s">
        <v>126</v>
      </c>
      <c r="AG111" s="300" t="s">
        <v>126</v>
      </c>
      <c r="AH111" s="300" t="s">
        <v>126</v>
      </c>
      <c r="AI111" s="300" t="s">
        <v>126</v>
      </c>
      <c r="AJ111" s="300" t="s">
        <v>126</v>
      </c>
      <c r="AK111" s="300" t="s">
        <v>126</v>
      </c>
      <c r="AL111" s="300" t="s">
        <v>126</v>
      </c>
      <c r="AM111" s="315"/>
      <c r="AN111" s="315"/>
    </row>
    <row r="112" spans="1:40" ht="12.6">
      <c r="A112" s="990" t="s">
        <v>227</v>
      </c>
      <c r="B112" s="991" t="s">
        <v>128</v>
      </c>
      <c r="C112" s="991"/>
      <c r="D112" s="991" t="s">
        <v>129</v>
      </c>
      <c r="E112" s="991" t="s">
        <v>130</v>
      </c>
      <c r="F112" s="798">
        <f>'[5]Petroleum Refining'!C21</f>
        <v>5418.6046748496565</v>
      </c>
      <c r="G112" s="798">
        <f>'[5]Petroleum Refining'!D21</f>
        <v>5189.38095441515</v>
      </c>
      <c r="H112" s="798">
        <f>'[5]Petroleum Refining'!E21</f>
        <v>5105.0355797163174</v>
      </c>
      <c r="I112" s="798">
        <f>'[5]Petroleum Refining'!F21</f>
        <v>4910.4154071649436</v>
      </c>
      <c r="J112" s="798">
        <f>'[5]Petroleum Refining'!G21</f>
        <v>4776.6623253850703</v>
      </c>
      <c r="K112" s="798">
        <f>'[5]Petroleum Refining'!H21</f>
        <v>3820.7108388570859</v>
      </c>
      <c r="L112" s="798">
        <f>'[5]Petroleum Refining'!I21</f>
        <v>3022.4654534181168</v>
      </c>
      <c r="M112" s="798">
        <f>'[5]Petroleum Refining'!J21</f>
        <v>2136.6136026183653</v>
      </c>
      <c r="N112" s="798">
        <f>'[5]Petroleum Refining'!K21</f>
        <v>1259.7104395770689</v>
      </c>
      <c r="O112" s="798">
        <f>'[5]Petroleum Refining'!L21</f>
        <v>1499.9134018322018</v>
      </c>
      <c r="P112" s="798">
        <f>'[5]Petroleum Refining'!M21</f>
        <v>1696.8743150542484</v>
      </c>
      <c r="Q112" s="798">
        <f>'[5]Petroleum Refining'!N21</f>
        <v>1887.9639442433047</v>
      </c>
      <c r="R112" s="798">
        <f>'[5]Petroleum Refining'!O21</f>
        <v>2100.8401564210394</v>
      </c>
      <c r="S112" s="798">
        <f>'[5]Petroleum Refining'!P21</f>
        <v>2694.9699378456003</v>
      </c>
      <c r="T112" s="798">
        <f>'[5]Petroleum Refining'!Q21</f>
        <v>3206.154874192709</v>
      </c>
      <c r="U112" s="798">
        <f>'[5]Petroleum Refining'!R21</f>
        <v>3656.6841533455363</v>
      </c>
      <c r="V112" s="798">
        <f>'[5]Petroleum Refining'!S21</f>
        <v>4226.1950688659817</v>
      </c>
      <c r="W112" s="798">
        <f>'[5]Petroleum Refining'!T21</f>
        <v>3755.2771945850973</v>
      </c>
      <c r="X112" s="798">
        <f>'[5]Petroleum Refining'!U21</f>
        <v>3267.3741474144786</v>
      </c>
      <c r="Y112" s="798">
        <f>'[5]Petroleum Refining'!V21</f>
        <v>2737.1481792858863</v>
      </c>
      <c r="Z112" s="798">
        <f>'[5]Petroleum Refining'!W21</f>
        <v>2287.3900994753167</v>
      </c>
      <c r="AA112" s="798">
        <f>'[5]Petroleum Refining'!X21</f>
        <v>2021.6710342514095</v>
      </c>
      <c r="AB112" s="798">
        <f>'[5]Petroleum Refining'!Y21</f>
        <v>1356.8783280948505</v>
      </c>
      <c r="AC112" s="798">
        <f>'[5]Petroleum Refining'!Z21</f>
        <v>837.58414521005443</v>
      </c>
      <c r="AD112" s="798">
        <f>'[5]Petroleum Refining'!AA21</f>
        <v>893.7523042368598</v>
      </c>
      <c r="AE112" s="798">
        <f>'[5]Petroleum Refining'!AB21</f>
        <v>835.62519364041691</v>
      </c>
      <c r="AF112" s="798">
        <f>'[5]Petroleum Refining'!AC21</f>
        <v>881.16704359402604</v>
      </c>
      <c r="AG112" s="798">
        <f>'[5]Petroleum Refining'!AD21</f>
        <v>747.26974160224984</v>
      </c>
      <c r="AH112" s="798">
        <f>'[5]Petroleum Refining'!AE21</f>
        <v>918.70465463923983</v>
      </c>
      <c r="AI112" s="798">
        <f>'[5]Petroleum Refining'!AF21</f>
        <v>832.44024285157593</v>
      </c>
      <c r="AJ112" s="798">
        <f>'[5]Petroleum Refining'!AG21</f>
        <v>736.96720495876195</v>
      </c>
      <c r="AK112" s="798">
        <f>'[5]Petroleum Refining'!AH21</f>
        <v>751.96117051725912</v>
      </c>
      <c r="AL112" s="1068">
        <f>AK112</f>
        <v>751.96117051725912</v>
      </c>
      <c r="AM112" s="315"/>
      <c r="AN112" s="315"/>
    </row>
    <row r="113" spans="1:40" ht="12.6">
      <c r="A113" s="990" t="s">
        <v>228</v>
      </c>
      <c r="B113" s="991" t="s">
        <v>132</v>
      </c>
      <c r="C113" s="991"/>
      <c r="D113" s="991" t="s">
        <v>129</v>
      </c>
      <c r="E113" s="991" t="s">
        <v>130</v>
      </c>
      <c r="F113" s="799" t="s">
        <v>106</v>
      </c>
      <c r="G113" s="799" t="s">
        <v>106</v>
      </c>
      <c r="H113" s="799" t="s">
        <v>106</v>
      </c>
      <c r="I113" s="799" t="s">
        <v>106</v>
      </c>
      <c r="J113" s="799" t="s">
        <v>106</v>
      </c>
      <c r="K113" s="799" t="s">
        <v>106</v>
      </c>
      <c r="L113" s="799" t="s">
        <v>106</v>
      </c>
      <c r="M113" s="799" t="s">
        <v>106</v>
      </c>
      <c r="N113" s="799" t="s">
        <v>106</v>
      </c>
      <c r="O113" s="799" t="s">
        <v>106</v>
      </c>
      <c r="P113" s="799" t="s">
        <v>106</v>
      </c>
      <c r="Q113" s="799" t="s">
        <v>106</v>
      </c>
      <c r="R113" s="799" t="s">
        <v>106</v>
      </c>
      <c r="S113" s="799" t="s">
        <v>106</v>
      </c>
      <c r="T113" s="799" t="s">
        <v>106</v>
      </c>
      <c r="U113" s="799" t="s">
        <v>106</v>
      </c>
      <c r="V113" s="799" t="s">
        <v>106</v>
      </c>
      <c r="W113" s="799" t="s">
        <v>106</v>
      </c>
      <c r="X113" s="799" t="s">
        <v>106</v>
      </c>
      <c r="Y113" s="799" t="s">
        <v>106</v>
      </c>
      <c r="Z113" s="799" t="s">
        <v>106</v>
      </c>
      <c r="AA113" s="799" t="s">
        <v>106</v>
      </c>
      <c r="AB113" s="799" t="s">
        <v>106</v>
      </c>
      <c r="AC113" s="799" t="s">
        <v>106</v>
      </c>
      <c r="AD113" s="799" t="s">
        <v>106</v>
      </c>
      <c r="AE113" s="799" t="s">
        <v>106</v>
      </c>
      <c r="AF113" s="799" t="s">
        <v>106</v>
      </c>
      <c r="AG113" s="799" t="s">
        <v>106</v>
      </c>
      <c r="AH113" s="799" t="s">
        <v>106</v>
      </c>
      <c r="AI113" s="799" t="s">
        <v>106</v>
      </c>
      <c r="AJ113" s="799" t="s">
        <v>106</v>
      </c>
      <c r="AK113" s="799" t="s">
        <v>106</v>
      </c>
      <c r="AL113" s="799" t="s">
        <v>106</v>
      </c>
      <c r="AM113" s="315"/>
      <c r="AN113" s="315"/>
    </row>
    <row r="114" spans="1:40" ht="12.6">
      <c r="A114" s="990" t="s">
        <v>229</v>
      </c>
      <c r="B114" s="991" t="s">
        <v>134</v>
      </c>
      <c r="D114" s="315"/>
      <c r="E114" s="315"/>
      <c r="F114" s="800" t="s">
        <v>230</v>
      </c>
      <c r="G114" s="800" t="s">
        <v>230</v>
      </c>
      <c r="H114" s="800" t="s">
        <v>230</v>
      </c>
      <c r="I114" s="800" t="s">
        <v>230</v>
      </c>
      <c r="J114" s="800" t="s">
        <v>230</v>
      </c>
      <c r="K114" s="800" t="s">
        <v>230</v>
      </c>
      <c r="L114" s="800" t="s">
        <v>230</v>
      </c>
      <c r="M114" s="800" t="s">
        <v>230</v>
      </c>
      <c r="N114" s="800" t="s">
        <v>230</v>
      </c>
      <c r="O114" s="800" t="s">
        <v>230</v>
      </c>
      <c r="P114" s="800" t="s">
        <v>230</v>
      </c>
      <c r="Q114" s="800" t="s">
        <v>230</v>
      </c>
      <c r="R114" s="800" t="s">
        <v>230</v>
      </c>
      <c r="S114" s="800" t="s">
        <v>230</v>
      </c>
      <c r="T114" s="800" t="s">
        <v>230</v>
      </c>
      <c r="U114" s="800" t="s">
        <v>230</v>
      </c>
      <c r="V114" s="800" t="s">
        <v>230</v>
      </c>
      <c r="W114" s="800" t="s">
        <v>230</v>
      </c>
      <c r="X114" s="800" t="s">
        <v>230</v>
      </c>
      <c r="Y114" s="800" t="s">
        <v>230</v>
      </c>
      <c r="Z114" s="800" t="s">
        <v>230</v>
      </c>
      <c r="AA114" s="800" t="s">
        <v>230</v>
      </c>
      <c r="AB114" s="800" t="s">
        <v>230</v>
      </c>
      <c r="AC114" s="800" t="s">
        <v>230</v>
      </c>
      <c r="AD114" s="800" t="s">
        <v>230</v>
      </c>
      <c r="AE114" s="800" t="s">
        <v>230</v>
      </c>
      <c r="AF114" s="800" t="s">
        <v>230</v>
      </c>
      <c r="AG114" s="800" t="s">
        <v>230</v>
      </c>
      <c r="AH114" s="800" t="s">
        <v>230</v>
      </c>
      <c r="AI114" s="800" t="s">
        <v>230</v>
      </c>
      <c r="AJ114" s="800" t="s">
        <v>230</v>
      </c>
      <c r="AK114" s="800" t="s">
        <v>230</v>
      </c>
      <c r="AL114" s="800" t="s">
        <v>230</v>
      </c>
      <c r="AM114" s="315"/>
      <c r="AN114" s="315"/>
    </row>
    <row r="115" spans="1:40" s="792" customFormat="1" ht="12.6">
      <c r="A115" s="989" t="s">
        <v>231</v>
      </c>
      <c r="B115" s="791"/>
      <c r="C115" s="791"/>
      <c r="D115" s="791"/>
      <c r="E115" s="791"/>
      <c r="F115" s="790"/>
      <c r="G115" s="790"/>
      <c r="H115" s="790"/>
      <c r="I115" s="790"/>
      <c r="J115" s="790"/>
      <c r="K115" s="790"/>
      <c r="L115" s="790"/>
      <c r="M115" s="790"/>
      <c r="N115" s="790"/>
      <c r="O115" s="790"/>
      <c r="P115" s="790"/>
      <c r="Q115" s="790"/>
      <c r="R115" s="790"/>
      <c r="S115" s="790"/>
      <c r="T115" s="790"/>
      <c r="U115" s="790"/>
      <c r="V115" s="790"/>
      <c r="W115" s="790"/>
      <c r="X115" s="790"/>
      <c r="Y115" s="790"/>
      <c r="Z115" s="790"/>
      <c r="AA115" s="790"/>
      <c r="AB115" s="790"/>
      <c r="AC115" s="790"/>
      <c r="AD115" s="790"/>
      <c r="AE115" s="790"/>
      <c r="AF115" s="790"/>
      <c r="AG115" s="790"/>
      <c r="AH115" s="790"/>
      <c r="AI115" s="790"/>
      <c r="AJ115" s="790"/>
      <c r="AK115" s="790"/>
      <c r="AL115" s="790"/>
      <c r="AM115" s="791"/>
      <c r="AN115" s="791"/>
    </row>
    <row r="116" spans="1:40" ht="12.6">
      <c r="A116" s="990" t="s">
        <v>232</v>
      </c>
      <c r="B116" s="991" t="s">
        <v>121</v>
      </c>
      <c r="C116" s="991"/>
      <c r="D116" s="315"/>
      <c r="E116" s="991" t="s">
        <v>122</v>
      </c>
      <c r="F116" s="798">
        <f>'[5]Petroleum Refining'!C17</f>
        <v>1588.8736973835557</v>
      </c>
      <c r="G116" s="798">
        <f>'[5]Petroleum Refining'!D17</f>
        <v>1191.6552730376668</v>
      </c>
      <c r="H116" s="798">
        <f>'[5]Petroleum Refining'!E17</f>
        <v>794.43684869177787</v>
      </c>
      <c r="I116" s="798">
        <f>'[5]Petroleum Refining'!F17</f>
        <v>397.21842434588893</v>
      </c>
      <c r="J116" s="798">
        <f>'[5]Petroleum Refining'!G17</f>
        <v>0</v>
      </c>
      <c r="K116" s="798">
        <f>'[5]Petroleum Refining'!H17</f>
        <v>0</v>
      </c>
      <c r="L116" s="798">
        <f>'[5]Petroleum Refining'!I17</f>
        <v>0</v>
      </c>
      <c r="M116" s="798">
        <f>'[5]Petroleum Refining'!J17</f>
        <v>0</v>
      </c>
      <c r="N116" s="798">
        <f>'[5]Petroleum Refining'!K17</f>
        <v>0</v>
      </c>
      <c r="O116" s="798">
        <f>'[5]Petroleum Refining'!L17</f>
        <v>99.304606086472234</v>
      </c>
      <c r="P116" s="798">
        <f>'[5]Petroleum Refining'!M17</f>
        <v>198.60921217294447</v>
      </c>
      <c r="Q116" s="798">
        <f>'[5]Petroleum Refining'!N17</f>
        <v>297.9138182594167</v>
      </c>
      <c r="R116" s="798">
        <f>'[5]Petroleum Refining'!O17</f>
        <v>397.21842434588893</v>
      </c>
      <c r="S116" s="798">
        <f>'[5]Petroleum Refining'!P17</f>
        <v>397.21842434588893</v>
      </c>
      <c r="T116" s="798">
        <f>'[5]Petroleum Refining'!Q17</f>
        <v>397.21842434588893</v>
      </c>
      <c r="U116" s="798">
        <f>'[5]Petroleum Refining'!R17</f>
        <v>397.21842434588893</v>
      </c>
      <c r="V116" s="798">
        <f>'[5]Petroleum Refining'!S17</f>
        <v>397.21842434588893</v>
      </c>
      <c r="W116" s="798">
        <f>'[5]Petroleum Refining'!T17</f>
        <v>443.24776195782169</v>
      </c>
      <c r="X116" s="798">
        <f>'[5]Petroleum Refining'!U17</f>
        <v>489.27709956975451</v>
      </c>
      <c r="Y116" s="798">
        <f>'[5]Petroleum Refining'!V17</f>
        <v>535.30643718168733</v>
      </c>
      <c r="Z116" s="798">
        <f>'[5]Petroleum Refining'!W17</f>
        <v>581.33577479362009</v>
      </c>
      <c r="AA116" s="798">
        <f>'[5]Petroleum Refining'!X17</f>
        <v>854.03043556191085</v>
      </c>
      <c r="AB116" s="798">
        <f>'[5]Petroleum Refining'!Y17</f>
        <v>667.12401540092822</v>
      </c>
      <c r="AC116" s="798">
        <f>'[5]Petroleum Refining'!Z17</f>
        <v>563.93232990394006</v>
      </c>
      <c r="AD116" s="798">
        <f>'[5]Petroleum Refining'!AA17</f>
        <v>610.31949824404671</v>
      </c>
      <c r="AE116" s="798">
        <f>'[5]Petroleum Refining'!AB17</f>
        <v>483.79310142443234</v>
      </c>
      <c r="AF116" s="798">
        <f>'[5]Petroleum Refining'!AC17</f>
        <v>307.66618540997996</v>
      </c>
      <c r="AG116" s="798">
        <f>'[5]Petroleum Refining'!AD17</f>
        <v>18.855956388323349</v>
      </c>
      <c r="AH116" s="798">
        <f>'[5]Petroleum Refining'!AE17</f>
        <v>0</v>
      </c>
      <c r="AI116" s="798">
        <f>'[5]Petroleum Refining'!AF17</f>
        <v>0</v>
      </c>
      <c r="AJ116" s="798">
        <f>'[5]Petroleum Refining'!AG17</f>
        <v>0</v>
      </c>
      <c r="AK116" s="798">
        <f>'[5]Petroleum Refining'!AH17</f>
        <v>0</v>
      </c>
      <c r="AL116" s="1068">
        <f>AK116</f>
        <v>0</v>
      </c>
      <c r="AM116" s="315"/>
      <c r="AN116" s="315"/>
    </row>
    <row r="117" spans="1:40" ht="12.6">
      <c r="A117" s="990" t="s">
        <v>233</v>
      </c>
      <c r="B117" s="991" t="s">
        <v>124</v>
      </c>
      <c r="C117" s="991"/>
      <c r="D117" s="315"/>
      <c r="E117" s="315" t="s">
        <v>125</v>
      </c>
      <c r="F117" s="300" t="s">
        <v>126</v>
      </c>
      <c r="G117" s="300" t="s">
        <v>126</v>
      </c>
      <c r="H117" s="300" t="s">
        <v>126</v>
      </c>
      <c r="I117" s="300" t="s">
        <v>126</v>
      </c>
      <c r="J117" s="300" t="s">
        <v>126</v>
      </c>
      <c r="K117" s="300" t="s">
        <v>126</v>
      </c>
      <c r="L117" s="300" t="s">
        <v>126</v>
      </c>
      <c r="M117" s="300" t="s">
        <v>126</v>
      </c>
      <c r="N117" s="300" t="s">
        <v>126</v>
      </c>
      <c r="O117" s="300" t="s">
        <v>126</v>
      </c>
      <c r="P117" s="300" t="s">
        <v>126</v>
      </c>
      <c r="Q117" s="300" t="s">
        <v>126</v>
      </c>
      <c r="R117" s="300" t="s">
        <v>126</v>
      </c>
      <c r="S117" s="300" t="s">
        <v>126</v>
      </c>
      <c r="T117" s="300" t="s">
        <v>126</v>
      </c>
      <c r="U117" s="300" t="s">
        <v>126</v>
      </c>
      <c r="V117" s="300" t="s">
        <v>126</v>
      </c>
      <c r="W117" s="300" t="s">
        <v>126</v>
      </c>
      <c r="X117" s="300" t="s">
        <v>126</v>
      </c>
      <c r="Y117" s="300" t="s">
        <v>126</v>
      </c>
      <c r="Z117" s="300" t="s">
        <v>126</v>
      </c>
      <c r="AA117" s="300" t="s">
        <v>126</v>
      </c>
      <c r="AB117" s="300" t="s">
        <v>126</v>
      </c>
      <c r="AC117" s="300" t="s">
        <v>126</v>
      </c>
      <c r="AD117" s="300" t="s">
        <v>126</v>
      </c>
      <c r="AE117" s="300" t="s">
        <v>126</v>
      </c>
      <c r="AF117" s="300" t="s">
        <v>126</v>
      </c>
      <c r="AG117" s="300" t="s">
        <v>126</v>
      </c>
      <c r="AH117" s="300" t="s">
        <v>126</v>
      </c>
      <c r="AI117" s="300" t="s">
        <v>126</v>
      </c>
      <c r="AJ117" s="300" t="s">
        <v>126</v>
      </c>
      <c r="AK117" s="300" t="s">
        <v>126</v>
      </c>
      <c r="AL117" s="300" t="s">
        <v>126</v>
      </c>
      <c r="AM117" s="315"/>
      <c r="AN117" s="315"/>
    </row>
    <row r="118" spans="1:40" ht="12.6">
      <c r="A118" s="990" t="s">
        <v>234</v>
      </c>
      <c r="B118" s="991" t="s">
        <v>128</v>
      </c>
      <c r="C118" s="991"/>
      <c r="D118" s="991" t="s">
        <v>129</v>
      </c>
      <c r="E118" s="991" t="s">
        <v>130</v>
      </c>
      <c r="F118" s="798">
        <f>'[5]Petroleum Refining'!C22</f>
        <v>142.49513441253899</v>
      </c>
      <c r="G118" s="798">
        <f>'[5]Petroleum Refining'!D22</f>
        <v>107.14567169213257</v>
      </c>
      <c r="H118" s="798">
        <f>'[5]Petroleum Refining'!E22</f>
        <v>71.386406805703302</v>
      </c>
      <c r="I118" s="798">
        <f>'[5]Petroleum Refining'!F22</f>
        <v>35.560263742976986</v>
      </c>
      <c r="J118" s="798">
        <f>'[5]Petroleum Refining'!G22</f>
        <v>0</v>
      </c>
      <c r="K118" s="798">
        <f>'[5]Petroleum Refining'!H22</f>
        <v>0</v>
      </c>
      <c r="L118" s="798">
        <f>'[5]Petroleum Refining'!I22</f>
        <v>0</v>
      </c>
      <c r="M118" s="798">
        <f>'[5]Petroleum Refining'!J22</f>
        <v>0</v>
      </c>
      <c r="N118" s="798">
        <f>'[5]Petroleum Refining'!K22</f>
        <v>0</v>
      </c>
      <c r="O118" s="798">
        <f>'[5]Petroleum Refining'!L22</f>
        <v>8.9025806389363815</v>
      </c>
      <c r="P118" s="798">
        <f>'[5]Petroleum Refining'!M22</f>
        <v>17.764147408327883</v>
      </c>
      <c r="Q118" s="798">
        <f>'[5]Petroleum Refining'!N22</f>
        <v>26.561185040800428</v>
      </c>
      <c r="R118" s="798">
        <f>'[5]Petroleum Refining'!O22</f>
        <v>35.287173863974928</v>
      </c>
      <c r="S118" s="798">
        <f>'[5]Petroleum Refining'!P22</f>
        <v>35.258286327010673</v>
      </c>
      <c r="T118" s="798">
        <f>'[5]Petroleum Refining'!Q22</f>
        <v>35.268473177348156</v>
      </c>
      <c r="U118" s="798">
        <f>'[5]Petroleum Refining'!R22</f>
        <v>35.608738561115487</v>
      </c>
      <c r="V118" s="798">
        <f>'[5]Petroleum Refining'!S22</f>
        <v>35.661318802003088</v>
      </c>
      <c r="W118" s="798">
        <f>'[5]Petroleum Refining'!T22</f>
        <v>39.762215815916825</v>
      </c>
      <c r="X118" s="798">
        <f>'[5]Petroleum Refining'!U22</f>
        <v>43.890417445393993</v>
      </c>
      <c r="Y118" s="798">
        <f>'[5]Petroleum Refining'!V22</f>
        <v>48.113888958629843</v>
      </c>
      <c r="Z118" s="798">
        <f>'[5]Petroleum Refining'!W22</f>
        <v>52.250869068006786</v>
      </c>
      <c r="AA118" s="798">
        <f>'[5]Petroleum Refining'!X22</f>
        <v>76.819016137710847</v>
      </c>
      <c r="AB118" s="798">
        <f>'[5]Petroleum Refining'!Y22</f>
        <v>60.130716785234895</v>
      </c>
      <c r="AC118" s="798">
        <f>'[5]Petroleum Refining'!Z22</f>
        <v>50.810112335066201</v>
      </c>
      <c r="AD118" s="798">
        <f>'[5]Petroleum Refining'!AA22</f>
        <v>55.032269668890386</v>
      </c>
      <c r="AE118" s="798">
        <f>'[5]Petroleum Refining'!AB22</f>
        <v>43.721854027457844</v>
      </c>
      <c r="AF118" s="798">
        <f>'[5]Petroleum Refining'!AC22</f>
        <v>27.83725766509513</v>
      </c>
      <c r="AG118" s="798">
        <f>'[5]Petroleum Refining'!AD22</f>
        <v>1.7076805567445219</v>
      </c>
      <c r="AH118" s="798">
        <f>'[5]Petroleum Refining'!AE22</f>
        <v>0</v>
      </c>
      <c r="AI118" s="798">
        <f>'[5]Petroleum Refining'!AF22</f>
        <v>0</v>
      </c>
      <c r="AJ118" s="798">
        <f>'[5]Petroleum Refining'!AG22</f>
        <v>0</v>
      </c>
      <c r="AK118" s="798">
        <f>'[5]Petroleum Refining'!AH22</f>
        <v>0</v>
      </c>
      <c r="AL118" s="1068">
        <f>AK118</f>
        <v>0</v>
      </c>
      <c r="AM118" s="315"/>
      <c r="AN118" s="315"/>
    </row>
    <row r="119" spans="1:40" ht="12.6">
      <c r="A119" s="990" t="s">
        <v>235</v>
      </c>
      <c r="B119" s="991" t="s">
        <v>132</v>
      </c>
      <c r="C119" s="991"/>
      <c r="D119" s="991" t="s">
        <v>129</v>
      </c>
      <c r="E119" s="991" t="s">
        <v>130</v>
      </c>
      <c r="F119" s="799" t="s">
        <v>106</v>
      </c>
      <c r="G119" s="799" t="s">
        <v>106</v>
      </c>
      <c r="H119" s="799" t="s">
        <v>106</v>
      </c>
      <c r="I119" s="799" t="s">
        <v>106</v>
      </c>
      <c r="J119" s="799" t="s">
        <v>106</v>
      </c>
      <c r="K119" s="799" t="s">
        <v>106</v>
      </c>
      <c r="L119" s="799" t="s">
        <v>106</v>
      </c>
      <c r="M119" s="799" t="s">
        <v>106</v>
      </c>
      <c r="N119" s="799" t="s">
        <v>106</v>
      </c>
      <c r="O119" s="799" t="s">
        <v>106</v>
      </c>
      <c r="P119" s="799" t="s">
        <v>106</v>
      </c>
      <c r="Q119" s="799" t="s">
        <v>106</v>
      </c>
      <c r="R119" s="799" t="s">
        <v>106</v>
      </c>
      <c r="S119" s="799" t="s">
        <v>106</v>
      </c>
      <c r="T119" s="799" t="s">
        <v>106</v>
      </c>
      <c r="U119" s="799" t="s">
        <v>106</v>
      </c>
      <c r="V119" s="799" t="s">
        <v>106</v>
      </c>
      <c r="W119" s="799" t="s">
        <v>106</v>
      </c>
      <c r="X119" s="799" t="s">
        <v>106</v>
      </c>
      <c r="Y119" s="799" t="s">
        <v>106</v>
      </c>
      <c r="Z119" s="799" t="s">
        <v>106</v>
      </c>
      <c r="AA119" s="799" t="s">
        <v>106</v>
      </c>
      <c r="AB119" s="799" t="s">
        <v>106</v>
      </c>
      <c r="AC119" s="799" t="s">
        <v>106</v>
      </c>
      <c r="AD119" s="799" t="s">
        <v>106</v>
      </c>
      <c r="AE119" s="799" t="s">
        <v>106</v>
      </c>
      <c r="AF119" s="799" t="s">
        <v>106</v>
      </c>
      <c r="AG119" s="799" t="s">
        <v>106</v>
      </c>
      <c r="AH119" s="799" t="s">
        <v>106</v>
      </c>
      <c r="AI119" s="799" t="s">
        <v>106</v>
      </c>
      <c r="AJ119" s="799" t="s">
        <v>106</v>
      </c>
      <c r="AK119" s="799" t="s">
        <v>106</v>
      </c>
      <c r="AL119" s="799" t="s">
        <v>106</v>
      </c>
      <c r="AM119" s="315"/>
      <c r="AN119" s="315"/>
    </row>
    <row r="120" spans="1:40" ht="12.6">
      <c r="A120" s="990" t="s">
        <v>236</v>
      </c>
      <c r="B120" s="991" t="s">
        <v>134</v>
      </c>
      <c r="D120" s="315"/>
      <c r="E120" s="315"/>
      <c r="F120" s="800" t="s">
        <v>230</v>
      </c>
      <c r="G120" s="800" t="s">
        <v>230</v>
      </c>
      <c r="H120" s="800" t="s">
        <v>230</v>
      </c>
      <c r="I120" s="800" t="s">
        <v>230</v>
      </c>
      <c r="J120" s="800" t="s">
        <v>230</v>
      </c>
      <c r="K120" s="800" t="s">
        <v>230</v>
      </c>
      <c r="L120" s="800" t="s">
        <v>230</v>
      </c>
      <c r="M120" s="800" t="s">
        <v>230</v>
      </c>
      <c r="N120" s="800" t="s">
        <v>230</v>
      </c>
      <c r="O120" s="800" t="s">
        <v>230</v>
      </c>
      <c r="P120" s="800" t="s">
        <v>230</v>
      </c>
      <c r="Q120" s="800" t="s">
        <v>230</v>
      </c>
      <c r="R120" s="800" t="s">
        <v>230</v>
      </c>
      <c r="S120" s="800" t="s">
        <v>230</v>
      </c>
      <c r="T120" s="800" t="s">
        <v>230</v>
      </c>
      <c r="U120" s="800" t="s">
        <v>230</v>
      </c>
      <c r="V120" s="800" t="s">
        <v>230</v>
      </c>
      <c r="W120" s="800" t="s">
        <v>230</v>
      </c>
      <c r="X120" s="800" t="s">
        <v>230</v>
      </c>
      <c r="Y120" s="800" t="s">
        <v>230</v>
      </c>
      <c r="Z120" s="800" t="s">
        <v>230</v>
      </c>
      <c r="AA120" s="800" t="s">
        <v>230</v>
      </c>
      <c r="AB120" s="800" t="s">
        <v>230</v>
      </c>
      <c r="AC120" s="800" t="s">
        <v>230</v>
      </c>
      <c r="AD120" s="800" t="s">
        <v>230</v>
      </c>
      <c r="AE120" s="800" t="s">
        <v>230</v>
      </c>
      <c r="AF120" s="800" t="s">
        <v>230</v>
      </c>
      <c r="AG120" s="800" t="s">
        <v>230</v>
      </c>
      <c r="AH120" s="800" t="s">
        <v>230</v>
      </c>
      <c r="AI120" s="800" t="s">
        <v>230</v>
      </c>
      <c r="AJ120" s="800" t="s">
        <v>230</v>
      </c>
      <c r="AK120" s="800" t="s">
        <v>230</v>
      </c>
      <c r="AL120" s="800" t="s">
        <v>230</v>
      </c>
      <c r="AM120" s="315"/>
      <c r="AN120" s="315"/>
    </row>
    <row r="121" spans="1:40" s="792" customFormat="1" ht="12.6">
      <c r="A121" s="989" t="s">
        <v>237</v>
      </c>
      <c r="B121" s="791"/>
      <c r="C121" s="791"/>
      <c r="D121" s="791"/>
      <c r="E121" s="791"/>
      <c r="F121" s="790"/>
      <c r="G121" s="790"/>
      <c r="H121" s="790"/>
      <c r="I121" s="790"/>
      <c r="J121" s="790"/>
      <c r="K121" s="790"/>
      <c r="L121" s="790"/>
      <c r="M121" s="790"/>
      <c r="N121" s="790"/>
      <c r="O121" s="790"/>
      <c r="P121" s="790"/>
      <c r="Q121" s="790"/>
      <c r="R121" s="790"/>
      <c r="S121" s="790"/>
      <c r="T121" s="790"/>
      <c r="U121" s="790"/>
      <c r="V121" s="790"/>
      <c r="W121" s="790"/>
      <c r="X121" s="790"/>
      <c r="Y121" s="790"/>
      <c r="Z121" s="790"/>
      <c r="AA121" s="790"/>
      <c r="AB121" s="790"/>
      <c r="AC121" s="790"/>
      <c r="AD121" s="790"/>
      <c r="AE121" s="790"/>
      <c r="AF121" s="790"/>
      <c r="AG121" s="790"/>
      <c r="AH121" s="790"/>
      <c r="AI121" s="790"/>
      <c r="AJ121" s="790"/>
      <c r="AK121" s="790"/>
      <c r="AL121" s="790"/>
      <c r="AM121" s="791"/>
      <c r="AN121" s="791"/>
    </row>
    <row r="122" spans="1:40" ht="12.6">
      <c r="A122" s="990" t="s">
        <v>238</v>
      </c>
      <c r="B122" s="991" t="s">
        <v>121</v>
      </c>
      <c r="C122" s="991"/>
      <c r="D122" s="315"/>
      <c r="E122" s="991" t="s">
        <v>122</v>
      </c>
      <c r="F122" s="798">
        <f>'[5]Petroleum Refining'!C18</f>
        <v>1459596.8993816341</v>
      </c>
      <c r="G122" s="798">
        <f>'[5]Petroleum Refining'!D18</f>
        <v>1517555.5483858408</v>
      </c>
      <c r="H122" s="798">
        <f>'[5]Petroleum Refining'!E18</f>
        <v>1575514.1973900474</v>
      </c>
      <c r="I122" s="798">
        <f>'[5]Petroleum Refining'!F18</f>
        <v>1633472.8463942539</v>
      </c>
      <c r="J122" s="798">
        <f>'[5]Petroleum Refining'!G18</f>
        <v>1691431.4953984609</v>
      </c>
      <c r="K122" s="798">
        <f>'[5]Petroleum Refining'!H18</f>
        <v>1731659.8335516225</v>
      </c>
      <c r="L122" s="798">
        <f>'[5]Petroleum Refining'!I18</f>
        <v>1771888.1717047843</v>
      </c>
      <c r="M122" s="798">
        <f>'[5]Petroleum Refining'!J18</f>
        <v>1812116.5098579461</v>
      </c>
      <c r="N122" s="798">
        <f>'[5]Petroleum Refining'!K18</f>
        <v>1852344.8480111079</v>
      </c>
      <c r="O122" s="798">
        <f>'[5]Petroleum Refining'!L18</f>
        <v>1808742.4658857395</v>
      </c>
      <c r="P122" s="798">
        <f>'[5]Petroleum Refining'!M18</f>
        <v>1765140.0837603712</v>
      </c>
      <c r="Q122" s="798">
        <f>'[5]Petroleum Refining'!N18</f>
        <v>1721537.7016350029</v>
      </c>
      <c r="R122" s="798">
        <f>'[5]Petroleum Refining'!O18</f>
        <v>1677935.3195096343</v>
      </c>
      <c r="S122" s="798">
        <f>'[5]Petroleum Refining'!P18</f>
        <v>1695102.5933617412</v>
      </c>
      <c r="T122" s="798">
        <f>'[5]Petroleum Refining'!Q18</f>
        <v>1712269.8672138478</v>
      </c>
      <c r="U122" s="798">
        <f>'[5]Petroleum Refining'!R18</f>
        <v>1729437.1410659542</v>
      </c>
      <c r="V122" s="798">
        <f>'[5]Petroleum Refining'!S18</f>
        <v>1746604.4149180616</v>
      </c>
      <c r="W122" s="798">
        <f>'[5]Petroleum Refining'!T18</f>
        <v>1740375.4350524896</v>
      </c>
      <c r="X122" s="798">
        <f>'[5]Petroleum Refining'!U18</f>
        <v>1734146.4551869177</v>
      </c>
      <c r="Y122" s="798">
        <f>'[5]Petroleum Refining'!V18</f>
        <v>1727917.4753213457</v>
      </c>
      <c r="Z122" s="798">
        <f>'[5]Petroleum Refining'!W18</f>
        <v>1721688.4954557742</v>
      </c>
      <c r="AA122" s="798">
        <f>'[5]Petroleum Refining'!X18</f>
        <v>1728385.9224159925</v>
      </c>
      <c r="AB122" s="798">
        <f>'[5]Petroleum Refining'!Y18</f>
        <v>1683831.9894912366</v>
      </c>
      <c r="AC122" s="798">
        <f>'[5]Petroleum Refining'!Z18</f>
        <v>1740710.1053046875</v>
      </c>
      <c r="AD122" s="798">
        <f>'[5]Petroleum Refining'!AA18</f>
        <v>1747854.85304517</v>
      </c>
      <c r="AE122" s="798">
        <f>'[5]Petroleum Refining'!AB18</f>
        <v>1768694.5651066066</v>
      </c>
      <c r="AF122" s="798">
        <f>'[5]Petroleum Refining'!AC18</f>
        <v>1796678.5886981641</v>
      </c>
      <c r="AG122" s="798">
        <f>'[5]Petroleum Refining'!AD18</f>
        <v>1793449.3720505484</v>
      </c>
      <c r="AH122" s="798">
        <f>'[5]Petroleum Refining'!AE18</f>
        <v>1846107.3211451313</v>
      </c>
      <c r="AI122" s="798">
        <f>'[5]Petroleum Refining'!AF18</f>
        <v>1814535.6460753805</v>
      </c>
      <c r="AJ122" s="798">
        <f>'[5]Petroleum Refining'!AG18</f>
        <v>1698512.0963329365</v>
      </c>
      <c r="AK122" s="798">
        <f>'[5]Petroleum Refining'!AH18</f>
        <v>1727681.4466960004</v>
      </c>
      <c r="AL122" s="1068">
        <f>AK122</f>
        <v>1727681.4466960004</v>
      </c>
      <c r="AM122" s="315"/>
      <c r="AN122" s="315"/>
    </row>
    <row r="123" spans="1:40" ht="12.6">
      <c r="A123" s="990" t="s">
        <v>239</v>
      </c>
      <c r="B123" s="991" t="s">
        <v>124</v>
      </c>
      <c r="C123" s="991"/>
      <c r="D123" s="315"/>
      <c r="E123" s="315" t="s">
        <v>125</v>
      </c>
      <c r="F123" s="300" t="s">
        <v>126</v>
      </c>
      <c r="G123" s="300" t="s">
        <v>126</v>
      </c>
      <c r="H123" s="300" t="s">
        <v>126</v>
      </c>
      <c r="I123" s="300" t="s">
        <v>126</v>
      </c>
      <c r="J123" s="300" t="s">
        <v>126</v>
      </c>
      <c r="K123" s="300" t="s">
        <v>126</v>
      </c>
      <c r="L123" s="300" t="s">
        <v>126</v>
      </c>
      <c r="M123" s="300" t="s">
        <v>126</v>
      </c>
      <c r="N123" s="300" t="s">
        <v>126</v>
      </c>
      <c r="O123" s="300" t="s">
        <v>126</v>
      </c>
      <c r="P123" s="300" t="s">
        <v>126</v>
      </c>
      <c r="Q123" s="300" t="s">
        <v>126</v>
      </c>
      <c r="R123" s="300" t="s">
        <v>126</v>
      </c>
      <c r="S123" s="300" t="s">
        <v>126</v>
      </c>
      <c r="T123" s="300" t="s">
        <v>126</v>
      </c>
      <c r="U123" s="300" t="s">
        <v>126</v>
      </c>
      <c r="V123" s="300" t="s">
        <v>126</v>
      </c>
      <c r="W123" s="300" t="s">
        <v>126</v>
      </c>
      <c r="X123" s="300" t="s">
        <v>126</v>
      </c>
      <c r="Y123" s="300" t="s">
        <v>126</v>
      </c>
      <c r="Z123" s="300" t="s">
        <v>126</v>
      </c>
      <c r="AA123" s="300" t="s">
        <v>126</v>
      </c>
      <c r="AB123" s="300" t="s">
        <v>126</v>
      </c>
      <c r="AC123" s="300" t="s">
        <v>126</v>
      </c>
      <c r="AD123" s="300" t="s">
        <v>126</v>
      </c>
      <c r="AE123" s="300" t="s">
        <v>126</v>
      </c>
      <c r="AF123" s="300" t="s">
        <v>126</v>
      </c>
      <c r="AG123" s="300" t="s">
        <v>126</v>
      </c>
      <c r="AH123" s="300" t="s">
        <v>126</v>
      </c>
      <c r="AI123" s="300" t="s">
        <v>126</v>
      </c>
      <c r="AJ123" s="300" t="s">
        <v>126</v>
      </c>
      <c r="AK123" s="300" t="s">
        <v>126</v>
      </c>
      <c r="AL123" s="300" t="s">
        <v>126</v>
      </c>
      <c r="AM123" s="315"/>
      <c r="AN123" s="315"/>
    </row>
    <row r="124" spans="1:40" ht="12.6">
      <c r="A124" s="990" t="s">
        <v>240</v>
      </c>
      <c r="B124" s="991" t="s">
        <v>128</v>
      </c>
      <c r="C124" s="991"/>
      <c r="D124" s="991" t="s">
        <v>129</v>
      </c>
      <c r="E124" s="991" t="s">
        <v>130</v>
      </c>
      <c r="F124" s="798">
        <f>'[5]Petroleum Refining'!C23</f>
        <v>76312.178637676916</v>
      </c>
      <c r="G124" s="798">
        <f>'[5]Petroleum Refining'!D23</f>
        <v>79724.136879233716</v>
      </c>
      <c r="H124" s="798">
        <f>'[5]Petroleum Refining'!E23</f>
        <v>82373.100439176735</v>
      </c>
      <c r="I124" s="798">
        <f>'[5]Petroleum Refining'!F23</f>
        <v>85703.900023800292</v>
      </c>
      <c r="J124" s="798">
        <f>'[5]Petroleum Refining'!G23</f>
        <v>88539.602884990847</v>
      </c>
      <c r="K124" s="798">
        <f>'[5]Petroleum Refining'!H23</f>
        <v>90833.860314642778</v>
      </c>
      <c r="L124" s="798">
        <f>'[5]Petroleum Refining'!I23</f>
        <v>92251.356176199828</v>
      </c>
      <c r="M124" s="798">
        <f>'[5]Petroleum Refining'!J23</f>
        <v>94341.39281937269</v>
      </c>
      <c r="N124" s="798">
        <f>'[5]Petroleum Refining'!K23</f>
        <v>96448.502559418048</v>
      </c>
      <c r="O124" s="798">
        <f>'[5]Petroleum Refining'!L23</f>
        <v>94548.043976727509</v>
      </c>
      <c r="P124" s="798">
        <f>'[5]Petroleum Refining'!M23</f>
        <v>92065.127066824964</v>
      </c>
      <c r="Q124" s="798">
        <f>'[5]Petroleum Refining'!N23</f>
        <v>90115.748164922741</v>
      </c>
      <c r="R124" s="798">
        <f>'[5]Petroleum Refining'!O23</f>
        <v>88016.678134236747</v>
      </c>
      <c r="S124" s="798">
        <f>'[5]Petroleum Refining'!P23</f>
        <v>88200.024834521129</v>
      </c>
      <c r="T124" s="798">
        <f>'[5]Petroleum Refining'!Q23</f>
        <v>89047.829309259381</v>
      </c>
      <c r="U124" s="798">
        <f>'[5]Petroleum Refining'!R23</f>
        <v>90660.935205458532</v>
      </c>
      <c r="V124" s="798">
        <f>'[5]Petroleum Refining'!S23</f>
        <v>90869.732110850688</v>
      </c>
      <c r="W124" s="798">
        <f>'[5]Petroleum Refining'!T23</f>
        <v>90637.510662288958</v>
      </c>
      <c r="X124" s="798">
        <f>'[5]Petroleum Refining'!U23</f>
        <v>90904.649900096978</v>
      </c>
      <c r="Y124" s="798">
        <f>'[5]Petroleum Refining'!V23</f>
        <v>91920.370375769489</v>
      </c>
      <c r="Z124" s="798">
        <f>'[5]Petroleum Refining'!W23</f>
        <v>91250.065782340826</v>
      </c>
      <c r="AA124" s="798">
        <f>'[5]Petroleum Refining'!X23</f>
        <v>91533.358574641068</v>
      </c>
      <c r="AB124" s="798">
        <f>'[5]Petroleum Refining'!Y23</f>
        <v>89020.824027023016</v>
      </c>
      <c r="AC124" s="798">
        <f>'[5]Petroleum Refining'!Z23</f>
        <v>91357.51898231887</v>
      </c>
      <c r="AD124" s="798">
        <f>'[5]Petroleum Refining'!AA23</f>
        <v>91696.525485242702</v>
      </c>
      <c r="AE124" s="798">
        <f>'[5]Petroleum Refining'!AB23</f>
        <v>92926.186372399228</v>
      </c>
      <c r="AF124" s="798">
        <f>'[5]Petroleum Refining'!AC23</f>
        <v>93384.306748480449</v>
      </c>
      <c r="AG124" s="798">
        <f>'[5]Petroleum Refining'!AD23</f>
        <v>93387.779458987017</v>
      </c>
      <c r="AH124" s="798">
        <f>'[5]Petroleum Refining'!AE23</f>
        <v>95737.824981888029</v>
      </c>
      <c r="AI124" s="798">
        <f>'[5]Petroleum Refining'!AF23</f>
        <v>94631.200814073905</v>
      </c>
      <c r="AJ124" s="798">
        <f>'[5]Petroleum Refining'!AG23</f>
        <v>89672.279667162657</v>
      </c>
      <c r="AK124" s="798">
        <f>'[5]Petroleum Refining'!AH23</f>
        <v>90560.618957693267</v>
      </c>
      <c r="AL124" s="1068">
        <f>AK124</f>
        <v>90560.618957693267</v>
      </c>
      <c r="AM124" s="315"/>
      <c r="AN124" s="315"/>
    </row>
    <row r="125" spans="1:40" ht="12.6">
      <c r="A125" s="990" t="s">
        <v>241</v>
      </c>
      <c r="B125" s="991" t="s">
        <v>132</v>
      </c>
      <c r="C125" s="991"/>
      <c r="D125" s="991" t="s">
        <v>129</v>
      </c>
      <c r="E125" s="991" t="s">
        <v>130</v>
      </c>
      <c r="F125" s="799" t="s">
        <v>106</v>
      </c>
      <c r="G125" s="799" t="s">
        <v>106</v>
      </c>
      <c r="H125" s="799" t="s">
        <v>106</v>
      </c>
      <c r="I125" s="799" t="s">
        <v>106</v>
      </c>
      <c r="J125" s="799" t="s">
        <v>106</v>
      </c>
      <c r="K125" s="799" t="s">
        <v>106</v>
      </c>
      <c r="L125" s="799" t="s">
        <v>106</v>
      </c>
      <c r="M125" s="799" t="s">
        <v>106</v>
      </c>
      <c r="N125" s="799" t="s">
        <v>106</v>
      </c>
      <c r="O125" s="799" t="s">
        <v>106</v>
      </c>
      <c r="P125" s="799" t="s">
        <v>106</v>
      </c>
      <c r="Q125" s="799" t="s">
        <v>106</v>
      </c>
      <c r="R125" s="799" t="s">
        <v>106</v>
      </c>
      <c r="S125" s="799" t="s">
        <v>106</v>
      </c>
      <c r="T125" s="799" t="s">
        <v>106</v>
      </c>
      <c r="U125" s="799" t="s">
        <v>106</v>
      </c>
      <c r="V125" s="799" t="s">
        <v>106</v>
      </c>
      <c r="W125" s="799" t="s">
        <v>106</v>
      </c>
      <c r="X125" s="799" t="s">
        <v>106</v>
      </c>
      <c r="Y125" s="799" t="s">
        <v>106</v>
      </c>
      <c r="Z125" s="799" t="s">
        <v>106</v>
      </c>
      <c r="AA125" s="799" t="s">
        <v>106</v>
      </c>
      <c r="AB125" s="799" t="s">
        <v>106</v>
      </c>
      <c r="AC125" s="799" t="s">
        <v>106</v>
      </c>
      <c r="AD125" s="799" t="s">
        <v>106</v>
      </c>
      <c r="AE125" s="799" t="s">
        <v>106</v>
      </c>
      <c r="AF125" s="799" t="s">
        <v>106</v>
      </c>
      <c r="AG125" s="799" t="s">
        <v>106</v>
      </c>
      <c r="AH125" s="799" t="s">
        <v>106</v>
      </c>
      <c r="AI125" s="799" t="s">
        <v>106</v>
      </c>
      <c r="AJ125" s="799" t="s">
        <v>106</v>
      </c>
      <c r="AK125" s="799" t="s">
        <v>106</v>
      </c>
      <c r="AL125" s="799" t="s">
        <v>106</v>
      </c>
      <c r="AM125" s="315"/>
      <c r="AN125" s="315"/>
    </row>
    <row r="126" spans="1:40" ht="12.6">
      <c r="A126" s="990" t="s">
        <v>242</v>
      </c>
      <c r="B126" s="991" t="s">
        <v>134</v>
      </c>
      <c r="D126" s="315"/>
      <c r="E126" s="315"/>
      <c r="F126" s="800" t="s">
        <v>230</v>
      </c>
      <c r="G126" s="800" t="s">
        <v>230</v>
      </c>
      <c r="H126" s="800" t="s">
        <v>230</v>
      </c>
      <c r="I126" s="800" t="s">
        <v>230</v>
      </c>
      <c r="J126" s="800" t="s">
        <v>230</v>
      </c>
      <c r="K126" s="800" t="s">
        <v>230</v>
      </c>
      <c r="L126" s="800" t="s">
        <v>230</v>
      </c>
      <c r="M126" s="800" t="s">
        <v>230</v>
      </c>
      <c r="N126" s="800" t="s">
        <v>230</v>
      </c>
      <c r="O126" s="800" t="s">
        <v>230</v>
      </c>
      <c r="P126" s="800" t="s">
        <v>230</v>
      </c>
      <c r="Q126" s="800" t="s">
        <v>230</v>
      </c>
      <c r="R126" s="800" t="s">
        <v>230</v>
      </c>
      <c r="S126" s="800" t="s">
        <v>230</v>
      </c>
      <c r="T126" s="800" t="s">
        <v>230</v>
      </c>
      <c r="U126" s="800" t="s">
        <v>230</v>
      </c>
      <c r="V126" s="800" t="s">
        <v>230</v>
      </c>
      <c r="W126" s="800" t="s">
        <v>230</v>
      </c>
      <c r="X126" s="800" t="s">
        <v>230</v>
      </c>
      <c r="Y126" s="800" t="s">
        <v>230</v>
      </c>
      <c r="Z126" s="800" t="s">
        <v>230</v>
      </c>
      <c r="AA126" s="800" t="s">
        <v>230</v>
      </c>
      <c r="AB126" s="800" t="s">
        <v>230</v>
      </c>
      <c r="AC126" s="800" t="s">
        <v>230</v>
      </c>
      <c r="AD126" s="800" t="s">
        <v>230</v>
      </c>
      <c r="AE126" s="800" t="s">
        <v>230</v>
      </c>
      <c r="AF126" s="800" t="s">
        <v>230</v>
      </c>
      <c r="AG126" s="800" t="s">
        <v>230</v>
      </c>
      <c r="AH126" s="800" t="s">
        <v>230</v>
      </c>
      <c r="AI126" s="800" t="s">
        <v>230</v>
      </c>
      <c r="AJ126" s="800" t="s">
        <v>230</v>
      </c>
      <c r="AK126" s="800" t="s">
        <v>230</v>
      </c>
      <c r="AL126" s="800" t="s">
        <v>230</v>
      </c>
      <c r="AM126" s="315"/>
      <c r="AN126" s="315"/>
    </row>
    <row r="127" spans="1:40" s="792" customFormat="1" ht="12.6">
      <c r="A127" s="989" t="s">
        <v>243</v>
      </c>
      <c r="B127" s="791"/>
      <c r="C127" s="791"/>
      <c r="D127" s="791"/>
      <c r="E127" s="791"/>
      <c r="F127" s="790"/>
      <c r="G127" s="790"/>
      <c r="H127" s="790"/>
      <c r="I127" s="790"/>
      <c r="J127" s="790"/>
      <c r="K127" s="790"/>
      <c r="L127" s="790"/>
      <c r="M127" s="790"/>
      <c r="N127" s="790"/>
      <c r="O127" s="790"/>
      <c r="P127" s="790"/>
      <c r="Q127" s="790"/>
      <c r="R127" s="790"/>
      <c r="S127" s="790"/>
      <c r="T127" s="790"/>
      <c r="U127" s="790"/>
      <c r="V127" s="790"/>
      <c r="W127" s="790"/>
      <c r="X127" s="790"/>
      <c r="Y127" s="790"/>
      <c r="Z127" s="790"/>
      <c r="AA127" s="790"/>
      <c r="AB127" s="790"/>
      <c r="AC127" s="790"/>
      <c r="AD127" s="790"/>
      <c r="AE127" s="790"/>
      <c r="AF127" s="790"/>
      <c r="AG127" s="790"/>
      <c r="AH127" s="790"/>
      <c r="AI127" s="790"/>
      <c r="AJ127" s="790"/>
      <c r="AK127" s="790"/>
      <c r="AL127" s="790"/>
      <c r="AM127" s="791"/>
      <c r="AN127" s="791"/>
    </row>
    <row r="128" spans="1:40" ht="12.6">
      <c r="A128" s="990" t="s">
        <v>244</v>
      </c>
      <c r="B128" s="991" t="s">
        <v>121</v>
      </c>
      <c r="C128" s="991"/>
      <c r="D128" s="315"/>
      <c r="E128" s="991" t="s">
        <v>122</v>
      </c>
      <c r="F128" s="799" t="s">
        <v>108</v>
      </c>
      <c r="G128" s="799" t="s">
        <v>108</v>
      </c>
      <c r="H128" s="799" t="s">
        <v>108</v>
      </c>
      <c r="I128" s="799" t="s">
        <v>108</v>
      </c>
      <c r="J128" s="799" t="s">
        <v>108</v>
      </c>
      <c r="K128" s="799" t="s">
        <v>108</v>
      </c>
      <c r="L128" s="799" t="s">
        <v>108</v>
      </c>
      <c r="M128" s="799" t="s">
        <v>108</v>
      </c>
      <c r="N128" s="799" t="s">
        <v>108</v>
      </c>
      <c r="O128" s="799" t="s">
        <v>108</v>
      </c>
      <c r="P128" s="799" t="s">
        <v>108</v>
      </c>
      <c r="Q128" s="799" t="s">
        <v>108</v>
      </c>
      <c r="R128" s="799" t="s">
        <v>108</v>
      </c>
      <c r="S128" s="799" t="s">
        <v>108</v>
      </c>
      <c r="T128" s="799" t="s">
        <v>108</v>
      </c>
      <c r="U128" s="799" t="s">
        <v>108</v>
      </c>
      <c r="V128" s="799" t="s">
        <v>108</v>
      </c>
      <c r="W128" s="799" t="s">
        <v>108</v>
      </c>
      <c r="X128" s="799" t="s">
        <v>108</v>
      </c>
      <c r="Y128" s="799" t="s">
        <v>108</v>
      </c>
      <c r="Z128" s="799" t="s">
        <v>108</v>
      </c>
      <c r="AA128" s="799" t="s">
        <v>108</v>
      </c>
      <c r="AB128" s="799" t="s">
        <v>108</v>
      </c>
      <c r="AC128" s="799" t="s">
        <v>108</v>
      </c>
      <c r="AD128" s="799" t="s">
        <v>108</v>
      </c>
      <c r="AE128" s="799" t="s">
        <v>108</v>
      </c>
      <c r="AF128" s="799" t="s">
        <v>108</v>
      </c>
      <c r="AG128" s="799" t="s">
        <v>108</v>
      </c>
      <c r="AH128" s="799" t="s">
        <v>108</v>
      </c>
      <c r="AI128" s="799" t="s">
        <v>108</v>
      </c>
      <c r="AJ128" s="799" t="s">
        <v>108</v>
      </c>
      <c r="AK128" s="799" t="s">
        <v>108</v>
      </c>
      <c r="AL128" s="799" t="s">
        <v>108</v>
      </c>
      <c r="AM128" s="315"/>
      <c r="AN128" s="315"/>
    </row>
    <row r="129" spans="1:40" ht="12.6">
      <c r="A129" s="990" t="s">
        <v>245</v>
      </c>
      <c r="B129" s="991" t="s">
        <v>124</v>
      </c>
      <c r="C129" s="991"/>
      <c r="D129" s="315"/>
      <c r="E129" s="315" t="s">
        <v>125</v>
      </c>
      <c r="F129" s="300" t="s">
        <v>126</v>
      </c>
      <c r="G129" s="300" t="s">
        <v>126</v>
      </c>
      <c r="H129" s="300" t="s">
        <v>126</v>
      </c>
      <c r="I129" s="300" t="s">
        <v>126</v>
      </c>
      <c r="J129" s="300" t="s">
        <v>126</v>
      </c>
      <c r="K129" s="300" t="s">
        <v>126</v>
      </c>
      <c r="L129" s="300" t="s">
        <v>126</v>
      </c>
      <c r="M129" s="300" t="s">
        <v>126</v>
      </c>
      <c r="N129" s="300" t="s">
        <v>126</v>
      </c>
      <c r="O129" s="300" t="s">
        <v>126</v>
      </c>
      <c r="P129" s="300" t="s">
        <v>126</v>
      </c>
      <c r="Q129" s="300" t="s">
        <v>126</v>
      </c>
      <c r="R129" s="300" t="s">
        <v>126</v>
      </c>
      <c r="S129" s="300" t="s">
        <v>126</v>
      </c>
      <c r="T129" s="300" t="s">
        <v>126</v>
      </c>
      <c r="U129" s="300" t="s">
        <v>126</v>
      </c>
      <c r="V129" s="300" t="s">
        <v>126</v>
      </c>
      <c r="W129" s="300" t="s">
        <v>126</v>
      </c>
      <c r="X129" s="300" t="s">
        <v>126</v>
      </c>
      <c r="Y129" s="300" t="s">
        <v>126</v>
      </c>
      <c r="Z129" s="300" t="s">
        <v>126</v>
      </c>
      <c r="AA129" s="300" t="s">
        <v>126</v>
      </c>
      <c r="AB129" s="300" t="s">
        <v>126</v>
      </c>
      <c r="AC129" s="300" t="s">
        <v>126</v>
      </c>
      <c r="AD129" s="300" t="s">
        <v>126</v>
      </c>
      <c r="AE129" s="300" t="s">
        <v>126</v>
      </c>
      <c r="AF129" s="300" t="s">
        <v>126</v>
      </c>
      <c r="AG129" s="300" t="s">
        <v>126</v>
      </c>
      <c r="AH129" s="300" t="s">
        <v>126</v>
      </c>
      <c r="AI129" s="300" t="s">
        <v>126</v>
      </c>
      <c r="AJ129" s="300" t="s">
        <v>126</v>
      </c>
      <c r="AK129" s="300" t="s">
        <v>126</v>
      </c>
      <c r="AL129" s="300" t="s">
        <v>126</v>
      </c>
      <c r="AM129" s="315"/>
      <c r="AN129" s="315"/>
    </row>
    <row r="130" spans="1:40" ht="12.6">
      <c r="A130" s="990" t="s">
        <v>246</v>
      </c>
      <c r="B130" s="991" t="s">
        <v>128</v>
      </c>
      <c r="C130" s="991"/>
      <c r="D130" s="991" t="s">
        <v>129</v>
      </c>
      <c r="E130" s="991" t="s">
        <v>130</v>
      </c>
      <c r="F130" s="799" t="s">
        <v>108</v>
      </c>
      <c r="G130" s="799" t="s">
        <v>108</v>
      </c>
      <c r="H130" s="799" t="s">
        <v>108</v>
      </c>
      <c r="I130" s="799" t="s">
        <v>108</v>
      </c>
      <c r="J130" s="799" t="s">
        <v>108</v>
      </c>
      <c r="K130" s="799" t="s">
        <v>108</v>
      </c>
      <c r="L130" s="799" t="s">
        <v>108</v>
      </c>
      <c r="M130" s="799" t="s">
        <v>108</v>
      </c>
      <c r="N130" s="799" t="s">
        <v>108</v>
      </c>
      <c r="O130" s="799" t="s">
        <v>108</v>
      </c>
      <c r="P130" s="799" t="s">
        <v>108</v>
      </c>
      <c r="Q130" s="799" t="s">
        <v>108</v>
      </c>
      <c r="R130" s="799" t="s">
        <v>108</v>
      </c>
      <c r="S130" s="799" t="s">
        <v>108</v>
      </c>
      <c r="T130" s="799" t="s">
        <v>108</v>
      </c>
      <c r="U130" s="799" t="s">
        <v>108</v>
      </c>
      <c r="V130" s="799" t="s">
        <v>108</v>
      </c>
      <c r="W130" s="799" t="s">
        <v>108</v>
      </c>
      <c r="X130" s="799" t="s">
        <v>108</v>
      </c>
      <c r="Y130" s="799" t="s">
        <v>108</v>
      </c>
      <c r="Z130" s="799" t="s">
        <v>108</v>
      </c>
      <c r="AA130" s="799" t="s">
        <v>108</v>
      </c>
      <c r="AB130" s="799" t="s">
        <v>108</v>
      </c>
      <c r="AC130" s="799" t="s">
        <v>108</v>
      </c>
      <c r="AD130" s="799" t="s">
        <v>108</v>
      </c>
      <c r="AE130" s="799" t="s">
        <v>108</v>
      </c>
      <c r="AF130" s="799" t="s">
        <v>108</v>
      </c>
      <c r="AG130" s="799" t="s">
        <v>108</v>
      </c>
      <c r="AH130" s="799" t="s">
        <v>108</v>
      </c>
      <c r="AI130" s="799" t="s">
        <v>108</v>
      </c>
      <c r="AJ130" s="799" t="s">
        <v>108</v>
      </c>
      <c r="AK130" s="799" t="s">
        <v>108</v>
      </c>
      <c r="AL130" s="799" t="s">
        <v>108</v>
      </c>
      <c r="AM130" s="315"/>
      <c r="AN130" s="315"/>
    </row>
    <row r="131" spans="1:40" ht="12.6">
      <c r="A131" s="990" t="s">
        <v>247</v>
      </c>
      <c r="B131" s="991" t="s">
        <v>132</v>
      </c>
      <c r="C131" s="991"/>
      <c r="D131" s="991" t="s">
        <v>129</v>
      </c>
      <c r="E131" s="991" t="s">
        <v>130</v>
      </c>
      <c r="F131" s="794" t="s">
        <v>108</v>
      </c>
      <c r="G131" s="794" t="s">
        <v>108</v>
      </c>
      <c r="H131" s="794" t="s">
        <v>108</v>
      </c>
      <c r="I131" s="794" t="s">
        <v>108</v>
      </c>
      <c r="J131" s="794" t="s">
        <v>108</v>
      </c>
      <c r="K131" s="794" t="s">
        <v>108</v>
      </c>
      <c r="L131" s="794" t="s">
        <v>108</v>
      </c>
      <c r="M131" s="794" t="s">
        <v>108</v>
      </c>
      <c r="N131" s="794" t="s">
        <v>108</v>
      </c>
      <c r="O131" s="794" t="s">
        <v>108</v>
      </c>
      <c r="P131" s="794" t="s">
        <v>108</v>
      </c>
      <c r="Q131" s="794" t="s">
        <v>108</v>
      </c>
      <c r="R131" s="794" t="s">
        <v>108</v>
      </c>
      <c r="S131" s="794" t="s">
        <v>108</v>
      </c>
      <c r="T131" s="794" t="s">
        <v>108</v>
      </c>
      <c r="U131" s="794" t="s">
        <v>108</v>
      </c>
      <c r="V131" s="794" t="s">
        <v>108</v>
      </c>
      <c r="W131" s="794" t="s">
        <v>108</v>
      </c>
      <c r="X131" s="794" t="s">
        <v>108</v>
      </c>
      <c r="Y131" s="794" t="s">
        <v>108</v>
      </c>
      <c r="Z131" s="794" t="s">
        <v>108</v>
      </c>
      <c r="AA131" s="794" t="s">
        <v>108</v>
      </c>
      <c r="AB131" s="794" t="s">
        <v>108</v>
      </c>
      <c r="AC131" s="794" t="s">
        <v>108</v>
      </c>
      <c r="AD131" s="794" t="s">
        <v>108</v>
      </c>
      <c r="AE131" s="794" t="s">
        <v>108</v>
      </c>
      <c r="AF131" s="794" t="s">
        <v>108</v>
      </c>
      <c r="AG131" s="794" t="s">
        <v>108</v>
      </c>
      <c r="AH131" s="794" t="s">
        <v>108</v>
      </c>
      <c r="AI131" s="794" t="s">
        <v>108</v>
      </c>
      <c r="AJ131" s="794" t="s">
        <v>108</v>
      </c>
      <c r="AK131" s="794" t="s">
        <v>108</v>
      </c>
      <c r="AL131" s="794" t="s">
        <v>108</v>
      </c>
      <c r="AM131" s="315"/>
      <c r="AN131" s="315"/>
    </row>
    <row r="132" spans="1:40" ht="12.6">
      <c r="A132" s="990" t="s">
        <v>248</v>
      </c>
      <c r="B132" s="991" t="s">
        <v>134</v>
      </c>
      <c r="D132" s="315"/>
      <c r="E132" s="315"/>
      <c r="F132" s="801"/>
      <c r="G132" s="802"/>
      <c r="H132" s="802"/>
      <c r="I132" s="802"/>
      <c r="J132" s="802"/>
      <c r="K132" s="802"/>
      <c r="L132" s="802"/>
      <c r="M132" s="802"/>
      <c r="N132" s="802"/>
      <c r="O132" s="802"/>
      <c r="P132" s="802"/>
      <c r="Q132" s="802"/>
      <c r="R132" s="802"/>
      <c r="S132" s="802"/>
      <c r="T132" s="802"/>
      <c r="U132" s="802"/>
      <c r="V132" s="802"/>
      <c r="W132" s="802"/>
      <c r="X132" s="802"/>
      <c r="Y132" s="802"/>
      <c r="Z132" s="802"/>
      <c r="AA132" s="802"/>
      <c r="AB132" s="802"/>
      <c r="AC132" s="802"/>
      <c r="AD132" s="802"/>
      <c r="AE132" s="802"/>
      <c r="AF132" s="802"/>
      <c r="AG132" s="802"/>
      <c r="AH132" s="802"/>
      <c r="AI132" s="802"/>
      <c r="AJ132" s="802"/>
      <c r="AK132" s="802"/>
      <c r="AL132" s="802"/>
      <c r="AM132" s="315"/>
      <c r="AN132" s="315"/>
    </row>
    <row r="133" spans="1:40" s="792" customFormat="1" ht="12.6">
      <c r="A133" s="989" t="s">
        <v>249</v>
      </c>
      <c r="B133" s="791"/>
      <c r="C133" s="791"/>
      <c r="D133" s="791"/>
      <c r="E133" s="791"/>
      <c r="F133" s="790"/>
      <c r="G133" s="790"/>
      <c r="H133" s="790"/>
      <c r="I133" s="790"/>
      <c r="J133" s="790"/>
      <c r="K133" s="790"/>
      <c r="L133" s="790"/>
      <c r="M133" s="790"/>
      <c r="N133" s="790"/>
      <c r="O133" s="790"/>
      <c r="P133" s="790"/>
      <c r="Q133" s="790"/>
      <c r="R133" s="790"/>
      <c r="S133" s="790"/>
      <c r="T133" s="790"/>
      <c r="U133" s="790"/>
      <c r="V133" s="790"/>
      <c r="W133" s="790"/>
      <c r="X133" s="790"/>
      <c r="Y133" s="790"/>
      <c r="Z133" s="790"/>
      <c r="AA133" s="790"/>
      <c r="AB133" s="790"/>
      <c r="AC133" s="790"/>
      <c r="AD133" s="790"/>
      <c r="AE133" s="790"/>
      <c r="AF133" s="790"/>
      <c r="AG133" s="790"/>
      <c r="AH133" s="790"/>
      <c r="AI133" s="790"/>
      <c r="AJ133" s="790"/>
      <c r="AK133" s="790"/>
      <c r="AL133" s="790"/>
      <c r="AM133" s="791"/>
      <c r="AN133" s="791"/>
    </row>
    <row r="134" spans="1:40" ht="12.6">
      <c r="A134" s="990" t="s">
        <v>250</v>
      </c>
      <c r="B134" s="991" t="s">
        <v>121</v>
      </c>
      <c r="C134" s="991"/>
      <c r="D134" s="315"/>
      <c r="E134" s="991" t="s">
        <v>122</v>
      </c>
      <c r="F134" s="300" t="s">
        <v>108</v>
      </c>
      <c r="G134" s="300" t="s">
        <v>108</v>
      </c>
      <c r="H134" s="300" t="s">
        <v>108</v>
      </c>
      <c r="I134" s="300" t="s">
        <v>108</v>
      </c>
      <c r="J134" s="300" t="s">
        <v>108</v>
      </c>
      <c r="K134" s="300" t="s">
        <v>108</v>
      </c>
      <c r="L134" s="300" t="s">
        <v>108</v>
      </c>
      <c r="M134" s="300" t="s">
        <v>108</v>
      </c>
      <c r="N134" s="300" t="s">
        <v>108</v>
      </c>
      <c r="O134" s="300" t="s">
        <v>108</v>
      </c>
      <c r="P134" s="300" t="s">
        <v>108</v>
      </c>
      <c r="Q134" s="300" t="s">
        <v>108</v>
      </c>
      <c r="R134" s="300" t="s">
        <v>108</v>
      </c>
      <c r="S134" s="300" t="s">
        <v>108</v>
      </c>
      <c r="T134" s="300" t="s">
        <v>108</v>
      </c>
      <c r="U134" s="300" t="s">
        <v>108</v>
      </c>
      <c r="V134" s="300" t="s">
        <v>108</v>
      </c>
      <c r="W134" s="300" t="s">
        <v>108</v>
      </c>
      <c r="X134" s="300" t="s">
        <v>108</v>
      </c>
      <c r="Y134" s="300" t="s">
        <v>108</v>
      </c>
      <c r="Z134" s="300" t="s">
        <v>108</v>
      </c>
      <c r="AA134" s="300" t="s">
        <v>108</v>
      </c>
      <c r="AB134" s="300" t="s">
        <v>108</v>
      </c>
      <c r="AC134" s="300" t="s">
        <v>108</v>
      </c>
      <c r="AD134" s="300" t="s">
        <v>108</v>
      </c>
      <c r="AE134" s="300" t="s">
        <v>108</v>
      </c>
      <c r="AF134" s="300" t="s">
        <v>108</v>
      </c>
      <c r="AG134" s="300" t="s">
        <v>108</v>
      </c>
      <c r="AH134" s="300" t="s">
        <v>108</v>
      </c>
      <c r="AI134" s="300" t="s">
        <v>108</v>
      </c>
      <c r="AJ134" s="300" t="s">
        <v>108</v>
      </c>
      <c r="AK134" s="300" t="s">
        <v>108</v>
      </c>
      <c r="AL134" s="300" t="s">
        <v>108</v>
      </c>
      <c r="AM134" s="315"/>
      <c r="AN134" s="315"/>
    </row>
    <row r="135" spans="1:40" ht="12.6">
      <c r="A135" s="990" t="s">
        <v>251</v>
      </c>
      <c r="B135" s="991" t="s">
        <v>124</v>
      </c>
      <c r="C135" s="991"/>
      <c r="D135" s="315"/>
      <c r="E135" s="315" t="s">
        <v>125</v>
      </c>
      <c r="F135" s="300" t="s">
        <v>126</v>
      </c>
      <c r="G135" s="300" t="s">
        <v>126</v>
      </c>
      <c r="H135" s="300" t="s">
        <v>126</v>
      </c>
      <c r="I135" s="300" t="s">
        <v>126</v>
      </c>
      <c r="J135" s="300" t="s">
        <v>126</v>
      </c>
      <c r="K135" s="300" t="s">
        <v>126</v>
      </c>
      <c r="L135" s="300" t="s">
        <v>126</v>
      </c>
      <c r="M135" s="300" t="s">
        <v>126</v>
      </c>
      <c r="N135" s="300" t="s">
        <v>126</v>
      </c>
      <c r="O135" s="300" t="s">
        <v>126</v>
      </c>
      <c r="P135" s="300" t="s">
        <v>126</v>
      </c>
      <c r="Q135" s="300" t="s">
        <v>126</v>
      </c>
      <c r="R135" s="300" t="s">
        <v>126</v>
      </c>
      <c r="S135" s="300" t="s">
        <v>126</v>
      </c>
      <c r="T135" s="300" t="s">
        <v>126</v>
      </c>
      <c r="U135" s="300" t="s">
        <v>126</v>
      </c>
      <c r="V135" s="300" t="s">
        <v>126</v>
      </c>
      <c r="W135" s="300" t="s">
        <v>126</v>
      </c>
      <c r="X135" s="300" t="s">
        <v>126</v>
      </c>
      <c r="Y135" s="300" t="s">
        <v>126</v>
      </c>
      <c r="Z135" s="300" t="s">
        <v>126</v>
      </c>
      <c r="AA135" s="300" t="s">
        <v>126</v>
      </c>
      <c r="AB135" s="300" t="s">
        <v>126</v>
      </c>
      <c r="AC135" s="300" t="s">
        <v>126</v>
      </c>
      <c r="AD135" s="300" t="s">
        <v>126</v>
      </c>
      <c r="AE135" s="300" t="s">
        <v>126</v>
      </c>
      <c r="AF135" s="300" t="s">
        <v>126</v>
      </c>
      <c r="AG135" s="300" t="s">
        <v>126</v>
      </c>
      <c r="AH135" s="300" t="s">
        <v>126</v>
      </c>
      <c r="AI135" s="300" t="s">
        <v>126</v>
      </c>
      <c r="AJ135" s="300" t="s">
        <v>126</v>
      </c>
      <c r="AK135" s="300" t="s">
        <v>126</v>
      </c>
      <c r="AL135" s="300" t="s">
        <v>126</v>
      </c>
      <c r="AM135" s="315"/>
      <c r="AN135" s="315"/>
    </row>
    <row r="136" spans="1:40" ht="12.6">
      <c r="A136" s="990" t="s">
        <v>252</v>
      </c>
      <c r="B136" s="991" t="s">
        <v>128</v>
      </c>
      <c r="C136" s="991"/>
      <c r="D136" s="991" t="s">
        <v>129</v>
      </c>
      <c r="E136" s="991" t="s">
        <v>130</v>
      </c>
      <c r="F136" s="300" t="s">
        <v>108</v>
      </c>
      <c r="G136" s="300" t="s">
        <v>108</v>
      </c>
      <c r="H136" s="300" t="s">
        <v>108</v>
      </c>
      <c r="I136" s="300" t="s">
        <v>108</v>
      </c>
      <c r="J136" s="300" t="s">
        <v>108</v>
      </c>
      <c r="K136" s="300" t="s">
        <v>108</v>
      </c>
      <c r="L136" s="300" t="s">
        <v>108</v>
      </c>
      <c r="M136" s="300" t="s">
        <v>108</v>
      </c>
      <c r="N136" s="300" t="s">
        <v>108</v>
      </c>
      <c r="O136" s="300" t="s">
        <v>108</v>
      </c>
      <c r="P136" s="300" t="s">
        <v>108</v>
      </c>
      <c r="Q136" s="300" t="s">
        <v>108</v>
      </c>
      <c r="R136" s="300" t="s">
        <v>108</v>
      </c>
      <c r="S136" s="300" t="s">
        <v>108</v>
      </c>
      <c r="T136" s="300" t="s">
        <v>108</v>
      </c>
      <c r="U136" s="300" t="s">
        <v>108</v>
      </c>
      <c r="V136" s="300" t="s">
        <v>108</v>
      </c>
      <c r="W136" s="300" t="s">
        <v>108</v>
      </c>
      <c r="X136" s="300" t="s">
        <v>108</v>
      </c>
      <c r="Y136" s="300" t="s">
        <v>108</v>
      </c>
      <c r="Z136" s="300" t="s">
        <v>108</v>
      </c>
      <c r="AA136" s="300" t="s">
        <v>108</v>
      </c>
      <c r="AB136" s="300" t="s">
        <v>108</v>
      </c>
      <c r="AC136" s="300" t="s">
        <v>108</v>
      </c>
      <c r="AD136" s="300" t="s">
        <v>108</v>
      </c>
      <c r="AE136" s="300" t="s">
        <v>108</v>
      </c>
      <c r="AF136" s="300" t="s">
        <v>108</v>
      </c>
      <c r="AG136" s="300" t="s">
        <v>108</v>
      </c>
      <c r="AH136" s="300" t="s">
        <v>108</v>
      </c>
      <c r="AI136" s="300" t="s">
        <v>108</v>
      </c>
      <c r="AJ136" s="300" t="s">
        <v>108</v>
      </c>
      <c r="AK136" s="300" t="s">
        <v>108</v>
      </c>
      <c r="AL136" s="300" t="s">
        <v>108</v>
      </c>
      <c r="AM136" s="315"/>
      <c r="AN136" s="315"/>
    </row>
    <row r="137" spans="1:40" ht="12.6">
      <c r="A137" s="990" t="s">
        <v>253</v>
      </c>
      <c r="B137" s="991" t="s">
        <v>132</v>
      </c>
      <c r="C137" s="991"/>
      <c r="D137" s="991" t="s">
        <v>129</v>
      </c>
      <c r="E137" s="991" t="s">
        <v>130</v>
      </c>
      <c r="F137" s="794" t="s">
        <v>108</v>
      </c>
      <c r="G137" s="794" t="s">
        <v>108</v>
      </c>
      <c r="H137" s="794" t="s">
        <v>108</v>
      </c>
      <c r="I137" s="794" t="s">
        <v>108</v>
      </c>
      <c r="J137" s="794" t="s">
        <v>108</v>
      </c>
      <c r="K137" s="794" t="s">
        <v>108</v>
      </c>
      <c r="L137" s="794" t="s">
        <v>108</v>
      </c>
      <c r="M137" s="794" t="s">
        <v>108</v>
      </c>
      <c r="N137" s="794" t="s">
        <v>108</v>
      </c>
      <c r="O137" s="794" t="s">
        <v>108</v>
      </c>
      <c r="P137" s="794" t="s">
        <v>108</v>
      </c>
      <c r="Q137" s="794" t="s">
        <v>108</v>
      </c>
      <c r="R137" s="794" t="s">
        <v>108</v>
      </c>
      <c r="S137" s="794" t="s">
        <v>108</v>
      </c>
      <c r="T137" s="794" t="s">
        <v>108</v>
      </c>
      <c r="U137" s="794" t="s">
        <v>108</v>
      </c>
      <c r="V137" s="794" t="s">
        <v>108</v>
      </c>
      <c r="W137" s="794" t="s">
        <v>108</v>
      </c>
      <c r="X137" s="794" t="s">
        <v>108</v>
      </c>
      <c r="Y137" s="794" t="s">
        <v>108</v>
      </c>
      <c r="Z137" s="794" t="s">
        <v>108</v>
      </c>
      <c r="AA137" s="794" t="s">
        <v>108</v>
      </c>
      <c r="AB137" s="794" t="s">
        <v>108</v>
      </c>
      <c r="AC137" s="794" t="s">
        <v>108</v>
      </c>
      <c r="AD137" s="794" t="s">
        <v>108</v>
      </c>
      <c r="AE137" s="794" t="s">
        <v>108</v>
      </c>
      <c r="AF137" s="794" t="s">
        <v>108</v>
      </c>
      <c r="AG137" s="794" t="s">
        <v>108</v>
      </c>
      <c r="AH137" s="794" t="s">
        <v>108</v>
      </c>
      <c r="AI137" s="794" t="s">
        <v>108</v>
      </c>
      <c r="AJ137" s="794" t="s">
        <v>108</v>
      </c>
      <c r="AK137" s="794" t="s">
        <v>108</v>
      </c>
      <c r="AL137" s="794" t="s">
        <v>108</v>
      </c>
      <c r="AM137" s="315"/>
      <c r="AN137" s="315"/>
    </row>
    <row r="138" spans="1:40" ht="12.6">
      <c r="A138" s="990" t="s">
        <v>254</v>
      </c>
      <c r="B138" s="991" t="s">
        <v>134</v>
      </c>
      <c r="D138" s="315"/>
      <c r="E138" s="315"/>
      <c r="F138" s="801"/>
      <c r="G138" s="802"/>
      <c r="H138" s="802"/>
      <c r="I138" s="802"/>
      <c r="J138" s="802"/>
      <c r="K138" s="802"/>
      <c r="L138" s="802"/>
      <c r="M138" s="802"/>
      <c r="N138" s="802"/>
      <c r="O138" s="802"/>
      <c r="P138" s="802"/>
      <c r="Q138" s="802"/>
      <c r="R138" s="802"/>
      <c r="S138" s="802"/>
      <c r="T138" s="802"/>
      <c r="U138" s="802"/>
      <c r="V138" s="802"/>
      <c r="W138" s="802"/>
      <c r="X138" s="802"/>
      <c r="Y138" s="802"/>
      <c r="Z138" s="802"/>
      <c r="AA138" s="802"/>
      <c r="AB138" s="802"/>
      <c r="AC138" s="802"/>
      <c r="AD138" s="802"/>
      <c r="AE138" s="802"/>
      <c r="AF138" s="802"/>
      <c r="AG138" s="802"/>
      <c r="AH138" s="802"/>
      <c r="AI138" s="802"/>
      <c r="AJ138" s="802"/>
      <c r="AK138" s="802"/>
      <c r="AL138" s="802"/>
      <c r="AM138" s="315"/>
      <c r="AN138" s="315"/>
    </row>
    <row r="139" spans="1:40" s="797" customFormat="1" ht="12.95">
      <c r="A139" s="796" t="s">
        <v>255</v>
      </c>
      <c r="B139" s="796"/>
      <c r="C139" s="796"/>
      <c r="D139" s="796"/>
      <c r="E139" s="796"/>
      <c r="F139" s="795"/>
      <c r="G139" s="795"/>
      <c r="H139" s="795"/>
      <c r="I139" s="795"/>
      <c r="J139" s="795"/>
      <c r="K139" s="795"/>
      <c r="L139" s="795"/>
      <c r="M139" s="795"/>
      <c r="N139" s="795"/>
      <c r="O139" s="795"/>
      <c r="P139" s="795"/>
      <c r="Q139" s="795"/>
      <c r="R139" s="795"/>
      <c r="S139" s="795"/>
      <c r="T139" s="795"/>
      <c r="U139" s="795"/>
      <c r="V139" s="795"/>
      <c r="W139" s="795"/>
      <c r="X139" s="795"/>
      <c r="Y139" s="795"/>
      <c r="Z139" s="795"/>
      <c r="AA139" s="795"/>
      <c r="AB139" s="795"/>
      <c r="AC139" s="795"/>
      <c r="AD139" s="795"/>
      <c r="AE139" s="795"/>
      <c r="AF139" s="795"/>
      <c r="AG139" s="795"/>
      <c r="AH139" s="795"/>
      <c r="AI139" s="795"/>
      <c r="AJ139" s="795"/>
      <c r="AK139" s="795"/>
      <c r="AL139" s="795"/>
      <c r="AM139" s="796"/>
      <c r="AN139" s="796"/>
    </row>
    <row r="140" spans="1:40" s="792" customFormat="1" ht="14.25" customHeight="1">
      <c r="A140" s="992" t="s">
        <v>256</v>
      </c>
      <c r="B140" s="791"/>
      <c r="C140" s="791"/>
      <c r="D140" s="791"/>
      <c r="E140" s="791"/>
      <c r="F140" s="790"/>
      <c r="G140" s="790"/>
      <c r="H140" s="790"/>
      <c r="I140" s="790"/>
      <c r="J140" s="790"/>
      <c r="K140" s="790"/>
      <c r="L140" s="790"/>
      <c r="M140" s="790"/>
      <c r="N140" s="790"/>
      <c r="O140" s="790"/>
      <c r="P140" s="790"/>
      <c r="Q140" s="790"/>
      <c r="R140" s="790"/>
      <c r="S140" s="790"/>
      <c r="T140" s="790"/>
      <c r="U140" s="790"/>
      <c r="V140" s="790"/>
      <c r="W140" s="790"/>
      <c r="X140" s="790"/>
      <c r="Y140" s="790"/>
      <c r="Z140" s="790"/>
      <c r="AA140" s="790"/>
      <c r="AB140" s="790"/>
      <c r="AC140" s="790"/>
      <c r="AD140" s="790"/>
      <c r="AE140" s="790"/>
      <c r="AF140" s="790"/>
      <c r="AG140" s="790"/>
      <c r="AH140" s="790"/>
      <c r="AI140" s="790"/>
      <c r="AJ140" s="790"/>
      <c r="AK140" s="790"/>
      <c r="AL140" s="790"/>
      <c r="AM140" s="791"/>
      <c r="AN140" s="791"/>
    </row>
    <row r="141" spans="1:40" s="792" customFormat="1" ht="14.25" customHeight="1">
      <c r="A141" s="989" t="s">
        <v>257</v>
      </c>
      <c r="B141" s="791"/>
      <c r="C141" s="791"/>
      <c r="D141" s="791"/>
      <c r="E141" s="791"/>
      <c r="F141" s="790"/>
      <c r="G141" s="790"/>
      <c r="H141" s="790"/>
      <c r="I141" s="790"/>
      <c r="J141" s="790"/>
      <c r="K141" s="790"/>
      <c r="L141" s="790"/>
      <c r="M141" s="790"/>
      <c r="N141" s="790"/>
      <c r="O141" s="790"/>
      <c r="P141" s="790"/>
      <c r="Q141" s="790"/>
      <c r="R141" s="790"/>
      <c r="S141" s="790"/>
      <c r="T141" s="790"/>
      <c r="U141" s="790"/>
      <c r="V141" s="790"/>
      <c r="W141" s="790"/>
      <c r="X141" s="790"/>
      <c r="Y141" s="790"/>
      <c r="Z141" s="790"/>
      <c r="AA141" s="790"/>
      <c r="AB141" s="790"/>
      <c r="AC141" s="790"/>
      <c r="AD141" s="790"/>
      <c r="AE141" s="790"/>
      <c r="AF141" s="790"/>
      <c r="AG141" s="790"/>
      <c r="AH141" s="790"/>
      <c r="AI141" s="790"/>
      <c r="AJ141" s="790"/>
      <c r="AK141" s="790"/>
      <c r="AL141" s="790"/>
      <c r="AM141" s="791"/>
      <c r="AN141" s="791"/>
    </row>
    <row r="142" spans="1:40" ht="12.6">
      <c r="A142" s="990" t="s">
        <v>258</v>
      </c>
      <c r="B142" s="991" t="s">
        <v>121</v>
      </c>
      <c r="C142" s="991"/>
      <c r="D142" s="315"/>
      <c r="E142" s="991" t="s">
        <v>122</v>
      </c>
      <c r="F142" s="798">
        <f>'[5]Mfg of Solid Fuels'!C16</f>
        <v>4543.5959006248231</v>
      </c>
      <c r="G142" s="798">
        <f>'[5]Mfg of Solid Fuels'!D16</f>
        <v>4574.7865433196775</v>
      </c>
      <c r="H142" s="798">
        <f>'[5]Mfg of Solid Fuels'!E16</f>
        <v>4605.9771860145329</v>
      </c>
      <c r="I142" s="798">
        <f>'[5]Mfg of Solid Fuels'!F16</f>
        <v>4637.1678287093891</v>
      </c>
      <c r="J142" s="798">
        <f>'[5]Mfg of Solid Fuels'!G16</f>
        <v>4668.3584714042427</v>
      </c>
      <c r="K142" s="798">
        <f>'[5]Mfg of Solid Fuels'!H16</f>
        <v>4813.3734275687475</v>
      </c>
      <c r="L142" s="798">
        <f>'[5]Mfg of Solid Fuels'!I16</f>
        <v>4958.3883837332523</v>
      </c>
      <c r="M142" s="798">
        <f>'[5]Mfg of Solid Fuels'!J16</f>
        <v>5103.4033398977572</v>
      </c>
      <c r="N142" s="798">
        <f>'[5]Mfg of Solid Fuels'!K16</f>
        <v>5248.418296062262</v>
      </c>
      <c r="O142" s="798">
        <f>'[5]Mfg of Solid Fuels'!L16</f>
        <v>5230.3246210062762</v>
      </c>
      <c r="P142" s="798">
        <f>'[5]Mfg of Solid Fuels'!M16</f>
        <v>5212.2309459502922</v>
      </c>
      <c r="Q142" s="798">
        <f>'[5]Mfg of Solid Fuels'!N16</f>
        <v>5194.1372708943063</v>
      </c>
      <c r="R142" s="798">
        <f>'[5]Mfg of Solid Fuels'!O16</f>
        <v>5176.0435958383196</v>
      </c>
      <c r="S142" s="798">
        <f>'[5]Mfg of Solid Fuels'!P16</f>
        <v>5256.9811074845466</v>
      </c>
      <c r="T142" s="798">
        <f>'[5]Mfg of Solid Fuels'!Q16</f>
        <v>5337.9186191307735</v>
      </c>
      <c r="U142" s="798">
        <f>'[5]Mfg of Solid Fuels'!R16</f>
        <v>5418.8561307769996</v>
      </c>
      <c r="V142" s="798">
        <f>'[5]Mfg of Solid Fuels'!S16</f>
        <v>5499.7936424232266</v>
      </c>
      <c r="W142" s="798">
        <f>'[5]Mfg of Solid Fuels'!T16</f>
        <v>5506.6593756904513</v>
      </c>
      <c r="X142" s="798">
        <f>'[5]Mfg of Solid Fuels'!U16</f>
        <v>5513.5251089576759</v>
      </c>
      <c r="Y142" s="798">
        <f>'[5]Mfg of Solid Fuels'!V16</f>
        <v>5520.3908422248996</v>
      </c>
      <c r="Z142" s="798">
        <f>'[5]Mfg of Solid Fuels'!W16</f>
        <v>5527.2565754921243</v>
      </c>
      <c r="AA142" s="798">
        <f>'[5]Mfg of Solid Fuels'!X16</f>
        <v>10100.228282075124</v>
      </c>
      <c r="AB142" s="798">
        <f>'[5]Mfg of Solid Fuels'!Y16</f>
        <v>13076.079693227537</v>
      </c>
      <c r="AC142" s="798">
        <f>'[5]Mfg of Solid Fuels'!Z16</f>
        <v>10416.171518463409</v>
      </c>
      <c r="AD142" s="798">
        <f>'[5]Mfg of Solid Fuels'!AA16</f>
        <v>10505.924516676045</v>
      </c>
      <c r="AE142" s="798">
        <f>'[5]Mfg of Solid Fuels'!AB16</f>
        <v>10614.227728988297</v>
      </c>
      <c r="AF142" s="798">
        <f>'[5]Mfg of Solid Fuels'!AC16</f>
        <v>8245.9158117046154</v>
      </c>
      <c r="AG142" s="798">
        <f>'[5]Mfg of Solid Fuels'!AD16</f>
        <v>7034.5987000387404</v>
      </c>
      <c r="AH142" s="798">
        <f>'[5]Mfg of Solid Fuels'!AE16</f>
        <v>7924.2996426333193</v>
      </c>
      <c r="AI142" s="798">
        <f>'[5]Mfg of Solid Fuels'!AF16</f>
        <v>7305.0181735125107</v>
      </c>
      <c r="AJ142" s="798">
        <f>'[5]Mfg of Solid Fuels'!AG16</f>
        <v>6784.274262955164</v>
      </c>
      <c r="AK142" s="798">
        <f>'[5]Mfg of Solid Fuels'!AH16</f>
        <v>12565.496379415923</v>
      </c>
      <c r="AL142" s="1068">
        <f>AK142</f>
        <v>12565.496379415923</v>
      </c>
      <c r="AM142" s="315"/>
      <c r="AN142" s="315"/>
    </row>
    <row r="143" spans="1:40" ht="12.6">
      <c r="A143" s="990" t="s">
        <v>259</v>
      </c>
      <c r="B143" s="991" t="s">
        <v>124</v>
      </c>
      <c r="C143" s="991"/>
      <c r="D143" s="315"/>
      <c r="E143" s="315" t="s">
        <v>125</v>
      </c>
      <c r="F143" s="799" t="s">
        <v>126</v>
      </c>
      <c r="G143" s="799" t="s">
        <v>126</v>
      </c>
      <c r="H143" s="799" t="s">
        <v>126</v>
      </c>
      <c r="I143" s="799" t="s">
        <v>126</v>
      </c>
      <c r="J143" s="799" t="s">
        <v>126</v>
      </c>
      <c r="K143" s="799" t="s">
        <v>126</v>
      </c>
      <c r="L143" s="799" t="s">
        <v>126</v>
      </c>
      <c r="M143" s="799" t="s">
        <v>126</v>
      </c>
      <c r="N143" s="799" t="s">
        <v>126</v>
      </c>
      <c r="O143" s="799" t="s">
        <v>126</v>
      </c>
      <c r="P143" s="799" t="s">
        <v>126</v>
      </c>
      <c r="Q143" s="799" t="s">
        <v>126</v>
      </c>
      <c r="R143" s="799" t="s">
        <v>126</v>
      </c>
      <c r="S143" s="799" t="s">
        <v>126</v>
      </c>
      <c r="T143" s="799" t="s">
        <v>126</v>
      </c>
      <c r="U143" s="799" t="s">
        <v>126</v>
      </c>
      <c r="V143" s="799" t="s">
        <v>126</v>
      </c>
      <c r="W143" s="799" t="s">
        <v>126</v>
      </c>
      <c r="X143" s="799" t="s">
        <v>126</v>
      </c>
      <c r="Y143" s="799" t="s">
        <v>126</v>
      </c>
      <c r="Z143" s="799" t="s">
        <v>126</v>
      </c>
      <c r="AA143" s="799" t="s">
        <v>126</v>
      </c>
      <c r="AB143" s="799" t="s">
        <v>126</v>
      </c>
      <c r="AC143" s="799" t="s">
        <v>126</v>
      </c>
      <c r="AD143" s="799" t="s">
        <v>126</v>
      </c>
      <c r="AE143" s="799" t="s">
        <v>126</v>
      </c>
      <c r="AF143" s="799" t="s">
        <v>126</v>
      </c>
      <c r="AG143" s="799" t="s">
        <v>126</v>
      </c>
      <c r="AH143" s="799" t="s">
        <v>126</v>
      </c>
      <c r="AI143" s="799" t="s">
        <v>126</v>
      </c>
      <c r="AJ143" s="799" t="s">
        <v>126</v>
      </c>
      <c r="AK143" s="799" t="s">
        <v>126</v>
      </c>
      <c r="AL143" s="799" t="s">
        <v>126</v>
      </c>
      <c r="AM143" s="315"/>
      <c r="AN143" s="315"/>
    </row>
    <row r="144" spans="1:40" ht="12.6">
      <c r="A144" s="990" t="s">
        <v>260</v>
      </c>
      <c r="B144" s="991" t="s">
        <v>128</v>
      </c>
      <c r="C144" s="991"/>
      <c r="D144" s="991" t="s">
        <v>129</v>
      </c>
      <c r="E144" s="991" t="s">
        <v>130</v>
      </c>
      <c r="F144" s="798">
        <f>'[5]Mfg of Solid Fuels'!C21</f>
        <v>341.869707827985</v>
      </c>
      <c r="G144" s="798">
        <f>'[5]Mfg of Solid Fuels'!D21</f>
        <v>338.91274698515798</v>
      </c>
      <c r="H144" s="798">
        <f>'[5]Mfg of Solid Fuels'!E21</f>
        <v>345.37648735436193</v>
      </c>
      <c r="I144" s="798">
        <f>'[5]Mfg of Solid Fuels'!F21</f>
        <v>344.41074281416434</v>
      </c>
      <c r="J144" s="798">
        <f>'[5]Mfg of Solid Fuels'!G21</f>
        <v>347.62616425379457</v>
      </c>
      <c r="K144" s="798">
        <f>'[5]Mfg of Solid Fuels'!H21</f>
        <v>352.12080039846859</v>
      </c>
      <c r="L144" s="798">
        <f>'[5]Mfg of Solid Fuels'!I21</f>
        <v>371.79474761229608</v>
      </c>
      <c r="M144" s="798">
        <f>'[5]Mfg of Solid Fuels'!J21</f>
        <v>384.08524740817347</v>
      </c>
      <c r="N144" s="798">
        <f>'[5]Mfg of Solid Fuels'!K21</f>
        <v>401.41677166250582</v>
      </c>
      <c r="O144" s="798">
        <f>'[5]Mfg of Solid Fuels'!L21</f>
        <v>404.59429505634319</v>
      </c>
      <c r="P144" s="798">
        <f>'[5]Mfg of Solid Fuels'!M21</f>
        <v>396.44772722180619</v>
      </c>
      <c r="Q144" s="798">
        <f>'[5]Mfg of Solid Fuels'!N21</f>
        <v>388.69531118348567</v>
      </c>
      <c r="R144" s="798">
        <f>'[5]Mfg of Solid Fuels'!O21</f>
        <v>386.31157520530098</v>
      </c>
      <c r="S144" s="798">
        <f>'[5]Mfg of Solid Fuels'!P21</f>
        <v>403.47703676578914</v>
      </c>
      <c r="T144" s="798">
        <f>'[5]Mfg of Solid Fuels'!Q21</f>
        <v>406.72341194529668</v>
      </c>
      <c r="U144" s="798">
        <f>'[5]Mfg of Solid Fuels'!R21</f>
        <v>404.03301912698811</v>
      </c>
      <c r="V144" s="798">
        <f>'[5]Mfg of Solid Fuels'!S21</f>
        <v>414.99745914798393</v>
      </c>
      <c r="W144" s="798">
        <f>'[5]Mfg of Solid Fuels'!T21</f>
        <v>414.65869790876741</v>
      </c>
      <c r="X144" s="798">
        <f>'[5]Mfg of Solid Fuels'!U21</f>
        <v>411.93556520967843</v>
      </c>
      <c r="Y144" s="798">
        <f>'[5]Mfg of Solid Fuels'!V21</f>
        <v>401.9301860084193</v>
      </c>
      <c r="Z144" s="798">
        <f>'[5]Mfg of Solid Fuels'!W21</f>
        <v>401.92799398278629</v>
      </c>
      <c r="AA144" s="798">
        <f>'[5]Mfg of Solid Fuels'!X21</f>
        <v>732.8276986077849</v>
      </c>
      <c r="AB144" s="798">
        <f>'[5]Mfg of Solid Fuels'!Y21</f>
        <v>947.99852821006778</v>
      </c>
      <c r="AC144" s="798">
        <f>'[5]Mfg of Solid Fuels'!Z21</f>
        <v>758.36336565245222</v>
      </c>
      <c r="AD144" s="798">
        <f>'[5]Mfg of Solid Fuels'!AA21</f>
        <v>775.48606746526048</v>
      </c>
      <c r="AE144" s="798">
        <f>'[5]Mfg of Solid Fuels'!AB21</f>
        <v>772.46406446878223</v>
      </c>
      <c r="AF144" s="798">
        <f>'[5]Mfg of Solid Fuels'!AC21</f>
        <v>628.20344345032379</v>
      </c>
      <c r="AG144" s="798">
        <f>'[5]Mfg of Solid Fuels'!AD21</f>
        <v>529.58024356082194</v>
      </c>
      <c r="AH144" s="798">
        <f>'[5]Mfg of Solid Fuels'!AE21</f>
        <v>606.41402556452113</v>
      </c>
      <c r="AI144" s="798">
        <f>'[5]Mfg of Solid Fuels'!AF21</f>
        <v>541.1837242881254</v>
      </c>
      <c r="AJ144" s="798">
        <f>'[5]Mfg of Solid Fuels'!AG21</f>
        <v>471.83432230953986</v>
      </c>
      <c r="AK144" s="798">
        <f>'[5]Mfg of Solid Fuels'!AH21</f>
        <v>901.08641486147576</v>
      </c>
      <c r="AL144" s="1068">
        <f>AK144</f>
        <v>901.08641486147576</v>
      </c>
      <c r="AM144" s="315"/>
      <c r="AN144" s="315"/>
    </row>
    <row r="145" spans="1:40" ht="12.6">
      <c r="A145" s="990" t="s">
        <v>261</v>
      </c>
      <c r="B145" s="991" t="s">
        <v>132</v>
      </c>
      <c r="C145" s="991"/>
      <c r="D145" s="991" t="s">
        <v>129</v>
      </c>
      <c r="E145" s="991" t="s">
        <v>130</v>
      </c>
      <c r="F145" s="799" t="s">
        <v>106</v>
      </c>
      <c r="G145" s="799" t="s">
        <v>106</v>
      </c>
      <c r="H145" s="799" t="s">
        <v>106</v>
      </c>
      <c r="I145" s="799" t="s">
        <v>106</v>
      </c>
      <c r="J145" s="799" t="s">
        <v>106</v>
      </c>
      <c r="K145" s="799" t="s">
        <v>106</v>
      </c>
      <c r="L145" s="799" t="s">
        <v>106</v>
      </c>
      <c r="M145" s="799" t="s">
        <v>106</v>
      </c>
      <c r="N145" s="799" t="s">
        <v>106</v>
      </c>
      <c r="O145" s="799" t="s">
        <v>106</v>
      </c>
      <c r="P145" s="799" t="s">
        <v>106</v>
      </c>
      <c r="Q145" s="799" t="s">
        <v>106</v>
      </c>
      <c r="R145" s="799" t="s">
        <v>106</v>
      </c>
      <c r="S145" s="799" t="s">
        <v>106</v>
      </c>
      <c r="T145" s="799" t="s">
        <v>106</v>
      </c>
      <c r="U145" s="799" t="s">
        <v>106</v>
      </c>
      <c r="V145" s="799" t="s">
        <v>106</v>
      </c>
      <c r="W145" s="799" t="s">
        <v>106</v>
      </c>
      <c r="X145" s="799" t="s">
        <v>106</v>
      </c>
      <c r="Y145" s="799" t="s">
        <v>106</v>
      </c>
      <c r="Z145" s="799" t="s">
        <v>106</v>
      </c>
      <c r="AA145" s="799" t="s">
        <v>106</v>
      </c>
      <c r="AB145" s="799" t="s">
        <v>106</v>
      </c>
      <c r="AC145" s="799" t="s">
        <v>106</v>
      </c>
      <c r="AD145" s="799" t="s">
        <v>106</v>
      </c>
      <c r="AE145" s="799" t="s">
        <v>106</v>
      </c>
      <c r="AF145" s="799" t="s">
        <v>106</v>
      </c>
      <c r="AG145" s="799" t="s">
        <v>106</v>
      </c>
      <c r="AH145" s="799" t="s">
        <v>106</v>
      </c>
      <c r="AI145" s="799" t="s">
        <v>106</v>
      </c>
      <c r="AJ145" s="799" t="s">
        <v>106</v>
      </c>
      <c r="AK145" s="799" t="s">
        <v>106</v>
      </c>
      <c r="AL145" s="799" t="s">
        <v>106</v>
      </c>
      <c r="AM145" s="315"/>
      <c r="AN145" s="315"/>
    </row>
    <row r="146" spans="1:40" ht="12.6">
      <c r="A146" s="990" t="s">
        <v>262</v>
      </c>
      <c r="B146" s="991" t="s">
        <v>134</v>
      </c>
      <c r="D146" s="315"/>
      <c r="E146" s="315"/>
      <c r="F146" s="800" t="s">
        <v>230</v>
      </c>
      <c r="G146" s="800" t="s">
        <v>230</v>
      </c>
      <c r="H146" s="800" t="s">
        <v>230</v>
      </c>
      <c r="I146" s="800" t="s">
        <v>230</v>
      </c>
      <c r="J146" s="800" t="s">
        <v>230</v>
      </c>
      <c r="K146" s="800" t="s">
        <v>230</v>
      </c>
      <c r="L146" s="800" t="s">
        <v>230</v>
      </c>
      <c r="M146" s="800" t="s">
        <v>230</v>
      </c>
      <c r="N146" s="800" t="s">
        <v>230</v>
      </c>
      <c r="O146" s="800" t="s">
        <v>230</v>
      </c>
      <c r="P146" s="800" t="s">
        <v>230</v>
      </c>
      <c r="Q146" s="800" t="s">
        <v>230</v>
      </c>
      <c r="R146" s="800" t="s">
        <v>230</v>
      </c>
      <c r="S146" s="800" t="s">
        <v>230</v>
      </c>
      <c r="T146" s="800" t="s">
        <v>230</v>
      </c>
      <c r="U146" s="800" t="s">
        <v>230</v>
      </c>
      <c r="V146" s="800" t="s">
        <v>230</v>
      </c>
      <c r="W146" s="800" t="s">
        <v>230</v>
      </c>
      <c r="X146" s="800" t="s">
        <v>230</v>
      </c>
      <c r="Y146" s="800" t="s">
        <v>230</v>
      </c>
      <c r="Z146" s="800" t="s">
        <v>230</v>
      </c>
      <c r="AA146" s="800" t="s">
        <v>230</v>
      </c>
      <c r="AB146" s="800" t="s">
        <v>230</v>
      </c>
      <c r="AC146" s="800" t="s">
        <v>230</v>
      </c>
      <c r="AD146" s="800" t="s">
        <v>230</v>
      </c>
      <c r="AE146" s="800" t="s">
        <v>230</v>
      </c>
      <c r="AF146" s="800" t="s">
        <v>230</v>
      </c>
      <c r="AG146" s="800" t="s">
        <v>230</v>
      </c>
      <c r="AH146" s="800" t="s">
        <v>230</v>
      </c>
      <c r="AI146" s="800" t="s">
        <v>230</v>
      </c>
      <c r="AJ146" s="800" t="s">
        <v>230</v>
      </c>
      <c r="AK146" s="800" t="s">
        <v>230</v>
      </c>
      <c r="AL146" s="800" t="s">
        <v>230</v>
      </c>
      <c r="AM146" s="315"/>
      <c r="AN146" s="315"/>
    </row>
    <row r="147" spans="1:40" s="792" customFormat="1" ht="14.25" customHeight="1">
      <c r="A147" s="989" t="s">
        <v>263</v>
      </c>
      <c r="B147" s="791"/>
      <c r="C147" s="791"/>
      <c r="D147" s="791"/>
      <c r="E147" s="791"/>
      <c r="F147" s="790"/>
      <c r="G147" s="790"/>
      <c r="H147" s="790"/>
      <c r="I147" s="790"/>
      <c r="J147" s="790"/>
      <c r="K147" s="790"/>
      <c r="L147" s="790"/>
      <c r="M147" s="790"/>
      <c r="N147" s="790"/>
      <c r="O147" s="790"/>
      <c r="P147" s="790"/>
      <c r="Q147" s="790"/>
      <c r="R147" s="790"/>
      <c r="S147" s="790"/>
      <c r="T147" s="790"/>
      <c r="U147" s="790"/>
      <c r="V147" s="790"/>
      <c r="W147" s="790"/>
      <c r="X147" s="790"/>
      <c r="Y147" s="790"/>
      <c r="Z147" s="790"/>
      <c r="AA147" s="790"/>
      <c r="AB147" s="790"/>
      <c r="AC147" s="790"/>
      <c r="AD147" s="790"/>
      <c r="AE147" s="790"/>
      <c r="AF147" s="790"/>
      <c r="AG147" s="790"/>
      <c r="AH147" s="790"/>
      <c r="AI147" s="790"/>
      <c r="AJ147" s="790"/>
      <c r="AK147" s="790"/>
      <c r="AL147" s="790"/>
      <c r="AM147" s="791"/>
      <c r="AN147" s="791"/>
    </row>
    <row r="148" spans="1:40" ht="12.6">
      <c r="A148" s="990" t="s">
        <v>264</v>
      </c>
      <c r="B148" s="991" t="s">
        <v>121</v>
      </c>
      <c r="C148" s="991"/>
      <c r="D148" s="315"/>
      <c r="E148" s="991" t="s">
        <v>122</v>
      </c>
      <c r="F148" s="798">
        <f>'[5]Mfg of Solid Fuels'!C17</f>
        <v>140675.89752547321</v>
      </c>
      <c r="G148" s="798">
        <f>'[5]Mfg of Solid Fuels'!D17</f>
        <v>137279.72202464516</v>
      </c>
      <c r="H148" s="798">
        <f>'[5]Mfg of Solid Fuels'!E17</f>
        <v>133883.54652381715</v>
      </c>
      <c r="I148" s="798">
        <f>'[5]Mfg of Solid Fuels'!F17</f>
        <v>130487.37102298913</v>
      </c>
      <c r="J148" s="798">
        <f>'[5]Mfg of Solid Fuels'!G17</f>
        <v>127091.1955221611</v>
      </c>
      <c r="K148" s="798">
        <f>'[5]Mfg of Solid Fuels'!H17</f>
        <v>124198.33087932257</v>
      </c>
      <c r="L148" s="798">
        <f>'[5]Mfg of Solid Fuels'!I17</f>
        <v>121305.46623648406</v>
      </c>
      <c r="M148" s="798">
        <f>'[5]Mfg of Solid Fuels'!J17</f>
        <v>118412.60159364555</v>
      </c>
      <c r="N148" s="798">
        <f>'[5]Mfg of Solid Fuels'!K17</f>
        <v>115519.73695080703</v>
      </c>
      <c r="O148" s="798">
        <f>'[5]Mfg of Solid Fuels'!L17</f>
        <v>106923.01632140134</v>
      </c>
      <c r="P148" s="798">
        <f>'[5]Mfg of Solid Fuels'!M17</f>
        <v>98326.295691995663</v>
      </c>
      <c r="Q148" s="798">
        <f>'[5]Mfg of Solid Fuels'!N17</f>
        <v>89729.575062589967</v>
      </c>
      <c r="R148" s="798">
        <f>'[5]Mfg of Solid Fuels'!O17</f>
        <v>81132.854433184286</v>
      </c>
      <c r="S148" s="798">
        <f>'[5]Mfg of Solid Fuels'!P17</f>
        <v>82613.065546203754</v>
      </c>
      <c r="T148" s="798">
        <f>'[5]Mfg of Solid Fuels'!Q17</f>
        <v>84093.276659223222</v>
      </c>
      <c r="U148" s="798">
        <f>'[5]Mfg of Solid Fuels'!R17</f>
        <v>85573.487772242675</v>
      </c>
      <c r="V148" s="798">
        <f>'[5]Mfg of Solid Fuels'!S17</f>
        <v>87053.698885262158</v>
      </c>
      <c r="W148" s="798">
        <f>'[5]Mfg of Solid Fuels'!T17</f>
        <v>84860.106111108762</v>
      </c>
      <c r="X148" s="798">
        <f>'[5]Mfg of Solid Fuels'!U17</f>
        <v>82666.513336955366</v>
      </c>
      <c r="Y148" s="798">
        <f>'[5]Mfg of Solid Fuels'!V17</f>
        <v>80472.92056280197</v>
      </c>
      <c r="Z148" s="798">
        <f>'[5]Mfg of Solid Fuels'!W17</f>
        <v>78279.327788648559</v>
      </c>
      <c r="AA148" s="798">
        <f>'[5]Mfg of Solid Fuels'!X17</f>
        <v>75159.681985727366</v>
      </c>
      <c r="AB148" s="798">
        <f>'[5]Mfg of Solid Fuels'!Y17</f>
        <v>71080.908310086845</v>
      </c>
      <c r="AC148" s="798">
        <f>'[5]Mfg of Solid Fuels'!Z17</f>
        <v>76227.050120838234</v>
      </c>
      <c r="AD148" s="798">
        <f>'[5]Mfg of Solid Fuels'!AA17</f>
        <v>79793.952330517146</v>
      </c>
      <c r="AE148" s="798">
        <f>'[5]Mfg of Solid Fuels'!AB17</f>
        <v>74441.869200576155</v>
      </c>
      <c r="AF148" s="798">
        <f>'[5]Mfg of Solid Fuels'!AC17</f>
        <v>61168.562933093424</v>
      </c>
      <c r="AG148" s="798">
        <f>'[5]Mfg of Solid Fuels'!AD17</f>
        <v>70823.846736846142</v>
      </c>
      <c r="AH148" s="798">
        <f>'[5]Mfg of Solid Fuels'!AE17</f>
        <v>65939.374828001761</v>
      </c>
      <c r="AI148" s="798">
        <f>'[5]Mfg of Solid Fuels'!AF17</f>
        <v>59089.520570783512</v>
      </c>
      <c r="AJ148" s="798">
        <f>'[5]Mfg of Solid Fuels'!AG17</f>
        <v>49858.076424596169</v>
      </c>
      <c r="AK148" s="798">
        <f>'[5]Mfg of Solid Fuels'!AH17</f>
        <v>54132.701973383832</v>
      </c>
      <c r="AL148" s="1068">
        <f>AK148</f>
        <v>54132.701973383832</v>
      </c>
      <c r="AM148" s="315"/>
      <c r="AN148" s="315"/>
    </row>
    <row r="149" spans="1:40" ht="12.6">
      <c r="A149" s="990" t="s">
        <v>265</v>
      </c>
      <c r="B149" s="991" t="s">
        <v>124</v>
      </c>
      <c r="C149" s="991"/>
      <c r="D149" s="315"/>
      <c r="E149" s="315" t="s">
        <v>125</v>
      </c>
      <c r="F149" s="799" t="s">
        <v>126</v>
      </c>
      <c r="G149" s="799" t="s">
        <v>126</v>
      </c>
      <c r="H149" s="799" t="s">
        <v>126</v>
      </c>
      <c r="I149" s="799" t="s">
        <v>126</v>
      </c>
      <c r="J149" s="799" t="s">
        <v>126</v>
      </c>
      <c r="K149" s="799" t="s">
        <v>126</v>
      </c>
      <c r="L149" s="799" t="s">
        <v>126</v>
      </c>
      <c r="M149" s="799" t="s">
        <v>126</v>
      </c>
      <c r="N149" s="799" t="s">
        <v>126</v>
      </c>
      <c r="O149" s="799" t="s">
        <v>126</v>
      </c>
      <c r="P149" s="799" t="s">
        <v>126</v>
      </c>
      <c r="Q149" s="799" t="s">
        <v>126</v>
      </c>
      <c r="R149" s="799" t="s">
        <v>126</v>
      </c>
      <c r="S149" s="799" t="s">
        <v>126</v>
      </c>
      <c r="T149" s="799" t="s">
        <v>126</v>
      </c>
      <c r="U149" s="799" t="s">
        <v>126</v>
      </c>
      <c r="V149" s="799" t="s">
        <v>126</v>
      </c>
      <c r="W149" s="799" t="s">
        <v>126</v>
      </c>
      <c r="X149" s="799" t="s">
        <v>126</v>
      </c>
      <c r="Y149" s="799" t="s">
        <v>126</v>
      </c>
      <c r="Z149" s="799" t="s">
        <v>126</v>
      </c>
      <c r="AA149" s="799" t="s">
        <v>126</v>
      </c>
      <c r="AB149" s="799" t="s">
        <v>126</v>
      </c>
      <c r="AC149" s="799" t="s">
        <v>126</v>
      </c>
      <c r="AD149" s="799" t="s">
        <v>126</v>
      </c>
      <c r="AE149" s="799" t="s">
        <v>126</v>
      </c>
      <c r="AF149" s="799" t="s">
        <v>126</v>
      </c>
      <c r="AG149" s="799" t="s">
        <v>126</v>
      </c>
      <c r="AH149" s="799" t="s">
        <v>126</v>
      </c>
      <c r="AI149" s="799" t="s">
        <v>126</v>
      </c>
      <c r="AJ149" s="799" t="s">
        <v>126</v>
      </c>
      <c r="AK149" s="799" t="s">
        <v>126</v>
      </c>
      <c r="AL149" s="799" t="s">
        <v>126</v>
      </c>
      <c r="AM149" s="315"/>
      <c r="AN149" s="315"/>
    </row>
    <row r="150" spans="1:40" ht="12.6">
      <c r="A150" s="990" t="s">
        <v>266</v>
      </c>
      <c r="B150" s="991" t="s">
        <v>128</v>
      </c>
      <c r="C150" s="991"/>
      <c r="D150" s="991" t="s">
        <v>129</v>
      </c>
      <c r="E150" s="991" t="s">
        <v>130</v>
      </c>
      <c r="F150" s="798">
        <f>'[5]Mfg of Solid Fuels'!C22</f>
        <v>12616.251977426893</v>
      </c>
      <c r="G150" s="798">
        <f>'[5]Mfg of Solid Fuels'!D22</f>
        <v>12343.274400611761</v>
      </c>
      <c r="H150" s="798">
        <f>'[5]Mfg of Solid Fuels'!E22</f>
        <v>12030.490947742504</v>
      </c>
      <c r="I150" s="798">
        <f>'[5]Mfg of Solid Fuels'!F22</f>
        <v>11681.6467824882</v>
      </c>
      <c r="J150" s="798">
        <f>'[5]Mfg of Solid Fuels'!G22</f>
        <v>11378.170695323552</v>
      </c>
      <c r="K150" s="798">
        <f>'[5]Mfg of Solid Fuels'!H22</f>
        <v>11130.236149026046</v>
      </c>
      <c r="L150" s="798">
        <f>'[5]Mfg of Solid Fuels'!I22</f>
        <v>10852.917020681518</v>
      </c>
      <c r="M150" s="798">
        <f>'[5]Mfg of Solid Fuels'!J22</f>
        <v>10595.470825058937</v>
      </c>
      <c r="N150" s="798">
        <f>'[5]Mfg of Solid Fuels'!K22</f>
        <v>10351.798999623501</v>
      </c>
      <c r="O150" s="798">
        <f>'[5]Mfg of Solid Fuels'!L22</f>
        <v>9585.5651864798801</v>
      </c>
      <c r="P150" s="798">
        <f>'[5]Mfg of Solid Fuels'!M22</f>
        <v>8794.57096514976</v>
      </c>
      <c r="Q150" s="798">
        <f>'[5]Mfg of Solid Fuels'!N22</f>
        <v>8000.0446464503993</v>
      </c>
      <c r="R150" s="798">
        <f>'[5]Mfg of Solid Fuels'!O22</f>
        <v>7207.493321033242</v>
      </c>
      <c r="S150" s="798">
        <f>'[5]Mfg of Solid Fuels'!P22</f>
        <v>7332.9809013183012</v>
      </c>
      <c r="T150" s="798">
        <f>'[5]Mfg of Solid Fuels'!Q22</f>
        <v>7466.5254441182296</v>
      </c>
      <c r="U150" s="798">
        <f>'[5]Mfg of Solid Fuels'!R22</f>
        <v>7671.2553272483656</v>
      </c>
      <c r="V150" s="798">
        <f>'[5]Mfg of Solid Fuels'!S22</f>
        <v>7815.4725928262305</v>
      </c>
      <c r="W150" s="798">
        <f>'[5]Mfg of Solid Fuels'!T22</f>
        <v>7612.5051110186805</v>
      </c>
      <c r="X150" s="798">
        <f>'[5]Mfg of Solid Fuels'!U22</f>
        <v>7415.568360556249</v>
      </c>
      <c r="Y150" s="798">
        <f>'[5]Mfg of Solid Fuels'!V22</f>
        <v>7232.988238512723</v>
      </c>
      <c r="Z150" s="798">
        <f>'[5]Mfg of Solid Fuels'!W22</f>
        <v>7035.8011400009045</v>
      </c>
      <c r="AA150" s="798">
        <f>'[5]Mfg of Solid Fuels'!X22</f>
        <v>6760.5234930157894</v>
      </c>
      <c r="AB150" s="798">
        <f>'[5]Mfg of Solid Fuels'!Y22</f>
        <v>6406.8237205677651</v>
      </c>
      <c r="AC150" s="798">
        <f>'[5]Mfg of Solid Fuels'!Z22</f>
        <v>6868.0314538275452</v>
      </c>
      <c r="AD150" s="798">
        <f>'[5]Mfg of Solid Fuels'!AA22</f>
        <v>7194.9893707044739</v>
      </c>
      <c r="AE150" s="798">
        <f>'[5]Mfg of Solid Fuels'!AB22</f>
        <v>6727.5381338340248</v>
      </c>
      <c r="AF150" s="798">
        <f>'[5]Mfg of Solid Fuels'!AC22</f>
        <v>5534.4562650038797</v>
      </c>
      <c r="AG150" s="798">
        <f>'[5]Mfg of Solid Fuels'!AD22</f>
        <v>6414.1273736325375</v>
      </c>
      <c r="AH150" s="798">
        <f>'[5]Mfg of Solid Fuels'!AE22</f>
        <v>5976.6673286475034</v>
      </c>
      <c r="AI150" s="798">
        <f>'[5]Mfg of Solid Fuels'!AF22</f>
        <v>5353.7853713458144</v>
      </c>
      <c r="AJ150" s="798">
        <f>'[5]Mfg of Solid Fuels'!AG22</f>
        <v>4527.3202922957698</v>
      </c>
      <c r="AK150" s="798">
        <f>'[5]Mfg of Solid Fuels'!AH22</f>
        <v>4909.4375641801844</v>
      </c>
      <c r="AL150" s="1068">
        <f>AK150</f>
        <v>4909.4375641801844</v>
      </c>
      <c r="AM150" s="315"/>
      <c r="AN150" s="315"/>
    </row>
    <row r="151" spans="1:40" ht="12.6">
      <c r="A151" s="990" t="s">
        <v>267</v>
      </c>
      <c r="B151" s="991" t="s">
        <v>132</v>
      </c>
      <c r="C151" s="991"/>
      <c r="D151" s="991" t="s">
        <v>129</v>
      </c>
      <c r="E151" s="991" t="s">
        <v>130</v>
      </c>
      <c r="F151" s="799" t="s">
        <v>106</v>
      </c>
      <c r="G151" s="799" t="s">
        <v>106</v>
      </c>
      <c r="H151" s="799" t="s">
        <v>106</v>
      </c>
      <c r="I151" s="799" t="s">
        <v>106</v>
      </c>
      <c r="J151" s="799" t="s">
        <v>106</v>
      </c>
      <c r="K151" s="799" t="s">
        <v>106</v>
      </c>
      <c r="L151" s="799" t="s">
        <v>106</v>
      </c>
      <c r="M151" s="799" t="s">
        <v>106</v>
      </c>
      <c r="N151" s="799" t="s">
        <v>106</v>
      </c>
      <c r="O151" s="799" t="s">
        <v>106</v>
      </c>
      <c r="P151" s="799" t="s">
        <v>106</v>
      </c>
      <c r="Q151" s="799" t="s">
        <v>106</v>
      </c>
      <c r="R151" s="799" t="s">
        <v>106</v>
      </c>
      <c r="S151" s="799" t="s">
        <v>106</v>
      </c>
      <c r="T151" s="799" t="s">
        <v>106</v>
      </c>
      <c r="U151" s="799" t="s">
        <v>106</v>
      </c>
      <c r="V151" s="799" t="s">
        <v>106</v>
      </c>
      <c r="W151" s="799" t="s">
        <v>106</v>
      </c>
      <c r="X151" s="799" t="s">
        <v>106</v>
      </c>
      <c r="Y151" s="799" t="s">
        <v>106</v>
      </c>
      <c r="Z151" s="799" t="s">
        <v>106</v>
      </c>
      <c r="AA151" s="799" t="s">
        <v>106</v>
      </c>
      <c r="AB151" s="799" t="s">
        <v>106</v>
      </c>
      <c r="AC151" s="799" t="s">
        <v>106</v>
      </c>
      <c r="AD151" s="799" t="s">
        <v>106</v>
      </c>
      <c r="AE151" s="799" t="s">
        <v>106</v>
      </c>
      <c r="AF151" s="799" t="s">
        <v>106</v>
      </c>
      <c r="AG151" s="799" t="s">
        <v>106</v>
      </c>
      <c r="AH151" s="799" t="s">
        <v>106</v>
      </c>
      <c r="AI151" s="799" t="s">
        <v>106</v>
      </c>
      <c r="AJ151" s="799" t="s">
        <v>106</v>
      </c>
      <c r="AK151" s="799" t="s">
        <v>106</v>
      </c>
      <c r="AL151" s="799" t="s">
        <v>106</v>
      </c>
      <c r="AM151" s="315"/>
      <c r="AN151" s="315"/>
    </row>
    <row r="152" spans="1:40" ht="12.6">
      <c r="A152" s="990" t="s">
        <v>268</v>
      </c>
      <c r="B152" s="991" t="s">
        <v>134</v>
      </c>
      <c r="D152" s="315"/>
      <c r="E152" s="315"/>
      <c r="F152" s="800" t="s">
        <v>230</v>
      </c>
      <c r="G152" s="800" t="s">
        <v>230</v>
      </c>
      <c r="H152" s="800" t="s">
        <v>230</v>
      </c>
      <c r="I152" s="800" t="s">
        <v>230</v>
      </c>
      <c r="J152" s="800" t="s">
        <v>230</v>
      </c>
      <c r="K152" s="800" t="s">
        <v>230</v>
      </c>
      <c r="L152" s="800" t="s">
        <v>230</v>
      </c>
      <c r="M152" s="800" t="s">
        <v>230</v>
      </c>
      <c r="N152" s="800" t="s">
        <v>230</v>
      </c>
      <c r="O152" s="800" t="s">
        <v>230</v>
      </c>
      <c r="P152" s="800" t="s">
        <v>230</v>
      </c>
      <c r="Q152" s="800" t="s">
        <v>230</v>
      </c>
      <c r="R152" s="800" t="s">
        <v>230</v>
      </c>
      <c r="S152" s="800" t="s">
        <v>230</v>
      </c>
      <c r="T152" s="800" t="s">
        <v>230</v>
      </c>
      <c r="U152" s="800" t="s">
        <v>230</v>
      </c>
      <c r="V152" s="800" t="s">
        <v>230</v>
      </c>
      <c r="W152" s="800" t="s">
        <v>230</v>
      </c>
      <c r="X152" s="800" t="s">
        <v>230</v>
      </c>
      <c r="Y152" s="800" t="s">
        <v>230</v>
      </c>
      <c r="Z152" s="800" t="s">
        <v>230</v>
      </c>
      <c r="AA152" s="800" t="s">
        <v>230</v>
      </c>
      <c r="AB152" s="800" t="s">
        <v>230</v>
      </c>
      <c r="AC152" s="800" t="s">
        <v>230</v>
      </c>
      <c r="AD152" s="800" t="s">
        <v>230</v>
      </c>
      <c r="AE152" s="800" t="s">
        <v>230</v>
      </c>
      <c r="AF152" s="800" t="s">
        <v>230</v>
      </c>
      <c r="AG152" s="800" t="s">
        <v>230</v>
      </c>
      <c r="AH152" s="800" t="s">
        <v>230</v>
      </c>
      <c r="AI152" s="800" t="s">
        <v>230</v>
      </c>
      <c r="AJ152" s="800" t="s">
        <v>230</v>
      </c>
      <c r="AK152" s="800" t="s">
        <v>230</v>
      </c>
      <c r="AL152" s="800" t="s">
        <v>230</v>
      </c>
      <c r="AM152" s="315"/>
      <c r="AN152" s="315"/>
    </row>
    <row r="153" spans="1:40" s="792" customFormat="1" ht="14.25" customHeight="1">
      <c r="A153" s="989" t="s">
        <v>269</v>
      </c>
      <c r="B153" s="791"/>
      <c r="C153" s="791"/>
      <c r="D153" s="791"/>
      <c r="E153" s="791"/>
      <c r="F153" s="790"/>
      <c r="G153" s="790"/>
      <c r="H153" s="790"/>
      <c r="I153" s="790"/>
      <c r="J153" s="790"/>
      <c r="K153" s="790"/>
      <c r="L153" s="790"/>
      <c r="M153" s="790"/>
      <c r="N153" s="790"/>
      <c r="O153" s="790"/>
      <c r="P153" s="790"/>
      <c r="Q153" s="790"/>
      <c r="R153" s="790"/>
      <c r="S153" s="790"/>
      <c r="T153" s="790"/>
      <c r="U153" s="790"/>
      <c r="V153" s="790"/>
      <c r="W153" s="790"/>
      <c r="X153" s="790"/>
      <c r="Y153" s="790"/>
      <c r="Z153" s="790"/>
      <c r="AA153" s="790"/>
      <c r="AB153" s="790"/>
      <c r="AC153" s="790"/>
      <c r="AD153" s="790"/>
      <c r="AE153" s="790"/>
      <c r="AF153" s="790"/>
      <c r="AG153" s="790"/>
      <c r="AH153" s="790"/>
      <c r="AI153" s="790"/>
      <c r="AJ153" s="790"/>
      <c r="AK153" s="790"/>
      <c r="AL153" s="790"/>
      <c r="AM153" s="791"/>
      <c r="AN153" s="791"/>
    </row>
    <row r="154" spans="1:40" ht="12.6">
      <c r="A154" s="990" t="s">
        <v>270</v>
      </c>
      <c r="B154" s="991" t="s">
        <v>121</v>
      </c>
      <c r="C154" s="991"/>
      <c r="D154" s="315"/>
      <c r="E154" s="991" t="s">
        <v>122</v>
      </c>
      <c r="F154" s="798">
        <f>'[5]Mfg of Solid Fuels'!C18</f>
        <v>883547.643862759</v>
      </c>
      <c r="G154" s="798">
        <f>'[5]Mfg of Solid Fuels'!D18</f>
        <v>875809.93530781497</v>
      </c>
      <c r="H154" s="798">
        <f>'[5]Mfg of Solid Fuels'!E18</f>
        <v>868072.22675287107</v>
      </c>
      <c r="I154" s="798">
        <f>'[5]Mfg of Solid Fuels'!F18</f>
        <v>860334.51819792716</v>
      </c>
      <c r="J154" s="798">
        <f>'[5]Mfg of Solid Fuels'!G18</f>
        <v>852596.80964298313</v>
      </c>
      <c r="K154" s="798">
        <f>'[5]Mfg of Solid Fuels'!H18</f>
        <v>862187.94750772917</v>
      </c>
      <c r="L154" s="798">
        <f>'[5]Mfg of Solid Fuels'!I18</f>
        <v>871779.08537247521</v>
      </c>
      <c r="M154" s="798">
        <f>'[5]Mfg of Solid Fuels'!J18</f>
        <v>881370.22323722136</v>
      </c>
      <c r="N154" s="798">
        <f>'[5]Mfg of Solid Fuels'!K18</f>
        <v>890961.36110196752</v>
      </c>
      <c r="O154" s="798">
        <f>'[5]Mfg of Solid Fuels'!L18</f>
        <v>885120.7345216109</v>
      </c>
      <c r="P154" s="798">
        <f>'[5]Mfg of Solid Fuels'!M18</f>
        <v>879280.10794125439</v>
      </c>
      <c r="Q154" s="798">
        <f>'[5]Mfg of Solid Fuels'!N18</f>
        <v>873439.48136089777</v>
      </c>
      <c r="R154" s="798">
        <f>'[5]Mfg of Solid Fuels'!O18</f>
        <v>867598.85478054138</v>
      </c>
      <c r="S154" s="798">
        <f>'[5]Mfg of Solid Fuels'!P18</f>
        <v>818432.83939119498</v>
      </c>
      <c r="T154" s="798">
        <f>'[5]Mfg of Solid Fuels'!Q18</f>
        <v>769266.8240018487</v>
      </c>
      <c r="U154" s="798">
        <f>'[5]Mfg of Solid Fuels'!R18</f>
        <v>720100.8086125023</v>
      </c>
      <c r="V154" s="798">
        <f>'[5]Mfg of Solid Fuels'!S18</f>
        <v>670934.79322315566</v>
      </c>
      <c r="W154" s="798">
        <f>'[5]Mfg of Solid Fuels'!T18</f>
        <v>677824.21427966305</v>
      </c>
      <c r="X154" s="798">
        <f>'[5]Mfg of Solid Fuels'!U18</f>
        <v>684713.63533617032</v>
      </c>
      <c r="Y154" s="798">
        <f>'[5]Mfg of Solid Fuels'!V18</f>
        <v>691603.05639267759</v>
      </c>
      <c r="Z154" s="798">
        <f>'[5]Mfg of Solid Fuels'!W18</f>
        <v>698492.47744918521</v>
      </c>
      <c r="AA154" s="798">
        <f>'[5]Mfg of Solid Fuels'!X18</f>
        <v>1213715.5560139297</v>
      </c>
      <c r="AB154" s="798">
        <f>'[5]Mfg of Solid Fuels'!Y18</f>
        <v>1265397.8371205558</v>
      </c>
      <c r="AC154" s="798">
        <f>'[5]Mfg of Solid Fuels'!Z18</f>
        <v>1304648.6885853882</v>
      </c>
      <c r="AD154" s="798">
        <f>'[5]Mfg of Solid Fuels'!AA18</f>
        <v>1370406.2022312426</v>
      </c>
      <c r="AE154" s="798">
        <f>'[5]Mfg of Solid Fuels'!AB18</f>
        <v>1433185.5033866107</v>
      </c>
      <c r="AF154" s="798">
        <f>'[5]Mfg of Solid Fuels'!AC18</f>
        <v>975239.84685674682</v>
      </c>
      <c r="AG154" s="798">
        <f>'[5]Mfg of Solid Fuels'!AD18</f>
        <v>979903.49336857023</v>
      </c>
      <c r="AH154" s="798">
        <f>'[5]Mfg of Solid Fuels'!AE18</f>
        <v>1014179.5737044474</v>
      </c>
      <c r="AI154" s="798">
        <f>'[5]Mfg of Solid Fuels'!AF18</f>
        <v>1033546.0075181447</v>
      </c>
      <c r="AJ154" s="798">
        <f>'[5]Mfg of Solid Fuels'!AG18</f>
        <v>1009591.9054671825</v>
      </c>
      <c r="AK154" s="798">
        <f>'[5]Mfg of Solid Fuels'!AH18</f>
        <v>1011668.5034009822</v>
      </c>
      <c r="AL154" s="1068">
        <f>AK154</f>
        <v>1011668.5034009822</v>
      </c>
      <c r="AM154" s="315"/>
      <c r="AN154" s="315"/>
    </row>
    <row r="155" spans="1:40" ht="12.6">
      <c r="A155" s="990" t="s">
        <v>271</v>
      </c>
      <c r="B155" s="991" t="s">
        <v>124</v>
      </c>
      <c r="C155" s="991"/>
      <c r="D155" s="315"/>
      <c r="E155" s="315" t="s">
        <v>125</v>
      </c>
      <c r="F155" s="799" t="s">
        <v>126</v>
      </c>
      <c r="G155" s="799" t="s">
        <v>126</v>
      </c>
      <c r="H155" s="799" t="s">
        <v>126</v>
      </c>
      <c r="I155" s="799" t="s">
        <v>126</v>
      </c>
      <c r="J155" s="799" t="s">
        <v>126</v>
      </c>
      <c r="K155" s="799" t="s">
        <v>126</v>
      </c>
      <c r="L155" s="799" t="s">
        <v>126</v>
      </c>
      <c r="M155" s="799" t="s">
        <v>126</v>
      </c>
      <c r="N155" s="799" t="s">
        <v>126</v>
      </c>
      <c r="O155" s="799" t="s">
        <v>126</v>
      </c>
      <c r="P155" s="799" t="s">
        <v>126</v>
      </c>
      <c r="Q155" s="799" t="s">
        <v>126</v>
      </c>
      <c r="R155" s="799" t="s">
        <v>126</v>
      </c>
      <c r="S155" s="799" t="s">
        <v>126</v>
      </c>
      <c r="T155" s="799" t="s">
        <v>126</v>
      </c>
      <c r="U155" s="799" t="s">
        <v>126</v>
      </c>
      <c r="V155" s="799" t="s">
        <v>126</v>
      </c>
      <c r="W155" s="799" t="s">
        <v>126</v>
      </c>
      <c r="X155" s="799" t="s">
        <v>126</v>
      </c>
      <c r="Y155" s="799" t="s">
        <v>126</v>
      </c>
      <c r="Z155" s="799" t="s">
        <v>126</v>
      </c>
      <c r="AA155" s="799" t="s">
        <v>126</v>
      </c>
      <c r="AB155" s="799" t="s">
        <v>126</v>
      </c>
      <c r="AC155" s="799" t="s">
        <v>126</v>
      </c>
      <c r="AD155" s="799" t="s">
        <v>126</v>
      </c>
      <c r="AE155" s="799" t="s">
        <v>126</v>
      </c>
      <c r="AF155" s="799" t="s">
        <v>126</v>
      </c>
      <c r="AG155" s="799" t="s">
        <v>126</v>
      </c>
      <c r="AH155" s="799" t="s">
        <v>126</v>
      </c>
      <c r="AI155" s="799" t="s">
        <v>126</v>
      </c>
      <c r="AJ155" s="799" t="s">
        <v>126</v>
      </c>
      <c r="AK155" s="799" t="s">
        <v>126</v>
      </c>
      <c r="AL155" s="799" t="s">
        <v>126</v>
      </c>
      <c r="AM155" s="315"/>
      <c r="AN155" s="315"/>
    </row>
    <row r="156" spans="1:40" ht="12.6">
      <c r="A156" s="990" t="s">
        <v>272</v>
      </c>
      <c r="B156" s="991" t="s">
        <v>128</v>
      </c>
      <c r="C156" s="991"/>
      <c r="D156" s="991" t="s">
        <v>129</v>
      </c>
      <c r="E156" s="991" t="s">
        <v>130</v>
      </c>
      <c r="F156" s="798">
        <f>'[5]Mfg of Solid Fuels'!C23</f>
        <v>46194.566227099109</v>
      </c>
      <c r="G156" s="798">
        <f>'[5]Mfg of Solid Fuels'!D23</f>
        <v>46010.303370404472</v>
      </c>
      <c r="H156" s="798">
        <f>'[5]Mfg of Solid Fuels'!E23</f>
        <v>45385.691123081313</v>
      </c>
      <c r="I156" s="798">
        <f>'[5]Mfg of Solid Fuels'!F23</f>
        <v>45139.424078839656</v>
      </c>
      <c r="J156" s="798">
        <f>'[5]Mfg of Solid Fuels'!G23</f>
        <v>44629.997225525563</v>
      </c>
      <c r="K156" s="798">
        <f>'[5]Mfg of Solid Fuels'!H23</f>
        <v>45225.891408626339</v>
      </c>
      <c r="L156" s="798">
        <f>'[5]Mfg of Solid Fuels'!I23</f>
        <v>45388.193338567668</v>
      </c>
      <c r="M156" s="798">
        <f>'[5]Mfg of Solid Fuels'!J23</f>
        <v>45885.401958088827</v>
      </c>
      <c r="N156" s="798">
        <f>'[5]Mfg of Solid Fuels'!K23</f>
        <v>46390.870041748509</v>
      </c>
      <c r="O156" s="798">
        <f>'[5]Mfg of Solid Fuels'!L23</f>
        <v>46267.744419480667</v>
      </c>
      <c r="P156" s="798">
        <f>'[5]Mfg of Solid Fuels'!M23</f>
        <v>45860.969114977488</v>
      </c>
      <c r="Q156" s="798">
        <f>'[5]Mfg of Solid Fuels'!N23</f>
        <v>45721.131907169511</v>
      </c>
      <c r="R156" s="798">
        <f>'[5]Mfg of Solid Fuels'!O23</f>
        <v>45510.198315134076</v>
      </c>
      <c r="S156" s="798">
        <f>'[5]Mfg of Solid Fuels'!P23</f>
        <v>42584.913174211826</v>
      </c>
      <c r="T156" s="798">
        <f>'[5]Mfg of Solid Fuels'!Q23</f>
        <v>40006.275966566107</v>
      </c>
      <c r="U156" s="798">
        <f>'[5]Mfg of Solid Fuels'!R23</f>
        <v>37749.283394467493</v>
      </c>
      <c r="V156" s="798">
        <f>'[5]Mfg of Solid Fuels'!S23</f>
        <v>34906.395748975207</v>
      </c>
      <c r="W156" s="798">
        <f>'[5]Mfg of Solid Fuels'!T23</f>
        <v>35300.601359658744</v>
      </c>
      <c r="X156" s="798">
        <f>'[5]Mfg of Solid Fuels'!U23</f>
        <v>35892.962278868312</v>
      </c>
      <c r="Y156" s="798">
        <f>'[5]Mfg of Solid Fuels'!V23</f>
        <v>36791.34565428616</v>
      </c>
      <c r="Z156" s="798">
        <f>'[5]Mfg of Solid Fuels'!W23</f>
        <v>37020.334795717768</v>
      </c>
      <c r="AA156" s="798">
        <f>'[5]Mfg of Solid Fuels'!X23</f>
        <v>64276.999572497167</v>
      </c>
      <c r="AB156" s="798">
        <f>'[5]Mfg of Solid Fuels'!Y23</f>
        <v>66899.048649456003</v>
      </c>
      <c r="AC156" s="798">
        <f>'[5]Mfg of Solid Fuels'!Z23</f>
        <v>68471.750103291633</v>
      </c>
      <c r="AD156" s="798">
        <f>'[5]Mfg of Solid Fuels'!AA23</f>
        <v>71894.692530732878</v>
      </c>
      <c r="AE156" s="798">
        <f>'[5]Mfg of Solid Fuels'!AB23</f>
        <v>75298.734909550447</v>
      </c>
      <c r="AF156" s="798">
        <f>'[5]Mfg of Solid Fuels'!AC23</f>
        <v>50689.142501664966</v>
      </c>
      <c r="AG156" s="798">
        <f>'[5]Mfg of Solid Fuels'!AD23</f>
        <v>51025.143366698692</v>
      </c>
      <c r="AH156" s="798">
        <f>'[5]Mfg of Solid Fuels'!AE23</f>
        <v>52594.638142323398</v>
      </c>
      <c r="AI156" s="798">
        <f>'[5]Mfg of Solid Fuels'!AF23</f>
        <v>53901.228118376013</v>
      </c>
      <c r="AJ156" s="798">
        <f>'[5]Mfg of Solid Fuels'!AG23</f>
        <v>53301.008507513732</v>
      </c>
      <c r="AK156" s="798">
        <f>'[5]Mfg of Solid Fuels'!AH23</f>
        <v>53029.061591883248</v>
      </c>
      <c r="AL156" s="1068">
        <f>AK156</f>
        <v>53029.061591883248</v>
      </c>
      <c r="AM156" s="315"/>
      <c r="AN156" s="315"/>
    </row>
    <row r="157" spans="1:40" ht="12.6">
      <c r="A157" s="990" t="s">
        <v>273</v>
      </c>
      <c r="B157" s="991" t="s">
        <v>132</v>
      </c>
      <c r="C157" s="991"/>
      <c r="D157" s="991" t="s">
        <v>129</v>
      </c>
      <c r="E157" s="991" t="s">
        <v>130</v>
      </c>
      <c r="F157" s="799" t="s">
        <v>106</v>
      </c>
      <c r="G157" s="799" t="s">
        <v>106</v>
      </c>
      <c r="H157" s="799" t="s">
        <v>106</v>
      </c>
      <c r="I157" s="799" t="s">
        <v>106</v>
      </c>
      <c r="J157" s="799" t="s">
        <v>106</v>
      </c>
      <c r="K157" s="799" t="s">
        <v>106</v>
      </c>
      <c r="L157" s="799" t="s">
        <v>106</v>
      </c>
      <c r="M157" s="799" t="s">
        <v>106</v>
      </c>
      <c r="N157" s="799" t="s">
        <v>106</v>
      </c>
      <c r="O157" s="799" t="s">
        <v>106</v>
      </c>
      <c r="P157" s="799" t="s">
        <v>106</v>
      </c>
      <c r="Q157" s="799" t="s">
        <v>106</v>
      </c>
      <c r="R157" s="799" t="s">
        <v>106</v>
      </c>
      <c r="S157" s="799" t="s">
        <v>106</v>
      </c>
      <c r="T157" s="799" t="s">
        <v>106</v>
      </c>
      <c r="U157" s="799" t="s">
        <v>106</v>
      </c>
      <c r="V157" s="799" t="s">
        <v>106</v>
      </c>
      <c r="W157" s="799" t="s">
        <v>106</v>
      </c>
      <c r="X157" s="799" t="s">
        <v>106</v>
      </c>
      <c r="Y157" s="799" t="s">
        <v>106</v>
      </c>
      <c r="Z157" s="799" t="s">
        <v>106</v>
      </c>
      <c r="AA157" s="799" t="s">
        <v>106</v>
      </c>
      <c r="AB157" s="799" t="s">
        <v>106</v>
      </c>
      <c r="AC157" s="799" t="s">
        <v>106</v>
      </c>
      <c r="AD157" s="799" t="s">
        <v>106</v>
      </c>
      <c r="AE157" s="799" t="s">
        <v>106</v>
      </c>
      <c r="AF157" s="799" t="s">
        <v>106</v>
      </c>
      <c r="AG157" s="799" t="s">
        <v>106</v>
      </c>
      <c r="AH157" s="799" t="s">
        <v>106</v>
      </c>
      <c r="AI157" s="799" t="s">
        <v>106</v>
      </c>
      <c r="AJ157" s="799" t="s">
        <v>106</v>
      </c>
      <c r="AK157" s="799" t="s">
        <v>106</v>
      </c>
      <c r="AL157" s="799" t="s">
        <v>106</v>
      </c>
      <c r="AM157" s="315"/>
      <c r="AN157" s="315"/>
    </row>
    <row r="158" spans="1:40" ht="12.6">
      <c r="A158" s="990" t="s">
        <v>274</v>
      </c>
      <c r="B158" s="991" t="s">
        <v>134</v>
      </c>
      <c r="D158" s="315"/>
      <c r="E158" s="315"/>
      <c r="F158" s="800" t="s">
        <v>230</v>
      </c>
      <c r="G158" s="800" t="s">
        <v>230</v>
      </c>
      <c r="H158" s="800" t="s">
        <v>230</v>
      </c>
      <c r="I158" s="800" t="s">
        <v>230</v>
      </c>
      <c r="J158" s="800" t="s">
        <v>230</v>
      </c>
      <c r="K158" s="800" t="s">
        <v>230</v>
      </c>
      <c r="L158" s="800" t="s">
        <v>230</v>
      </c>
      <c r="M158" s="800" t="s">
        <v>230</v>
      </c>
      <c r="N158" s="800" t="s">
        <v>230</v>
      </c>
      <c r="O158" s="800" t="s">
        <v>230</v>
      </c>
      <c r="P158" s="800" t="s">
        <v>230</v>
      </c>
      <c r="Q158" s="800" t="s">
        <v>230</v>
      </c>
      <c r="R158" s="800" t="s">
        <v>230</v>
      </c>
      <c r="S158" s="800" t="s">
        <v>230</v>
      </c>
      <c r="T158" s="800" t="s">
        <v>230</v>
      </c>
      <c r="U158" s="800" t="s">
        <v>230</v>
      </c>
      <c r="V158" s="800" t="s">
        <v>230</v>
      </c>
      <c r="W158" s="800" t="s">
        <v>230</v>
      </c>
      <c r="X158" s="800" t="s">
        <v>230</v>
      </c>
      <c r="Y158" s="800" t="s">
        <v>230</v>
      </c>
      <c r="Z158" s="800" t="s">
        <v>230</v>
      </c>
      <c r="AA158" s="800" t="s">
        <v>230</v>
      </c>
      <c r="AB158" s="800" t="s">
        <v>230</v>
      </c>
      <c r="AC158" s="800" t="s">
        <v>230</v>
      </c>
      <c r="AD158" s="800" t="s">
        <v>230</v>
      </c>
      <c r="AE158" s="800" t="s">
        <v>230</v>
      </c>
      <c r="AF158" s="800" t="s">
        <v>230</v>
      </c>
      <c r="AG158" s="800" t="s">
        <v>230</v>
      </c>
      <c r="AH158" s="800" t="s">
        <v>230</v>
      </c>
      <c r="AI158" s="800" t="s">
        <v>230</v>
      </c>
      <c r="AJ158" s="800" t="s">
        <v>230</v>
      </c>
      <c r="AK158" s="800" t="s">
        <v>230</v>
      </c>
      <c r="AL158" s="800" t="s">
        <v>230</v>
      </c>
      <c r="AM158" s="315"/>
      <c r="AN158" s="315"/>
    </row>
    <row r="159" spans="1:40" s="792" customFormat="1" ht="14.25" customHeight="1">
      <c r="A159" s="989" t="s">
        <v>275</v>
      </c>
      <c r="B159" s="791"/>
      <c r="C159" s="791"/>
      <c r="D159" s="791"/>
      <c r="E159" s="791"/>
      <c r="F159" s="790"/>
      <c r="G159" s="790"/>
      <c r="H159" s="790"/>
      <c r="I159" s="790"/>
      <c r="J159" s="790"/>
      <c r="K159" s="790"/>
      <c r="L159" s="790"/>
      <c r="M159" s="790"/>
      <c r="N159" s="790"/>
      <c r="O159" s="790"/>
      <c r="P159" s="790"/>
      <c r="Q159" s="790"/>
      <c r="R159" s="790"/>
      <c r="S159" s="790"/>
      <c r="T159" s="790"/>
      <c r="U159" s="790"/>
      <c r="V159" s="790"/>
      <c r="W159" s="790"/>
      <c r="X159" s="790"/>
      <c r="Y159" s="790"/>
      <c r="Z159" s="790"/>
      <c r="AA159" s="790"/>
      <c r="AB159" s="790"/>
      <c r="AC159" s="790"/>
      <c r="AD159" s="790"/>
      <c r="AE159" s="790"/>
      <c r="AF159" s="790"/>
      <c r="AG159" s="790"/>
      <c r="AH159" s="790"/>
      <c r="AI159" s="790"/>
      <c r="AJ159" s="790"/>
      <c r="AK159" s="790"/>
      <c r="AL159" s="790"/>
      <c r="AM159" s="791"/>
      <c r="AN159" s="791"/>
    </row>
    <row r="160" spans="1:40" ht="12.6">
      <c r="A160" s="990" t="s">
        <v>276</v>
      </c>
      <c r="B160" s="991" t="s">
        <v>121</v>
      </c>
      <c r="C160" s="991"/>
      <c r="D160" s="315"/>
      <c r="E160" s="991" t="s">
        <v>122</v>
      </c>
      <c r="F160" s="799" t="s">
        <v>108</v>
      </c>
      <c r="G160" s="799" t="s">
        <v>108</v>
      </c>
      <c r="H160" s="799" t="s">
        <v>108</v>
      </c>
      <c r="I160" s="799" t="s">
        <v>108</v>
      </c>
      <c r="J160" s="799" t="s">
        <v>108</v>
      </c>
      <c r="K160" s="799" t="s">
        <v>108</v>
      </c>
      <c r="L160" s="799" t="s">
        <v>108</v>
      </c>
      <c r="M160" s="799" t="s">
        <v>108</v>
      </c>
      <c r="N160" s="799" t="s">
        <v>108</v>
      </c>
      <c r="O160" s="799" t="s">
        <v>108</v>
      </c>
      <c r="P160" s="799" t="s">
        <v>108</v>
      </c>
      <c r="Q160" s="799" t="s">
        <v>108</v>
      </c>
      <c r="R160" s="799" t="s">
        <v>108</v>
      </c>
      <c r="S160" s="799" t="s">
        <v>108</v>
      </c>
      <c r="T160" s="799" t="s">
        <v>108</v>
      </c>
      <c r="U160" s="799" t="s">
        <v>108</v>
      </c>
      <c r="V160" s="799" t="s">
        <v>108</v>
      </c>
      <c r="W160" s="799" t="s">
        <v>108</v>
      </c>
      <c r="X160" s="799" t="s">
        <v>108</v>
      </c>
      <c r="Y160" s="799" t="s">
        <v>108</v>
      </c>
      <c r="Z160" s="799" t="s">
        <v>108</v>
      </c>
      <c r="AA160" s="799" t="s">
        <v>108</v>
      </c>
      <c r="AB160" s="799" t="s">
        <v>108</v>
      </c>
      <c r="AC160" s="799" t="s">
        <v>108</v>
      </c>
      <c r="AD160" s="799" t="s">
        <v>108</v>
      </c>
      <c r="AE160" s="799" t="s">
        <v>108</v>
      </c>
      <c r="AF160" s="799" t="s">
        <v>108</v>
      </c>
      <c r="AG160" s="799" t="s">
        <v>108</v>
      </c>
      <c r="AH160" s="799" t="s">
        <v>108</v>
      </c>
      <c r="AI160" s="799" t="s">
        <v>108</v>
      </c>
      <c r="AJ160" s="799" t="s">
        <v>108</v>
      </c>
      <c r="AK160" s="799" t="s">
        <v>108</v>
      </c>
      <c r="AL160" s="799" t="s">
        <v>108</v>
      </c>
      <c r="AM160" s="315"/>
      <c r="AN160" s="315"/>
    </row>
    <row r="161" spans="1:40" ht="12.6">
      <c r="A161" s="990" t="s">
        <v>277</v>
      </c>
      <c r="B161" s="991" t="s">
        <v>124</v>
      </c>
      <c r="C161" s="991"/>
      <c r="D161" s="315"/>
      <c r="E161" s="315" t="s">
        <v>125</v>
      </c>
      <c r="F161" s="799" t="s">
        <v>126</v>
      </c>
      <c r="G161" s="799" t="s">
        <v>126</v>
      </c>
      <c r="H161" s="799" t="s">
        <v>126</v>
      </c>
      <c r="I161" s="799" t="s">
        <v>126</v>
      </c>
      <c r="J161" s="799" t="s">
        <v>126</v>
      </c>
      <c r="K161" s="799" t="s">
        <v>126</v>
      </c>
      <c r="L161" s="799" t="s">
        <v>126</v>
      </c>
      <c r="M161" s="799" t="s">
        <v>126</v>
      </c>
      <c r="N161" s="799" t="s">
        <v>126</v>
      </c>
      <c r="O161" s="799" t="s">
        <v>126</v>
      </c>
      <c r="P161" s="799" t="s">
        <v>126</v>
      </c>
      <c r="Q161" s="799" t="s">
        <v>126</v>
      </c>
      <c r="R161" s="799" t="s">
        <v>126</v>
      </c>
      <c r="S161" s="799" t="s">
        <v>126</v>
      </c>
      <c r="T161" s="799" t="s">
        <v>126</v>
      </c>
      <c r="U161" s="799" t="s">
        <v>126</v>
      </c>
      <c r="V161" s="799" t="s">
        <v>126</v>
      </c>
      <c r="W161" s="799" t="s">
        <v>126</v>
      </c>
      <c r="X161" s="799" t="s">
        <v>126</v>
      </c>
      <c r="Y161" s="799" t="s">
        <v>126</v>
      </c>
      <c r="Z161" s="799" t="s">
        <v>126</v>
      </c>
      <c r="AA161" s="799" t="s">
        <v>126</v>
      </c>
      <c r="AB161" s="799" t="s">
        <v>126</v>
      </c>
      <c r="AC161" s="799" t="s">
        <v>126</v>
      </c>
      <c r="AD161" s="799" t="s">
        <v>126</v>
      </c>
      <c r="AE161" s="799" t="s">
        <v>126</v>
      </c>
      <c r="AF161" s="799" t="s">
        <v>126</v>
      </c>
      <c r="AG161" s="799" t="s">
        <v>126</v>
      </c>
      <c r="AH161" s="799" t="s">
        <v>126</v>
      </c>
      <c r="AI161" s="799" t="s">
        <v>126</v>
      </c>
      <c r="AJ161" s="799" t="s">
        <v>126</v>
      </c>
      <c r="AK161" s="799" t="s">
        <v>126</v>
      </c>
      <c r="AL161" s="799" t="s">
        <v>126</v>
      </c>
      <c r="AM161" s="315"/>
      <c r="AN161" s="315"/>
    </row>
    <row r="162" spans="1:40" ht="12.6">
      <c r="A162" s="990" t="s">
        <v>278</v>
      </c>
      <c r="B162" s="991" t="s">
        <v>128</v>
      </c>
      <c r="C162" s="991"/>
      <c r="D162" s="991" t="s">
        <v>129</v>
      </c>
      <c r="E162" s="991" t="s">
        <v>130</v>
      </c>
      <c r="F162" s="799" t="s">
        <v>108</v>
      </c>
      <c r="G162" s="799" t="s">
        <v>108</v>
      </c>
      <c r="H162" s="799" t="s">
        <v>108</v>
      </c>
      <c r="I162" s="799" t="s">
        <v>108</v>
      </c>
      <c r="J162" s="799" t="s">
        <v>108</v>
      </c>
      <c r="K162" s="799" t="s">
        <v>108</v>
      </c>
      <c r="L162" s="799" t="s">
        <v>108</v>
      </c>
      <c r="M162" s="799" t="s">
        <v>108</v>
      </c>
      <c r="N162" s="799" t="s">
        <v>108</v>
      </c>
      <c r="O162" s="799" t="s">
        <v>108</v>
      </c>
      <c r="P162" s="799" t="s">
        <v>108</v>
      </c>
      <c r="Q162" s="799" t="s">
        <v>108</v>
      </c>
      <c r="R162" s="799" t="s">
        <v>108</v>
      </c>
      <c r="S162" s="799" t="s">
        <v>108</v>
      </c>
      <c r="T162" s="799" t="s">
        <v>108</v>
      </c>
      <c r="U162" s="799" t="s">
        <v>108</v>
      </c>
      <c r="V162" s="799" t="s">
        <v>108</v>
      </c>
      <c r="W162" s="799" t="s">
        <v>108</v>
      </c>
      <c r="X162" s="799" t="s">
        <v>108</v>
      </c>
      <c r="Y162" s="799" t="s">
        <v>108</v>
      </c>
      <c r="Z162" s="799" t="s">
        <v>108</v>
      </c>
      <c r="AA162" s="799" t="s">
        <v>108</v>
      </c>
      <c r="AB162" s="799" t="s">
        <v>108</v>
      </c>
      <c r="AC162" s="799" t="s">
        <v>108</v>
      </c>
      <c r="AD162" s="799" t="s">
        <v>108</v>
      </c>
      <c r="AE162" s="799" t="s">
        <v>108</v>
      </c>
      <c r="AF162" s="799" t="s">
        <v>108</v>
      </c>
      <c r="AG162" s="799" t="s">
        <v>108</v>
      </c>
      <c r="AH162" s="799" t="s">
        <v>108</v>
      </c>
      <c r="AI162" s="799" t="s">
        <v>108</v>
      </c>
      <c r="AJ162" s="799" t="s">
        <v>108</v>
      </c>
      <c r="AK162" s="799" t="s">
        <v>108</v>
      </c>
      <c r="AL162" s="799" t="s">
        <v>108</v>
      </c>
      <c r="AM162" s="315"/>
      <c r="AN162" s="315"/>
    </row>
    <row r="163" spans="1:40" ht="12.6">
      <c r="A163" s="990" t="s">
        <v>279</v>
      </c>
      <c r="B163" s="991" t="s">
        <v>132</v>
      </c>
      <c r="C163" s="991"/>
      <c r="D163" s="991" t="s">
        <v>129</v>
      </c>
      <c r="E163" s="991" t="s">
        <v>130</v>
      </c>
      <c r="F163" s="794" t="s">
        <v>108</v>
      </c>
      <c r="G163" s="794" t="s">
        <v>108</v>
      </c>
      <c r="H163" s="794" t="s">
        <v>108</v>
      </c>
      <c r="I163" s="794" t="s">
        <v>108</v>
      </c>
      <c r="J163" s="794" t="s">
        <v>108</v>
      </c>
      <c r="K163" s="794" t="s">
        <v>108</v>
      </c>
      <c r="L163" s="794" t="s">
        <v>108</v>
      </c>
      <c r="M163" s="794" t="s">
        <v>108</v>
      </c>
      <c r="N163" s="794" t="s">
        <v>108</v>
      </c>
      <c r="O163" s="794" t="s">
        <v>108</v>
      </c>
      <c r="P163" s="794" t="s">
        <v>108</v>
      </c>
      <c r="Q163" s="794" t="s">
        <v>108</v>
      </c>
      <c r="R163" s="794" t="s">
        <v>108</v>
      </c>
      <c r="S163" s="794" t="s">
        <v>108</v>
      </c>
      <c r="T163" s="794" t="s">
        <v>108</v>
      </c>
      <c r="U163" s="794" t="s">
        <v>108</v>
      </c>
      <c r="V163" s="794" t="s">
        <v>108</v>
      </c>
      <c r="W163" s="794" t="s">
        <v>108</v>
      </c>
      <c r="X163" s="794" t="s">
        <v>108</v>
      </c>
      <c r="Y163" s="794" t="s">
        <v>108</v>
      </c>
      <c r="Z163" s="794" t="s">
        <v>108</v>
      </c>
      <c r="AA163" s="794" t="s">
        <v>108</v>
      </c>
      <c r="AB163" s="794" t="s">
        <v>108</v>
      </c>
      <c r="AC163" s="794" t="s">
        <v>108</v>
      </c>
      <c r="AD163" s="794" t="s">
        <v>108</v>
      </c>
      <c r="AE163" s="794" t="s">
        <v>108</v>
      </c>
      <c r="AF163" s="794" t="s">
        <v>108</v>
      </c>
      <c r="AG163" s="794" t="s">
        <v>108</v>
      </c>
      <c r="AH163" s="794" t="s">
        <v>108</v>
      </c>
      <c r="AI163" s="794" t="s">
        <v>108</v>
      </c>
      <c r="AJ163" s="794" t="s">
        <v>108</v>
      </c>
      <c r="AK163" s="794" t="s">
        <v>108</v>
      </c>
      <c r="AL163" s="794" t="s">
        <v>108</v>
      </c>
      <c r="AM163" s="315"/>
      <c r="AN163" s="315"/>
    </row>
    <row r="164" spans="1:40" ht="12.6">
      <c r="A164" s="990" t="s">
        <v>280</v>
      </c>
      <c r="B164" s="991" t="s">
        <v>134</v>
      </c>
      <c r="D164" s="315"/>
      <c r="E164" s="315"/>
      <c r="F164" s="801"/>
      <c r="G164" s="802"/>
      <c r="H164" s="802"/>
      <c r="I164" s="802"/>
      <c r="J164" s="802"/>
      <c r="K164" s="802"/>
      <c r="L164" s="802"/>
      <c r="M164" s="802"/>
      <c r="N164" s="802"/>
      <c r="O164" s="802"/>
      <c r="P164" s="802"/>
      <c r="Q164" s="802"/>
      <c r="R164" s="802"/>
      <c r="S164" s="802"/>
      <c r="T164" s="802"/>
      <c r="U164" s="802"/>
      <c r="V164" s="802"/>
      <c r="W164" s="802"/>
      <c r="X164" s="802"/>
      <c r="Y164" s="802"/>
      <c r="Z164" s="802"/>
      <c r="AA164" s="802"/>
      <c r="AB164" s="802"/>
      <c r="AC164" s="802"/>
      <c r="AD164" s="802"/>
      <c r="AE164" s="802"/>
      <c r="AF164" s="802"/>
      <c r="AG164" s="802"/>
      <c r="AH164" s="802"/>
      <c r="AI164" s="802"/>
      <c r="AJ164" s="802"/>
      <c r="AK164" s="802"/>
      <c r="AL164" s="802"/>
      <c r="AM164" s="315"/>
      <c r="AN164" s="315"/>
    </row>
    <row r="165" spans="1:40" s="792" customFormat="1" ht="14.25" customHeight="1">
      <c r="A165" s="989" t="s">
        <v>281</v>
      </c>
      <c r="B165" s="791"/>
      <c r="C165" s="791"/>
      <c r="D165" s="791"/>
      <c r="E165" s="791"/>
      <c r="F165" s="790"/>
      <c r="G165" s="790"/>
      <c r="H165" s="790"/>
      <c r="I165" s="790"/>
      <c r="J165" s="790"/>
      <c r="K165" s="790"/>
      <c r="L165" s="790"/>
      <c r="M165" s="790"/>
      <c r="N165" s="790"/>
      <c r="O165" s="790"/>
      <c r="P165" s="790"/>
      <c r="Q165" s="790"/>
      <c r="R165" s="790"/>
      <c r="S165" s="790"/>
      <c r="T165" s="790"/>
      <c r="U165" s="790"/>
      <c r="V165" s="790"/>
      <c r="W165" s="790"/>
      <c r="X165" s="790"/>
      <c r="Y165" s="790"/>
      <c r="Z165" s="790"/>
      <c r="AA165" s="790"/>
      <c r="AB165" s="790"/>
      <c r="AC165" s="790"/>
      <c r="AD165" s="790"/>
      <c r="AE165" s="790"/>
      <c r="AF165" s="790"/>
      <c r="AG165" s="790"/>
      <c r="AH165" s="790"/>
      <c r="AI165" s="790"/>
      <c r="AJ165" s="790"/>
      <c r="AK165" s="790"/>
      <c r="AL165" s="790"/>
      <c r="AM165" s="791"/>
      <c r="AN165" s="791"/>
    </row>
    <row r="166" spans="1:40" ht="12.6">
      <c r="A166" s="990" t="s">
        <v>282</v>
      </c>
      <c r="B166" s="991" t="s">
        <v>121</v>
      </c>
      <c r="C166" s="991"/>
      <c r="D166" s="315"/>
      <c r="E166" s="991" t="s">
        <v>122</v>
      </c>
      <c r="F166" s="300" t="s">
        <v>108</v>
      </c>
      <c r="G166" s="300" t="s">
        <v>108</v>
      </c>
      <c r="H166" s="300" t="s">
        <v>108</v>
      </c>
      <c r="I166" s="300" t="s">
        <v>108</v>
      </c>
      <c r="J166" s="300" t="s">
        <v>108</v>
      </c>
      <c r="K166" s="300" t="s">
        <v>108</v>
      </c>
      <c r="L166" s="300" t="s">
        <v>108</v>
      </c>
      <c r="M166" s="300" t="s">
        <v>108</v>
      </c>
      <c r="N166" s="300" t="s">
        <v>108</v>
      </c>
      <c r="O166" s="300" t="s">
        <v>108</v>
      </c>
      <c r="P166" s="300" t="s">
        <v>108</v>
      </c>
      <c r="Q166" s="300" t="s">
        <v>108</v>
      </c>
      <c r="R166" s="300" t="s">
        <v>108</v>
      </c>
      <c r="S166" s="300" t="s">
        <v>108</v>
      </c>
      <c r="T166" s="300" t="s">
        <v>108</v>
      </c>
      <c r="U166" s="300" t="s">
        <v>108</v>
      </c>
      <c r="V166" s="300" t="s">
        <v>108</v>
      </c>
      <c r="W166" s="300" t="s">
        <v>108</v>
      </c>
      <c r="X166" s="300" t="s">
        <v>108</v>
      </c>
      <c r="Y166" s="300" t="s">
        <v>108</v>
      </c>
      <c r="Z166" s="300" t="s">
        <v>108</v>
      </c>
      <c r="AA166" s="300" t="s">
        <v>108</v>
      </c>
      <c r="AB166" s="300" t="s">
        <v>108</v>
      </c>
      <c r="AC166" s="300" t="s">
        <v>108</v>
      </c>
      <c r="AD166" s="300" t="s">
        <v>108</v>
      </c>
      <c r="AE166" s="300" t="s">
        <v>108</v>
      </c>
      <c r="AF166" s="300" t="s">
        <v>108</v>
      </c>
      <c r="AG166" s="300" t="s">
        <v>108</v>
      </c>
      <c r="AH166" s="300" t="s">
        <v>108</v>
      </c>
      <c r="AI166" s="300" t="s">
        <v>108</v>
      </c>
      <c r="AJ166" s="300" t="s">
        <v>108</v>
      </c>
      <c r="AK166" s="300" t="s">
        <v>108</v>
      </c>
      <c r="AL166" s="300" t="s">
        <v>108</v>
      </c>
      <c r="AM166" s="315"/>
      <c r="AN166" s="315"/>
    </row>
    <row r="167" spans="1:40" ht="12.6">
      <c r="A167" s="990" t="s">
        <v>283</v>
      </c>
      <c r="B167" s="991" t="s">
        <v>124</v>
      </c>
      <c r="C167" s="991"/>
      <c r="D167" s="315"/>
      <c r="E167" s="315" t="s">
        <v>125</v>
      </c>
      <c r="F167" s="799" t="s">
        <v>126</v>
      </c>
      <c r="G167" s="799" t="s">
        <v>126</v>
      </c>
      <c r="H167" s="799" t="s">
        <v>126</v>
      </c>
      <c r="I167" s="799" t="s">
        <v>126</v>
      </c>
      <c r="J167" s="799" t="s">
        <v>126</v>
      </c>
      <c r="K167" s="799" t="s">
        <v>126</v>
      </c>
      <c r="L167" s="799" t="s">
        <v>126</v>
      </c>
      <c r="M167" s="799" t="s">
        <v>126</v>
      </c>
      <c r="N167" s="799" t="s">
        <v>126</v>
      </c>
      <c r="O167" s="799" t="s">
        <v>126</v>
      </c>
      <c r="P167" s="799" t="s">
        <v>126</v>
      </c>
      <c r="Q167" s="799" t="s">
        <v>126</v>
      </c>
      <c r="R167" s="799" t="s">
        <v>126</v>
      </c>
      <c r="S167" s="799" t="s">
        <v>126</v>
      </c>
      <c r="T167" s="799" t="s">
        <v>126</v>
      </c>
      <c r="U167" s="799" t="s">
        <v>126</v>
      </c>
      <c r="V167" s="799" t="s">
        <v>126</v>
      </c>
      <c r="W167" s="799" t="s">
        <v>126</v>
      </c>
      <c r="X167" s="799" t="s">
        <v>126</v>
      </c>
      <c r="Y167" s="799" t="s">
        <v>126</v>
      </c>
      <c r="Z167" s="799" t="s">
        <v>126</v>
      </c>
      <c r="AA167" s="799" t="s">
        <v>126</v>
      </c>
      <c r="AB167" s="799" t="s">
        <v>126</v>
      </c>
      <c r="AC167" s="799" t="s">
        <v>126</v>
      </c>
      <c r="AD167" s="799" t="s">
        <v>126</v>
      </c>
      <c r="AE167" s="799" t="s">
        <v>126</v>
      </c>
      <c r="AF167" s="799" t="s">
        <v>126</v>
      </c>
      <c r="AG167" s="799" t="s">
        <v>126</v>
      </c>
      <c r="AH167" s="799" t="s">
        <v>126</v>
      </c>
      <c r="AI167" s="799" t="s">
        <v>126</v>
      </c>
      <c r="AJ167" s="799" t="s">
        <v>126</v>
      </c>
      <c r="AK167" s="799" t="s">
        <v>126</v>
      </c>
      <c r="AL167" s="799" t="s">
        <v>126</v>
      </c>
      <c r="AM167" s="315"/>
      <c r="AN167" s="315"/>
    </row>
    <row r="168" spans="1:40" ht="12.6">
      <c r="A168" s="990" t="s">
        <v>284</v>
      </c>
      <c r="B168" s="991" t="s">
        <v>128</v>
      </c>
      <c r="C168" s="991"/>
      <c r="D168" s="991" t="s">
        <v>129</v>
      </c>
      <c r="E168" s="991" t="s">
        <v>130</v>
      </c>
      <c r="F168" s="300" t="s">
        <v>108</v>
      </c>
      <c r="G168" s="300" t="s">
        <v>108</v>
      </c>
      <c r="H168" s="300" t="s">
        <v>108</v>
      </c>
      <c r="I168" s="300" t="s">
        <v>108</v>
      </c>
      <c r="J168" s="300" t="s">
        <v>108</v>
      </c>
      <c r="K168" s="300" t="s">
        <v>108</v>
      </c>
      <c r="L168" s="300" t="s">
        <v>108</v>
      </c>
      <c r="M168" s="300" t="s">
        <v>108</v>
      </c>
      <c r="N168" s="300" t="s">
        <v>108</v>
      </c>
      <c r="O168" s="300" t="s">
        <v>108</v>
      </c>
      <c r="P168" s="300" t="s">
        <v>108</v>
      </c>
      <c r="Q168" s="300" t="s">
        <v>108</v>
      </c>
      <c r="R168" s="300" t="s">
        <v>108</v>
      </c>
      <c r="S168" s="300" t="s">
        <v>108</v>
      </c>
      <c r="T168" s="300" t="s">
        <v>108</v>
      </c>
      <c r="U168" s="300" t="s">
        <v>108</v>
      </c>
      <c r="V168" s="300" t="s">
        <v>108</v>
      </c>
      <c r="W168" s="300" t="s">
        <v>108</v>
      </c>
      <c r="X168" s="300" t="s">
        <v>108</v>
      </c>
      <c r="Y168" s="300" t="s">
        <v>108</v>
      </c>
      <c r="Z168" s="300" t="s">
        <v>108</v>
      </c>
      <c r="AA168" s="300" t="s">
        <v>108</v>
      </c>
      <c r="AB168" s="300" t="s">
        <v>108</v>
      </c>
      <c r="AC168" s="300" t="s">
        <v>108</v>
      </c>
      <c r="AD168" s="300" t="s">
        <v>108</v>
      </c>
      <c r="AE168" s="300" t="s">
        <v>108</v>
      </c>
      <c r="AF168" s="300" t="s">
        <v>108</v>
      </c>
      <c r="AG168" s="300" t="s">
        <v>108</v>
      </c>
      <c r="AH168" s="300" t="s">
        <v>108</v>
      </c>
      <c r="AI168" s="300" t="s">
        <v>108</v>
      </c>
      <c r="AJ168" s="300" t="s">
        <v>108</v>
      </c>
      <c r="AK168" s="300" t="s">
        <v>108</v>
      </c>
      <c r="AL168" s="300" t="s">
        <v>108</v>
      </c>
      <c r="AM168" s="315"/>
      <c r="AN168" s="315"/>
    </row>
    <row r="169" spans="1:40" ht="12.6">
      <c r="A169" s="990" t="s">
        <v>285</v>
      </c>
      <c r="B169" s="991" t="s">
        <v>132</v>
      </c>
      <c r="C169" s="991"/>
      <c r="D169" s="991" t="s">
        <v>129</v>
      </c>
      <c r="E169" s="991" t="s">
        <v>130</v>
      </c>
      <c r="F169" s="794" t="s">
        <v>108</v>
      </c>
      <c r="G169" s="794" t="s">
        <v>108</v>
      </c>
      <c r="H169" s="794" t="s">
        <v>108</v>
      </c>
      <c r="I169" s="794" t="s">
        <v>108</v>
      </c>
      <c r="J169" s="794" t="s">
        <v>108</v>
      </c>
      <c r="K169" s="794" t="s">
        <v>108</v>
      </c>
      <c r="L169" s="794" t="s">
        <v>108</v>
      </c>
      <c r="M169" s="794" t="s">
        <v>108</v>
      </c>
      <c r="N169" s="794" t="s">
        <v>108</v>
      </c>
      <c r="O169" s="794" t="s">
        <v>108</v>
      </c>
      <c r="P169" s="794" t="s">
        <v>108</v>
      </c>
      <c r="Q169" s="794" t="s">
        <v>108</v>
      </c>
      <c r="R169" s="794" t="s">
        <v>108</v>
      </c>
      <c r="S169" s="794" t="s">
        <v>108</v>
      </c>
      <c r="T169" s="794" t="s">
        <v>108</v>
      </c>
      <c r="U169" s="794" t="s">
        <v>108</v>
      </c>
      <c r="V169" s="794" t="s">
        <v>108</v>
      </c>
      <c r="W169" s="794" t="s">
        <v>108</v>
      </c>
      <c r="X169" s="794" t="s">
        <v>108</v>
      </c>
      <c r="Y169" s="794" t="s">
        <v>108</v>
      </c>
      <c r="Z169" s="794" t="s">
        <v>108</v>
      </c>
      <c r="AA169" s="794" t="s">
        <v>108</v>
      </c>
      <c r="AB169" s="794" t="s">
        <v>108</v>
      </c>
      <c r="AC169" s="794" t="s">
        <v>108</v>
      </c>
      <c r="AD169" s="794" t="s">
        <v>108</v>
      </c>
      <c r="AE169" s="794" t="s">
        <v>108</v>
      </c>
      <c r="AF169" s="794" t="s">
        <v>108</v>
      </c>
      <c r="AG169" s="794" t="s">
        <v>108</v>
      </c>
      <c r="AH169" s="794" t="s">
        <v>108</v>
      </c>
      <c r="AI169" s="794" t="s">
        <v>108</v>
      </c>
      <c r="AJ169" s="794" t="s">
        <v>108</v>
      </c>
      <c r="AK169" s="794" t="s">
        <v>108</v>
      </c>
      <c r="AL169" s="794" t="s">
        <v>108</v>
      </c>
      <c r="AM169" s="315"/>
      <c r="AN169" s="315"/>
    </row>
    <row r="170" spans="1:40" ht="12.6">
      <c r="A170" s="990" t="s">
        <v>286</v>
      </c>
      <c r="B170" s="991" t="s">
        <v>134</v>
      </c>
      <c r="D170" s="315"/>
      <c r="E170" s="315"/>
      <c r="F170" s="803"/>
      <c r="G170" s="800"/>
      <c r="H170" s="800"/>
      <c r="I170" s="800"/>
      <c r="J170" s="800"/>
      <c r="K170" s="800"/>
      <c r="L170" s="800"/>
      <c r="M170" s="800"/>
      <c r="N170" s="800"/>
      <c r="O170" s="800"/>
      <c r="P170" s="800"/>
      <c r="Q170" s="800"/>
      <c r="R170" s="800"/>
      <c r="S170" s="800"/>
      <c r="T170" s="800"/>
      <c r="U170" s="800"/>
      <c r="V170" s="800"/>
      <c r="W170" s="800"/>
      <c r="X170" s="800"/>
      <c r="Y170" s="800"/>
      <c r="Z170" s="800"/>
      <c r="AA170" s="800"/>
      <c r="AB170" s="800"/>
      <c r="AC170" s="800"/>
      <c r="AD170" s="800"/>
      <c r="AE170" s="800"/>
      <c r="AF170" s="800"/>
      <c r="AG170" s="800"/>
      <c r="AH170" s="800"/>
      <c r="AI170" s="800"/>
      <c r="AJ170" s="800"/>
      <c r="AK170" s="800"/>
      <c r="AL170" s="800"/>
      <c r="AM170" s="315"/>
      <c r="AN170" s="315"/>
    </row>
    <row r="171" spans="1:40" s="792" customFormat="1" ht="14.25" customHeight="1">
      <c r="A171" s="992" t="s">
        <v>287</v>
      </c>
      <c r="B171" s="791"/>
      <c r="C171" s="791"/>
      <c r="D171" s="791"/>
      <c r="E171" s="791"/>
      <c r="F171" s="804"/>
      <c r="G171" s="804"/>
      <c r="H171" s="804"/>
      <c r="I171" s="804"/>
      <c r="J171" s="804"/>
      <c r="K171" s="804"/>
      <c r="L171" s="804"/>
      <c r="M171" s="804"/>
      <c r="N171" s="804"/>
      <c r="O171" s="804"/>
      <c r="P171" s="804"/>
      <c r="Q171" s="804"/>
      <c r="R171" s="804"/>
      <c r="S171" s="804"/>
      <c r="T171" s="804"/>
      <c r="U171" s="804"/>
      <c r="V171" s="804"/>
      <c r="W171" s="804"/>
      <c r="X171" s="804"/>
      <c r="Y171" s="804"/>
      <c r="Z171" s="804"/>
      <c r="AA171" s="804"/>
      <c r="AB171" s="804"/>
      <c r="AC171" s="804"/>
      <c r="AD171" s="804"/>
      <c r="AE171" s="804"/>
      <c r="AF171" s="804"/>
      <c r="AG171" s="804"/>
      <c r="AH171" s="804"/>
      <c r="AI171" s="804"/>
      <c r="AJ171" s="804"/>
      <c r="AK171" s="804"/>
      <c r="AL171" s="804"/>
      <c r="AM171" s="791"/>
      <c r="AN171" s="791"/>
    </row>
    <row r="172" spans="1:40" s="792" customFormat="1" ht="14.25" customHeight="1">
      <c r="A172" s="989" t="s">
        <v>288</v>
      </c>
      <c r="B172" s="791"/>
      <c r="C172" s="791"/>
      <c r="D172" s="791"/>
      <c r="E172" s="791"/>
      <c r="F172" s="804"/>
      <c r="G172" s="804"/>
      <c r="H172" s="804"/>
      <c r="I172" s="804"/>
      <c r="J172" s="804"/>
      <c r="K172" s="804"/>
      <c r="L172" s="804"/>
      <c r="M172" s="804"/>
      <c r="N172" s="804"/>
      <c r="O172" s="804"/>
      <c r="P172" s="804"/>
      <c r="Q172" s="804"/>
      <c r="R172" s="804"/>
      <c r="S172" s="804"/>
      <c r="T172" s="804"/>
      <c r="U172" s="804"/>
      <c r="V172" s="804"/>
      <c r="W172" s="804"/>
      <c r="X172" s="804"/>
      <c r="Y172" s="804"/>
      <c r="Z172" s="804"/>
      <c r="AA172" s="804"/>
      <c r="AB172" s="804"/>
      <c r="AC172" s="804"/>
      <c r="AD172" s="804"/>
      <c r="AE172" s="804"/>
      <c r="AF172" s="804"/>
      <c r="AG172" s="804"/>
      <c r="AH172" s="804"/>
      <c r="AI172" s="804"/>
      <c r="AJ172" s="804"/>
      <c r="AK172" s="804"/>
      <c r="AL172" s="804"/>
      <c r="AM172" s="791"/>
      <c r="AN172" s="791"/>
    </row>
    <row r="173" spans="1:40" ht="12.6">
      <c r="A173" s="990" t="s">
        <v>289</v>
      </c>
      <c r="B173" s="991" t="s">
        <v>121</v>
      </c>
      <c r="C173" s="991"/>
      <c r="D173" s="315"/>
      <c r="E173" s="991" t="s">
        <v>122</v>
      </c>
      <c r="F173" s="799" t="s">
        <v>99</v>
      </c>
      <c r="G173" s="799" t="s">
        <v>99</v>
      </c>
      <c r="H173" s="799" t="s">
        <v>99</v>
      </c>
      <c r="I173" s="799" t="s">
        <v>99</v>
      </c>
      <c r="J173" s="799" t="s">
        <v>99</v>
      </c>
      <c r="K173" s="799" t="s">
        <v>99</v>
      </c>
      <c r="L173" s="799" t="s">
        <v>99</v>
      </c>
      <c r="M173" s="799" t="s">
        <v>99</v>
      </c>
      <c r="N173" s="799" t="s">
        <v>99</v>
      </c>
      <c r="O173" s="799" t="s">
        <v>99</v>
      </c>
      <c r="P173" s="799" t="s">
        <v>99</v>
      </c>
      <c r="Q173" s="799" t="s">
        <v>99</v>
      </c>
      <c r="R173" s="799" t="s">
        <v>99</v>
      </c>
      <c r="S173" s="799" t="s">
        <v>99</v>
      </c>
      <c r="T173" s="799" t="s">
        <v>99</v>
      </c>
      <c r="U173" s="799" t="s">
        <v>99</v>
      </c>
      <c r="V173" s="799" t="s">
        <v>99</v>
      </c>
      <c r="W173" s="799" t="s">
        <v>99</v>
      </c>
      <c r="X173" s="799" t="s">
        <v>99</v>
      </c>
      <c r="Y173" s="799" t="s">
        <v>99</v>
      </c>
      <c r="Z173" s="799" t="s">
        <v>99</v>
      </c>
      <c r="AA173" s="799" t="s">
        <v>99</v>
      </c>
      <c r="AB173" s="799" t="s">
        <v>99</v>
      </c>
      <c r="AC173" s="799" t="s">
        <v>99</v>
      </c>
      <c r="AD173" s="799" t="s">
        <v>99</v>
      </c>
      <c r="AE173" s="799" t="s">
        <v>99</v>
      </c>
      <c r="AF173" s="799" t="s">
        <v>99</v>
      </c>
      <c r="AG173" s="799" t="s">
        <v>99</v>
      </c>
      <c r="AH173" s="799" t="s">
        <v>99</v>
      </c>
      <c r="AI173" s="799" t="s">
        <v>99</v>
      </c>
      <c r="AJ173" s="799" t="s">
        <v>99</v>
      </c>
      <c r="AK173" s="799" t="s">
        <v>99</v>
      </c>
      <c r="AL173" s="799" t="s">
        <v>99</v>
      </c>
      <c r="AM173" s="344" t="s">
        <v>290</v>
      </c>
      <c r="AN173" s="344"/>
    </row>
    <row r="174" spans="1:40" ht="12.6">
      <c r="A174" s="990" t="s">
        <v>291</v>
      </c>
      <c r="B174" s="991" t="s">
        <v>124</v>
      </c>
      <c r="C174" s="991"/>
      <c r="D174" s="315"/>
      <c r="E174" s="315" t="s">
        <v>125</v>
      </c>
      <c r="F174" s="799" t="s">
        <v>126</v>
      </c>
      <c r="G174" s="799" t="s">
        <v>126</v>
      </c>
      <c r="H174" s="799" t="s">
        <v>126</v>
      </c>
      <c r="I174" s="799" t="s">
        <v>126</v>
      </c>
      <c r="J174" s="799" t="s">
        <v>126</v>
      </c>
      <c r="K174" s="799" t="s">
        <v>126</v>
      </c>
      <c r="L174" s="799" t="s">
        <v>126</v>
      </c>
      <c r="M174" s="799" t="s">
        <v>126</v>
      </c>
      <c r="N174" s="799" t="s">
        <v>126</v>
      </c>
      <c r="O174" s="799" t="s">
        <v>126</v>
      </c>
      <c r="P174" s="799" t="s">
        <v>126</v>
      </c>
      <c r="Q174" s="799" t="s">
        <v>126</v>
      </c>
      <c r="R174" s="799" t="s">
        <v>126</v>
      </c>
      <c r="S174" s="799" t="s">
        <v>126</v>
      </c>
      <c r="T174" s="799" t="s">
        <v>126</v>
      </c>
      <c r="U174" s="799" t="s">
        <v>126</v>
      </c>
      <c r="V174" s="799" t="s">
        <v>126</v>
      </c>
      <c r="W174" s="799" t="s">
        <v>126</v>
      </c>
      <c r="X174" s="799" t="s">
        <v>126</v>
      </c>
      <c r="Y174" s="799" t="s">
        <v>126</v>
      </c>
      <c r="Z174" s="799" t="s">
        <v>126</v>
      </c>
      <c r="AA174" s="799" t="s">
        <v>126</v>
      </c>
      <c r="AB174" s="799" t="s">
        <v>126</v>
      </c>
      <c r="AC174" s="799" t="s">
        <v>126</v>
      </c>
      <c r="AD174" s="799" t="s">
        <v>126</v>
      </c>
      <c r="AE174" s="799" t="s">
        <v>126</v>
      </c>
      <c r="AF174" s="799" t="s">
        <v>126</v>
      </c>
      <c r="AG174" s="799" t="s">
        <v>126</v>
      </c>
      <c r="AH174" s="799" t="s">
        <v>126</v>
      </c>
      <c r="AI174" s="799" t="s">
        <v>126</v>
      </c>
      <c r="AJ174" s="799" t="s">
        <v>126</v>
      </c>
      <c r="AK174" s="799" t="s">
        <v>126</v>
      </c>
      <c r="AL174" s="799" t="s">
        <v>126</v>
      </c>
      <c r="AM174" s="315"/>
      <c r="AN174" s="315"/>
    </row>
    <row r="175" spans="1:40" ht="12.6">
      <c r="A175" s="990" t="s">
        <v>292</v>
      </c>
      <c r="B175" s="991" t="s">
        <v>128</v>
      </c>
      <c r="C175" s="991"/>
      <c r="D175" s="991" t="s">
        <v>129</v>
      </c>
      <c r="E175" s="991" t="s">
        <v>130</v>
      </c>
      <c r="F175" s="799" t="s">
        <v>99</v>
      </c>
      <c r="G175" s="799" t="s">
        <v>99</v>
      </c>
      <c r="H175" s="799" t="s">
        <v>99</v>
      </c>
      <c r="I175" s="799" t="s">
        <v>99</v>
      </c>
      <c r="J175" s="799" t="s">
        <v>99</v>
      </c>
      <c r="K175" s="799" t="s">
        <v>99</v>
      </c>
      <c r="L175" s="799" t="s">
        <v>99</v>
      </c>
      <c r="M175" s="799" t="s">
        <v>99</v>
      </c>
      <c r="N175" s="799" t="s">
        <v>99</v>
      </c>
      <c r="O175" s="799" t="s">
        <v>99</v>
      </c>
      <c r="P175" s="799" t="s">
        <v>99</v>
      </c>
      <c r="Q175" s="799" t="s">
        <v>99</v>
      </c>
      <c r="R175" s="799" t="s">
        <v>99</v>
      </c>
      <c r="S175" s="799" t="s">
        <v>99</v>
      </c>
      <c r="T175" s="799" t="s">
        <v>99</v>
      </c>
      <c r="U175" s="799" t="s">
        <v>99</v>
      </c>
      <c r="V175" s="799" t="s">
        <v>99</v>
      </c>
      <c r="W175" s="799" t="s">
        <v>99</v>
      </c>
      <c r="X175" s="799" t="s">
        <v>99</v>
      </c>
      <c r="Y175" s="799" t="s">
        <v>99</v>
      </c>
      <c r="Z175" s="799" t="s">
        <v>99</v>
      </c>
      <c r="AA175" s="799" t="s">
        <v>99</v>
      </c>
      <c r="AB175" s="799" t="s">
        <v>99</v>
      </c>
      <c r="AC175" s="799" t="s">
        <v>99</v>
      </c>
      <c r="AD175" s="799" t="s">
        <v>99</v>
      </c>
      <c r="AE175" s="799" t="s">
        <v>99</v>
      </c>
      <c r="AF175" s="799" t="s">
        <v>99</v>
      </c>
      <c r="AG175" s="799" t="s">
        <v>99</v>
      </c>
      <c r="AH175" s="799" t="s">
        <v>99</v>
      </c>
      <c r="AI175" s="799" t="s">
        <v>99</v>
      </c>
      <c r="AJ175" s="799" t="s">
        <v>99</v>
      </c>
      <c r="AK175" s="799" t="s">
        <v>99</v>
      </c>
      <c r="AL175" s="799" t="s">
        <v>99</v>
      </c>
      <c r="AM175" s="344" t="s">
        <v>290</v>
      </c>
      <c r="AN175" s="344"/>
    </row>
    <row r="176" spans="1:40" ht="12.6">
      <c r="A176" s="990" t="s">
        <v>293</v>
      </c>
      <c r="B176" s="991" t="s">
        <v>132</v>
      </c>
      <c r="C176" s="991"/>
      <c r="D176" s="991" t="s">
        <v>129</v>
      </c>
      <c r="E176" s="991" t="s">
        <v>130</v>
      </c>
      <c r="F176" s="799" t="s">
        <v>106</v>
      </c>
      <c r="G176" s="799" t="s">
        <v>106</v>
      </c>
      <c r="H176" s="799" t="s">
        <v>106</v>
      </c>
      <c r="I176" s="799" t="s">
        <v>106</v>
      </c>
      <c r="J176" s="799" t="s">
        <v>106</v>
      </c>
      <c r="K176" s="799" t="s">
        <v>106</v>
      </c>
      <c r="L176" s="799" t="s">
        <v>106</v>
      </c>
      <c r="M176" s="799" t="s">
        <v>106</v>
      </c>
      <c r="N176" s="799" t="s">
        <v>106</v>
      </c>
      <c r="O176" s="799" t="s">
        <v>106</v>
      </c>
      <c r="P176" s="799" t="s">
        <v>106</v>
      </c>
      <c r="Q176" s="799" t="s">
        <v>106</v>
      </c>
      <c r="R176" s="799" t="s">
        <v>106</v>
      </c>
      <c r="S176" s="799" t="s">
        <v>106</v>
      </c>
      <c r="T176" s="799" t="s">
        <v>106</v>
      </c>
      <c r="U176" s="799" t="s">
        <v>106</v>
      </c>
      <c r="V176" s="799" t="s">
        <v>106</v>
      </c>
      <c r="W176" s="799" t="s">
        <v>106</v>
      </c>
      <c r="X176" s="799" t="s">
        <v>106</v>
      </c>
      <c r="Y176" s="799" t="s">
        <v>106</v>
      </c>
      <c r="Z176" s="799" t="s">
        <v>106</v>
      </c>
      <c r="AA176" s="799" t="s">
        <v>106</v>
      </c>
      <c r="AB176" s="799" t="s">
        <v>106</v>
      </c>
      <c r="AC176" s="799" t="s">
        <v>106</v>
      </c>
      <c r="AD176" s="799" t="s">
        <v>106</v>
      </c>
      <c r="AE176" s="799" t="s">
        <v>106</v>
      </c>
      <c r="AF176" s="799" t="s">
        <v>106</v>
      </c>
      <c r="AG176" s="799" t="s">
        <v>106</v>
      </c>
      <c r="AH176" s="799" t="s">
        <v>106</v>
      </c>
      <c r="AI176" s="799" t="s">
        <v>106</v>
      </c>
      <c r="AJ176" s="799" t="s">
        <v>106</v>
      </c>
      <c r="AK176" s="799" t="s">
        <v>106</v>
      </c>
      <c r="AL176" s="799" t="s">
        <v>106</v>
      </c>
      <c r="AM176" s="315"/>
      <c r="AN176" s="315"/>
    </row>
    <row r="177" spans="1:40" ht="12.6">
      <c r="A177" s="990" t="s">
        <v>294</v>
      </c>
      <c r="B177" s="991" t="s">
        <v>134</v>
      </c>
      <c r="D177" s="315"/>
      <c r="E177" s="315"/>
      <c r="F177" s="799"/>
      <c r="G177" s="799"/>
      <c r="H177" s="799"/>
      <c r="I177" s="799"/>
      <c r="J177" s="799"/>
      <c r="K177" s="799"/>
      <c r="L177" s="799"/>
      <c r="M177" s="799"/>
      <c r="N177" s="799"/>
      <c r="O177" s="799"/>
      <c r="P177" s="799"/>
      <c r="Q177" s="799"/>
      <c r="R177" s="799"/>
      <c r="S177" s="799"/>
      <c r="T177" s="799"/>
      <c r="U177" s="799"/>
      <c r="V177" s="799"/>
      <c r="W177" s="799"/>
      <c r="X177" s="799"/>
      <c r="Y177" s="799"/>
      <c r="Z177" s="799"/>
      <c r="AA177" s="799"/>
      <c r="AB177" s="799"/>
      <c r="AC177" s="799"/>
      <c r="AD177" s="799"/>
      <c r="AE177" s="799"/>
      <c r="AF177" s="799"/>
      <c r="AG177" s="799"/>
      <c r="AH177" s="799"/>
      <c r="AI177" s="799"/>
      <c r="AJ177" s="799"/>
      <c r="AK177" s="799"/>
      <c r="AL177" s="799"/>
      <c r="AM177" s="315"/>
      <c r="AN177" s="315"/>
    </row>
    <row r="178" spans="1:40" s="792" customFormat="1" ht="14.25" customHeight="1">
      <c r="A178" s="989" t="s">
        <v>295</v>
      </c>
      <c r="B178" s="791"/>
      <c r="C178" s="791"/>
      <c r="D178" s="791"/>
      <c r="E178" s="791"/>
      <c r="F178" s="804"/>
      <c r="G178" s="804"/>
      <c r="H178" s="804"/>
      <c r="I178" s="804"/>
      <c r="J178" s="804"/>
      <c r="K178" s="804"/>
      <c r="L178" s="804"/>
      <c r="M178" s="804"/>
      <c r="N178" s="804"/>
      <c r="O178" s="804"/>
      <c r="P178" s="804"/>
      <c r="Q178" s="804"/>
      <c r="R178" s="804"/>
      <c r="S178" s="804"/>
      <c r="T178" s="804"/>
      <c r="U178" s="804"/>
      <c r="V178" s="804"/>
      <c r="W178" s="804"/>
      <c r="X178" s="804"/>
      <c r="Y178" s="804"/>
      <c r="Z178" s="804"/>
      <c r="AA178" s="804"/>
      <c r="AB178" s="804"/>
      <c r="AC178" s="804"/>
      <c r="AD178" s="804"/>
      <c r="AE178" s="804"/>
      <c r="AF178" s="804"/>
      <c r="AG178" s="804"/>
      <c r="AH178" s="804"/>
      <c r="AI178" s="804"/>
      <c r="AJ178" s="804"/>
      <c r="AK178" s="804"/>
      <c r="AL178" s="804"/>
      <c r="AM178" s="791"/>
      <c r="AN178" s="791"/>
    </row>
    <row r="179" spans="1:40" ht="12.6">
      <c r="A179" s="990" t="s">
        <v>296</v>
      </c>
      <c r="B179" s="991" t="s">
        <v>121</v>
      </c>
      <c r="C179" s="991"/>
      <c r="D179" s="315"/>
      <c r="E179" s="991" t="s">
        <v>122</v>
      </c>
      <c r="F179" s="799" t="s">
        <v>99</v>
      </c>
      <c r="G179" s="799" t="s">
        <v>99</v>
      </c>
      <c r="H179" s="799" t="s">
        <v>99</v>
      </c>
      <c r="I179" s="799" t="s">
        <v>99</v>
      </c>
      <c r="J179" s="799" t="s">
        <v>99</v>
      </c>
      <c r="K179" s="799" t="s">
        <v>99</v>
      </c>
      <c r="L179" s="799" t="s">
        <v>99</v>
      </c>
      <c r="M179" s="799" t="s">
        <v>99</v>
      </c>
      <c r="N179" s="799" t="s">
        <v>99</v>
      </c>
      <c r="O179" s="799" t="s">
        <v>99</v>
      </c>
      <c r="P179" s="799" t="s">
        <v>99</v>
      </c>
      <c r="Q179" s="799" t="s">
        <v>99</v>
      </c>
      <c r="R179" s="799" t="s">
        <v>99</v>
      </c>
      <c r="S179" s="799" t="s">
        <v>99</v>
      </c>
      <c r="T179" s="799" t="s">
        <v>99</v>
      </c>
      <c r="U179" s="799" t="s">
        <v>99</v>
      </c>
      <c r="V179" s="799" t="s">
        <v>99</v>
      </c>
      <c r="W179" s="799" t="s">
        <v>99</v>
      </c>
      <c r="X179" s="799" t="s">
        <v>99</v>
      </c>
      <c r="Y179" s="799" t="s">
        <v>99</v>
      </c>
      <c r="Z179" s="799" t="s">
        <v>99</v>
      </c>
      <c r="AA179" s="799" t="s">
        <v>99</v>
      </c>
      <c r="AB179" s="799" t="s">
        <v>99</v>
      </c>
      <c r="AC179" s="799" t="s">
        <v>99</v>
      </c>
      <c r="AD179" s="799" t="s">
        <v>99</v>
      </c>
      <c r="AE179" s="799" t="s">
        <v>99</v>
      </c>
      <c r="AF179" s="799" t="s">
        <v>99</v>
      </c>
      <c r="AG179" s="799" t="s">
        <v>99</v>
      </c>
      <c r="AH179" s="799" t="s">
        <v>99</v>
      </c>
      <c r="AI179" s="799" t="s">
        <v>99</v>
      </c>
      <c r="AJ179" s="799" t="s">
        <v>99</v>
      </c>
      <c r="AK179" s="799" t="s">
        <v>99</v>
      </c>
      <c r="AL179" s="799" t="s">
        <v>99</v>
      </c>
      <c r="AM179" s="344" t="s">
        <v>290</v>
      </c>
      <c r="AN179" s="344"/>
    </row>
    <row r="180" spans="1:40" ht="12.6">
      <c r="A180" s="990" t="s">
        <v>297</v>
      </c>
      <c r="B180" s="991" t="s">
        <v>124</v>
      </c>
      <c r="C180" s="991"/>
      <c r="D180" s="315"/>
      <c r="E180" s="315" t="s">
        <v>125</v>
      </c>
      <c r="F180" s="799" t="s">
        <v>126</v>
      </c>
      <c r="G180" s="799" t="s">
        <v>126</v>
      </c>
      <c r="H180" s="799" t="s">
        <v>126</v>
      </c>
      <c r="I180" s="799" t="s">
        <v>126</v>
      </c>
      <c r="J180" s="799" t="s">
        <v>126</v>
      </c>
      <c r="K180" s="799" t="s">
        <v>126</v>
      </c>
      <c r="L180" s="799" t="s">
        <v>126</v>
      </c>
      <c r="M180" s="799" t="s">
        <v>126</v>
      </c>
      <c r="N180" s="799" t="s">
        <v>126</v>
      </c>
      <c r="O180" s="799" t="s">
        <v>126</v>
      </c>
      <c r="P180" s="799" t="s">
        <v>126</v>
      </c>
      <c r="Q180" s="799" t="s">
        <v>126</v>
      </c>
      <c r="R180" s="799" t="s">
        <v>126</v>
      </c>
      <c r="S180" s="799" t="s">
        <v>126</v>
      </c>
      <c r="T180" s="799" t="s">
        <v>126</v>
      </c>
      <c r="U180" s="799" t="s">
        <v>126</v>
      </c>
      <c r="V180" s="799" t="s">
        <v>126</v>
      </c>
      <c r="W180" s="799" t="s">
        <v>126</v>
      </c>
      <c r="X180" s="799" t="s">
        <v>126</v>
      </c>
      <c r="Y180" s="799" t="s">
        <v>126</v>
      </c>
      <c r="Z180" s="799" t="s">
        <v>126</v>
      </c>
      <c r="AA180" s="799" t="s">
        <v>126</v>
      </c>
      <c r="AB180" s="799" t="s">
        <v>126</v>
      </c>
      <c r="AC180" s="799" t="s">
        <v>126</v>
      </c>
      <c r="AD180" s="799" t="s">
        <v>126</v>
      </c>
      <c r="AE180" s="799" t="s">
        <v>126</v>
      </c>
      <c r="AF180" s="799" t="s">
        <v>126</v>
      </c>
      <c r="AG180" s="799" t="s">
        <v>126</v>
      </c>
      <c r="AH180" s="799" t="s">
        <v>126</v>
      </c>
      <c r="AI180" s="799" t="s">
        <v>126</v>
      </c>
      <c r="AJ180" s="799" t="s">
        <v>126</v>
      </c>
      <c r="AK180" s="799" t="s">
        <v>126</v>
      </c>
      <c r="AL180" s="799" t="s">
        <v>126</v>
      </c>
      <c r="AM180" s="315"/>
      <c r="AN180" s="315"/>
    </row>
    <row r="181" spans="1:40" ht="12.6">
      <c r="A181" s="990" t="s">
        <v>298</v>
      </c>
      <c r="B181" s="991" t="s">
        <v>128</v>
      </c>
      <c r="C181" s="991"/>
      <c r="D181" s="991" t="s">
        <v>129</v>
      </c>
      <c r="E181" s="991" t="s">
        <v>130</v>
      </c>
      <c r="F181" s="799" t="s">
        <v>99</v>
      </c>
      <c r="G181" s="799" t="s">
        <v>99</v>
      </c>
      <c r="H181" s="799" t="s">
        <v>99</v>
      </c>
      <c r="I181" s="799" t="s">
        <v>99</v>
      </c>
      <c r="J181" s="799" t="s">
        <v>99</v>
      </c>
      <c r="K181" s="799" t="s">
        <v>99</v>
      </c>
      <c r="L181" s="799" t="s">
        <v>99</v>
      </c>
      <c r="M181" s="799" t="s">
        <v>99</v>
      </c>
      <c r="N181" s="799" t="s">
        <v>99</v>
      </c>
      <c r="O181" s="799" t="s">
        <v>99</v>
      </c>
      <c r="P181" s="799" t="s">
        <v>99</v>
      </c>
      <c r="Q181" s="799" t="s">
        <v>99</v>
      </c>
      <c r="R181" s="799" t="s">
        <v>99</v>
      </c>
      <c r="S181" s="799" t="s">
        <v>99</v>
      </c>
      <c r="T181" s="799" t="s">
        <v>99</v>
      </c>
      <c r="U181" s="799" t="s">
        <v>99</v>
      </c>
      <c r="V181" s="799" t="s">
        <v>99</v>
      </c>
      <c r="W181" s="799" t="s">
        <v>99</v>
      </c>
      <c r="X181" s="799" t="s">
        <v>99</v>
      </c>
      <c r="Y181" s="799" t="s">
        <v>99</v>
      </c>
      <c r="Z181" s="799" t="s">
        <v>99</v>
      </c>
      <c r="AA181" s="799" t="s">
        <v>99</v>
      </c>
      <c r="AB181" s="799" t="s">
        <v>99</v>
      </c>
      <c r="AC181" s="799" t="s">
        <v>99</v>
      </c>
      <c r="AD181" s="799" t="s">
        <v>99</v>
      </c>
      <c r="AE181" s="799" t="s">
        <v>99</v>
      </c>
      <c r="AF181" s="799" t="s">
        <v>99</v>
      </c>
      <c r="AG181" s="799" t="s">
        <v>99</v>
      </c>
      <c r="AH181" s="799" t="s">
        <v>99</v>
      </c>
      <c r="AI181" s="799" t="s">
        <v>99</v>
      </c>
      <c r="AJ181" s="799" t="s">
        <v>99</v>
      </c>
      <c r="AK181" s="799" t="s">
        <v>99</v>
      </c>
      <c r="AL181" s="799" t="s">
        <v>99</v>
      </c>
      <c r="AM181" s="344" t="s">
        <v>290</v>
      </c>
      <c r="AN181" s="344"/>
    </row>
    <row r="182" spans="1:40" ht="12.6">
      <c r="A182" s="990" t="s">
        <v>299</v>
      </c>
      <c r="B182" s="991" t="s">
        <v>132</v>
      </c>
      <c r="C182" s="991"/>
      <c r="D182" s="991" t="s">
        <v>129</v>
      </c>
      <c r="E182" s="991" t="s">
        <v>130</v>
      </c>
      <c r="F182" s="799" t="s">
        <v>106</v>
      </c>
      <c r="G182" s="799" t="s">
        <v>106</v>
      </c>
      <c r="H182" s="799" t="s">
        <v>106</v>
      </c>
      <c r="I182" s="799" t="s">
        <v>106</v>
      </c>
      <c r="J182" s="799" t="s">
        <v>106</v>
      </c>
      <c r="K182" s="799" t="s">
        <v>106</v>
      </c>
      <c r="L182" s="799" t="s">
        <v>106</v>
      </c>
      <c r="M182" s="799" t="s">
        <v>106</v>
      </c>
      <c r="N182" s="799" t="s">
        <v>106</v>
      </c>
      <c r="O182" s="799" t="s">
        <v>106</v>
      </c>
      <c r="P182" s="799" t="s">
        <v>106</v>
      </c>
      <c r="Q182" s="799" t="s">
        <v>106</v>
      </c>
      <c r="R182" s="799" t="s">
        <v>106</v>
      </c>
      <c r="S182" s="799" t="s">
        <v>106</v>
      </c>
      <c r="T182" s="799" t="s">
        <v>106</v>
      </c>
      <c r="U182" s="799" t="s">
        <v>106</v>
      </c>
      <c r="V182" s="799" t="s">
        <v>106</v>
      </c>
      <c r="W182" s="799" t="s">
        <v>106</v>
      </c>
      <c r="X182" s="799" t="s">
        <v>106</v>
      </c>
      <c r="Y182" s="799" t="s">
        <v>106</v>
      </c>
      <c r="Z182" s="799" t="s">
        <v>106</v>
      </c>
      <c r="AA182" s="799" t="s">
        <v>106</v>
      </c>
      <c r="AB182" s="799" t="s">
        <v>106</v>
      </c>
      <c r="AC182" s="799" t="s">
        <v>106</v>
      </c>
      <c r="AD182" s="799" t="s">
        <v>106</v>
      </c>
      <c r="AE182" s="799" t="s">
        <v>106</v>
      </c>
      <c r="AF182" s="799" t="s">
        <v>106</v>
      </c>
      <c r="AG182" s="799" t="s">
        <v>106</v>
      </c>
      <c r="AH182" s="799" t="s">
        <v>106</v>
      </c>
      <c r="AI182" s="799" t="s">
        <v>106</v>
      </c>
      <c r="AJ182" s="799" t="s">
        <v>106</v>
      </c>
      <c r="AK182" s="799" t="s">
        <v>106</v>
      </c>
      <c r="AL182" s="799" t="s">
        <v>106</v>
      </c>
      <c r="AM182" s="315"/>
      <c r="AN182" s="315"/>
    </row>
    <row r="183" spans="1:40" ht="12.6">
      <c r="A183" s="990" t="s">
        <v>300</v>
      </c>
      <c r="B183" s="991" t="s">
        <v>134</v>
      </c>
      <c r="D183" s="315"/>
      <c r="E183" s="315"/>
      <c r="F183" s="799"/>
      <c r="G183" s="799"/>
      <c r="H183" s="799"/>
      <c r="I183" s="799"/>
      <c r="J183" s="799"/>
      <c r="K183" s="799"/>
      <c r="L183" s="799"/>
      <c r="M183" s="799"/>
      <c r="N183" s="799"/>
      <c r="O183" s="799"/>
      <c r="P183" s="799"/>
      <c r="Q183" s="799"/>
      <c r="R183" s="799"/>
      <c r="S183" s="799"/>
      <c r="T183" s="799"/>
      <c r="U183" s="799"/>
      <c r="V183" s="799"/>
      <c r="W183" s="799"/>
      <c r="X183" s="799"/>
      <c r="Y183" s="799"/>
      <c r="Z183" s="799"/>
      <c r="AA183" s="799"/>
      <c r="AB183" s="799"/>
      <c r="AC183" s="799"/>
      <c r="AD183" s="799"/>
      <c r="AE183" s="799"/>
      <c r="AF183" s="799"/>
      <c r="AG183" s="799"/>
      <c r="AH183" s="799"/>
      <c r="AI183" s="799"/>
      <c r="AJ183" s="799"/>
      <c r="AK183" s="799"/>
      <c r="AL183" s="799"/>
      <c r="AM183" s="315"/>
      <c r="AN183" s="315"/>
    </row>
    <row r="184" spans="1:40" s="792" customFormat="1" ht="14.25" customHeight="1">
      <c r="A184" s="989" t="s">
        <v>301</v>
      </c>
      <c r="B184" s="791"/>
      <c r="C184" s="791"/>
      <c r="D184" s="791"/>
      <c r="E184" s="791"/>
      <c r="F184" s="804"/>
      <c r="G184" s="804"/>
      <c r="H184" s="804"/>
      <c r="I184" s="804"/>
      <c r="J184" s="804"/>
      <c r="K184" s="804"/>
      <c r="L184" s="804"/>
      <c r="M184" s="804"/>
      <c r="N184" s="804"/>
      <c r="O184" s="804"/>
      <c r="P184" s="804"/>
      <c r="Q184" s="804"/>
      <c r="R184" s="804"/>
      <c r="S184" s="804"/>
      <c r="T184" s="804"/>
      <c r="U184" s="804"/>
      <c r="V184" s="804"/>
      <c r="W184" s="804"/>
      <c r="X184" s="804"/>
      <c r="Y184" s="804"/>
      <c r="Z184" s="804"/>
      <c r="AA184" s="804"/>
      <c r="AB184" s="804"/>
      <c r="AC184" s="804"/>
      <c r="AD184" s="804"/>
      <c r="AE184" s="804"/>
      <c r="AF184" s="804"/>
      <c r="AG184" s="804"/>
      <c r="AH184" s="804"/>
      <c r="AI184" s="804"/>
      <c r="AJ184" s="804"/>
      <c r="AK184" s="804"/>
      <c r="AL184" s="804"/>
      <c r="AM184" s="791"/>
      <c r="AN184" s="791"/>
    </row>
    <row r="185" spans="1:40" ht="12.6">
      <c r="A185" s="990" t="s">
        <v>302</v>
      </c>
      <c r="B185" s="991" t="s">
        <v>121</v>
      </c>
      <c r="C185" s="991"/>
      <c r="D185" s="315"/>
      <c r="E185" s="991" t="s">
        <v>122</v>
      </c>
      <c r="F185" s="799" t="s">
        <v>99</v>
      </c>
      <c r="G185" s="799" t="s">
        <v>99</v>
      </c>
      <c r="H185" s="799" t="s">
        <v>99</v>
      </c>
      <c r="I185" s="799" t="s">
        <v>99</v>
      </c>
      <c r="J185" s="799" t="s">
        <v>99</v>
      </c>
      <c r="K185" s="799" t="s">
        <v>99</v>
      </c>
      <c r="L185" s="799" t="s">
        <v>99</v>
      </c>
      <c r="M185" s="799" t="s">
        <v>99</v>
      </c>
      <c r="N185" s="799" t="s">
        <v>99</v>
      </c>
      <c r="O185" s="799" t="s">
        <v>99</v>
      </c>
      <c r="P185" s="799" t="s">
        <v>99</v>
      </c>
      <c r="Q185" s="799" t="s">
        <v>99</v>
      </c>
      <c r="R185" s="799" t="s">
        <v>99</v>
      </c>
      <c r="S185" s="799" t="s">
        <v>99</v>
      </c>
      <c r="T185" s="799" t="s">
        <v>99</v>
      </c>
      <c r="U185" s="799" t="s">
        <v>99</v>
      </c>
      <c r="V185" s="799" t="s">
        <v>99</v>
      </c>
      <c r="W185" s="799" t="s">
        <v>99</v>
      </c>
      <c r="X185" s="799" t="s">
        <v>99</v>
      </c>
      <c r="Y185" s="799" t="s">
        <v>99</v>
      </c>
      <c r="Z185" s="799" t="s">
        <v>99</v>
      </c>
      <c r="AA185" s="799" t="s">
        <v>99</v>
      </c>
      <c r="AB185" s="799" t="s">
        <v>99</v>
      </c>
      <c r="AC185" s="799" t="s">
        <v>99</v>
      </c>
      <c r="AD185" s="799" t="s">
        <v>99</v>
      </c>
      <c r="AE185" s="799" t="s">
        <v>99</v>
      </c>
      <c r="AF185" s="799" t="s">
        <v>99</v>
      </c>
      <c r="AG185" s="799" t="s">
        <v>99</v>
      </c>
      <c r="AH185" s="799" t="s">
        <v>99</v>
      </c>
      <c r="AI185" s="799" t="s">
        <v>99</v>
      </c>
      <c r="AJ185" s="799" t="s">
        <v>99</v>
      </c>
      <c r="AK185" s="799" t="s">
        <v>99</v>
      </c>
      <c r="AL185" s="799" t="s">
        <v>99</v>
      </c>
      <c r="AM185" s="344" t="s">
        <v>290</v>
      </c>
      <c r="AN185" s="344"/>
    </row>
    <row r="186" spans="1:40" ht="12.6">
      <c r="A186" s="990" t="s">
        <v>303</v>
      </c>
      <c r="B186" s="991" t="s">
        <v>124</v>
      </c>
      <c r="C186" s="991"/>
      <c r="D186" s="315"/>
      <c r="E186" s="315" t="s">
        <v>125</v>
      </c>
      <c r="F186" s="799" t="s">
        <v>126</v>
      </c>
      <c r="G186" s="799" t="s">
        <v>126</v>
      </c>
      <c r="H186" s="799" t="s">
        <v>126</v>
      </c>
      <c r="I186" s="799" t="s">
        <v>126</v>
      </c>
      <c r="J186" s="799" t="s">
        <v>126</v>
      </c>
      <c r="K186" s="799" t="s">
        <v>126</v>
      </c>
      <c r="L186" s="799" t="s">
        <v>126</v>
      </c>
      <c r="M186" s="799" t="s">
        <v>126</v>
      </c>
      <c r="N186" s="799" t="s">
        <v>126</v>
      </c>
      <c r="O186" s="799" t="s">
        <v>126</v>
      </c>
      <c r="P186" s="799" t="s">
        <v>126</v>
      </c>
      <c r="Q186" s="799" t="s">
        <v>126</v>
      </c>
      <c r="R186" s="799" t="s">
        <v>126</v>
      </c>
      <c r="S186" s="799" t="s">
        <v>126</v>
      </c>
      <c r="T186" s="799" t="s">
        <v>126</v>
      </c>
      <c r="U186" s="799" t="s">
        <v>126</v>
      </c>
      <c r="V186" s="799" t="s">
        <v>126</v>
      </c>
      <c r="W186" s="799" t="s">
        <v>126</v>
      </c>
      <c r="X186" s="799" t="s">
        <v>126</v>
      </c>
      <c r="Y186" s="799" t="s">
        <v>126</v>
      </c>
      <c r="Z186" s="799" t="s">
        <v>126</v>
      </c>
      <c r="AA186" s="799" t="s">
        <v>126</v>
      </c>
      <c r="AB186" s="799" t="s">
        <v>126</v>
      </c>
      <c r="AC186" s="799" t="s">
        <v>126</v>
      </c>
      <c r="AD186" s="799" t="s">
        <v>126</v>
      </c>
      <c r="AE186" s="799" t="s">
        <v>126</v>
      </c>
      <c r="AF186" s="799" t="s">
        <v>126</v>
      </c>
      <c r="AG186" s="799" t="s">
        <v>126</v>
      </c>
      <c r="AH186" s="799" t="s">
        <v>126</v>
      </c>
      <c r="AI186" s="799" t="s">
        <v>126</v>
      </c>
      <c r="AJ186" s="799" t="s">
        <v>126</v>
      </c>
      <c r="AK186" s="799" t="s">
        <v>126</v>
      </c>
      <c r="AL186" s="799" t="s">
        <v>126</v>
      </c>
      <c r="AM186" s="315"/>
      <c r="AN186" s="315"/>
    </row>
    <row r="187" spans="1:40" ht="12.6">
      <c r="A187" s="990" t="s">
        <v>304</v>
      </c>
      <c r="B187" s="991" t="s">
        <v>128</v>
      </c>
      <c r="C187" s="991"/>
      <c r="D187" s="991" t="s">
        <v>129</v>
      </c>
      <c r="E187" s="991" t="s">
        <v>130</v>
      </c>
      <c r="F187" s="799" t="s">
        <v>99</v>
      </c>
      <c r="G187" s="799" t="s">
        <v>99</v>
      </c>
      <c r="H187" s="799" t="s">
        <v>99</v>
      </c>
      <c r="I187" s="799" t="s">
        <v>99</v>
      </c>
      <c r="J187" s="799" t="s">
        <v>99</v>
      </c>
      <c r="K187" s="799" t="s">
        <v>99</v>
      </c>
      <c r="L187" s="799" t="s">
        <v>99</v>
      </c>
      <c r="M187" s="799" t="s">
        <v>99</v>
      </c>
      <c r="N187" s="799" t="s">
        <v>99</v>
      </c>
      <c r="O187" s="799" t="s">
        <v>99</v>
      </c>
      <c r="P187" s="799" t="s">
        <v>99</v>
      </c>
      <c r="Q187" s="799" t="s">
        <v>99</v>
      </c>
      <c r="R187" s="799" t="s">
        <v>99</v>
      </c>
      <c r="S187" s="799" t="s">
        <v>99</v>
      </c>
      <c r="T187" s="799" t="s">
        <v>99</v>
      </c>
      <c r="U187" s="799" t="s">
        <v>99</v>
      </c>
      <c r="V187" s="799" t="s">
        <v>99</v>
      </c>
      <c r="W187" s="799" t="s">
        <v>99</v>
      </c>
      <c r="X187" s="799" t="s">
        <v>99</v>
      </c>
      <c r="Y187" s="799" t="s">
        <v>99</v>
      </c>
      <c r="Z187" s="799" t="s">
        <v>99</v>
      </c>
      <c r="AA187" s="799" t="s">
        <v>99</v>
      </c>
      <c r="AB187" s="799" t="s">
        <v>99</v>
      </c>
      <c r="AC187" s="799" t="s">
        <v>99</v>
      </c>
      <c r="AD187" s="799" t="s">
        <v>99</v>
      </c>
      <c r="AE187" s="799" t="s">
        <v>99</v>
      </c>
      <c r="AF187" s="799" t="s">
        <v>99</v>
      </c>
      <c r="AG187" s="799" t="s">
        <v>99</v>
      </c>
      <c r="AH187" s="799" t="s">
        <v>99</v>
      </c>
      <c r="AI187" s="799" t="s">
        <v>99</v>
      </c>
      <c r="AJ187" s="799" t="s">
        <v>99</v>
      </c>
      <c r="AK187" s="799" t="s">
        <v>99</v>
      </c>
      <c r="AL187" s="799" t="s">
        <v>99</v>
      </c>
      <c r="AM187" s="344" t="s">
        <v>290</v>
      </c>
      <c r="AN187" s="344"/>
    </row>
    <row r="188" spans="1:40" ht="12.6">
      <c r="A188" s="990" t="s">
        <v>305</v>
      </c>
      <c r="B188" s="991" t="s">
        <v>132</v>
      </c>
      <c r="C188" s="991"/>
      <c r="D188" s="991" t="s">
        <v>129</v>
      </c>
      <c r="E188" s="991" t="s">
        <v>130</v>
      </c>
      <c r="F188" s="799" t="s">
        <v>106</v>
      </c>
      <c r="G188" s="799" t="s">
        <v>106</v>
      </c>
      <c r="H188" s="799" t="s">
        <v>106</v>
      </c>
      <c r="I188" s="799" t="s">
        <v>106</v>
      </c>
      <c r="J188" s="799" t="s">
        <v>106</v>
      </c>
      <c r="K188" s="799" t="s">
        <v>106</v>
      </c>
      <c r="L188" s="799" t="s">
        <v>106</v>
      </c>
      <c r="M188" s="799" t="s">
        <v>106</v>
      </c>
      <c r="N188" s="799" t="s">
        <v>106</v>
      </c>
      <c r="O188" s="799" t="s">
        <v>106</v>
      </c>
      <c r="P188" s="799" t="s">
        <v>106</v>
      </c>
      <c r="Q188" s="799" t="s">
        <v>106</v>
      </c>
      <c r="R188" s="799" t="s">
        <v>106</v>
      </c>
      <c r="S188" s="799" t="s">
        <v>106</v>
      </c>
      <c r="T188" s="799" t="s">
        <v>106</v>
      </c>
      <c r="U188" s="799" t="s">
        <v>106</v>
      </c>
      <c r="V188" s="799" t="s">
        <v>106</v>
      </c>
      <c r="W188" s="799" t="s">
        <v>106</v>
      </c>
      <c r="X188" s="799" t="s">
        <v>106</v>
      </c>
      <c r="Y188" s="799" t="s">
        <v>106</v>
      </c>
      <c r="Z188" s="799" t="s">
        <v>106</v>
      </c>
      <c r="AA188" s="799" t="s">
        <v>106</v>
      </c>
      <c r="AB188" s="799" t="s">
        <v>106</v>
      </c>
      <c r="AC188" s="799" t="s">
        <v>106</v>
      </c>
      <c r="AD188" s="799" t="s">
        <v>106</v>
      </c>
      <c r="AE188" s="799" t="s">
        <v>106</v>
      </c>
      <c r="AF188" s="799" t="s">
        <v>106</v>
      </c>
      <c r="AG188" s="799" t="s">
        <v>106</v>
      </c>
      <c r="AH188" s="799" t="s">
        <v>106</v>
      </c>
      <c r="AI188" s="799" t="s">
        <v>106</v>
      </c>
      <c r="AJ188" s="799" t="s">
        <v>106</v>
      </c>
      <c r="AK188" s="799" t="s">
        <v>106</v>
      </c>
      <c r="AL188" s="799" t="s">
        <v>106</v>
      </c>
      <c r="AM188" s="315"/>
      <c r="AN188" s="315"/>
    </row>
    <row r="189" spans="1:40" ht="12.6">
      <c r="A189" s="990" t="s">
        <v>306</v>
      </c>
      <c r="B189" s="991" t="s">
        <v>134</v>
      </c>
      <c r="D189" s="315"/>
      <c r="E189" s="315"/>
      <c r="F189" s="799"/>
      <c r="G189" s="799"/>
      <c r="H189" s="799"/>
      <c r="I189" s="799"/>
      <c r="J189" s="799"/>
      <c r="K189" s="799"/>
      <c r="L189" s="799"/>
      <c r="M189" s="799"/>
      <c r="N189" s="799"/>
      <c r="O189" s="799"/>
      <c r="P189" s="799"/>
      <c r="Q189" s="799"/>
      <c r="R189" s="799"/>
      <c r="S189" s="799"/>
      <c r="T189" s="799"/>
      <c r="U189" s="799"/>
      <c r="V189" s="799"/>
      <c r="W189" s="799"/>
      <c r="X189" s="799"/>
      <c r="Y189" s="799"/>
      <c r="Z189" s="799"/>
      <c r="AA189" s="799"/>
      <c r="AB189" s="799"/>
      <c r="AC189" s="799"/>
      <c r="AD189" s="799"/>
      <c r="AE189" s="799"/>
      <c r="AF189" s="799"/>
      <c r="AG189" s="799"/>
      <c r="AH189" s="799"/>
      <c r="AI189" s="799"/>
      <c r="AJ189" s="799"/>
      <c r="AK189" s="799"/>
      <c r="AL189" s="799"/>
      <c r="AM189" s="315"/>
      <c r="AN189" s="315"/>
    </row>
    <row r="190" spans="1:40" s="792" customFormat="1" ht="14.25" customHeight="1">
      <c r="A190" s="989" t="s">
        <v>307</v>
      </c>
      <c r="B190" s="791"/>
      <c r="C190" s="791"/>
      <c r="D190" s="791"/>
      <c r="E190" s="791"/>
      <c r="F190" s="804"/>
      <c r="G190" s="804"/>
      <c r="H190" s="804"/>
      <c r="I190" s="804"/>
      <c r="J190" s="804"/>
      <c r="K190" s="804"/>
      <c r="L190" s="804"/>
      <c r="M190" s="804"/>
      <c r="N190" s="804"/>
      <c r="O190" s="804"/>
      <c r="P190" s="804"/>
      <c r="Q190" s="804"/>
      <c r="R190" s="804"/>
      <c r="S190" s="804"/>
      <c r="T190" s="804"/>
      <c r="U190" s="804"/>
      <c r="V190" s="804"/>
      <c r="W190" s="804"/>
      <c r="X190" s="804"/>
      <c r="Y190" s="804"/>
      <c r="Z190" s="804"/>
      <c r="AA190" s="804"/>
      <c r="AB190" s="804"/>
      <c r="AC190" s="804"/>
      <c r="AD190" s="804"/>
      <c r="AE190" s="804"/>
      <c r="AF190" s="804"/>
      <c r="AG190" s="804"/>
      <c r="AH190" s="804"/>
      <c r="AI190" s="804"/>
      <c r="AJ190" s="804"/>
      <c r="AK190" s="804"/>
      <c r="AL190" s="804"/>
      <c r="AM190" s="791"/>
      <c r="AN190" s="791"/>
    </row>
    <row r="191" spans="1:40" ht="12.6">
      <c r="A191" s="990" t="s">
        <v>308</v>
      </c>
      <c r="B191" s="991" t="s">
        <v>121</v>
      </c>
      <c r="C191" s="991"/>
      <c r="D191" s="315"/>
      <c r="E191" s="991" t="s">
        <v>122</v>
      </c>
      <c r="F191" s="799" t="s">
        <v>108</v>
      </c>
      <c r="G191" s="799" t="s">
        <v>108</v>
      </c>
      <c r="H191" s="799" t="s">
        <v>108</v>
      </c>
      <c r="I191" s="799" t="s">
        <v>108</v>
      </c>
      <c r="J191" s="799" t="s">
        <v>108</v>
      </c>
      <c r="K191" s="799" t="s">
        <v>108</v>
      </c>
      <c r="L191" s="799" t="s">
        <v>108</v>
      </c>
      <c r="M191" s="799" t="s">
        <v>108</v>
      </c>
      <c r="N191" s="799" t="s">
        <v>108</v>
      </c>
      <c r="O191" s="799" t="s">
        <v>108</v>
      </c>
      <c r="P191" s="799" t="s">
        <v>108</v>
      </c>
      <c r="Q191" s="799" t="s">
        <v>108</v>
      </c>
      <c r="R191" s="799" t="s">
        <v>108</v>
      </c>
      <c r="S191" s="799" t="s">
        <v>108</v>
      </c>
      <c r="T191" s="799" t="s">
        <v>108</v>
      </c>
      <c r="U191" s="799" t="s">
        <v>108</v>
      </c>
      <c r="V191" s="799" t="s">
        <v>108</v>
      </c>
      <c r="W191" s="799" t="s">
        <v>108</v>
      </c>
      <c r="X191" s="799" t="s">
        <v>108</v>
      </c>
      <c r="Y191" s="799" t="s">
        <v>108</v>
      </c>
      <c r="Z191" s="799" t="s">
        <v>108</v>
      </c>
      <c r="AA191" s="799" t="s">
        <v>108</v>
      </c>
      <c r="AB191" s="799" t="s">
        <v>108</v>
      </c>
      <c r="AC191" s="799" t="s">
        <v>108</v>
      </c>
      <c r="AD191" s="799" t="s">
        <v>108</v>
      </c>
      <c r="AE191" s="799" t="s">
        <v>108</v>
      </c>
      <c r="AF191" s="799" t="s">
        <v>108</v>
      </c>
      <c r="AG191" s="799" t="s">
        <v>108</v>
      </c>
      <c r="AH191" s="799" t="s">
        <v>108</v>
      </c>
      <c r="AI191" s="799" t="s">
        <v>108</v>
      </c>
      <c r="AJ191" s="799" t="s">
        <v>108</v>
      </c>
      <c r="AK191" s="799" t="s">
        <v>108</v>
      </c>
      <c r="AL191" s="799" t="s">
        <v>108</v>
      </c>
      <c r="AM191" s="315"/>
      <c r="AN191" s="315"/>
    </row>
    <row r="192" spans="1:40" ht="12.6">
      <c r="A192" s="990" t="s">
        <v>309</v>
      </c>
      <c r="B192" s="991" t="s">
        <v>124</v>
      </c>
      <c r="C192" s="991"/>
      <c r="D192" s="315"/>
      <c r="E192" s="315" t="s">
        <v>125</v>
      </c>
      <c r="F192" s="799" t="s">
        <v>126</v>
      </c>
      <c r="G192" s="799" t="s">
        <v>126</v>
      </c>
      <c r="H192" s="799" t="s">
        <v>126</v>
      </c>
      <c r="I192" s="799" t="s">
        <v>126</v>
      </c>
      <c r="J192" s="799" t="s">
        <v>126</v>
      </c>
      <c r="K192" s="799" t="s">
        <v>126</v>
      </c>
      <c r="L192" s="799" t="s">
        <v>126</v>
      </c>
      <c r="M192" s="799" t="s">
        <v>126</v>
      </c>
      <c r="N192" s="799" t="s">
        <v>126</v>
      </c>
      <c r="O192" s="799" t="s">
        <v>126</v>
      </c>
      <c r="P192" s="799" t="s">
        <v>126</v>
      </c>
      <c r="Q192" s="799" t="s">
        <v>126</v>
      </c>
      <c r="R192" s="799" t="s">
        <v>126</v>
      </c>
      <c r="S192" s="799" t="s">
        <v>126</v>
      </c>
      <c r="T192" s="799" t="s">
        <v>126</v>
      </c>
      <c r="U192" s="799" t="s">
        <v>126</v>
      </c>
      <c r="V192" s="799" t="s">
        <v>126</v>
      </c>
      <c r="W192" s="799" t="s">
        <v>126</v>
      </c>
      <c r="X192" s="799" t="s">
        <v>126</v>
      </c>
      <c r="Y192" s="799" t="s">
        <v>126</v>
      </c>
      <c r="Z192" s="799" t="s">
        <v>126</v>
      </c>
      <c r="AA192" s="799" t="s">
        <v>126</v>
      </c>
      <c r="AB192" s="799" t="s">
        <v>126</v>
      </c>
      <c r="AC192" s="799" t="s">
        <v>126</v>
      </c>
      <c r="AD192" s="799" t="s">
        <v>126</v>
      </c>
      <c r="AE192" s="799" t="s">
        <v>126</v>
      </c>
      <c r="AF192" s="799" t="s">
        <v>126</v>
      </c>
      <c r="AG192" s="799" t="s">
        <v>126</v>
      </c>
      <c r="AH192" s="799" t="s">
        <v>126</v>
      </c>
      <c r="AI192" s="799" t="s">
        <v>126</v>
      </c>
      <c r="AJ192" s="799" t="s">
        <v>126</v>
      </c>
      <c r="AK192" s="799" t="s">
        <v>126</v>
      </c>
      <c r="AL192" s="799" t="s">
        <v>126</v>
      </c>
      <c r="AM192" s="315"/>
      <c r="AN192" s="315"/>
    </row>
    <row r="193" spans="1:40" ht="12.6">
      <c r="A193" s="990" t="s">
        <v>310</v>
      </c>
      <c r="B193" s="991" t="s">
        <v>128</v>
      </c>
      <c r="C193" s="991"/>
      <c r="D193" s="991" t="s">
        <v>129</v>
      </c>
      <c r="E193" s="991" t="s">
        <v>130</v>
      </c>
      <c r="F193" s="799" t="s">
        <v>108</v>
      </c>
      <c r="G193" s="799" t="s">
        <v>108</v>
      </c>
      <c r="H193" s="799" t="s">
        <v>108</v>
      </c>
      <c r="I193" s="799" t="s">
        <v>108</v>
      </c>
      <c r="J193" s="799" t="s">
        <v>108</v>
      </c>
      <c r="K193" s="799" t="s">
        <v>108</v>
      </c>
      <c r="L193" s="799" t="s">
        <v>108</v>
      </c>
      <c r="M193" s="799" t="s">
        <v>108</v>
      </c>
      <c r="N193" s="799" t="s">
        <v>108</v>
      </c>
      <c r="O193" s="799" t="s">
        <v>108</v>
      </c>
      <c r="P193" s="799" t="s">
        <v>108</v>
      </c>
      <c r="Q193" s="799" t="s">
        <v>108</v>
      </c>
      <c r="R193" s="799" t="s">
        <v>108</v>
      </c>
      <c r="S193" s="799" t="s">
        <v>108</v>
      </c>
      <c r="T193" s="799" t="s">
        <v>108</v>
      </c>
      <c r="U193" s="799" t="s">
        <v>108</v>
      </c>
      <c r="V193" s="799" t="s">
        <v>108</v>
      </c>
      <c r="W193" s="799" t="s">
        <v>108</v>
      </c>
      <c r="X193" s="799" t="s">
        <v>108</v>
      </c>
      <c r="Y193" s="799" t="s">
        <v>108</v>
      </c>
      <c r="Z193" s="799" t="s">
        <v>108</v>
      </c>
      <c r="AA193" s="799" t="s">
        <v>108</v>
      </c>
      <c r="AB193" s="799" t="s">
        <v>108</v>
      </c>
      <c r="AC193" s="799" t="s">
        <v>108</v>
      </c>
      <c r="AD193" s="799" t="s">
        <v>108</v>
      </c>
      <c r="AE193" s="799" t="s">
        <v>108</v>
      </c>
      <c r="AF193" s="799" t="s">
        <v>108</v>
      </c>
      <c r="AG193" s="799" t="s">
        <v>108</v>
      </c>
      <c r="AH193" s="799" t="s">
        <v>108</v>
      </c>
      <c r="AI193" s="799" t="s">
        <v>108</v>
      </c>
      <c r="AJ193" s="799" t="s">
        <v>108</v>
      </c>
      <c r="AK193" s="799" t="s">
        <v>108</v>
      </c>
      <c r="AL193" s="799" t="s">
        <v>108</v>
      </c>
      <c r="AM193" s="315"/>
      <c r="AN193" s="315"/>
    </row>
    <row r="194" spans="1:40" ht="12.6">
      <c r="A194" s="990" t="s">
        <v>311</v>
      </c>
      <c r="B194" s="991" t="s">
        <v>132</v>
      </c>
      <c r="C194" s="991"/>
      <c r="D194" s="991" t="s">
        <v>129</v>
      </c>
      <c r="E194" s="991" t="s">
        <v>130</v>
      </c>
      <c r="F194" s="794" t="s">
        <v>108</v>
      </c>
      <c r="G194" s="794" t="s">
        <v>108</v>
      </c>
      <c r="H194" s="794" t="s">
        <v>108</v>
      </c>
      <c r="I194" s="794" t="s">
        <v>108</v>
      </c>
      <c r="J194" s="794" t="s">
        <v>108</v>
      </c>
      <c r="K194" s="794" t="s">
        <v>108</v>
      </c>
      <c r="L194" s="794" t="s">
        <v>108</v>
      </c>
      <c r="M194" s="794" t="s">
        <v>108</v>
      </c>
      <c r="N194" s="794" t="s">
        <v>108</v>
      </c>
      <c r="O194" s="794" t="s">
        <v>108</v>
      </c>
      <c r="P194" s="794" t="s">
        <v>108</v>
      </c>
      <c r="Q194" s="794" t="s">
        <v>108</v>
      </c>
      <c r="R194" s="794" t="s">
        <v>108</v>
      </c>
      <c r="S194" s="794" t="s">
        <v>108</v>
      </c>
      <c r="T194" s="794" t="s">
        <v>108</v>
      </c>
      <c r="U194" s="794" t="s">
        <v>108</v>
      </c>
      <c r="V194" s="794" t="s">
        <v>108</v>
      </c>
      <c r="W194" s="794" t="s">
        <v>108</v>
      </c>
      <c r="X194" s="794" t="s">
        <v>108</v>
      </c>
      <c r="Y194" s="794" t="s">
        <v>108</v>
      </c>
      <c r="Z194" s="794" t="s">
        <v>108</v>
      </c>
      <c r="AA194" s="794" t="s">
        <v>108</v>
      </c>
      <c r="AB194" s="794" t="s">
        <v>108</v>
      </c>
      <c r="AC194" s="794" t="s">
        <v>108</v>
      </c>
      <c r="AD194" s="794" t="s">
        <v>108</v>
      </c>
      <c r="AE194" s="794" t="s">
        <v>108</v>
      </c>
      <c r="AF194" s="794" t="s">
        <v>108</v>
      </c>
      <c r="AG194" s="794" t="s">
        <v>108</v>
      </c>
      <c r="AH194" s="794" t="s">
        <v>108</v>
      </c>
      <c r="AI194" s="794" t="s">
        <v>108</v>
      </c>
      <c r="AJ194" s="794" t="s">
        <v>108</v>
      </c>
      <c r="AK194" s="794" t="s">
        <v>108</v>
      </c>
      <c r="AL194" s="794" t="s">
        <v>108</v>
      </c>
      <c r="AM194" s="315"/>
      <c r="AN194" s="315"/>
    </row>
    <row r="195" spans="1:40" ht="12.6">
      <c r="A195" s="990" t="s">
        <v>312</v>
      </c>
      <c r="B195" s="991" t="s">
        <v>134</v>
      </c>
      <c r="D195" s="315"/>
      <c r="E195" s="315"/>
      <c r="F195" s="799"/>
      <c r="G195" s="799"/>
      <c r="H195" s="799"/>
      <c r="I195" s="799"/>
      <c r="J195" s="799"/>
      <c r="K195" s="799"/>
      <c r="L195" s="799"/>
      <c r="M195" s="799"/>
      <c r="N195" s="799"/>
      <c r="O195" s="799"/>
      <c r="P195" s="799"/>
      <c r="Q195" s="799"/>
      <c r="R195" s="799"/>
      <c r="S195" s="799"/>
      <c r="T195" s="799"/>
      <c r="U195" s="799"/>
      <c r="V195" s="799"/>
      <c r="W195" s="799"/>
      <c r="X195" s="799"/>
      <c r="Y195" s="799"/>
      <c r="Z195" s="799"/>
      <c r="AA195" s="799"/>
      <c r="AB195" s="799"/>
      <c r="AC195" s="799"/>
      <c r="AD195" s="799"/>
      <c r="AE195" s="799"/>
      <c r="AF195" s="799"/>
      <c r="AG195" s="799"/>
      <c r="AH195" s="799"/>
      <c r="AI195" s="799"/>
      <c r="AJ195" s="799"/>
      <c r="AK195" s="799"/>
      <c r="AL195" s="799"/>
      <c r="AM195" s="315"/>
      <c r="AN195" s="315"/>
    </row>
    <row r="196" spans="1:40" s="792" customFormat="1" ht="14.25" customHeight="1">
      <c r="A196" s="989" t="s">
        <v>313</v>
      </c>
      <c r="B196" s="791"/>
      <c r="C196" s="791"/>
      <c r="D196" s="791"/>
      <c r="E196" s="791"/>
      <c r="F196" s="804"/>
      <c r="G196" s="804"/>
      <c r="H196" s="804"/>
      <c r="I196" s="804"/>
      <c r="J196" s="804"/>
      <c r="K196" s="804"/>
      <c r="L196" s="804"/>
      <c r="M196" s="804"/>
      <c r="N196" s="804"/>
      <c r="O196" s="804"/>
      <c r="P196" s="804"/>
      <c r="Q196" s="804"/>
      <c r="R196" s="804"/>
      <c r="S196" s="804"/>
      <c r="T196" s="804"/>
      <c r="U196" s="804"/>
      <c r="V196" s="804"/>
      <c r="W196" s="804"/>
      <c r="X196" s="804"/>
      <c r="Y196" s="804"/>
      <c r="Z196" s="804"/>
      <c r="AA196" s="804"/>
      <c r="AB196" s="804"/>
      <c r="AC196" s="804"/>
      <c r="AD196" s="804"/>
      <c r="AE196" s="804"/>
      <c r="AF196" s="804"/>
      <c r="AG196" s="804"/>
      <c r="AH196" s="804"/>
      <c r="AI196" s="804"/>
      <c r="AJ196" s="804"/>
      <c r="AK196" s="804"/>
      <c r="AL196" s="804"/>
      <c r="AM196" s="791"/>
      <c r="AN196" s="791"/>
    </row>
    <row r="197" spans="1:40" ht="12.6">
      <c r="A197" s="990" t="s">
        <v>314</v>
      </c>
      <c r="B197" s="991" t="s">
        <v>121</v>
      </c>
      <c r="C197" s="991"/>
      <c r="D197" s="315"/>
      <c r="E197" s="991" t="s">
        <v>122</v>
      </c>
      <c r="F197" s="300" t="s">
        <v>108</v>
      </c>
      <c r="G197" s="300" t="s">
        <v>108</v>
      </c>
      <c r="H197" s="300" t="s">
        <v>108</v>
      </c>
      <c r="I197" s="300" t="s">
        <v>108</v>
      </c>
      <c r="J197" s="300" t="s">
        <v>108</v>
      </c>
      <c r="K197" s="300" t="s">
        <v>108</v>
      </c>
      <c r="L197" s="300" t="s">
        <v>108</v>
      </c>
      <c r="M197" s="300" t="s">
        <v>108</v>
      </c>
      <c r="N197" s="300" t="s">
        <v>108</v>
      </c>
      <c r="O197" s="300" t="s">
        <v>108</v>
      </c>
      <c r="P197" s="300" t="s">
        <v>108</v>
      </c>
      <c r="Q197" s="300" t="s">
        <v>108</v>
      </c>
      <c r="R197" s="300" t="s">
        <v>108</v>
      </c>
      <c r="S197" s="300" t="s">
        <v>108</v>
      </c>
      <c r="T197" s="300" t="s">
        <v>108</v>
      </c>
      <c r="U197" s="300" t="s">
        <v>108</v>
      </c>
      <c r="V197" s="300" t="s">
        <v>108</v>
      </c>
      <c r="W197" s="300" t="s">
        <v>108</v>
      </c>
      <c r="X197" s="300" t="s">
        <v>108</v>
      </c>
      <c r="Y197" s="300" t="s">
        <v>108</v>
      </c>
      <c r="Z197" s="300" t="s">
        <v>108</v>
      </c>
      <c r="AA197" s="300" t="s">
        <v>108</v>
      </c>
      <c r="AB197" s="300" t="s">
        <v>108</v>
      </c>
      <c r="AC197" s="300" t="s">
        <v>108</v>
      </c>
      <c r="AD197" s="300" t="s">
        <v>108</v>
      </c>
      <c r="AE197" s="300" t="s">
        <v>108</v>
      </c>
      <c r="AF197" s="300" t="s">
        <v>108</v>
      </c>
      <c r="AG197" s="300" t="s">
        <v>108</v>
      </c>
      <c r="AH197" s="300" t="s">
        <v>108</v>
      </c>
      <c r="AI197" s="300" t="s">
        <v>108</v>
      </c>
      <c r="AJ197" s="300" t="s">
        <v>108</v>
      </c>
      <c r="AK197" s="300" t="s">
        <v>108</v>
      </c>
      <c r="AL197" s="300" t="s">
        <v>108</v>
      </c>
      <c r="AM197" s="315"/>
      <c r="AN197" s="315"/>
    </row>
    <row r="198" spans="1:40" ht="12.6">
      <c r="A198" s="990" t="s">
        <v>315</v>
      </c>
      <c r="B198" s="991" t="s">
        <v>124</v>
      </c>
      <c r="C198" s="991"/>
      <c r="D198" s="315"/>
      <c r="E198" s="315" t="s">
        <v>125</v>
      </c>
      <c r="F198" s="799" t="s">
        <v>126</v>
      </c>
      <c r="G198" s="799" t="s">
        <v>126</v>
      </c>
      <c r="H198" s="799" t="s">
        <v>126</v>
      </c>
      <c r="I198" s="799" t="s">
        <v>126</v>
      </c>
      <c r="J198" s="799" t="s">
        <v>126</v>
      </c>
      <c r="K198" s="799" t="s">
        <v>126</v>
      </c>
      <c r="L198" s="799" t="s">
        <v>126</v>
      </c>
      <c r="M198" s="799" t="s">
        <v>126</v>
      </c>
      <c r="N198" s="799" t="s">
        <v>126</v>
      </c>
      <c r="O198" s="799" t="s">
        <v>126</v>
      </c>
      <c r="P198" s="799" t="s">
        <v>126</v>
      </c>
      <c r="Q198" s="799" t="s">
        <v>126</v>
      </c>
      <c r="R198" s="799" t="s">
        <v>126</v>
      </c>
      <c r="S198" s="799" t="s">
        <v>126</v>
      </c>
      <c r="T198" s="799" t="s">
        <v>126</v>
      </c>
      <c r="U198" s="799" t="s">
        <v>126</v>
      </c>
      <c r="V198" s="799" t="s">
        <v>126</v>
      </c>
      <c r="W198" s="799" t="s">
        <v>126</v>
      </c>
      <c r="X198" s="799" t="s">
        <v>126</v>
      </c>
      <c r="Y198" s="799" t="s">
        <v>126</v>
      </c>
      <c r="Z198" s="799" t="s">
        <v>126</v>
      </c>
      <c r="AA198" s="799" t="s">
        <v>126</v>
      </c>
      <c r="AB198" s="799" t="s">
        <v>126</v>
      </c>
      <c r="AC198" s="799" t="s">
        <v>126</v>
      </c>
      <c r="AD198" s="799" t="s">
        <v>126</v>
      </c>
      <c r="AE198" s="799" t="s">
        <v>126</v>
      </c>
      <c r="AF198" s="799" t="s">
        <v>126</v>
      </c>
      <c r="AG198" s="799" t="s">
        <v>126</v>
      </c>
      <c r="AH198" s="799" t="s">
        <v>126</v>
      </c>
      <c r="AI198" s="799" t="s">
        <v>126</v>
      </c>
      <c r="AJ198" s="799" t="s">
        <v>126</v>
      </c>
      <c r="AK198" s="799" t="s">
        <v>126</v>
      </c>
      <c r="AL198" s="799" t="s">
        <v>126</v>
      </c>
      <c r="AM198" s="315"/>
      <c r="AN198" s="315"/>
    </row>
    <row r="199" spans="1:40" ht="12.6">
      <c r="A199" s="990" t="s">
        <v>316</v>
      </c>
      <c r="B199" s="991" t="s">
        <v>128</v>
      </c>
      <c r="C199" s="991"/>
      <c r="D199" s="991" t="s">
        <v>129</v>
      </c>
      <c r="E199" s="991" t="s">
        <v>130</v>
      </c>
      <c r="F199" s="300" t="s">
        <v>108</v>
      </c>
      <c r="G199" s="300" t="s">
        <v>108</v>
      </c>
      <c r="H199" s="300" t="s">
        <v>108</v>
      </c>
      <c r="I199" s="300" t="s">
        <v>108</v>
      </c>
      <c r="J199" s="300" t="s">
        <v>108</v>
      </c>
      <c r="K199" s="300" t="s">
        <v>108</v>
      </c>
      <c r="L199" s="300" t="s">
        <v>108</v>
      </c>
      <c r="M199" s="300" t="s">
        <v>108</v>
      </c>
      <c r="N199" s="300" t="s">
        <v>108</v>
      </c>
      <c r="O199" s="300" t="s">
        <v>108</v>
      </c>
      <c r="P199" s="300" t="s">
        <v>108</v>
      </c>
      <c r="Q199" s="300" t="s">
        <v>108</v>
      </c>
      <c r="R199" s="300" t="s">
        <v>108</v>
      </c>
      <c r="S199" s="300" t="s">
        <v>108</v>
      </c>
      <c r="T199" s="300" t="s">
        <v>108</v>
      </c>
      <c r="U199" s="300" t="s">
        <v>108</v>
      </c>
      <c r="V199" s="300" t="s">
        <v>108</v>
      </c>
      <c r="W199" s="300" t="s">
        <v>108</v>
      </c>
      <c r="X199" s="300" t="s">
        <v>108</v>
      </c>
      <c r="Y199" s="300" t="s">
        <v>108</v>
      </c>
      <c r="Z199" s="300" t="s">
        <v>108</v>
      </c>
      <c r="AA199" s="300" t="s">
        <v>108</v>
      </c>
      <c r="AB199" s="300" t="s">
        <v>108</v>
      </c>
      <c r="AC199" s="300" t="s">
        <v>108</v>
      </c>
      <c r="AD199" s="300" t="s">
        <v>108</v>
      </c>
      <c r="AE199" s="300" t="s">
        <v>108</v>
      </c>
      <c r="AF199" s="300" t="s">
        <v>108</v>
      </c>
      <c r="AG199" s="300" t="s">
        <v>108</v>
      </c>
      <c r="AH199" s="300" t="s">
        <v>108</v>
      </c>
      <c r="AI199" s="300" t="s">
        <v>108</v>
      </c>
      <c r="AJ199" s="300" t="s">
        <v>108</v>
      </c>
      <c r="AK199" s="300" t="s">
        <v>108</v>
      </c>
      <c r="AL199" s="300" t="s">
        <v>108</v>
      </c>
      <c r="AM199" s="315"/>
      <c r="AN199" s="315"/>
    </row>
    <row r="200" spans="1:40" ht="12.6">
      <c r="A200" s="990" t="s">
        <v>317</v>
      </c>
      <c r="B200" s="991" t="s">
        <v>132</v>
      </c>
      <c r="C200" s="991"/>
      <c r="D200" s="991" t="s">
        <v>129</v>
      </c>
      <c r="E200" s="991" t="s">
        <v>130</v>
      </c>
      <c r="F200" s="794" t="s">
        <v>108</v>
      </c>
      <c r="G200" s="794" t="s">
        <v>108</v>
      </c>
      <c r="H200" s="794" t="s">
        <v>108</v>
      </c>
      <c r="I200" s="794" t="s">
        <v>108</v>
      </c>
      <c r="J200" s="794" t="s">
        <v>108</v>
      </c>
      <c r="K200" s="794" t="s">
        <v>108</v>
      </c>
      <c r="L200" s="794" t="s">
        <v>108</v>
      </c>
      <c r="M200" s="794" t="s">
        <v>108</v>
      </c>
      <c r="N200" s="794" t="s">
        <v>108</v>
      </c>
      <c r="O200" s="794" t="s">
        <v>108</v>
      </c>
      <c r="P200" s="794" t="s">
        <v>108</v>
      </c>
      <c r="Q200" s="794" t="s">
        <v>108</v>
      </c>
      <c r="R200" s="794" t="s">
        <v>108</v>
      </c>
      <c r="S200" s="794" t="s">
        <v>108</v>
      </c>
      <c r="T200" s="794" t="s">
        <v>108</v>
      </c>
      <c r="U200" s="794" t="s">
        <v>108</v>
      </c>
      <c r="V200" s="794" t="s">
        <v>108</v>
      </c>
      <c r="W200" s="794" t="s">
        <v>108</v>
      </c>
      <c r="X200" s="794" t="s">
        <v>108</v>
      </c>
      <c r="Y200" s="794" t="s">
        <v>108</v>
      </c>
      <c r="Z200" s="794" t="s">
        <v>108</v>
      </c>
      <c r="AA200" s="794" t="s">
        <v>108</v>
      </c>
      <c r="AB200" s="794" t="s">
        <v>108</v>
      </c>
      <c r="AC200" s="794" t="s">
        <v>108</v>
      </c>
      <c r="AD200" s="794" t="s">
        <v>108</v>
      </c>
      <c r="AE200" s="794" t="s">
        <v>108</v>
      </c>
      <c r="AF200" s="794" t="s">
        <v>108</v>
      </c>
      <c r="AG200" s="794" t="s">
        <v>108</v>
      </c>
      <c r="AH200" s="794" t="s">
        <v>108</v>
      </c>
      <c r="AI200" s="794" t="s">
        <v>108</v>
      </c>
      <c r="AJ200" s="794" t="s">
        <v>108</v>
      </c>
      <c r="AK200" s="794" t="s">
        <v>108</v>
      </c>
      <c r="AL200" s="794" t="s">
        <v>108</v>
      </c>
      <c r="AM200" s="315"/>
      <c r="AN200" s="315"/>
    </row>
    <row r="201" spans="1:40" ht="12.6">
      <c r="A201" s="990" t="s">
        <v>318</v>
      </c>
      <c r="B201" s="991" t="s">
        <v>134</v>
      </c>
      <c r="D201" s="315"/>
      <c r="E201" s="315"/>
      <c r="F201" s="799"/>
      <c r="G201" s="799"/>
      <c r="H201" s="799"/>
      <c r="I201" s="799"/>
      <c r="J201" s="799"/>
      <c r="K201" s="799"/>
      <c r="L201" s="799"/>
      <c r="M201" s="799"/>
      <c r="N201" s="799"/>
      <c r="O201" s="799"/>
      <c r="P201" s="799"/>
      <c r="Q201" s="799"/>
      <c r="R201" s="799"/>
      <c r="S201" s="799"/>
      <c r="T201" s="799"/>
      <c r="U201" s="799"/>
      <c r="V201" s="799"/>
      <c r="W201" s="799"/>
      <c r="X201" s="799"/>
      <c r="Y201" s="799"/>
      <c r="Z201" s="799"/>
      <c r="AA201" s="799"/>
      <c r="AB201" s="799"/>
      <c r="AC201" s="799"/>
      <c r="AD201" s="799"/>
      <c r="AE201" s="799"/>
      <c r="AF201" s="799"/>
      <c r="AG201" s="799"/>
      <c r="AH201" s="799"/>
      <c r="AI201" s="799"/>
      <c r="AJ201" s="799"/>
      <c r="AK201" s="799"/>
      <c r="AL201" s="799"/>
      <c r="AM201" s="315"/>
      <c r="AN201" s="315"/>
    </row>
    <row r="202" spans="1:40" s="792" customFormat="1" ht="14.25" customHeight="1">
      <c r="A202" s="992" t="s">
        <v>319</v>
      </c>
      <c r="B202" s="791"/>
      <c r="C202" s="791"/>
      <c r="D202" s="791"/>
      <c r="E202" s="791"/>
      <c r="F202" s="804"/>
      <c r="G202" s="804"/>
      <c r="H202" s="804"/>
      <c r="I202" s="804"/>
      <c r="J202" s="804"/>
      <c r="K202" s="804"/>
      <c r="L202" s="804"/>
      <c r="M202" s="804"/>
      <c r="N202" s="804"/>
      <c r="O202" s="804"/>
      <c r="P202" s="804"/>
      <c r="Q202" s="804"/>
      <c r="R202" s="804"/>
      <c r="S202" s="804"/>
      <c r="T202" s="804"/>
      <c r="U202" s="804"/>
      <c r="V202" s="804"/>
      <c r="W202" s="804"/>
      <c r="X202" s="804"/>
      <c r="Y202" s="804"/>
      <c r="Z202" s="804"/>
      <c r="AA202" s="804"/>
      <c r="AB202" s="804"/>
      <c r="AC202" s="804"/>
      <c r="AD202" s="804"/>
      <c r="AE202" s="804"/>
      <c r="AF202" s="804"/>
      <c r="AG202" s="804"/>
      <c r="AH202" s="804"/>
      <c r="AI202" s="804"/>
      <c r="AJ202" s="804"/>
      <c r="AK202" s="804"/>
      <c r="AL202" s="804"/>
      <c r="AM202" s="791"/>
      <c r="AN202" s="791"/>
    </row>
    <row r="203" spans="1:40" s="792" customFormat="1" ht="14.25" customHeight="1">
      <c r="A203" s="989" t="s">
        <v>320</v>
      </c>
      <c r="B203" s="791"/>
      <c r="C203" s="791"/>
      <c r="D203" s="791"/>
      <c r="E203" s="791"/>
      <c r="F203" s="804"/>
      <c r="G203" s="804"/>
      <c r="H203" s="804"/>
      <c r="I203" s="804"/>
      <c r="J203" s="804"/>
      <c r="K203" s="804"/>
      <c r="L203" s="804"/>
      <c r="M203" s="804"/>
      <c r="N203" s="804"/>
      <c r="O203" s="804"/>
      <c r="P203" s="804"/>
      <c r="Q203" s="804"/>
      <c r="R203" s="804"/>
      <c r="S203" s="804"/>
      <c r="T203" s="804"/>
      <c r="U203" s="804"/>
      <c r="V203" s="804"/>
      <c r="W203" s="804"/>
      <c r="X203" s="804"/>
      <c r="Y203" s="804"/>
      <c r="Z203" s="804"/>
      <c r="AA203" s="804"/>
      <c r="AB203" s="804"/>
      <c r="AC203" s="804"/>
      <c r="AD203" s="804"/>
      <c r="AE203" s="804"/>
      <c r="AF203" s="804"/>
      <c r="AG203" s="804"/>
      <c r="AH203" s="804"/>
      <c r="AI203" s="804"/>
      <c r="AJ203" s="804"/>
      <c r="AK203" s="804"/>
      <c r="AL203" s="804"/>
      <c r="AM203" s="791"/>
      <c r="AN203" s="791"/>
    </row>
    <row r="204" spans="1:40" ht="12.6">
      <c r="A204" s="990" t="s">
        <v>321</v>
      </c>
      <c r="B204" s="991" t="s">
        <v>121</v>
      </c>
      <c r="C204" s="991"/>
      <c r="D204" s="315"/>
      <c r="E204" s="991" t="s">
        <v>122</v>
      </c>
      <c r="F204" s="799" t="s">
        <v>99</v>
      </c>
      <c r="G204" s="799" t="s">
        <v>99</v>
      </c>
      <c r="H204" s="799" t="s">
        <v>99</v>
      </c>
      <c r="I204" s="799" t="s">
        <v>99</v>
      </c>
      <c r="J204" s="799" t="s">
        <v>99</v>
      </c>
      <c r="K204" s="799" t="s">
        <v>99</v>
      </c>
      <c r="L204" s="799" t="s">
        <v>99</v>
      </c>
      <c r="M204" s="799" t="s">
        <v>99</v>
      </c>
      <c r="N204" s="799" t="s">
        <v>99</v>
      </c>
      <c r="O204" s="799" t="s">
        <v>99</v>
      </c>
      <c r="P204" s="799" t="s">
        <v>99</v>
      </c>
      <c r="Q204" s="799" t="s">
        <v>99</v>
      </c>
      <c r="R204" s="799" t="s">
        <v>99</v>
      </c>
      <c r="S204" s="799" t="s">
        <v>99</v>
      </c>
      <c r="T204" s="799" t="s">
        <v>99</v>
      </c>
      <c r="U204" s="799" t="s">
        <v>99</v>
      </c>
      <c r="V204" s="799" t="s">
        <v>99</v>
      </c>
      <c r="W204" s="799" t="s">
        <v>99</v>
      </c>
      <c r="X204" s="799" t="s">
        <v>99</v>
      </c>
      <c r="Y204" s="799" t="s">
        <v>99</v>
      </c>
      <c r="Z204" s="799" t="s">
        <v>99</v>
      </c>
      <c r="AA204" s="799" t="s">
        <v>99</v>
      </c>
      <c r="AB204" s="799" t="s">
        <v>99</v>
      </c>
      <c r="AC204" s="799" t="s">
        <v>99</v>
      </c>
      <c r="AD204" s="799" t="s">
        <v>99</v>
      </c>
      <c r="AE204" s="799" t="s">
        <v>99</v>
      </c>
      <c r="AF204" s="799" t="s">
        <v>99</v>
      </c>
      <c r="AG204" s="799" t="s">
        <v>99</v>
      </c>
      <c r="AH204" s="799" t="s">
        <v>99</v>
      </c>
      <c r="AI204" s="799" t="s">
        <v>99</v>
      </c>
      <c r="AJ204" s="799" t="s">
        <v>99</v>
      </c>
      <c r="AK204" s="799" t="s">
        <v>99</v>
      </c>
      <c r="AL204" s="799" t="s">
        <v>99</v>
      </c>
      <c r="AM204" s="344" t="s">
        <v>290</v>
      </c>
      <c r="AN204" s="344"/>
    </row>
    <row r="205" spans="1:40" ht="12.6">
      <c r="A205" s="990" t="s">
        <v>322</v>
      </c>
      <c r="B205" s="991" t="s">
        <v>124</v>
      </c>
      <c r="C205" s="991"/>
      <c r="D205" s="315"/>
      <c r="E205" s="315" t="s">
        <v>125</v>
      </c>
      <c r="F205" s="799" t="s">
        <v>126</v>
      </c>
      <c r="G205" s="799" t="s">
        <v>126</v>
      </c>
      <c r="H205" s="799" t="s">
        <v>126</v>
      </c>
      <c r="I205" s="799" t="s">
        <v>126</v>
      </c>
      <c r="J205" s="799" t="s">
        <v>126</v>
      </c>
      <c r="K205" s="799" t="s">
        <v>126</v>
      </c>
      <c r="L205" s="799" t="s">
        <v>126</v>
      </c>
      <c r="M205" s="799" t="s">
        <v>126</v>
      </c>
      <c r="N205" s="799" t="s">
        <v>126</v>
      </c>
      <c r="O205" s="799" t="s">
        <v>126</v>
      </c>
      <c r="P205" s="799" t="s">
        <v>126</v>
      </c>
      <c r="Q205" s="799" t="s">
        <v>126</v>
      </c>
      <c r="R205" s="799" t="s">
        <v>126</v>
      </c>
      <c r="S205" s="799" t="s">
        <v>126</v>
      </c>
      <c r="T205" s="799" t="s">
        <v>126</v>
      </c>
      <c r="U205" s="799" t="s">
        <v>126</v>
      </c>
      <c r="V205" s="799" t="s">
        <v>126</v>
      </c>
      <c r="W205" s="799" t="s">
        <v>126</v>
      </c>
      <c r="X205" s="799" t="s">
        <v>126</v>
      </c>
      <c r="Y205" s="799" t="s">
        <v>126</v>
      </c>
      <c r="Z205" s="799" t="s">
        <v>126</v>
      </c>
      <c r="AA205" s="799" t="s">
        <v>126</v>
      </c>
      <c r="AB205" s="799" t="s">
        <v>126</v>
      </c>
      <c r="AC205" s="799" t="s">
        <v>126</v>
      </c>
      <c r="AD205" s="799" t="s">
        <v>126</v>
      </c>
      <c r="AE205" s="799" t="s">
        <v>126</v>
      </c>
      <c r="AF205" s="799" t="s">
        <v>126</v>
      </c>
      <c r="AG205" s="799" t="s">
        <v>126</v>
      </c>
      <c r="AH205" s="799" t="s">
        <v>126</v>
      </c>
      <c r="AI205" s="799" t="s">
        <v>126</v>
      </c>
      <c r="AJ205" s="799" t="s">
        <v>126</v>
      </c>
      <c r="AK205" s="799" t="s">
        <v>126</v>
      </c>
      <c r="AL205" s="799" t="s">
        <v>126</v>
      </c>
      <c r="AM205" s="315"/>
      <c r="AN205" s="315"/>
    </row>
    <row r="206" spans="1:40" ht="12.6">
      <c r="A206" s="990" t="s">
        <v>323</v>
      </c>
      <c r="B206" s="991" t="s">
        <v>128</v>
      </c>
      <c r="C206" s="991"/>
      <c r="D206" s="991" t="s">
        <v>129</v>
      </c>
      <c r="E206" s="991" t="s">
        <v>130</v>
      </c>
      <c r="F206" s="799" t="s">
        <v>99</v>
      </c>
      <c r="G206" s="799" t="s">
        <v>99</v>
      </c>
      <c r="H206" s="799" t="s">
        <v>99</v>
      </c>
      <c r="I206" s="799" t="s">
        <v>99</v>
      </c>
      <c r="J206" s="799" t="s">
        <v>99</v>
      </c>
      <c r="K206" s="799" t="s">
        <v>99</v>
      </c>
      <c r="L206" s="799" t="s">
        <v>99</v>
      </c>
      <c r="M206" s="799" t="s">
        <v>99</v>
      </c>
      <c r="N206" s="799" t="s">
        <v>99</v>
      </c>
      <c r="O206" s="799" t="s">
        <v>99</v>
      </c>
      <c r="P206" s="799" t="s">
        <v>99</v>
      </c>
      <c r="Q206" s="799" t="s">
        <v>99</v>
      </c>
      <c r="R206" s="799" t="s">
        <v>99</v>
      </c>
      <c r="S206" s="799" t="s">
        <v>99</v>
      </c>
      <c r="T206" s="799" t="s">
        <v>99</v>
      </c>
      <c r="U206" s="799" t="s">
        <v>99</v>
      </c>
      <c r="V206" s="799" t="s">
        <v>99</v>
      </c>
      <c r="W206" s="799" t="s">
        <v>99</v>
      </c>
      <c r="X206" s="799" t="s">
        <v>99</v>
      </c>
      <c r="Y206" s="799" t="s">
        <v>99</v>
      </c>
      <c r="Z206" s="799" t="s">
        <v>99</v>
      </c>
      <c r="AA206" s="799" t="s">
        <v>99</v>
      </c>
      <c r="AB206" s="799" t="s">
        <v>99</v>
      </c>
      <c r="AC206" s="799" t="s">
        <v>99</v>
      </c>
      <c r="AD206" s="799" t="s">
        <v>99</v>
      </c>
      <c r="AE206" s="799" t="s">
        <v>99</v>
      </c>
      <c r="AF206" s="799" t="s">
        <v>99</v>
      </c>
      <c r="AG206" s="799" t="s">
        <v>99</v>
      </c>
      <c r="AH206" s="799" t="s">
        <v>99</v>
      </c>
      <c r="AI206" s="799" t="s">
        <v>99</v>
      </c>
      <c r="AJ206" s="799" t="s">
        <v>99</v>
      </c>
      <c r="AK206" s="799" t="s">
        <v>99</v>
      </c>
      <c r="AL206" s="799" t="s">
        <v>99</v>
      </c>
      <c r="AM206" s="344" t="s">
        <v>290</v>
      </c>
      <c r="AN206" s="344"/>
    </row>
    <row r="207" spans="1:40" ht="12.6">
      <c r="A207" s="990" t="s">
        <v>324</v>
      </c>
      <c r="B207" s="991" t="s">
        <v>132</v>
      </c>
      <c r="C207" s="991"/>
      <c r="D207" s="991" t="s">
        <v>129</v>
      </c>
      <c r="E207" s="991" t="s">
        <v>130</v>
      </c>
      <c r="F207" s="799" t="s">
        <v>106</v>
      </c>
      <c r="G207" s="799" t="s">
        <v>106</v>
      </c>
      <c r="H207" s="799" t="s">
        <v>106</v>
      </c>
      <c r="I207" s="799" t="s">
        <v>106</v>
      </c>
      <c r="J207" s="799" t="s">
        <v>106</v>
      </c>
      <c r="K207" s="799" t="s">
        <v>106</v>
      </c>
      <c r="L207" s="799" t="s">
        <v>106</v>
      </c>
      <c r="M207" s="799" t="s">
        <v>106</v>
      </c>
      <c r="N207" s="799" t="s">
        <v>106</v>
      </c>
      <c r="O207" s="799" t="s">
        <v>106</v>
      </c>
      <c r="P207" s="799" t="s">
        <v>106</v>
      </c>
      <c r="Q207" s="799" t="s">
        <v>106</v>
      </c>
      <c r="R207" s="799" t="s">
        <v>106</v>
      </c>
      <c r="S207" s="799" t="s">
        <v>106</v>
      </c>
      <c r="T207" s="799" t="s">
        <v>106</v>
      </c>
      <c r="U207" s="799" t="s">
        <v>106</v>
      </c>
      <c r="V207" s="799" t="s">
        <v>106</v>
      </c>
      <c r="W207" s="799" t="s">
        <v>106</v>
      </c>
      <c r="X207" s="799" t="s">
        <v>106</v>
      </c>
      <c r="Y207" s="799" t="s">
        <v>106</v>
      </c>
      <c r="Z207" s="799" t="s">
        <v>106</v>
      </c>
      <c r="AA207" s="799" t="s">
        <v>106</v>
      </c>
      <c r="AB207" s="799" t="s">
        <v>106</v>
      </c>
      <c r="AC207" s="799" t="s">
        <v>106</v>
      </c>
      <c r="AD207" s="799" t="s">
        <v>106</v>
      </c>
      <c r="AE207" s="799" t="s">
        <v>106</v>
      </c>
      <c r="AF207" s="799" t="s">
        <v>106</v>
      </c>
      <c r="AG207" s="799" t="s">
        <v>106</v>
      </c>
      <c r="AH207" s="799" t="s">
        <v>106</v>
      </c>
      <c r="AI207" s="799" t="s">
        <v>106</v>
      </c>
      <c r="AJ207" s="799" t="s">
        <v>106</v>
      </c>
      <c r="AK207" s="799" t="s">
        <v>106</v>
      </c>
      <c r="AL207" s="799" t="s">
        <v>106</v>
      </c>
      <c r="AM207" s="315"/>
      <c r="AN207" s="315"/>
    </row>
    <row r="208" spans="1:40" ht="12.6">
      <c r="A208" s="990" t="s">
        <v>325</v>
      </c>
      <c r="B208" s="991" t="s">
        <v>134</v>
      </c>
      <c r="D208" s="315"/>
      <c r="E208" s="315"/>
      <c r="F208" s="799"/>
      <c r="G208" s="799"/>
      <c r="H208" s="799"/>
      <c r="I208" s="799"/>
      <c r="J208" s="799"/>
      <c r="K208" s="799"/>
      <c r="L208" s="799"/>
      <c r="M208" s="799"/>
      <c r="N208" s="799"/>
      <c r="O208" s="799"/>
      <c r="P208" s="799"/>
      <c r="Q208" s="799"/>
      <c r="R208" s="799"/>
      <c r="S208" s="799"/>
      <c r="T208" s="799"/>
      <c r="U208" s="799"/>
      <c r="V208" s="799"/>
      <c r="W208" s="799"/>
      <c r="X208" s="799"/>
      <c r="Y208" s="799"/>
      <c r="Z208" s="799"/>
      <c r="AA208" s="799"/>
      <c r="AB208" s="799"/>
      <c r="AC208" s="799"/>
      <c r="AD208" s="799"/>
      <c r="AE208" s="799"/>
      <c r="AF208" s="799"/>
      <c r="AG208" s="799"/>
      <c r="AH208" s="799"/>
      <c r="AI208" s="799"/>
      <c r="AJ208" s="799"/>
      <c r="AK208" s="799"/>
      <c r="AL208" s="799"/>
      <c r="AM208" s="315"/>
      <c r="AN208" s="315"/>
    </row>
    <row r="209" spans="1:40" s="792" customFormat="1" ht="14.25" customHeight="1">
      <c r="A209" s="989" t="s">
        <v>326</v>
      </c>
      <c r="B209" s="791"/>
      <c r="C209" s="791"/>
      <c r="D209" s="791"/>
      <c r="E209" s="791"/>
      <c r="F209" s="804"/>
      <c r="G209" s="804"/>
      <c r="H209" s="804"/>
      <c r="I209" s="804"/>
      <c r="J209" s="804"/>
      <c r="K209" s="804"/>
      <c r="L209" s="804"/>
      <c r="M209" s="804"/>
      <c r="N209" s="804"/>
      <c r="O209" s="804"/>
      <c r="P209" s="804"/>
      <c r="Q209" s="804"/>
      <c r="R209" s="804"/>
      <c r="S209" s="804"/>
      <c r="T209" s="804"/>
      <c r="U209" s="804"/>
      <c r="V209" s="804"/>
      <c r="W209" s="804"/>
      <c r="X209" s="804"/>
      <c r="Y209" s="804"/>
      <c r="Z209" s="804"/>
      <c r="AA209" s="804"/>
      <c r="AB209" s="804"/>
      <c r="AC209" s="804"/>
      <c r="AD209" s="804"/>
      <c r="AE209" s="804"/>
      <c r="AF209" s="804"/>
      <c r="AG209" s="804"/>
      <c r="AH209" s="804"/>
      <c r="AI209" s="804"/>
      <c r="AJ209" s="804"/>
      <c r="AK209" s="804"/>
      <c r="AL209" s="804"/>
      <c r="AM209" s="791"/>
      <c r="AN209" s="791"/>
    </row>
    <row r="210" spans="1:40" ht="12.6">
      <c r="A210" s="990" t="s">
        <v>327</v>
      </c>
      <c r="B210" s="991" t="s">
        <v>121</v>
      </c>
      <c r="C210" s="991"/>
      <c r="D210" s="315"/>
      <c r="E210" s="991" t="s">
        <v>122</v>
      </c>
      <c r="F210" s="799" t="s">
        <v>99</v>
      </c>
      <c r="G210" s="799" t="s">
        <v>99</v>
      </c>
      <c r="H210" s="799" t="s">
        <v>99</v>
      </c>
      <c r="I210" s="799" t="s">
        <v>99</v>
      </c>
      <c r="J210" s="799" t="s">
        <v>99</v>
      </c>
      <c r="K210" s="799" t="s">
        <v>99</v>
      </c>
      <c r="L210" s="799" t="s">
        <v>99</v>
      </c>
      <c r="M210" s="799" t="s">
        <v>99</v>
      </c>
      <c r="N210" s="799" t="s">
        <v>99</v>
      </c>
      <c r="O210" s="799" t="s">
        <v>99</v>
      </c>
      <c r="P210" s="799" t="s">
        <v>99</v>
      </c>
      <c r="Q210" s="799" t="s">
        <v>99</v>
      </c>
      <c r="R210" s="799" t="s">
        <v>99</v>
      </c>
      <c r="S210" s="799" t="s">
        <v>99</v>
      </c>
      <c r="T210" s="799" t="s">
        <v>99</v>
      </c>
      <c r="U210" s="799" t="s">
        <v>99</v>
      </c>
      <c r="V210" s="799" t="s">
        <v>99</v>
      </c>
      <c r="W210" s="799" t="s">
        <v>99</v>
      </c>
      <c r="X210" s="799" t="s">
        <v>99</v>
      </c>
      <c r="Y210" s="799" t="s">
        <v>99</v>
      </c>
      <c r="Z210" s="799" t="s">
        <v>99</v>
      </c>
      <c r="AA210" s="799" t="s">
        <v>99</v>
      </c>
      <c r="AB210" s="799" t="s">
        <v>99</v>
      </c>
      <c r="AC210" s="799" t="s">
        <v>99</v>
      </c>
      <c r="AD210" s="799" t="s">
        <v>99</v>
      </c>
      <c r="AE210" s="799" t="s">
        <v>99</v>
      </c>
      <c r="AF210" s="799" t="s">
        <v>99</v>
      </c>
      <c r="AG210" s="799" t="s">
        <v>99</v>
      </c>
      <c r="AH210" s="799" t="s">
        <v>99</v>
      </c>
      <c r="AI210" s="799" t="s">
        <v>99</v>
      </c>
      <c r="AJ210" s="799" t="s">
        <v>99</v>
      </c>
      <c r="AK210" s="799" t="s">
        <v>99</v>
      </c>
      <c r="AL210" s="799" t="s">
        <v>99</v>
      </c>
      <c r="AM210" s="344" t="s">
        <v>290</v>
      </c>
      <c r="AN210" s="344"/>
    </row>
    <row r="211" spans="1:40" ht="12.6">
      <c r="A211" s="990" t="s">
        <v>328</v>
      </c>
      <c r="B211" s="991" t="s">
        <v>124</v>
      </c>
      <c r="C211" s="991"/>
      <c r="D211" s="315"/>
      <c r="E211" s="315" t="s">
        <v>125</v>
      </c>
      <c r="F211" s="799" t="s">
        <v>126</v>
      </c>
      <c r="G211" s="799" t="s">
        <v>126</v>
      </c>
      <c r="H211" s="799" t="s">
        <v>126</v>
      </c>
      <c r="I211" s="799" t="s">
        <v>126</v>
      </c>
      <c r="J211" s="799" t="s">
        <v>126</v>
      </c>
      <c r="K211" s="799" t="s">
        <v>126</v>
      </c>
      <c r="L211" s="799" t="s">
        <v>126</v>
      </c>
      <c r="M211" s="799" t="s">
        <v>126</v>
      </c>
      <c r="N211" s="799" t="s">
        <v>126</v>
      </c>
      <c r="O211" s="799" t="s">
        <v>126</v>
      </c>
      <c r="P211" s="799" t="s">
        <v>126</v>
      </c>
      <c r="Q211" s="799" t="s">
        <v>126</v>
      </c>
      <c r="R211" s="799" t="s">
        <v>126</v>
      </c>
      <c r="S211" s="799" t="s">
        <v>126</v>
      </c>
      <c r="T211" s="799" t="s">
        <v>126</v>
      </c>
      <c r="U211" s="799" t="s">
        <v>126</v>
      </c>
      <c r="V211" s="799" t="s">
        <v>126</v>
      </c>
      <c r="W211" s="799" t="s">
        <v>126</v>
      </c>
      <c r="X211" s="799" t="s">
        <v>126</v>
      </c>
      <c r="Y211" s="799" t="s">
        <v>126</v>
      </c>
      <c r="Z211" s="799" t="s">
        <v>126</v>
      </c>
      <c r="AA211" s="799" t="s">
        <v>126</v>
      </c>
      <c r="AB211" s="799" t="s">
        <v>126</v>
      </c>
      <c r="AC211" s="799" t="s">
        <v>126</v>
      </c>
      <c r="AD211" s="799" t="s">
        <v>126</v>
      </c>
      <c r="AE211" s="799" t="s">
        <v>126</v>
      </c>
      <c r="AF211" s="799" t="s">
        <v>126</v>
      </c>
      <c r="AG211" s="799" t="s">
        <v>126</v>
      </c>
      <c r="AH211" s="799" t="s">
        <v>126</v>
      </c>
      <c r="AI211" s="799" t="s">
        <v>126</v>
      </c>
      <c r="AJ211" s="799" t="s">
        <v>126</v>
      </c>
      <c r="AK211" s="799" t="s">
        <v>126</v>
      </c>
      <c r="AL211" s="799" t="s">
        <v>126</v>
      </c>
      <c r="AM211" s="315"/>
      <c r="AN211" s="315"/>
    </row>
    <row r="212" spans="1:40" ht="12.6">
      <c r="A212" s="990" t="s">
        <v>329</v>
      </c>
      <c r="B212" s="991" t="s">
        <v>128</v>
      </c>
      <c r="C212" s="991"/>
      <c r="D212" s="991" t="s">
        <v>129</v>
      </c>
      <c r="E212" s="991" t="s">
        <v>130</v>
      </c>
      <c r="F212" s="799" t="s">
        <v>99</v>
      </c>
      <c r="G212" s="799" t="s">
        <v>99</v>
      </c>
      <c r="H212" s="799" t="s">
        <v>99</v>
      </c>
      <c r="I212" s="799" t="s">
        <v>99</v>
      </c>
      <c r="J212" s="799" t="s">
        <v>99</v>
      </c>
      <c r="K212" s="799" t="s">
        <v>99</v>
      </c>
      <c r="L212" s="799" t="s">
        <v>99</v>
      </c>
      <c r="M212" s="799" t="s">
        <v>99</v>
      </c>
      <c r="N212" s="799" t="s">
        <v>99</v>
      </c>
      <c r="O212" s="799" t="s">
        <v>99</v>
      </c>
      <c r="P212" s="799" t="s">
        <v>99</v>
      </c>
      <c r="Q212" s="799" t="s">
        <v>99</v>
      </c>
      <c r="R212" s="799" t="s">
        <v>99</v>
      </c>
      <c r="S212" s="799" t="s">
        <v>99</v>
      </c>
      <c r="T212" s="799" t="s">
        <v>99</v>
      </c>
      <c r="U212" s="799" t="s">
        <v>99</v>
      </c>
      <c r="V212" s="799" t="s">
        <v>99</v>
      </c>
      <c r="W212" s="799" t="s">
        <v>99</v>
      </c>
      <c r="X212" s="799" t="s">
        <v>99</v>
      </c>
      <c r="Y212" s="799" t="s">
        <v>99</v>
      </c>
      <c r="Z212" s="799" t="s">
        <v>99</v>
      </c>
      <c r="AA212" s="799" t="s">
        <v>99</v>
      </c>
      <c r="AB212" s="799" t="s">
        <v>99</v>
      </c>
      <c r="AC212" s="799" t="s">
        <v>99</v>
      </c>
      <c r="AD212" s="799" t="s">
        <v>99</v>
      </c>
      <c r="AE212" s="799" t="s">
        <v>99</v>
      </c>
      <c r="AF212" s="799" t="s">
        <v>99</v>
      </c>
      <c r="AG212" s="799" t="s">
        <v>99</v>
      </c>
      <c r="AH212" s="799" t="s">
        <v>99</v>
      </c>
      <c r="AI212" s="799" t="s">
        <v>99</v>
      </c>
      <c r="AJ212" s="799" t="s">
        <v>99</v>
      </c>
      <c r="AK212" s="799" t="s">
        <v>99</v>
      </c>
      <c r="AL212" s="799" t="s">
        <v>99</v>
      </c>
      <c r="AM212" s="344" t="s">
        <v>290</v>
      </c>
      <c r="AN212" s="344"/>
    </row>
    <row r="213" spans="1:40" ht="12.6">
      <c r="A213" s="990" t="s">
        <v>330</v>
      </c>
      <c r="B213" s="991" t="s">
        <v>132</v>
      </c>
      <c r="C213" s="991"/>
      <c r="D213" s="991" t="s">
        <v>129</v>
      </c>
      <c r="E213" s="991" t="s">
        <v>130</v>
      </c>
      <c r="F213" s="799" t="s">
        <v>106</v>
      </c>
      <c r="G213" s="799" t="s">
        <v>106</v>
      </c>
      <c r="H213" s="799" t="s">
        <v>106</v>
      </c>
      <c r="I213" s="799" t="s">
        <v>106</v>
      </c>
      <c r="J213" s="799" t="s">
        <v>106</v>
      </c>
      <c r="K213" s="799" t="s">
        <v>106</v>
      </c>
      <c r="L213" s="799" t="s">
        <v>106</v>
      </c>
      <c r="M213" s="799" t="s">
        <v>106</v>
      </c>
      <c r="N213" s="799" t="s">
        <v>106</v>
      </c>
      <c r="O213" s="799" t="s">
        <v>106</v>
      </c>
      <c r="P213" s="799" t="s">
        <v>106</v>
      </c>
      <c r="Q213" s="799" t="s">
        <v>106</v>
      </c>
      <c r="R213" s="799" t="s">
        <v>106</v>
      </c>
      <c r="S213" s="799" t="s">
        <v>106</v>
      </c>
      <c r="T213" s="799" t="s">
        <v>106</v>
      </c>
      <c r="U213" s="799" t="s">
        <v>106</v>
      </c>
      <c r="V213" s="799" t="s">
        <v>106</v>
      </c>
      <c r="W213" s="799" t="s">
        <v>106</v>
      </c>
      <c r="X213" s="799" t="s">
        <v>106</v>
      </c>
      <c r="Y213" s="799" t="s">
        <v>106</v>
      </c>
      <c r="Z213" s="799" t="s">
        <v>106</v>
      </c>
      <c r="AA213" s="799" t="s">
        <v>106</v>
      </c>
      <c r="AB213" s="799" t="s">
        <v>106</v>
      </c>
      <c r="AC213" s="799" t="s">
        <v>106</v>
      </c>
      <c r="AD213" s="799" t="s">
        <v>106</v>
      </c>
      <c r="AE213" s="799" t="s">
        <v>106</v>
      </c>
      <c r="AF213" s="799" t="s">
        <v>106</v>
      </c>
      <c r="AG213" s="799" t="s">
        <v>106</v>
      </c>
      <c r="AH213" s="799" t="s">
        <v>106</v>
      </c>
      <c r="AI213" s="799" t="s">
        <v>106</v>
      </c>
      <c r="AJ213" s="799" t="s">
        <v>106</v>
      </c>
      <c r="AK213" s="799" t="s">
        <v>106</v>
      </c>
      <c r="AL213" s="799" t="s">
        <v>106</v>
      </c>
      <c r="AM213" s="315"/>
      <c r="AN213" s="315"/>
    </row>
    <row r="214" spans="1:40" ht="12.6">
      <c r="A214" s="990" t="s">
        <v>331</v>
      </c>
      <c r="B214" s="991" t="s">
        <v>134</v>
      </c>
      <c r="D214" s="315"/>
      <c r="E214" s="315"/>
      <c r="F214" s="799"/>
      <c r="G214" s="799"/>
      <c r="H214" s="799"/>
      <c r="I214" s="799"/>
      <c r="J214" s="799"/>
      <c r="K214" s="799"/>
      <c r="L214" s="799"/>
      <c r="M214" s="799"/>
      <c r="N214" s="799"/>
      <c r="O214" s="799"/>
      <c r="P214" s="799"/>
      <c r="Q214" s="799"/>
      <c r="R214" s="799"/>
      <c r="S214" s="799"/>
      <c r="T214" s="799"/>
      <c r="U214" s="799"/>
      <c r="V214" s="799"/>
      <c r="W214" s="799"/>
      <c r="X214" s="799"/>
      <c r="Y214" s="799"/>
      <c r="Z214" s="799"/>
      <c r="AA214" s="799"/>
      <c r="AB214" s="799"/>
      <c r="AC214" s="799"/>
      <c r="AD214" s="799"/>
      <c r="AE214" s="799"/>
      <c r="AF214" s="799"/>
      <c r="AG214" s="799"/>
      <c r="AH214" s="799"/>
      <c r="AI214" s="799"/>
      <c r="AJ214" s="799"/>
      <c r="AK214" s="799"/>
      <c r="AL214" s="799"/>
      <c r="AM214" s="315"/>
      <c r="AN214" s="315"/>
    </row>
    <row r="215" spans="1:40" s="792" customFormat="1" ht="12.6">
      <c r="A215" s="989" t="s">
        <v>332</v>
      </c>
      <c r="B215" s="791"/>
      <c r="C215" s="791"/>
      <c r="D215" s="791"/>
      <c r="E215" s="791"/>
      <c r="F215" s="804"/>
      <c r="G215" s="804"/>
      <c r="H215" s="804"/>
      <c r="I215" s="804"/>
      <c r="J215" s="804"/>
      <c r="K215" s="804"/>
      <c r="L215" s="804"/>
      <c r="M215" s="804"/>
      <c r="N215" s="804"/>
      <c r="O215" s="804"/>
      <c r="P215" s="804"/>
      <c r="Q215" s="804"/>
      <c r="R215" s="804"/>
      <c r="S215" s="804"/>
      <c r="T215" s="804"/>
      <c r="U215" s="804"/>
      <c r="V215" s="804"/>
      <c r="W215" s="804"/>
      <c r="X215" s="804"/>
      <c r="Y215" s="804"/>
      <c r="Z215" s="804"/>
      <c r="AA215" s="804"/>
      <c r="AB215" s="804"/>
      <c r="AC215" s="804"/>
      <c r="AD215" s="804"/>
      <c r="AE215" s="804"/>
      <c r="AF215" s="804"/>
      <c r="AG215" s="804"/>
      <c r="AH215" s="804"/>
      <c r="AI215" s="804"/>
      <c r="AJ215" s="804"/>
      <c r="AK215" s="804"/>
      <c r="AL215" s="804"/>
      <c r="AM215" s="791"/>
      <c r="AN215" s="791"/>
    </row>
    <row r="216" spans="1:40" ht="12.6">
      <c r="A216" s="990" t="s">
        <v>333</v>
      </c>
      <c r="B216" s="991" t="s">
        <v>121</v>
      </c>
      <c r="C216" s="991"/>
      <c r="D216" s="315"/>
      <c r="E216" s="991" t="s">
        <v>122</v>
      </c>
      <c r="F216" s="799" t="s">
        <v>99</v>
      </c>
      <c r="G216" s="799" t="s">
        <v>99</v>
      </c>
      <c r="H216" s="799" t="s">
        <v>99</v>
      </c>
      <c r="I216" s="799" t="s">
        <v>99</v>
      </c>
      <c r="J216" s="799" t="s">
        <v>99</v>
      </c>
      <c r="K216" s="799" t="s">
        <v>99</v>
      </c>
      <c r="L216" s="799" t="s">
        <v>99</v>
      </c>
      <c r="M216" s="799" t="s">
        <v>99</v>
      </c>
      <c r="N216" s="799" t="s">
        <v>99</v>
      </c>
      <c r="O216" s="799" t="s">
        <v>99</v>
      </c>
      <c r="P216" s="799" t="s">
        <v>99</v>
      </c>
      <c r="Q216" s="799" t="s">
        <v>99</v>
      </c>
      <c r="R216" s="799" t="s">
        <v>99</v>
      </c>
      <c r="S216" s="799" t="s">
        <v>99</v>
      </c>
      <c r="T216" s="799" t="s">
        <v>99</v>
      </c>
      <c r="U216" s="799" t="s">
        <v>99</v>
      </c>
      <c r="V216" s="799" t="s">
        <v>99</v>
      </c>
      <c r="W216" s="799" t="s">
        <v>99</v>
      </c>
      <c r="X216" s="799" t="s">
        <v>99</v>
      </c>
      <c r="Y216" s="799" t="s">
        <v>99</v>
      </c>
      <c r="Z216" s="799" t="s">
        <v>99</v>
      </c>
      <c r="AA216" s="799" t="s">
        <v>99</v>
      </c>
      <c r="AB216" s="799" t="s">
        <v>99</v>
      </c>
      <c r="AC216" s="799" t="s">
        <v>99</v>
      </c>
      <c r="AD216" s="799" t="s">
        <v>99</v>
      </c>
      <c r="AE216" s="799" t="s">
        <v>99</v>
      </c>
      <c r="AF216" s="799" t="s">
        <v>99</v>
      </c>
      <c r="AG216" s="799" t="s">
        <v>99</v>
      </c>
      <c r="AH216" s="799" t="s">
        <v>99</v>
      </c>
      <c r="AI216" s="799" t="s">
        <v>99</v>
      </c>
      <c r="AJ216" s="799" t="s">
        <v>99</v>
      </c>
      <c r="AK216" s="799" t="s">
        <v>99</v>
      </c>
      <c r="AL216" s="799" t="s">
        <v>99</v>
      </c>
      <c r="AM216" s="344" t="s">
        <v>290</v>
      </c>
      <c r="AN216" s="344"/>
    </row>
    <row r="217" spans="1:40" ht="12.6">
      <c r="A217" s="990" t="s">
        <v>334</v>
      </c>
      <c r="B217" s="991" t="s">
        <v>124</v>
      </c>
      <c r="C217" s="991"/>
      <c r="D217" s="315"/>
      <c r="E217" s="315" t="s">
        <v>125</v>
      </c>
      <c r="F217" s="799" t="s">
        <v>126</v>
      </c>
      <c r="G217" s="799" t="s">
        <v>126</v>
      </c>
      <c r="H217" s="799" t="s">
        <v>126</v>
      </c>
      <c r="I217" s="799" t="s">
        <v>126</v>
      </c>
      <c r="J217" s="799" t="s">
        <v>126</v>
      </c>
      <c r="K217" s="799" t="s">
        <v>126</v>
      </c>
      <c r="L217" s="799" t="s">
        <v>126</v>
      </c>
      <c r="M217" s="799" t="s">
        <v>126</v>
      </c>
      <c r="N217" s="799" t="s">
        <v>126</v>
      </c>
      <c r="O217" s="799" t="s">
        <v>126</v>
      </c>
      <c r="P217" s="799" t="s">
        <v>126</v>
      </c>
      <c r="Q217" s="799" t="s">
        <v>126</v>
      </c>
      <c r="R217" s="799" t="s">
        <v>126</v>
      </c>
      <c r="S217" s="799" t="s">
        <v>126</v>
      </c>
      <c r="T217" s="799" t="s">
        <v>126</v>
      </c>
      <c r="U217" s="799" t="s">
        <v>126</v>
      </c>
      <c r="V217" s="799" t="s">
        <v>126</v>
      </c>
      <c r="W217" s="799" t="s">
        <v>126</v>
      </c>
      <c r="X217" s="799" t="s">
        <v>126</v>
      </c>
      <c r="Y217" s="799" t="s">
        <v>126</v>
      </c>
      <c r="Z217" s="799" t="s">
        <v>126</v>
      </c>
      <c r="AA217" s="799" t="s">
        <v>126</v>
      </c>
      <c r="AB217" s="799" t="s">
        <v>126</v>
      </c>
      <c r="AC217" s="799" t="s">
        <v>126</v>
      </c>
      <c r="AD217" s="799" t="s">
        <v>126</v>
      </c>
      <c r="AE217" s="799" t="s">
        <v>126</v>
      </c>
      <c r="AF217" s="799" t="s">
        <v>126</v>
      </c>
      <c r="AG217" s="799" t="s">
        <v>126</v>
      </c>
      <c r="AH217" s="799" t="s">
        <v>126</v>
      </c>
      <c r="AI217" s="799" t="s">
        <v>126</v>
      </c>
      <c r="AJ217" s="799" t="s">
        <v>126</v>
      </c>
      <c r="AK217" s="799" t="s">
        <v>126</v>
      </c>
      <c r="AL217" s="799" t="s">
        <v>126</v>
      </c>
      <c r="AM217" s="315"/>
      <c r="AN217" s="315"/>
    </row>
    <row r="218" spans="1:40" ht="12.6">
      <c r="A218" s="990" t="s">
        <v>335</v>
      </c>
      <c r="B218" s="991" t="s">
        <v>128</v>
      </c>
      <c r="C218" s="991"/>
      <c r="D218" s="991" t="s">
        <v>129</v>
      </c>
      <c r="E218" s="991" t="s">
        <v>130</v>
      </c>
      <c r="F218" s="799" t="s">
        <v>99</v>
      </c>
      <c r="G218" s="799" t="s">
        <v>99</v>
      </c>
      <c r="H218" s="799" t="s">
        <v>99</v>
      </c>
      <c r="I218" s="799" t="s">
        <v>99</v>
      </c>
      <c r="J218" s="799" t="s">
        <v>99</v>
      </c>
      <c r="K218" s="799" t="s">
        <v>99</v>
      </c>
      <c r="L218" s="799" t="s">
        <v>99</v>
      </c>
      <c r="M218" s="799" t="s">
        <v>99</v>
      </c>
      <c r="N218" s="799" t="s">
        <v>99</v>
      </c>
      <c r="O218" s="799" t="s">
        <v>99</v>
      </c>
      <c r="P218" s="799" t="s">
        <v>99</v>
      </c>
      <c r="Q218" s="799" t="s">
        <v>99</v>
      </c>
      <c r="R218" s="799" t="s">
        <v>99</v>
      </c>
      <c r="S218" s="799" t="s">
        <v>99</v>
      </c>
      <c r="T218" s="799" t="s">
        <v>99</v>
      </c>
      <c r="U218" s="799" t="s">
        <v>99</v>
      </c>
      <c r="V218" s="799" t="s">
        <v>99</v>
      </c>
      <c r="W218" s="799" t="s">
        <v>99</v>
      </c>
      <c r="X218" s="799" t="s">
        <v>99</v>
      </c>
      <c r="Y218" s="799" t="s">
        <v>99</v>
      </c>
      <c r="Z218" s="799" t="s">
        <v>99</v>
      </c>
      <c r="AA218" s="799" t="s">
        <v>99</v>
      </c>
      <c r="AB218" s="799" t="s">
        <v>99</v>
      </c>
      <c r="AC218" s="799" t="s">
        <v>99</v>
      </c>
      <c r="AD218" s="799" t="s">
        <v>99</v>
      </c>
      <c r="AE218" s="799" t="s">
        <v>99</v>
      </c>
      <c r="AF218" s="799" t="s">
        <v>99</v>
      </c>
      <c r="AG218" s="799" t="s">
        <v>99</v>
      </c>
      <c r="AH218" s="799" t="s">
        <v>99</v>
      </c>
      <c r="AI218" s="799" t="s">
        <v>99</v>
      </c>
      <c r="AJ218" s="799" t="s">
        <v>99</v>
      </c>
      <c r="AK218" s="799" t="s">
        <v>99</v>
      </c>
      <c r="AL218" s="799" t="s">
        <v>99</v>
      </c>
      <c r="AM218" s="344" t="s">
        <v>290</v>
      </c>
      <c r="AN218" s="344"/>
    </row>
    <row r="219" spans="1:40" ht="12.6">
      <c r="A219" s="990" t="s">
        <v>336</v>
      </c>
      <c r="B219" s="991" t="s">
        <v>132</v>
      </c>
      <c r="C219" s="991"/>
      <c r="D219" s="991" t="s">
        <v>129</v>
      </c>
      <c r="E219" s="991" t="s">
        <v>130</v>
      </c>
      <c r="F219" s="799" t="s">
        <v>106</v>
      </c>
      <c r="G219" s="799" t="s">
        <v>106</v>
      </c>
      <c r="H219" s="799" t="s">
        <v>106</v>
      </c>
      <c r="I219" s="799" t="s">
        <v>106</v>
      </c>
      <c r="J219" s="799" t="s">
        <v>106</v>
      </c>
      <c r="K219" s="799" t="s">
        <v>106</v>
      </c>
      <c r="L219" s="799" t="s">
        <v>106</v>
      </c>
      <c r="M219" s="799" t="s">
        <v>106</v>
      </c>
      <c r="N219" s="799" t="s">
        <v>106</v>
      </c>
      <c r="O219" s="799" t="s">
        <v>106</v>
      </c>
      <c r="P219" s="799" t="s">
        <v>106</v>
      </c>
      <c r="Q219" s="799" t="s">
        <v>106</v>
      </c>
      <c r="R219" s="799" t="s">
        <v>106</v>
      </c>
      <c r="S219" s="799" t="s">
        <v>106</v>
      </c>
      <c r="T219" s="799" t="s">
        <v>106</v>
      </c>
      <c r="U219" s="799" t="s">
        <v>106</v>
      </c>
      <c r="V219" s="799" t="s">
        <v>106</v>
      </c>
      <c r="W219" s="799" t="s">
        <v>106</v>
      </c>
      <c r="X219" s="799" t="s">
        <v>106</v>
      </c>
      <c r="Y219" s="799" t="s">
        <v>106</v>
      </c>
      <c r="Z219" s="799" t="s">
        <v>106</v>
      </c>
      <c r="AA219" s="799" t="s">
        <v>106</v>
      </c>
      <c r="AB219" s="799" t="s">
        <v>106</v>
      </c>
      <c r="AC219" s="799" t="s">
        <v>106</v>
      </c>
      <c r="AD219" s="799" t="s">
        <v>106</v>
      </c>
      <c r="AE219" s="799" t="s">
        <v>106</v>
      </c>
      <c r="AF219" s="799" t="s">
        <v>106</v>
      </c>
      <c r="AG219" s="799" t="s">
        <v>106</v>
      </c>
      <c r="AH219" s="799" t="s">
        <v>106</v>
      </c>
      <c r="AI219" s="799" t="s">
        <v>106</v>
      </c>
      <c r="AJ219" s="799" t="s">
        <v>106</v>
      </c>
      <c r="AK219" s="799" t="s">
        <v>106</v>
      </c>
      <c r="AL219" s="799" t="s">
        <v>106</v>
      </c>
      <c r="AM219" s="315"/>
      <c r="AN219" s="315"/>
    </row>
    <row r="220" spans="1:40" ht="12.6">
      <c r="A220" s="990" t="s">
        <v>337</v>
      </c>
      <c r="B220" s="991" t="s">
        <v>134</v>
      </c>
      <c r="D220" s="315"/>
      <c r="E220" s="315"/>
      <c r="F220" s="799"/>
      <c r="G220" s="799"/>
      <c r="H220" s="799"/>
      <c r="I220" s="799"/>
      <c r="J220" s="799"/>
      <c r="K220" s="799"/>
      <c r="L220" s="799"/>
      <c r="M220" s="799"/>
      <c r="N220" s="799"/>
      <c r="O220" s="799"/>
      <c r="P220" s="799"/>
      <c r="Q220" s="799"/>
      <c r="R220" s="799"/>
      <c r="S220" s="799"/>
      <c r="T220" s="799"/>
      <c r="U220" s="799"/>
      <c r="V220" s="799"/>
      <c r="W220" s="799"/>
      <c r="X220" s="799"/>
      <c r="Y220" s="799"/>
      <c r="Z220" s="799"/>
      <c r="AA220" s="799"/>
      <c r="AB220" s="799"/>
      <c r="AC220" s="799"/>
      <c r="AD220" s="799"/>
      <c r="AE220" s="799"/>
      <c r="AF220" s="799"/>
      <c r="AG220" s="799"/>
      <c r="AH220" s="799"/>
      <c r="AI220" s="799"/>
      <c r="AJ220" s="799"/>
      <c r="AK220" s="799"/>
      <c r="AL220" s="799"/>
      <c r="AM220" s="315"/>
      <c r="AN220" s="315"/>
    </row>
    <row r="221" spans="1:40" s="792" customFormat="1" ht="14.25" customHeight="1">
      <c r="A221" s="989" t="s">
        <v>338</v>
      </c>
      <c r="B221" s="791"/>
      <c r="C221" s="791"/>
      <c r="D221" s="791"/>
      <c r="E221" s="791"/>
      <c r="F221" s="804"/>
      <c r="G221" s="804"/>
      <c r="H221" s="804"/>
      <c r="I221" s="804"/>
      <c r="J221" s="804"/>
      <c r="K221" s="804"/>
      <c r="L221" s="804"/>
      <c r="M221" s="804"/>
      <c r="N221" s="804"/>
      <c r="O221" s="804"/>
      <c r="P221" s="804"/>
      <c r="Q221" s="804"/>
      <c r="R221" s="804"/>
      <c r="S221" s="804"/>
      <c r="T221" s="804"/>
      <c r="U221" s="804"/>
      <c r="V221" s="804"/>
      <c r="W221" s="804"/>
      <c r="X221" s="804"/>
      <c r="Y221" s="804"/>
      <c r="Z221" s="804"/>
      <c r="AA221" s="804"/>
      <c r="AB221" s="804"/>
      <c r="AC221" s="804"/>
      <c r="AD221" s="804"/>
      <c r="AE221" s="804"/>
      <c r="AF221" s="804"/>
      <c r="AG221" s="804"/>
      <c r="AH221" s="804"/>
      <c r="AI221" s="804"/>
      <c r="AJ221" s="804"/>
      <c r="AK221" s="804"/>
      <c r="AL221" s="804"/>
      <c r="AM221" s="791"/>
      <c r="AN221" s="791"/>
    </row>
    <row r="222" spans="1:40" ht="12.6">
      <c r="A222" s="990" t="s">
        <v>339</v>
      </c>
      <c r="B222" s="991" t="s">
        <v>121</v>
      </c>
      <c r="C222" s="991"/>
      <c r="D222" s="315"/>
      <c r="E222" s="991" t="s">
        <v>122</v>
      </c>
      <c r="F222" s="799" t="s">
        <v>108</v>
      </c>
      <c r="G222" s="799" t="s">
        <v>108</v>
      </c>
      <c r="H222" s="799" t="s">
        <v>108</v>
      </c>
      <c r="I222" s="799" t="s">
        <v>108</v>
      </c>
      <c r="J222" s="799" t="s">
        <v>108</v>
      </c>
      <c r="K222" s="799" t="s">
        <v>108</v>
      </c>
      <c r="L222" s="799" t="s">
        <v>108</v>
      </c>
      <c r="M222" s="799" t="s">
        <v>108</v>
      </c>
      <c r="N222" s="799" t="s">
        <v>108</v>
      </c>
      <c r="O222" s="799" t="s">
        <v>108</v>
      </c>
      <c r="P222" s="799" t="s">
        <v>108</v>
      </c>
      <c r="Q222" s="799" t="s">
        <v>108</v>
      </c>
      <c r="R222" s="799" t="s">
        <v>108</v>
      </c>
      <c r="S222" s="799" t="s">
        <v>108</v>
      </c>
      <c r="T222" s="799" t="s">
        <v>108</v>
      </c>
      <c r="U222" s="799" t="s">
        <v>108</v>
      </c>
      <c r="V222" s="799" t="s">
        <v>108</v>
      </c>
      <c r="W222" s="799" t="s">
        <v>108</v>
      </c>
      <c r="X222" s="799" t="s">
        <v>108</v>
      </c>
      <c r="Y222" s="799" t="s">
        <v>108</v>
      </c>
      <c r="Z222" s="799" t="s">
        <v>108</v>
      </c>
      <c r="AA222" s="799" t="s">
        <v>108</v>
      </c>
      <c r="AB222" s="799" t="s">
        <v>108</v>
      </c>
      <c r="AC222" s="799" t="s">
        <v>108</v>
      </c>
      <c r="AD222" s="799" t="s">
        <v>108</v>
      </c>
      <c r="AE222" s="799" t="s">
        <v>108</v>
      </c>
      <c r="AF222" s="799" t="s">
        <v>108</v>
      </c>
      <c r="AG222" s="799" t="s">
        <v>108</v>
      </c>
      <c r="AH222" s="799" t="s">
        <v>108</v>
      </c>
      <c r="AI222" s="799" t="s">
        <v>108</v>
      </c>
      <c r="AJ222" s="799" t="s">
        <v>108</v>
      </c>
      <c r="AK222" s="799" t="s">
        <v>108</v>
      </c>
      <c r="AL222" s="799" t="s">
        <v>108</v>
      </c>
      <c r="AM222" s="315"/>
      <c r="AN222" s="315"/>
    </row>
    <row r="223" spans="1:40" ht="12.6">
      <c r="A223" s="990" t="s">
        <v>340</v>
      </c>
      <c r="B223" s="991" t="s">
        <v>124</v>
      </c>
      <c r="C223" s="991"/>
      <c r="D223" s="315"/>
      <c r="E223" s="315" t="s">
        <v>125</v>
      </c>
      <c r="F223" s="799" t="s">
        <v>126</v>
      </c>
      <c r="G223" s="799" t="s">
        <v>126</v>
      </c>
      <c r="H223" s="799" t="s">
        <v>126</v>
      </c>
      <c r="I223" s="799" t="s">
        <v>126</v>
      </c>
      <c r="J223" s="799" t="s">
        <v>126</v>
      </c>
      <c r="K223" s="799" t="s">
        <v>126</v>
      </c>
      <c r="L223" s="799" t="s">
        <v>126</v>
      </c>
      <c r="M223" s="799" t="s">
        <v>126</v>
      </c>
      <c r="N223" s="799" t="s">
        <v>126</v>
      </c>
      <c r="O223" s="799" t="s">
        <v>126</v>
      </c>
      <c r="P223" s="799" t="s">
        <v>126</v>
      </c>
      <c r="Q223" s="799" t="s">
        <v>126</v>
      </c>
      <c r="R223" s="799" t="s">
        <v>126</v>
      </c>
      <c r="S223" s="799" t="s">
        <v>126</v>
      </c>
      <c r="T223" s="799" t="s">
        <v>126</v>
      </c>
      <c r="U223" s="799" t="s">
        <v>126</v>
      </c>
      <c r="V223" s="799" t="s">
        <v>126</v>
      </c>
      <c r="W223" s="799" t="s">
        <v>126</v>
      </c>
      <c r="X223" s="799" t="s">
        <v>126</v>
      </c>
      <c r="Y223" s="799" t="s">
        <v>126</v>
      </c>
      <c r="Z223" s="799" t="s">
        <v>126</v>
      </c>
      <c r="AA223" s="799" t="s">
        <v>126</v>
      </c>
      <c r="AB223" s="799" t="s">
        <v>126</v>
      </c>
      <c r="AC223" s="799" t="s">
        <v>126</v>
      </c>
      <c r="AD223" s="799" t="s">
        <v>126</v>
      </c>
      <c r="AE223" s="799" t="s">
        <v>126</v>
      </c>
      <c r="AF223" s="799" t="s">
        <v>126</v>
      </c>
      <c r="AG223" s="799" t="s">
        <v>126</v>
      </c>
      <c r="AH223" s="799" t="s">
        <v>126</v>
      </c>
      <c r="AI223" s="799" t="s">
        <v>126</v>
      </c>
      <c r="AJ223" s="799" t="s">
        <v>126</v>
      </c>
      <c r="AK223" s="799" t="s">
        <v>126</v>
      </c>
      <c r="AL223" s="799" t="s">
        <v>126</v>
      </c>
      <c r="AM223" s="315"/>
      <c r="AN223" s="315"/>
    </row>
    <row r="224" spans="1:40" ht="12.6">
      <c r="A224" s="990" t="s">
        <v>341</v>
      </c>
      <c r="B224" s="991" t="s">
        <v>128</v>
      </c>
      <c r="C224" s="991"/>
      <c r="D224" s="991" t="s">
        <v>129</v>
      </c>
      <c r="E224" s="991" t="s">
        <v>130</v>
      </c>
      <c r="F224" s="799" t="s">
        <v>108</v>
      </c>
      <c r="G224" s="799" t="s">
        <v>108</v>
      </c>
      <c r="H224" s="799" t="s">
        <v>108</v>
      </c>
      <c r="I224" s="799" t="s">
        <v>108</v>
      </c>
      <c r="J224" s="799" t="s">
        <v>108</v>
      </c>
      <c r="K224" s="799" t="s">
        <v>108</v>
      </c>
      <c r="L224" s="799" t="s">
        <v>108</v>
      </c>
      <c r="M224" s="799" t="s">
        <v>108</v>
      </c>
      <c r="N224" s="799" t="s">
        <v>108</v>
      </c>
      <c r="O224" s="799" t="s">
        <v>108</v>
      </c>
      <c r="P224" s="799" t="s">
        <v>108</v>
      </c>
      <c r="Q224" s="799" t="s">
        <v>108</v>
      </c>
      <c r="R224" s="799" t="s">
        <v>108</v>
      </c>
      <c r="S224" s="799" t="s">
        <v>108</v>
      </c>
      <c r="T224" s="799" t="s">
        <v>108</v>
      </c>
      <c r="U224" s="799" t="s">
        <v>108</v>
      </c>
      <c r="V224" s="799" t="s">
        <v>108</v>
      </c>
      <c r="W224" s="799" t="s">
        <v>108</v>
      </c>
      <c r="X224" s="799" t="s">
        <v>108</v>
      </c>
      <c r="Y224" s="799" t="s">
        <v>108</v>
      </c>
      <c r="Z224" s="799" t="s">
        <v>108</v>
      </c>
      <c r="AA224" s="799" t="s">
        <v>108</v>
      </c>
      <c r="AB224" s="799" t="s">
        <v>108</v>
      </c>
      <c r="AC224" s="799" t="s">
        <v>108</v>
      </c>
      <c r="AD224" s="799" t="s">
        <v>108</v>
      </c>
      <c r="AE224" s="799" t="s">
        <v>108</v>
      </c>
      <c r="AF224" s="799" t="s">
        <v>108</v>
      </c>
      <c r="AG224" s="799" t="s">
        <v>108</v>
      </c>
      <c r="AH224" s="799" t="s">
        <v>108</v>
      </c>
      <c r="AI224" s="799" t="s">
        <v>108</v>
      </c>
      <c r="AJ224" s="799" t="s">
        <v>108</v>
      </c>
      <c r="AK224" s="799" t="s">
        <v>108</v>
      </c>
      <c r="AL224" s="799" t="s">
        <v>108</v>
      </c>
      <c r="AM224" s="315"/>
      <c r="AN224" s="315"/>
    </row>
    <row r="225" spans="1:40" ht="12.6">
      <c r="A225" s="990" t="s">
        <v>342</v>
      </c>
      <c r="B225" s="991" t="s">
        <v>132</v>
      </c>
      <c r="C225" s="991"/>
      <c r="D225" s="991" t="s">
        <v>129</v>
      </c>
      <c r="E225" s="991" t="s">
        <v>130</v>
      </c>
      <c r="F225" s="794" t="s">
        <v>108</v>
      </c>
      <c r="G225" s="794" t="s">
        <v>108</v>
      </c>
      <c r="H225" s="794" t="s">
        <v>108</v>
      </c>
      <c r="I225" s="794" t="s">
        <v>108</v>
      </c>
      <c r="J225" s="794" t="s">
        <v>108</v>
      </c>
      <c r="K225" s="794" t="s">
        <v>108</v>
      </c>
      <c r="L225" s="794" t="s">
        <v>108</v>
      </c>
      <c r="M225" s="794" t="s">
        <v>108</v>
      </c>
      <c r="N225" s="794" t="s">
        <v>108</v>
      </c>
      <c r="O225" s="794" t="s">
        <v>108</v>
      </c>
      <c r="P225" s="794" t="s">
        <v>108</v>
      </c>
      <c r="Q225" s="794" t="s">
        <v>108</v>
      </c>
      <c r="R225" s="794" t="s">
        <v>108</v>
      </c>
      <c r="S225" s="794" t="s">
        <v>108</v>
      </c>
      <c r="T225" s="794" t="s">
        <v>108</v>
      </c>
      <c r="U225" s="794" t="s">
        <v>108</v>
      </c>
      <c r="V225" s="794" t="s">
        <v>108</v>
      </c>
      <c r="W225" s="794" t="s">
        <v>108</v>
      </c>
      <c r="X225" s="794" t="s">
        <v>108</v>
      </c>
      <c r="Y225" s="794" t="s">
        <v>108</v>
      </c>
      <c r="Z225" s="794" t="s">
        <v>108</v>
      </c>
      <c r="AA225" s="794" t="s">
        <v>108</v>
      </c>
      <c r="AB225" s="794" t="s">
        <v>108</v>
      </c>
      <c r="AC225" s="794" t="s">
        <v>108</v>
      </c>
      <c r="AD225" s="794" t="s">
        <v>108</v>
      </c>
      <c r="AE225" s="794" t="s">
        <v>108</v>
      </c>
      <c r="AF225" s="794" t="s">
        <v>108</v>
      </c>
      <c r="AG225" s="794" t="s">
        <v>108</v>
      </c>
      <c r="AH225" s="794" t="s">
        <v>108</v>
      </c>
      <c r="AI225" s="794" t="s">
        <v>108</v>
      </c>
      <c r="AJ225" s="794" t="s">
        <v>108</v>
      </c>
      <c r="AK225" s="794" t="s">
        <v>108</v>
      </c>
      <c r="AL225" s="794" t="s">
        <v>108</v>
      </c>
      <c r="AM225" s="315"/>
      <c r="AN225" s="315"/>
    </row>
    <row r="226" spans="1:40" ht="12.6">
      <c r="A226" s="990" t="s">
        <v>343</v>
      </c>
      <c r="B226" s="991" t="s">
        <v>134</v>
      </c>
      <c r="D226" s="315"/>
      <c r="E226" s="315"/>
      <c r="F226" s="799"/>
      <c r="G226" s="799"/>
      <c r="H226" s="799"/>
      <c r="I226" s="799"/>
      <c r="J226" s="799"/>
      <c r="K226" s="799"/>
      <c r="L226" s="799"/>
      <c r="M226" s="799"/>
      <c r="N226" s="799"/>
      <c r="O226" s="799"/>
      <c r="P226" s="799"/>
      <c r="Q226" s="799"/>
      <c r="R226" s="799"/>
      <c r="S226" s="799"/>
      <c r="T226" s="799"/>
      <c r="U226" s="799"/>
      <c r="V226" s="799"/>
      <c r="W226" s="799"/>
      <c r="X226" s="799"/>
      <c r="Y226" s="799"/>
      <c r="Z226" s="799"/>
      <c r="AA226" s="799"/>
      <c r="AB226" s="799"/>
      <c r="AC226" s="799"/>
      <c r="AD226" s="799"/>
      <c r="AE226" s="799"/>
      <c r="AF226" s="799"/>
      <c r="AG226" s="799"/>
      <c r="AH226" s="799"/>
      <c r="AI226" s="799"/>
      <c r="AJ226" s="799"/>
      <c r="AK226" s="799"/>
      <c r="AL226" s="799"/>
      <c r="AM226" s="315"/>
      <c r="AN226" s="315"/>
    </row>
    <row r="227" spans="1:40" s="792" customFormat="1" ht="14.25" customHeight="1">
      <c r="A227" s="989" t="s">
        <v>344</v>
      </c>
      <c r="B227" s="791"/>
      <c r="C227" s="791"/>
      <c r="D227" s="791"/>
      <c r="E227" s="791"/>
      <c r="F227" s="804"/>
      <c r="G227" s="804"/>
      <c r="H227" s="804"/>
      <c r="I227" s="804"/>
      <c r="J227" s="804"/>
      <c r="K227" s="804"/>
      <c r="L227" s="804"/>
      <c r="M227" s="804"/>
      <c r="N227" s="804"/>
      <c r="O227" s="804"/>
      <c r="P227" s="804"/>
      <c r="Q227" s="804"/>
      <c r="R227" s="804"/>
      <c r="S227" s="804"/>
      <c r="T227" s="804"/>
      <c r="U227" s="804"/>
      <c r="V227" s="804"/>
      <c r="W227" s="804"/>
      <c r="X227" s="804"/>
      <c r="Y227" s="804"/>
      <c r="Z227" s="804"/>
      <c r="AA227" s="804"/>
      <c r="AB227" s="804"/>
      <c r="AC227" s="804"/>
      <c r="AD227" s="804"/>
      <c r="AE227" s="804"/>
      <c r="AF227" s="804"/>
      <c r="AG227" s="804"/>
      <c r="AH227" s="804"/>
      <c r="AI227" s="804"/>
      <c r="AJ227" s="804"/>
      <c r="AK227" s="804"/>
      <c r="AL227" s="804"/>
      <c r="AM227" s="791"/>
      <c r="AN227" s="791"/>
    </row>
    <row r="228" spans="1:40" ht="12.6">
      <c r="A228" s="990" t="s">
        <v>345</v>
      </c>
      <c r="B228" s="991" t="s">
        <v>121</v>
      </c>
      <c r="C228" s="991"/>
      <c r="D228" s="315"/>
      <c r="E228" s="991" t="s">
        <v>122</v>
      </c>
      <c r="F228" s="314" t="s">
        <v>108</v>
      </c>
      <c r="G228" s="314" t="s">
        <v>108</v>
      </c>
      <c r="H228" s="314" t="s">
        <v>108</v>
      </c>
      <c r="I228" s="314" t="s">
        <v>108</v>
      </c>
      <c r="J228" s="314" t="s">
        <v>108</v>
      </c>
      <c r="K228" s="314" t="s">
        <v>108</v>
      </c>
      <c r="L228" s="314" t="s">
        <v>108</v>
      </c>
      <c r="M228" s="314" t="s">
        <v>108</v>
      </c>
      <c r="N228" s="314" t="s">
        <v>108</v>
      </c>
      <c r="O228" s="314" t="s">
        <v>108</v>
      </c>
      <c r="P228" s="314" t="s">
        <v>108</v>
      </c>
      <c r="Q228" s="314" t="s">
        <v>108</v>
      </c>
      <c r="R228" s="314" t="s">
        <v>108</v>
      </c>
      <c r="S228" s="314" t="s">
        <v>108</v>
      </c>
      <c r="T228" s="314" t="s">
        <v>108</v>
      </c>
      <c r="U228" s="314" t="s">
        <v>108</v>
      </c>
      <c r="V228" s="314" t="s">
        <v>108</v>
      </c>
      <c r="W228" s="314" t="s">
        <v>108</v>
      </c>
      <c r="X228" s="314" t="s">
        <v>108</v>
      </c>
      <c r="Y228" s="314" t="s">
        <v>108</v>
      </c>
      <c r="Z228" s="314" t="s">
        <v>108</v>
      </c>
      <c r="AA228" s="314" t="s">
        <v>108</v>
      </c>
      <c r="AB228" s="314" t="s">
        <v>108</v>
      </c>
      <c r="AC228" s="314" t="s">
        <v>108</v>
      </c>
      <c r="AD228" s="314" t="s">
        <v>108</v>
      </c>
      <c r="AE228" s="314" t="s">
        <v>108</v>
      </c>
      <c r="AF228" s="314" t="s">
        <v>108</v>
      </c>
      <c r="AG228" s="314" t="s">
        <v>108</v>
      </c>
      <c r="AH228" s="314" t="s">
        <v>108</v>
      </c>
      <c r="AI228" s="314" t="s">
        <v>108</v>
      </c>
      <c r="AJ228" s="314" t="s">
        <v>108</v>
      </c>
      <c r="AK228" s="314" t="s">
        <v>108</v>
      </c>
      <c r="AL228" s="314" t="s">
        <v>108</v>
      </c>
      <c r="AM228" s="315"/>
      <c r="AN228" s="315"/>
    </row>
    <row r="229" spans="1:40" ht="12.6">
      <c r="A229" s="990" t="s">
        <v>346</v>
      </c>
      <c r="B229" s="991" t="s">
        <v>124</v>
      </c>
      <c r="C229" s="991"/>
      <c r="D229" s="315"/>
      <c r="E229" s="315" t="s">
        <v>125</v>
      </c>
      <c r="F229" s="799" t="s">
        <v>126</v>
      </c>
      <c r="G229" s="799" t="s">
        <v>126</v>
      </c>
      <c r="H229" s="799" t="s">
        <v>126</v>
      </c>
      <c r="I229" s="799" t="s">
        <v>126</v>
      </c>
      <c r="J229" s="799" t="s">
        <v>126</v>
      </c>
      <c r="K229" s="799" t="s">
        <v>126</v>
      </c>
      <c r="L229" s="799" t="s">
        <v>126</v>
      </c>
      <c r="M229" s="799" t="s">
        <v>126</v>
      </c>
      <c r="N229" s="799" t="s">
        <v>126</v>
      </c>
      <c r="O229" s="799" t="s">
        <v>126</v>
      </c>
      <c r="P229" s="799" t="s">
        <v>126</v>
      </c>
      <c r="Q229" s="799" t="s">
        <v>126</v>
      </c>
      <c r="R229" s="799" t="s">
        <v>126</v>
      </c>
      <c r="S229" s="799" t="s">
        <v>126</v>
      </c>
      <c r="T229" s="799" t="s">
        <v>126</v>
      </c>
      <c r="U229" s="799" t="s">
        <v>126</v>
      </c>
      <c r="V229" s="799" t="s">
        <v>126</v>
      </c>
      <c r="W229" s="799" t="s">
        <v>126</v>
      </c>
      <c r="X229" s="799" t="s">
        <v>126</v>
      </c>
      <c r="Y229" s="799" t="s">
        <v>126</v>
      </c>
      <c r="Z229" s="799" t="s">
        <v>126</v>
      </c>
      <c r="AA229" s="799" t="s">
        <v>126</v>
      </c>
      <c r="AB229" s="799" t="s">
        <v>126</v>
      </c>
      <c r="AC229" s="799" t="s">
        <v>126</v>
      </c>
      <c r="AD229" s="799" t="s">
        <v>126</v>
      </c>
      <c r="AE229" s="799" t="s">
        <v>126</v>
      </c>
      <c r="AF229" s="799" t="s">
        <v>126</v>
      </c>
      <c r="AG229" s="799" t="s">
        <v>126</v>
      </c>
      <c r="AH229" s="799" t="s">
        <v>126</v>
      </c>
      <c r="AI229" s="799" t="s">
        <v>126</v>
      </c>
      <c r="AJ229" s="799" t="s">
        <v>126</v>
      </c>
      <c r="AK229" s="799" t="s">
        <v>126</v>
      </c>
      <c r="AL229" s="799" t="s">
        <v>126</v>
      </c>
      <c r="AM229" s="315"/>
      <c r="AN229" s="315"/>
    </row>
    <row r="230" spans="1:40" ht="12.6">
      <c r="A230" s="990" t="s">
        <v>347</v>
      </c>
      <c r="B230" s="991" t="s">
        <v>128</v>
      </c>
      <c r="C230" s="991"/>
      <c r="D230" s="991" t="s">
        <v>129</v>
      </c>
      <c r="E230" s="991" t="s">
        <v>130</v>
      </c>
      <c r="F230" s="314" t="s">
        <v>108</v>
      </c>
      <c r="G230" s="314" t="s">
        <v>108</v>
      </c>
      <c r="H230" s="314" t="s">
        <v>108</v>
      </c>
      <c r="I230" s="314" t="s">
        <v>108</v>
      </c>
      <c r="J230" s="314" t="s">
        <v>108</v>
      </c>
      <c r="K230" s="314" t="s">
        <v>108</v>
      </c>
      <c r="L230" s="314" t="s">
        <v>108</v>
      </c>
      <c r="M230" s="314" t="s">
        <v>108</v>
      </c>
      <c r="N230" s="314" t="s">
        <v>108</v>
      </c>
      <c r="O230" s="314" t="s">
        <v>108</v>
      </c>
      <c r="P230" s="314" t="s">
        <v>108</v>
      </c>
      <c r="Q230" s="314" t="s">
        <v>108</v>
      </c>
      <c r="R230" s="314" t="s">
        <v>108</v>
      </c>
      <c r="S230" s="314" t="s">
        <v>108</v>
      </c>
      <c r="T230" s="314" t="s">
        <v>108</v>
      </c>
      <c r="U230" s="314" t="s">
        <v>108</v>
      </c>
      <c r="V230" s="314" t="s">
        <v>108</v>
      </c>
      <c r="W230" s="314" t="s">
        <v>108</v>
      </c>
      <c r="X230" s="314" t="s">
        <v>108</v>
      </c>
      <c r="Y230" s="314" t="s">
        <v>108</v>
      </c>
      <c r="Z230" s="314" t="s">
        <v>108</v>
      </c>
      <c r="AA230" s="314" t="s">
        <v>108</v>
      </c>
      <c r="AB230" s="314" t="s">
        <v>108</v>
      </c>
      <c r="AC230" s="314" t="s">
        <v>108</v>
      </c>
      <c r="AD230" s="314" t="s">
        <v>108</v>
      </c>
      <c r="AE230" s="314" t="s">
        <v>108</v>
      </c>
      <c r="AF230" s="314" t="s">
        <v>108</v>
      </c>
      <c r="AG230" s="314" t="s">
        <v>108</v>
      </c>
      <c r="AH230" s="314" t="s">
        <v>108</v>
      </c>
      <c r="AI230" s="314" t="s">
        <v>108</v>
      </c>
      <c r="AJ230" s="314" t="s">
        <v>108</v>
      </c>
      <c r="AK230" s="314" t="s">
        <v>108</v>
      </c>
      <c r="AL230" s="314" t="s">
        <v>108</v>
      </c>
      <c r="AM230" s="315"/>
      <c r="AN230" s="315"/>
    </row>
    <row r="231" spans="1:40" ht="12.6">
      <c r="A231" s="990" t="s">
        <v>348</v>
      </c>
      <c r="B231" s="991" t="s">
        <v>132</v>
      </c>
      <c r="C231" s="991"/>
      <c r="D231" s="991" t="s">
        <v>129</v>
      </c>
      <c r="E231" s="991" t="s">
        <v>130</v>
      </c>
      <c r="F231" s="794" t="s">
        <v>108</v>
      </c>
      <c r="G231" s="794" t="s">
        <v>108</v>
      </c>
      <c r="H231" s="794" t="s">
        <v>108</v>
      </c>
      <c r="I231" s="794" t="s">
        <v>108</v>
      </c>
      <c r="J231" s="794" t="s">
        <v>108</v>
      </c>
      <c r="K231" s="794" t="s">
        <v>108</v>
      </c>
      <c r="L231" s="794" t="s">
        <v>108</v>
      </c>
      <c r="M231" s="794" t="s">
        <v>108</v>
      </c>
      <c r="N231" s="794" t="s">
        <v>108</v>
      </c>
      <c r="O231" s="794" t="s">
        <v>108</v>
      </c>
      <c r="P231" s="794" t="s">
        <v>108</v>
      </c>
      <c r="Q231" s="794" t="s">
        <v>108</v>
      </c>
      <c r="R231" s="794" t="s">
        <v>108</v>
      </c>
      <c r="S231" s="794" t="s">
        <v>108</v>
      </c>
      <c r="T231" s="794" t="s">
        <v>108</v>
      </c>
      <c r="U231" s="794" t="s">
        <v>108</v>
      </c>
      <c r="V231" s="794" t="s">
        <v>108</v>
      </c>
      <c r="W231" s="794" t="s">
        <v>108</v>
      </c>
      <c r="X231" s="794" t="s">
        <v>108</v>
      </c>
      <c r="Y231" s="794" t="s">
        <v>108</v>
      </c>
      <c r="Z231" s="794" t="s">
        <v>108</v>
      </c>
      <c r="AA231" s="794" t="s">
        <v>108</v>
      </c>
      <c r="AB231" s="794" t="s">
        <v>108</v>
      </c>
      <c r="AC231" s="794" t="s">
        <v>108</v>
      </c>
      <c r="AD231" s="794" t="s">
        <v>108</v>
      </c>
      <c r="AE231" s="794" t="s">
        <v>108</v>
      </c>
      <c r="AF231" s="794" t="s">
        <v>108</v>
      </c>
      <c r="AG231" s="794" t="s">
        <v>108</v>
      </c>
      <c r="AH231" s="794" t="s">
        <v>108</v>
      </c>
      <c r="AI231" s="794" t="s">
        <v>108</v>
      </c>
      <c r="AJ231" s="794" t="s">
        <v>108</v>
      </c>
      <c r="AK231" s="794" t="s">
        <v>108</v>
      </c>
      <c r="AL231" s="794" t="s">
        <v>108</v>
      </c>
      <c r="AM231" s="315"/>
      <c r="AN231" s="315"/>
    </row>
    <row r="232" spans="1:40" ht="12.95" thickBot="1">
      <c r="A232" s="993" t="s">
        <v>349</v>
      </c>
      <c r="B232" s="994" t="s">
        <v>134</v>
      </c>
      <c r="C232" s="995"/>
      <c r="D232" s="316"/>
      <c r="E232" s="316"/>
      <c r="F232" s="805"/>
      <c r="G232" s="805"/>
      <c r="H232" s="805"/>
      <c r="I232" s="805"/>
      <c r="J232" s="805"/>
      <c r="K232" s="805"/>
      <c r="L232" s="805"/>
      <c r="M232" s="805"/>
      <c r="N232" s="805"/>
      <c r="O232" s="805"/>
      <c r="P232" s="805"/>
      <c r="Q232" s="805"/>
      <c r="R232" s="805"/>
      <c r="S232" s="805"/>
      <c r="T232" s="805"/>
      <c r="U232" s="805"/>
      <c r="V232" s="805"/>
      <c r="W232" s="805"/>
      <c r="X232" s="805"/>
      <c r="Y232" s="805"/>
      <c r="Z232" s="805"/>
      <c r="AA232" s="805"/>
      <c r="AB232" s="805"/>
      <c r="AC232" s="805"/>
      <c r="AD232" s="805"/>
      <c r="AE232" s="805"/>
      <c r="AF232" s="805"/>
      <c r="AG232" s="805"/>
      <c r="AH232" s="805"/>
      <c r="AI232" s="805"/>
      <c r="AJ232" s="805"/>
      <c r="AK232" s="805"/>
      <c r="AL232" s="805"/>
      <c r="AM232" s="316"/>
      <c r="AN232" s="316"/>
    </row>
    <row r="233" spans="1:40" s="797" customFormat="1" ht="12.95">
      <c r="A233" s="796" t="s">
        <v>350</v>
      </c>
      <c r="B233" s="796"/>
      <c r="C233" s="796"/>
      <c r="D233" s="796"/>
      <c r="E233" s="796"/>
      <c r="F233" s="806"/>
      <c r="G233" s="806"/>
      <c r="H233" s="806"/>
      <c r="I233" s="806"/>
      <c r="J233" s="806"/>
      <c r="K233" s="806"/>
      <c r="L233" s="806"/>
      <c r="M233" s="806"/>
      <c r="N233" s="806"/>
      <c r="O233" s="806"/>
      <c r="P233" s="806"/>
      <c r="Q233" s="806"/>
      <c r="R233" s="806"/>
      <c r="S233" s="806"/>
      <c r="T233" s="806"/>
      <c r="U233" s="806"/>
      <c r="V233" s="806"/>
      <c r="W233" s="806"/>
      <c r="X233" s="806"/>
      <c r="Y233" s="806"/>
      <c r="Z233" s="806"/>
      <c r="AA233" s="806"/>
      <c r="AB233" s="806"/>
      <c r="AC233" s="806"/>
      <c r="AD233" s="806"/>
      <c r="AE233" s="806"/>
      <c r="AF233" s="806"/>
      <c r="AG233" s="806"/>
      <c r="AH233" s="806"/>
      <c r="AI233" s="806"/>
      <c r="AJ233" s="806"/>
      <c r="AK233" s="806"/>
      <c r="AL233" s="806"/>
      <c r="AM233" s="796"/>
      <c r="AN233" s="796"/>
    </row>
    <row r="234" spans="1:40" s="792" customFormat="1" ht="14.25" customHeight="1">
      <c r="A234" s="989" t="s">
        <v>351</v>
      </c>
      <c r="B234" s="791"/>
      <c r="C234" s="791"/>
      <c r="D234" s="791"/>
      <c r="E234" s="791"/>
      <c r="F234" s="804"/>
      <c r="G234" s="804"/>
      <c r="H234" s="804"/>
      <c r="I234" s="804"/>
      <c r="J234" s="804"/>
      <c r="K234" s="804"/>
      <c r="L234" s="804"/>
      <c r="M234" s="804"/>
      <c r="N234" s="804"/>
      <c r="O234" s="804"/>
      <c r="P234" s="804"/>
      <c r="Q234" s="804"/>
      <c r="R234" s="804"/>
      <c r="S234" s="804"/>
      <c r="T234" s="804"/>
      <c r="U234" s="804"/>
      <c r="V234" s="804"/>
      <c r="W234" s="804"/>
      <c r="X234" s="804"/>
      <c r="Y234" s="804"/>
      <c r="Z234" s="804"/>
      <c r="AA234" s="804"/>
      <c r="AB234" s="804"/>
      <c r="AC234" s="804"/>
      <c r="AD234" s="804"/>
      <c r="AE234" s="804"/>
      <c r="AF234" s="804"/>
      <c r="AG234" s="804"/>
      <c r="AH234" s="804"/>
      <c r="AI234" s="804"/>
      <c r="AJ234" s="804"/>
      <c r="AK234" s="804"/>
      <c r="AL234" s="804"/>
      <c r="AM234" s="791"/>
      <c r="AN234" s="791"/>
    </row>
    <row r="235" spans="1:40" ht="12.6">
      <c r="A235" s="990" t="s">
        <v>352</v>
      </c>
      <c r="B235" s="991" t="s">
        <v>121</v>
      </c>
      <c r="C235" s="991"/>
      <c r="D235" s="315"/>
      <c r="E235" s="991" t="s">
        <v>122</v>
      </c>
      <c r="F235" s="294">
        <f>'[5]Iron and Steel'!C16</f>
        <v>22804.001631830288</v>
      </c>
      <c r="G235" s="294">
        <f>'[5]Iron and Steel'!D16</f>
        <v>24940.488981902847</v>
      </c>
      <c r="H235" s="294">
        <f>'[5]Iron and Steel'!E16</f>
        <v>27076.976331975409</v>
      </c>
      <c r="I235" s="294">
        <f>'[5]Iron and Steel'!F16</f>
        <v>29213.463682047972</v>
      </c>
      <c r="J235" s="294">
        <f>'[5]Iron and Steel'!G16</f>
        <v>31349.951032120534</v>
      </c>
      <c r="K235" s="294">
        <f>'[5]Iron and Steel'!H16</f>
        <v>28965.532168629736</v>
      </c>
      <c r="L235" s="294">
        <f>'[5]Iron and Steel'!I16</f>
        <v>26581.113305138933</v>
      </c>
      <c r="M235" s="294">
        <f>'[5]Iron and Steel'!J16</f>
        <v>24196.694441648131</v>
      </c>
      <c r="N235" s="294">
        <f>'[5]Iron and Steel'!K16</f>
        <v>21812.275578157332</v>
      </c>
      <c r="O235" s="294">
        <f>'[5]Iron and Steel'!L16</f>
        <v>16682.590226137683</v>
      </c>
      <c r="P235" s="294">
        <f>'[5]Iron and Steel'!M16</f>
        <v>11552.904874118036</v>
      </c>
      <c r="Q235" s="294">
        <f>'[5]Iron and Steel'!N16</f>
        <v>6423.2195220983876</v>
      </c>
      <c r="R235" s="294">
        <f>'[5]Iron and Steel'!O16</f>
        <v>1293.5341700787415</v>
      </c>
      <c r="S235" s="294">
        <f>'[5]Iron and Steel'!P16</f>
        <v>4546.2033278148165</v>
      </c>
      <c r="T235" s="294">
        <f>'[5]Iron and Steel'!Q16</f>
        <v>7798.8724855508917</v>
      </c>
      <c r="U235" s="294">
        <f>'[5]Iron and Steel'!R16</f>
        <v>11051.541643286968</v>
      </c>
      <c r="V235" s="294">
        <f>'[5]Iron and Steel'!S16</f>
        <v>14304.21080102304</v>
      </c>
      <c r="W235" s="294">
        <f>'[5]Iron and Steel'!T16</f>
        <v>10985.19182365155</v>
      </c>
      <c r="X235" s="294">
        <f>'[5]Iron and Steel'!U16</f>
        <v>7666.1728462800611</v>
      </c>
      <c r="Y235" s="294">
        <f>'[5]Iron and Steel'!V16</f>
        <v>4347.1538689085719</v>
      </c>
      <c r="Z235" s="294">
        <f>'[5]Iron and Steel'!W16</f>
        <v>1028.1348915370845</v>
      </c>
      <c r="AA235" s="294">
        <f>'[5]Iron and Steel'!X16</f>
        <v>624.52416043242135</v>
      </c>
      <c r="AB235" s="294">
        <f>'[5]Iron and Steel'!Y16</f>
        <v>456.92767175444817</v>
      </c>
      <c r="AC235" s="294">
        <f>'[5]Iron and Steel'!Z16</f>
        <v>2999.0792045800631</v>
      </c>
      <c r="AD235" s="294">
        <f>'[5]Iron and Steel'!AA16</f>
        <v>1105.9241026975403</v>
      </c>
      <c r="AE235" s="294">
        <f>'[5]Iron and Steel'!AB16</f>
        <v>905.00420591732973</v>
      </c>
      <c r="AF235" s="294">
        <f>'[5]Iron and Steel'!AC16</f>
        <v>604.73372032690645</v>
      </c>
      <c r="AG235" s="294">
        <f>'[5]Iron and Steel'!AD16</f>
        <v>877.72413443820585</v>
      </c>
      <c r="AH235" s="294">
        <f>'[5]Iron and Steel'!AE16</f>
        <v>988.96606773872418</v>
      </c>
      <c r="AI235" s="294">
        <f>'[5]Iron and Steel'!AF16</f>
        <v>564.99463181969463</v>
      </c>
      <c r="AJ235" s="294">
        <f>'[5]Iron and Steel'!AG16</f>
        <v>187.69839216617052</v>
      </c>
      <c r="AK235" s="294">
        <f>'[5]Iron and Steel'!AH16</f>
        <v>525.32758016689991</v>
      </c>
      <c r="AL235" s="1068">
        <f>AK235</f>
        <v>525.32758016689991</v>
      </c>
      <c r="AM235" s="315"/>
      <c r="AN235" s="315"/>
    </row>
    <row r="236" spans="1:40" ht="12.6">
      <c r="A236" s="990" t="s">
        <v>353</v>
      </c>
      <c r="B236" s="991" t="s">
        <v>124</v>
      </c>
      <c r="C236" s="991"/>
      <c r="D236" s="315"/>
      <c r="E236" s="315" t="s">
        <v>125</v>
      </c>
      <c r="F236" s="300" t="s">
        <v>126</v>
      </c>
      <c r="G236" s="300" t="s">
        <v>126</v>
      </c>
      <c r="H236" s="300" t="s">
        <v>126</v>
      </c>
      <c r="I236" s="300" t="s">
        <v>126</v>
      </c>
      <c r="J236" s="300" t="s">
        <v>126</v>
      </c>
      <c r="K236" s="300" t="s">
        <v>126</v>
      </c>
      <c r="L236" s="300" t="s">
        <v>126</v>
      </c>
      <c r="M236" s="300" t="s">
        <v>126</v>
      </c>
      <c r="N236" s="300" t="s">
        <v>126</v>
      </c>
      <c r="O236" s="300" t="s">
        <v>126</v>
      </c>
      <c r="P236" s="300" t="s">
        <v>126</v>
      </c>
      <c r="Q236" s="300" t="s">
        <v>126</v>
      </c>
      <c r="R236" s="300" t="s">
        <v>126</v>
      </c>
      <c r="S236" s="300" t="s">
        <v>126</v>
      </c>
      <c r="T236" s="300" t="s">
        <v>126</v>
      </c>
      <c r="U236" s="300" t="s">
        <v>126</v>
      </c>
      <c r="V236" s="300" t="s">
        <v>126</v>
      </c>
      <c r="W236" s="300" t="s">
        <v>126</v>
      </c>
      <c r="X236" s="300" t="s">
        <v>126</v>
      </c>
      <c r="Y236" s="300" t="s">
        <v>126</v>
      </c>
      <c r="Z236" s="300" t="s">
        <v>126</v>
      </c>
      <c r="AA236" s="300" t="s">
        <v>126</v>
      </c>
      <c r="AB236" s="300" t="s">
        <v>126</v>
      </c>
      <c r="AC236" s="300" t="s">
        <v>126</v>
      </c>
      <c r="AD236" s="300" t="s">
        <v>126</v>
      </c>
      <c r="AE236" s="300" t="s">
        <v>126</v>
      </c>
      <c r="AF236" s="300" t="s">
        <v>126</v>
      </c>
      <c r="AG236" s="300" t="s">
        <v>126</v>
      </c>
      <c r="AH236" s="300" t="s">
        <v>126</v>
      </c>
      <c r="AI236" s="300" t="s">
        <v>126</v>
      </c>
      <c r="AJ236" s="300" t="s">
        <v>126</v>
      </c>
      <c r="AK236" s="300" t="s">
        <v>126</v>
      </c>
      <c r="AL236" s="300" t="s">
        <v>126</v>
      </c>
      <c r="AM236" s="315"/>
      <c r="AN236" s="315"/>
    </row>
    <row r="237" spans="1:40" ht="12.6">
      <c r="A237" s="990" t="s">
        <v>354</v>
      </c>
      <c r="B237" s="991" t="s">
        <v>128</v>
      </c>
      <c r="C237" s="991"/>
      <c r="D237" s="991" t="s">
        <v>129</v>
      </c>
      <c r="E237" s="991" t="s">
        <v>130</v>
      </c>
      <c r="F237" s="294">
        <f>'[5]Iron and Steel'!C21</f>
        <v>1715.8210249530839</v>
      </c>
      <c r="G237" s="294">
        <f>'[5]Iron and Steel'!D21</f>
        <v>1847.6598966902015</v>
      </c>
      <c r="H237" s="294">
        <f>'[5]Iron and Steel'!E21</f>
        <v>2030.3511276847553</v>
      </c>
      <c r="I237" s="294">
        <f>'[5]Iron and Steel'!F21</f>
        <v>2169.7361619342205</v>
      </c>
      <c r="J237" s="294">
        <f>'[5]Iron and Steel'!G21</f>
        <v>2334.4529546297267</v>
      </c>
      <c r="K237" s="294">
        <f>'[5]Iron and Steel'!H21</f>
        <v>2118.9642824652456</v>
      </c>
      <c r="L237" s="294">
        <f>'[5]Iron and Steel'!I21</f>
        <v>1993.1311441757441</v>
      </c>
      <c r="M237" s="294">
        <f>'[5]Iron and Steel'!J21</f>
        <v>1821.0579787853076</v>
      </c>
      <c r="N237" s="294">
        <f>'[5]Iron and Steel'!K21</f>
        <v>1668.2765647254278</v>
      </c>
      <c r="O237" s="294">
        <f>'[5]Iron and Steel'!L21</f>
        <v>1290.4898493584185</v>
      </c>
      <c r="P237" s="294">
        <f>'[5]Iron and Steel'!M21</f>
        <v>878.72600574470061</v>
      </c>
      <c r="Q237" s="294">
        <f>'[5]Iron and Steel'!N21</f>
        <v>480.6717999025862</v>
      </c>
      <c r="R237" s="294">
        <f>'[5]Iron and Steel'!O21</f>
        <v>96.542313365903368</v>
      </c>
      <c r="S237" s="294">
        <f>'[5]Iron and Steel'!P21</f>
        <v>348.92433694120592</v>
      </c>
      <c r="T237" s="294">
        <f>'[5]Iron and Steel'!Q21</f>
        <v>594.23611579265344</v>
      </c>
      <c r="U237" s="294">
        <f>'[5]Iron and Steel'!R21</f>
        <v>824.00927952014365</v>
      </c>
      <c r="V237" s="294">
        <f>'[5]Iron and Steel'!S21</f>
        <v>1079.3516127136356</v>
      </c>
      <c r="W237" s="294">
        <f>'[5]Iron and Steel'!T21</f>
        <v>827.1994011436833</v>
      </c>
      <c r="X237" s="294">
        <f>'[5]Iron and Steel'!U21</f>
        <v>572.76772700224012</v>
      </c>
      <c r="Y237" s="294">
        <f>'[5]Iron and Steel'!V21</f>
        <v>316.50881487830338</v>
      </c>
      <c r="Z237" s="294">
        <f>'[5]Iron and Steel'!W21</f>
        <v>74.76334576750078</v>
      </c>
      <c r="AA237" s="294">
        <f>'[5]Iron and Steel'!X21</f>
        <v>45.312698924525783</v>
      </c>
      <c r="AB237" s="294">
        <f>'[5]Iron and Steel'!Y21</f>
        <v>33.126653437728656</v>
      </c>
      <c r="AC237" s="294">
        <f>'[5]Iron and Steel'!Z21</f>
        <v>218.35199193984985</v>
      </c>
      <c r="AD237" s="294">
        <f>'[5]Iron and Steel'!AA21</f>
        <v>81.632866479732371</v>
      </c>
      <c r="AE237" s="294">
        <f>'[5]Iron and Steel'!AB21</f>
        <v>65.862844204387244</v>
      </c>
      <c r="AF237" s="294">
        <f>'[5]Iron and Steel'!AC21</f>
        <v>46.070783907428073</v>
      </c>
      <c r="AG237" s="294">
        <f>'[5]Iron and Steel'!AD21</f>
        <v>66.07702595635439</v>
      </c>
      <c r="AH237" s="294">
        <f>'[5]Iron and Steel'!AE21</f>
        <v>75.681501373017369</v>
      </c>
      <c r="AI237" s="294">
        <f>'[5]Iron and Steel'!AF21</f>
        <v>41.856966237218479</v>
      </c>
      <c r="AJ237" s="294">
        <f>'[5]Iron and Steel'!AG21</f>
        <v>13.054092484129367</v>
      </c>
      <c r="AK237" s="294">
        <f>'[5]Iron and Steel'!AH21</f>
        <v>37.67185406347231</v>
      </c>
      <c r="AL237" s="1068">
        <f>AK237</f>
        <v>37.67185406347231</v>
      </c>
      <c r="AM237" s="315"/>
      <c r="AN237" s="315"/>
    </row>
    <row r="238" spans="1:40" ht="12.6">
      <c r="A238" s="990" t="s">
        <v>355</v>
      </c>
      <c r="B238" s="991" t="s">
        <v>132</v>
      </c>
      <c r="C238" s="991"/>
      <c r="D238" s="991" t="s">
        <v>129</v>
      </c>
      <c r="E238" s="991" t="s">
        <v>130</v>
      </c>
      <c r="F238" s="799" t="s">
        <v>106</v>
      </c>
      <c r="G238" s="799" t="s">
        <v>106</v>
      </c>
      <c r="H238" s="799" t="s">
        <v>106</v>
      </c>
      <c r="I238" s="799" t="s">
        <v>106</v>
      </c>
      <c r="J238" s="799" t="s">
        <v>106</v>
      </c>
      <c r="K238" s="799" t="s">
        <v>106</v>
      </c>
      <c r="L238" s="799" t="s">
        <v>106</v>
      </c>
      <c r="M238" s="799" t="s">
        <v>106</v>
      </c>
      <c r="N238" s="799" t="s">
        <v>106</v>
      </c>
      <c r="O238" s="799" t="s">
        <v>106</v>
      </c>
      <c r="P238" s="799" t="s">
        <v>106</v>
      </c>
      <c r="Q238" s="799" t="s">
        <v>106</v>
      </c>
      <c r="R238" s="799" t="s">
        <v>106</v>
      </c>
      <c r="S238" s="799" t="s">
        <v>106</v>
      </c>
      <c r="T238" s="799" t="s">
        <v>106</v>
      </c>
      <c r="U238" s="799" t="s">
        <v>106</v>
      </c>
      <c r="V238" s="799" t="s">
        <v>106</v>
      </c>
      <c r="W238" s="799" t="s">
        <v>106</v>
      </c>
      <c r="X238" s="799" t="s">
        <v>106</v>
      </c>
      <c r="Y238" s="799" t="s">
        <v>106</v>
      </c>
      <c r="Z238" s="799" t="s">
        <v>106</v>
      </c>
      <c r="AA238" s="799" t="s">
        <v>106</v>
      </c>
      <c r="AB238" s="799" t="s">
        <v>106</v>
      </c>
      <c r="AC238" s="799" t="s">
        <v>106</v>
      </c>
      <c r="AD238" s="799" t="s">
        <v>106</v>
      </c>
      <c r="AE238" s="799" t="s">
        <v>106</v>
      </c>
      <c r="AF238" s="799" t="s">
        <v>106</v>
      </c>
      <c r="AG238" s="799" t="s">
        <v>106</v>
      </c>
      <c r="AH238" s="799" t="s">
        <v>106</v>
      </c>
      <c r="AI238" s="799" t="s">
        <v>106</v>
      </c>
      <c r="AJ238" s="799" t="s">
        <v>106</v>
      </c>
      <c r="AK238" s="799" t="s">
        <v>106</v>
      </c>
      <c r="AL238" s="799" t="s">
        <v>106</v>
      </c>
      <c r="AM238" s="315"/>
      <c r="AN238" s="315"/>
    </row>
    <row r="239" spans="1:40" ht="12.6">
      <c r="A239" s="990" t="s">
        <v>356</v>
      </c>
      <c r="B239" s="991" t="s">
        <v>134</v>
      </c>
      <c r="D239" s="315"/>
      <c r="E239" s="315"/>
      <c r="F239" s="800" t="s">
        <v>230</v>
      </c>
      <c r="G239" s="800" t="s">
        <v>230</v>
      </c>
      <c r="H239" s="800" t="s">
        <v>230</v>
      </c>
      <c r="I239" s="800" t="s">
        <v>230</v>
      </c>
      <c r="J239" s="800" t="s">
        <v>230</v>
      </c>
      <c r="K239" s="800" t="s">
        <v>230</v>
      </c>
      <c r="L239" s="800" t="s">
        <v>230</v>
      </c>
      <c r="M239" s="800" t="s">
        <v>230</v>
      </c>
      <c r="N239" s="800" t="s">
        <v>230</v>
      </c>
      <c r="O239" s="800" t="s">
        <v>230</v>
      </c>
      <c r="P239" s="800" t="s">
        <v>230</v>
      </c>
      <c r="Q239" s="800" t="s">
        <v>230</v>
      </c>
      <c r="R239" s="800" t="s">
        <v>230</v>
      </c>
      <c r="S239" s="800" t="s">
        <v>230</v>
      </c>
      <c r="T239" s="800" t="s">
        <v>230</v>
      </c>
      <c r="U239" s="800" t="s">
        <v>230</v>
      </c>
      <c r="V239" s="800" t="s">
        <v>230</v>
      </c>
      <c r="W239" s="800" t="s">
        <v>230</v>
      </c>
      <c r="X239" s="800" t="s">
        <v>230</v>
      </c>
      <c r="Y239" s="800" t="s">
        <v>230</v>
      </c>
      <c r="Z239" s="800" t="s">
        <v>230</v>
      </c>
      <c r="AA239" s="800" t="s">
        <v>230</v>
      </c>
      <c r="AB239" s="800" t="s">
        <v>230</v>
      </c>
      <c r="AC239" s="800" t="s">
        <v>230</v>
      </c>
      <c r="AD239" s="800" t="s">
        <v>230</v>
      </c>
      <c r="AE239" s="800" t="s">
        <v>230</v>
      </c>
      <c r="AF239" s="800" t="s">
        <v>230</v>
      </c>
      <c r="AG239" s="800" t="s">
        <v>230</v>
      </c>
      <c r="AH239" s="800" t="s">
        <v>230</v>
      </c>
      <c r="AI239" s="800" t="s">
        <v>230</v>
      </c>
      <c r="AJ239" s="800" t="s">
        <v>230</v>
      </c>
      <c r="AK239" s="800" t="s">
        <v>230</v>
      </c>
      <c r="AL239" s="800" t="s">
        <v>230</v>
      </c>
      <c r="AM239" s="315"/>
      <c r="AN239" s="315"/>
    </row>
    <row r="240" spans="1:40" s="792" customFormat="1" ht="14.25" customHeight="1">
      <c r="A240" s="989" t="s">
        <v>357</v>
      </c>
      <c r="B240" s="791"/>
      <c r="C240" s="791"/>
      <c r="D240" s="791"/>
      <c r="E240" s="791"/>
      <c r="F240" s="804"/>
      <c r="G240" s="804"/>
      <c r="H240" s="804"/>
      <c r="I240" s="804"/>
      <c r="J240" s="804"/>
      <c r="K240" s="804"/>
      <c r="L240" s="804"/>
      <c r="M240" s="804"/>
      <c r="N240" s="804"/>
      <c r="O240" s="804"/>
      <c r="P240" s="804"/>
      <c r="Q240" s="804"/>
      <c r="R240" s="804"/>
      <c r="S240" s="804"/>
      <c r="T240" s="804"/>
      <c r="U240" s="804"/>
      <c r="V240" s="804"/>
      <c r="W240" s="804"/>
      <c r="X240" s="804"/>
      <c r="Y240" s="804"/>
      <c r="Z240" s="804"/>
      <c r="AA240" s="804"/>
      <c r="AB240" s="804"/>
      <c r="AC240" s="804"/>
      <c r="AD240" s="804"/>
      <c r="AE240" s="804"/>
      <c r="AF240" s="804"/>
      <c r="AG240" s="804"/>
      <c r="AH240" s="804"/>
      <c r="AI240" s="804"/>
      <c r="AJ240" s="804"/>
      <c r="AK240" s="804"/>
      <c r="AL240" s="804"/>
      <c r="AM240" s="791"/>
      <c r="AN240" s="791"/>
    </row>
    <row r="241" spans="1:40" ht="12.6">
      <c r="A241" s="990" t="s">
        <v>358</v>
      </c>
      <c r="B241" s="991" t="s">
        <v>121</v>
      </c>
      <c r="C241" s="991"/>
      <c r="D241" s="315"/>
      <c r="E241" s="991" t="s">
        <v>122</v>
      </c>
      <c r="F241" s="294">
        <f>'[5]Iron and Steel'!C17</f>
        <v>14.127424433553628</v>
      </c>
      <c r="G241" s="294">
        <f>'[5]Iron and Steel'!D17</f>
        <v>14.264481536267208</v>
      </c>
      <c r="H241" s="294">
        <f>'[5]Iron and Steel'!E17</f>
        <v>14.401538638980787</v>
      </c>
      <c r="I241" s="294">
        <f>'[5]Iron and Steel'!F17</f>
        <v>14.538595741694367</v>
      </c>
      <c r="J241" s="294">
        <f>'[5]Iron and Steel'!G17</f>
        <v>14.675652844407947</v>
      </c>
      <c r="K241" s="294">
        <f>'[5]Iron and Steel'!H17</f>
        <v>14.019360179490999</v>
      </c>
      <c r="L241" s="294">
        <f>'[5]Iron and Steel'!I17</f>
        <v>13.363067514574048</v>
      </c>
      <c r="M241" s="294">
        <f>'[5]Iron and Steel'!J17</f>
        <v>12.706774849657098</v>
      </c>
      <c r="N241" s="294">
        <f>'[5]Iron and Steel'!K17</f>
        <v>12.050482184740146</v>
      </c>
      <c r="O241" s="294">
        <f>'[5]Iron and Steel'!L17</f>
        <v>11.496982346858381</v>
      </c>
      <c r="P241" s="294">
        <f>'[5]Iron and Steel'!M17</f>
        <v>10.943482508976617</v>
      </c>
      <c r="Q241" s="294">
        <f>'[5]Iron and Steel'!N17</f>
        <v>10.389982671094851</v>
      </c>
      <c r="R241" s="294">
        <f>'[5]Iron and Steel'!O17</f>
        <v>9.8364828332130863</v>
      </c>
      <c r="S241" s="294">
        <f>'[5]Iron and Steel'!P17</f>
        <v>9.4727543683193556</v>
      </c>
      <c r="T241" s="294">
        <f>'[5]Iron and Steel'!Q17</f>
        <v>9.1090259034256231</v>
      </c>
      <c r="U241" s="294">
        <f>'[5]Iron and Steel'!R17</f>
        <v>8.7452974385318907</v>
      </c>
      <c r="V241" s="294">
        <f>'[5]Iron and Steel'!S17</f>
        <v>8.38156897363816</v>
      </c>
      <c r="W241" s="294">
        <f>'[5]Iron and Steel'!T17</f>
        <v>7.0797433383096173</v>
      </c>
      <c r="X241" s="294">
        <f>'[5]Iron and Steel'!U17</f>
        <v>5.7779177029810747</v>
      </c>
      <c r="Y241" s="294">
        <f>'[5]Iron and Steel'!V17</f>
        <v>4.476092067652532</v>
      </c>
      <c r="Z241" s="294">
        <f>'[5]Iron and Steel'!W17</f>
        <v>3.1742664323239906</v>
      </c>
      <c r="AA241" s="294">
        <f>'[5]Iron and Steel'!X17</f>
        <v>15.424771565177284</v>
      </c>
      <c r="AB241" s="294">
        <f>'[5]Iron and Steel'!Y17</f>
        <v>15.469217330993001</v>
      </c>
      <c r="AC241" s="294">
        <f>'[5]Iron and Steel'!Z17</f>
        <v>12.413404568434839</v>
      </c>
      <c r="AD241" s="294">
        <f>'[5]Iron and Steel'!AA17</f>
        <v>11.427683344292639</v>
      </c>
      <c r="AE241" s="294">
        <f>'[5]Iron and Steel'!AB17</f>
        <v>8.2997355803009061</v>
      </c>
      <c r="AF241" s="294">
        <f>'[5]Iron and Steel'!AC17</f>
        <v>9.0849711317362178</v>
      </c>
      <c r="AG241" s="294">
        <f>'[5]Iron and Steel'!AD17</f>
        <v>11.366423833187755</v>
      </c>
      <c r="AH241" s="294">
        <f>'[5]Iron and Steel'!AE17</f>
        <v>9.3253683041023496</v>
      </c>
      <c r="AI241" s="294">
        <f>'[5]Iron and Steel'!AF17</f>
        <v>8.0212832570968953</v>
      </c>
      <c r="AJ241" s="294">
        <f>'[5]Iron and Steel'!AG17</f>
        <v>6.5343478511874729</v>
      </c>
      <c r="AK241" s="294">
        <f>'[5]Iron and Steel'!AH17</f>
        <v>8.0120015129900946</v>
      </c>
      <c r="AL241" s="1068">
        <f>AK241</f>
        <v>8.0120015129900946</v>
      </c>
      <c r="AM241" s="315"/>
      <c r="AN241" s="315"/>
    </row>
    <row r="242" spans="1:40" ht="12.6">
      <c r="A242" s="990" t="s">
        <v>359</v>
      </c>
      <c r="B242" s="991" t="s">
        <v>124</v>
      </c>
      <c r="C242" s="991"/>
      <c r="D242" s="315"/>
      <c r="E242" s="315" t="s">
        <v>125</v>
      </c>
      <c r="F242" s="300" t="s">
        <v>126</v>
      </c>
      <c r="G242" s="300" t="s">
        <v>126</v>
      </c>
      <c r="H242" s="300" t="s">
        <v>126</v>
      </c>
      <c r="I242" s="300" t="s">
        <v>126</v>
      </c>
      <c r="J242" s="300" t="s">
        <v>126</v>
      </c>
      <c r="K242" s="300" t="s">
        <v>126</v>
      </c>
      <c r="L242" s="300" t="s">
        <v>126</v>
      </c>
      <c r="M242" s="300" t="s">
        <v>126</v>
      </c>
      <c r="N242" s="300" t="s">
        <v>126</v>
      </c>
      <c r="O242" s="300" t="s">
        <v>126</v>
      </c>
      <c r="P242" s="300" t="s">
        <v>126</v>
      </c>
      <c r="Q242" s="300" t="s">
        <v>126</v>
      </c>
      <c r="R242" s="300" t="s">
        <v>126</v>
      </c>
      <c r="S242" s="300" t="s">
        <v>126</v>
      </c>
      <c r="T242" s="300" t="s">
        <v>126</v>
      </c>
      <c r="U242" s="300" t="s">
        <v>126</v>
      </c>
      <c r="V242" s="300" t="s">
        <v>126</v>
      </c>
      <c r="W242" s="300" t="s">
        <v>126</v>
      </c>
      <c r="X242" s="300" t="s">
        <v>126</v>
      </c>
      <c r="Y242" s="300" t="s">
        <v>126</v>
      </c>
      <c r="Z242" s="300" t="s">
        <v>126</v>
      </c>
      <c r="AA242" s="300" t="s">
        <v>126</v>
      </c>
      <c r="AB242" s="300" t="s">
        <v>126</v>
      </c>
      <c r="AC242" s="300" t="s">
        <v>126</v>
      </c>
      <c r="AD242" s="300" t="s">
        <v>126</v>
      </c>
      <c r="AE242" s="300" t="s">
        <v>126</v>
      </c>
      <c r="AF242" s="300" t="s">
        <v>126</v>
      </c>
      <c r="AG242" s="300" t="s">
        <v>126</v>
      </c>
      <c r="AH242" s="300" t="s">
        <v>126</v>
      </c>
      <c r="AI242" s="300" t="s">
        <v>126</v>
      </c>
      <c r="AJ242" s="300" t="s">
        <v>126</v>
      </c>
      <c r="AK242" s="300" t="s">
        <v>126</v>
      </c>
      <c r="AL242" s="300" t="s">
        <v>126</v>
      </c>
      <c r="AM242" s="315"/>
      <c r="AN242" s="315"/>
    </row>
    <row r="243" spans="1:40" ht="12.6">
      <c r="A243" s="990" t="s">
        <v>360</v>
      </c>
      <c r="B243" s="991" t="s">
        <v>128</v>
      </c>
      <c r="C243" s="991"/>
      <c r="D243" s="991" t="s">
        <v>129</v>
      </c>
      <c r="E243" s="991" t="s">
        <v>130</v>
      </c>
      <c r="F243" s="294">
        <f>'[5]Iron and Steel'!C22</f>
        <v>1.266991358014941</v>
      </c>
      <c r="G243" s="294">
        <f>'[5]Iron and Steel'!D22</f>
        <v>1.2825667708811146</v>
      </c>
      <c r="H243" s="294">
        <f>'[5]Iron and Steel'!E22</f>
        <v>1.2940916544887067</v>
      </c>
      <c r="I243" s="294">
        <f>'[5]Iron and Steel'!F22</f>
        <v>1.3015415885567909</v>
      </c>
      <c r="J243" s="294">
        <f>'[5]Iron and Steel'!G22</f>
        <v>1.313876090652301</v>
      </c>
      <c r="K243" s="294">
        <f>'[5]Iron and Steel'!H22</f>
        <v>1.2563678460993346</v>
      </c>
      <c r="L243" s="294">
        <f>'[5]Iron and Steel'!I22</f>
        <v>1.1955624703235177</v>
      </c>
      <c r="M243" s="294">
        <f>'[5]Iron and Steel'!J22</f>
        <v>1.13699268817821</v>
      </c>
      <c r="N243" s="294">
        <f>'[5]Iron and Steel'!K22</f>
        <v>1.0798515709752263</v>
      </c>
      <c r="O243" s="294">
        <f>'[5]Iron and Steel'!L22</f>
        <v>1.0306955183751321</v>
      </c>
      <c r="P243" s="294">
        <f>'[5]Iron and Steel'!M22</f>
        <v>0.97881480079905803</v>
      </c>
      <c r="Q243" s="294">
        <f>'[5]Iron and Steel'!N22</f>
        <v>0.92634257084829641</v>
      </c>
      <c r="R243" s="294">
        <f>'[5]Iron and Steel'!O22</f>
        <v>0.87383076582406072</v>
      </c>
      <c r="S243" s="294">
        <f>'[5]Iron and Steel'!P22</f>
        <v>0.84082979376810374</v>
      </c>
      <c r="T243" s="294">
        <f>'[5]Iron and Steel'!Q22</f>
        <v>0.8087777808286879</v>
      </c>
      <c r="U243" s="294">
        <f>'[5]Iron and Steel'!R22</f>
        <v>0.78397423442953651</v>
      </c>
      <c r="V243" s="294">
        <f>'[5]Iron and Steel'!S22</f>
        <v>0.75247718864524438</v>
      </c>
      <c r="W243" s="294">
        <f>'[5]Iron and Steel'!T22</f>
        <v>0.63509916281529666</v>
      </c>
      <c r="X243" s="294">
        <f>'[5]Iron and Steel'!U22</f>
        <v>0.51830592556236565</v>
      </c>
      <c r="Y243" s="294">
        <f>'[5]Iron and Steel'!V22</f>
        <v>0.40231572376653879</v>
      </c>
      <c r="Z243" s="294">
        <f>'[5]Iron and Steel'!W22</f>
        <v>0.28530530363663092</v>
      </c>
      <c r="AA243" s="294">
        <f>'[5]Iron and Steel'!X22</f>
        <v>1.3874397520812471</v>
      </c>
      <c r="AB243" s="294">
        <f>'[5]Iron and Steel'!Y22</f>
        <v>1.3943061630904874</v>
      </c>
      <c r="AC243" s="294">
        <f>'[5]Iron and Steel'!Z22</f>
        <v>1.1184435563221491</v>
      </c>
      <c r="AD243" s="294">
        <f>'[5]Iron and Steel'!AA22</f>
        <v>1.0304297229618029</v>
      </c>
      <c r="AE243" s="294">
        <f>'[5]Iron and Steel'!AB22</f>
        <v>0.75007234795202127</v>
      </c>
      <c r="AF243" s="294">
        <f>'[5]Iron and Steel'!AC22</f>
        <v>0.82199700281358423</v>
      </c>
      <c r="AG243" s="294">
        <f>'[5]Iron and Steel'!AD22</f>
        <v>1.029394668714452</v>
      </c>
      <c r="AH243" s="294">
        <f>'[5]Iron and Steel'!AE22</f>
        <v>0.84524040781571474</v>
      </c>
      <c r="AI243" s="294">
        <f>'[5]Iron and Steel'!AF22</f>
        <v>0.72676556767495593</v>
      </c>
      <c r="AJ243" s="294">
        <f>'[5]Iron and Steel'!AG22</f>
        <v>0.59334590792608821</v>
      </c>
      <c r="AK243" s="294">
        <f>'[5]Iron and Steel'!AH22</f>
        <v>0.72662955585483491</v>
      </c>
      <c r="AL243" s="1068">
        <f>AK243</f>
        <v>0.72662955585483491</v>
      </c>
      <c r="AM243" s="315"/>
      <c r="AN243" s="315"/>
    </row>
    <row r="244" spans="1:40" ht="12.6">
      <c r="A244" s="990" t="s">
        <v>361</v>
      </c>
      <c r="B244" s="991" t="s">
        <v>132</v>
      </c>
      <c r="C244" s="991"/>
      <c r="D244" s="991" t="s">
        <v>129</v>
      </c>
      <c r="E244" s="991" t="s">
        <v>130</v>
      </c>
      <c r="F244" s="799" t="s">
        <v>106</v>
      </c>
      <c r="G244" s="799" t="s">
        <v>106</v>
      </c>
      <c r="H244" s="799" t="s">
        <v>106</v>
      </c>
      <c r="I244" s="799" t="s">
        <v>106</v>
      </c>
      <c r="J244" s="799" t="s">
        <v>106</v>
      </c>
      <c r="K244" s="799" t="s">
        <v>106</v>
      </c>
      <c r="L244" s="799" t="s">
        <v>106</v>
      </c>
      <c r="M244" s="799" t="s">
        <v>106</v>
      </c>
      <c r="N244" s="799" t="s">
        <v>106</v>
      </c>
      <c r="O244" s="799" t="s">
        <v>106</v>
      </c>
      <c r="P244" s="799" t="s">
        <v>106</v>
      </c>
      <c r="Q244" s="799" t="s">
        <v>106</v>
      </c>
      <c r="R244" s="799" t="s">
        <v>106</v>
      </c>
      <c r="S244" s="799" t="s">
        <v>106</v>
      </c>
      <c r="T244" s="799" t="s">
        <v>106</v>
      </c>
      <c r="U244" s="799" t="s">
        <v>106</v>
      </c>
      <c r="V244" s="799" t="s">
        <v>106</v>
      </c>
      <c r="W244" s="799" t="s">
        <v>106</v>
      </c>
      <c r="X244" s="799" t="s">
        <v>106</v>
      </c>
      <c r="Y244" s="799" t="s">
        <v>106</v>
      </c>
      <c r="Z244" s="799" t="s">
        <v>106</v>
      </c>
      <c r="AA244" s="799" t="s">
        <v>106</v>
      </c>
      <c r="AB244" s="799" t="s">
        <v>106</v>
      </c>
      <c r="AC244" s="799" t="s">
        <v>106</v>
      </c>
      <c r="AD244" s="799" t="s">
        <v>106</v>
      </c>
      <c r="AE244" s="799" t="s">
        <v>106</v>
      </c>
      <c r="AF244" s="799" t="s">
        <v>106</v>
      </c>
      <c r="AG244" s="799" t="s">
        <v>106</v>
      </c>
      <c r="AH244" s="799" t="s">
        <v>106</v>
      </c>
      <c r="AI244" s="799" t="s">
        <v>106</v>
      </c>
      <c r="AJ244" s="799" t="s">
        <v>106</v>
      </c>
      <c r="AK244" s="799" t="s">
        <v>106</v>
      </c>
      <c r="AL244" s="799" t="s">
        <v>106</v>
      </c>
      <c r="AM244" s="315"/>
      <c r="AN244" s="315"/>
    </row>
    <row r="245" spans="1:40" ht="12.6">
      <c r="A245" s="990" t="s">
        <v>362</v>
      </c>
      <c r="B245" s="991" t="s">
        <v>134</v>
      </c>
      <c r="D245" s="315"/>
      <c r="E245" s="315"/>
      <c r="F245" s="800" t="s">
        <v>230</v>
      </c>
      <c r="G245" s="800" t="s">
        <v>230</v>
      </c>
      <c r="H245" s="800" t="s">
        <v>230</v>
      </c>
      <c r="I245" s="800" t="s">
        <v>230</v>
      </c>
      <c r="J245" s="800" t="s">
        <v>230</v>
      </c>
      <c r="K245" s="800" t="s">
        <v>230</v>
      </c>
      <c r="L245" s="800" t="s">
        <v>230</v>
      </c>
      <c r="M245" s="800" t="s">
        <v>230</v>
      </c>
      <c r="N245" s="800" t="s">
        <v>230</v>
      </c>
      <c r="O245" s="800" t="s">
        <v>230</v>
      </c>
      <c r="P245" s="800" t="s">
        <v>230</v>
      </c>
      <c r="Q245" s="800" t="s">
        <v>230</v>
      </c>
      <c r="R245" s="800" t="s">
        <v>230</v>
      </c>
      <c r="S245" s="800" t="s">
        <v>230</v>
      </c>
      <c r="T245" s="800" t="s">
        <v>230</v>
      </c>
      <c r="U245" s="800" t="s">
        <v>230</v>
      </c>
      <c r="V245" s="800" t="s">
        <v>230</v>
      </c>
      <c r="W245" s="800" t="s">
        <v>230</v>
      </c>
      <c r="X245" s="800" t="s">
        <v>230</v>
      </c>
      <c r="Y245" s="800" t="s">
        <v>230</v>
      </c>
      <c r="Z245" s="800" t="s">
        <v>230</v>
      </c>
      <c r="AA245" s="800" t="s">
        <v>230</v>
      </c>
      <c r="AB245" s="800" t="s">
        <v>230</v>
      </c>
      <c r="AC245" s="800" t="s">
        <v>230</v>
      </c>
      <c r="AD245" s="800" t="s">
        <v>230</v>
      </c>
      <c r="AE245" s="800" t="s">
        <v>230</v>
      </c>
      <c r="AF245" s="800" t="s">
        <v>230</v>
      </c>
      <c r="AG245" s="800" t="s">
        <v>230</v>
      </c>
      <c r="AH245" s="800" t="s">
        <v>230</v>
      </c>
      <c r="AI245" s="800" t="s">
        <v>230</v>
      </c>
      <c r="AJ245" s="800" t="s">
        <v>230</v>
      </c>
      <c r="AK245" s="800" t="s">
        <v>230</v>
      </c>
      <c r="AL245" s="800" t="s">
        <v>230</v>
      </c>
      <c r="AM245" s="315"/>
      <c r="AN245" s="315"/>
    </row>
    <row r="246" spans="1:40" s="792" customFormat="1" ht="14.25" customHeight="1">
      <c r="A246" s="989" t="s">
        <v>363</v>
      </c>
      <c r="B246" s="791"/>
      <c r="C246" s="791"/>
      <c r="D246" s="791"/>
      <c r="E246" s="791"/>
      <c r="F246" s="804"/>
      <c r="G246" s="804"/>
      <c r="H246" s="804"/>
      <c r="I246" s="804"/>
      <c r="J246" s="804"/>
      <c r="K246" s="804"/>
      <c r="L246" s="804"/>
      <c r="M246" s="804"/>
      <c r="N246" s="804"/>
      <c r="O246" s="804"/>
      <c r="P246" s="804"/>
      <c r="Q246" s="804"/>
      <c r="R246" s="804"/>
      <c r="S246" s="804"/>
      <c r="T246" s="804"/>
      <c r="U246" s="804"/>
      <c r="V246" s="804"/>
      <c r="W246" s="804"/>
      <c r="X246" s="804"/>
      <c r="Y246" s="804"/>
      <c r="Z246" s="804"/>
      <c r="AA246" s="804"/>
      <c r="AB246" s="804"/>
      <c r="AC246" s="804"/>
      <c r="AD246" s="804"/>
      <c r="AE246" s="804"/>
      <c r="AF246" s="804"/>
      <c r="AG246" s="804"/>
      <c r="AH246" s="804"/>
      <c r="AI246" s="804"/>
      <c r="AJ246" s="804"/>
      <c r="AK246" s="804"/>
      <c r="AL246" s="804"/>
      <c r="AM246" s="791"/>
      <c r="AN246" s="791"/>
    </row>
    <row r="247" spans="1:40" ht="12.6">
      <c r="A247" s="990" t="s">
        <v>364</v>
      </c>
      <c r="B247" s="991" t="s">
        <v>121</v>
      </c>
      <c r="C247" s="991"/>
      <c r="D247" s="315"/>
      <c r="E247" s="991" t="s">
        <v>122</v>
      </c>
      <c r="F247" s="294">
        <f>'[5]Iron and Steel'!C18</f>
        <v>598287.9669064933</v>
      </c>
      <c r="G247" s="294">
        <f>'[5]Iron and Steel'!D18</f>
        <v>542890.93293366977</v>
      </c>
      <c r="H247" s="294">
        <f>'[5]Iron and Steel'!E18</f>
        <v>487493.89896084636</v>
      </c>
      <c r="I247" s="294">
        <f>'[5]Iron and Steel'!F18</f>
        <v>432096.86498802289</v>
      </c>
      <c r="J247" s="294">
        <f>'[5]Iron and Steel'!G18</f>
        <v>376699.83101519948</v>
      </c>
      <c r="K247" s="294">
        <f>'[5]Iron and Steel'!H18</f>
        <v>372742.90001714067</v>
      </c>
      <c r="L247" s="294">
        <f>'[5]Iron and Steel'!I18</f>
        <v>368785.96901908185</v>
      </c>
      <c r="M247" s="294">
        <f>'[5]Iron and Steel'!J18</f>
        <v>364829.03802102304</v>
      </c>
      <c r="N247" s="294">
        <f>'[5]Iron and Steel'!K18</f>
        <v>360872.10702296422</v>
      </c>
      <c r="O247" s="294">
        <f>'[5]Iron and Steel'!L18</f>
        <v>347418.54162956425</v>
      </c>
      <c r="P247" s="294">
        <f>'[5]Iron and Steel'!M18</f>
        <v>333964.97623616428</v>
      </c>
      <c r="Q247" s="294">
        <f>'[5]Iron and Steel'!N18</f>
        <v>320511.41084276425</v>
      </c>
      <c r="R247" s="294">
        <f>'[5]Iron and Steel'!O18</f>
        <v>307057.84544936428</v>
      </c>
      <c r="S247" s="294">
        <f>'[5]Iron and Steel'!P18</f>
        <v>294791.35935538198</v>
      </c>
      <c r="T247" s="294">
        <f>'[5]Iron and Steel'!Q18</f>
        <v>282524.87326139968</v>
      </c>
      <c r="U247" s="294">
        <f>'[5]Iron and Steel'!R18</f>
        <v>270258.38716741733</v>
      </c>
      <c r="V247" s="294">
        <f>'[5]Iron and Steel'!S18</f>
        <v>257991.90107343494</v>
      </c>
      <c r="W247" s="294">
        <f>'[5]Iron and Steel'!T18</f>
        <v>265708.50962377951</v>
      </c>
      <c r="X247" s="294">
        <f>'[5]Iron and Steel'!U18</f>
        <v>273425.11817412404</v>
      </c>
      <c r="Y247" s="294">
        <f>'[5]Iron and Steel'!V18</f>
        <v>281141.72672446858</v>
      </c>
      <c r="Z247" s="294">
        <f>'[5]Iron and Steel'!W18</f>
        <v>288858.33527481323</v>
      </c>
      <c r="AA247" s="294">
        <f>'[5]Iron and Steel'!X18</f>
        <v>309259.49802847928</v>
      </c>
      <c r="AB247" s="294">
        <f>'[5]Iron and Steel'!Y18</f>
        <v>294250.48705988348</v>
      </c>
      <c r="AC247" s="294">
        <f>'[5]Iron and Steel'!Z18</f>
        <v>293372.0421315438</v>
      </c>
      <c r="AD247" s="294">
        <f>'[5]Iron and Steel'!AA18</f>
        <v>309230.41895382409</v>
      </c>
      <c r="AE247" s="294">
        <f>'[5]Iron and Steel'!AB18</f>
        <v>277409.19570122054</v>
      </c>
      <c r="AF247" s="294">
        <f>'[5]Iron and Steel'!AC18</f>
        <v>267511.89769481745</v>
      </c>
      <c r="AG247" s="294">
        <f>'[5]Iron and Steel'!AD18</f>
        <v>280455.9412872782</v>
      </c>
      <c r="AH247" s="294">
        <f>'[5]Iron and Steel'!AE18</f>
        <v>293542.58863514074</v>
      </c>
      <c r="AI247" s="294">
        <f>'[5]Iron and Steel'!AF18</f>
        <v>293157.63744231657</v>
      </c>
      <c r="AJ247" s="294">
        <f>'[5]Iron and Steel'!AG18</f>
        <v>274042.43059925514</v>
      </c>
      <c r="AK247" s="294">
        <f>'[5]Iron and Steel'!AH18</f>
        <v>276954.56934272003</v>
      </c>
      <c r="AL247" s="1068">
        <f>AK247</f>
        <v>276954.56934272003</v>
      </c>
      <c r="AM247" s="315"/>
      <c r="AN247" s="315"/>
    </row>
    <row r="248" spans="1:40" ht="12.6">
      <c r="A248" s="990" t="s">
        <v>365</v>
      </c>
      <c r="B248" s="991" t="s">
        <v>124</v>
      </c>
      <c r="C248" s="991"/>
      <c r="D248" s="315"/>
      <c r="E248" s="315" t="s">
        <v>125</v>
      </c>
      <c r="F248" s="300" t="s">
        <v>126</v>
      </c>
      <c r="G248" s="300" t="s">
        <v>126</v>
      </c>
      <c r="H248" s="300" t="s">
        <v>126</v>
      </c>
      <c r="I248" s="300" t="s">
        <v>126</v>
      </c>
      <c r="J248" s="300" t="s">
        <v>126</v>
      </c>
      <c r="K248" s="300" t="s">
        <v>126</v>
      </c>
      <c r="L248" s="300" t="s">
        <v>126</v>
      </c>
      <c r="M248" s="300" t="s">
        <v>126</v>
      </c>
      <c r="N248" s="300" t="s">
        <v>126</v>
      </c>
      <c r="O248" s="300" t="s">
        <v>126</v>
      </c>
      <c r="P248" s="300" t="s">
        <v>126</v>
      </c>
      <c r="Q248" s="300" t="s">
        <v>126</v>
      </c>
      <c r="R248" s="300" t="s">
        <v>126</v>
      </c>
      <c r="S248" s="300" t="s">
        <v>126</v>
      </c>
      <c r="T248" s="300" t="s">
        <v>126</v>
      </c>
      <c r="U248" s="300" t="s">
        <v>126</v>
      </c>
      <c r="V248" s="300" t="s">
        <v>126</v>
      </c>
      <c r="W248" s="300" t="s">
        <v>126</v>
      </c>
      <c r="X248" s="300" t="s">
        <v>126</v>
      </c>
      <c r="Y248" s="300" t="s">
        <v>126</v>
      </c>
      <c r="Z248" s="300" t="s">
        <v>126</v>
      </c>
      <c r="AA248" s="300" t="s">
        <v>126</v>
      </c>
      <c r="AB248" s="300" t="s">
        <v>126</v>
      </c>
      <c r="AC248" s="300" t="s">
        <v>126</v>
      </c>
      <c r="AD248" s="300" t="s">
        <v>126</v>
      </c>
      <c r="AE248" s="300" t="s">
        <v>126</v>
      </c>
      <c r="AF248" s="300" t="s">
        <v>126</v>
      </c>
      <c r="AG248" s="300" t="s">
        <v>126</v>
      </c>
      <c r="AH248" s="300" t="s">
        <v>126</v>
      </c>
      <c r="AI248" s="300" t="s">
        <v>126</v>
      </c>
      <c r="AJ248" s="300" t="s">
        <v>126</v>
      </c>
      <c r="AK248" s="300" t="s">
        <v>126</v>
      </c>
      <c r="AL248" s="300" t="s">
        <v>126</v>
      </c>
      <c r="AM248" s="315"/>
      <c r="AN248" s="315"/>
    </row>
    <row r="249" spans="1:40" ht="12.6">
      <c r="A249" s="990" t="s">
        <v>366</v>
      </c>
      <c r="B249" s="991" t="s">
        <v>128</v>
      </c>
      <c r="C249" s="991"/>
      <c r="D249" s="991" t="s">
        <v>129</v>
      </c>
      <c r="E249" s="991" t="s">
        <v>130</v>
      </c>
      <c r="F249" s="294">
        <f>'[5]Iron and Steel'!C23</f>
        <v>31280.320084732666</v>
      </c>
      <c r="G249" s="294">
        <f>'[5]Iron and Steel'!D23</f>
        <v>28520.544828645958</v>
      </c>
      <c r="H249" s="294">
        <f>'[5]Iron and Steel'!E23</f>
        <v>25487.795647357296</v>
      </c>
      <c r="I249" s="294">
        <f>'[5]Iron and Steel'!F23</f>
        <v>22670.953238847371</v>
      </c>
      <c r="J249" s="294">
        <f>'[5]Iron and Steel'!G23</f>
        <v>19718.713726015718</v>
      </c>
      <c r="K249" s="294">
        <f>'[5]Iron and Steel'!H23</f>
        <v>19552.152136017357</v>
      </c>
      <c r="L249" s="294">
        <f>'[5]Iron and Steel'!I23</f>
        <v>19200.424904937274</v>
      </c>
      <c r="M249" s="294">
        <f>'[5]Iron and Steel'!J23</f>
        <v>18993.524644038087</v>
      </c>
      <c r="N249" s="294">
        <f>'[5]Iron and Steel'!K23</f>
        <v>18790.007905492461</v>
      </c>
      <c r="O249" s="294">
        <f>'[5]Iron and Steel'!L23</f>
        <v>18160.542018477499</v>
      </c>
      <c r="P249" s="294">
        <f>'[5]Iron and Steel'!M23</f>
        <v>17418.746679612359</v>
      </c>
      <c r="Q249" s="294">
        <f>'[5]Iron and Steel'!N23</f>
        <v>16777.515564172278</v>
      </c>
      <c r="R249" s="294">
        <f>'[5]Iron and Steel'!O23</f>
        <v>16106.825595284055</v>
      </c>
      <c r="S249" s="294">
        <f>'[5]Iron and Steel'!P23</f>
        <v>15338.661693969994</v>
      </c>
      <c r="T249" s="294">
        <f>'[5]Iron and Steel'!Q23</f>
        <v>14692.909786900556</v>
      </c>
      <c r="U249" s="294">
        <f>'[5]Iron and Steel'!R23</f>
        <v>14167.544772754789</v>
      </c>
      <c r="V249" s="294">
        <f>'[5]Iron and Steel'!S23</f>
        <v>13422.418228807659</v>
      </c>
      <c r="W249" s="294">
        <f>'[5]Iron and Steel'!T23</f>
        <v>13837.909561944534</v>
      </c>
      <c r="X249" s="294">
        <f>'[5]Iron and Steel'!U23</f>
        <v>14333.053916621067</v>
      </c>
      <c r="Y249" s="294">
        <f>'[5]Iron and Steel'!V23</f>
        <v>14955.952479032883</v>
      </c>
      <c r="Z249" s="294">
        <f>'[5]Iron and Steel'!W23</f>
        <v>15309.588328652015</v>
      </c>
      <c r="AA249" s="294">
        <f>'[5]Iron and Steel'!X23</f>
        <v>16378.032335559117</v>
      </c>
      <c r="AB249" s="294">
        <f>'[5]Iron and Steel'!Y23</f>
        <v>15556.433772432512</v>
      </c>
      <c r="AC249" s="294">
        <f>'[5]Iron and Steel'!Z23</f>
        <v>15397.016324681408</v>
      </c>
      <c r="AD249" s="294">
        <f>'[5]Iron and Steel'!AA23</f>
        <v>16222.946054708136</v>
      </c>
      <c r="AE249" s="294">
        <f>'[5]Iron and Steel'!AB23</f>
        <v>14574.918207879047</v>
      </c>
      <c r="AF249" s="294">
        <f>'[5]Iron and Steel'!AC23</f>
        <v>13904.219302408432</v>
      </c>
      <c r="AG249" s="294">
        <f>'[5]Iron and Steel'!AD23</f>
        <v>14603.789770186359</v>
      </c>
      <c r="AH249" s="294">
        <f>'[5]Iron and Steel'!AE23</f>
        <v>15222.911828359591</v>
      </c>
      <c r="AI249" s="294">
        <f>'[5]Iron and Steel'!AF23</f>
        <v>15288.682434531165</v>
      </c>
      <c r="AJ249" s="294">
        <f>'[5]Iron and Steel'!AG23</f>
        <v>14467.962595274039</v>
      </c>
      <c r="AK249" s="294">
        <f>'[5]Iron and Steel'!AH23</f>
        <v>14517.24637710446</v>
      </c>
      <c r="AL249" s="1068">
        <f>AK249</f>
        <v>14517.24637710446</v>
      </c>
      <c r="AM249" s="315"/>
      <c r="AN249" s="315"/>
    </row>
    <row r="250" spans="1:40" ht="12.6">
      <c r="A250" s="990" t="s">
        <v>367</v>
      </c>
      <c r="B250" s="991" t="s">
        <v>132</v>
      </c>
      <c r="C250" s="991"/>
      <c r="D250" s="991" t="s">
        <v>129</v>
      </c>
      <c r="E250" s="991" t="s">
        <v>130</v>
      </c>
      <c r="F250" s="799" t="s">
        <v>106</v>
      </c>
      <c r="G250" s="799" t="s">
        <v>106</v>
      </c>
      <c r="H250" s="799" t="s">
        <v>106</v>
      </c>
      <c r="I250" s="799" t="s">
        <v>106</v>
      </c>
      <c r="J250" s="799" t="s">
        <v>106</v>
      </c>
      <c r="K250" s="799" t="s">
        <v>106</v>
      </c>
      <c r="L250" s="799" t="s">
        <v>106</v>
      </c>
      <c r="M250" s="799" t="s">
        <v>106</v>
      </c>
      <c r="N250" s="799" t="s">
        <v>106</v>
      </c>
      <c r="O250" s="799" t="s">
        <v>106</v>
      </c>
      <c r="P250" s="799" t="s">
        <v>106</v>
      </c>
      <c r="Q250" s="799" t="s">
        <v>106</v>
      </c>
      <c r="R250" s="799" t="s">
        <v>106</v>
      </c>
      <c r="S250" s="799" t="s">
        <v>106</v>
      </c>
      <c r="T250" s="799" t="s">
        <v>106</v>
      </c>
      <c r="U250" s="799" t="s">
        <v>106</v>
      </c>
      <c r="V250" s="799" t="s">
        <v>106</v>
      </c>
      <c r="W250" s="799" t="s">
        <v>106</v>
      </c>
      <c r="X250" s="799" t="s">
        <v>106</v>
      </c>
      <c r="Y250" s="799" t="s">
        <v>106</v>
      </c>
      <c r="Z250" s="799" t="s">
        <v>106</v>
      </c>
      <c r="AA250" s="799" t="s">
        <v>106</v>
      </c>
      <c r="AB250" s="799" t="s">
        <v>106</v>
      </c>
      <c r="AC250" s="799" t="s">
        <v>106</v>
      </c>
      <c r="AD250" s="799" t="s">
        <v>106</v>
      </c>
      <c r="AE250" s="799" t="s">
        <v>106</v>
      </c>
      <c r="AF250" s="799" t="s">
        <v>106</v>
      </c>
      <c r="AG250" s="799" t="s">
        <v>106</v>
      </c>
      <c r="AH250" s="799" t="s">
        <v>106</v>
      </c>
      <c r="AI250" s="799" t="s">
        <v>106</v>
      </c>
      <c r="AJ250" s="799" t="s">
        <v>106</v>
      </c>
      <c r="AK250" s="799" t="s">
        <v>106</v>
      </c>
      <c r="AL250" s="799" t="s">
        <v>106</v>
      </c>
      <c r="AM250" s="315"/>
      <c r="AN250" s="315"/>
    </row>
    <row r="251" spans="1:40" ht="12.6">
      <c r="A251" s="990" t="s">
        <v>368</v>
      </c>
      <c r="B251" s="991" t="s">
        <v>134</v>
      </c>
      <c r="D251" s="315"/>
      <c r="E251" s="315"/>
      <c r="F251" s="800" t="s">
        <v>230</v>
      </c>
      <c r="G251" s="800" t="s">
        <v>230</v>
      </c>
      <c r="H251" s="800" t="s">
        <v>230</v>
      </c>
      <c r="I251" s="800" t="s">
        <v>230</v>
      </c>
      <c r="J251" s="800" t="s">
        <v>230</v>
      </c>
      <c r="K251" s="800" t="s">
        <v>230</v>
      </c>
      <c r="L251" s="800" t="s">
        <v>230</v>
      </c>
      <c r="M251" s="800" t="s">
        <v>230</v>
      </c>
      <c r="N251" s="800" t="s">
        <v>230</v>
      </c>
      <c r="O251" s="800" t="s">
        <v>230</v>
      </c>
      <c r="P251" s="800" t="s">
        <v>230</v>
      </c>
      <c r="Q251" s="800" t="s">
        <v>230</v>
      </c>
      <c r="R251" s="800" t="s">
        <v>230</v>
      </c>
      <c r="S251" s="800" t="s">
        <v>230</v>
      </c>
      <c r="T251" s="800" t="s">
        <v>230</v>
      </c>
      <c r="U251" s="800" t="s">
        <v>230</v>
      </c>
      <c r="V251" s="800" t="s">
        <v>230</v>
      </c>
      <c r="W251" s="800" t="s">
        <v>230</v>
      </c>
      <c r="X251" s="800" t="s">
        <v>230</v>
      </c>
      <c r="Y251" s="800" t="s">
        <v>230</v>
      </c>
      <c r="Z251" s="800" t="s">
        <v>230</v>
      </c>
      <c r="AA251" s="800" t="s">
        <v>230</v>
      </c>
      <c r="AB251" s="800" t="s">
        <v>230</v>
      </c>
      <c r="AC251" s="800" t="s">
        <v>230</v>
      </c>
      <c r="AD251" s="800" t="s">
        <v>230</v>
      </c>
      <c r="AE251" s="800" t="s">
        <v>230</v>
      </c>
      <c r="AF251" s="800" t="s">
        <v>230</v>
      </c>
      <c r="AG251" s="800" t="s">
        <v>230</v>
      </c>
      <c r="AH251" s="800" t="s">
        <v>230</v>
      </c>
      <c r="AI251" s="800" t="s">
        <v>230</v>
      </c>
      <c r="AJ251" s="800" t="s">
        <v>230</v>
      </c>
      <c r="AK251" s="800" t="s">
        <v>230</v>
      </c>
      <c r="AL251" s="800" t="s">
        <v>230</v>
      </c>
      <c r="AM251" s="315"/>
      <c r="AN251" s="315"/>
    </row>
    <row r="252" spans="1:40" s="792" customFormat="1" ht="14.25" customHeight="1">
      <c r="A252" s="989" t="s">
        <v>369</v>
      </c>
      <c r="B252" s="791"/>
      <c r="C252" s="791"/>
      <c r="D252" s="791"/>
      <c r="E252" s="791"/>
      <c r="F252" s="804"/>
      <c r="G252" s="804"/>
      <c r="H252" s="804"/>
      <c r="I252" s="804"/>
      <c r="J252" s="804"/>
      <c r="K252" s="804"/>
      <c r="L252" s="804"/>
      <c r="M252" s="804"/>
      <c r="N252" s="804"/>
      <c r="O252" s="804"/>
      <c r="P252" s="804"/>
      <c r="Q252" s="804"/>
      <c r="R252" s="804"/>
      <c r="S252" s="804"/>
      <c r="T252" s="804"/>
      <c r="U252" s="804"/>
      <c r="V252" s="804"/>
      <c r="W252" s="804"/>
      <c r="X252" s="804"/>
      <c r="Y252" s="804"/>
      <c r="Z252" s="804"/>
      <c r="AA252" s="804"/>
      <c r="AB252" s="804"/>
      <c r="AC252" s="804"/>
      <c r="AD252" s="804"/>
      <c r="AE252" s="804"/>
      <c r="AF252" s="804"/>
      <c r="AG252" s="804"/>
      <c r="AH252" s="804"/>
      <c r="AI252" s="804"/>
      <c r="AJ252" s="804"/>
      <c r="AK252" s="804"/>
      <c r="AL252" s="804"/>
      <c r="AM252" s="791"/>
      <c r="AN252" s="791"/>
    </row>
    <row r="253" spans="1:40" ht="12.6">
      <c r="A253" s="990" t="s">
        <v>370</v>
      </c>
      <c r="B253" s="991" t="s">
        <v>121</v>
      </c>
      <c r="C253" s="991"/>
      <c r="D253" s="315"/>
      <c r="E253" s="991" t="s">
        <v>122</v>
      </c>
      <c r="F253" s="799" t="s">
        <v>108</v>
      </c>
      <c r="G253" s="799" t="s">
        <v>108</v>
      </c>
      <c r="H253" s="799" t="s">
        <v>108</v>
      </c>
      <c r="I253" s="799" t="s">
        <v>108</v>
      </c>
      <c r="J253" s="799" t="s">
        <v>108</v>
      </c>
      <c r="K253" s="799" t="s">
        <v>108</v>
      </c>
      <c r="L253" s="799" t="s">
        <v>108</v>
      </c>
      <c r="M253" s="799" t="s">
        <v>108</v>
      </c>
      <c r="N253" s="799" t="s">
        <v>108</v>
      </c>
      <c r="O253" s="799" t="s">
        <v>108</v>
      </c>
      <c r="P253" s="799" t="s">
        <v>108</v>
      </c>
      <c r="Q253" s="799" t="s">
        <v>108</v>
      </c>
      <c r="R253" s="799" t="s">
        <v>108</v>
      </c>
      <c r="S253" s="799" t="s">
        <v>108</v>
      </c>
      <c r="T253" s="799" t="s">
        <v>108</v>
      </c>
      <c r="U253" s="799" t="s">
        <v>108</v>
      </c>
      <c r="V253" s="799" t="s">
        <v>108</v>
      </c>
      <c r="W253" s="799" t="s">
        <v>108</v>
      </c>
      <c r="X253" s="799" t="s">
        <v>108</v>
      </c>
      <c r="Y253" s="799" t="s">
        <v>108</v>
      </c>
      <c r="Z253" s="799" t="s">
        <v>108</v>
      </c>
      <c r="AA253" s="799" t="s">
        <v>108</v>
      </c>
      <c r="AB253" s="799" t="s">
        <v>108</v>
      </c>
      <c r="AC253" s="799" t="s">
        <v>108</v>
      </c>
      <c r="AD253" s="799" t="s">
        <v>108</v>
      </c>
      <c r="AE253" s="799" t="s">
        <v>108</v>
      </c>
      <c r="AF253" s="799" t="s">
        <v>108</v>
      </c>
      <c r="AG253" s="799" t="s">
        <v>108</v>
      </c>
      <c r="AH253" s="799" t="s">
        <v>108</v>
      </c>
      <c r="AI253" s="799" t="s">
        <v>108</v>
      </c>
      <c r="AJ253" s="799" t="s">
        <v>108</v>
      </c>
      <c r="AK253" s="799" t="s">
        <v>108</v>
      </c>
      <c r="AL253" s="799" t="s">
        <v>108</v>
      </c>
      <c r="AM253" s="315"/>
      <c r="AN253" s="315"/>
    </row>
    <row r="254" spans="1:40" ht="12.6">
      <c r="A254" s="990" t="s">
        <v>371</v>
      </c>
      <c r="B254" s="991" t="s">
        <v>124</v>
      </c>
      <c r="C254" s="991"/>
      <c r="D254" s="315"/>
      <c r="E254" s="315" t="s">
        <v>125</v>
      </c>
      <c r="F254" s="799" t="s">
        <v>126</v>
      </c>
      <c r="G254" s="799" t="s">
        <v>126</v>
      </c>
      <c r="H254" s="799" t="s">
        <v>126</v>
      </c>
      <c r="I254" s="799" t="s">
        <v>126</v>
      </c>
      <c r="J254" s="799" t="s">
        <v>126</v>
      </c>
      <c r="K254" s="799" t="s">
        <v>126</v>
      </c>
      <c r="L254" s="799" t="s">
        <v>126</v>
      </c>
      <c r="M254" s="799" t="s">
        <v>126</v>
      </c>
      <c r="N254" s="799" t="s">
        <v>126</v>
      </c>
      <c r="O254" s="799" t="s">
        <v>126</v>
      </c>
      <c r="P254" s="799" t="s">
        <v>126</v>
      </c>
      <c r="Q254" s="799" t="s">
        <v>126</v>
      </c>
      <c r="R254" s="799" t="s">
        <v>126</v>
      </c>
      <c r="S254" s="799" t="s">
        <v>126</v>
      </c>
      <c r="T254" s="799" t="s">
        <v>126</v>
      </c>
      <c r="U254" s="799" t="s">
        <v>126</v>
      </c>
      <c r="V254" s="799" t="s">
        <v>126</v>
      </c>
      <c r="W254" s="799" t="s">
        <v>126</v>
      </c>
      <c r="X254" s="799" t="s">
        <v>126</v>
      </c>
      <c r="Y254" s="799" t="s">
        <v>126</v>
      </c>
      <c r="Z254" s="799" t="s">
        <v>126</v>
      </c>
      <c r="AA254" s="799" t="s">
        <v>126</v>
      </c>
      <c r="AB254" s="799" t="s">
        <v>126</v>
      </c>
      <c r="AC254" s="799" t="s">
        <v>126</v>
      </c>
      <c r="AD254" s="799" t="s">
        <v>126</v>
      </c>
      <c r="AE254" s="799" t="s">
        <v>126</v>
      </c>
      <c r="AF254" s="799" t="s">
        <v>126</v>
      </c>
      <c r="AG254" s="799" t="s">
        <v>126</v>
      </c>
      <c r="AH254" s="799" t="s">
        <v>126</v>
      </c>
      <c r="AI254" s="799" t="s">
        <v>126</v>
      </c>
      <c r="AJ254" s="799" t="s">
        <v>126</v>
      </c>
      <c r="AK254" s="799" t="s">
        <v>126</v>
      </c>
      <c r="AL254" s="799" t="s">
        <v>126</v>
      </c>
      <c r="AM254" s="315"/>
      <c r="AN254" s="315"/>
    </row>
    <row r="255" spans="1:40" ht="12.6">
      <c r="A255" s="990" t="s">
        <v>372</v>
      </c>
      <c r="B255" s="991" t="s">
        <v>128</v>
      </c>
      <c r="C255" s="991"/>
      <c r="D255" s="991" t="s">
        <v>129</v>
      </c>
      <c r="E255" s="991" t="s">
        <v>130</v>
      </c>
      <c r="F255" s="799" t="s">
        <v>108</v>
      </c>
      <c r="G255" s="799" t="s">
        <v>108</v>
      </c>
      <c r="H255" s="799" t="s">
        <v>108</v>
      </c>
      <c r="I255" s="799" t="s">
        <v>108</v>
      </c>
      <c r="J255" s="799" t="s">
        <v>108</v>
      </c>
      <c r="K255" s="799" t="s">
        <v>108</v>
      </c>
      <c r="L255" s="799" t="s">
        <v>108</v>
      </c>
      <c r="M255" s="799" t="s">
        <v>108</v>
      </c>
      <c r="N255" s="799" t="s">
        <v>108</v>
      </c>
      <c r="O255" s="799" t="s">
        <v>108</v>
      </c>
      <c r="P255" s="799" t="s">
        <v>108</v>
      </c>
      <c r="Q255" s="799" t="s">
        <v>108</v>
      </c>
      <c r="R255" s="799" t="s">
        <v>108</v>
      </c>
      <c r="S255" s="799" t="s">
        <v>108</v>
      </c>
      <c r="T255" s="799" t="s">
        <v>108</v>
      </c>
      <c r="U255" s="799" t="s">
        <v>108</v>
      </c>
      <c r="V255" s="799" t="s">
        <v>108</v>
      </c>
      <c r="W255" s="799" t="s">
        <v>108</v>
      </c>
      <c r="X255" s="799" t="s">
        <v>108</v>
      </c>
      <c r="Y255" s="799" t="s">
        <v>108</v>
      </c>
      <c r="Z255" s="799" t="s">
        <v>108</v>
      </c>
      <c r="AA255" s="799" t="s">
        <v>108</v>
      </c>
      <c r="AB255" s="799" t="s">
        <v>108</v>
      </c>
      <c r="AC255" s="799" t="s">
        <v>108</v>
      </c>
      <c r="AD255" s="799" t="s">
        <v>108</v>
      </c>
      <c r="AE255" s="799" t="s">
        <v>108</v>
      </c>
      <c r="AF255" s="799" t="s">
        <v>108</v>
      </c>
      <c r="AG255" s="799" t="s">
        <v>108</v>
      </c>
      <c r="AH255" s="799" t="s">
        <v>108</v>
      </c>
      <c r="AI255" s="799" t="s">
        <v>108</v>
      </c>
      <c r="AJ255" s="799" t="s">
        <v>108</v>
      </c>
      <c r="AK255" s="799" t="s">
        <v>108</v>
      </c>
      <c r="AL255" s="799" t="s">
        <v>108</v>
      </c>
      <c r="AM255" s="315"/>
      <c r="AN255" s="315"/>
    </row>
    <row r="256" spans="1:40" ht="12.6">
      <c r="A256" s="990" t="s">
        <v>373</v>
      </c>
      <c r="B256" s="991" t="s">
        <v>132</v>
      </c>
      <c r="C256" s="991"/>
      <c r="D256" s="991" t="s">
        <v>129</v>
      </c>
      <c r="E256" s="991" t="s">
        <v>130</v>
      </c>
      <c r="F256" s="794" t="s">
        <v>108</v>
      </c>
      <c r="G256" s="794" t="s">
        <v>108</v>
      </c>
      <c r="H256" s="794" t="s">
        <v>108</v>
      </c>
      <c r="I256" s="794" t="s">
        <v>108</v>
      </c>
      <c r="J256" s="794" t="s">
        <v>108</v>
      </c>
      <c r="K256" s="794" t="s">
        <v>108</v>
      </c>
      <c r="L256" s="794" t="s">
        <v>108</v>
      </c>
      <c r="M256" s="794" t="s">
        <v>108</v>
      </c>
      <c r="N256" s="794" t="s">
        <v>108</v>
      </c>
      <c r="O256" s="794" t="s">
        <v>108</v>
      </c>
      <c r="P256" s="794" t="s">
        <v>108</v>
      </c>
      <c r="Q256" s="794" t="s">
        <v>108</v>
      </c>
      <c r="R256" s="794" t="s">
        <v>108</v>
      </c>
      <c r="S256" s="794" t="s">
        <v>108</v>
      </c>
      <c r="T256" s="794" t="s">
        <v>108</v>
      </c>
      <c r="U256" s="794" t="s">
        <v>108</v>
      </c>
      <c r="V256" s="794" t="s">
        <v>108</v>
      </c>
      <c r="W256" s="794" t="s">
        <v>108</v>
      </c>
      <c r="X256" s="794" t="s">
        <v>108</v>
      </c>
      <c r="Y256" s="794" t="s">
        <v>108</v>
      </c>
      <c r="Z256" s="794" t="s">
        <v>108</v>
      </c>
      <c r="AA256" s="794" t="s">
        <v>108</v>
      </c>
      <c r="AB256" s="794" t="s">
        <v>108</v>
      </c>
      <c r="AC256" s="794" t="s">
        <v>108</v>
      </c>
      <c r="AD256" s="794" t="s">
        <v>108</v>
      </c>
      <c r="AE256" s="794" t="s">
        <v>108</v>
      </c>
      <c r="AF256" s="794" t="s">
        <v>108</v>
      </c>
      <c r="AG256" s="794" t="s">
        <v>108</v>
      </c>
      <c r="AH256" s="794" t="s">
        <v>108</v>
      </c>
      <c r="AI256" s="794" t="s">
        <v>108</v>
      </c>
      <c r="AJ256" s="794" t="s">
        <v>108</v>
      </c>
      <c r="AK256" s="794" t="s">
        <v>108</v>
      </c>
      <c r="AL256" s="794" t="s">
        <v>108</v>
      </c>
      <c r="AM256" s="315"/>
      <c r="AN256" s="315"/>
    </row>
    <row r="257" spans="1:40" ht="12.6">
      <c r="A257" s="990" t="s">
        <v>374</v>
      </c>
      <c r="B257" s="991" t="s">
        <v>134</v>
      </c>
      <c r="D257" s="315"/>
      <c r="E257" s="315"/>
      <c r="F257" s="803"/>
      <c r="G257" s="800"/>
      <c r="H257" s="800"/>
      <c r="I257" s="800"/>
      <c r="J257" s="800"/>
      <c r="K257" s="800"/>
      <c r="L257" s="800"/>
      <c r="M257" s="800"/>
      <c r="N257" s="800"/>
      <c r="O257" s="800"/>
      <c r="P257" s="800"/>
      <c r="Q257" s="800"/>
      <c r="R257" s="800"/>
      <c r="S257" s="800"/>
      <c r="T257" s="800"/>
      <c r="U257" s="800"/>
      <c r="V257" s="800"/>
      <c r="W257" s="800"/>
      <c r="X257" s="800"/>
      <c r="Y257" s="800"/>
      <c r="Z257" s="800"/>
      <c r="AA257" s="800"/>
      <c r="AB257" s="800"/>
      <c r="AC257" s="800"/>
      <c r="AD257" s="800"/>
      <c r="AE257" s="800"/>
      <c r="AF257" s="800"/>
      <c r="AG257" s="800"/>
      <c r="AH257" s="800"/>
      <c r="AI257" s="800"/>
      <c r="AJ257" s="800"/>
      <c r="AK257" s="800"/>
      <c r="AL257" s="800"/>
      <c r="AM257" s="315"/>
      <c r="AN257" s="315"/>
    </row>
    <row r="258" spans="1:40" s="792" customFormat="1" ht="14.25" customHeight="1">
      <c r="A258" s="989" t="s">
        <v>375</v>
      </c>
      <c r="B258" s="791"/>
      <c r="C258" s="791"/>
      <c r="D258" s="791"/>
      <c r="E258" s="791"/>
      <c r="F258" s="790"/>
      <c r="G258" s="790"/>
      <c r="H258" s="790"/>
      <c r="I258" s="790"/>
      <c r="J258" s="790"/>
      <c r="K258" s="790"/>
      <c r="L258" s="790"/>
      <c r="M258" s="790"/>
      <c r="N258" s="790"/>
      <c r="O258" s="790"/>
      <c r="P258" s="790"/>
      <c r="Q258" s="790"/>
      <c r="R258" s="790"/>
      <c r="S258" s="790"/>
      <c r="T258" s="790"/>
      <c r="U258" s="790"/>
      <c r="V258" s="790"/>
      <c r="W258" s="790"/>
      <c r="X258" s="790"/>
      <c r="Y258" s="790"/>
      <c r="Z258" s="790"/>
      <c r="AA258" s="790"/>
      <c r="AB258" s="790"/>
      <c r="AC258" s="790"/>
      <c r="AD258" s="790"/>
      <c r="AE258" s="790"/>
      <c r="AF258" s="790"/>
      <c r="AG258" s="790"/>
      <c r="AH258" s="790"/>
      <c r="AI258" s="790"/>
      <c r="AJ258" s="790"/>
      <c r="AK258" s="790"/>
      <c r="AL258" s="790"/>
      <c r="AM258" s="791"/>
      <c r="AN258" s="791"/>
    </row>
    <row r="259" spans="1:40" ht="12.6">
      <c r="A259" s="990" t="s">
        <v>376</v>
      </c>
      <c r="B259" s="991" t="s">
        <v>121</v>
      </c>
      <c r="C259" s="991"/>
      <c r="D259" s="315"/>
      <c r="E259" s="991" t="s">
        <v>122</v>
      </c>
      <c r="F259" s="300" t="s">
        <v>108</v>
      </c>
      <c r="G259" s="300" t="s">
        <v>108</v>
      </c>
      <c r="H259" s="300" t="s">
        <v>108</v>
      </c>
      <c r="I259" s="300" t="s">
        <v>108</v>
      </c>
      <c r="J259" s="300" t="s">
        <v>108</v>
      </c>
      <c r="K259" s="300" t="s">
        <v>108</v>
      </c>
      <c r="L259" s="300" t="s">
        <v>108</v>
      </c>
      <c r="M259" s="300" t="s">
        <v>108</v>
      </c>
      <c r="N259" s="300" t="s">
        <v>108</v>
      </c>
      <c r="O259" s="300" t="s">
        <v>108</v>
      </c>
      <c r="P259" s="300" t="s">
        <v>108</v>
      </c>
      <c r="Q259" s="300" t="s">
        <v>108</v>
      </c>
      <c r="R259" s="300" t="s">
        <v>108</v>
      </c>
      <c r="S259" s="300" t="s">
        <v>108</v>
      </c>
      <c r="T259" s="300" t="s">
        <v>108</v>
      </c>
      <c r="U259" s="300" t="s">
        <v>108</v>
      </c>
      <c r="V259" s="300" t="s">
        <v>108</v>
      </c>
      <c r="W259" s="300" t="s">
        <v>108</v>
      </c>
      <c r="X259" s="300" t="s">
        <v>108</v>
      </c>
      <c r="Y259" s="300" t="s">
        <v>108</v>
      </c>
      <c r="Z259" s="300" t="s">
        <v>108</v>
      </c>
      <c r="AA259" s="300" t="s">
        <v>108</v>
      </c>
      <c r="AB259" s="300" t="s">
        <v>108</v>
      </c>
      <c r="AC259" s="300" t="s">
        <v>108</v>
      </c>
      <c r="AD259" s="300" t="s">
        <v>108</v>
      </c>
      <c r="AE259" s="300" t="s">
        <v>108</v>
      </c>
      <c r="AF259" s="300" t="s">
        <v>108</v>
      </c>
      <c r="AG259" s="300" t="s">
        <v>108</v>
      </c>
      <c r="AH259" s="300" t="s">
        <v>108</v>
      </c>
      <c r="AI259" s="300" t="s">
        <v>108</v>
      </c>
      <c r="AJ259" s="300" t="s">
        <v>108</v>
      </c>
      <c r="AK259" s="300" t="s">
        <v>108</v>
      </c>
      <c r="AL259" s="300" t="s">
        <v>108</v>
      </c>
      <c r="AM259" s="315"/>
      <c r="AN259" s="315"/>
    </row>
    <row r="260" spans="1:40" ht="12.6">
      <c r="A260" s="990" t="s">
        <v>377</v>
      </c>
      <c r="B260" s="991" t="s">
        <v>124</v>
      </c>
      <c r="C260" s="991"/>
      <c r="D260" s="315"/>
      <c r="E260" s="315" t="s">
        <v>125</v>
      </c>
      <c r="F260" s="799" t="s">
        <v>126</v>
      </c>
      <c r="G260" s="799" t="s">
        <v>126</v>
      </c>
      <c r="H260" s="799" t="s">
        <v>126</v>
      </c>
      <c r="I260" s="799" t="s">
        <v>126</v>
      </c>
      <c r="J260" s="799" t="s">
        <v>126</v>
      </c>
      <c r="K260" s="799" t="s">
        <v>126</v>
      </c>
      <c r="L260" s="799" t="s">
        <v>126</v>
      </c>
      <c r="M260" s="799" t="s">
        <v>126</v>
      </c>
      <c r="N260" s="799" t="s">
        <v>126</v>
      </c>
      <c r="O260" s="799" t="s">
        <v>126</v>
      </c>
      <c r="P260" s="799" t="s">
        <v>126</v>
      </c>
      <c r="Q260" s="799" t="s">
        <v>126</v>
      </c>
      <c r="R260" s="799" t="s">
        <v>126</v>
      </c>
      <c r="S260" s="799" t="s">
        <v>126</v>
      </c>
      <c r="T260" s="799" t="s">
        <v>126</v>
      </c>
      <c r="U260" s="799" t="s">
        <v>126</v>
      </c>
      <c r="V260" s="799" t="s">
        <v>126</v>
      </c>
      <c r="W260" s="799" t="s">
        <v>126</v>
      </c>
      <c r="X260" s="799" t="s">
        <v>126</v>
      </c>
      <c r="Y260" s="799" t="s">
        <v>126</v>
      </c>
      <c r="Z260" s="799" t="s">
        <v>126</v>
      </c>
      <c r="AA260" s="799" t="s">
        <v>126</v>
      </c>
      <c r="AB260" s="799" t="s">
        <v>126</v>
      </c>
      <c r="AC260" s="799" t="s">
        <v>126</v>
      </c>
      <c r="AD260" s="799" t="s">
        <v>126</v>
      </c>
      <c r="AE260" s="799" t="s">
        <v>126</v>
      </c>
      <c r="AF260" s="799" t="s">
        <v>126</v>
      </c>
      <c r="AG260" s="799" t="s">
        <v>126</v>
      </c>
      <c r="AH260" s="799" t="s">
        <v>126</v>
      </c>
      <c r="AI260" s="799" t="s">
        <v>126</v>
      </c>
      <c r="AJ260" s="799" t="s">
        <v>126</v>
      </c>
      <c r="AK260" s="799" t="s">
        <v>126</v>
      </c>
      <c r="AL260" s="799" t="s">
        <v>126</v>
      </c>
      <c r="AM260" s="315"/>
      <c r="AN260" s="315"/>
    </row>
    <row r="261" spans="1:40" ht="12.6">
      <c r="A261" s="990" t="s">
        <v>378</v>
      </c>
      <c r="B261" s="991" t="s">
        <v>128</v>
      </c>
      <c r="C261" s="991"/>
      <c r="D261" s="991" t="s">
        <v>129</v>
      </c>
      <c r="E261" s="991" t="s">
        <v>130</v>
      </c>
      <c r="F261" s="300" t="s">
        <v>108</v>
      </c>
      <c r="G261" s="300" t="s">
        <v>108</v>
      </c>
      <c r="H261" s="300" t="s">
        <v>108</v>
      </c>
      <c r="I261" s="300" t="s">
        <v>108</v>
      </c>
      <c r="J261" s="300" t="s">
        <v>108</v>
      </c>
      <c r="K261" s="300" t="s">
        <v>108</v>
      </c>
      <c r="L261" s="300" t="s">
        <v>108</v>
      </c>
      <c r="M261" s="300" t="s">
        <v>108</v>
      </c>
      <c r="N261" s="300" t="s">
        <v>108</v>
      </c>
      <c r="O261" s="300" t="s">
        <v>108</v>
      </c>
      <c r="P261" s="300" t="s">
        <v>108</v>
      </c>
      <c r="Q261" s="300" t="s">
        <v>108</v>
      </c>
      <c r="R261" s="300" t="s">
        <v>108</v>
      </c>
      <c r="S261" s="300" t="s">
        <v>108</v>
      </c>
      <c r="T261" s="300" t="s">
        <v>108</v>
      </c>
      <c r="U261" s="300" t="s">
        <v>108</v>
      </c>
      <c r="V261" s="300" t="s">
        <v>108</v>
      </c>
      <c r="W261" s="300" t="s">
        <v>108</v>
      </c>
      <c r="X261" s="300" t="s">
        <v>108</v>
      </c>
      <c r="Y261" s="300" t="s">
        <v>108</v>
      </c>
      <c r="Z261" s="300" t="s">
        <v>108</v>
      </c>
      <c r="AA261" s="300" t="s">
        <v>108</v>
      </c>
      <c r="AB261" s="300" t="s">
        <v>108</v>
      </c>
      <c r="AC261" s="300" t="s">
        <v>108</v>
      </c>
      <c r="AD261" s="300" t="s">
        <v>108</v>
      </c>
      <c r="AE261" s="300" t="s">
        <v>108</v>
      </c>
      <c r="AF261" s="300" t="s">
        <v>108</v>
      </c>
      <c r="AG261" s="300" t="s">
        <v>108</v>
      </c>
      <c r="AH261" s="300" t="s">
        <v>108</v>
      </c>
      <c r="AI261" s="300" t="s">
        <v>108</v>
      </c>
      <c r="AJ261" s="300" t="s">
        <v>108</v>
      </c>
      <c r="AK261" s="300" t="s">
        <v>108</v>
      </c>
      <c r="AL261" s="300" t="s">
        <v>108</v>
      </c>
      <c r="AM261" s="315"/>
      <c r="AN261" s="315"/>
    </row>
    <row r="262" spans="1:40" ht="12.6">
      <c r="A262" s="990" t="s">
        <v>379</v>
      </c>
      <c r="B262" s="991" t="s">
        <v>132</v>
      </c>
      <c r="C262" s="991"/>
      <c r="D262" s="991" t="s">
        <v>129</v>
      </c>
      <c r="E262" s="991" t="s">
        <v>130</v>
      </c>
      <c r="F262" s="794" t="s">
        <v>108</v>
      </c>
      <c r="G262" s="794" t="s">
        <v>108</v>
      </c>
      <c r="H262" s="794" t="s">
        <v>108</v>
      </c>
      <c r="I262" s="794" t="s">
        <v>108</v>
      </c>
      <c r="J262" s="794" t="s">
        <v>108</v>
      </c>
      <c r="K262" s="794" t="s">
        <v>108</v>
      </c>
      <c r="L262" s="794" t="s">
        <v>108</v>
      </c>
      <c r="M262" s="794" t="s">
        <v>108</v>
      </c>
      <c r="N262" s="794" t="s">
        <v>108</v>
      </c>
      <c r="O262" s="794" t="s">
        <v>108</v>
      </c>
      <c r="P262" s="794" t="s">
        <v>108</v>
      </c>
      <c r="Q262" s="794" t="s">
        <v>108</v>
      </c>
      <c r="R262" s="794" t="s">
        <v>108</v>
      </c>
      <c r="S262" s="794" t="s">
        <v>108</v>
      </c>
      <c r="T262" s="794" t="s">
        <v>108</v>
      </c>
      <c r="U262" s="794" t="s">
        <v>108</v>
      </c>
      <c r="V262" s="794" t="s">
        <v>108</v>
      </c>
      <c r="W262" s="794" t="s">
        <v>108</v>
      </c>
      <c r="X262" s="794" t="s">
        <v>108</v>
      </c>
      <c r="Y262" s="794" t="s">
        <v>108</v>
      </c>
      <c r="Z262" s="794" t="s">
        <v>108</v>
      </c>
      <c r="AA262" s="794" t="s">
        <v>108</v>
      </c>
      <c r="AB262" s="794" t="s">
        <v>108</v>
      </c>
      <c r="AC262" s="794" t="s">
        <v>108</v>
      </c>
      <c r="AD262" s="794" t="s">
        <v>108</v>
      </c>
      <c r="AE262" s="794" t="s">
        <v>108</v>
      </c>
      <c r="AF262" s="794" t="s">
        <v>108</v>
      </c>
      <c r="AG262" s="794" t="s">
        <v>108</v>
      </c>
      <c r="AH262" s="794" t="s">
        <v>108</v>
      </c>
      <c r="AI262" s="794" t="s">
        <v>108</v>
      </c>
      <c r="AJ262" s="794" t="s">
        <v>108</v>
      </c>
      <c r="AK262" s="794" t="s">
        <v>108</v>
      </c>
      <c r="AL262" s="794" t="s">
        <v>108</v>
      </c>
      <c r="AM262" s="315"/>
      <c r="AN262" s="315"/>
    </row>
    <row r="263" spans="1:40" ht="12.6">
      <c r="A263" s="990" t="s">
        <v>380</v>
      </c>
      <c r="B263" s="991" t="s">
        <v>134</v>
      </c>
      <c r="D263" s="315"/>
      <c r="E263" s="315"/>
      <c r="F263" s="801"/>
      <c r="G263" s="802"/>
      <c r="H263" s="802"/>
      <c r="I263" s="802"/>
      <c r="J263" s="802"/>
      <c r="K263" s="802"/>
      <c r="L263" s="802"/>
      <c r="M263" s="802"/>
      <c r="N263" s="802"/>
      <c r="O263" s="802"/>
      <c r="P263" s="802"/>
      <c r="Q263" s="802"/>
      <c r="R263" s="802"/>
      <c r="S263" s="802"/>
      <c r="T263" s="802"/>
      <c r="U263" s="802"/>
      <c r="V263" s="802"/>
      <c r="W263" s="802"/>
      <c r="X263" s="802"/>
      <c r="Y263" s="802"/>
      <c r="Z263" s="802"/>
      <c r="AA263" s="802"/>
      <c r="AB263" s="802"/>
      <c r="AC263" s="802"/>
      <c r="AD263" s="802"/>
      <c r="AE263" s="802"/>
      <c r="AF263" s="802"/>
      <c r="AG263" s="802"/>
      <c r="AH263" s="802"/>
      <c r="AI263" s="802"/>
      <c r="AJ263" s="802"/>
      <c r="AK263" s="802"/>
      <c r="AL263" s="802"/>
      <c r="AM263" s="315"/>
      <c r="AN263" s="315"/>
    </row>
    <row r="264" spans="1:40" s="797" customFormat="1" ht="12.95">
      <c r="A264" s="796" t="s">
        <v>381</v>
      </c>
      <c r="B264" s="796"/>
      <c r="C264" s="796"/>
      <c r="D264" s="796"/>
      <c r="E264" s="796"/>
      <c r="F264" s="795"/>
      <c r="G264" s="795"/>
      <c r="H264" s="795"/>
      <c r="I264" s="795"/>
      <c r="J264" s="795"/>
      <c r="K264" s="795"/>
      <c r="L264" s="795"/>
      <c r="M264" s="795"/>
      <c r="N264" s="795"/>
      <c r="O264" s="795"/>
      <c r="P264" s="795"/>
      <c r="Q264" s="795"/>
      <c r="R264" s="795"/>
      <c r="S264" s="795"/>
      <c r="T264" s="795"/>
      <c r="U264" s="795"/>
      <c r="V264" s="795"/>
      <c r="W264" s="795"/>
      <c r="X264" s="795"/>
      <c r="Y264" s="795"/>
      <c r="Z264" s="795"/>
      <c r="AA264" s="795"/>
      <c r="AB264" s="795"/>
      <c r="AC264" s="795"/>
      <c r="AD264" s="795"/>
      <c r="AE264" s="795"/>
      <c r="AF264" s="795"/>
      <c r="AG264" s="795"/>
      <c r="AH264" s="795"/>
      <c r="AI264" s="795"/>
      <c r="AJ264" s="795"/>
      <c r="AK264" s="795"/>
      <c r="AL264" s="795"/>
      <c r="AM264" s="796"/>
      <c r="AN264" s="796"/>
    </row>
    <row r="265" spans="1:40" s="792" customFormat="1" ht="14.25" customHeight="1">
      <c r="A265" s="989" t="s">
        <v>382</v>
      </c>
      <c r="B265" s="791"/>
      <c r="C265" s="791"/>
      <c r="D265" s="791"/>
      <c r="E265" s="791"/>
      <c r="F265" s="790"/>
      <c r="G265" s="790"/>
      <c r="H265" s="790"/>
      <c r="I265" s="790"/>
      <c r="J265" s="790"/>
      <c r="K265" s="790"/>
      <c r="L265" s="790"/>
      <c r="M265" s="790"/>
      <c r="N265" s="790"/>
      <c r="O265" s="790"/>
      <c r="P265" s="790"/>
      <c r="Q265" s="790"/>
      <c r="R265" s="790"/>
      <c r="S265" s="790"/>
      <c r="T265" s="790"/>
      <c r="U265" s="790"/>
      <c r="V265" s="790"/>
      <c r="W265" s="790"/>
      <c r="X265" s="790"/>
      <c r="Y265" s="790"/>
      <c r="Z265" s="790"/>
      <c r="AA265" s="790"/>
      <c r="AB265" s="790"/>
      <c r="AC265" s="790"/>
      <c r="AD265" s="790"/>
      <c r="AE265" s="790"/>
      <c r="AF265" s="790"/>
      <c r="AG265" s="790"/>
      <c r="AH265" s="790"/>
      <c r="AI265" s="790"/>
      <c r="AJ265" s="790"/>
      <c r="AK265" s="790"/>
      <c r="AL265" s="790"/>
      <c r="AM265" s="791"/>
      <c r="AN265" s="791"/>
    </row>
    <row r="266" spans="1:40" ht="12.6">
      <c r="A266" s="990" t="s">
        <v>383</v>
      </c>
      <c r="B266" s="991" t="s">
        <v>121</v>
      </c>
      <c r="C266" s="991"/>
      <c r="D266" s="315"/>
      <c r="E266" s="991" t="s">
        <v>122</v>
      </c>
      <c r="F266" s="294">
        <f>'[5]Non-Ferrous Metals'!C16</f>
        <v>186.78980583671665</v>
      </c>
      <c r="G266" s="294">
        <f>'[5]Non-Ferrous Metals'!D16</f>
        <v>186.78980583671665</v>
      </c>
      <c r="H266" s="294">
        <f>'[5]Non-Ferrous Metals'!E16</f>
        <v>228.7317856124705</v>
      </c>
      <c r="I266" s="294">
        <f>'[5]Non-Ferrous Metals'!F16</f>
        <v>270.67376538822441</v>
      </c>
      <c r="J266" s="294">
        <f>'[5]Non-Ferrous Metals'!G16</f>
        <v>312.6157451639782</v>
      </c>
      <c r="K266" s="294">
        <f>'[5]Non-Ferrous Metals'!H16</f>
        <v>403.80427991838798</v>
      </c>
      <c r="L266" s="294">
        <f>'[5]Non-Ferrous Metals'!I16</f>
        <v>494.99281467279775</v>
      </c>
      <c r="M266" s="294">
        <f>'[5]Non-Ferrous Metals'!J16</f>
        <v>586.18134942720758</v>
      </c>
      <c r="N266" s="294">
        <f>'[5]Non-Ferrous Metals'!K16</f>
        <v>677.36988418161741</v>
      </c>
      <c r="O266" s="294">
        <f>'[5]Non-Ferrous Metals'!L16</f>
        <v>737.91413158282728</v>
      </c>
      <c r="P266" s="294">
        <f>'[5]Non-Ferrous Metals'!M16</f>
        <v>798.45837898403704</v>
      </c>
      <c r="Q266" s="294">
        <f>'[5]Non-Ferrous Metals'!N16</f>
        <v>859.0026263852468</v>
      </c>
      <c r="R266" s="294">
        <f>'[5]Non-Ferrous Metals'!O16</f>
        <v>919.54687378645667</v>
      </c>
      <c r="S266" s="294">
        <f>'[5]Non-Ferrous Metals'!P16</f>
        <v>890.65942968005493</v>
      </c>
      <c r="T266" s="294">
        <f>'[5]Non-Ferrous Metals'!Q16</f>
        <v>861.77198557365307</v>
      </c>
      <c r="U266" s="294">
        <f>'[5]Non-Ferrous Metals'!R16</f>
        <v>832.8845414672511</v>
      </c>
      <c r="V266" s="294">
        <f>'[5]Non-Ferrous Metals'!S16</f>
        <v>803.99709736084947</v>
      </c>
      <c r="W266" s="294">
        <f>'[5]Non-Ferrous Metals'!T16</f>
        <v>822.67044853707034</v>
      </c>
      <c r="X266" s="294">
        <f>'[5]Non-Ferrous Metals'!U16</f>
        <v>841.34379971329156</v>
      </c>
      <c r="Y266" s="294">
        <f>'[5]Non-Ferrous Metals'!V16</f>
        <v>860.01715088951255</v>
      </c>
      <c r="Z266" s="294">
        <f>'[5]Non-Ferrous Metals'!W16</f>
        <v>878.69050206573365</v>
      </c>
      <c r="AA266" s="294">
        <f>'[5]Non-Ferrous Metals'!X16</f>
        <v>815.97669016458201</v>
      </c>
      <c r="AB266" s="294">
        <f>'[5]Non-Ferrous Metals'!Y16</f>
        <v>766.39756480281062</v>
      </c>
      <c r="AC266" s="294">
        <f>'[5]Non-Ferrous Metals'!Z16</f>
        <v>1411.0419492284352</v>
      </c>
      <c r="AD266" s="294">
        <f>'[5]Non-Ferrous Metals'!AA16</f>
        <v>739.35993721808688</v>
      </c>
      <c r="AE266" s="294">
        <f>'[5]Non-Ferrous Metals'!AB16</f>
        <v>698.68463793056731</v>
      </c>
      <c r="AF266" s="294">
        <f>'[5]Non-Ferrous Metals'!AC16</f>
        <v>633.35660243696373</v>
      </c>
      <c r="AG266" s="294">
        <f>'[5]Non-Ferrous Metals'!AD16</f>
        <v>875.3040490032904</v>
      </c>
      <c r="AH266" s="294">
        <f>'[5]Non-Ferrous Metals'!AE16</f>
        <v>923.35228131533324</v>
      </c>
      <c r="AI266" s="294">
        <f>'[5]Non-Ferrous Metals'!AF16</f>
        <v>740.59180886334866</v>
      </c>
      <c r="AJ266" s="294">
        <f>'[5]Non-Ferrous Metals'!AG16</f>
        <v>672.94107128828296</v>
      </c>
      <c r="AK266" s="294">
        <f>'[5]Non-Ferrous Metals'!AH16</f>
        <v>716.76327202003858</v>
      </c>
      <c r="AL266" s="1068">
        <f>AK266</f>
        <v>716.76327202003858</v>
      </c>
      <c r="AM266" s="315"/>
      <c r="AN266" s="315"/>
    </row>
    <row r="267" spans="1:40" ht="12.6">
      <c r="A267" s="990" t="s">
        <v>384</v>
      </c>
      <c r="B267" s="991" t="s">
        <v>124</v>
      </c>
      <c r="C267" s="991"/>
      <c r="D267" s="315"/>
      <c r="E267" s="315" t="s">
        <v>125</v>
      </c>
      <c r="F267" s="300" t="s">
        <v>126</v>
      </c>
      <c r="G267" s="300" t="s">
        <v>126</v>
      </c>
      <c r="H267" s="300" t="s">
        <v>126</v>
      </c>
      <c r="I267" s="300" t="s">
        <v>126</v>
      </c>
      <c r="J267" s="300" t="s">
        <v>126</v>
      </c>
      <c r="K267" s="300" t="s">
        <v>126</v>
      </c>
      <c r="L267" s="300" t="s">
        <v>126</v>
      </c>
      <c r="M267" s="300" t="s">
        <v>126</v>
      </c>
      <c r="N267" s="300" t="s">
        <v>126</v>
      </c>
      <c r="O267" s="300" t="s">
        <v>126</v>
      </c>
      <c r="P267" s="300" t="s">
        <v>126</v>
      </c>
      <c r="Q267" s="300" t="s">
        <v>126</v>
      </c>
      <c r="R267" s="300" t="s">
        <v>126</v>
      </c>
      <c r="S267" s="300" t="s">
        <v>126</v>
      </c>
      <c r="T267" s="300" t="s">
        <v>126</v>
      </c>
      <c r="U267" s="300" t="s">
        <v>126</v>
      </c>
      <c r="V267" s="300" t="s">
        <v>126</v>
      </c>
      <c r="W267" s="300" t="s">
        <v>126</v>
      </c>
      <c r="X267" s="300" t="s">
        <v>126</v>
      </c>
      <c r="Y267" s="300" t="s">
        <v>126</v>
      </c>
      <c r="Z267" s="300" t="s">
        <v>126</v>
      </c>
      <c r="AA267" s="300" t="s">
        <v>126</v>
      </c>
      <c r="AB267" s="300" t="s">
        <v>126</v>
      </c>
      <c r="AC267" s="300" t="s">
        <v>126</v>
      </c>
      <c r="AD267" s="300" t="s">
        <v>126</v>
      </c>
      <c r="AE267" s="300" t="s">
        <v>126</v>
      </c>
      <c r="AF267" s="300" t="s">
        <v>126</v>
      </c>
      <c r="AG267" s="300" t="s">
        <v>126</v>
      </c>
      <c r="AH267" s="300" t="s">
        <v>126</v>
      </c>
      <c r="AI267" s="300" t="s">
        <v>126</v>
      </c>
      <c r="AJ267" s="300" t="s">
        <v>126</v>
      </c>
      <c r="AK267" s="300" t="s">
        <v>126</v>
      </c>
      <c r="AL267" s="300" t="s">
        <v>126</v>
      </c>
      <c r="AM267" s="315"/>
      <c r="AN267" s="315"/>
    </row>
    <row r="268" spans="1:40" ht="12.6">
      <c r="A268" s="990" t="s">
        <v>385</v>
      </c>
      <c r="B268" s="991" t="s">
        <v>128</v>
      </c>
      <c r="C268" s="991"/>
      <c r="D268" s="991" t="s">
        <v>129</v>
      </c>
      <c r="E268" s="991" t="s">
        <v>130</v>
      </c>
      <c r="F268" s="294">
        <f>'[5]Non-Ferrous Metals'!C21</f>
        <v>14.054457690188254</v>
      </c>
      <c r="G268" s="294">
        <f>'[5]Non-Ferrous Metals'!D21</f>
        <v>13.837901638796149</v>
      </c>
      <c r="H268" s="294">
        <f>'[5]Non-Ferrous Metals'!E21</f>
        <v>17.151318269876636</v>
      </c>
      <c r="I268" s="294">
        <f>'[5]Non-Ferrous Metals'!F21</f>
        <v>20.103424340285503</v>
      </c>
      <c r="J268" s="294">
        <f>'[5]Non-Ferrous Metals'!G21</f>
        <v>23.278720570060788</v>
      </c>
      <c r="K268" s="294">
        <f>'[5]Non-Ferrous Metals'!H21</f>
        <v>29.540173516312787</v>
      </c>
      <c r="L268" s="294">
        <f>'[5]Non-Ferrous Metals'!I21</f>
        <v>37.116037381204364</v>
      </c>
      <c r="M268" s="294">
        <f>'[5]Non-Ferrous Metals'!J21</f>
        <v>44.11636581037245</v>
      </c>
      <c r="N268" s="294">
        <f>'[5]Non-Ferrous Metals'!K21</f>
        <v>51.807538346094638</v>
      </c>
      <c r="O268" s="294">
        <f>'[5]Non-Ferrous Metals'!L21</f>
        <v>57.081705154741947</v>
      </c>
      <c r="P268" s="294">
        <f>'[5]Non-Ferrous Metals'!M21</f>
        <v>60.731577881324355</v>
      </c>
      <c r="Q268" s="294">
        <f>'[5]Non-Ferrous Metals'!N21</f>
        <v>64.282146534944602</v>
      </c>
      <c r="R268" s="294">
        <f>'[5]Non-Ferrous Metals'!O21</f>
        <v>68.629947702367133</v>
      </c>
      <c r="S268" s="294">
        <f>'[5]Non-Ferrous Metals'!P21</f>
        <v>68.358744326317264</v>
      </c>
      <c r="T268" s="294">
        <f>'[5]Non-Ferrous Metals'!Q21</f>
        <v>65.66282989688311</v>
      </c>
      <c r="U268" s="294">
        <f>'[5]Non-Ferrous Metals'!R21</f>
        <v>62.100348810138762</v>
      </c>
      <c r="V268" s="294">
        <f>'[5]Non-Ferrous Metals'!S21</f>
        <v>60.667140307485525</v>
      </c>
      <c r="W268" s="294">
        <f>'[5]Non-Ferrous Metals'!T21</f>
        <v>61.94816743238836</v>
      </c>
      <c r="X268" s="294">
        <f>'[5]Non-Ferrous Metals'!U21</f>
        <v>62.859863122319865</v>
      </c>
      <c r="Y268" s="294">
        <f>'[5]Non-Ferrous Metals'!V21</f>
        <v>62.616373243626619</v>
      </c>
      <c r="Z268" s="294">
        <f>'[5]Non-Ferrous Metals'!W21</f>
        <v>63.896131110136281</v>
      </c>
      <c r="AA268" s="294">
        <f>'[5]Non-Ferrous Metals'!X21</f>
        <v>59.203644043583267</v>
      </c>
      <c r="AB268" s="294">
        <f>'[5]Non-Ferrous Metals'!Y21</f>
        <v>55.562812440883306</v>
      </c>
      <c r="AC268" s="294">
        <f>'[5]Non-Ferrous Metals'!Z21</f>
        <v>102.73280540713782</v>
      </c>
      <c r="AD268" s="294">
        <f>'[5]Non-Ferrous Metals'!AA21</f>
        <v>54.575237928324817</v>
      </c>
      <c r="AE268" s="294">
        <f>'[5]Non-Ferrous Metals'!AB21</f>
        <v>50.847672480566636</v>
      </c>
      <c r="AF268" s="294">
        <f>'[5]Non-Ferrous Metals'!AC21</f>
        <v>48.251377732735826</v>
      </c>
      <c r="AG268" s="294">
        <f>'[5]Non-Ferrous Metals'!AD21</f>
        <v>65.894836539628528</v>
      </c>
      <c r="AH268" s="294">
        <f>'[5]Non-Ferrous Metals'!AE21</f>
        <v>70.660348444439208</v>
      </c>
      <c r="AI268" s="294">
        <f>'[5]Non-Ferrous Metals'!AF21</f>
        <v>54.865877644385051</v>
      </c>
      <c r="AJ268" s="294">
        <f>'[5]Non-Ferrous Metals'!AG21</f>
        <v>46.80186590617808</v>
      </c>
      <c r="AK268" s="294">
        <f>'[5]Non-Ferrous Metals'!AH21</f>
        <v>51.399931016409141</v>
      </c>
      <c r="AL268" s="1068">
        <f>AK268</f>
        <v>51.399931016409141</v>
      </c>
      <c r="AM268" s="315"/>
      <c r="AN268" s="315"/>
    </row>
    <row r="269" spans="1:40" ht="12.6">
      <c r="A269" s="990" t="s">
        <v>386</v>
      </c>
      <c r="B269" s="991" t="s">
        <v>132</v>
      </c>
      <c r="C269" s="991"/>
      <c r="D269" s="991" t="s">
        <v>129</v>
      </c>
      <c r="E269" s="991" t="s">
        <v>130</v>
      </c>
      <c r="F269" s="799" t="s">
        <v>106</v>
      </c>
      <c r="G269" s="799" t="s">
        <v>106</v>
      </c>
      <c r="H269" s="799" t="s">
        <v>106</v>
      </c>
      <c r="I269" s="799" t="s">
        <v>106</v>
      </c>
      <c r="J269" s="799" t="s">
        <v>106</v>
      </c>
      <c r="K269" s="799" t="s">
        <v>106</v>
      </c>
      <c r="L269" s="799" t="s">
        <v>106</v>
      </c>
      <c r="M269" s="799" t="s">
        <v>106</v>
      </c>
      <c r="N269" s="799" t="s">
        <v>106</v>
      </c>
      <c r="O269" s="799" t="s">
        <v>106</v>
      </c>
      <c r="P269" s="799" t="s">
        <v>106</v>
      </c>
      <c r="Q269" s="799" t="s">
        <v>106</v>
      </c>
      <c r="R269" s="799" t="s">
        <v>106</v>
      </c>
      <c r="S269" s="799" t="s">
        <v>106</v>
      </c>
      <c r="T269" s="799" t="s">
        <v>106</v>
      </c>
      <c r="U269" s="799" t="s">
        <v>106</v>
      </c>
      <c r="V269" s="799" t="s">
        <v>106</v>
      </c>
      <c r="W269" s="799" t="s">
        <v>106</v>
      </c>
      <c r="X269" s="799" t="s">
        <v>106</v>
      </c>
      <c r="Y269" s="799" t="s">
        <v>106</v>
      </c>
      <c r="Z269" s="799" t="s">
        <v>106</v>
      </c>
      <c r="AA269" s="799" t="s">
        <v>106</v>
      </c>
      <c r="AB269" s="799" t="s">
        <v>106</v>
      </c>
      <c r="AC269" s="799" t="s">
        <v>106</v>
      </c>
      <c r="AD269" s="799" t="s">
        <v>106</v>
      </c>
      <c r="AE269" s="799" t="s">
        <v>106</v>
      </c>
      <c r="AF269" s="799" t="s">
        <v>106</v>
      </c>
      <c r="AG269" s="799" t="s">
        <v>106</v>
      </c>
      <c r="AH269" s="799" t="s">
        <v>106</v>
      </c>
      <c r="AI269" s="799" t="s">
        <v>106</v>
      </c>
      <c r="AJ269" s="799" t="s">
        <v>106</v>
      </c>
      <c r="AK269" s="799" t="s">
        <v>106</v>
      </c>
      <c r="AL269" s="799" t="s">
        <v>106</v>
      </c>
      <c r="AM269" s="315"/>
      <c r="AN269" s="315"/>
    </row>
    <row r="270" spans="1:40" ht="12.6">
      <c r="A270" s="990" t="s">
        <v>387</v>
      </c>
      <c r="B270" s="991" t="s">
        <v>134</v>
      </c>
      <c r="D270" s="315"/>
      <c r="E270" s="315"/>
      <c r="F270" s="800" t="s">
        <v>230</v>
      </c>
      <c r="G270" s="800" t="s">
        <v>230</v>
      </c>
      <c r="H270" s="800" t="s">
        <v>230</v>
      </c>
      <c r="I270" s="800" t="s">
        <v>230</v>
      </c>
      <c r="J270" s="800" t="s">
        <v>230</v>
      </c>
      <c r="K270" s="800" t="s">
        <v>230</v>
      </c>
      <c r="L270" s="800" t="s">
        <v>230</v>
      </c>
      <c r="M270" s="800" t="s">
        <v>230</v>
      </c>
      <c r="N270" s="800" t="s">
        <v>230</v>
      </c>
      <c r="O270" s="800" t="s">
        <v>230</v>
      </c>
      <c r="P270" s="800" t="s">
        <v>230</v>
      </c>
      <c r="Q270" s="800" t="s">
        <v>230</v>
      </c>
      <c r="R270" s="800" t="s">
        <v>230</v>
      </c>
      <c r="S270" s="800" t="s">
        <v>230</v>
      </c>
      <c r="T270" s="800" t="s">
        <v>230</v>
      </c>
      <c r="U270" s="800" t="s">
        <v>230</v>
      </c>
      <c r="V270" s="800" t="s">
        <v>230</v>
      </c>
      <c r="W270" s="800" t="s">
        <v>230</v>
      </c>
      <c r="X270" s="800" t="s">
        <v>230</v>
      </c>
      <c r="Y270" s="800" t="s">
        <v>230</v>
      </c>
      <c r="Z270" s="800" t="s">
        <v>230</v>
      </c>
      <c r="AA270" s="800" t="s">
        <v>230</v>
      </c>
      <c r="AB270" s="800" t="s">
        <v>230</v>
      </c>
      <c r="AC270" s="800" t="s">
        <v>230</v>
      </c>
      <c r="AD270" s="800" t="s">
        <v>230</v>
      </c>
      <c r="AE270" s="800" t="s">
        <v>230</v>
      </c>
      <c r="AF270" s="800" t="s">
        <v>230</v>
      </c>
      <c r="AG270" s="800" t="s">
        <v>230</v>
      </c>
      <c r="AH270" s="800" t="s">
        <v>230</v>
      </c>
      <c r="AI270" s="800" t="s">
        <v>230</v>
      </c>
      <c r="AJ270" s="800" t="s">
        <v>230</v>
      </c>
      <c r="AK270" s="800" t="s">
        <v>230</v>
      </c>
      <c r="AL270" s="800" t="s">
        <v>230</v>
      </c>
      <c r="AM270" s="315"/>
      <c r="AN270" s="315"/>
    </row>
    <row r="271" spans="1:40" s="792" customFormat="1" ht="14.25" customHeight="1">
      <c r="A271" s="989" t="s">
        <v>388</v>
      </c>
      <c r="B271" s="791"/>
      <c r="C271" s="791"/>
      <c r="D271" s="791"/>
      <c r="E271" s="791"/>
      <c r="F271" s="790"/>
      <c r="G271" s="790"/>
      <c r="H271" s="790"/>
      <c r="I271" s="790"/>
      <c r="J271" s="790"/>
      <c r="K271" s="790"/>
      <c r="L271" s="790"/>
      <c r="M271" s="790"/>
      <c r="N271" s="790"/>
      <c r="O271" s="790"/>
      <c r="P271" s="790"/>
      <c r="Q271" s="790"/>
      <c r="R271" s="790"/>
      <c r="S271" s="790"/>
      <c r="T271" s="790"/>
      <c r="U271" s="790"/>
      <c r="V271" s="790"/>
      <c r="W271" s="790"/>
      <c r="X271" s="790"/>
      <c r="Y271" s="790"/>
      <c r="Z271" s="790"/>
      <c r="AA271" s="790"/>
      <c r="AB271" s="790"/>
      <c r="AC271" s="790"/>
      <c r="AD271" s="790"/>
      <c r="AE271" s="790"/>
      <c r="AF271" s="790"/>
      <c r="AG271" s="790"/>
      <c r="AH271" s="790"/>
      <c r="AI271" s="790"/>
      <c r="AJ271" s="790"/>
      <c r="AK271" s="790"/>
      <c r="AL271" s="790"/>
      <c r="AM271" s="791"/>
      <c r="AN271" s="791"/>
    </row>
    <row r="272" spans="1:40" ht="12.6">
      <c r="A272" s="990" t="s">
        <v>389</v>
      </c>
      <c r="B272" s="991" t="s">
        <v>121</v>
      </c>
      <c r="C272" s="991"/>
      <c r="D272" s="315"/>
      <c r="E272" s="991" t="s">
        <v>122</v>
      </c>
      <c r="F272" s="294">
        <f>'[5]Non-Ferrous Metals'!C17</f>
        <v>1119.1272145137464</v>
      </c>
      <c r="G272" s="294">
        <f>'[5]Non-Ferrous Metals'!D17</f>
        <v>1119.1272145137464</v>
      </c>
      <c r="H272" s="294">
        <f>'[5]Non-Ferrous Metals'!E17</f>
        <v>2137.5055878150347</v>
      </c>
      <c r="I272" s="294">
        <f>'[5]Non-Ferrous Metals'!F17</f>
        <v>3155.883961116323</v>
      </c>
      <c r="J272" s="294">
        <f>'[5]Non-Ferrous Metals'!G17</f>
        <v>4174.2623344176109</v>
      </c>
      <c r="K272" s="294">
        <f>'[5]Non-Ferrous Metals'!H17</f>
        <v>7467.3147070539762</v>
      </c>
      <c r="L272" s="294">
        <f>'[5]Non-Ferrous Metals'!I17</f>
        <v>10760.367079690341</v>
      </c>
      <c r="M272" s="294">
        <f>'[5]Non-Ferrous Metals'!J17</f>
        <v>14053.419452326703</v>
      </c>
      <c r="N272" s="294">
        <f>'[5]Non-Ferrous Metals'!K17</f>
        <v>17346.471824963068</v>
      </c>
      <c r="O272" s="294">
        <f>'[5]Non-Ferrous Metals'!L17</f>
        <v>19184.964890135554</v>
      </c>
      <c r="P272" s="294">
        <f>'[5]Non-Ferrous Metals'!M17</f>
        <v>21023.457955308051</v>
      </c>
      <c r="Q272" s="294">
        <f>'[5]Non-Ferrous Metals'!N17</f>
        <v>22861.951020480537</v>
      </c>
      <c r="R272" s="294">
        <f>'[5]Non-Ferrous Metals'!O17</f>
        <v>24700.444085653027</v>
      </c>
      <c r="S272" s="294">
        <f>'[5]Non-Ferrous Metals'!P17</f>
        <v>23803.406517725391</v>
      </c>
      <c r="T272" s="294">
        <f>'[5]Non-Ferrous Metals'!Q17</f>
        <v>22906.368949797761</v>
      </c>
      <c r="U272" s="294">
        <f>'[5]Non-Ferrous Metals'!R17</f>
        <v>22009.331381870124</v>
      </c>
      <c r="V272" s="294">
        <f>'[5]Non-Ferrous Metals'!S17</f>
        <v>21112.293813942491</v>
      </c>
      <c r="W272" s="294">
        <f>'[5]Non-Ferrous Metals'!T17</f>
        <v>18572.677600706389</v>
      </c>
      <c r="X272" s="294">
        <f>'[5]Non-Ferrous Metals'!U17</f>
        <v>16033.061387470289</v>
      </c>
      <c r="Y272" s="294">
        <f>'[5]Non-Ferrous Metals'!V17</f>
        <v>13493.44517423419</v>
      </c>
      <c r="Z272" s="294">
        <f>'[5]Non-Ferrous Metals'!W17</f>
        <v>10953.828960998086</v>
      </c>
      <c r="AA272" s="294">
        <f>'[5]Non-Ferrous Metals'!X17</f>
        <v>13625.011923865201</v>
      </c>
      <c r="AB272" s="294">
        <f>'[5]Non-Ferrous Metals'!Y17</f>
        <v>14082.243493629254</v>
      </c>
      <c r="AC272" s="294">
        <f>'[5]Non-Ferrous Metals'!Z17</f>
        <v>14059.00148077528</v>
      </c>
      <c r="AD272" s="294">
        <f>'[5]Non-Ferrous Metals'!AA17</f>
        <v>14092.322148790063</v>
      </c>
      <c r="AE272" s="294">
        <f>'[5]Non-Ferrous Metals'!AB17</f>
        <v>13338.378927921882</v>
      </c>
      <c r="AF272" s="294">
        <f>'[5]Non-Ferrous Metals'!AC17</f>
        <v>12940.947272996087</v>
      </c>
      <c r="AG272" s="294">
        <f>'[5]Non-Ferrous Metals'!AD17</f>
        <v>12754.119450386301</v>
      </c>
      <c r="AH272" s="294">
        <f>'[5]Non-Ferrous Metals'!AE17</f>
        <v>13007.708566421567</v>
      </c>
      <c r="AI272" s="294">
        <f>'[5]Non-Ferrous Metals'!AF17</f>
        <v>11680.489474546601</v>
      </c>
      <c r="AJ272" s="294">
        <f>'[5]Non-Ferrous Metals'!AG17</f>
        <v>10027.876422708476</v>
      </c>
      <c r="AK272" s="294">
        <f>'[5]Non-Ferrous Metals'!AH17</f>
        <v>11858.674847291588</v>
      </c>
      <c r="AL272" s="1068">
        <f>AK272</f>
        <v>11858.674847291588</v>
      </c>
      <c r="AM272" s="315"/>
      <c r="AN272" s="315"/>
    </row>
    <row r="273" spans="1:40" ht="12.6">
      <c r="A273" s="990" t="s">
        <v>390</v>
      </c>
      <c r="B273" s="991" t="s">
        <v>124</v>
      </c>
      <c r="C273" s="991"/>
      <c r="D273" s="315"/>
      <c r="E273" s="315" t="s">
        <v>125</v>
      </c>
      <c r="F273" s="300" t="s">
        <v>126</v>
      </c>
      <c r="G273" s="300" t="s">
        <v>126</v>
      </c>
      <c r="H273" s="300" t="s">
        <v>126</v>
      </c>
      <c r="I273" s="300" t="s">
        <v>126</v>
      </c>
      <c r="J273" s="300" t="s">
        <v>126</v>
      </c>
      <c r="K273" s="300" t="s">
        <v>126</v>
      </c>
      <c r="L273" s="300" t="s">
        <v>126</v>
      </c>
      <c r="M273" s="300" t="s">
        <v>126</v>
      </c>
      <c r="N273" s="300" t="s">
        <v>126</v>
      </c>
      <c r="O273" s="300" t="s">
        <v>126</v>
      </c>
      <c r="P273" s="300" t="s">
        <v>126</v>
      </c>
      <c r="Q273" s="300" t="s">
        <v>126</v>
      </c>
      <c r="R273" s="300" t="s">
        <v>126</v>
      </c>
      <c r="S273" s="300" t="s">
        <v>126</v>
      </c>
      <c r="T273" s="300" t="s">
        <v>126</v>
      </c>
      <c r="U273" s="300" t="s">
        <v>126</v>
      </c>
      <c r="V273" s="300" t="s">
        <v>126</v>
      </c>
      <c r="W273" s="300" t="s">
        <v>126</v>
      </c>
      <c r="X273" s="300" t="s">
        <v>126</v>
      </c>
      <c r="Y273" s="300" t="s">
        <v>126</v>
      </c>
      <c r="Z273" s="300" t="s">
        <v>126</v>
      </c>
      <c r="AA273" s="300" t="s">
        <v>126</v>
      </c>
      <c r="AB273" s="300" t="s">
        <v>126</v>
      </c>
      <c r="AC273" s="300" t="s">
        <v>126</v>
      </c>
      <c r="AD273" s="300" t="s">
        <v>126</v>
      </c>
      <c r="AE273" s="300" t="s">
        <v>126</v>
      </c>
      <c r="AF273" s="300" t="s">
        <v>126</v>
      </c>
      <c r="AG273" s="300" t="s">
        <v>126</v>
      </c>
      <c r="AH273" s="300" t="s">
        <v>126</v>
      </c>
      <c r="AI273" s="300" t="s">
        <v>126</v>
      </c>
      <c r="AJ273" s="300" t="s">
        <v>126</v>
      </c>
      <c r="AK273" s="300" t="s">
        <v>126</v>
      </c>
      <c r="AL273" s="300" t="s">
        <v>126</v>
      </c>
      <c r="AM273" s="315"/>
      <c r="AN273" s="315"/>
    </row>
    <row r="274" spans="1:40" ht="12.6">
      <c r="A274" s="990" t="s">
        <v>391</v>
      </c>
      <c r="B274" s="991" t="s">
        <v>128</v>
      </c>
      <c r="C274" s="991"/>
      <c r="D274" s="991" t="s">
        <v>129</v>
      </c>
      <c r="E274" s="991" t="s">
        <v>130</v>
      </c>
      <c r="F274" s="294">
        <f>'[5]Non-Ferrous Metals'!C22</f>
        <v>100.36680896629531</v>
      </c>
      <c r="G274" s="294">
        <f>'[5]Non-Ferrous Metals'!D22</f>
        <v>100.62443377803145</v>
      </c>
      <c r="H274" s="294">
        <f>'[5]Non-Ferrous Metals'!E22</f>
        <v>192.07170927745923</v>
      </c>
      <c r="I274" s="294">
        <f>'[5]Non-Ferrous Metals'!F22</f>
        <v>282.52482543912703</v>
      </c>
      <c r="J274" s="294">
        <f>'[5]Non-Ferrous Metals'!G22</f>
        <v>373.71172072876976</v>
      </c>
      <c r="K274" s="294">
        <f>'[5]Non-Ferrous Metals'!H22</f>
        <v>669.19559627063597</v>
      </c>
      <c r="L274" s="294">
        <f>'[5]Non-Ferrous Metals'!I22</f>
        <v>962.70493532655814</v>
      </c>
      <c r="M274" s="294">
        <f>'[5]Non-Ferrous Metals'!J22</f>
        <v>1257.489437741008</v>
      </c>
      <c r="N274" s="294">
        <f>'[5]Non-Ferrous Metals'!K22</f>
        <v>1554.428658031977</v>
      </c>
      <c r="O274" s="294">
        <f>'[5]Non-Ferrous Metals'!L22</f>
        <v>1719.9171692083441</v>
      </c>
      <c r="P274" s="294">
        <f>'[5]Non-Ferrous Metals'!M22</f>
        <v>1880.3951844170842</v>
      </c>
      <c r="Q274" s="294">
        <f>'[5]Non-Ferrous Metals'!N22</f>
        <v>2038.3093170922614</v>
      </c>
      <c r="R274" s="294">
        <f>'[5]Non-Ferrous Metals'!O22</f>
        <v>2194.2810593520003</v>
      </c>
      <c r="S274" s="294">
        <f>'[5]Non-Ferrous Metals'!P22</f>
        <v>2112.8610132881918</v>
      </c>
      <c r="T274" s="294">
        <f>'[5]Non-Ferrous Metals'!Q22</f>
        <v>2033.8247406996043</v>
      </c>
      <c r="U274" s="294">
        <f>'[5]Non-Ferrous Metals'!R22</f>
        <v>1973.0316597789988</v>
      </c>
      <c r="V274" s="294">
        <f>'[5]Non-Ferrous Metals'!S22</f>
        <v>1895.4111747972672</v>
      </c>
      <c r="W274" s="294">
        <f>'[5]Non-Ferrous Metals'!T22</f>
        <v>1666.0903413856483</v>
      </c>
      <c r="X274" s="294">
        <f>'[5]Non-Ferrous Metals'!U22</f>
        <v>1438.2397170080001</v>
      </c>
      <c r="Y274" s="294">
        <f>'[5]Non-Ferrous Metals'!V22</f>
        <v>1212.8046249556164</v>
      </c>
      <c r="Z274" s="294">
        <f>'[5]Non-Ferrous Metals'!W22</f>
        <v>984.53786546620267</v>
      </c>
      <c r="AA274" s="294">
        <f>'[5]Non-Ferrous Metals'!X22</f>
        <v>1225.5535251120784</v>
      </c>
      <c r="AB274" s="294">
        <f>'[5]Non-Ferrous Metals'!Y22</f>
        <v>1269.2923289641169</v>
      </c>
      <c r="AC274" s="294">
        <f>'[5]Non-Ferrous Metals'!Z22</f>
        <v>1266.7112819701863</v>
      </c>
      <c r="AD274" s="294">
        <f>'[5]Non-Ferrous Metals'!AA22</f>
        <v>1270.699158366036</v>
      </c>
      <c r="AE274" s="294">
        <f>'[5]Non-Ferrous Metals'!AB22</f>
        <v>1205.4298722583412</v>
      </c>
      <c r="AF274" s="294">
        <f>'[5]Non-Ferrous Metals'!AC22</f>
        <v>1170.8809766948048</v>
      </c>
      <c r="AG274" s="294">
        <f>'[5]Non-Ferrous Metals'!AD22</f>
        <v>1155.070650105511</v>
      </c>
      <c r="AH274" s="294">
        <f>'[5]Non-Ferrous Metals'!AE22</f>
        <v>1179.0033953504494</v>
      </c>
      <c r="AI274" s="294">
        <f>'[5]Non-Ferrous Metals'!AF22</f>
        <v>1058.3066688462243</v>
      </c>
      <c r="AJ274" s="294">
        <f>'[5]Non-Ferrous Metals'!AG22</f>
        <v>910.57280330144863</v>
      </c>
      <c r="AK274" s="294">
        <f>'[5]Non-Ferrous Metals'!AH22</f>
        <v>1075.4945094984835</v>
      </c>
      <c r="AL274" s="1068">
        <f>AK274</f>
        <v>1075.4945094984835</v>
      </c>
      <c r="AM274" s="315"/>
      <c r="AN274" s="315"/>
    </row>
    <row r="275" spans="1:40" ht="12.6">
      <c r="A275" s="990" t="s">
        <v>392</v>
      </c>
      <c r="B275" s="991" t="s">
        <v>132</v>
      </c>
      <c r="C275" s="991"/>
      <c r="D275" s="991" t="s">
        <v>129</v>
      </c>
      <c r="E275" s="991" t="s">
        <v>130</v>
      </c>
      <c r="F275" s="799" t="s">
        <v>106</v>
      </c>
      <c r="G275" s="799" t="s">
        <v>106</v>
      </c>
      <c r="H275" s="799" t="s">
        <v>106</v>
      </c>
      <c r="I275" s="799" t="s">
        <v>106</v>
      </c>
      <c r="J275" s="799" t="s">
        <v>106</v>
      </c>
      <c r="K275" s="799" t="s">
        <v>106</v>
      </c>
      <c r="L275" s="799" t="s">
        <v>106</v>
      </c>
      <c r="M275" s="799" t="s">
        <v>106</v>
      </c>
      <c r="N275" s="799" t="s">
        <v>106</v>
      </c>
      <c r="O275" s="799" t="s">
        <v>106</v>
      </c>
      <c r="P275" s="799" t="s">
        <v>106</v>
      </c>
      <c r="Q275" s="799" t="s">
        <v>106</v>
      </c>
      <c r="R275" s="799" t="s">
        <v>106</v>
      </c>
      <c r="S275" s="799" t="s">
        <v>106</v>
      </c>
      <c r="T275" s="799" t="s">
        <v>106</v>
      </c>
      <c r="U275" s="799" t="s">
        <v>106</v>
      </c>
      <c r="V275" s="799" t="s">
        <v>106</v>
      </c>
      <c r="W275" s="799" t="s">
        <v>106</v>
      </c>
      <c r="X275" s="799" t="s">
        <v>106</v>
      </c>
      <c r="Y275" s="799" t="s">
        <v>106</v>
      </c>
      <c r="Z275" s="799" t="s">
        <v>106</v>
      </c>
      <c r="AA275" s="799" t="s">
        <v>106</v>
      </c>
      <c r="AB275" s="799" t="s">
        <v>106</v>
      </c>
      <c r="AC275" s="799" t="s">
        <v>106</v>
      </c>
      <c r="AD275" s="799" t="s">
        <v>106</v>
      </c>
      <c r="AE275" s="799" t="s">
        <v>106</v>
      </c>
      <c r="AF275" s="799" t="s">
        <v>106</v>
      </c>
      <c r="AG275" s="799" t="s">
        <v>106</v>
      </c>
      <c r="AH275" s="799" t="s">
        <v>106</v>
      </c>
      <c r="AI275" s="799" t="s">
        <v>106</v>
      </c>
      <c r="AJ275" s="799" t="s">
        <v>106</v>
      </c>
      <c r="AK275" s="799" t="s">
        <v>106</v>
      </c>
      <c r="AL275" s="799" t="s">
        <v>106</v>
      </c>
      <c r="AM275" s="315"/>
      <c r="AN275" s="315"/>
    </row>
    <row r="276" spans="1:40" ht="12.6">
      <c r="A276" s="990" t="s">
        <v>393</v>
      </c>
      <c r="B276" s="991" t="s">
        <v>134</v>
      </c>
      <c r="D276" s="315"/>
      <c r="E276" s="315"/>
      <c r="F276" s="800" t="s">
        <v>230</v>
      </c>
      <c r="G276" s="800" t="s">
        <v>230</v>
      </c>
      <c r="H276" s="800" t="s">
        <v>230</v>
      </c>
      <c r="I276" s="800" t="s">
        <v>230</v>
      </c>
      <c r="J276" s="800" t="s">
        <v>230</v>
      </c>
      <c r="K276" s="800" t="s">
        <v>230</v>
      </c>
      <c r="L276" s="800" t="s">
        <v>230</v>
      </c>
      <c r="M276" s="800" t="s">
        <v>230</v>
      </c>
      <c r="N276" s="800" t="s">
        <v>230</v>
      </c>
      <c r="O276" s="800" t="s">
        <v>230</v>
      </c>
      <c r="P276" s="800" t="s">
        <v>230</v>
      </c>
      <c r="Q276" s="800" t="s">
        <v>230</v>
      </c>
      <c r="R276" s="800" t="s">
        <v>230</v>
      </c>
      <c r="S276" s="800" t="s">
        <v>230</v>
      </c>
      <c r="T276" s="800" t="s">
        <v>230</v>
      </c>
      <c r="U276" s="800" t="s">
        <v>230</v>
      </c>
      <c r="V276" s="800" t="s">
        <v>230</v>
      </c>
      <c r="W276" s="800" t="s">
        <v>230</v>
      </c>
      <c r="X276" s="800" t="s">
        <v>230</v>
      </c>
      <c r="Y276" s="800" t="s">
        <v>230</v>
      </c>
      <c r="Z276" s="800" t="s">
        <v>230</v>
      </c>
      <c r="AA276" s="800" t="s">
        <v>230</v>
      </c>
      <c r="AB276" s="800" t="s">
        <v>230</v>
      </c>
      <c r="AC276" s="800" t="s">
        <v>230</v>
      </c>
      <c r="AD276" s="800" t="s">
        <v>230</v>
      </c>
      <c r="AE276" s="800" t="s">
        <v>230</v>
      </c>
      <c r="AF276" s="800" t="s">
        <v>230</v>
      </c>
      <c r="AG276" s="800" t="s">
        <v>230</v>
      </c>
      <c r="AH276" s="800" t="s">
        <v>230</v>
      </c>
      <c r="AI276" s="800" t="s">
        <v>230</v>
      </c>
      <c r="AJ276" s="800" t="s">
        <v>230</v>
      </c>
      <c r="AK276" s="800" t="s">
        <v>230</v>
      </c>
      <c r="AL276" s="800" t="s">
        <v>230</v>
      </c>
      <c r="AM276" s="315"/>
      <c r="AN276" s="315"/>
    </row>
    <row r="277" spans="1:40" s="792" customFormat="1" ht="14.25" customHeight="1">
      <c r="A277" s="989" t="s">
        <v>394</v>
      </c>
      <c r="B277" s="791"/>
      <c r="C277" s="791"/>
      <c r="D277" s="791"/>
      <c r="E277" s="791"/>
      <c r="F277" s="790"/>
      <c r="G277" s="790"/>
      <c r="H277" s="790"/>
      <c r="I277" s="790"/>
      <c r="J277" s="790"/>
      <c r="K277" s="790"/>
      <c r="L277" s="790"/>
      <c r="M277" s="790"/>
      <c r="N277" s="790"/>
      <c r="O277" s="790"/>
      <c r="P277" s="790"/>
      <c r="Q277" s="790"/>
      <c r="R277" s="790"/>
      <c r="S277" s="790"/>
      <c r="T277" s="790"/>
      <c r="U277" s="790"/>
      <c r="V277" s="790"/>
      <c r="W277" s="790"/>
      <c r="X277" s="790"/>
      <c r="Y277" s="790"/>
      <c r="Z277" s="790"/>
      <c r="AA277" s="790"/>
      <c r="AB277" s="790"/>
      <c r="AC277" s="790"/>
      <c r="AD277" s="790"/>
      <c r="AE277" s="790"/>
      <c r="AF277" s="790"/>
      <c r="AG277" s="790"/>
      <c r="AH277" s="790"/>
      <c r="AI277" s="790"/>
      <c r="AJ277" s="790"/>
      <c r="AK277" s="790"/>
      <c r="AL277" s="790"/>
      <c r="AM277" s="791"/>
      <c r="AN277" s="791"/>
    </row>
    <row r="278" spans="1:40" ht="12.6">
      <c r="A278" s="990" t="s">
        <v>395</v>
      </c>
      <c r="B278" s="991" t="s">
        <v>121</v>
      </c>
      <c r="C278" s="991"/>
      <c r="D278" s="315"/>
      <c r="E278" s="991" t="s">
        <v>122</v>
      </c>
      <c r="F278" s="294">
        <f>'[5]Non-Ferrous Metals'!C18</f>
        <v>53013.756626760129</v>
      </c>
      <c r="G278" s="294">
        <f>'[5]Non-Ferrous Metals'!D18</f>
        <v>54004.658470440598</v>
      </c>
      <c r="H278" s="294">
        <f>'[5]Non-Ferrous Metals'!E18</f>
        <v>54995.560314121067</v>
      </c>
      <c r="I278" s="294">
        <f>'[5]Non-Ferrous Metals'!F18</f>
        <v>55986.462157801536</v>
      </c>
      <c r="J278" s="294">
        <f>'[5]Non-Ferrous Metals'!G18</f>
        <v>56977.364001482005</v>
      </c>
      <c r="K278" s="294">
        <f>'[5]Non-Ferrous Metals'!H18</f>
        <v>59704.185534827542</v>
      </c>
      <c r="L278" s="294">
        <f>'[5]Non-Ferrous Metals'!I18</f>
        <v>62431.007068173087</v>
      </c>
      <c r="M278" s="294">
        <f>'[5]Non-Ferrous Metals'!J18</f>
        <v>65157.828601518631</v>
      </c>
      <c r="N278" s="294">
        <f>'[5]Non-Ferrous Metals'!K18</f>
        <v>67884.650134864176</v>
      </c>
      <c r="O278" s="294">
        <f>'[5]Non-Ferrous Metals'!L18</f>
        <v>65903.29093862632</v>
      </c>
      <c r="P278" s="294">
        <f>'[5]Non-Ferrous Metals'!M18</f>
        <v>63921.931742388493</v>
      </c>
      <c r="Q278" s="294">
        <f>'[5]Non-Ferrous Metals'!N18</f>
        <v>61940.572546150644</v>
      </c>
      <c r="R278" s="294">
        <f>'[5]Non-Ferrous Metals'!O18</f>
        <v>59959.213349912796</v>
      </c>
      <c r="S278" s="294">
        <f>'[5]Non-Ferrous Metals'!P18</f>
        <v>59215.846470956822</v>
      </c>
      <c r="T278" s="294">
        <f>'[5]Non-Ferrous Metals'!Q18</f>
        <v>58472.479592000862</v>
      </c>
      <c r="U278" s="294">
        <f>'[5]Non-Ferrous Metals'!R18</f>
        <v>57729.112713044895</v>
      </c>
      <c r="V278" s="294">
        <f>'[5]Non-Ferrous Metals'!S18</f>
        <v>56985.745834088928</v>
      </c>
      <c r="W278" s="294">
        <f>'[5]Non-Ferrous Metals'!T18</f>
        <v>52237.154782559162</v>
      </c>
      <c r="X278" s="294">
        <f>'[5]Non-Ferrous Metals'!U18</f>
        <v>47488.563731029397</v>
      </c>
      <c r="Y278" s="294">
        <f>'[5]Non-Ferrous Metals'!V18</f>
        <v>42739.972679499631</v>
      </c>
      <c r="Z278" s="294">
        <f>'[5]Non-Ferrous Metals'!W18</f>
        <v>37991.381627969859</v>
      </c>
      <c r="AA278" s="294">
        <f>'[5]Non-Ferrous Metals'!X18</f>
        <v>47965.853789672758</v>
      </c>
      <c r="AB278" s="294">
        <f>'[5]Non-Ferrous Metals'!Y18</f>
        <v>48600.521025980706</v>
      </c>
      <c r="AC278" s="294">
        <f>'[5]Non-Ferrous Metals'!Z18</f>
        <v>50080.494832259712</v>
      </c>
      <c r="AD278" s="294">
        <f>'[5]Non-Ferrous Metals'!AA18</f>
        <v>50306.154695709185</v>
      </c>
      <c r="AE278" s="294">
        <f>'[5]Non-Ferrous Metals'!AB18</f>
        <v>48574.471203147696</v>
      </c>
      <c r="AF278" s="294">
        <f>'[5]Non-Ferrous Metals'!AC18</f>
        <v>48323.553671637339</v>
      </c>
      <c r="AG278" s="294">
        <f>'[5]Non-Ferrous Metals'!AD18</f>
        <v>47147.624480299055</v>
      </c>
      <c r="AH278" s="294">
        <f>'[5]Non-Ferrous Metals'!AE18</f>
        <v>49566.244855915313</v>
      </c>
      <c r="AI278" s="294">
        <f>'[5]Non-Ferrous Metals'!AF18</f>
        <v>44919.162097950102</v>
      </c>
      <c r="AJ278" s="294">
        <f>'[5]Non-Ferrous Metals'!AG18</f>
        <v>38153.519737074137</v>
      </c>
      <c r="AK278" s="294">
        <f>'[5]Non-Ferrous Metals'!AH18</f>
        <v>39653.547363953505</v>
      </c>
      <c r="AL278" s="1068">
        <f>AK278</f>
        <v>39653.547363953505</v>
      </c>
      <c r="AM278" s="315"/>
      <c r="AN278" s="315"/>
    </row>
    <row r="279" spans="1:40" ht="12.6">
      <c r="A279" s="990" t="s">
        <v>396</v>
      </c>
      <c r="B279" s="991" t="s">
        <v>124</v>
      </c>
      <c r="C279" s="991"/>
      <c r="D279" s="315"/>
      <c r="E279" s="315" t="s">
        <v>125</v>
      </c>
      <c r="F279" s="300" t="s">
        <v>126</v>
      </c>
      <c r="G279" s="300" t="s">
        <v>126</v>
      </c>
      <c r="H279" s="300" t="s">
        <v>126</v>
      </c>
      <c r="I279" s="300" t="s">
        <v>126</v>
      </c>
      <c r="J279" s="300" t="s">
        <v>126</v>
      </c>
      <c r="K279" s="300" t="s">
        <v>126</v>
      </c>
      <c r="L279" s="300" t="s">
        <v>126</v>
      </c>
      <c r="M279" s="300" t="s">
        <v>126</v>
      </c>
      <c r="N279" s="300" t="s">
        <v>126</v>
      </c>
      <c r="O279" s="300" t="s">
        <v>126</v>
      </c>
      <c r="P279" s="300" t="s">
        <v>126</v>
      </c>
      <c r="Q279" s="300" t="s">
        <v>126</v>
      </c>
      <c r="R279" s="300" t="s">
        <v>126</v>
      </c>
      <c r="S279" s="300" t="s">
        <v>126</v>
      </c>
      <c r="T279" s="300" t="s">
        <v>126</v>
      </c>
      <c r="U279" s="300" t="s">
        <v>126</v>
      </c>
      <c r="V279" s="300" t="s">
        <v>126</v>
      </c>
      <c r="W279" s="300" t="s">
        <v>126</v>
      </c>
      <c r="X279" s="300" t="s">
        <v>126</v>
      </c>
      <c r="Y279" s="300" t="s">
        <v>126</v>
      </c>
      <c r="Z279" s="300" t="s">
        <v>126</v>
      </c>
      <c r="AA279" s="300" t="s">
        <v>126</v>
      </c>
      <c r="AB279" s="300" t="s">
        <v>126</v>
      </c>
      <c r="AC279" s="300" t="s">
        <v>126</v>
      </c>
      <c r="AD279" s="300" t="s">
        <v>126</v>
      </c>
      <c r="AE279" s="300" t="s">
        <v>126</v>
      </c>
      <c r="AF279" s="300" t="s">
        <v>126</v>
      </c>
      <c r="AG279" s="300" t="s">
        <v>126</v>
      </c>
      <c r="AH279" s="300" t="s">
        <v>126</v>
      </c>
      <c r="AI279" s="300" t="s">
        <v>126</v>
      </c>
      <c r="AJ279" s="300" t="s">
        <v>126</v>
      </c>
      <c r="AK279" s="300" t="s">
        <v>126</v>
      </c>
      <c r="AL279" s="300" t="s">
        <v>126</v>
      </c>
      <c r="AM279" s="315"/>
      <c r="AN279" s="315"/>
    </row>
    <row r="280" spans="1:40" ht="12.6">
      <c r="A280" s="990" t="s">
        <v>397</v>
      </c>
      <c r="B280" s="991" t="s">
        <v>128</v>
      </c>
      <c r="C280" s="991"/>
      <c r="D280" s="991" t="s">
        <v>129</v>
      </c>
      <c r="E280" s="991" t="s">
        <v>130</v>
      </c>
      <c r="F280" s="294">
        <f>'[5]Non-Ferrous Metals'!C23</f>
        <v>2771.7209235437435</v>
      </c>
      <c r="G280" s="294">
        <f>'[5]Non-Ferrous Metals'!D23</f>
        <v>2837.1118201196814</v>
      </c>
      <c r="H280" s="294">
        <f>'[5]Non-Ferrous Metals'!E23</f>
        <v>2875.3500418900853</v>
      </c>
      <c r="I280" s="294">
        <f>'[5]Non-Ferrous Metals'!F23</f>
        <v>2937.45816837435</v>
      </c>
      <c r="J280" s="294">
        <f>'[5]Non-Ferrous Metals'!G23</f>
        <v>2982.5347321774721</v>
      </c>
      <c r="K280" s="294">
        <f>'[5]Non-Ferrous Metals'!H23</f>
        <v>3131.7707692897015</v>
      </c>
      <c r="L280" s="294">
        <f>'[5]Non-Ferrous Metals'!I23</f>
        <v>3250.3998623929265</v>
      </c>
      <c r="M280" s="294">
        <f>'[5]Non-Ferrous Metals'!J23</f>
        <v>3392.2103076226058</v>
      </c>
      <c r="N280" s="294">
        <f>'[5]Non-Ferrous Metals'!K23</f>
        <v>3534.6403556053101</v>
      </c>
      <c r="O280" s="294">
        <f>'[5]Non-Ferrous Metals'!L23</f>
        <v>3444.9499403028503</v>
      </c>
      <c r="P280" s="294">
        <f>'[5]Non-Ferrous Metals'!M23</f>
        <v>3334.0021125591479</v>
      </c>
      <c r="Q280" s="294">
        <f>'[5]Non-Ferrous Metals'!N23</f>
        <v>3242.3460906251394</v>
      </c>
      <c r="R280" s="294">
        <f>'[5]Non-Ferrous Metals'!O23</f>
        <v>3145.1812958699711</v>
      </c>
      <c r="S280" s="294">
        <f>'[5]Non-Ferrous Metals'!P23</f>
        <v>3081.1345282515354</v>
      </c>
      <c r="T280" s="294">
        <f>'[5]Non-Ferrous Metals'!Q23</f>
        <v>3040.9034707070241</v>
      </c>
      <c r="U280" s="294">
        <f>'[5]Non-Ferrous Metals'!R23</f>
        <v>3026.2882777688533</v>
      </c>
      <c r="V280" s="294">
        <f>'[5]Non-Ferrous Metals'!S23</f>
        <v>2964.7694771936181</v>
      </c>
      <c r="W280" s="294">
        <f>'[5]Non-Ferrous Metals'!T23</f>
        <v>2720.4737427410587</v>
      </c>
      <c r="X280" s="294">
        <f>'[5]Non-Ferrous Metals'!U23</f>
        <v>2489.3694804816027</v>
      </c>
      <c r="Y280" s="294">
        <f>'[5]Non-Ferrous Metals'!V23</f>
        <v>2273.6468463687761</v>
      </c>
      <c r="Z280" s="294">
        <f>'[5]Non-Ferrous Metals'!W23</f>
        <v>2013.5559259786639</v>
      </c>
      <c r="AA280" s="294">
        <f>'[5]Non-Ferrous Metals'!X23</f>
        <v>2540.2172265623276</v>
      </c>
      <c r="AB280" s="294">
        <f>'[5]Non-Ferrous Metals'!Y23</f>
        <v>2569.4121841589927</v>
      </c>
      <c r="AC280" s="294">
        <f>'[5]Non-Ferrous Metals'!Z23</f>
        <v>2628.369734477561</v>
      </c>
      <c r="AD280" s="294">
        <f>'[5]Non-Ferrous Metals'!AA23</f>
        <v>2639.1777258179732</v>
      </c>
      <c r="AE280" s="294">
        <f>'[5]Non-Ferrous Metals'!AB23</f>
        <v>2552.0745373536975</v>
      </c>
      <c r="AF280" s="294">
        <f>'[5]Non-Ferrous Metals'!AC23</f>
        <v>2511.6688024420773</v>
      </c>
      <c r="AG280" s="294">
        <f>'[5]Non-Ferrous Metals'!AD23</f>
        <v>2455.0522727871053</v>
      </c>
      <c r="AH280" s="294">
        <f>'[5]Non-Ferrous Metals'!AE23</f>
        <v>2570.4705358524343</v>
      </c>
      <c r="AI280" s="294">
        <f>'[5]Non-Ferrous Metals'!AF23</f>
        <v>2342.6126998854593</v>
      </c>
      <c r="AJ280" s="294">
        <f>'[5]Non-Ferrous Metals'!AG23</f>
        <v>2014.3001039180638</v>
      </c>
      <c r="AK280" s="294">
        <f>'[5]Non-Ferrous Metals'!AH23</f>
        <v>2078.5369895679096</v>
      </c>
      <c r="AL280" s="1068">
        <f>AK280</f>
        <v>2078.5369895679096</v>
      </c>
      <c r="AM280" s="315"/>
      <c r="AN280" s="315"/>
    </row>
    <row r="281" spans="1:40" ht="12.6">
      <c r="A281" s="990" t="s">
        <v>398</v>
      </c>
      <c r="B281" s="991" t="s">
        <v>132</v>
      </c>
      <c r="C281" s="991"/>
      <c r="D281" s="991" t="s">
        <v>129</v>
      </c>
      <c r="E281" s="991" t="s">
        <v>130</v>
      </c>
      <c r="F281" s="799" t="s">
        <v>106</v>
      </c>
      <c r="G281" s="799" t="s">
        <v>106</v>
      </c>
      <c r="H281" s="799" t="s">
        <v>106</v>
      </c>
      <c r="I281" s="799" t="s">
        <v>106</v>
      </c>
      <c r="J281" s="799" t="s">
        <v>106</v>
      </c>
      <c r="K281" s="799" t="s">
        <v>106</v>
      </c>
      <c r="L281" s="799" t="s">
        <v>106</v>
      </c>
      <c r="M281" s="799" t="s">
        <v>106</v>
      </c>
      <c r="N281" s="799" t="s">
        <v>106</v>
      </c>
      <c r="O281" s="799" t="s">
        <v>106</v>
      </c>
      <c r="P281" s="799" t="s">
        <v>106</v>
      </c>
      <c r="Q281" s="799" t="s">
        <v>106</v>
      </c>
      <c r="R281" s="799" t="s">
        <v>106</v>
      </c>
      <c r="S281" s="799" t="s">
        <v>106</v>
      </c>
      <c r="T281" s="799" t="s">
        <v>106</v>
      </c>
      <c r="U281" s="799" t="s">
        <v>106</v>
      </c>
      <c r="V281" s="799" t="s">
        <v>106</v>
      </c>
      <c r="W281" s="799" t="s">
        <v>106</v>
      </c>
      <c r="X281" s="799" t="s">
        <v>106</v>
      </c>
      <c r="Y281" s="799" t="s">
        <v>106</v>
      </c>
      <c r="Z281" s="799" t="s">
        <v>106</v>
      </c>
      <c r="AA281" s="799" t="s">
        <v>106</v>
      </c>
      <c r="AB281" s="799" t="s">
        <v>106</v>
      </c>
      <c r="AC281" s="799" t="s">
        <v>106</v>
      </c>
      <c r="AD281" s="799" t="s">
        <v>106</v>
      </c>
      <c r="AE281" s="799" t="s">
        <v>106</v>
      </c>
      <c r="AF281" s="799" t="s">
        <v>106</v>
      </c>
      <c r="AG281" s="799" t="s">
        <v>106</v>
      </c>
      <c r="AH281" s="799" t="s">
        <v>106</v>
      </c>
      <c r="AI281" s="799" t="s">
        <v>106</v>
      </c>
      <c r="AJ281" s="799" t="s">
        <v>106</v>
      </c>
      <c r="AK281" s="799" t="s">
        <v>106</v>
      </c>
      <c r="AL281" s="799" t="s">
        <v>106</v>
      </c>
      <c r="AM281" s="315"/>
      <c r="AN281" s="315"/>
    </row>
    <row r="282" spans="1:40" ht="12.6">
      <c r="A282" s="990" t="s">
        <v>399</v>
      </c>
      <c r="B282" s="991" t="s">
        <v>134</v>
      </c>
      <c r="D282" s="315"/>
      <c r="E282" s="315"/>
      <c r="F282" s="800" t="s">
        <v>230</v>
      </c>
      <c r="G282" s="800" t="s">
        <v>230</v>
      </c>
      <c r="H282" s="800" t="s">
        <v>230</v>
      </c>
      <c r="I282" s="800" t="s">
        <v>230</v>
      </c>
      <c r="J282" s="800" t="s">
        <v>230</v>
      </c>
      <c r="K282" s="800" t="s">
        <v>230</v>
      </c>
      <c r="L282" s="800" t="s">
        <v>230</v>
      </c>
      <c r="M282" s="800" t="s">
        <v>230</v>
      </c>
      <c r="N282" s="800" t="s">
        <v>230</v>
      </c>
      <c r="O282" s="800" t="s">
        <v>230</v>
      </c>
      <c r="P282" s="800" t="s">
        <v>230</v>
      </c>
      <c r="Q282" s="800" t="s">
        <v>230</v>
      </c>
      <c r="R282" s="800" t="s">
        <v>230</v>
      </c>
      <c r="S282" s="800" t="s">
        <v>230</v>
      </c>
      <c r="T282" s="800" t="s">
        <v>230</v>
      </c>
      <c r="U282" s="800" t="s">
        <v>230</v>
      </c>
      <c r="V282" s="800" t="s">
        <v>230</v>
      </c>
      <c r="W282" s="800" t="s">
        <v>230</v>
      </c>
      <c r="X282" s="800" t="s">
        <v>230</v>
      </c>
      <c r="Y282" s="800" t="s">
        <v>230</v>
      </c>
      <c r="Z282" s="800" t="s">
        <v>230</v>
      </c>
      <c r="AA282" s="800" t="s">
        <v>230</v>
      </c>
      <c r="AB282" s="800" t="s">
        <v>230</v>
      </c>
      <c r="AC282" s="800" t="s">
        <v>230</v>
      </c>
      <c r="AD282" s="800" t="s">
        <v>230</v>
      </c>
      <c r="AE282" s="800" t="s">
        <v>230</v>
      </c>
      <c r="AF282" s="800" t="s">
        <v>230</v>
      </c>
      <c r="AG282" s="800" t="s">
        <v>230</v>
      </c>
      <c r="AH282" s="800" t="s">
        <v>230</v>
      </c>
      <c r="AI282" s="800" t="s">
        <v>230</v>
      </c>
      <c r="AJ282" s="800" t="s">
        <v>230</v>
      </c>
      <c r="AK282" s="800" t="s">
        <v>230</v>
      </c>
      <c r="AL282" s="800" t="s">
        <v>230</v>
      </c>
      <c r="AM282" s="315"/>
      <c r="AN282" s="315"/>
    </row>
    <row r="283" spans="1:40" s="792" customFormat="1" ht="14.25" customHeight="1">
      <c r="A283" s="989" t="s">
        <v>400</v>
      </c>
      <c r="B283" s="791"/>
      <c r="C283" s="791"/>
      <c r="D283" s="791"/>
      <c r="E283" s="791"/>
      <c r="F283" s="790"/>
      <c r="G283" s="790"/>
      <c r="H283" s="790"/>
      <c r="I283" s="790"/>
      <c r="J283" s="790"/>
      <c r="K283" s="790"/>
      <c r="L283" s="790"/>
      <c r="M283" s="790"/>
      <c r="N283" s="790"/>
      <c r="O283" s="790"/>
      <c r="P283" s="790"/>
      <c r="Q283" s="790"/>
      <c r="R283" s="790"/>
      <c r="S283" s="790"/>
      <c r="T283" s="790"/>
      <c r="U283" s="790"/>
      <c r="V283" s="790"/>
      <c r="W283" s="790"/>
      <c r="X283" s="790"/>
      <c r="Y283" s="790"/>
      <c r="Z283" s="790"/>
      <c r="AA283" s="790"/>
      <c r="AB283" s="790"/>
      <c r="AC283" s="790"/>
      <c r="AD283" s="790"/>
      <c r="AE283" s="790"/>
      <c r="AF283" s="790"/>
      <c r="AG283" s="790"/>
      <c r="AH283" s="790"/>
      <c r="AI283" s="790"/>
      <c r="AJ283" s="790"/>
      <c r="AK283" s="790"/>
      <c r="AL283" s="790"/>
      <c r="AM283" s="791"/>
      <c r="AN283" s="791"/>
    </row>
    <row r="284" spans="1:40" ht="12.6">
      <c r="A284" s="990" t="s">
        <v>401</v>
      </c>
      <c r="B284" s="991" t="s">
        <v>121</v>
      </c>
      <c r="C284" s="991"/>
      <c r="D284" s="315"/>
      <c r="E284" s="991" t="s">
        <v>122</v>
      </c>
      <c r="F284" s="799" t="s">
        <v>108</v>
      </c>
      <c r="G284" s="799" t="s">
        <v>108</v>
      </c>
      <c r="H284" s="799" t="s">
        <v>108</v>
      </c>
      <c r="I284" s="799" t="s">
        <v>108</v>
      </c>
      <c r="J284" s="799" t="s">
        <v>108</v>
      </c>
      <c r="K284" s="799" t="s">
        <v>108</v>
      </c>
      <c r="L284" s="799" t="s">
        <v>108</v>
      </c>
      <c r="M284" s="799" t="s">
        <v>108</v>
      </c>
      <c r="N284" s="799" t="s">
        <v>108</v>
      </c>
      <c r="O284" s="799" t="s">
        <v>108</v>
      </c>
      <c r="P284" s="799" t="s">
        <v>108</v>
      </c>
      <c r="Q284" s="799" t="s">
        <v>108</v>
      </c>
      <c r="R284" s="799" t="s">
        <v>108</v>
      </c>
      <c r="S284" s="799" t="s">
        <v>108</v>
      </c>
      <c r="T284" s="799" t="s">
        <v>108</v>
      </c>
      <c r="U284" s="799" t="s">
        <v>108</v>
      </c>
      <c r="V284" s="799" t="s">
        <v>108</v>
      </c>
      <c r="W284" s="799" t="s">
        <v>108</v>
      </c>
      <c r="X284" s="799" t="s">
        <v>108</v>
      </c>
      <c r="Y284" s="799" t="s">
        <v>108</v>
      </c>
      <c r="Z284" s="799" t="s">
        <v>108</v>
      </c>
      <c r="AA284" s="799" t="s">
        <v>108</v>
      </c>
      <c r="AB284" s="799" t="s">
        <v>108</v>
      </c>
      <c r="AC284" s="799" t="s">
        <v>108</v>
      </c>
      <c r="AD284" s="799" t="s">
        <v>108</v>
      </c>
      <c r="AE284" s="799" t="s">
        <v>108</v>
      </c>
      <c r="AF284" s="799" t="s">
        <v>108</v>
      </c>
      <c r="AG284" s="799" t="s">
        <v>108</v>
      </c>
      <c r="AH284" s="799" t="s">
        <v>108</v>
      </c>
      <c r="AI284" s="799" t="s">
        <v>108</v>
      </c>
      <c r="AJ284" s="799" t="s">
        <v>108</v>
      </c>
      <c r="AK284" s="799" t="s">
        <v>108</v>
      </c>
      <c r="AL284" s="799" t="s">
        <v>108</v>
      </c>
      <c r="AM284" s="315"/>
      <c r="AN284" s="315"/>
    </row>
    <row r="285" spans="1:40" ht="12.6">
      <c r="A285" s="990" t="s">
        <v>402</v>
      </c>
      <c r="B285" s="991" t="s">
        <v>124</v>
      </c>
      <c r="C285" s="991"/>
      <c r="D285" s="315"/>
      <c r="E285" s="315" t="s">
        <v>125</v>
      </c>
      <c r="F285" s="799" t="s">
        <v>126</v>
      </c>
      <c r="G285" s="799" t="s">
        <v>126</v>
      </c>
      <c r="H285" s="799" t="s">
        <v>126</v>
      </c>
      <c r="I285" s="799" t="s">
        <v>126</v>
      </c>
      <c r="J285" s="799" t="s">
        <v>126</v>
      </c>
      <c r="K285" s="799" t="s">
        <v>126</v>
      </c>
      <c r="L285" s="799" t="s">
        <v>126</v>
      </c>
      <c r="M285" s="799" t="s">
        <v>126</v>
      </c>
      <c r="N285" s="799" t="s">
        <v>126</v>
      </c>
      <c r="O285" s="799" t="s">
        <v>126</v>
      </c>
      <c r="P285" s="799" t="s">
        <v>126</v>
      </c>
      <c r="Q285" s="799" t="s">
        <v>126</v>
      </c>
      <c r="R285" s="799" t="s">
        <v>126</v>
      </c>
      <c r="S285" s="799" t="s">
        <v>126</v>
      </c>
      <c r="T285" s="799" t="s">
        <v>126</v>
      </c>
      <c r="U285" s="799" t="s">
        <v>126</v>
      </c>
      <c r="V285" s="799" t="s">
        <v>126</v>
      </c>
      <c r="W285" s="799" t="s">
        <v>126</v>
      </c>
      <c r="X285" s="799" t="s">
        <v>126</v>
      </c>
      <c r="Y285" s="799" t="s">
        <v>126</v>
      </c>
      <c r="Z285" s="799" t="s">
        <v>126</v>
      </c>
      <c r="AA285" s="799" t="s">
        <v>126</v>
      </c>
      <c r="AB285" s="799" t="s">
        <v>126</v>
      </c>
      <c r="AC285" s="799" t="s">
        <v>126</v>
      </c>
      <c r="AD285" s="799" t="s">
        <v>126</v>
      </c>
      <c r="AE285" s="799" t="s">
        <v>126</v>
      </c>
      <c r="AF285" s="799" t="s">
        <v>126</v>
      </c>
      <c r="AG285" s="799" t="s">
        <v>126</v>
      </c>
      <c r="AH285" s="799" t="s">
        <v>126</v>
      </c>
      <c r="AI285" s="799" t="s">
        <v>126</v>
      </c>
      <c r="AJ285" s="799" t="s">
        <v>126</v>
      </c>
      <c r="AK285" s="799" t="s">
        <v>126</v>
      </c>
      <c r="AL285" s="799" t="s">
        <v>126</v>
      </c>
      <c r="AM285" s="315"/>
      <c r="AN285" s="315"/>
    </row>
    <row r="286" spans="1:40" ht="12.6">
      <c r="A286" s="990" t="s">
        <v>403</v>
      </c>
      <c r="B286" s="991" t="s">
        <v>128</v>
      </c>
      <c r="C286" s="991"/>
      <c r="D286" s="991" t="s">
        <v>129</v>
      </c>
      <c r="E286" s="991" t="s">
        <v>130</v>
      </c>
      <c r="F286" s="799" t="s">
        <v>108</v>
      </c>
      <c r="G286" s="799" t="s">
        <v>108</v>
      </c>
      <c r="H286" s="799" t="s">
        <v>108</v>
      </c>
      <c r="I286" s="799" t="s">
        <v>108</v>
      </c>
      <c r="J286" s="799" t="s">
        <v>108</v>
      </c>
      <c r="K286" s="799" t="s">
        <v>108</v>
      </c>
      <c r="L286" s="799" t="s">
        <v>108</v>
      </c>
      <c r="M286" s="799" t="s">
        <v>108</v>
      </c>
      <c r="N286" s="799" t="s">
        <v>108</v>
      </c>
      <c r="O286" s="799" t="s">
        <v>108</v>
      </c>
      <c r="P286" s="799" t="s">
        <v>108</v>
      </c>
      <c r="Q286" s="799" t="s">
        <v>108</v>
      </c>
      <c r="R286" s="799" t="s">
        <v>108</v>
      </c>
      <c r="S286" s="799" t="s">
        <v>108</v>
      </c>
      <c r="T286" s="799" t="s">
        <v>108</v>
      </c>
      <c r="U286" s="799" t="s">
        <v>108</v>
      </c>
      <c r="V286" s="799" t="s">
        <v>108</v>
      </c>
      <c r="W286" s="799" t="s">
        <v>108</v>
      </c>
      <c r="X286" s="799" t="s">
        <v>108</v>
      </c>
      <c r="Y286" s="799" t="s">
        <v>108</v>
      </c>
      <c r="Z286" s="799" t="s">
        <v>108</v>
      </c>
      <c r="AA286" s="799" t="s">
        <v>108</v>
      </c>
      <c r="AB286" s="799" t="s">
        <v>108</v>
      </c>
      <c r="AC286" s="799" t="s">
        <v>108</v>
      </c>
      <c r="AD286" s="799" t="s">
        <v>108</v>
      </c>
      <c r="AE286" s="799" t="s">
        <v>108</v>
      </c>
      <c r="AF286" s="799" t="s">
        <v>108</v>
      </c>
      <c r="AG286" s="799" t="s">
        <v>108</v>
      </c>
      <c r="AH286" s="799" t="s">
        <v>108</v>
      </c>
      <c r="AI286" s="799" t="s">
        <v>108</v>
      </c>
      <c r="AJ286" s="799" t="s">
        <v>108</v>
      </c>
      <c r="AK286" s="799" t="s">
        <v>108</v>
      </c>
      <c r="AL286" s="799" t="s">
        <v>108</v>
      </c>
      <c r="AM286" s="315"/>
      <c r="AN286" s="315"/>
    </row>
    <row r="287" spans="1:40" ht="12.6">
      <c r="A287" s="990" t="s">
        <v>404</v>
      </c>
      <c r="B287" s="991" t="s">
        <v>132</v>
      </c>
      <c r="C287" s="991"/>
      <c r="D287" s="991" t="s">
        <v>129</v>
      </c>
      <c r="E287" s="991" t="s">
        <v>130</v>
      </c>
      <c r="F287" s="794" t="s">
        <v>108</v>
      </c>
      <c r="G287" s="794" t="s">
        <v>108</v>
      </c>
      <c r="H287" s="794" t="s">
        <v>108</v>
      </c>
      <c r="I287" s="794" t="s">
        <v>108</v>
      </c>
      <c r="J287" s="794" t="s">
        <v>108</v>
      </c>
      <c r="K287" s="794" t="s">
        <v>108</v>
      </c>
      <c r="L287" s="794" t="s">
        <v>108</v>
      </c>
      <c r="M287" s="794" t="s">
        <v>108</v>
      </c>
      <c r="N287" s="794" t="s">
        <v>108</v>
      </c>
      <c r="O287" s="794" t="s">
        <v>108</v>
      </c>
      <c r="P287" s="794" t="s">
        <v>108</v>
      </c>
      <c r="Q287" s="794" t="s">
        <v>108</v>
      </c>
      <c r="R287" s="794" t="s">
        <v>108</v>
      </c>
      <c r="S287" s="794" t="s">
        <v>108</v>
      </c>
      <c r="T287" s="794" t="s">
        <v>108</v>
      </c>
      <c r="U287" s="794" t="s">
        <v>108</v>
      </c>
      <c r="V287" s="794" t="s">
        <v>108</v>
      </c>
      <c r="W287" s="794" t="s">
        <v>108</v>
      </c>
      <c r="X287" s="794" t="s">
        <v>108</v>
      </c>
      <c r="Y287" s="794" t="s">
        <v>108</v>
      </c>
      <c r="Z287" s="794" t="s">
        <v>108</v>
      </c>
      <c r="AA287" s="794" t="s">
        <v>108</v>
      </c>
      <c r="AB287" s="794" t="s">
        <v>108</v>
      </c>
      <c r="AC287" s="794" t="s">
        <v>108</v>
      </c>
      <c r="AD287" s="794" t="s">
        <v>108</v>
      </c>
      <c r="AE287" s="794" t="s">
        <v>108</v>
      </c>
      <c r="AF287" s="794" t="s">
        <v>108</v>
      </c>
      <c r="AG287" s="794" t="s">
        <v>108</v>
      </c>
      <c r="AH287" s="794" t="s">
        <v>108</v>
      </c>
      <c r="AI287" s="794" t="s">
        <v>108</v>
      </c>
      <c r="AJ287" s="794" t="s">
        <v>108</v>
      </c>
      <c r="AK287" s="794" t="s">
        <v>108</v>
      </c>
      <c r="AL287" s="794" t="s">
        <v>108</v>
      </c>
      <c r="AM287" s="315"/>
      <c r="AN287" s="315"/>
    </row>
    <row r="288" spans="1:40" ht="12.6">
      <c r="A288" s="990" t="s">
        <v>405</v>
      </c>
      <c r="B288" s="991" t="s">
        <v>134</v>
      </c>
      <c r="D288" s="315"/>
      <c r="E288" s="315"/>
      <c r="F288" s="801"/>
      <c r="G288" s="802"/>
      <c r="H288" s="802"/>
      <c r="I288" s="802"/>
      <c r="J288" s="802"/>
      <c r="K288" s="802"/>
      <c r="L288" s="802"/>
      <c r="M288" s="802"/>
      <c r="N288" s="802"/>
      <c r="O288" s="802"/>
      <c r="P288" s="802"/>
      <c r="Q288" s="802"/>
      <c r="R288" s="802"/>
      <c r="S288" s="802"/>
      <c r="T288" s="802"/>
      <c r="U288" s="802"/>
      <c r="V288" s="802"/>
      <c r="W288" s="802"/>
      <c r="X288" s="802"/>
      <c r="Y288" s="802"/>
      <c r="Z288" s="802"/>
      <c r="AA288" s="802"/>
      <c r="AB288" s="802"/>
      <c r="AC288" s="802"/>
      <c r="AD288" s="802"/>
      <c r="AE288" s="802"/>
      <c r="AF288" s="802"/>
      <c r="AG288" s="802"/>
      <c r="AH288" s="802"/>
      <c r="AI288" s="802"/>
      <c r="AJ288" s="802"/>
      <c r="AK288" s="802"/>
      <c r="AL288" s="802"/>
      <c r="AM288" s="315"/>
      <c r="AN288" s="315"/>
    </row>
    <row r="289" spans="1:40" s="792" customFormat="1" ht="14.25" customHeight="1">
      <c r="A289" s="989" t="s">
        <v>406</v>
      </c>
      <c r="B289" s="791"/>
      <c r="C289" s="791"/>
      <c r="D289" s="791"/>
      <c r="E289" s="791"/>
      <c r="F289" s="790"/>
      <c r="G289" s="790"/>
      <c r="H289" s="790"/>
      <c r="I289" s="790"/>
      <c r="J289" s="790"/>
      <c r="K289" s="790"/>
      <c r="L289" s="790"/>
      <c r="M289" s="790"/>
      <c r="N289" s="790"/>
      <c r="O289" s="790"/>
      <c r="P289" s="790"/>
      <c r="Q289" s="790"/>
      <c r="R289" s="790"/>
      <c r="S289" s="790"/>
      <c r="T289" s="790"/>
      <c r="U289" s="790"/>
      <c r="V289" s="790"/>
      <c r="W289" s="790"/>
      <c r="X289" s="790"/>
      <c r="Y289" s="790"/>
      <c r="Z289" s="790"/>
      <c r="AA289" s="790"/>
      <c r="AB289" s="790"/>
      <c r="AC289" s="790"/>
      <c r="AD289" s="790"/>
      <c r="AE289" s="790"/>
      <c r="AF289" s="790"/>
      <c r="AG289" s="790"/>
      <c r="AH289" s="790"/>
      <c r="AI289" s="790"/>
      <c r="AJ289" s="790"/>
      <c r="AK289" s="790"/>
      <c r="AL289" s="790"/>
      <c r="AM289" s="791"/>
      <c r="AN289" s="791"/>
    </row>
    <row r="290" spans="1:40" ht="12.6">
      <c r="A290" s="990" t="s">
        <v>407</v>
      </c>
      <c r="B290" s="991" t="s">
        <v>121</v>
      </c>
      <c r="C290" s="991"/>
      <c r="D290" s="315"/>
      <c r="E290" s="991" t="s">
        <v>122</v>
      </c>
      <c r="F290" s="300" t="s">
        <v>108</v>
      </c>
      <c r="G290" s="300" t="s">
        <v>108</v>
      </c>
      <c r="H290" s="300" t="s">
        <v>108</v>
      </c>
      <c r="I290" s="300" t="s">
        <v>108</v>
      </c>
      <c r="J290" s="300" t="s">
        <v>108</v>
      </c>
      <c r="K290" s="300" t="s">
        <v>108</v>
      </c>
      <c r="L290" s="300" t="s">
        <v>108</v>
      </c>
      <c r="M290" s="300" t="s">
        <v>108</v>
      </c>
      <c r="N290" s="300" t="s">
        <v>108</v>
      </c>
      <c r="O290" s="300" t="s">
        <v>108</v>
      </c>
      <c r="P290" s="300" t="s">
        <v>108</v>
      </c>
      <c r="Q290" s="300" t="s">
        <v>108</v>
      </c>
      <c r="R290" s="300" t="s">
        <v>108</v>
      </c>
      <c r="S290" s="300" t="s">
        <v>108</v>
      </c>
      <c r="T290" s="300" t="s">
        <v>108</v>
      </c>
      <c r="U290" s="300" t="s">
        <v>108</v>
      </c>
      <c r="V290" s="300" t="s">
        <v>108</v>
      </c>
      <c r="W290" s="300" t="s">
        <v>108</v>
      </c>
      <c r="X290" s="300" t="s">
        <v>108</v>
      </c>
      <c r="Y290" s="300" t="s">
        <v>108</v>
      </c>
      <c r="Z290" s="300" t="s">
        <v>108</v>
      </c>
      <c r="AA290" s="300" t="s">
        <v>108</v>
      </c>
      <c r="AB290" s="300" t="s">
        <v>108</v>
      </c>
      <c r="AC290" s="300" t="s">
        <v>108</v>
      </c>
      <c r="AD290" s="300" t="s">
        <v>108</v>
      </c>
      <c r="AE290" s="300" t="s">
        <v>108</v>
      </c>
      <c r="AF290" s="300" t="s">
        <v>108</v>
      </c>
      <c r="AG290" s="300" t="s">
        <v>108</v>
      </c>
      <c r="AH290" s="300" t="s">
        <v>108</v>
      </c>
      <c r="AI290" s="300" t="s">
        <v>108</v>
      </c>
      <c r="AJ290" s="300" t="s">
        <v>108</v>
      </c>
      <c r="AK290" s="300" t="s">
        <v>108</v>
      </c>
      <c r="AL290" s="300" t="s">
        <v>108</v>
      </c>
      <c r="AM290" s="315"/>
      <c r="AN290" s="315"/>
    </row>
    <row r="291" spans="1:40" ht="12.6">
      <c r="A291" s="990" t="s">
        <v>408</v>
      </c>
      <c r="B291" s="991" t="s">
        <v>124</v>
      </c>
      <c r="C291" s="991"/>
      <c r="D291" s="315"/>
      <c r="E291" s="315" t="s">
        <v>125</v>
      </c>
      <c r="F291" s="799" t="s">
        <v>126</v>
      </c>
      <c r="G291" s="799" t="s">
        <v>126</v>
      </c>
      <c r="H291" s="799" t="s">
        <v>126</v>
      </c>
      <c r="I291" s="799" t="s">
        <v>126</v>
      </c>
      <c r="J291" s="799" t="s">
        <v>126</v>
      </c>
      <c r="K291" s="799" t="s">
        <v>126</v>
      </c>
      <c r="L291" s="799" t="s">
        <v>126</v>
      </c>
      <c r="M291" s="799" t="s">
        <v>126</v>
      </c>
      <c r="N291" s="799" t="s">
        <v>126</v>
      </c>
      <c r="O291" s="799" t="s">
        <v>126</v>
      </c>
      <c r="P291" s="799" t="s">
        <v>126</v>
      </c>
      <c r="Q291" s="799" t="s">
        <v>126</v>
      </c>
      <c r="R291" s="799" t="s">
        <v>126</v>
      </c>
      <c r="S291" s="799" t="s">
        <v>126</v>
      </c>
      <c r="T291" s="799" t="s">
        <v>126</v>
      </c>
      <c r="U291" s="799" t="s">
        <v>126</v>
      </c>
      <c r="V291" s="799" t="s">
        <v>126</v>
      </c>
      <c r="W291" s="799" t="s">
        <v>126</v>
      </c>
      <c r="X291" s="799" t="s">
        <v>126</v>
      </c>
      <c r="Y291" s="799" t="s">
        <v>126</v>
      </c>
      <c r="Z291" s="799" t="s">
        <v>126</v>
      </c>
      <c r="AA291" s="799" t="s">
        <v>126</v>
      </c>
      <c r="AB291" s="799" t="s">
        <v>126</v>
      </c>
      <c r="AC291" s="799" t="s">
        <v>126</v>
      </c>
      <c r="AD291" s="799" t="s">
        <v>126</v>
      </c>
      <c r="AE291" s="799" t="s">
        <v>126</v>
      </c>
      <c r="AF291" s="799" t="s">
        <v>126</v>
      </c>
      <c r="AG291" s="799" t="s">
        <v>126</v>
      </c>
      <c r="AH291" s="799" t="s">
        <v>126</v>
      </c>
      <c r="AI291" s="799" t="s">
        <v>126</v>
      </c>
      <c r="AJ291" s="799" t="s">
        <v>126</v>
      </c>
      <c r="AK291" s="799" t="s">
        <v>126</v>
      </c>
      <c r="AL291" s="799" t="s">
        <v>126</v>
      </c>
      <c r="AM291" s="315"/>
      <c r="AN291" s="315"/>
    </row>
    <row r="292" spans="1:40" ht="12.6">
      <c r="A292" s="990" t="s">
        <v>409</v>
      </c>
      <c r="B292" s="991" t="s">
        <v>128</v>
      </c>
      <c r="C292" s="991"/>
      <c r="D292" s="991" t="s">
        <v>129</v>
      </c>
      <c r="E292" s="991" t="s">
        <v>130</v>
      </c>
      <c r="F292" s="300" t="s">
        <v>108</v>
      </c>
      <c r="G292" s="300" t="s">
        <v>108</v>
      </c>
      <c r="H292" s="300" t="s">
        <v>108</v>
      </c>
      <c r="I292" s="300" t="s">
        <v>108</v>
      </c>
      <c r="J292" s="300" t="s">
        <v>108</v>
      </c>
      <c r="K292" s="300" t="s">
        <v>108</v>
      </c>
      <c r="L292" s="300" t="s">
        <v>108</v>
      </c>
      <c r="M292" s="300" t="s">
        <v>108</v>
      </c>
      <c r="N292" s="300" t="s">
        <v>108</v>
      </c>
      <c r="O292" s="300" t="s">
        <v>108</v>
      </c>
      <c r="P292" s="300" t="s">
        <v>108</v>
      </c>
      <c r="Q292" s="300" t="s">
        <v>108</v>
      </c>
      <c r="R292" s="300" t="s">
        <v>108</v>
      </c>
      <c r="S292" s="300" t="s">
        <v>108</v>
      </c>
      <c r="T292" s="300" t="s">
        <v>108</v>
      </c>
      <c r="U292" s="300" t="s">
        <v>108</v>
      </c>
      <c r="V292" s="300" t="s">
        <v>108</v>
      </c>
      <c r="W292" s="300" t="s">
        <v>108</v>
      </c>
      <c r="X292" s="300" t="s">
        <v>108</v>
      </c>
      <c r="Y292" s="300" t="s">
        <v>108</v>
      </c>
      <c r="Z292" s="300" t="s">
        <v>108</v>
      </c>
      <c r="AA292" s="300" t="s">
        <v>108</v>
      </c>
      <c r="AB292" s="300" t="s">
        <v>108</v>
      </c>
      <c r="AC292" s="300" t="s">
        <v>108</v>
      </c>
      <c r="AD292" s="300" t="s">
        <v>108</v>
      </c>
      <c r="AE292" s="300" t="s">
        <v>108</v>
      </c>
      <c r="AF292" s="300" t="s">
        <v>108</v>
      </c>
      <c r="AG292" s="300" t="s">
        <v>108</v>
      </c>
      <c r="AH292" s="300" t="s">
        <v>108</v>
      </c>
      <c r="AI292" s="300" t="s">
        <v>108</v>
      </c>
      <c r="AJ292" s="300" t="s">
        <v>108</v>
      </c>
      <c r="AK292" s="300" t="s">
        <v>108</v>
      </c>
      <c r="AL292" s="300" t="s">
        <v>108</v>
      </c>
      <c r="AM292" s="315"/>
      <c r="AN292" s="315"/>
    </row>
    <row r="293" spans="1:40" ht="12.6">
      <c r="A293" s="990" t="s">
        <v>410</v>
      </c>
      <c r="B293" s="991" t="s">
        <v>132</v>
      </c>
      <c r="C293" s="991"/>
      <c r="D293" s="991" t="s">
        <v>129</v>
      </c>
      <c r="E293" s="991" t="s">
        <v>130</v>
      </c>
      <c r="F293" s="794" t="s">
        <v>108</v>
      </c>
      <c r="G293" s="794" t="s">
        <v>108</v>
      </c>
      <c r="H293" s="794" t="s">
        <v>108</v>
      </c>
      <c r="I293" s="794" t="s">
        <v>108</v>
      </c>
      <c r="J293" s="794" t="s">
        <v>108</v>
      </c>
      <c r="K293" s="794" t="s">
        <v>108</v>
      </c>
      <c r="L293" s="794" t="s">
        <v>108</v>
      </c>
      <c r="M293" s="794" t="s">
        <v>108</v>
      </c>
      <c r="N293" s="794" t="s">
        <v>108</v>
      </c>
      <c r="O293" s="794" t="s">
        <v>108</v>
      </c>
      <c r="P293" s="794" t="s">
        <v>108</v>
      </c>
      <c r="Q293" s="794" t="s">
        <v>108</v>
      </c>
      <c r="R293" s="794" t="s">
        <v>108</v>
      </c>
      <c r="S293" s="794" t="s">
        <v>108</v>
      </c>
      <c r="T293" s="794" t="s">
        <v>108</v>
      </c>
      <c r="U293" s="794" t="s">
        <v>108</v>
      </c>
      <c r="V293" s="794" t="s">
        <v>108</v>
      </c>
      <c r="W293" s="794" t="s">
        <v>108</v>
      </c>
      <c r="X293" s="794" t="s">
        <v>108</v>
      </c>
      <c r="Y293" s="794" t="s">
        <v>108</v>
      </c>
      <c r="Z293" s="794" t="s">
        <v>108</v>
      </c>
      <c r="AA293" s="794" t="s">
        <v>108</v>
      </c>
      <c r="AB293" s="794" t="s">
        <v>108</v>
      </c>
      <c r="AC293" s="794" t="s">
        <v>108</v>
      </c>
      <c r="AD293" s="794" t="s">
        <v>108</v>
      </c>
      <c r="AE293" s="794" t="s">
        <v>108</v>
      </c>
      <c r="AF293" s="794" t="s">
        <v>108</v>
      </c>
      <c r="AG293" s="794" t="s">
        <v>108</v>
      </c>
      <c r="AH293" s="794" t="s">
        <v>108</v>
      </c>
      <c r="AI293" s="794" t="s">
        <v>108</v>
      </c>
      <c r="AJ293" s="794" t="s">
        <v>108</v>
      </c>
      <c r="AK293" s="794" t="s">
        <v>108</v>
      </c>
      <c r="AL293" s="794" t="s">
        <v>108</v>
      </c>
      <c r="AM293" s="315"/>
      <c r="AN293" s="315"/>
    </row>
    <row r="294" spans="1:40" ht="12.6">
      <c r="A294" s="990" t="s">
        <v>411</v>
      </c>
      <c r="B294" s="991" t="s">
        <v>134</v>
      </c>
      <c r="D294" s="315"/>
      <c r="E294" s="315"/>
      <c r="F294" s="801"/>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315"/>
      <c r="AN294" s="315"/>
    </row>
    <row r="295" spans="1:40" s="797" customFormat="1" ht="12.95">
      <c r="A295" s="796" t="s">
        <v>412</v>
      </c>
      <c r="B295" s="796"/>
      <c r="C295" s="796"/>
      <c r="D295" s="796"/>
      <c r="E295" s="796"/>
      <c r="F295" s="795"/>
      <c r="G295" s="795"/>
      <c r="H295" s="795"/>
      <c r="I295" s="795"/>
      <c r="J295" s="795"/>
      <c r="K295" s="795"/>
      <c r="L295" s="795"/>
      <c r="M295" s="795"/>
      <c r="N295" s="795"/>
      <c r="O295" s="795"/>
      <c r="P295" s="795"/>
      <c r="Q295" s="795"/>
      <c r="R295" s="795"/>
      <c r="S295" s="795"/>
      <c r="T295" s="795"/>
      <c r="U295" s="795"/>
      <c r="V295" s="795"/>
      <c r="W295" s="795"/>
      <c r="X295" s="795"/>
      <c r="Y295" s="795"/>
      <c r="Z295" s="795"/>
      <c r="AA295" s="795"/>
      <c r="AB295" s="795"/>
      <c r="AC295" s="795"/>
      <c r="AD295" s="795"/>
      <c r="AE295" s="795"/>
      <c r="AF295" s="795"/>
      <c r="AG295" s="795"/>
      <c r="AH295" s="795"/>
      <c r="AI295" s="795"/>
      <c r="AJ295" s="795"/>
      <c r="AK295" s="795"/>
      <c r="AL295" s="795"/>
      <c r="AM295" s="796"/>
      <c r="AN295" s="796"/>
    </row>
    <row r="296" spans="1:40" s="792" customFormat="1" ht="14.25" customHeight="1">
      <c r="A296" s="989" t="s">
        <v>413</v>
      </c>
      <c r="B296" s="791"/>
      <c r="C296" s="791"/>
      <c r="D296" s="791"/>
      <c r="E296" s="791"/>
      <c r="F296" s="790"/>
      <c r="G296" s="790"/>
      <c r="H296" s="790"/>
      <c r="I296" s="790"/>
      <c r="J296" s="790"/>
      <c r="K296" s="790"/>
      <c r="L296" s="790"/>
      <c r="M296" s="790"/>
      <c r="N296" s="790"/>
      <c r="O296" s="790"/>
      <c r="P296" s="790"/>
      <c r="Q296" s="790"/>
      <c r="R296" s="790"/>
      <c r="S296" s="790"/>
      <c r="T296" s="790"/>
      <c r="U296" s="790"/>
      <c r="V296" s="790"/>
      <c r="W296" s="790"/>
      <c r="X296" s="790"/>
      <c r="Y296" s="790"/>
      <c r="Z296" s="790"/>
      <c r="AA296" s="790"/>
      <c r="AB296" s="790"/>
      <c r="AC296" s="790"/>
      <c r="AD296" s="790"/>
      <c r="AE296" s="790"/>
      <c r="AF296" s="790"/>
      <c r="AG296" s="790"/>
      <c r="AH296" s="790"/>
      <c r="AI296" s="790"/>
      <c r="AJ296" s="790"/>
      <c r="AK296" s="790"/>
      <c r="AL296" s="790"/>
      <c r="AM296" s="791"/>
      <c r="AN296" s="791"/>
    </row>
    <row r="297" spans="1:40" ht="12.6">
      <c r="A297" s="990" t="s">
        <v>414</v>
      </c>
      <c r="B297" s="991" t="s">
        <v>121</v>
      </c>
      <c r="C297" s="991"/>
      <c r="D297" s="315"/>
      <c r="E297" s="991" t="s">
        <v>122</v>
      </c>
      <c r="F297" s="294">
        <f>[5]Chemicals!C16</f>
        <v>32405.324325923917</v>
      </c>
      <c r="G297" s="294">
        <f>[5]Chemicals!D16</f>
        <v>34694.879470940337</v>
      </c>
      <c r="H297" s="294">
        <f>[5]Chemicals!E16</f>
        <v>36984.434615956765</v>
      </c>
      <c r="I297" s="294">
        <f>[5]Chemicals!F16</f>
        <v>39273.989760973185</v>
      </c>
      <c r="J297" s="294">
        <f>[5]Chemicals!G16</f>
        <v>41563.544905989605</v>
      </c>
      <c r="K297" s="294">
        <f>[5]Chemicals!H16</f>
        <v>40312.731080678248</v>
      </c>
      <c r="L297" s="294">
        <f>[5]Chemicals!I16</f>
        <v>39061.917255366898</v>
      </c>
      <c r="M297" s="294">
        <f>[5]Chemicals!J16</f>
        <v>37811.103430055533</v>
      </c>
      <c r="N297" s="294">
        <f>[5]Chemicals!K16</f>
        <v>36560.289604744183</v>
      </c>
      <c r="O297" s="294">
        <f>[5]Chemicals!L16</f>
        <v>36370.884873311872</v>
      </c>
      <c r="P297" s="294">
        <f>[5]Chemicals!M16</f>
        <v>36181.480141879576</v>
      </c>
      <c r="Q297" s="294">
        <f>[5]Chemicals!N16</f>
        <v>35992.07541044728</v>
      </c>
      <c r="R297" s="294">
        <f>[5]Chemicals!O16</f>
        <v>35802.670679014984</v>
      </c>
      <c r="S297" s="294">
        <f>[5]Chemicals!P16</f>
        <v>32090.586993849858</v>
      </c>
      <c r="T297" s="294">
        <f>[5]Chemicals!Q16</f>
        <v>28378.503308684736</v>
      </c>
      <c r="U297" s="294">
        <f>[5]Chemicals!R16</f>
        <v>24666.419623519614</v>
      </c>
      <c r="V297" s="294">
        <f>[5]Chemicals!S16</f>
        <v>20954.335938354492</v>
      </c>
      <c r="W297" s="294">
        <f>[5]Chemicals!T16</f>
        <v>18566.425499271681</v>
      </c>
      <c r="X297" s="294">
        <f>[5]Chemicals!U16</f>
        <v>16178.515060188864</v>
      </c>
      <c r="Y297" s="294">
        <f>[5]Chemicals!V16</f>
        <v>13790.604621106049</v>
      </c>
      <c r="Z297" s="294">
        <f>[5]Chemicals!W16</f>
        <v>11402.694182023235</v>
      </c>
      <c r="AA297" s="294">
        <f>[5]Chemicals!X16</f>
        <v>11363.453837958123</v>
      </c>
      <c r="AB297" s="294">
        <f>[5]Chemicals!Y16</f>
        <v>10958.685669935176</v>
      </c>
      <c r="AC297" s="294">
        <f>[5]Chemicals!Z16</f>
        <v>15492.560101424308</v>
      </c>
      <c r="AD297" s="294">
        <f>[5]Chemicals!AA16</f>
        <v>8015.1217045044423</v>
      </c>
      <c r="AE297" s="294">
        <f>[5]Chemicals!AB16</f>
        <v>8760.997370009256</v>
      </c>
      <c r="AF297" s="294">
        <f>[5]Chemicals!AC16</f>
        <v>6658.4880069136689</v>
      </c>
      <c r="AG297" s="294">
        <f>[5]Chemicals!AD16</f>
        <v>5302.8781844985651</v>
      </c>
      <c r="AH297" s="294">
        <f>[5]Chemicals!AE16</f>
        <v>5908.6315791123907</v>
      </c>
      <c r="AI297" s="294">
        <f>[5]Chemicals!AF16</f>
        <v>7935.4136424754597</v>
      </c>
      <c r="AJ297" s="294">
        <f>[5]Chemicals!AG16</f>
        <v>6974.0345972777004</v>
      </c>
      <c r="AK297" s="294">
        <f>[5]Chemicals!AH16</f>
        <v>8569.8495614368039</v>
      </c>
      <c r="AL297" s="1068">
        <f>AK297</f>
        <v>8569.8495614368039</v>
      </c>
      <c r="AM297" s="315"/>
      <c r="AN297" s="315"/>
    </row>
    <row r="298" spans="1:40" ht="12.6">
      <c r="A298" s="990" t="s">
        <v>415</v>
      </c>
      <c r="B298" s="991" t="s">
        <v>124</v>
      </c>
      <c r="C298" s="991"/>
      <c r="D298" s="315"/>
      <c r="E298" s="315" t="s">
        <v>125</v>
      </c>
      <c r="F298" s="300" t="s">
        <v>126</v>
      </c>
      <c r="G298" s="300" t="s">
        <v>126</v>
      </c>
      <c r="H298" s="300" t="s">
        <v>126</v>
      </c>
      <c r="I298" s="300" t="s">
        <v>126</v>
      </c>
      <c r="J298" s="300" t="s">
        <v>126</v>
      </c>
      <c r="K298" s="300" t="s">
        <v>126</v>
      </c>
      <c r="L298" s="300" t="s">
        <v>126</v>
      </c>
      <c r="M298" s="300" t="s">
        <v>126</v>
      </c>
      <c r="N298" s="300" t="s">
        <v>126</v>
      </c>
      <c r="O298" s="300" t="s">
        <v>126</v>
      </c>
      <c r="P298" s="300" t="s">
        <v>126</v>
      </c>
      <c r="Q298" s="300" t="s">
        <v>126</v>
      </c>
      <c r="R298" s="300" t="s">
        <v>126</v>
      </c>
      <c r="S298" s="300" t="s">
        <v>126</v>
      </c>
      <c r="T298" s="300" t="s">
        <v>126</v>
      </c>
      <c r="U298" s="300" t="s">
        <v>126</v>
      </c>
      <c r="V298" s="300" t="s">
        <v>126</v>
      </c>
      <c r="W298" s="300" t="s">
        <v>126</v>
      </c>
      <c r="X298" s="300" t="s">
        <v>126</v>
      </c>
      <c r="Y298" s="300" t="s">
        <v>126</v>
      </c>
      <c r="Z298" s="300" t="s">
        <v>126</v>
      </c>
      <c r="AA298" s="300" t="s">
        <v>126</v>
      </c>
      <c r="AB298" s="300" t="s">
        <v>126</v>
      </c>
      <c r="AC298" s="300" t="s">
        <v>126</v>
      </c>
      <c r="AD298" s="300" t="s">
        <v>126</v>
      </c>
      <c r="AE298" s="300" t="s">
        <v>126</v>
      </c>
      <c r="AF298" s="300" t="s">
        <v>126</v>
      </c>
      <c r="AG298" s="300" t="s">
        <v>126</v>
      </c>
      <c r="AH298" s="300" t="s">
        <v>126</v>
      </c>
      <c r="AI298" s="300" t="s">
        <v>126</v>
      </c>
      <c r="AJ298" s="300" t="s">
        <v>126</v>
      </c>
      <c r="AK298" s="300" t="s">
        <v>126</v>
      </c>
      <c r="AL298" s="300" t="s">
        <v>126</v>
      </c>
      <c r="AM298" s="315"/>
      <c r="AN298" s="315"/>
    </row>
    <row r="299" spans="1:40" ht="12.6">
      <c r="A299" s="990" t="s">
        <v>416</v>
      </c>
      <c r="B299" s="991" t="s">
        <v>128</v>
      </c>
      <c r="C299" s="991"/>
      <c r="D299" s="991" t="s">
        <v>129</v>
      </c>
      <c r="E299" s="991" t="s">
        <v>130</v>
      </c>
      <c r="F299" s="294">
        <f>[5]Chemicals!C21</f>
        <v>2438.2447298738061</v>
      </c>
      <c r="G299" s="294">
        <f>[5]Chemicals!D21</f>
        <v>2570.291924327209</v>
      </c>
      <c r="H299" s="294">
        <f>[5]Chemicals!E21</f>
        <v>2773.2560537276431</v>
      </c>
      <c r="I299" s="294">
        <f>[5]Chemicals!F21</f>
        <v>2916.9494153540923</v>
      </c>
      <c r="J299" s="294">
        <f>[5]Chemicals!G21</f>
        <v>3095.001332259169</v>
      </c>
      <c r="K299" s="294">
        <f>[5]Chemicals!H21</f>
        <v>2949.0650056516738</v>
      </c>
      <c r="L299" s="294">
        <f>[5]Chemicals!I21</f>
        <v>2928.9790438474915</v>
      </c>
      <c r="M299" s="294">
        <f>[5]Chemicals!J21</f>
        <v>2845.6867012984058</v>
      </c>
      <c r="N299" s="294">
        <f>[5]Chemicals!K21</f>
        <v>2796.2545278057578</v>
      </c>
      <c r="O299" s="294">
        <f>[5]Chemicals!L21</f>
        <v>2813.4874204159601</v>
      </c>
      <c r="P299" s="294">
        <f>[5]Chemicals!M21</f>
        <v>2752.0011523882827</v>
      </c>
      <c r="Q299" s="294">
        <f>[5]Chemicals!N21</f>
        <v>2693.4118646029842</v>
      </c>
      <c r="R299" s="294">
        <f>[5]Chemicals!O21</f>
        <v>2672.1154585497334</v>
      </c>
      <c r="S299" s="294">
        <f>[5]Chemicals!P21</f>
        <v>2462.9753624031596</v>
      </c>
      <c r="T299" s="294">
        <f>[5]Chemicals!Q21</f>
        <v>2162.3037957608799</v>
      </c>
      <c r="U299" s="294">
        <f>[5]Chemicals!R21</f>
        <v>1839.1423855932492</v>
      </c>
      <c r="V299" s="294">
        <f>[5]Chemicals!S21</f>
        <v>1581.1495372249851</v>
      </c>
      <c r="W299" s="294">
        <f>[5]Chemicals!T21</f>
        <v>1398.0762740355315</v>
      </c>
      <c r="X299" s="294">
        <f>[5]Chemicals!U21</f>
        <v>1208.7558529015405</v>
      </c>
      <c r="Y299" s="294">
        <f>[5]Chemicals!V21</f>
        <v>1004.0702622236374</v>
      </c>
      <c r="Z299" s="294">
        <f>[5]Chemicals!W21</f>
        <v>829.1748240711496</v>
      </c>
      <c r="AA299" s="294">
        <f>[5]Chemicals!X21</f>
        <v>824.48173365401885</v>
      </c>
      <c r="AB299" s="294">
        <f>[5]Chemicals!Y21</f>
        <v>794.49025472030144</v>
      </c>
      <c r="AC299" s="294">
        <f>[5]Chemicals!Z21</f>
        <v>1127.9566585729804</v>
      </c>
      <c r="AD299" s="294">
        <f>[5]Chemicals!AA21</f>
        <v>591.62953255713626</v>
      </c>
      <c r="AE299" s="294">
        <f>[5]Chemicals!AB21</f>
        <v>637.59284330737796</v>
      </c>
      <c r="AF299" s="294">
        <f>[5]Chemicals!AC21</f>
        <v>507.26749940600644</v>
      </c>
      <c r="AG299" s="294">
        <f>[5]Chemicals!AD21</f>
        <v>399.21246971837263</v>
      </c>
      <c r="AH299" s="294">
        <f>[5]Chemicals!AE21</f>
        <v>452.16324761244238</v>
      </c>
      <c r="AI299" s="294">
        <f>[5]Chemicals!AF21</f>
        <v>587.88583502410552</v>
      </c>
      <c r="AJ299" s="294">
        <f>[5]Chemicals!AG21</f>
        <v>485.03181923787082</v>
      </c>
      <c r="AK299" s="294">
        <f>[5]Chemicals!AH21</f>
        <v>614.5539168565839</v>
      </c>
      <c r="AL299" s="1068">
        <f>AK299</f>
        <v>614.5539168565839</v>
      </c>
      <c r="AM299" s="315"/>
      <c r="AN299" s="315"/>
    </row>
    <row r="300" spans="1:40" ht="12.6">
      <c r="A300" s="990" t="s">
        <v>417</v>
      </c>
      <c r="B300" s="991" t="s">
        <v>132</v>
      </c>
      <c r="C300" s="991"/>
      <c r="D300" s="991" t="s">
        <v>129</v>
      </c>
      <c r="E300" s="991" t="s">
        <v>130</v>
      </c>
      <c r="F300" s="799" t="s">
        <v>106</v>
      </c>
      <c r="G300" s="799" t="s">
        <v>106</v>
      </c>
      <c r="H300" s="799" t="s">
        <v>106</v>
      </c>
      <c r="I300" s="799" t="s">
        <v>106</v>
      </c>
      <c r="J300" s="799" t="s">
        <v>106</v>
      </c>
      <c r="K300" s="799" t="s">
        <v>106</v>
      </c>
      <c r="L300" s="799" t="s">
        <v>106</v>
      </c>
      <c r="M300" s="799" t="s">
        <v>106</v>
      </c>
      <c r="N300" s="799" t="s">
        <v>106</v>
      </c>
      <c r="O300" s="799" t="s">
        <v>106</v>
      </c>
      <c r="P300" s="799" t="s">
        <v>106</v>
      </c>
      <c r="Q300" s="799" t="s">
        <v>106</v>
      </c>
      <c r="R300" s="799" t="s">
        <v>106</v>
      </c>
      <c r="S300" s="799" t="s">
        <v>106</v>
      </c>
      <c r="T300" s="799" t="s">
        <v>106</v>
      </c>
      <c r="U300" s="799" t="s">
        <v>106</v>
      </c>
      <c r="V300" s="799" t="s">
        <v>106</v>
      </c>
      <c r="W300" s="799" t="s">
        <v>106</v>
      </c>
      <c r="X300" s="799" t="s">
        <v>106</v>
      </c>
      <c r="Y300" s="799" t="s">
        <v>106</v>
      </c>
      <c r="Z300" s="799" t="s">
        <v>106</v>
      </c>
      <c r="AA300" s="799" t="s">
        <v>106</v>
      </c>
      <c r="AB300" s="799" t="s">
        <v>106</v>
      </c>
      <c r="AC300" s="799" t="s">
        <v>106</v>
      </c>
      <c r="AD300" s="799" t="s">
        <v>106</v>
      </c>
      <c r="AE300" s="799" t="s">
        <v>106</v>
      </c>
      <c r="AF300" s="799" t="s">
        <v>106</v>
      </c>
      <c r="AG300" s="799" t="s">
        <v>106</v>
      </c>
      <c r="AH300" s="799" t="s">
        <v>106</v>
      </c>
      <c r="AI300" s="799" t="s">
        <v>106</v>
      </c>
      <c r="AJ300" s="799" t="s">
        <v>106</v>
      </c>
      <c r="AK300" s="799" t="s">
        <v>106</v>
      </c>
      <c r="AL300" s="799" t="s">
        <v>106</v>
      </c>
      <c r="AM300" s="315"/>
      <c r="AN300" s="315"/>
    </row>
    <row r="301" spans="1:40" ht="12.6">
      <c r="A301" s="990" t="s">
        <v>418</v>
      </c>
      <c r="B301" s="991" t="s">
        <v>134</v>
      </c>
      <c r="D301" s="315"/>
      <c r="E301" s="315"/>
      <c r="F301" s="800" t="s">
        <v>230</v>
      </c>
      <c r="G301" s="800" t="s">
        <v>230</v>
      </c>
      <c r="H301" s="800" t="s">
        <v>230</v>
      </c>
      <c r="I301" s="800" t="s">
        <v>230</v>
      </c>
      <c r="J301" s="800" t="s">
        <v>230</v>
      </c>
      <c r="K301" s="800" t="s">
        <v>230</v>
      </c>
      <c r="L301" s="800" t="s">
        <v>230</v>
      </c>
      <c r="M301" s="800" t="s">
        <v>230</v>
      </c>
      <c r="N301" s="800" t="s">
        <v>230</v>
      </c>
      <c r="O301" s="800" t="s">
        <v>230</v>
      </c>
      <c r="P301" s="800" t="s">
        <v>230</v>
      </c>
      <c r="Q301" s="800" t="s">
        <v>230</v>
      </c>
      <c r="R301" s="800" t="s">
        <v>230</v>
      </c>
      <c r="S301" s="800" t="s">
        <v>230</v>
      </c>
      <c r="T301" s="800" t="s">
        <v>230</v>
      </c>
      <c r="U301" s="800" t="s">
        <v>230</v>
      </c>
      <c r="V301" s="800" t="s">
        <v>230</v>
      </c>
      <c r="W301" s="800" t="s">
        <v>230</v>
      </c>
      <c r="X301" s="800" t="s">
        <v>230</v>
      </c>
      <c r="Y301" s="800" t="s">
        <v>230</v>
      </c>
      <c r="Z301" s="800" t="s">
        <v>230</v>
      </c>
      <c r="AA301" s="800" t="s">
        <v>230</v>
      </c>
      <c r="AB301" s="800" t="s">
        <v>230</v>
      </c>
      <c r="AC301" s="800" t="s">
        <v>230</v>
      </c>
      <c r="AD301" s="800" t="s">
        <v>230</v>
      </c>
      <c r="AE301" s="800" t="s">
        <v>230</v>
      </c>
      <c r="AF301" s="800" t="s">
        <v>230</v>
      </c>
      <c r="AG301" s="800" t="s">
        <v>230</v>
      </c>
      <c r="AH301" s="800" t="s">
        <v>230</v>
      </c>
      <c r="AI301" s="800" t="s">
        <v>230</v>
      </c>
      <c r="AJ301" s="800" t="s">
        <v>230</v>
      </c>
      <c r="AK301" s="800" t="s">
        <v>230</v>
      </c>
      <c r="AL301" s="800" t="s">
        <v>230</v>
      </c>
      <c r="AM301" s="315"/>
      <c r="AN301" s="315"/>
    </row>
    <row r="302" spans="1:40" s="792" customFormat="1" ht="14.25" customHeight="1">
      <c r="A302" s="989" t="s">
        <v>419</v>
      </c>
      <c r="B302" s="791"/>
      <c r="C302" s="791"/>
      <c r="D302" s="791"/>
      <c r="E302" s="791"/>
      <c r="F302" s="790"/>
      <c r="G302" s="790"/>
      <c r="H302" s="790"/>
      <c r="I302" s="790"/>
      <c r="J302" s="790"/>
      <c r="K302" s="790"/>
      <c r="L302" s="790"/>
      <c r="M302" s="790"/>
      <c r="N302" s="790"/>
      <c r="O302" s="790"/>
      <c r="P302" s="790"/>
      <c r="Q302" s="790"/>
      <c r="R302" s="790"/>
      <c r="S302" s="790"/>
      <c r="T302" s="790"/>
      <c r="U302" s="790"/>
      <c r="V302" s="790"/>
      <c r="W302" s="790"/>
      <c r="X302" s="790"/>
      <c r="Y302" s="790"/>
      <c r="Z302" s="790"/>
      <c r="AA302" s="790"/>
      <c r="AB302" s="790"/>
      <c r="AC302" s="790"/>
      <c r="AD302" s="790"/>
      <c r="AE302" s="790"/>
      <c r="AF302" s="790"/>
      <c r="AG302" s="790"/>
      <c r="AH302" s="790"/>
      <c r="AI302" s="790"/>
      <c r="AJ302" s="790"/>
      <c r="AK302" s="790"/>
      <c r="AL302" s="790"/>
      <c r="AM302" s="791"/>
      <c r="AN302" s="791"/>
    </row>
    <row r="303" spans="1:40" ht="12.6">
      <c r="A303" s="990" t="s">
        <v>420</v>
      </c>
      <c r="B303" s="991" t="s">
        <v>121</v>
      </c>
      <c r="C303" s="991"/>
      <c r="D303" s="315"/>
      <c r="E303" s="991" t="s">
        <v>122</v>
      </c>
      <c r="F303" s="294">
        <f>[5]Chemicals!C17</f>
        <v>125867.88537816667</v>
      </c>
      <c r="G303" s="294">
        <f>[5]Chemicals!D17</f>
        <v>126527.69517464598</v>
      </c>
      <c r="H303" s="294">
        <f>[5]Chemicals!E17</f>
        <v>127187.50497112529</v>
      </c>
      <c r="I303" s="294">
        <f>[5]Chemicals!F17</f>
        <v>127847.31476760459</v>
      </c>
      <c r="J303" s="294">
        <f>[5]Chemicals!G17</f>
        <v>128507.1245640839</v>
      </c>
      <c r="K303" s="294">
        <f>[5]Chemicals!H17</f>
        <v>129393.33550113524</v>
      </c>
      <c r="L303" s="294">
        <f>[5]Chemicals!I17</f>
        <v>130279.54643818659</v>
      </c>
      <c r="M303" s="294">
        <f>[5]Chemicals!J17</f>
        <v>131165.75737523791</v>
      </c>
      <c r="N303" s="294">
        <f>[5]Chemicals!K17</f>
        <v>132051.96831228927</v>
      </c>
      <c r="O303" s="294">
        <f>[5]Chemicals!L17</f>
        <v>138318.63287164547</v>
      </c>
      <c r="P303" s="294">
        <f>[5]Chemicals!M17</f>
        <v>144585.29743100167</v>
      </c>
      <c r="Q303" s="294">
        <f>[5]Chemicals!N17</f>
        <v>150851.96199035787</v>
      </c>
      <c r="R303" s="294">
        <f>[5]Chemicals!O17</f>
        <v>157118.62654971404</v>
      </c>
      <c r="S303" s="294">
        <f>[5]Chemicals!P17</f>
        <v>138754.0439429227</v>
      </c>
      <c r="T303" s="294">
        <f>[5]Chemicals!Q17</f>
        <v>120389.46133613135</v>
      </c>
      <c r="U303" s="294">
        <f>[5]Chemicals!R17</f>
        <v>102024.87872933999</v>
      </c>
      <c r="V303" s="294">
        <f>[5]Chemicals!S17</f>
        <v>83660.29612254868</v>
      </c>
      <c r="W303" s="294">
        <f>[5]Chemicals!T17</f>
        <v>93697.607973145961</v>
      </c>
      <c r="X303" s="294">
        <f>[5]Chemicals!U17</f>
        <v>103734.91982374326</v>
      </c>
      <c r="Y303" s="294">
        <f>[5]Chemicals!V17</f>
        <v>113772.23167434052</v>
      </c>
      <c r="Z303" s="294">
        <f>[5]Chemicals!W17</f>
        <v>123809.54352493781</v>
      </c>
      <c r="AA303" s="294">
        <f>[5]Chemicals!X17</f>
        <v>160380.12620162687</v>
      </c>
      <c r="AB303" s="294">
        <f>[5]Chemicals!Y17</f>
        <v>139335.27251784396</v>
      </c>
      <c r="AC303" s="294">
        <f>[5]Chemicals!Z17</f>
        <v>127416.17152993701</v>
      </c>
      <c r="AD303" s="294">
        <f>[5]Chemicals!AA17</f>
        <v>123446.54591990136</v>
      </c>
      <c r="AE303" s="294">
        <f>[5]Chemicals!AB17</f>
        <v>98098.334767220163</v>
      </c>
      <c r="AF303" s="294">
        <f>[5]Chemicals!AC17</f>
        <v>71454.07563565865</v>
      </c>
      <c r="AG303" s="294">
        <f>[5]Chemicals!AD17</f>
        <v>46931.636668250059</v>
      </c>
      <c r="AH303" s="294">
        <f>[5]Chemicals!AE17</f>
        <v>40915.543346902195</v>
      </c>
      <c r="AI303" s="294">
        <f>[5]Chemicals!AF17</f>
        <v>33021.010791337954</v>
      </c>
      <c r="AJ303" s="294">
        <f>[5]Chemicals!AG17</f>
        <v>27611.153990727878</v>
      </c>
      <c r="AK303" s="294">
        <f>[5]Chemicals!AH17</f>
        <v>25026.559301982034</v>
      </c>
      <c r="AL303" s="1068">
        <f>AK303</f>
        <v>25026.559301982034</v>
      </c>
      <c r="AM303" s="315"/>
      <c r="AN303" s="315"/>
    </row>
    <row r="304" spans="1:40" ht="12.6">
      <c r="A304" s="990" t="s">
        <v>421</v>
      </c>
      <c r="B304" s="991" t="s">
        <v>124</v>
      </c>
      <c r="C304" s="991"/>
      <c r="D304" s="315"/>
      <c r="E304" s="315" t="s">
        <v>125</v>
      </c>
      <c r="F304" s="300" t="s">
        <v>126</v>
      </c>
      <c r="G304" s="300" t="s">
        <v>126</v>
      </c>
      <c r="H304" s="300" t="s">
        <v>126</v>
      </c>
      <c r="I304" s="300" t="s">
        <v>126</v>
      </c>
      <c r="J304" s="300" t="s">
        <v>126</v>
      </c>
      <c r="K304" s="300" t="s">
        <v>126</v>
      </c>
      <c r="L304" s="300" t="s">
        <v>126</v>
      </c>
      <c r="M304" s="300" t="s">
        <v>126</v>
      </c>
      <c r="N304" s="300" t="s">
        <v>126</v>
      </c>
      <c r="O304" s="300" t="s">
        <v>126</v>
      </c>
      <c r="P304" s="300" t="s">
        <v>126</v>
      </c>
      <c r="Q304" s="300" t="s">
        <v>126</v>
      </c>
      <c r="R304" s="300" t="s">
        <v>126</v>
      </c>
      <c r="S304" s="300" t="s">
        <v>126</v>
      </c>
      <c r="T304" s="300" t="s">
        <v>126</v>
      </c>
      <c r="U304" s="300" t="s">
        <v>126</v>
      </c>
      <c r="V304" s="300" t="s">
        <v>126</v>
      </c>
      <c r="W304" s="300" t="s">
        <v>126</v>
      </c>
      <c r="X304" s="300" t="s">
        <v>126</v>
      </c>
      <c r="Y304" s="300" t="s">
        <v>126</v>
      </c>
      <c r="Z304" s="300" t="s">
        <v>126</v>
      </c>
      <c r="AA304" s="300" t="s">
        <v>126</v>
      </c>
      <c r="AB304" s="300" t="s">
        <v>126</v>
      </c>
      <c r="AC304" s="300" t="s">
        <v>126</v>
      </c>
      <c r="AD304" s="300" t="s">
        <v>126</v>
      </c>
      <c r="AE304" s="300" t="s">
        <v>126</v>
      </c>
      <c r="AF304" s="300" t="s">
        <v>126</v>
      </c>
      <c r="AG304" s="300" t="s">
        <v>126</v>
      </c>
      <c r="AH304" s="300" t="s">
        <v>126</v>
      </c>
      <c r="AI304" s="300" t="s">
        <v>126</v>
      </c>
      <c r="AJ304" s="300" t="s">
        <v>126</v>
      </c>
      <c r="AK304" s="300" t="s">
        <v>126</v>
      </c>
      <c r="AL304" s="300" t="s">
        <v>126</v>
      </c>
      <c r="AM304" s="315"/>
      <c r="AN304" s="315"/>
    </row>
    <row r="305" spans="1:40" ht="12.6">
      <c r="A305" s="990" t="s">
        <v>422</v>
      </c>
      <c r="B305" s="991" t="s">
        <v>128</v>
      </c>
      <c r="C305" s="991"/>
      <c r="D305" s="991" t="s">
        <v>129</v>
      </c>
      <c r="E305" s="991" t="s">
        <v>130</v>
      </c>
      <c r="F305" s="294">
        <f>[5]Chemicals!C22</f>
        <v>11288.223396685915</v>
      </c>
      <c r="G305" s="294">
        <f>[5]Chemicals!D22</f>
        <v>11376.524061851173</v>
      </c>
      <c r="H305" s="294">
        <f>[5]Chemicals!E22</f>
        <v>11428.798884924043</v>
      </c>
      <c r="I305" s="294">
        <f>[5]Chemicals!F22</f>
        <v>11445.300503001372</v>
      </c>
      <c r="J305" s="294">
        <f>[5]Chemicals!G22</f>
        <v>11504.93543512533</v>
      </c>
      <c r="K305" s="294">
        <f>[5]Chemicals!H22</f>
        <v>11595.7949679464</v>
      </c>
      <c r="L305" s="294">
        <f>[5]Chemicals!I22</f>
        <v>11655.807036999066</v>
      </c>
      <c r="M305" s="294">
        <f>[5]Chemicals!J22</f>
        <v>11736.613644258214</v>
      </c>
      <c r="N305" s="294">
        <f>[5]Chemicals!K22</f>
        <v>11833.263038467478</v>
      </c>
      <c r="O305" s="294">
        <f>[5]Chemicals!L22</f>
        <v>12400.157772490342</v>
      </c>
      <c r="P305" s="294">
        <f>[5]Chemicals!M22</f>
        <v>12932.10173153856</v>
      </c>
      <c r="Q305" s="294">
        <f>[5]Chemicals!N22</f>
        <v>13449.550274652416</v>
      </c>
      <c r="R305" s="294">
        <f>[5]Chemicals!O22</f>
        <v>13957.742019289813</v>
      </c>
      <c r="S305" s="294">
        <f>[5]Chemicals!P22</f>
        <v>12316.220775575466</v>
      </c>
      <c r="T305" s="294">
        <f>[5]Chemicals!Q22</f>
        <v>10689.213359024507</v>
      </c>
      <c r="U305" s="294">
        <f>[5]Chemicals!R22</f>
        <v>9146.0441176290078</v>
      </c>
      <c r="V305" s="294">
        <f>[5]Chemicals!S22</f>
        <v>7510.8210199693085</v>
      </c>
      <c r="W305" s="294">
        <f>[5]Chemicals!T22</f>
        <v>8405.2866803147444</v>
      </c>
      <c r="X305" s="294">
        <f>[5]Chemicals!U22</f>
        <v>9305.5018081414783</v>
      </c>
      <c r="Y305" s="294">
        <f>[5]Chemicals!V22</f>
        <v>10225.964309666615</v>
      </c>
      <c r="Z305" s="294">
        <f>[5]Chemicals!W22</f>
        <v>11128.089012563913</v>
      </c>
      <c r="AA305" s="294">
        <f>[5]Chemicals!X22</f>
        <v>14426.00051454226</v>
      </c>
      <c r="AB305" s="294">
        <f>[5]Chemicals!Y22</f>
        <v>12558.879033801219</v>
      </c>
      <c r="AC305" s="294">
        <f>[5]Chemicals!Z22</f>
        <v>11480.15399266601</v>
      </c>
      <c r="AD305" s="294">
        <f>[5]Chemicals!AA22</f>
        <v>11131.126605495663</v>
      </c>
      <c r="AE305" s="294">
        <f>[5]Chemicals!AB22</f>
        <v>8865.4448779878549</v>
      </c>
      <c r="AF305" s="294">
        <f>[5]Chemicals!AC22</f>
        <v>6465.0767910697568</v>
      </c>
      <c r="AG305" s="294">
        <f>[5]Chemicals!AD22</f>
        <v>4250.3409418256097</v>
      </c>
      <c r="AH305" s="294">
        <f>[5]Chemicals!AE22</f>
        <v>3708.5366943977378</v>
      </c>
      <c r="AI305" s="294">
        <f>[5]Chemicals!AF22</f>
        <v>2991.8571485098319</v>
      </c>
      <c r="AJ305" s="294">
        <f>[5]Chemicals!AG22</f>
        <v>2507.2073918651618</v>
      </c>
      <c r="AK305" s="294">
        <f>[5]Chemicals!AH22</f>
        <v>2269.724692474153</v>
      </c>
      <c r="AL305" s="1068">
        <f>AK305</f>
        <v>2269.724692474153</v>
      </c>
      <c r="AM305" s="315"/>
      <c r="AN305" s="315"/>
    </row>
    <row r="306" spans="1:40" ht="12.6">
      <c r="A306" s="990" t="s">
        <v>423</v>
      </c>
      <c r="B306" s="991" t="s">
        <v>132</v>
      </c>
      <c r="C306" s="991"/>
      <c r="D306" s="991" t="s">
        <v>129</v>
      </c>
      <c r="E306" s="991" t="s">
        <v>130</v>
      </c>
      <c r="F306" s="799" t="s">
        <v>106</v>
      </c>
      <c r="G306" s="799" t="s">
        <v>106</v>
      </c>
      <c r="H306" s="799" t="s">
        <v>106</v>
      </c>
      <c r="I306" s="799" t="s">
        <v>106</v>
      </c>
      <c r="J306" s="799" t="s">
        <v>106</v>
      </c>
      <c r="K306" s="799" t="s">
        <v>106</v>
      </c>
      <c r="L306" s="799" t="s">
        <v>106</v>
      </c>
      <c r="M306" s="799" t="s">
        <v>106</v>
      </c>
      <c r="N306" s="799" t="s">
        <v>106</v>
      </c>
      <c r="O306" s="799" t="s">
        <v>106</v>
      </c>
      <c r="P306" s="799" t="s">
        <v>106</v>
      </c>
      <c r="Q306" s="799" t="s">
        <v>106</v>
      </c>
      <c r="R306" s="799" t="s">
        <v>106</v>
      </c>
      <c r="S306" s="799" t="s">
        <v>106</v>
      </c>
      <c r="T306" s="799" t="s">
        <v>106</v>
      </c>
      <c r="U306" s="799" t="s">
        <v>106</v>
      </c>
      <c r="V306" s="799" t="s">
        <v>106</v>
      </c>
      <c r="W306" s="799" t="s">
        <v>106</v>
      </c>
      <c r="X306" s="799" t="s">
        <v>106</v>
      </c>
      <c r="Y306" s="799" t="s">
        <v>106</v>
      </c>
      <c r="Z306" s="799" t="s">
        <v>106</v>
      </c>
      <c r="AA306" s="799" t="s">
        <v>106</v>
      </c>
      <c r="AB306" s="799" t="s">
        <v>106</v>
      </c>
      <c r="AC306" s="799" t="s">
        <v>106</v>
      </c>
      <c r="AD306" s="799" t="s">
        <v>106</v>
      </c>
      <c r="AE306" s="799" t="s">
        <v>106</v>
      </c>
      <c r="AF306" s="799" t="s">
        <v>106</v>
      </c>
      <c r="AG306" s="799" t="s">
        <v>106</v>
      </c>
      <c r="AH306" s="799" t="s">
        <v>106</v>
      </c>
      <c r="AI306" s="799" t="s">
        <v>106</v>
      </c>
      <c r="AJ306" s="799" t="s">
        <v>106</v>
      </c>
      <c r="AK306" s="799" t="s">
        <v>106</v>
      </c>
      <c r="AL306" s="799" t="s">
        <v>106</v>
      </c>
      <c r="AM306" s="315"/>
      <c r="AN306" s="315"/>
    </row>
    <row r="307" spans="1:40" ht="12.6">
      <c r="A307" s="990" t="s">
        <v>424</v>
      </c>
      <c r="B307" s="991" t="s">
        <v>134</v>
      </c>
      <c r="D307" s="315"/>
      <c r="E307" s="315"/>
      <c r="F307" s="800" t="s">
        <v>230</v>
      </c>
      <c r="G307" s="800" t="s">
        <v>230</v>
      </c>
      <c r="H307" s="800" t="s">
        <v>230</v>
      </c>
      <c r="I307" s="800" t="s">
        <v>230</v>
      </c>
      <c r="J307" s="800" t="s">
        <v>230</v>
      </c>
      <c r="K307" s="800" t="s">
        <v>230</v>
      </c>
      <c r="L307" s="800" t="s">
        <v>230</v>
      </c>
      <c r="M307" s="800" t="s">
        <v>230</v>
      </c>
      <c r="N307" s="800" t="s">
        <v>230</v>
      </c>
      <c r="O307" s="800" t="s">
        <v>230</v>
      </c>
      <c r="P307" s="800" t="s">
        <v>230</v>
      </c>
      <c r="Q307" s="800" t="s">
        <v>230</v>
      </c>
      <c r="R307" s="800" t="s">
        <v>230</v>
      </c>
      <c r="S307" s="800" t="s">
        <v>230</v>
      </c>
      <c r="T307" s="800" t="s">
        <v>230</v>
      </c>
      <c r="U307" s="800" t="s">
        <v>230</v>
      </c>
      <c r="V307" s="800" t="s">
        <v>230</v>
      </c>
      <c r="W307" s="800" t="s">
        <v>230</v>
      </c>
      <c r="X307" s="800" t="s">
        <v>230</v>
      </c>
      <c r="Y307" s="800" t="s">
        <v>230</v>
      </c>
      <c r="Z307" s="800" t="s">
        <v>230</v>
      </c>
      <c r="AA307" s="800" t="s">
        <v>230</v>
      </c>
      <c r="AB307" s="800" t="s">
        <v>230</v>
      </c>
      <c r="AC307" s="800" t="s">
        <v>230</v>
      </c>
      <c r="AD307" s="800" t="s">
        <v>230</v>
      </c>
      <c r="AE307" s="800" t="s">
        <v>230</v>
      </c>
      <c r="AF307" s="800" t="s">
        <v>230</v>
      </c>
      <c r="AG307" s="800" t="s">
        <v>230</v>
      </c>
      <c r="AH307" s="800" t="s">
        <v>230</v>
      </c>
      <c r="AI307" s="800" t="s">
        <v>230</v>
      </c>
      <c r="AJ307" s="800" t="s">
        <v>230</v>
      </c>
      <c r="AK307" s="800" t="s">
        <v>230</v>
      </c>
      <c r="AL307" s="800" t="s">
        <v>230</v>
      </c>
      <c r="AM307" s="315"/>
      <c r="AN307" s="315"/>
    </row>
    <row r="308" spans="1:40" s="792" customFormat="1" ht="14.25" customHeight="1">
      <c r="A308" s="989" t="s">
        <v>425</v>
      </c>
      <c r="B308" s="791"/>
      <c r="C308" s="791"/>
      <c r="D308" s="791"/>
      <c r="E308" s="791"/>
      <c r="F308" s="790"/>
      <c r="G308" s="790"/>
      <c r="H308" s="790"/>
      <c r="I308" s="790"/>
      <c r="J308" s="790"/>
      <c r="K308" s="790"/>
      <c r="L308" s="790"/>
      <c r="M308" s="790"/>
      <c r="N308" s="790"/>
      <c r="O308" s="790"/>
      <c r="P308" s="790"/>
      <c r="Q308" s="790"/>
      <c r="R308" s="790"/>
      <c r="S308" s="790"/>
      <c r="T308" s="790"/>
      <c r="U308" s="790"/>
      <c r="V308" s="790"/>
      <c r="W308" s="790"/>
      <c r="X308" s="790"/>
      <c r="Y308" s="790"/>
      <c r="Z308" s="790"/>
      <c r="AA308" s="790"/>
      <c r="AB308" s="790"/>
      <c r="AC308" s="790"/>
      <c r="AD308" s="790"/>
      <c r="AE308" s="790"/>
      <c r="AF308" s="790"/>
      <c r="AG308" s="790"/>
      <c r="AH308" s="790"/>
      <c r="AI308" s="790"/>
      <c r="AJ308" s="790"/>
      <c r="AK308" s="790"/>
      <c r="AL308" s="790"/>
      <c r="AM308" s="791"/>
      <c r="AN308" s="791"/>
    </row>
    <row r="309" spans="1:40" ht="12.6">
      <c r="A309" s="990" t="s">
        <v>426</v>
      </c>
      <c r="B309" s="991" t="s">
        <v>121</v>
      </c>
      <c r="C309" s="991"/>
      <c r="D309" s="315"/>
      <c r="E309" s="991" t="s">
        <v>122</v>
      </c>
      <c r="F309" s="294">
        <f>[5]Chemicals!C18</f>
        <v>1169603.8421984653</v>
      </c>
      <c r="G309" s="294">
        <f>[5]Chemicals!D18</f>
        <v>1224891.5368934772</v>
      </c>
      <c r="H309" s="294">
        <f>[5]Chemicals!E18</f>
        <v>1280179.2315884894</v>
      </c>
      <c r="I309" s="294">
        <f>[5]Chemicals!F18</f>
        <v>1335466.9262835016</v>
      </c>
      <c r="J309" s="294">
        <f>[5]Chemicals!G18</f>
        <v>1390754.6209785137</v>
      </c>
      <c r="K309" s="294">
        <f>[5]Chemicals!H18</f>
        <v>1415890.9511993658</v>
      </c>
      <c r="L309" s="294">
        <f>[5]Chemicals!I18</f>
        <v>1441027.2814202174</v>
      </c>
      <c r="M309" s="294">
        <f>[5]Chemicals!J18</f>
        <v>1466163.6116410689</v>
      </c>
      <c r="N309" s="294">
        <f>[5]Chemicals!K18</f>
        <v>1491299.9418619208</v>
      </c>
      <c r="O309" s="294">
        <f>[5]Chemicals!L18</f>
        <v>1426349.1323861433</v>
      </c>
      <c r="P309" s="294">
        <f>[5]Chemicals!M18</f>
        <v>1361398.3229103656</v>
      </c>
      <c r="Q309" s="294">
        <f>[5]Chemicals!N18</f>
        <v>1296447.513434588</v>
      </c>
      <c r="R309" s="294">
        <f>[5]Chemicals!O18</f>
        <v>1231496.7039588108</v>
      </c>
      <c r="S309" s="294">
        <f>[5]Chemicals!P18</f>
        <v>1179389.2748878479</v>
      </c>
      <c r="T309" s="294">
        <f>[5]Chemicals!Q18</f>
        <v>1127281.8458168851</v>
      </c>
      <c r="U309" s="294">
        <f>[5]Chemicals!R18</f>
        <v>1075174.4167459225</v>
      </c>
      <c r="V309" s="294">
        <f>[5]Chemicals!S18</f>
        <v>1023066.9876749595</v>
      </c>
      <c r="W309" s="294">
        <f>[5]Chemicals!T18</f>
        <v>1044778.5846293495</v>
      </c>
      <c r="X309" s="294">
        <f>[5]Chemicals!U18</f>
        <v>1066490.1815837396</v>
      </c>
      <c r="Y309" s="294">
        <f>[5]Chemicals!V18</f>
        <v>1088201.7785381298</v>
      </c>
      <c r="Z309" s="294">
        <f>[5]Chemicals!W18</f>
        <v>1109913.3754925195</v>
      </c>
      <c r="AA309" s="294">
        <f>[5]Chemicals!X18</f>
        <v>1330950.5484659628</v>
      </c>
      <c r="AB309" s="294">
        <f>[5]Chemicals!Y18</f>
        <v>1315915.9578888803</v>
      </c>
      <c r="AC309" s="294">
        <f>[5]Chemicals!Z18</f>
        <v>1343134.6521435936</v>
      </c>
      <c r="AD309" s="294">
        <f>[5]Chemicals!AA18</f>
        <v>1780239.6694944978</v>
      </c>
      <c r="AE309" s="294">
        <f>[5]Chemicals!AB18</f>
        <v>1441404.9277349734</v>
      </c>
      <c r="AF309" s="294">
        <f>[5]Chemicals!AC18</f>
        <v>1478972.2735307901</v>
      </c>
      <c r="AG309" s="294">
        <f>[5]Chemicals!AD18</f>
        <v>1526466.5808383548</v>
      </c>
      <c r="AH309" s="294">
        <f>[5]Chemicals!AE18</f>
        <v>1618163.9870523573</v>
      </c>
      <c r="AI309" s="294">
        <f>[5]Chemicals!AF18</f>
        <v>1598021.2761124934</v>
      </c>
      <c r="AJ309" s="294">
        <f>[5]Chemicals!AG18</f>
        <v>1569967.7880373588</v>
      </c>
      <c r="AK309" s="294">
        <f>[5]Chemicals!AH18</f>
        <v>1624227.3543351274</v>
      </c>
      <c r="AL309" s="1068">
        <f>AK309</f>
        <v>1624227.3543351274</v>
      </c>
      <c r="AM309" s="315"/>
      <c r="AN309" s="315"/>
    </row>
    <row r="310" spans="1:40" ht="12.6">
      <c r="A310" s="990" t="s">
        <v>427</v>
      </c>
      <c r="B310" s="991" t="s">
        <v>124</v>
      </c>
      <c r="C310" s="991"/>
      <c r="D310" s="315"/>
      <c r="E310" s="315" t="s">
        <v>125</v>
      </c>
      <c r="F310" s="300" t="s">
        <v>126</v>
      </c>
      <c r="G310" s="300" t="s">
        <v>126</v>
      </c>
      <c r="H310" s="300" t="s">
        <v>126</v>
      </c>
      <c r="I310" s="300" t="s">
        <v>126</v>
      </c>
      <c r="J310" s="300" t="s">
        <v>126</v>
      </c>
      <c r="K310" s="300" t="s">
        <v>126</v>
      </c>
      <c r="L310" s="300" t="s">
        <v>126</v>
      </c>
      <c r="M310" s="300" t="s">
        <v>126</v>
      </c>
      <c r="N310" s="300" t="s">
        <v>126</v>
      </c>
      <c r="O310" s="300" t="s">
        <v>126</v>
      </c>
      <c r="P310" s="300" t="s">
        <v>126</v>
      </c>
      <c r="Q310" s="300" t="s">
        <v>126</v>
      </c>
      <c r="R310" s="300" t="s">
        <v>126</v>
      </c>
      <c r="S310" s="300" t="s">
        <v>126</v>
      </c>
      <c r="T310" s="300" t="s">
        <v>126</v>
      </c>
      <c r="U310" s="300" t="s">
        <v>126</v>
      </c>
      <c r="V310" s="300" t="s">
        <v>126</v>
      </c>
      <c r="W310" s="300" t="s">
        <v>126</v>
      </c>
      <c r="X310" s="300" t="s">
        <v>126</v>
      </c>
      <c r="Y310" s="300" t="s">
        <v>126</v>
      </c>
      <c r="Z310" s="300" t="s">
        <v>126</v>
      </c>
      <c r="AA310" s="300" t="s">
        <v>126</v>
      </c>
      <c r="AB310" s="300" t="s">
        <v>126</v>
      </c>
      <c r="AC310" s="300" t="s">
        <v>126</v>
      </c>
      <c r="AD310" s="300" t="s">
        <v>126</v>
      </c>
      <c r="AE310" s="300" t="s">
        <v>126</v>
      </c>
      <c r="AF310" s="300" t="s">
        <v>126</v>
      </c>
      <c r="AG310" s="300" t="s">
        <v>126</v>
      </c>
      <c r="AH310" s="300" t="s">
        <v>126</v>
      </c>
      <c r="AI310" s="300" t="s">
        <v>126</v>
      </c>
      <c r="AJ310" s="300" t="s">
        <v>126</v>
      </c>
      <c r="AK310" s="300" t="s">
        <v>126</v>
      </c>
      <c r="AL310" s="300" t="s">
        <v>126</v>
      </c>
      <c r="AM310" s="315"/>
      <c r="AN310" s="315"/>
    </row>
    <row r="311" spans="1:40" ht="12.6">
      <c r="A311" s="990" t="s">
        <v>428</v>
      </c>
      <c r="B311" s="991" t="s">
        <v>128</v>
      </c>
      <c r="C311" s="991"/>
      <c r="D311" s="991" t="s">
        <v>129</v>
      </c>
      <c r="E311" s="991" t="s">
        <v>130</v>
      </c>
      <c r="F311" s="294">
        <f>[5]Chemicals!C23</f>
        <v>61150.456937100869</v>
      </c>
      <c r="G311" s="294">
        <f>[5]Chemicals!D23</f>
        <v>64349.157204413576</v>
      </c>
      <c r="H311" s="294">
        <f>[5]Chemicals!E23</f>
        <v>66932.010259555973</v>
      </c>
      <c r="I311" s="294">
        <f>[5]Chemicals!F23</f>
        <v>70068.335808545409</v>
      </c>
      <c r="J311" s="294">
        <f>[5]Chemicals!G23</f>
        <v>72800.383690913513</v>
      </c>
      <c r="K311" s="294">
        <f>[5]Chemicals!H23</f>
        <v>74270.268553974558</v>
      </c>
      <c r="L311" s="294">
        <f>[5]Chemicals!I23</f>
        <v>75025.457656289451</v>
      </c>
      <c r="M311" s="294">
        <f>[5]Chemicals!J23</f>
        <v>76330.587172975604</v>
      </c>
      <c r="N311" s="294">
        <f>[5]Chemicals!K23</f>
        <v>77649.497292022017</v>
      </c>
      <c r="O311" s="294">
        <f>[5]Chemicals!L23</f>
        <v>74559.271448836196</v>
      </c>
      <c r="P311" s="294">
        <f>[5]Chemicals!M23</f>
        <v>71007.004339447391</v>
      </c>
      <c r="Q311" s="294">
        <f>[5]Chemicals!N23</f>
        <v>67863.943681717734</v>
      </c>
      <c r="R311" s="294">
        <f>[5]Chemicals!O23</f>
        <v>64598.585985658261</v>
      </c>
      <c r="S311" s="294">
        <f>[5]Chemicals!P23</f>
        <v>61366.293545913628</v>
      </c>
      <c r="T311" s="294">
        <f>[5]Chemicals!Q23</f>
        <v>58625.105371425656</v>
      </c>
      <c r="U311" s="294">
        <f>[5]Chemicals!R23</f>
        <v>56363.030385185521</v>
      </c>
      <c r="V311" s="294">
        <f>[5]Chemicals!S23</f>
        <v>53226.604895442142</v>
      </c>
      <c r="W311" s="294">
        <f>[5]Chemicals!T23</f>
        <v>54411.323095477848</v>
      </c>
      <c r="X311" s="294">
        <f>[5]Chemicals!U23</f>
        <v>55905.841336976882</v>
      </c>
      <c r="Y311" s="294">
        <f>[5]Chemicals!V23</f>
        <v>57889.286933794967</v>
      </c>
      <c r="Z311" s="294">
        <f>[5]Chemicals!W23</f>
        <v>58825.779921112313</v>
      </c>
      <c r="AA311" s="294">
        <f>[5]Chemicals!X23</f>
        <v>70485.631835948647</v>
      </c>
      <c r="AB311" s="294">
        <f>[5]Chemicals!Y23</f>
        <v>69569.840490423288</v>
      </c>
      <c r="AC311" s="294">
        <f>[5]Chemicals!Z23</f>
        <v>70491.605181748921</v>
      </c>
      <c r="AD311" s="294">
        <f>[5]Chemicals!AA23</f>
        <v>93395.508179204393</v>
      </c>
      <c r="AE311" s="294">
        <f>[5]Chemicals!AB23</f>
        <v>75730.578696453114</v>
      </c>
      <c r="AF311" s="294">
        <f>[5]Chemicals!AC23</f>
        <v>76871.178480492992</v>
      </c>
      <c r="AG311" s="294">
        <f>[5]Chemicals!AD23</f>
        <v>79485.558178794454</v>
      </c>
      <c r="AH311" s="294">
        <f>[5]Chemicals!AE23</f>
        <v>83916.844275508804</v>
      </c>
      <c r="AI311" s="294">
        <f>[5]Chemicals!AF23</f>
        <v>83339.59854249224</v>
      </c>
      <c r="AJ311" s="294">
        <f>[5]Chemicals!AG23</f>
        <v>82885.833348652857</v>
      </c>
      <c r="AK311" s="294">
        <f>[5]Chemicals!AH23</f>
        <v>85137.821453081546</v>
      </c>
      <c r="AL311" s="1068">
        <f>AK311</f>
        <v>85137.821453081546</v>
      </c>
      <c r="AM311" s="315"/>
      <c r="AN311" s="315"/>
    </row>
    <row r="312" spans="1:40" ht="12.6">
      <c r="A312" s="990" t="s">
        <v>429</v>
      </c>
      <c r="B312" s="991" t="s">
        <v>132</v>
      </c>
      <c r="C312" s="991"/>
      <c r="D312" s="991" t="s">
        <v>129</v>
      </c>
      <c r="E312" s="991" t="s">
        <v>130</v>
      </c>
      <c r="F312" s="799" t="s">
        <v>106</v>
      </c>
      <c r="G312" s="799" t="s">
        <v>106</v>
      </c>
      <c r="H312" s="799" t="s">
        <v>106</v>
      </c>
      <c r="I312" s="799" t="s">
        <v>106</v>
      </c>
      <c r="J312" s="799" t="s">
        <v>106</v>
      </c>
      <c r="K312" s="799" t="s">
        <v>106</v>
      </c>
      <c r="L312" s="799" t="s">
        <v>106</v>
      </c>
      <c r="M312" s="799" t="s">
        <v>106</v>
      </c>
      <c r="N312" s="799" t="s">
        <v>106</v>
      </c>
      <c r="O312" s="799" t="s">
        <v>106</v>
      </c>
      <c r="P312" s="799" t="s">
        <v>106</v>
      </c>
      <c r="Q312" s="799" t="s">
        <v>106</v>
      </c>
      <c r="R312" s="799" t="s">
        <v>106</v>
      </c>
      <c r="S312" s="799" t="s">
        <v>106</v>
      </c>
      <c r="T312" s="799" t="s">
        <v>106</v>
      </c>
      <c r="U312" s="799" t="s">
        <v>106</v>
      </c>
      <c r="V312" s="799" t="s">
        <v>106</v>
      </c>
      <c r="W312" s="799" t="s">
        <v>106</v>
      </c>
      <c r="X312" s="799" t="s">
        <v>106</v>
      </c>
      <c r="Y312" s="799" t="s">
        <v>106</v>
      </c>
      <c r="Z312" s="799" t="s">
        <v>106</v>
      </c>
      <c r="AA312" s="799" t="s">
        <v>106</v>
      </c>
      <c r="AB312" s="799" t="s">
        <v>106</v>
      </c>
      <c r="AC312" s="799" t="s">
        <v>106</v>
      </c>
      <c r="AD312" s="799" t="s">
        <v>106</v>
      </c>
      <c r="AE312" s="799" t="s">
        <v>106</v>
      </c>
      <c r="AF312" s="799" t="s">
        <v>106</v>
      </c>
      <c r="AG312" s="799" t="s">
        <v>106</v>
      </c>
      <c r="AH312" s="799" t="s">
        <v>106</v>
      </c>
      <c r="AI312" s="799" t="s">
        <v>106</v>
      </c>
      <c r="AJ312" s="799" t="s">
        <v>106</v>
      </c>
      <c r="AK312" s="799" t="s">
        <v>106</v>
      </c>
      <c r="AL312" s="799" t="s">
        <v>106</v>
      </c>
      <c r="AM312" s="315"/>
      <c r="AN312" s="315"/>
    </row>
    <row r="313" spans="1:40" ht="12.6">
      <c r="A313" s="990" t="s">
        <v>430</v>
      </c>
      <c r="B313" s="991" t="s">
        <v>134</v>
      </c>
      <c r="D313" s="315"/>
      <c r="E313" s="315"/>
      <c r="F313" s="800" t="s">
        <v>230</v>
      </c>
      <c r="G313" s="800" t="s">
        <v>230</v>
      </c>
      <c r="H313" s="800" t="s">
        <v>230</v>
      </c>
      <c r="I313" s="800" t="s">
        <v>230</v>
      </c>
      <c r="J313" s="800" t="s">
        <v>230</v>
      </c>
      <c r="K313" s="800" t="s">
        <v>230</v>
      </c>
      <c r="L313" s="800" t="s">
        <v>230</v>
      </c>
      <c r="M313" s="800" t="s">
        <v>230</v>
      </c>
      <c r="N313" s="800" t="s">
        <v>230</v>
      </c>
      <c r="O313" s="800" t="s">
        <v>230</v>
      </c>
      <c r="P313" s="800" t="s">
        <v>230</v>
      </c>
      <c r="Q313" s="800" t="s">
        <v>230</v>
      </c>
      <c r="R313" s="800" t="s">
        <v>230</v>
      </c>
      <c r="S313" s="800" t="s">
        <v>230</v>
      </c>
      <c r="T313" s="800" t="s">
        <v>230</v>
      </c>
      <c r="U313" s="800" t="s">
        <v>230</v>
      </c>
      <c r="V313" s="800" t="s">
        <v>230</v>
      </c>
      <c r="W313" s="800" t="s">
        <v>230</v>
      </c>
      <c r="X313" s="800" t="s">
        <v>230</v>
      </c>
      <c r="Y313" s="800" t="s">
        <v>230</v>
      </c>
      <c r="Z313" s="800" t="s">
        <v>230</v>
      </c>
      <c r="AA313" s="800" t="s">
        <v>230</v>
      </c>
      <c r="AB313" s="800" t="s">
        <v>230</v>
      </c>
      <c r="AC313" s="800" t="s">
        <v>230</v>
      </c>
      <c r="AD313" s="800" t="s">
        <v>230</v>
      </c>
      <c r="AE313" s="800" t="s">
        <v>230</v>
      </c>
      <c r="AF313" s="800" t="s">
        <v>230</v>
      </c>
      <c r="AG313" s="800" t="s">
        <v>230</v>
      </c>
      <c r="AH313" s="800" t="s">
        <v>230</v>
      </c>
      <c r="AI313" s="800" t="s">
        <v>230</v>
      </c>
      <c r="AJ313" s="800" t="s">
        <v>230</v>
      </c>
      <c r="AK313" s="800" t="s">
        <v>230</v>
      </c>
      <c r="AL313" s="800" t="s">
        <v>230</v>
      </c>
      <c r="AM313" s="315"/>
      <c r="AN313" s="315"/>
    </row>
    <row r="314" spans="1:40" s="792" customFormat="1" ht="14.25" customHeight="1">
      <c r="A314" s="989" t="s">
        <v>431</v>
      </c>
      <c r="B314" s="791"/>
      <c r="C314" s="791"/>
      <c r="D314" s="791"/>
      <c r="E314" s="791"/>
      <c r="F314" s="790"/>
      <c r="G314" s="790"/>
      <c r="H314" s="790"/>
      <c r="I314" s="790"/>
      <c r="J314" s="790"/>
      <c r="K314" s="790"/>
      <c r="L314" s="790"/>
      <c r="M314" s="790"/>
      <c r="N314" s="790"/>
      <c r="O314" s="790"/>
      <c r="P314" s="790"/>
      <c r="Q314" s="790"/>
      <c r="R314" s="790"/>
      <c r="S314" s="790"/>
      <c r="T314" s="790"/>
      <c r="U314" s="790"/>
      <c r="V314" s="790"/>
      <c r="W314" s="790"/>
      <c r="X314" s="790"/>
      <c r="Y314" s="790"/>
      <c r="Z314" s="790"/>
      <c r="AA314" s="790"/>
      <c r="AB314" s="790"/>
      <c r="AC314" s="790"/>
      <c r="AD314" s="790"/>
      <c r="AE314" s="790"/>
      <c r="AF314" s="790"/>
      <c r="AG314" s="790"/>
      <c r="AH314" s="790"/>
      <c r="AI314" s="790"/>
      <c r="AJ314" s="790"/>
      <c r="AK314" s="790"/>
      <c r="AL314" s="790"/>
      <c r="AM314" s="791"/>
      <c r="AN314" s="791"/>
    </row>
    <row r="315" spans="1:40" ht="12.6">
      <c r="A315" s="990" t="s">
        <v>432</v>
      </c>
      <c r="B315" s="991" t="s">
        <v>121</v>
      </c>
      <c r="C315" s="991"/>
      <c r="D315" s="315"/>
      <c r="E315" s="991" t="s">
        <v>122</v>
      </c>
      <c r="F315" s="799" t="s">
        <v>108</v>
      </c>
      <c r="G315" s="799" t="s">
        <v>108</v>
      </c>
      <c r="H315" s="799" t="s">
        <v>108</v>
      </c>
      <c r="I315" s="799" t="s">
        <v>108</v>
      </c>
      <c r="J315" s="799" t="s">
        <v>108</v>
      </c>
      <c r="K315" s="799" t="s">
        <v>108</v>
      </c>
      <c r="L315" s="799" t="s">
        <v>108</v>
      </c>
      <c r="M315" s="799" t="s">
        <v>108</v>
      </c>
      <c r="N315" s="799" t="s">
        <v>108</v>
      </c>
      <c r="O315" s="799" t="s">
        <v>108</v>
      </c>
      <c r="P315" s="799" t="s">
        <v>108</v>
      </c>
      <c r="Q315" s="799" t="s">
        <v>108</v>
      </c>
      <c r="R315" s="799" t="s">
        <v>108</v>
      </c>
      <c r="S315" s="799" t="s">
        <v>108</v>
      </c>
      <c r="T315" s="799" t="s">
        <v>108</v>
      </c>
      <c r="U315" s="799" t="s">
        <v>108</v>
      </c>
      <c r="V315" s="799" t="s">
        <v>108</v>
      </c>
      <c r="W315" s="799" t="s">
        <v>108</v>
      </c>
      <c r="X315" s="799" t="s">
        <v>108</v>
      </c>
      <c r="Y315" s="799" t="s">
        <v>108</v>
      </c>
      <c r="Z315" s="799" t="s">
        <v>108</v>
      </c>
      <c r="AA315" s="799" t="s">
        <v>108</v>
      </c>
      <c r="AB315" s="799" t="s">
        <v>108</v>
      </c>
      <c r="AC315" s="799" t="s">
        <v>108</v>
      </c>
      <c r="AD315" s="799" t="s">
        <v>108</v>
      </c>
      <c r="AE315" s="799" t="s">
        <v>108</v>
      </c>
      <c r="AF315" s="799" t="s">
        <v>108</v>
      </c>
      <c r="AG315" s="799" t="s">
        <v>108</v>
      </c>
      <c r="AH315" s="799" t="s">
        <v>108</v>
      </c>
      <c r="AI315" s="799" t="s">
        <v>108</v>
      </c>
      <c r="AJ315" s="799" t="s">
        <v>108</v>
      </c>
      <c r="AK315" s="799" t="s">
        <v>108</v>
      </c>
      <c r="AL315" s="799" t="s">
        <v>108</v>
      </c>
      <c r="AM315" s="315"/>
      <c r="AN315" s="315"/>
    </row>
    <row r="316" spans="1:40" ht="12.6">
      <c r="A316" s="990" t="s">
        <v>433</v>
      </c>
      <c r="B316" s="991" t="s">
        <v>124</v>
      </c>
      <c r="C316" s="991"/>
      <c r="D316" s="315"/>
      <c r="E316" s="315" t="s">
        <v>125</v>
      </c>
      <c r="F316" s="799" t="s">
        <v>126</v>
      </c>
      <c r="G316" s="799" t="s">
        <v>126</v>
      </c>
      <c r="H316" s="799" t="s">
        <v>126</v>
      </c>
      <c r="I316" s="799" t="s">
        <v>126</v>
      </c>
      <c r="J316" s="799" t="s">
        <v>126</v>
      </c>
      <c r="K316" s="799" t="s">
        <v>126</v>
      </c>
      <c r="L316" s="799" t="s">
        <v>126</v>
      </c>
      <c r="M316" s="799" t="s">
        <v>126</v>
      </c>
      <c r="N316" s="799" t="s">
        <v>126</v>
      </c>
      <c r="O316" s="799" t="s">
        <v>126</v>
      </c>
      <c r="P316" s="799" t="s">
        <v>126</v>
      </c>
      <c r="Q316" s="799" t="s">
        <v>126</v>
      </c>
      <c r="R316" s="799" t="s">
        <v>126</v>
      </c>
      <c r="S316" s="799" t="s">
        <v>126</v>
      </c>
      <c r="T316" s="799" t="s">
        <v>126</v>
      </c>
      <c r="U316" s="799" t="s">
        <v>126</v>
      </c>
      <c r="V316" s="799" t="s">
        <v>126</v>
      </c>
      <c r="W316" s="799" t="s">
        <v>126</v>
      </c>
      <c r="X316" s="799" t="s">
        <v>126</v>
      </c>
      <c r="Y316" s="799" t="s">
        <v>126</v>
      </c>
      <c r="Z316" s="799" t="s">
        <v>126</v>
      </c>
      <c r="AA316" s="799" t="s">
        <v>126</v>
      </c>
      <c r="AB316" s="799" t="s">
        <v>126</v>
      </c>
      <c r="AC316" s="799" t="s">
        <v>126</v>
      </c>
      <c r="AD316" s="799" t="s">
        <v>126</v>
      </c>
      <c r="AE316" s="799" t="s">
        <v>126</v>
      </c>
      <c r="AF316" s="799" t="s">
        <v>126</v>
      </c>
      <c r="AG316" s="799" t="s">
        <v>126</v>
      </c>
      <c r="AH316" s="799" t="s">
        <v>126</v>
      </c>
      <c r="AI316" s="799" t="s">
        <v>126</v>
      </c>
      <c r="AJ316" s="799" t="s">
        <v>126</v>
      </c>
      <c r="AK316" s="799" t="s">
        <v>126</v>
      </c>
      <c r="AL316" s="799" t="s">
        <v>126</v>
      </c>
      <c r="AM316" s="315"/>
      <c r="AN316" s="315"/>
    </row>
    <row r="317" spans="1:40" ht="12.6">
      <c r="A317" s="990" t="s">
        <v>434</v>
      </c>
      <c r="B317" s="991" t="s">
        <v>128</v>
      </c>
      <c r="C317" s="991"/>
      <c r="D317" s="991" t="s">
        <v>129</v>
      </c>
      <c r="E317" s="991" t="s">
        <v>130</v>
      </c>
      <c r="F317" s="799" t="s">
        <v>108</v>
      </c>
      <c r="G317" s="799" t="s">
        <v>108</v>
      </c>
      <c r="H317" s="799" t="s">
        <v>108</v>
      </c>
      <c r="I317" s="799" t="s">
        <v>108</v>
      </c>
      <c r="J317" s="799" t="s">
        <v>108</v>
      </c>
      <c r="K317" s="799" t="s">
        <v>108</v>
      </c>
      <c r="L317" s="799" t="s">
        <v>108</v>
      </c>
      <c r="M317" s="799" t="s">
        <v>108</v>
      </c>
      <c r="N317" s="799" t="s">
        <v>108</v>
      </c>
      <c r="O317" s="799" t="s">
        <v>108</v>
      </c>
      <c r="P317" s="799" t="s">
        <v>108</v>
      </c>
      <c r="Q317" s="799" t="s">
        <v>108</v>
      </c>
      <c r="R317" s="799" t="s">
        <v>108</v>
      </c>
      <c r="S317" s="799" t="s">
        <v>108</v>
      </c>
      <c r="T317" s="799" t="s">
        <v>108</v>
      </c>
      <c r="U317" s="799" t="s">
        <v>108</v>
      </c>
      <c r="V317" s="799" t="s">
        <v>108</v>
      </c>
      <c r="W317" s="799" t="s">
        <v>108</v>
      </c>
      <c r="X317" s="799" t="s">
        <v>108</v>
      </c>
      <c r="Y317" s="799" t="s">
        <v>108</v>
      </c>
      <c r="Z317" s="799" t="s">
        <v>108</v>
      </c>
      <c r="AA317" s="799" t="s">
        <v>108</v>
      </c>
      <c r="AB317" s="799" t="s">
        <v>108</v>
      </c>
      <c r="AC317" s="799" t="s">
        <v>108</v>
      </c>
      <c r="AD317" s="799" t="s">
        <v>108</v>
      </c>
      <c r="AE317" s="799" t="s">
        <v>108</v>
      </c>
      <c r="AF317" s="799" t="s">
        <v>108</v>
      </c>
      <c r="AG317" s="799" t="s">
        <v>108</v>
      </c>
      <c r="AH317" s="799" t="s">
        <v>108</v>
      </c>
      <c r="AI317" s="799" t="s">
        <v>108</v>
      </c>
      <c r="AJ317" s="799" t="s">
        <v>108</v>
      </c>
      <c r="AK317" s="799" t="s">
        <v>108</v>
      </c>
      <c r="AL317" s="799" t="s">
        <v>108</v>
      </c>
      <c r="AM317" s="315"/>
      <c r="AN317" s="315"/>
    </row>
    <row r="318" spans="1:40" ht="12.6">
      <c r="A318" s="990" t="s">
        <v>435</v>
      </c>
      <c r="B318" s="991" t="s">
        <v>132</v>
      </c>
      <c r="C318" s="991"/>
      <c r="D318" s="991" t="s">
        <v>129</v>
      </c>
      <c r="E318" s="991" t="s">
        <v>130</v>
      </c>
      <c r="F318" s="794" t="s">
        <v>108</v>
      </c>
      <c r="G318" s="794" t="s">
        <v>108</v>
      </c>
      <c r="H318" s="794" t="s">
        <v>108</v>
      </c>
      <c r="I318" s="794" t="s">
        <v>108</v>
      </c>
      <c r="J318" s="794" t="s">
        <v>108</v>
      </c>
      <c r="K318" s="794" t="s">
        <v>108</v>
      </c>
      <c r="L318" s="794" t="s">
        <v>108</v>
      </c>
      <c r="M318" s="794" t="s">
        <v>108</v>
      </c>
      <c r="N318" s="794" t="s">
        <v>108</v>
      </c>
      <c r="O318" s="794" t="s">
        <v>108</v>
      </c>
      <c r="P318" s="794" t="s">
        <v>108</v>
      </c>
      <c r="Q318" s="794" t="s">
        <v>108</v>
      </c>
      <c r="R318" s="794" t="s">
        <v>108</v>
      </c>
      <c r="S318" s="794" t="s">
        <v>108</v>
      </c>
      <c r="T318" s="794" t="s">
        <v>108</v>
      </c>
      <c r="U318" s="794" t="s">
        <v>108</v>
      </c>
      <c r="V318" s="794" t="s">
        <v>108</v>
      </c>
      <c r="W318" s="794" t="s">
        <v>108</v>
      </c>
      <c r="X318" s="794" t="s">
        <v>108</v>
      </c>
      <c r="Y318" s="794" t="s">
        <v>108</v>
      </c>
      <c r="Z318" s="794" t="s">
        <v>108</v>
      </c>
      <c r="AA318" s="794" t="s">
        <v>108</v>
      </c>
      <c r="AB318" s="794" t="s">
        <v>108</v>
      </c>
      <c r="AC318" s="794" t="s">
        <v>108</v>
      </c>
      <c r="AD318" s="794" t="s">
        <v>108</v>
      </c>
      <c r="AE318" s="794" t="s">
        <v>108</v>
      </c>
      <c r="AF318" s="794" t="s">
        <v>108</v>
      </c>
      <c r="AG318" s="794" t="s">
        <v>108</v>
      </c>
      <c r="AH318" s="794" t="s">
        <v>108</v>
      </c>
      <c r="AI318" s="794" t="s">
        <v>108</v>
      </c>
      <c r="AJ318" s="794" t="s">
        <v>108</v>
      </c>
      <c r="AK318" s="794" t="s">
        <v>108</v>
      </c>
      <c r="AL318" s="794" t="s">
        <v>108</v>
      </c>
      <c r="AM318" s="315"/>
      <c r="AN318" s="315"/>
    </row>
    <row r="319" spans="1:40" ht="12.6">
      <c r="A319" s="990" t="s">
        <v>436</v>
      </c>
      <c r="B319" s="991" t="s">
        <v>134</v>
      </c>
      <c r="D319" s="315"/>
      <c r="E319" s="315"/>
      <c r="F319" s="801"/>
      <c r="G319" s="802"/>
      <c r="H319" s="802"/>
      <c r="I319" s="802"/>
      <c r="J319" s="802"/>
      <c r="K319" s="802"/>
      <c r="L319" s="802"/>
      <c r="M319" s="802"/>
      <c r="N319" s="802"/>
      <c r="O319" s="802"/>
      <c r="P319" s="802"/>
      <c r="Q319" s="802"/>
      <c r="R319" s="802"/>
      <c r="S319" s="802"/>
      <c r="T319" s="802"/>
      <c r="U319" s="802"/>
      <c r="V319" s="802"/>
      <c r="W319" s="802"/>
      <c r="X319" s="802"/>
      <c r="Y319" s="802"/>
      <c r="Z319" s="802"/>
      <c r="AA319" s="802"/>
      <c r="AB319" s="802"/>
      <c r="AC319" s="802"/>
      <c r="AD319" s="802"/>
      <c r="AE319" s="802"/>
      <c r="AF319" s="802"/>
      <c r="AG319" s="802"/>
      <c r="AH319" s="802"/>
      <c r="AI319" s="802"/>
      <c r="AJ319" s="802"/>
      <c r="AK319" s="802"/>
      <c r="AL319" s="802"/>
      <c r="AM319" s="315"/>
      <c r="AN319" s="315"/>
    </row>
    <row r="320" spans="1:40" s="792" customFormat="1" ht="14.25" customHeight="1">
      <c r="A320" s="989" t="s">
        <v>437</v>
      </c>
      <c r="B320" s="791"/>
      <c r="C320" s="791"/>
      <c r="D320" s="791"/>
      <c r="E320" s="791"/>
      <c r="F320" s="790"/>
      <c r="G320" s="790"/>
      <c r="H320" s="790"/>
      <c r="I320" s="790"/>
      <c r="J320" s="790"/>
      <c r="K320" s="790"/>
      <c r="L320" s="790"/>
      <c r="M320" s="790"/>
      <c r="N320" s="790"/>
      <c r="O320" s="790"/>
      <c r="P320" s="790"/>
      <c r="Q320" s="790"/>
      <c r="R320" s="790"/>
      <c r="S320" s="790"/>
      <c r="T320" s="790"/>
      <c r="U320" s="790"/>
      <c r="V320" s="790"/>
      <c r="W320" s="790"/>
      <c r="X320" s="790"/>
      <c r="Y320" s="790"/>
      <c r="Z320" s="790"/>
      <c r="AA320" s="790"/>
      <c r="AB320" s="790"/>
      <c r="AC320" s="790"/>
      <c r="AD320" s="790"/>
      <c r="AE320" s="790"/>
      <c r="AF320" s="790"/>
      <c r="AG320" s="790"/>
      <c r="AH320" s="790"/>
      <c r="AI320" s="790"/>
      <c r="AJ320" s="790"/>
      <c r="AK320" s="790"/>
      <c r="AL320" s="790"/>
      <c r="AM320" s="791"/>
      <c r="AN320" s="791"/>
    </row>
    <row r="321" spans="1:40" ht="12.6">
      <c r="A321" s="990" t="s">
        <v>438</v>
      </c>
      <c r="B321" s="991" t="s">
        <v>121</v>
      </c>
      <c r="C321" s="991"/>
      <c r="D321" s="315"/>
      <c r="E321" s="991" t="s">
        <v>122</v>
      </c>
      <c r="F321" s="300" t="s">
        <v>108</v>
      </c>
      <c r="G321" s="300" t="s">
        <v>108</v>
      </c>
      <c r="H321" s="300" t="s">
        <v>108</v>
      </c>
      <c r="I321" s="300" t="s">
        <v>108</v>
      </c>
      <c r="J321" s="300" t="s">
        <v>108</v>
      </c>
      <c r="K321" s="300" t="s">
        <v>108</v>
      </c>
      <c r="L321" s="300" t="s">
        <v>108</v>
      </c>
      <c r="M321" s="300" t="s">
        <v>108</v>
      </c>
      <c r="N321" s="300" t="s">
        <v>108</v>
      </c>
      <c r="O321" s="300" t="s">
        <v>108</v>
      </c>
      <c r="P321" s="300" t="s">
        <v>108</v>
      </c>
      <c r="Q321" s="300" t="s">
        <v>108</v>
      </c>
      <c r="R321" s="300" t="s">
        <v>108</v>
      </c>
      <c r="S321" s="300" t="s">
        <v>108</v>
      </c>
      <c r="T321" s="300" t="s">
        <v>108</v>
      </c>
      <c r="U321" s="300" t="s">
        <v>108</v>
      </c>
      <c r="V321" s="300" t="s">
        <v>108</v>
      </c>
      <c r="W321" s="300" t="s">
        <v>108</v>
      </c>
      <c r="X321" s="300" t="s">
        <v>108</v>
      </c>
      <c r="Y321" s="300" t="s">
        <v>108</v>
      </c>
      <c r="Z321" s="300" t="s">
        <v>108</v>
      </c>
      <c r="AA321" s="300" t="s">
        <v>108</v>
      </c>
      <c r="AB321" s="300" t="s">
        <v>108</v>
      </c>
      <c r="AC321" s="300" t="s">
        <v>108</v>
      </c>
      <c r="AD321" s="300" t="s">
        <v>108</v>
      </c>
      <c r="AE321" s="300" t="s">
        <v>108</v>
      </c>
      <c r="AF321" s="300" t="s">
        <v>108</v>
      </c>
      <c r="AG321" s="300" t="s">
        <v>108</v>
      </c>
      <c r="AH321" s="300" t="s">
        <v>108</v>
      </c>
      <c r="AI321" s="300" t="s">
        <v>108</v>
      </c>
      <c r="AJ321" s="300" t="s">
        <v>108</v>
      </c>
      <c r="AK321" s="300" t="s">
        <v>108</v>
      </c>
      <c r="AL321" s="300" t="s">
        <v>108</v>
      </c>
      <c r="AM321" s="315"/>
      <c r="AN321" s="315"/>
    </row>
    <row r="322" spans="1:40" ht="12.6">
      <c r="A322" s="990" t="s">
        <v>439</v>
      </c>
      <c r="B322" s="991" t="s">
        <v>124</v>
      </c>
      <c r="C322" s="991"/>
      <c r="D322" s="315"/>
      <c r="E322" s="315" t="s">
        <v>125</v>
      </c>
      <c r="F322" s="799" t="s">
        <v>126</v>
      </c>
      <c r="G322" s="799" t="s">
        <v>126</v>
      </c>
      <c r="H322" s="799" t="s">
        <v>126</v>
      </c>
      <c r="I322" s="799" t="s">
        <v>126</v>
      </c>
      <c r="J322" s="799" t="s">
        <v>126</v>
      </c>
      <c r="K322" s="799" t="s">
        <v>126</v>
      </c>
      <c r="L322" s="799" t="s">
        <v>126</v>
      </c>
      <c r="M322" s="799" t="s">
        <v>126</v>
      </c>
      <c r="N322" s="799" t="s">
        <v>126</v>
      </c>
      <c r="O322" s="799" t="s">
        <v>126</v>
      </c>
      <c r="P322" s="799" t="s">
        <v>126</v>
      </c>
      <c r="Q322" s="799" t="s">
        <v>126</v>
      </c>
      <c r="R322" s="799" t="s">
        <v>126</v>
      </c>
      <c r="S322" s="799" t="s">
        <v>126</v>
      </c>
      <c r="T322" s="799" t="s">
        <v>126</v>
      </c>
      <c r="U322" s="799" t="s">
        <v>126</v>
      </c>
      <c r="V322" s="799" t="s">
        <v>126</v>
      </c>
      <c r="W322" s="799" t="s">
        <v>126</v>
      </c>
      <c r="X322" s="799" t="s">
        <v>126</v>
      </c>
      <c r="Y322" s="799" t="s">
        <v>126</v>
      </c>
      <c r="Z322" s="799" t="s">
        <v>126</v>
      </c>
      <c r="AA322" s="799" t="s">
        <v>126</v>
      </c>
      <c r="AB322" s="799" t="s">
        <v>126</v>
      </c>
      <c r="AC322" s="799" t="s">
        <v>126</v>
      </c>
      <c r="AD322" s="799" t="s">
        <v>126</v>
      </c>
      <c r="AE322" s="799" t="s">
        <v>126</v>
      </c>
      <c r="AF322" s="799" t="s">
        <v>126</v>
      </c>
      <c r="AG322" s="799" t="s">
        <v>126</v>
      </c>
      <c r="AH322" s="799" t="s">
        <v>126</v>
      </c>
      <c r="AI322" s="799" t="s">
        <v>126</v>
      </c>
      <c r="AJ322" s="799" t="s">
        <v>126</v>
      </c>
      <c r="AK322" s="799" t="s">
        <v>126</v>
      </c>
      <c r="AL322" s="799" t="s">
        <v>126</v>
      </c>
      <c r="AM322" s="315"/>
      <c r="AN322" s="315"/>
    </row>
    <row r="323" spans="1:40" ht="12.6">
      <c r="A323" s="990" t="s">
        <v>440</v>
      </c>
      <c r="B323" s="991" t="s">
        <v>128</v>
      </c>
      <c r="C323" s="991"/>
      <c r="D323" s="991" t="s">
        <v>129</v>
      </c>
      <c r="E323" s="991" t="s">
        <v>130</v>
      </c>
      <c r="F323" s="300" t="s">
        <v>108</v>
      </c>
      <c r="G323" s="300" t="s">
        <v>108</v>
      </c>
      <c r="H323" s="300" t="s">
        <v>108</v>
      </c>
      <c r="I323" s="300" t="s">
        <v>108</v>
      </c>
      <c r="J323" s="300" t="s">
        <v>108</v>
      </c>
      <c r="K323" s="300" t="s">
        <v>108</v>
      </c>
      <c r="L323" s="300" t="s">
        <v>108</v>
      </c>
      <c r="M323" s="300" t="s">
        <v>108</v>
      </c>
      <c r="N323" s="300" t="s">
        <v>108</v>
      </c>
      <c r="O323" s="300" t="s">
        <v>108</v>
      </c>
      <c r="P323" s="300" t="s">
        <v>108</v>
      </c>
      <c r="Q323" s="300" t="s">
        <v>108</v>
      </c>
      <c r="R323" s="300" t="s">
        <v>108</v>
      </c>
      <c r="S323" s="300" t="s">
        <v>108</v>
      </c>
      <c r="T323" s="300" t="s">
        <v>108</v>
      </c>
      <c r="U323" s="300" t="s">
        <v>108</v>
      </c>
      <c r="V323" s="300" t="s">
        <v>108</v>
      </c>
      <c r="W323" s="300" t="s">
        <v>108</v>
      </c>
      <c r="X323" s="300" t="s">
        <v>108</v>
      </c>
      <c r="Y323" s="300" t="s">
        <v>108</v>
      </c>
      <c r="Z323" s="300" t="s">
        <v>108</v>
      </c>
      <c r="AA323" s="300" t="s">
        <v>108</v>
      </c>
      <c r="AB323" s="300" t="s">
        <v>108</v>
      </c>
      <c r="AC323" s="300" t="s">
        <v>108</v>
      </c>
      <c r="AD323" s="300" t="s">
        <v>108</v>
      </c>
      <c r="AE323" s="300" t="s">
        <v>108</v>
      </c>
      <c r="AF323" s="300" t="s">
        <v>108</v>
      </c>
      <c r="AG323" s="300" t="s">
        <v>108</v>
      </c>
      <c r="AH323" s="300" t="s">
        <v>108</v>
      </c>
      <c r="AI323" s="300" t="s">
        <v>108</v>
      </c>
      <c r="AJ323" s="300" t="s">
        <v>108</v>
      </c>
      <c r="AK323" s="300" t="s">
        <v>108</v>
      </c>
      <c r="AL323" s="300" t="s">
        <v>108</v>
      </c>
      <c r="AM323" s="315"/>
      <c r="AN323" s="315"/>
    </row>
    <row r="324" spans="1:40" ht="12.6">
      <c r="A324" s="990" t="s">
        <v>441</v>
      </c>
      <c r="B324" s="991" t="s">
        <v>132</v>
      </c>
      <c r="C324" s="991"/>
      <c r="D324" s="991" t="s">
        <v>129</v>
      </c>
      <c r="E324" s="991" t="s">
        <v>130</v>
      </c>
      <c r="F324" s="794" t="s">
        <v>108</v>
      </c>
      <c r="G324" s="794" t="s">
        <v>108</v>
      </c>
      <c r="H324" s="794" t="s">
        <v>108</v>
      </c>
      <c r="I324" s="794" t="s">
        <v>108</v>
      </c>
      <c r="J324" s="794" t="s">
        <v>108</v>
      </c>
      <c r="K324" s="794" t="s">
        <v>108</v>
      </c>
      <c r="L324" s="794" t="s">
        <v>108</v>
      </c>
      <c r="M324" s="794" t="s">
        <v>108</v>
      </c>
      <c r="N324" s="794" t="s">
        <v>108</v>
      </c>
      <c r="O324" s="794" t="s">
        <v>108</v>
      </c>
      <c r="P324" s="794" t="s">
        <v>108</v>
      </c>
      <c r="Q324" s="794" t="s">
        <v>108</v>
      </c>
      <c r="R324" s="794" t="s">
        <v>108</v>
      </c>
      <c r="S324" s="794" t="s">
        <v>108</v>
      </c>
      <c r="T324" s="794" t="s">
        <v>108</v>
      </c>
      <c r="U324" s="794" t="s">
        <v>108</v>
      </c>
      <c r="V324" s="794" t="s">
        <v>108</v>
      </c>
      <c r="W324" s="794" t="s">
        <v>108</v>
      </c>
      <c r="X324" s="794" t="s">
        <v>108</v>
      </c>
      <c r="Y324" s="794" t="s">
        <v>108</v>
      </c>
      <c r="Z324" s="794" t="s">
        <v>108</v>
      </c>
      <c r="AA324" s="794" t="s">
        <v>108</v>
      </c>
      <c r="AB324" s="794" t="s">
        <v>108</v>
      </c>
      <c r="AC324" s="794" t="s">
        <v>108</v>
      </c>
      <c r="AD324" s="794" t="s">
        <v>108</v>
      </c>
      <c r="AE324" s="794" t="s">
        <v>108</v>
      </c>
      <c r="AF324" s="794" t="s">
        <v>108</v>
      </c>
      <c r="AG324" s="794" t="s">
        <v>108</v>
      </c>
      <c r="AH324" s="794" t="s">
        <v>108</v>
      </c>
      <c r="AI324" s="794" t="s">
        <v>108</v>
      </c>
      <c r="AJ324" s="794" t="s">
        <v>108</v>
      </c>
      <c r="AK324" s="794" t="s">
        <v>108</v>
      </c>
      <c r="AL324" s="794" t="s">
        <v>108</v>
      </c>
      <c r="AM324" s="315"/>
      <c r="AN324" s="315"/>
    </row>
    <row r="325" spans="1:40" ht="12.6">
      <c r="A325" s="990" t="s">
        <v>442</v>
      </c>
      <c r="B325" s="991" t="s">
        <v>134</v>
      </c>
      <c r="D325" s="315"/>
      <c r="E325" s="315"/>
      <c r="F325" s="801"/>
      <c r="G325" s="802"/>
      <c r="H325" s="802"/>
      <c r="I325" s="802"/>
      <c r="J325" s="802"/>
      <c r="K325" s="802"/>
      <c r="L325" s="802"/>
      <c r="M325" s="802"/>
      <c r="N325" s="802"/>
      <c r="O325" s="802"/>
      <c r="P325" s="802"/>
      <c r="Q325" s="802"/>
      <c r="R325" s="802"/>
      <c r="S325" s="802"/>
      <c r="T325" s="802"/>
      <c r="U325" s="802"/>
      <c r="V325" s="802"/>
      <c r="W325" s="802"/>
      <c r="X325" s="802"/>
      <c r="Y325" s="802"/>
      <c r="Z325" s="802"/>
      <c r="AA325" s="802"/>
      <c r="AB325" s="802"/>
      <c r="AC325" s="802"/>
      <c r="AD325" s="802"/>
      <c r="AE325" s="802"/>
      <c r="AF325" s="802"/>
      <c r="AG325" s="802"/>
      <c r="AH325" s="802"/>
      <c r="AI325" s="802"/>
      <c r="AJ325" s="802"/>
      <c r="AK325" s="802"/>
      <c r="AL325" s="802"/>
      <c r="AM325" s="315"/>
      <c r="AN325" s="315"/>
    </row>
    <row r="326" spans="1:40" s="797" customFormat="1" ht="12.95">
      <c r="A326" s="796" t="s">
        <v>443</v>
      </c>
      <c r="B326" s="796"/>
      <c r="C326" s="796"/>
      <c r="D326" s="796"/>
      <c r="E326" s="796"/>
      <c r="F326" s="795"/>
      <c r="G326" s="795"/>
      <c r="H326" s="795"/>
      <c r="I326" s="795"/>
      <c r="J326" s="795"/>
      <c r="K326" s="795"/>
      <c r="L326" s="795"/>
      <c r="M326" s="795"/>
      <c r="N326" s="795"/>
      <c r="O326" s="795"/>
      <c r="P326" s="795"/>
      <c r="Q326" s="795"/>
      <c r="R326" s="795"/>
      <c r="S326" s="795"/>
      <c r="T326" s="795"/>
      <c r="U326" s="795"/>
      <c r="V326" s="795"/>
      <c r="W326" s="795"/>
      <c r="X326" s="795"/>
      <c r="Y326" s="795"/>
      <c r="Z326" s="795"/>
      <c r="AA326" s="795"/>
      <c r="AB326" s="795"/>
      <c r="AC326" s="795"/>
      <c r="AD326" s="795"/>
      <c r="AE326" s="795"/>
      <c r="AF326" s="795"/>
      <c r="AG326" s="795"/>
      <c r="AH326" s="795"/>
      <c r="AI326" s="795"/>
      <c r="AJ326" s="795"/>
      <c r="AK326" s="795"/>
      <c r="AL326" s="795"/>
      <c r="AM326" s="796"/>
      <c r="AN326" s="796"/>
    </row>
    <row r="327" spans="1:40" s="792" customFormat="1" ht="14.25" customHeight="1">
      <c r="A327" s="989" t="s">
        <v>444</v>
      </c>
      <c r="B327" s="791"/>
      <c r="C327" s="791"/>
      <c r="D327" s="791"/>
      <c r="E327" s="791"/>
      <c r="F327" s="790"/>
      <c r="G327" s="790"/>
      <c r="H327" s="790"/>
      <c r="I327" s="790"/>
      <c r="J327" s="790"/>
      <c r="K327" s="790"/>
      <c r="L327" s="790"/>
      <c r="M327" s="790"/>
      <c r="N327" s="790"/>
      <c r="O327" s="790"/>
      <c r="P327" s="790"/>
      <c r="Q327" s="790"/>
      <c r="R327" s="790"/>
      <c r="S327" s="790"/>
      <c r="T327" s="790"/>
      <c r="U327" s="790"/>
      <c r="V327" s="790"/>
      <c r="W327" s="790"/>
      <c r="X327" s="790"/>
      <c r="Y327" s="790"/>
      <c r="Z327" s="790"/>
      <c r="AA327" s="790"/>
      <c r="AB327" s="790"/>
      <c r="AC327" s="790"/>
      <c r="AD327" s="790"/>
      <c r="AE327" s="790"/>
      <c r="AF327" s="790"/>
      <c r="AG327" s="790"/>
      <c r="AH327" s="790"/>
      <c r="AI327" s="790"/>
      <c r="AJ327" s="790"/>
      <c r="AK327" s="790"/>
      <c r="AL327" s="790"/>
      <c r="AM327" s="791"/>
      <c r="AN327" s="791"/>
    </row>
    <row r="328" spans="1:40" ht="12.6">
      <c r="A328" s="990" t="s">
        <v>445</v>
      </c>
      <c r="B328" s="991" t="s">
        <v>121</v>
      </c>
      <c r="C328" s="991"/>
      <c r="D328" s="315"/>
      <c r="E328" s="991" t="s">
        <v>122</v>
      </c>
      <c r="F328" s="294">
        <f>'[5]Pulp, Paper and Print'!C16</f>
        <v>57567.878522252417</v>
      </c>
      <c r="G328" s="294">
        <f>'[5]Pulp, Paper and Print'!D16</f>
        <v>59645.679741458596</v>
      </c>
      <c r="H328" s="294">
        <f>'[5]Pulp, Paper and Print'!E16</f>
        <v>61729.095406508168</v>
      </c>
      <c r="I328" s="294">
        <f>'[5]Pulp, Paper and Print'!F16</f>
        <v>63812.511071557747</v>
      </c>
      <c r="J328" s="294">
        <f>'[5]Pulp, Paper and Print'!G16</f>
        <v>65895.926736607333</v>
      </c>
      <c r="K328" s="294">
        <f>'[5]Pulp, Paper and Print'!H16</f>
        <v>63926.669250701671</v>
      </c>
      <c r="L328" s="294">
        <f>'[5]Pulp, Paper and Print'!I16</f>
        <v>61957.411764796023</v>
      </c>
      <c r="M328" s="294">
        <f>'[5]Pulp, Paper and Print'!J16</f>
        <v>59988.154278890383</v>
      </c>
      <c r="N328" s="294">
        <f>'[5]Pulp, Paper and Print'!K16</f>
        <v>58018.896792984728</v>
      </c>
      <c r="O328" s="294">
        <f>'[5]Pulp, Paper and Print'!L16</f>
        <v>53586.922730958853</v>
      </c>
      <c r="P328" s="294">
        <f>'[5]Pulp, Paper and Print'!M16</f>
        <v>49154.948668932986</v>
      </c>
      <c r="Q328" s="294">
        <f>'[5]Pulp, Paper and Print'!N16</f>
        <v>44722.974606907112</v>
      </c>
      <c r="R328" s="294">
        <f>'[5]Pulp, Paper and Print'!O16</f>
        <v>40291.000544881237</v>
      </c>
      <c r="S328" s="294">
        <f>'[5]Pulp, Paper and Print'!P16</f>
        <v>39478.98128355098</v>
      </c>
      <c r="T328" s="294">
        <f>'[5]Pulp, Paper and Print'!Q16</f>
        <v>38666.962022220723</v>
      </c>
      <c r="U328" s="294">
        <f>'[5]Pulp, Paper and Print'!R16</f>
        <v>37854.942760890459</v>
      </c>
      <c r="V328" s="294">
        <f>'[5]Pulp, Paper and Print'!S16</f>
        <v>37042.923499560216</v>
      </c>
      <c r="W328" s="294">
        <f>'[5]Pulp, Paper and Print'!T16</f>
        <v>32426.92690651162</v>
      </c>
      <c r="X328" s="294">
        <f>'[5]Pulp, Paper and Print'!U16</f>
        <v>27810.930313463028</v>
      </c>
      <c r="Y328" s="294">
        <f>'[5]Pulp, Paper and Print'!V16</f>
        <v>23194.933720414436</v>
      </c>
      <c r="Z328" s="294">
        <f>'[5]Pulp, Paper and Print'!W16</f>
        <v>18578.937127365851</v>
      </c>
      <c r="AA328" s="294">
        <f>'[5]Pulp, Paper and Print'!X16</f>
        <v>14457.992736156346</v>
      </c>
      <c r="AB328" s="294">
        <f>'[5]Pulp, Paper and Print'!Y16</f>
        <v>10046.998769424385</v>
      </c>
      <c r="AC328" s="294">
        <f>'[5]Pulp, Paper and Print'!Z16</f>
        <v>10811.455055061308</v>
      </c>
      <c r="AD328" s="294">
        <f>'[5]Pulp, Paper and Print'!AA16</f>
        <v>7690.3076507070664</v>
      </c>
      <c r="AE328" s="294">
        <f>'[5]Pulp, Paper and Print'!AB16</f>
        <v>5758.3437332016783</v>
      </c>
      <c r="AF328" s="294">
        <f>'[5]Pulp, Paper and Print'!AC16</f>
        <v>4882.019772472031</v>
      </c>
      <c r="AG328" s="294">
        <f>'[5]Pulp, Paper and Print'!AD16</f>
        <v>4083.7873579184488</v>
      </c>
      <c r="AH328" s="294">
        <f>'[5]Pulp, Paper and Print'!AE16</f>
        <v>3902.7195270216725</v>
      </c>
      <c r="AI328" s="294">
        <f>'[5]Pulp, Paper and Print'!AF16</f>
        <v>2855.4156385800593</v>
      </c>
      <c r="AJ328" s="294">
        <f>'[5]Pulp, Paper and Print'!AG16</f>
        <v>1684.572494902435</v>
      </c>
      <c r="AK328" s="294">
        <f>'[5]Pulp, Paper and Print'!AH16</f>
        <v>2333.7761679081032</v>
      </c>
      <c r="AL328" s="1068">
        <f>AK328</f>
        <v>2333.7761679081032</v>
      </c>
      <c r="AM328" s="315"/>
      <c r="AN328" s="315"/>
    </row>
    <row r="329" spans="1:40" ht="12.6">
      <c r="A329" s="990" t="s">
        <v>446</v>
      </c>
      <c r="B329" s="991" t="s">
        <v>124</v>
      </c>
      <c r="C329" s="991"/>
      <c r="D329" s="315"/>
      <c r="E329" s="315" t="s">
        <v>125</v>
      </c>
      <c r="F329" s="300" t="s">
        <v>126</v>
      </c>
      <c r="G329" s="300" t="s">
        <v>126</v>
      </c>
      <c r="H329" s="300" t="s">
        <v>126</v>
      </c>
      <c r="I329" s="300" t="s">
        <v>126</v>
      </c>
      <c r="J329" s="300" t="s">
        <v>126</v>
      </c>
      <c r="K329" s="300" t="s">
        <v>126</v>
      </c>
      <c r="L329" s="300" t="s">
        <v>126</v>
      </c>
      <c r="M329" s="300" t="s">
        <v>126</v>
      </c>
      <c r="N329" s="300" t="s">
        <v>126</v>
      </c>
      <c r="O329" s="300" t="s">
        <v>126</v>
      </c>
      <c r="P329" s="300" t="s">
        <v>126</v>
      </c>
      <c r="Q329" s="300" t="s">
        <v>126</v>
      </c>
      <c r="R329" s="300" t="s">
        <v>126</v>
      </c>
      <c r="S329" s="300" t="s">
        <v>126</v>
      </c>
      <c r="T329" s="300" t="s">
        <v>126</v>
      </c>
      <c r="U329" s="300" t="s">
        <v>126</v>
      </c>
      <c r="V329" s="300" t="s">
        <v>126</v>
      </c>
      <c r="W329" s="300" t="s">
        <v>126</v>
      </c>
      <c r="X329" s="300" t="s">
        <v>126</v>
      </c>
      <c r="Y329" s="300" t="s">
        <v>126</v>
      </c>
      <c r="Z329" s="300" t="s">
        <v>126</v>
      </c>
      <c r="AA329" s="300" t="s">
        <v>126</v>
      </c>
      <c r="AB329" s="300" t="s">
        <v>126</v>
      </c>
      <c r="AC329" s="300" t="s">
        <v>126</v>
      </c>
      <c r="AD329" s="300" t="s">
        <v>126</v>
      </c>
      <c r="AE329" s="300" t="s">
        <v>126</v>
      </c>
      <c r="AF329" s="300" t="s">
        <v>126</v>
      </c>
      <c r="AG329" s="300" t="s">
        <v>126</v>
      </c>
      <c r="AH329" s="300" t="s">
        <v>126</v>
      </c>
      <c r="AI329" s="300" t="s">
        <v>126</v>
      </c>
      <c r="AJ329" s="300" t="s">
        <v>126</v>
      </c>
      <c r="AK329" s="300" t="s">
        <v>126</v>
      </c>
      <c r="AL329" s="300" t="s">
        <v>126</v>
      </c>
      <c r="AM329" s="315"/>
      <c r="AN329" s="315"/>
    </row>
    <row r="330" spans="1:40" ht="12.6">
      <c r="A330" s="990" t="s">
        <v>447</v>
      </c>
      <c r="B330" s="991" t="s">
        <v>128</v>
      </c>
      <c r="C330" s="991"/>
      <c r="D330" s="991" t="s">
        <v>129</v>
      </c>
      <c r="E330" s="991" t="s">
        <v>130</v>
      </c>
      <c r="F330" s="294">
        <f>'[5]Pulp, Paper and Print'!C21</f>
        <v>4331.5282083014754</v>
      </c>
      <c r="G330" s="294">
        <f>'[5]Pulp, Paper and Print'!D21</f>
        <v>4418.7157095871862</v>
      </c>
      <c r="H330" s="294">
        <f>'[5]Pulp, Paper and Print'!E21</f>
        <v>4628.7198737755107</v>
      </c>
      <c r="I330" s="294">
        <f>'[5]Pulp, Paper and Print'!F21</f>
        <v>4739.4692516680161</v>
      </c>
      <c r="J330" s="294">
        <f>'[5]Pulp, Paper and Print'!G21</f>
        <v>4906.8957304183632</v>
      </c>
      <c r="K330" s="294">
        <f>'[5]Pulp, Paper and Print'!H21</f>
        <v>4676.5351332267355</v>
      </c>
      <c r="L330" s="294">
        <f>'[5]Pulp, Paper and Print'!I21</f>
        <v>4645.7514996958907</v>
      </c>
      <c r="M330" s="294">
        <f>'[5]Pulp, Paper and Print'!J21</f>
        <v>4514.745071713045</v>
      </c>
      <c r="N330" s="294">
        <f>'[5]Pulp, Paper and Print'!K21</f>
        <v>4437.4813386222813</v>
      </c>
      <c r="O330" s="294">
        <f>'[5]Pulp, Paper and Print'!L21</f>
        <v>4145.2423697555832</v>
      </c>
      <c r="P330" s="294">
        <f>'[5]Pulp, Paper and Print'!M21</f>
        <v>3738.7767126174608</v>
      </c>
      <c r="Q330" s="294">
        <f>'[5]Pulp, Paper and Print'!N21</f>
        <v>3346.7753402077196</v>
      </c>
      <c r="R330" s="294">
        <f>'[5]Pulp, Paper and Print'!O21</f>
        <v>3007.0998435185707</v>
      </c>
      <c r="S330" s="294">
        <f>'[5]Pulp, Paper and Print'!P21</f>
        <v>3030.0398759547998</v>
      </c>
      <c r="T330" s="294">
        <f>'[5]Pulp, Paper and Print'!Q21</f>
        <v>2946.2342619599108</v>
      </c>
      <c r="U330" s="294">
        <f>'[5]Pulp, Paper and Print'!R21</f>
        <v>2822.4862302016541</v>
      </c>
      <c r="V330" s="294">
        <f>'[5]Pulp, Paper and Print'!S21</f>
        <v>2795.1447147310359</v>
      </c>
      <c r="W330" s="294">
        <f>'[5]Pulp, Paper and Print'!T21</f>
        <v>2441.7902708120469</v>
      </c>
      <c r="X330" s="294">
        <f>'[5]Pulp, Paper and Print'!U21</f>
        <v>2077.856012493824</v>
      </c>
      <c r="Y330" s="294">
        <f>'[5]Pulp, Paper and Print'!V21</f>
        <v>1688.7833291422819</v>
      </c>
      <c r="Z330" s="294">
        <f>'[5]Pulp, Paper and Print'!W21</f>
        <v>1351.0128990655007</v>
      </c>
      <c r="AA330" s="294">
        <f>'[5]Pulp, Paper and Print'!X21</f>
        <v>1049.007730065751</v>
      </c>
      <c r="AB330" s="294">
        <f>'[5]Pulp, Paper and Print'!Y21</f>
        <v>728.39415710166566</v>
      </c>
      <c r="AC330" s="294">
        <f>'[5]Pulp, Paper and Print'!Z21</f>
        <v>787.14251475440631</v>
      </c>
      <c r="AD330" s="294">
        <f>'[5]Pulp, Paper and Print'!AA21</f>
        <v>567.65365372448764</v>
      </c>
      <c r="AE330" s="294">
        <f>'[5]Pulp, Paper and Print'!AB21</f>
        <v>419.07086585387265</v>
      </c>
      <c r="AF330" s="294">
        <f>'[5]Pulp, Paper and Print'!AC21</f>
        <v>371.92977737005282</v>
      </c>
      <c r="AG330" s="294">
        <f>'[5]Pulp, Paper and Print'!AD21</f>
        <v>307.43659956681643</v>
      </c>
      <c r="AH330" s="294">
        <f>'[5]Pulp, Paper and Print'!AE21</f>
        <v>298.65905704747075</v>
      </c>
      <c r="AI330" s="294">
        <f>'[5]Pulp, Paper and Print'!AF21</f>
        <v>211.54012665984587</v>
      </c>
      <c r="AJ330" s="294">
        <f>'[5]Pulp, Paper and Print'!AG21</f>
        <v>117.15904910473901</v>
      </c>
      <c r="AK330" s="294">
        <f>'[5]Pulp, Paper and Print'!AH21</f>
        <v>167.3578135499981</v>
      </c>
      <c r="AL330" s="1068">
        <f>AK330</f>
        <v>167.3578135499981</v>
      </c>
      <c r="AM330" s="315"/>
      <c r="AN330" s="315"/>
    </row>
    <row r="331" spans="1:40" ht="12.6">
      <c r="A331" s="990" t="s">
        <v>448</v>
      </c>
      <c r="B331" s="991" t="s">
        <v>132</v>
      </c>
      <c r="C331" s="991"/>
      <c r="D331" s="991" t="s">
        <v>129</v>
      </c>
      <c r="E331" s="991" t="s">
        <v>130</v>
      </c>
      <c r="F331" s="799" t="s">
        <v>106</v>
      </c>
      <c r="G331" s="799" t="s">
        <v>106</v>
      </c>
      <c r="H331" s="799" t="s">
        <v>106</v>
      </c>
      <c r="I331" s="799" t="s">
        <v>106</v>
      </c>
      <c r="J331" s="799" t="s">
        <v>106</v>
      </c>
      <c r="K331" s="799" t="s">
        <v>106</v>
      </c>
      <c r="L331" s="799" t="s">
        <v>106</v>
      </c>
      <c r="M331" s="799" t="s">
        <v>106</v>
      </c>
      <c r="N331" s="799" t="s">
        <v>106</v>
      </c>
      <c r="O331" s="799" t="s">
        <v>106</v>
      </c>
      <c r="P331" s="799" t="s">
        <v>106</v>
      </c>
      <c r="Q331" s="799" t="s">
        <v>106</v>
      </c>
      <c r="R331" s="799" t="s">
        <v>106</v>
      </c>
      <c r="S331" s="799" t="s">
        <v>106</v>
      </c>
      <c r="T331" s="799" t="s">
        <v>106</v>
      </c>
      <c r="U331" s="799" t="s">
        <v>106</v>
      </c>
      <c r="V331" s="799" t="s">
        <v>106</v>
      </c>
      <c r="W331" s="799" t="s">
        <v>106</v>
      </c>
      <c r="X331" s="799" t="s">
        <v>106</v>
      </c>
      <c r="Y331" s="799" t="s">
        <v>106</v>
      </c>
      <c r="Z331" s="799" t="s">
        <v>106</v>
      </c>
      <c r="AA331" s="799" t="s">
        <v>106</v>
      </c>
      <c r="AB331" s="799" t="s">
        <v>106</v>
      </c>
      <c r="AC331" s="799" t="s">
        <v>106</v>
      </c>
      <c r="AD331" s="799" t="s">
        <v>106</v>
      </c>
      <c r="AE331" s="799" t="s">
        <v>106</v>
      </c>
      <c r="AF331" s="799" t="s">
        <v>106</v>
      </c>
      <c r="AG331" s="799" t="s">
        <v>106</v>
      </c>
      <c r="AH331" s="799" t="s">
        <v>106</v>
      </c>
      <c r="AI331" s="799" t="s">
        <v>106</v>
      </c>
      <c r="AJ331" s="799" t="s">
        <v>106</v>
      </c>
      <c r="AK331" s="799" t="s">
        <v>106</v>
      </c>
      <c r="AL331" s="799" t="s">
        <v>106</v>
      </c>
      <c r="AM331" s="315"/>
      <c r="AN331" s="315"/>
    </row>
    <row r="332" spans="1:40" ht="12.6">
      <c r="A332" s="990" t="s">
        <v>449</v>
      </c>
      <c r="B332" s="991" t="s">
        <v>134</v>
      </c>
      <c r="D332" s="315"/>
      <c r="E332" s="315"/>
      <c r="F332" s="800" t="s">
        <v>230</v>
      </c>
      <c r="G332" s="800" t="s">
        <v>230</v>
      </c>
      <c r="H332" s="800" t="s">
        <v>230</v>
      </c>
      <c r="I332" s="800" t="s">
        <v>230</v>
      </c>
      <c r="J332" s="800" t="s">
        <v>230</v>
      </c>
      <c r="K332" s="800" t="s">
        <v>230</v>
      </c>
      <c r="L332" s="800" t="s">
        <v>230</v>
      </c>
      <c r="M332" s="800" t="s">
        <v>230</v>
      </c>
      <c r="N332" s="800" t="s">
        <v>230</v>
      </c>
      <c r="O332" s="800" t="s">
        <v>230</v>
      </c>
      <c r="P332" s="800" t="s">
        <v>230</v>
      </c>
      <c r="Q332" s="800" t="s">
        <v>230</v>
      </c>
      <c r="R332" s="800" t="s">
        <v>230</v>
      </c>
      <c r="S332" s="800" t="s">
        <v>230</v>
      </c>
      <c r="T332" s="800" t="s">
        <v>230</v>
      </c>
      <c r="U332" s="800" t="s">
        <v>230</v>
      </c>
      <c r="V332" s="800" t="s">
        <v>230</v>
      </c>
      <c r="W332" s="800" t="s">
        <v>230</v>
      </c>
      <c r="X332" s="800" t="s">
        <v>230</v>
      </c>
      <c r="Y332" s="800" t="s">
        <v>230</v>
      </c>
      <c r="Z332" s="800" t="s">
        <v>230</v>
      </c>
      <c r="AA332" s="800" t="s">
        <v>230</v>
      </c>
      <c r="AB332" s="800" t="s">
        <v>230</v>
      </c>
      <c r="AC332" s="800" t="s">
        <v>230</v>
      </c>
      <c r="AD332" s="800" t="s">
        <v>230</v>
      </c>
      <c r="AE332" s="800" t="s">
        <v>230</v>
      </c>
      <c r="AF332" s="800" t="s">
        <v>230</v>
      </c>
      <c r="AG332" s="800" t="s">
        <v>230</v>
      </c>
      <c r="AH332" s="800" t="s">
        <v>230</v>
      </c>
      <c r="AI332" s="800" t="s">
        <v>230</v>
      </c>
      <c r="AJ332" s="800" t="s">
        <v>230</v>
      </c>
      <c r="AK332" s="800" t="s">
        <v>230</v>
      </c>
      <c r="AL332" s="800" t="s">
        <v>230</v>
      </c>
      <c r="AM332" s="315"/>
      <c r="AN332" s="315"/>
    </row>
    <row r="333" spans="1:40" s="792" customFormat="1" ht="14.25" customHeight="1">
      <c r="A333" s="989" t="s">
        <v>450</v>
      </c>
      <c r="B333" s="791"/>
      <c r="C333" s="791"/>
      <c r="D333" s="791"/>
      <c r="E333" s="791"/>
      <c r="F333" s="790"/>
      <c r="G333" s="790"/>
      <c r="H333" s="790"/>
      <c r="I333" s="790"/>
      <c r="J333" s="790"/>
      <c r="K333" s="790"/>
      <c r="L333" s="790"/>
      <c r="M333" s="790"/>
      <c r="N333" s="790"/>
      <c r="O333" s="790"/>
      <c r="P333" s="790"/>
      <c r="Q333" s="790"/>
      <c r="R333" s="790"/>
      <c r="S333" s="790"/>
      <c r="T333" s="790"/>
      <c r="U333" s="790"/>
      <c r="V333" s="790"/>
      <c r="W333" s="790"/>
      <c r="X333" s="790"/>
      <c r="Y333" s="790"/>
      <c r="Z333" s="790"/>
      <c r="AA333" s="790"/>
      <c r="AB333" s="790"/>
      <c r="AC333" s="790"/>
      <c r="AD333" s="790"/>
      <c r="AE333" s="790"/>
      <c r="AF333" s="790"/>
      <c r="AG333" s="790"/>
      <c r="AH333" s="790"/>
      <c r="AI333" s="790"/>
      <c r="AJ333" s="790"/>
      <c r="AK333" s="790"/>
      <c r="AL333" s="790"/>
      <c r="AM333" s="791"/>
      <c r="AN333" s="791"/>
    </row>
    <row r="334" spans="1:40" ht="12.6">
      <c r="A334" s="990" t="s">
        <v>451</v>
      </c>
      <c r="B334" s="991" t="s">
        <v>121</v>
      </c>
      <c r="C334" s="991"/>
      <c r="D334" s="315"/>
      <c r="E334" s="991" t="s">
        <v>122</v>
      </c>
      <c r="F334" s="294">
        <f>'[5]Pulp, Paper and Print'!C17</f>
        <v>354904.63722993445</v>
      </c>
      <c r="G334" s="294">
        <f>'[5]Pulp, Paper and Print'!D17</f>
        <v>359657.06395611149</v>
      </c>
      <c r="H334" s="294">
        <f>'[5]Pulp, Paper and Print'!E17</f>
        <v>364409.4906822886</v>
      </c>
      <c r="I334" s="294">
        <f>'[5]Pulp, Paper and Print'!F17</f>
        <v>369161.9174084657</v>
      </c>
      <c r="J334" s="294">
        <f>'[5]Pulp, Paper and Print'!G17</f>
        <v>373914.3441346428</v>
      </c>
      <c r="K334" s="294">
        <f>'[5]Pulp, Paper and Print'!H17</f>
        <v>366278.88820606493</v>
      </c>
      <c r="L334" s="294">
        <f>'[5]Pulp, Paper and Print'!I17</f>
        <v>358643.43227748718</v>
      </c>
      <c r="M334" s="294">
        <f>'[5]Pulp, Paper and Print'!J17</f>
        <v>351007.97634890937</v>
      </c>
      <c r="N334" s="294">
        <f>'[5]Pulp, Paper and Print'!K17</f>
        <v>343372.52042033157</v>
      </c>
      <c r="O334" s="294">
        <f>'[5]Pulp, Paper and Print'!L17</f>
        <v>330211.95163871848</v>
      </c>
      <c r="P334" s="294">
        <f>'[5]Pulp, Paper and Print'!M17</f>
        <v>317051.38285710546</v>
      </c>
      <c r="Q334" s="294">
        <f>'[5]Pulp, Paper and Print'!N17</f>
        <v>303890.8140754925</v>
      </c>
      <c r="R334" s="294">
        <f>'[5]Pulp, Paper and Print'!O17</f>
        <v>290730.24529387936</v>
      </c>
      <c r="S334" s="294">
        <f>'[5]Pulp, Paper and Print'!P17</f>
        <v>287247.73719099653</v>
      </c>
      <c r="T334" s="294">
        <f>'[5]Pulp, Paper and Print'!Q17</f>
        <v>283765.22908811376</v>
      </c>
      <c r="U334" s="294">
        <f>'[5]Pulp, Paper and Print'!R17</f>
        <v>280282.72098523093</v>
      </c>
      <c r="V334" s="294">
        <f>'[5]Pulp, Paper and Print'!S17</f>
        <v>276800.21288234816</v>
      </c>
      <c r="W334" s="294">
        <f>'[5]Pulp, Paper and Print'!T17</f>
        <v>270015.67788004287</v>
      </c>
      <c r="X334" s="294">
        <f>'[5]Pulp, Paper and Print'!U17</f>
        <v>263231.14287773758</v>
      </c>
      <c r="Y334" s="294">
        <f>'[5]Pulp, Paper and Print'!V17</f>
        <v>256446.60787543224</v>
      </c>
      <c r="Z334" s="294">
        <f>'[5]Pulp, Paper and Print'!W17</f>
        <v>249662.07287312695</v>
      </c>
      <c r="AA334" s="294">
        <f>'[5]Pulp, Paper and Print'!X17</f>
        <v>243383.17532311965</v>
      </c>
      <c r="AB334" s="294">
        <f>'[5]Pulp, Paper and Print'!Y17</f>
        <v>203743.08139699447</v>
      </c>
      <c r="AC334" s="294">
        <f>'[5]Pulp, Paper and Print'!Z17</f>
        <v>189751.73215994093</v>
      </c>
      <c r="AD334" s="294">
        <f>'[5]Pulp, Paper and Print'!AA17</f>
        <v>184241.15972627624</v>
      </c>
      <c r="AE334" s="294">
        <f>'[5]Pulp, Paper and Print'!AB17</f>
        <v>157973.24826048056</v>
      </c>
      <c r="AF334" s="294">
        <f>'[5]Pulp, Paper and Print'!AC17</f>
        <v>127489.64057086212</v>
      </c>
      <c r="AG334" s="294">
        <f>'[5]Pulp, Paper and Print'!AD17</f>
        <v>101141.65221273978</v>
      </c>
      <c r="AH334" s="294">
        <f>'[5]Pulp, Paper and Print'!AE17</f>
        <v>87064.391386068382</v>
      </c>
      <c r="AI334" s="294">
        <f>'[5]Pulp, Paper and Print'!AF17</f>
        <v>77430.72613102269</v>
      </c>
      <c r="AJ334" s="294">
        <f>'[5]Pulp, Paper and Print'!AG17</f>
        <v>64502.144504929893</v>
      </c>
      <c r="AK334" s="294">
        <f>'[5]Pulp, Paper and Print'!AH17</f>
        <v>59853.491060934</v>
      </c>
      <c r="AL334" s="1068">
        <f>AK334</f>
        <v>59853.491060934</v>
      </c>
      <c r="AM334" s="315"/>
      <c r="AN334" s="315"/>
    </row>
    <row r="335" spans="1:40" ht="12.6">
      <c r="A335" s="990" t="s">
        <v>452</v>
      </c>
      <c r="B335" s="991" t="s">
        <v>124</v>
      </c>
      <c r="C335" s="991"/>
      <c r="D335" s="315"/>
      <c r="E335" s="315" t="s">
        <v>125</v>
      </c>
      <c r="F335" s="300" t="s">
        <v>126</v>
      </c>
      <c r="G335" s="300" t="s">
        <v>126</v>
      </c>
      <c r="H335" s="300" t="s">
        <v>126</v>
      </c>
      <c r="I335" s="300" t="s">
        <v>126</v>
      </c>
      <c r="J335" s="300" t="s">
        <v>126</v>
      </c>
      <c r="K335" s="300" t="s">
        <v>126</v>
      </c>
      <c r="L335" s="300" t="s">
        <v>126</v>
      </c>
      <c r="M335" s="300" t="s">
        <v>126</v>
      </c>
      <c r="N335" s="300" t="s">
        <v>126</v>
      </c>
      <c r="O335" s="300" t="s">
        <v>126</v>
      </c>
      <c r="P335" s="300" t="s">
        <v>126</v>
      </c>
      <c r="Q335" s="300" t="s">
        <v>126</v>
      </c>
      <c r="R335" s="300" t="s">
        <v>126</v>
      </c>
      <c r="S335" s="300" t="s">
        <v>126</v>
      </c>
      <c r="T335" s="300" t="s">
        <v>126</v>
      </c>
      <c r="U335" s="300" t="s">
        <v>126</v>
      </c>
      <c r="V335" s="300" t="s">
        <v>126</v>
      </c>
      <c r="W335" s="300" t="s">
        <v>126</v>
      </c>
      <c r="X335" s="300" t="s">
        <v>126</v>
      </c>
      <c r="Y335" s="300" t="s">
        <v>126</v>
      </c>
      <c r="Z335" s="300" t="s">
        <v>126</v>
      </c>
      <c r="AA335" s="300" t="s">
        <v>126</v>
      </c>
      <c r="AB335" s="300" t="s">
        <v>126</v>
      </c>
      <c r="AC335" s="300" t="s">
        <v>126</v>
      </c>
      <c r="AD335" s="300" t="s">
        <v>126</v>
      </c>
      <c r="AE335" s="300" t="s">
        <v>126</v>
      </c>
      <c r="AF335" s="300" t="s">
        <v>126</v>
      </c>
      <c r="AG335" s="300" t="s">
        <v>126</v>
      </c>
      <c r="AH335" s="300" t="s">
        <v>126</v>
      </c>
      <c r="AI335" s="300" t="s">
        <v>126</v>
      </c>
      <c r="AJ335" s="300" t="s">
        <v>126</v>
      </c>
      <c r="AK335" s="300" t="s">
        <v>126</v>
      </c>
      <c r="AL335" s="300" t="s">
        <v>126</v>
      </c>
      <c r="AM335" s="315"/>
      <c r="AN335" s="315"/>
    </row>
    <row r="336" spans="1:40" ht="12.6">
      <c r="A336" s="990" t="s">
        <v>453</v>
      </c>
      <c r="B336" s="991" t="s">
        <v>128</v>
      </c>
      <c r="C336" s="991"/>
      <c r="D336" s="991" t="s">
        <v>129</v>
      </c>
      <c r="E336" s="991" t="s">
        <v>130</v>
      </c>
      <c r="F336" s="294">
        <f>'[5]Pulp, Paper and Print'!C22</f>
        <v>31828.951583119269</v>
      </c>
      <c r="G336" s="294">
        <f>'[5]Pulp, Paper and Print'!D22</f>
        <v>32337.957602592491</v>
      </c>
      <c r="H336" s="294">
        <f>'[5]Pulp, Paper and Print'!E22</f>
        <v>32745.062352712888</v>
      </c>
      <c r="I336" s="294">
        <f>'[5]Pulp, Paper and Print'!F22</f>
        <v>33048.55551080127</v>
      </c>
      <c r="J336" s="294">
        <f>'[5]Pulp, Paper and Print'!G22</f>
        <v>33475.656716535188</v>
      </c>
      <c r="K336" s="294">
        <f>'[5]Pulp, Paper and Print'!H22</f>
        <v>32824.680438720323</v>
      </c>
      <c r="L336" s="294">
        <f>'[5]Pulp, Paper and Print'!I22</f>
        <v>32086.991058852353</v>
      </c>
      <c r="M336" s="294">
        <f>'[5]Pulp, Paper and Print'!J22</f>
        <v>31407.930597881794</v>
      </c>
      <c r="N336" s="294">
        <f>'[5]Pulp, Paper and Print'!K22</f>
        <v>30769.835590077982</v>
      </c>
      <c r="O336" s="294">
        <f>'[5]Pulp, Paper and Print'!L22</f>
        <v>29603.244434043605</v>
      </c>
      <c r="P336" s="294">
        <f>'[5]Pulp, Paper and Print'!M22</f>
        <v>28357.936872452185</v>
      </c>
      <c r="Q336" s="294">
        <f>'[5]Pulp, Paper and Print'!N22</f>
        <v>27094.077716898581</v>
      </c>
      <c r="R336" s="294">
        <f>'[5]Pulp, Paper and Print'!O22</f>
        <v>25827.222717815948</v>
      </c>
      <c r="S336" s="294">
        <f>'[5]Pulp, Paper and Print'!P22</f>
        <v>25496.961731681786</v>
      </c>
      <c r="T336" s="294">
        <f>'[5]Pulp, Paper and Print'!Q22</f>
        <v>25195.121266689988</v>
      </c>
      <c r="U336" s="294">
        <f>'[5]Pulp, Paper and Print'!R22</f>
        <v>25126.010081723594</v>
      </c>
      <c r="V336" s="294">
        <f>'[5]Pulp, Paper and Print'!S22</f>
        <v>24850.460177708774</v>
      </c>
      <c r="W336" s="294">
        <f>'[5]Pulp, Paper and Print'!T22</f>
        <v>24222.167778410563</v>
      </c>
      <c r="X336" s="294">
        <f>'[5]Pulp, Paper and Print'!U22</f>
        <v>23613.050264750713</v>
      </c>
      <c r="Y336" s="294">
        <f>'[5]Pulp, Paper and Print'!V22</f>
        <v>23049.682869679375</v>
      </c>
      <c r="Z336" s="294">
        <f>'[5]Pulp, Paper and Print'!W22</f>
        <v>22439.803030481049</v>
      </c>
      <c r="AA336" s="294">
        <f>'[5]Pulp, Paper and Print'!X22</f>
        <v>21892.025499644718</v>
      </c>
      <c r="AB336" s="294">
        <f>'[5]Pulp, Paper and Print'!Y22</f>
        <v>18364.228002001993</v>
      </c>
      <c r="AC336" s="294">
        <f>'[5]Pulp, Paper and Print'!Z22</f>
        <v>17096.566938203894</v>
      </c>
      <c r="AD336" s="294">
        <f>'[5]Pulp, Paper and Print'!AA22</f>
        <v>16612.953076768987</v>
      </c>
      <c r="AE336" s="294">
        <f>'[5]Pulp, Paper and Print'!AB22</f>
        <v>14276.522919306102</v>
      </c>
      <c r="AF336" s="294">
        <f>'[5]Pulp, Paper and Print'!AC22</f>
        <v>11535.105716841428</v>
      </c>
      <c r="AG336" s="294">
        <f>'[5]Pulp, Paper and Print'!AD22</f>
        <v>9159.844741031995</v>
      </c>
      <c r="AH336" s="294">
        <f>'[5]Pulp, Paper and Print'!AE22</f>
        <v>7891.4139668900916</v>
      </c>
      <c r="AI336" s="294">
        <f>'[5]Pulp, Paper and Print'!AF22</f>
        <v>7015.58389454803</v>
      </c>
      <c r="AJ336" s="294">
        <f>'[5]Pulp, Paper and Print'!AG22</f>
        <v>5857.0624591866908</v>
      </c>
      <c r="AK336" s="294">
        <f>'[5]Pulp, Paper and Print'!AH22</f>
        <v>5428.2710201007885</v>
      </c>
      <c r="AL336" s="1068">
        <f>AK336</f>
        <v>5428.2710201007885</v>
      </c>
      <c r="AM336" s="315"/>
      <c r="AN336" s="315"/>
    </row>
    <row r="337" spans="1:40" ht="12.6">
      <c r="A337" s="990" t="s">
        <v>454</v>
      </c>
      <c r="B337" s="991" t="s">
        <v>132</v>
      </c>
      <c r="C337" s="991"/>
      <c r="D337" s="991" t="s">
        <v>129</v>
      </c>
      <c r="E337" s="991" t="s">
        <v>130</v>
      </c>
      <c r="F337" s="799" t="s">
        <v>106</v>
      </c>
      <c r="G337" s="799" t="s">
        <v>106</v>
      </c>
      <c r="H337" s="799" t="s">
        <v>106</v>
      </c>
      <c r="I337" s="799" t="s">
        <v>106</v>
      </c>
      <c r="J337" s="799" t="s">
        <v>106</v>
      </c>
      <c r="K337" s="799" t="s">
        <v>106</v>
      </c>
      <c r="L337" s="799" t="s">
        <v>106</v>
      </c>
      <c r="M337" s="799" t="s">
        <v>106</v>
      </c>
      <c r="N337" s="799" t="s">
        <v>106</v>
      </c>
      <c r="O337" s="799" t="s">
        <v>106</v>
      </c>
      <c r="P337" s="799" t="s">
        <v>106</v>
      </c>
      <c r="Q337" s="799" t="s">
        <v>106</v>
      </c>
      <c r="R337" s="799" t="s">
        <v>106</v>
      </c>
      <c r="S337" s="799" t="s">
        <v>106</v>
      </c>
      <c r="T337" s="799" t="s">
        <v>106</v>
      </c>
      <c r="U337" s="799" t="s">
        <v>106</v>
      </c>
      <c r="V337" s="799" t="s">
        <v>106</v>
      </c>
      <c r="W337" s="799" t="s">
        <v>106</v>
      </c>
      <c r="X337" s="799" t="s">
        <v>106</v>
      </c>
      <c r="Y337" s="799" t="s">
        <v>106</v>
      </c>
      <c r="Z337" s="799" t="s">
        <v>106</v>
      </c>
      <c r="AA337" s="799" t="s">
        <v>106</v>
      </c>
      <c r="AB337" s="799" t="s">
        <v>106</v>
      </c>
      <c r="AC337" s="799" t="s">
        <v>106</v>
      </c>
      <c r="AD337" s="799" t="s">
        <v>106</v>
      </c>
      <c r="AE337" s="799" t="s">
        <v>106</v>
      </c>
      <c r="AF337" s="799" t="s">
        <v>106</v>
      </c>
      <c r="AG337" s="799" t="s">
        <v>106</v>
      </c>
      <c r="AH337" s="799" t="s">
        <v>106</v>
      </c>
      <c r="AI337" s="799" t="s">
        <v>106</v>
      </c>
      <c r="AJ337" s="799" t="s">
        <v>106</v>
      </c>
      <c r="AK337" s="799" t="s">
        <v>106</v>
      </c>
      <c r="AL337" s="799" t="s">
        <v>106</v>
      </c>
      <c r="AM337" s="315"/>
      <c r="AN337" s="315"/>
    </row>
    <row r="338" spans="1:40" ht="12.6">
      <c r="A338" s="990" t="s">
        <v>455</v>
      </c>
      <c r="B338" s="991" t="s">
        <v>134</v>
      </c>
      <c r="D338" s="315"/>
      <c r="E338" s="315"/>
      <c r="F338" s="800" t="s">
        <v>230</v>
      </c>
      <c r="G338" s="800" t="s">
        <v>230</v>
      </c>
      <c r="H338" s="800" t="s">
        <v>230</v>
      </c>
      <c r="I338" s="800" t="s">
        <v>230</v>
      </c>
      <c r="J338" s="800" t="s">
        <v>230</v>
      </c>
      <c r="K338" s="800" t="s">
        <v>230</v>
      </c>
      <c r="L338" s="800" t="s">
        <v>230</v>
      </c>
      <c r="M338" s="800" t="s">
        <v>230</v>
      </c>
      <c r="N338" s="800" t="s">
        <v>230</v>
      </c>
      <c r="O338" s="800" t="s">
        <v>230</v>
      </c>
      <c r="P338" s="800" t="s">
        <v>230</v>
      </c>
      <c r="Q338" s="800" t="s">
        <v>230</v>
      </c>
      <c r="R338" s="800" t="s">
        <v>230</v>
      </c>
      <c r="S338" s="800" t="s">
        <v>230</v>
      </c>
      <c r="T338" s="800" t="s">
        <v>230</v>
      </c>
      <c r="U338" s="800" t="s">
        <v>230</v>
      </c>
      <c r="V338" s="800" t="s">
        <v>230</v>
      </c>
      <c r="W338" s="800" t="s">
        <v>230</v>
      </c>
      <c r="X338" s="800" t="s">
        <v>230</v>
      </c>
      <c r="Y338" s="800" t="s">
        <v>230</v>
      </c>
      <c r="Z338" s="800" t="s">
        <v>230</v>
      </c>
      <c r="AA338" s="800" t="s">
        <v>230</v>
      </c>
      <c r="AB338" s="800" t="s">
        <v>230</v>
      </c>
      <c r="AC338" s="800" t="s">
        <v>230</v>
      </c>
      <c r="AD338" s="800" t="s">
        <v>230</v>
      </c>
      <c r="AE338" s="800" t="s">
        <v>230</v>
      </c>
      <c r="AF338" s="800" t="s">
        <v>230</v>
      </c>
      <c r="AG338" s="800" t="s">
        <v>230</v>
      </c>
      <c r="AH338" s="800" t="s">
        <v>230</v>
      </c>
      <c r="AI338" s="800" t="s">
        <v>230</v>
      </c>
      <c r="AJ338" s="800" t="s">
        <v>230</v>
      </c>
      <c r="AK338" s="800" t="s">
        <v>230</v>
      </c>
      <c r="AL338" s="800" t="s">
        <v>230</v>
      </c>
      <c r="AM338" s="315"/>
      <c r="AN338" s="315"/>
    </row>
    <row r="339" spans="1:40" s="792" customFormat="1" ht="14.25" customHeight="1">
      <c r="A339" s="989" t="s">
        <v>456</v>
      </c>
      <c r="B339" s="791"/>
      <c r="C339" s="791"/>
      <c r="D339" s="791"/>
      <c r="E339" s="791"/>
      <c r="F339" s="790"/>
      <c r="G339" s="790"/>
      <c r="H339" s="790"/>
      <c r="I339" s="790"/>
      <c r="J339" s="790"/>
      <c r="K339" s="790"/>
      <c r="L339" s="790"/>
      <c r="M339" s="790"/>
      <c r="N339" s="790"/>
      <c r="O339" s="790"/>
      <c r="P339" s="790"/>
      <c r="Q339" s="790"/>
      <c r="R339" s="790"/>
      <c r="S339" s="790"/>
      <c r="T339" s="790"/>
      <c r="U339" s="790"/>
      <c r="V339" s="790"/>
      <c r="W339" s="790"/>
      <c r="X339" s="790"/>
      <c r="Y339" s="790"/>
      <c r="Z339" s="790"/>
      <c r="AA339" s="790"/>
      <c r="AB339" s="790"/>
      <c r="AC339" s="790"/>
      <c r="AD339" s="790"/>
      <c r="AE339" s="790"/>
      <c r="AF339" s="790"/>
      <c r="AG339" s="790"/>
      <c r="AH339" s="790"/>
      <c r="AI339" s="790"/>
      <c r="AJ339" s="790"/>
      <c r="AK339" s="790"/>
      <c r="AL339" s="790"/>
      <c r="AM339" s="791"/>
      <c r="AN339" s="791"/>
    </row>
    <row r="340" spans="1:40" ht="12.6">
      <c r="A340" s="990" t="s">
        <v>457</v>
      </c>
      <c r="B340" s="991" t="s">
        <v>121</v>
      </c>
      <c r="C340" s="991"/>
      <c r="D340" s="315"/>
      <c r="E340" s="991" t="s">
        <v>122</v>
      </c>
      <c r="F340" s="294">
        <f>'[5]Pulp, Paper and Print'!C18</f>
        <v>366351.46758504777</v>
      </c>
      <c r="G340" s="294">
        <f>'[5]Pulp, Paper and Print'!D18</f>
        <v>372238.45037689648</v>
      </c>
      <c r="H340" s="294">
        <f>'[5]Pulp, Paper and Print'!E18</f>
        <v>378125.43316874513</v>
      </c>
      <c r="I340" s="294">
        <f>'[5]Pulp, Paper and Print'!F18</f>
        <v>384012.41596059385</v>
      </c>
      <c r="J340" s="294">
        <f>'[5]Pulp, Paper and Print'!G18</f>
        <v>389899.39875244262</v>
      </c>
      <c r="K340" s="294">
        <f>'[5]Pulp, Paper and Print'!H18</f>
        <v>392446.65092199255</v>
      </c>
      <c r="L340" s="294">
        <f>'[5]Pulp, Paper and Print'!I18</f>
        <v>394993.90309154248</v>
      </c>
      <c r="M340" s="294">
        <f>'[5]Pulp, Paper and Print'!J18</f>
        <v>397541.15526109247</v>
      </c>
      <c r="N340" s="294">
        <f>'[5]Pulp, Paper and Print'!K18</f>
        <v>400088.40743064234</v>
      </c>
      <c r="O340" s="294">
        <f>'[5]Pulp, Paper and Print'!L18</f>
        <v>385653.9784698594</v>
      </c>
      <c r="P340" s="294">
        <f>'[5]Pulp, Paper and Print'!M18</f>
        <v>371219.54950907652</v>
      </c>
      <c r="Q340" s="294">
        <f>'[5]Pulp, Paper and Print'!N18</f>
        <v>356785.12054829358</v>
      </c>
      <c r="R340" s="294">
        <f>'[5]Pulp, Paper and Print'!O18</f>
        <v>342350.69158751058</v>
      </c>
      <c r="S340" s="294">
        <f>'[5]Pulp, Paper and Print'!P18</f>
        <v>337256.18724841077</v>
      </c>
      <c r="T340" s="294">
        <f>'[5]Pulp, Paper and Print'!Q18</f>
        <v>332161.68290931091</v>
      </c>
      <c r="U340" s="294">
        <f>'[5]Pulp, Paper and Print'!R18</f>
        <v>327067.17857021105</v>
      </c>
      <c r="V340" s="294">
        <f>'[5]Pulp, Paper and Print'!S18</f>
        <v>321972.67423111119</v>
      </c>
      <c r="W340" s="294">
        <f>'[5]Pulp, Paper and Print'!T18</f>
        <v>299784.72833661147</v>
      </c>
      <c r="X340" s="294">
        <f>'[5]Pulp, Paper and Print'!U18</f>
        <v>277596.7824421117</v>
      </c>
      <c r="Y340" s="294">
        <f>'[5]Pulp, Paper and Print'!V18</f>
        <v>255408.83654761198</v>
      </c>
      <c r="Z340" s="294">
        <f>'[5]Pulp, Paper and Print'!W18</f>
        <v>233220.89065311232</v>
      </c>
      <c r="AA340" s="294">
        <f>'[5]Pulp, Paper and Print'!X18</f>
        <v>257040.30766843382</v>
      </c>
      <c r="AB340" s="294">
        <f>'[5]Pulp, Paper and Print'!Y18</f>
        <v>309257.07008836558</v>
      </c>
      <c r="AC340" s="294">
        <f>'[5]Pulp, Paper and Print'!Z18</f>
        <v>309128.23092951643</v>
      </c>
      <c r="AD340" s="294">
        <f>'[5]Pulp, Paper and Print'!AA18</f>
        <v>313658.50135990354</v>
      </c>
      <c r="AE340" s="294">
        <f>'[5]Pulp, Paper and Print'!AB18</f>
        <v>348217.31219734222</v>
      </c>
      <c r="AF340" s="294">
        <f>'[5]Pulp, Paper and Print'!AC18</f>
        <v>390804.06932671071</v>
      </c>
      <c r="AG340" s="294">
        <f>'[5]Pulp, Paper and Print'!AD18</f>
        <v>395530.47668294946</v>
      </c>
      <c r="AH340" s="294">
        <f>'[5]Pulp, Paper and Print'!AE18</f>
        <v>419783.93185545853</v>
      </c>
      <c r="AI340" s="294">
        <f>'[5]Pulp, Paper and Print'!AF18</f>
        <v>439094.52816305478</v>
      </c>
      <c r="AJ340" s="294">
        <f>'[5]Pulp, Paper and Print'!AG18</f>
        <v>458681.96454545832</v>
      </c>
      <c r="AK340" s="294">
        <f>'[5]Pulp, Paper and Print'!AH18</f>
        <v>458792.9160548395</v>
      </c>
      <c r="AL340" s="1068">
        <f>AK340</f>
        <v>458792.9160548395</v>
      </c>
      <c r="AM340" s="315"/>
      <c r="AN340" s="315"/>
    </row>
    <row r="341" spans="1:40" ht="12.6">
      <c r="A341" s="990" t="s">
        <v>458</v>
      </c>
      <c r="B341" s="991" t="s">
        <v>124</v>
      </c>
      <c r="C341" s="991"/>
      <c r="D341" s="315"/>
      <c r="E341" s="315" t="s">
        <v>125</v>
      </c>
      <c r="F341" s="300" t="s">
        <v>126</v>
      </c>
      <c r="G341" s="300" t="s">
        <v>126</v>
      </c>
      <c r="H341" s="300" t="s">
        <v>126</v>
      </c>
      <c r="I341" s="300" t="s">
        <v>126</v>
      </c>
      <c r="J341" s="300" t="s">
        <v>126</v>
      </c>
      <c r="K341" s="300" t="s">
        <v>126</v>
      </c>
      <c r="L341" s="300" t="s">
        <v>126</v>
      </c>
      <c r="M341" s="300" t="s">
        <v>126</v>
      </c>
      <c r="N341" s="300" t="s">
        <v>126</v>
      </c>
      <c r="O341" s="300" t="s">
        <v>126</v>
      </c>
      <c r="P341" s="300" t="s">
        <v>126</v>
      </c>
      <c r="Q341" s="300" t="s">
        <v>126</v>
      </c>
      <c r="R341" s="300" t="s">
        <v>126</v>
      </c>
      <c r="S341" s="300" t="s">
        <v>126</v>
      </c>
      <c r="T341" s="300" t="s">
        <v>126</v>
      </c>
      <c r="U341" s="300" t="s">
        <v>126</v>
      </c>
      <c r="V341" s="300" t="s">
        <v>126</v>
      </c>
      <c r="W341" s="300" t="s">
        <v>126</v>
      </c>
      <c r="X341" s="300" t="s">
        <v>126</v>
      </c>
      <c r="Y341" s="300" t="s">
        <v>126</v>
      </c>
      <c r="Z341" s="300" t="s">
        <v>126</v>
      </c>
      <c r="AA341" s="300" t="s">
        <v>126</v>
      </c>
      <c r="AB341" s="300" t="s">
        <v>126</v>
      </c>
      <c r="AC341" s="300" t="s">
        <v>126</v>
      </c>
      <c r="AD341" s="300" t="s">
        <v>126</v>
      </c>
      <c r="AE341" s="300" t="s">
        <v>126</v>
      </c>
      <c r="AF341" s="300" t="s">
        <v>126</v>
      </c>
      <c r="AG341" s="300" t="s">
        <v>126</v>
      </c>
      <c r="AH341" s="300" t="s">
        <v>126</v>
      </c>
      <c r="AI341" s="300" t="s">
        <v>126</v>
      </c>
      <c r="AJ341" s="300" t="s">
        <v>126</v>
      </c>
      <c r="AK341" s="300" t="s">
        <v>126</v>
      </c>
      <c r="AL341" s="300" t="s">
        <v>126</v>
      </c>
      <c r="AM341" s="315"/>
      <c r="AN341" s="315"/>
    </row>
    <row r="342" spans="1:40" ht="12.6">
      <c r="A342" s="990" t="s">
        <v>459</v>
      </c>
      <c r="B342" s="991" t="s">
        <v>128</v>
      </c>
      <c r="C342" s="991"/>
      <c r="D342" s="991" t="s">
        <v>129</v>
      </c>
      <c r="E342" s="991" t="s">
        <v>130</v>
      </c>
      <c r="F342" s="294">
        <f>'[5]Pulp, Paper and Print'!C23</f>
        <v>19153.972340150514</v>
      </c>
      <c r="G342" s="294">
        <f>'[5]Pulp, Paper and Print'!D23</f>
        <v>19555.389060471</v>
      </c>
      <c r="H342" s="294">
        <f>'[5]Pulp, Paper and Print'!E23</f>
        <v>19769.650020681569</v>
      </c>
      <c r="I342" s="294">
        <f>'[5]Pulp, Paper and Print'!F23</f>
        <v>20148.092316339174</v>
      </c>
      <c r="J342" s="294">
        <f>'[5]Pulp, Paper and Print'!G23</f>
        <v>20409.65775117337</v>
      </c>
      <c r="K342" s="294">
        <f>'[5]Pulp, Paper and Print'!H23</f>
        <v>20585.708336079486</v>
      </c>
      <c r="L342" s="294">
        <f>'[5]Pulp, Paper and Print'!I23</f>
        <v>20564.911388548018</v>
      </c>
      <c r="M342" s="294">
        <f>'[5]Pulp, Paper and Print'!J23</f>
        <v>20696.56453452542</v>
      </c>
      <c r="N342" s="294">
        <f>'[5]Pulp, Paper and Print'!K23</f>
        <v>20831.935170980865</v>
      </c>
      <c r="O342" s="294">
        <f>'[5]Pulp, Paper and Print'!L23</f>
        <v>20159.215589772961</v>
      </c>
      <c r="P342" s="294">
        <f>'[5]Pulp, Paper and Print'!M23</f>
        <v>19361.848563562678</v>
      </c>
      <c r="Q342" s="294">
        <f>'[5]Pulp, Paper and Print'!N23</f>
        <v>18676.302030321975</v>
      </c>
      <c r="R342" s="294">
        <f>'[5]Pulp, Paper and Print'!O23</f>
        <v>17958.124058856643</v>
      </c>
      <c r="S342" s="294">
        <f>'[5]Pulp, Paper and Print'!P23</f>
        <v>17548.202809313876</v>
      </c>
      <c r="T342" s="294">
        <f>'[5]Pulp, Paper and Print'!Q23</f>
        <v>17274.307870005043</v>
      </c>
      <c r="U342" s="294">
        <f>'[5]Pulp, Paper and Print'!R23</f>
        <v>17145.587763837215</v>
      </c>
      <c r="V342" s="294">
        <f>'[5]Pulp, Paper and Print'!S23</f>
        <v>16751.114565210712</v>
      </c>
      <c r="W342" s="294">
        <f>'[5]Pulp, Paper and Print'!T23</f>
        <v>15612.574714479077</v>
      </c>
      <c r="X342" s="294">
        <f>'[5]Pulp, Paper and Print'!U23</f>
        <v>14551.734223954905</v>
      </c>
      <c r="Y342" s="294">
        <f>'[5]Pulp, Paper and Print'!V23</f>
        <v>13587.034790729647</v>
      </c>
      <c r="Z342" s="294">
        <f>'[5]Pulp, Paper and Print'!W23</f>
        <v>12360.785165308831</v>
      </c>
      <c r="AA342" s="294">
        <f>'[5]Pulp, Paper and Print'!X23</f>
        <v>13612.563227235132</v>
      </c>
      <c r="AB342" s="294">
        <f>'[5]Pulp, Paper and Print'!Y23</f>
        <v>16349.801754133021</v>
      </c>
      <c r="AC342" s="294">
        <f>'[5]Pulp, Paper and Print'!Z23</f>
        <v>16223.946847353262</v>
      </c>
      <c r="AD342" s="294">
        <f>'[5]Pulp, Paper and Print'!AA23</f>
        <v>16455.253543223218</v>
      </c>
      <c r="AE342" s="294">
        <f>'[5]Pulp, Paper and Print'!AB23</f>
        <v>18295.135570451515</v>
      </c>
      <c r="AF342" s="294">
        <f>'[5]Pulp, Paper and Print'!AC23</f>
        <v>20312.462851245677</v>
      </c>
      <c r="AG342" s="294">
        <f>'[5]Pulp, Paper and Print'!AD23</f>
        <v>20595.905020470353</v>
      </c>
      <c r="AH342" s="294">
        <f>'[5]Pulp, Paper and Print'!AE23</f>
        <v>21769.698943210697</v>
      </c>
      <c r="AI342" s="294">
        <f>'[5]Pulp, Paper and Print'!AF23</f>
        <v>22899.545986231282</v>
      </c>
      <c r="AJ342" s="294">
        <f>'[5]Pulp, Paper and Print'!AG23</f>
        <v>24215.934341477634</v>
      </c>
      <c r="AK342" s="294">
        <f>'[5]Pulp, Paper and Print'!AH23</f>
        <v>24048.744941255412</v>
      </c>
      <c r="AL342" s="1068">
        <f>AK342</f>
        <v>24048.744941255412</v>
      </c>
      <c r="AM342" s="315"/>
      <c r="AN342" s="315"/>
    </row>
    <row r="343" spans="1:40" ht="12.6">
      <c r="A343" s="990" t="s">
        <v>460</v>
      </c>
      <c r="B343" s="991" t="s">
        <v>132</v>
      </c>
      <c r="C343" s="991"/>
      <c r="D343" s="991" t="s">
        <v>129</v>
      </c>
      <c r="E343" s="991" t="s">
        <v>130</v>
      </c>
      <c r="F343" s="799" t="s">
        <v>106</v>
      </c>
      <c r="G343" s="799" t="s">
        <v>106</v>
      </c>
      <c r="H343" s="799" t="s">
        <v>106</v>
      </c>
      <c r="I343" s="799" t="s">
        <v>106</v>
      </c>
      <c r="J343" s="799" t="s">
        <v>106</v>
      </c>
      <c r="K343" s="799" t="s">
        <v>106</v>
      </c>
      <c r="L343" s="799" t="s">
        <v>106</v>
      </c>
      <c r="M343" s="799" t="s">
        <v>106</v>
      </c>
      <c r="N343" s="799" t="s">
        <v>106</v>
      </c>
      <c r="O343" s="799" t="s">
        <v>106</v>
      </c>
      <c r="P343" s="799" t="s">
        <v>106</v>
      </c>
      <c r="Q343" s="799" t="s">
        <v>106</v>
      </c>
      <c r="R343" s="799" t="s">
        <v>106</v>
      </c>
      <c r="S343" s="799" t="s">
        <v>106</v>
      </c>
      <c r="T343" s="799" t="s">
        <v>106</v>
      </c>
      <c r="U343" s="799" t="s">
        <v>106</v>
      </c>
      <c r="V343" s="799" t="s">
        <v>106</v>
      </c>
      <c r="W343" s="799" t="s">
        <v>106</v>
      </c>
      <c r="X343" s="799" t="s">
        <v>106</v>
      </c>
      <c r="Y343" s="799" t="s">
        <v>106</v>
      </c>
      <c r="Z343" s="799" t="s">
        <v>106</v>
      </c>
      <c r="AA343" s="799" t="s">
        <v>106</v>
      </c>
      <c r="AB343" s="799" t="s">
        <v>106</v>
      </c>
      <c r="AC343" s="799" t="s">
        <v>106</v>
      </c>
      <c r="AD343" s="799" t="s">
        <v>106</v>
      </c>
      <c r="AE343" s="799" t="s">
        <v>106</v>
      </c>
      <c r="AF343" s="799" t="s">
        <v>106</v>
      </c>
      <c r="AG343" s="799" t="s">
        <v>106</v>
      </c>
      <c r="AH343" s="799" t="s">
        <v>106</v>
      </c>
      <c r="AI343" s="799" t="s">
        <v>106</v>
      </c>
      <c r="AJ343" s="799" t="s">
        <v>106</v>
      </c>
      <c r="AK343" s="799" t="s">
        <v>106</v>
      </c>
      <c r="AL343" s="799" t="s">
        <v>106</v>
      </c>
      <c r="AM343" s="315"/>
      <c r="AN343" s="315"/>
    </row>
    <row r="344" spans="1:40" ht="12.6">
      <c r="A344" s="990" t="s">
        <v>461</v>
      </c>
      <c r="B344" s="991" t="s">
        <v>134</v>
      </c>
      <c r="D344" s="315"/>
      <c r="E344" s="315"/>
      <c r="F344" s="800" t="s">
        <v>230</v>
      </c>
      <c r="G344" s="800" t="s">
        <v>230</v>
      </c>
      <c r="H344" s="800" t="s">
        <v>230</v>
      </c>
      <c r="I344" s="800" t="s">
        <v>230</v>
      </c>
      <c r="J344" s="800" t="s">
        <v>230</v>
      </c>
      <c r="K344" s="800" t="s">
        <v>230</v>
      </c>
      <c r="L344" s="800" t="s">
        <v>230</v>
      </c>
      <c r="M344" s="800" t="s">
        <v>230</v>
      </c>
      <c r="N344" s="800" t="s">
        <v>230</v>
      </c>
      <c r="O344" s="800" t="s">
        <v>230</v>
      </c>
      <c r="P344" s="800" t="s">
        <v>230</v>
      </c>
      <c r="Q344" s="800" t="s">
        <v>230</v>
      </c>
      <c r="R344" s="800" t="s">
        <v>230</v>
      </c>
      <c r="S344" s="800" t="s">
        <v>230</v>
      </c>
      <c r="T344" s="800" t="s">
        <v>230</v>
      </c>
      <c r="U344" s="800" t="s">
        <v>230</v>
      </c>
      <c r="V344" s="800" t="s">
        <v>230</v>
      </c>
      <c r="W344" s="800" t="s">
        <v>230</v>
      </c>
      <c r="X344" s="800" t="s">
        <v>230</v>
      </c>
      <c r="Y344" s="800" t="s">
        <v>230</v>
      </c>
      <c r="Z344" s="800" t="s">
        <v>230</v>
      </c>
      <c r="AA344" s="800" t="s">
        <v>230</v>
      </c>
      <c r="AB344" s="800" t="s">
        <v>230</v>
      </c>
      <c r="AC344" s="800" t="s">
        <v>230</v>
      </c>
      <c r="AD344" s="800" t="s">
        <v>230</v>
      </c>
      <c r="AE344" s="800" t="s">
        <v>230</v>
      </c>
      <c r="AF344" s="800" t="s">
        <v>230</v>
      </c>
      <c r="AG344" s="800" t="s">
        <v>230</v>
      </c>
      <c r="AH344" s="800" t="s">
        <v>230</v>
      </c>
      <c r="AI344" s="800" t="s">
        <v>230</v>
      </c>
      <c r="AJ344" s="800" t="s">
        <v>230</v>
      </c>
      <c r="AK344" s="800" t="s">
        <v>230</v>
      </c>
      <c r="AL344" s="800" t="s">
        <v>230</v>
      </c>
      <c r="AM344" s="315"/>
      <c r="AN344" s="315"/>
    </row>
    <row r="345" spans="1:40" s="792" customFormat="1" ht="14.25" customHeight="1">
      <c r="A345" s="989" t="s">
        <v>462</v>
      </c>
      <c r="B345" s="791"/>
      <c r="C345" s="791"/>
      <c r="D345" s="791"/>
      <c r="E345" s="791"/>
      <c r="F345" s="790"/>
      <c r="G345" s="790"/>
      <c r="H345" s="790"/>
      <c r="I345" s="790"/>
      <c r="J345" s="790"/>
      <c r="K345" s="790"/>
      <c r="L345" s="790"/>
      <c r="M345" s="790"/>
      <c r="N345" s="790"/>
      <c r="O345" s="790"/>
      <c r="P345" s="790"/>
      <c r="Q345" s="790"/>
      <c r="R345" s="790"/>
      <c r="S345" s="790"/>
      <c r="T345" s="790"/>
      <c r="U345" s="790"/>
      <c r="V345" s="790"/>
      <c r="W345" s="790"/>
      <c r="X345" s="790"/>
      <c r="Y345" s="790"/>
      <c r="Z345" s="790"/>
      <c r="AA345" s="790"/>
      <c r="AB345" s="790"/>
      <c r="AC345" s="790"/>
      <c r="AD345" s="790"/>
      <c r="AE345" s="790"/>
      <c r="AF345" s="790"/>
      <c r="AG345" s="790"/>
      <c r="AH345" s="790"/>
      <c r="AI345" s="790"/>
      <c r="AJ345" s="790"/>
      <c r="AK345" s="790"/>
      <c r="AL345" s="790"/>
      <c r="AM345" s="791"/>
      <c r="AN345" s="791"/>
    </row>
    <row r="346" spans="1:40" ht="12.6">
      <c r="A346" s="990" t="s">
        <v>463</v>
      </c>
      <c r="B346" s="991" t="s">
        <v>121</v>
      </c>
      <c r="C346" s="991"/>
      <c r="D346" s="315"/>
      <c r="E346" s="991" t="s">
        <v>122</v>
      </c>
      <c r="F346" s="799" t="s">
        <v>108</v>
      </c>
      <c r="G346" s="799" t="s">
        <v>108</v>
      </c>
      <c r="H346" s="799" t="s">
        <v>108</v>
      </c>
      <c r="I346" s="799" t="s">
        <v>108</v>
      </c>
      <c r="J346" s="799" t="s">
        <v>108</v>
      </c>
      <c r="K346" s="799" t="s">
        <v>108</v>
      </c>
      <c r="L346" s="799" t="s">
        <v>108</v>
      </c>
      <c r="M346" s="799" t="s">
        <v>108</v>
      </c>
      <c r="N346" s="799" t="s">
        <v>108</v>
      </c>
      <c r="O346" s="799" t="s">
        <v>108</v>
      </c>
      <c r="P346" s="799" t="s">
        <v>108</v>
      </c>
      <c r="Q346" s="799" t="s">
        <v>108</v>
      </c>
      <c r="R346" s="799" t="s">
        <v>108</v>
      </c>
      <c r="S346" s="799" t="s">
        <v>108</v>
      </c>
      <c r="T346" s="799" t="s">
        <v>108</v>
      </c>
      <c r="U346" s="799" t="s">
        <v>108</v>
      </c>
      <c r="V346" s="799" t="s">
        <v>108</v>
      </c>
      <c r="W346" s="799" t="s">
        <v>108</v>
      </c>
      <c r="X346" s="799" t="s">
        <v>108</v>
      </c>
      <c r="Y346" s="799" t="s">
        <v>108</v>
      </c>
      <c r="Z346" s="799" t="s">
        <v>108</v>
      </c>
      <c r="AA346" s="799" t="s">
        <v>108</v>
      </c>
      <c r="AB346" s="799" t="s">
        <v>108</v>
      </c>
      <c r="AC346" s="799" t="s">
        <v>108</v>
      </c>
      <c r="AD346" s="799" t="s">
        <v>108</v>
      </c>
      <c r="AE346" s="799" t="s">
        <v>108</v>
      </c>
      <c r="AF346" s="799" t="s">
        <v>108</v>
      </c>
      <c r="AG346" s="799" t="s">
        <v>108</v>
      </c>
      <c r="AH346" s="799" t="s">
        <v>108</v>
      </c>
      <c r="AI346" s="799" t="s">
        <v>108</v>
      </c>
      <c r="AJ346" s="799" t="s">
        <v>108</v>
      </c>
      <c r="AK346" s="799" t="s">
        <v>108</v>
      </c>
      <c r="AL346" s="799" t="s">
        <v>108</v>
      </c>
      <c r="AM346" s="315"/>
      <c r="AN346" s="315"/>
    </row>
    <row r="347" spans="1:40" ht="12.6">
      <c r="A347" s="990" t="s">
        <v>464</v>
      </c>
      <c r="B347" s="991" t="s">
        <v>124</v>
      </c>
      <c r="C347" s="991"/>
      <c r="D347" s="315"/>
      <c r="E347" s="315" t="s">
        <v>125</v>
      </c>
      <c r="F347" s="799" t="s">
        <v>126</v>
      </c>
      <c r="G347" s="799" t="s">
        <v>126</v>
      </c>
      <c r="H347" s="799" t="s">
        <v>126</v>
      </c>
      <c r="I347" s="799" t="s">
        <v>126</v>
      </c>
      <c r="J347" s="799" t="s">
        <v>126</v>
      </c>
      <c r="K347" s="799" t="s">
        <v>126</v>
      </c>
      <c r="L347" s="799" t="s">
        <v>126</v>
      </c>
      <c r="M347" s="799" t="s">
        <v>126</v>
      </c>
      <c r="N347" s="799" t="s">
        <v>126</v>
      </c>
      <c r="O347" s="799" t="s">
        <v>126</v>
      </c>
      <c r="P347" s="799" t="s">
        <v>126</v>
      </c>
      <c r="Q347" s="799" t="s">
        <v>126</v>
      </c>
      <c r="R347" s="799" t="s">
        <v>126</v>
      </c>
      <c r="S347" s="799" t="s">
        <v>126</v>
      </c>
      <c r="T347" s="799" t="s">
        <v>126</v>
      </c>
      <c r="U347" s="799" t="s">
        <v>126</v>
      </c>
      <c r="V347" s="799" t="s">
        <v>126</v>
      </c>
      <c r="W347" s="799" t="s">
        <v>126</v>
      </c>
      <c r="X347" s="799" t="s">
        <v>126</v>
      </c>
      <c r="Y347" s="799" t="s">
        <v>126</v>
      </c>
      <c r="Z347" s="799" t="s">
        <v>126</v>
      </c>
      <c r="AA347" s="799" t="s">
        <v>126</v>
      </c>
      <c r="AB347" s="799" t="s">
        <v>126</v>
      </c>
      <c r="AC347" s="799" t="s">
        <v>126</v>
      </c>
      <c r="AD347" s="799" t="s">
        <v>126</v>
      </c>
      <c r="AE347" s="799" t="s">
        <v>126</v>
      </c>
      <c r="AF347" s="799" t="s">
        <v>126</v>
      </c>
      <c r="AG347" s="799" t="s">
        <v>126</v>
      </c>
      <c r="AH347" s="799" t="s">
        <v>126</v>
      </c>
      <c r="AI347" s="799" t="s">
        <v>126</v>
      </c>
      <c r="AJ347" s="799" t="s">
        <v>126</v>
      </c>
      <c r="AK347" s="799" t="s">
        <v>126</v>
      </c>
      <c r="AL347" s="799" t="s">
        <v>126</v>
      </c>
      <c r="AM347" s="315"/>
      <c r="AN347" s="315"/>
    </row>
    <row r="348" spans="1:40" ht="12.6">
      <c r="A348" s="990" t="s">
        <v>465</v>
      </c>
      <c r="B348" s="991" t="s">
        <v>128</v>
      </c>
      <c r="C348" s="991"/>
      <c r="D348" s="991" t="s">
        <v>129</v>
      </c>
      <c r="E348" s="991" t="s">
        <v>130</v>
      </c>
      <c r="F348" s="799" t="s">
        <v>108</v>
      </c>
      <c r="G348" s="799" t="s">
        <v>108</v>
      </c>
      <c r="H348" s="799" t="s">
        <v>108</v>
      </c>
      <c r="I348" s="799" t="s">
        <v>108</v>
      </c>
      <c r="J348" s="799" t="s">
        <v>108</v>
      </c>
      <c r="K348" s="799" t="s">
        <v>108</v>
      </c>
      <c r="L348" s="799" t="s">
        <v>108</v>
      </c>
      <c r="M348" s="799" t="s">
        <v>108</v>
      </c>
      <c r="N348" s="799" t="s">
        <v>108</v>
      </c>
      <c r="O348" s="799" t="s">
        <v>108</v>
      </c>
      <c r="P348" s="799" t="s">
        <v>108</v>
      </c>
      <c r="Q348" s="799" t="s">
        <v>108</v>
      </c>
      <c r="R348" s="799" t="s">
        <v>108</v>
      </c>
      <c r="S348" s="799" t="s">
        <v>108</v>
      </c>
      <c r="T348" s="799" t="s">
        <v>108</v>
      </c>
      <c r="U348" s="799" t="s">
        <v>108</v>
      </c>
      <c r="V348" s="799" t="s">
        <v>108</v>
      </c>
      <c r="W348" s="799" t="s">
        <v>108</v>
      </c>
      <c r="X348" s="799" t="s">
        <v>108</v>
      </c>
      <c r="Y348" s="799" t="s">
        <v>108</v>
      </c>
      <c r="Z348" s="799" t="s">
        <v>108</v>
      </c>
      <c r="AA348" s="799" t="s">
        <v>108</v>
      </c>
      <c r="AB348" s="799" t="s">
        <v>108</v>
      </c>
      <c r="AC348" s="799" t="s">
        <v>108</v>
      </c>
      <c r="AD348" s="799" t="s">
        <v>108</v>
      </c>
      <c r="AE348" s="799" t="s">
        <v>108</v>
      </c>
      <c r="AF348" s="799" t="s">
        <v>108</v>
      </c>
      <c r="AG348" s="799" t="s">
        <v>108</v>
      </c>
      <c r="AH348" s="799" t="s">
        <v>108</v>
      </c>
      <c r="AI348" s="799" t="s">
        <v>108</v>
      </c>
      <c r="AJ348" s="799" t="s">
        <v>108</v>
      </c>
      <c r="AK348" s="799" t="s">
        <v>108</v>
      </c>
      <c r="AL348" s="799" t="s">
        <v>108</v>
      </c>
      <c r="AM348" s="315"/>
      <c r="AN348" s="315"/>
    </row>
    <row r="349" spans="1:40" ht="12.6">
      <c r="A349" s="990" t="s">
        <v>466</v>
      </c>
      <c r="B349" s="991" t="s">
        <v>132</v>
      </c>
      <c r="C349" s="991"/>
      <c r="D349" s="991" t="s">
        <v>129</v>
      </c>
      <c r="E349" s="991" t="s">
        <v>130</v>
      </c>
      <c r="F349" s="794" t="s">
        <v>108</v>
      </c>
      <c r="G349" s="794" t="s">
        <v>108</v>
      </c>
      <c r="H349" s="794" t="s">
        <v>108</v>
      </c>
      <c r="I349" s="794" t="s">
        <v>108</v>
      </c>
      <c r="J349" s="794" t="s">
        <v>108</v>
      </c>
      <c r="K349" s="794" t="s">
        <v>108</v>
      </c>
      <c r="L349" s="794" t="s">
        <v>108</v>
      </c>
      <c r="M349" s="794" t="s">
        <v>108</v>
      </c>
      <c r="N349" s="794" t="s">
        <v>108</v>
      </c>
      <c r="O349" s="794" t="s">
        <v>108</v>
      </c>
      <c r="P349" s="794" t="s">
        <v>108</v>
      </c>
      <c r="Q349" s="794" t="s">
        <v>108</v>
      </c>
      <c r="R349" s="794" t="s">
        <v>108</v>
      </c>
      <c r="S349" s="794" t="s">
        <v>108</v>
      </c>
      <c r="T349" s="794" t="s">
        <v>108</v>
      </c>
      <c r="U349" s="794" t="s">
        <v>108</v>
      </c>
      <c r="V349" s="794" t="s">
        <v>108</v>
      </c>
      <c r="W349" s="794" t="s">
        <v>108</v>
      </c>
      <c r="X349" s="794" t="s">
        <v>108</v>
      </c>
      <c r="Y349" s="794" t="s">
        <v>108</v>
      </c>
      <c r="Z349" s="794" t="s">
        <v>108</v>
      </c>
      <c r="AA349" s="794" t="s">
        <v>108</v>
      </c>
      <c r="AB349" s="794" t="s">
        <v>108</v>
      </c>
      <c r="AC349" s="794" t="s">
        <v>108</v>
      </c>
      <c r="AD349" s="794" t="s">
        <v>108</v>
      </c>
      <c r="AE349" s="794" t="s">
        <v>108</v>
      </c>
      <c r="AF349" s="794" t="s">
        <v>108</v>
      </c>
      <c r="AG349" s="794" t="s">
        <v>108</v>
      </c>
      <c r="AH349" s="794" t="s">
        <v>108</v>
      </c>
      <c r="AI349" s="794" t="s">
        <v>108</v>
      </c>
      <c r="AJ349" s="794" t="s">
        <v>108</v>
      </c>
      <c r="AK349" s="794" t="s">
        <v>108</v>
      </c>
      <c r="AL349" s="794" t="s">
        <v>108</v>
      </c>
      <c r="AM349" s="315"/>
      <c r="AN349" s="315"/>
    </row>
    <row r="350" spans="1:40" ht="12.6">
      <c r="A350" s="990" t="s">
        <v>467</v>
      </c>
      <c r="B350" s="991" t="s">
        <v>134</v>
      </c>
      <c r="D350" s="315"/>
      <c r="E350" s="315"/>
      <c r="F350" s="801"/>
      <c r="G350" s="802"/>
      <c r="H350" s="802"/>
      <c r="I350" s="802"/>
      <c r="J350" s="802"/>
      <c r="K350" s="802"/>
      <c r="L350" s="802"/>
      <c r="M350" s="802"/>
      <c r="N350" s="802"/>
      <c r="O350" s="802"/>
      <c r="P350" s="802"/>
      <c r="Q350" s="802"/>
      <c r="R350" s="802"/>
      <c r="S350" s="802"/>
      <c r="T350" s="802"/>
      <c r="U350" s="802"/>
      <c r="V350" s="802"/>
      <c r="W350" s="802"/>
      <c r="X350" s="802"/>
      <c r="Y350" s="802"/>
      <c r="Z350" s="802"/>
      <c r="AA350" s="802"/>
      <c r="AB350" s="802"/>
      <c r="AC350" s="802"/>
      <c r="AD350" s="802"/>
      <c r="AE350" s="802"/>
      <c r="AF350" s="802"/>
      <c r="AG350" s="802"/>
      <c r="AH350" s="802"/>
      <c r="AI350" s="802"/>
      <c r="AJ350" s="802"/>
      <c r="AK350" s="802"/>
      <c r="AL350" s="802"/>
      <c r="AM350" s="315"/>
      <c r="AN350" s="315"/>
    </row>
    <row r="351" spans="1:40" s="792" customFormat="1" ht="14.25" customHeight="1">
      <c r="A351" s="989" t="s">
        <v>468</v>
      </c>
      <c r="B351" s="791"/>
      <c r="C351" s="791"/>
      <c r="D351" s="791"/>
      <c r="E351" s="791"/>
      <c r="F351" s="790"/>
      <c r="G351" s="790"/>
      <c r="H351" s="790"/>
      <c r="I351" s="790"/>
      <c r="J351" s="790"/>
      <c r="K351" s="790"/>
      <c r="L351" s="790"/>
      <c r="M351" s="790"/>
      <c r="N351" s="790"/>
      <c r="O351" s="790"/>
      <c r="P351" s="790"/>
      <c r="Q351" s="790"/>
      <c r="R351" s="790"/>
      <c r="S351" s="790"/>
      <c r="T351" s="790"/>
      <c r="U351" s="790"/>
      <c r="V351" s="790"/>
      <c r="W351" s="790"/>
      <c r="X351" s="790"/>
      <c r="Y351" s="790"/>
      <c r="Z351" s="790"/>
      <c r="AA351" s="790"/>
      <c r="AB351" s="790"/>
      <c r="AC351" s="790"/>
      <c r="AD351" s="790"/>
      <c r="AE351" s="790"/>
      <c r="AF351" s="790"/>
      <c r="AG351" s="790"/>
      <c r="AH351" s="790"/>
      <c r="AI351" s="790"/>
      <c r="AJ351" s="790"/>
      <c r="AK351" s="790"/>
      <c r="AL351" s="790"/>
      <c r="AM351" s="791"/>
      <c r="AN351" s="791"/>
    </row>
    <row r="352" spans="1:40" ht="12.6">
      <c r="A352" s="990" t="s">
        <v>469</v>
      </c>
      <c r="B352" s="991" t="s">
        <v>121</v>
      </c>
      <c r="C352" s="991"/>
      <c r="D352" s="315"/>
      <c r="E352" s="991" t="s">
        <v>122</v>
      </c>
      <c r="F352" s="300" t="s">
        <v>108</v>
      </c>
      <c r="G352" s="300" t="s">
        <v>108</v>
      </c>
      <c r="H352" s="300" t="s">
        <v>108</v>
      </c>
      <c r="I352" s="300" t="s">
        <v>108</v>
      </c>
      <c r="J352" s="300" t="s">
        <v>108</v>
      </c>
      <c r="K352" s="300" t="s">
        <v>108</v>
      </c>
      <c r="L352" s="300" t="s">
        <v>108</v>
      </c>
      <c r="M352" s="300" t="s">
        <v>108</v>
      </c>
      <c r="N352" s="300" t="s">
        <v>108</v>
      </c>
      <c r="O352" s="300" t="s">
        <v>108</v>
      </c>
      <c r="P352" s="300" t="s">
        <v>108</v>
      </c>
      <c r="Q352" s="300" t="s">
        <v>108</v>
      </c>
      <c r="R352" s="300" t="s">
        <v>108</v>
      </c>
      <c r="S352" s="300" t="s">
        <v>108</v>
      </c>
      <c r="T352" s="300" t="s">
        <v>108</v>
      </c>
      <c r="U352" s="300" t="s">
        <v>108</v>
      </c>
      <c r="V352" s="300" t="s">
        <v>108</v>
      </c>
      <c r="W352" s="300" t="s">
        <v>108</v>
      </c>
      <c r="X352" s="300" t="s">
        <v>108</v>
      </c>
      <c r="Y352" s="300" t="s">
        <v>108</v>
      </c>
      <c r="Z352" s="300" t="s">
        <v>108</v>
      </c>
      <c r="AA352" s="300" t="s">
        <v>108</v>
      </c>
      <c r="AB352" s="300" t="s">
        <v>108</v>
      </c>
      <c r="AC352" s="300" t="s">
        <v>108</v>
      </c>
      <c r="AD352" s="300" t="s">
        <v>108</v>
      </c>
      <c r="AE352" s="300" t="s">
        <v>108</v>
      </c>
      <c r="AF352" s="300" t="s">
        <v>108</v>
      </c>
      <c r="AG352" s="300" t="s">
        <v>108</v>
      </c>
      <c r="AH352" s="300" t="s">
        <v>108</v>
      </c>
      <c r="AI352" s="300" t="s">
        <v>108</v>
      </c>
      <c r="AJ352" s="300" t="s">
        <v>108</v>
      </c>
      <c r="AK352" s="300" t="s">
        <v>108</v>
      </c>
      <c r="AL352" s="300" t="s">
        <v>108</v>
      </c>
      <c r="AM352" s="315"/>
      <c r="AN352" s="315"/>
    </row>
    <row r="353" spans="1:40" ht="12.6">
      <c r="A353" s="990" t="s">
        <v>470</v>
      </c>
      <c r="B353" s="991" t="s">
        <v>124</v>
      </c>
      <c r="C353" s="991"/>
      <c r="D353" s="315"/>
      <c r="E353" s="315" t="s">
        <v>125</v>
      </c>
      <c r="F353" s="799" t="s">
        <v>126</v>
      </c>
      <c r="G353" s="799" t="s">
        <v>126</v>
      </c>
      <c r="H353" s="799" t="s">
        <v>126</v>
      </c>
      <c r="I353" s="799" t="s">
        <v>126</v>
      </c>
      <c r="J353" s="799" t="s">
        <v>126</v>
      </c>
      <c r="K353" s="799" t="s">
        <v>126</v>
      </c>
      <c r="L353" s="799" t="s">
        <v>126</v>
      </c>
      <c r="M353" s="799" t="s">
        <v>126</v>
      </c>
      <c r="N353" s="799" t="s">
        <v>126</v>
      </c>
      <c r="O353" s="799" t="s">
        <v>126</v>
      </c>
      <c r="P353" s="799" t="s">
        <v>126</v>
      </c>
      <c r="Q353" s="799" t="s">
        <v>126</v>
      </c>
      <c r="R353" s="799" t="s">
        <v>126</v>
      </c>
      <c r="S353" s="799" t="s">
        <v>126</v>
      </c>
      <c r="T353" s="799" t="s">
        <v>126</v>
      </c>
      <c r="U353" s="799" t="s">
        <v>126</v>
      </c>
      <c r="V353" s="799" t="s">
        <v>126</v>
      </c>
      <c r="W353" s="799" t="s">
        <v>126</v>
      </c>
      <c r="X353" s="799" t="s">
        <v>126</v>
      </c>
      <c r="Y353" s="799" t="s">
        <v>126</v>
      </c>
      <c r="Z353" s="799" t="s">
        <v>126</v>
      </c>
      <c r="AA353" s="799" t="s">
        <v>126</v>
      </c>
      <c r="AB353" s="799" t="s">
        <v>126</v>
      </c>
      <c r="AC353" s="799" t="s">
        <v>126</v>
      </c>
      <c r="AD353" s="799" t="s">
        <v>126</v>
      </c>
      <c r="AE353" s="799" t="s">
        <v>126</v>
      </c>
      <c r="AF353" s="799" t="s">
        <v>126</v>
      </c>
      <c r="AG353" s="799" t="s">
        <v>126</v>
      </c>
      <c r="AH353" s="799" t="s">
        <v>126</v>
      </c>
      <c r="AI353" s="799" t="s">
        <v>126</v>
      </c>
      <c r="AJ353" s="799" t="s">
        <v>126</v>
      </c>
      <c r="AK353" s="799" t="s">
        <v>126</v>
      </c>
      <c r="AL353" s="799" t="s">
        <v>126</v>
      </c>
      <c r="AM353" s="315"/>
      <c r="AN353" s="315"/>
    </row>
    <row r="354" spans="1:40" ht="12.6">
      <c r="A354" s="990" t="s">
        <v>471</v>
      </c>
      <c r="B354" s="991" t="s">
        <v>128</v>
      </c>
      <c r="C354" s="991"/>
      <c r="D354" s="991" t="s">
        <v>129</v>
      </c>
      <c r="E354" s="991" t="s">
        <v>130</v>
      </c>
      <c r="F354" s="300" t="s">
        <v>108</v>
      </c>
      <c r="G354" s="300" t="s">
        <v>108</v>
      </c>
      <c r="H354" s="300" t="s">
        <v>108</v>
      </c>
      <c r="I354" s="300" t="s">
        <v>108</v>
      </c>
      <c r="J354" s="300" t="s">
        <v>108</v>
      </c>
      <c r="K354" s="300" t="s">
        <v>108</v>
      </c>
      <c r="L354" s="300" t="s">
        <v>108</v>
      </c>
      <c r="M354" s="300" t="s">
        <v>108</v>
      </c>
      <c r="N354" s="300" t="s">
        <v>108</v>
      </c>
      <c r="O354" s="300" t="s">
        <v>108</v>
      </c>
      <c r="P354" s="300" t="s">
        <v>108</v>
      </c>
      <c r="Q354" s="300" t="s">
        <v>108</v>
      </c>
      <c r="R354" s="300" t="s">
        <v>108</v>
      </c>
      <c r="S354" s="300" t="s">
        <v>108</v>
      </c>
      <c r="T354" s="300" t="s">
        <v>108</v>
      </c>
      <c r="U354" s="300" t="s">
        <v>108</v>
      </c>
      <c r="V354" s="300" t="s">
        <v>108</v>
      </c>
      <c r="W354" s="300" t="s">
        <v>108</v>
      </c>
      <c r="X354" s="300" t="s">
        <v>108</v>
      </c>
      <c r="Y354" s="300" t="s">
        <v>108</v>
      </c>
      <c r="Z354" s="300" t="s">
        <v>108</v>
      </c>
      <c r="AA354" s="300" t="s">
        <v>108</v>
      </c>
      <c r="AB354" s="300" t="s">
        <v>108</v>
      </c>
      <c r="AC354" s="300" t="s">
        <v>108</v>
      </c>
      <c r="AD354" s="300" t="s">
        <v>108</v>
      </c>
      <c r="AE354" s="300" t="s">
        <v>108</v>
      </c>
      <c r="AF354" s="300" t="s">
        <v>108</v>
      </c>
      <c r="AG354" s="300" t="s">
        <v>108</v>
      </c>
      <c r="AH354" s="300" t="s">
        <v>108</v>
      </c>
      <c r="AI354" s="300" t="s">
        <v>108</v>
      </c>
      <c r="AJ354" s="300" t="s">
        <v>108</v>
      </c>
      <c r="AK354" s="300" t="s">
        <v>108</v>
      </c>
      <c r="AL354" s="300" t="s">
        <v>108</v>
      </c>
      <c r="AM354" s="315"/>
      <c r="AN354" s="315"/>
    </row>
    <row r="355" spans="1:40" ht="12.6">
      <c r="A355" s="990" t="s">
        <v>472</v>
      </c>
      <c r="B355" s="991" t="s">
        <v>132</v>
      </c>
      <c r="C355" s="991"/>
      <c r="D355" s="991" t="s">
        <v>129</v>
      </c>
      <c r="E355" s="991" t="s">
        <v>130</v>
      </c>
      <c r="F355" s="794" t="s">
        <v>108</v>
      </c>
      <c r="G355" s="794" t="s">
        <v>108</v>
      </c>
      <c r="H355" s="794" t="s">
        <v>108</v>
      </c>
      <c r="I355" s="794" t="s">
        <v>108</v>
      </c>
      <c r="J355" s="794" t="s">
        <v>108</v>
      </c>
      <c r="K355" s="794" t="s">
        <v>108</v>
      </c>
      <c r="L355" s="794" t="s">
        <v>108</v>
      </c>
      <c r="M355" s="794" t="s">
        <v>108</v>
      </c>
      <c r="N355" s="794" t="s">
        <v>108</v>
      </c>
      <c r="O355" s="794" t="s">
        <v>108</v>
      </c>
      <c r="P355" s="794" t="s">
        <v>108</v>
      </c>
      <c r="Q355" s="794" t="s">
        <v>108</v>
      </c>
      <c r="R355" s="794" t="s">
        <v>108</v>
      </c>
      <c r="S355" s="794" t="s">
        <v>108</v>
      </c>
      <c r="T355" s="794" t="s">
        <v>108</v>
      </c>
      <c r="U355" s="794" t="s">
        <v>108</v>
      </c>
      <c r="V355" s="794" t="s">
        <v>108</v>
      </c>
      <c r="W355" s="794" t="s">
        <v>108</v>
      </c>
      <c r="X355" s="794" t="s">
        <v>108</v>
      </c>
      <c r="Y355" s="794" t="s">
        <v>108</v>
      </c>
      <c r="Z355" s="794" t="s">
        <v>108</v>
      </c>
      <c r="AA355" s="794" t="s">
        <v>108</v>
      </c>
      <c r="AB355" s="794" t="s">
        <v>108</v>
      </c>
      <c r="AC355" s="794" t="s">
        <v>108</v>
      </c>
      <c r="AD355" s="794" t="s">
        <v>108</v>
      </c>
      <c r="AE355" s="794" t="s">
        <v>108</v>
      </c>
      <c r="AF355" s="794" t="s">
        <v>108</v>
      </c>
      <c r="AG355" s="794" t="s">
        <v>108</v>
      </c>
      <c r="AH355" s="794" t="s">
        <v>108</v>
      </c>
      <c r="AI355" s="794" t="s">
        <v>108</v>
      </c>
      <c r="AJ355" s="794" t="s">
        <v>108</v>
      </c>
      <c r="AK355" s="794" t="s">
        <v>108</v>
      </c>
      <c r="AL355" s="794" t="s">
        <v>108</v>
      </c>
      <c r="AM355" s="315"/>
      <c r="AN355" s="315"/>
    </row>
    <row r="356" spans="1:40" ht="12.6">
      <c r="A356" s="990" t="s">
        <v>473</v>
      </c>
      <c r="B356" s="991" t="s">
        <v>134</v>
      </c>
      <c r="D356" s="315"/>
      <c r="E356" s="315"/>
      <c r="F356" s="801"/>
      <c r="G356" s="802"/>
      <c r="H356" s="802"/>
      <c r="I356" s="802"/>
      <c r="J356" s="802"/>
      <c r="K356" s="802"/>
      <c r="L356" s="802"/>
      <c r="M356" s="802"/>
      <c r="N356" s="802"/>
      <c r="O356" s="802"/>
      <c r="P356" s="802"/>
      <c r="Q356" s="802"/>
      <c r="R356" s="802"/>
      <c r="S356" s="802"/>
      <c r="T356" s="802"/>
      <c r="U356" s="802"/>
      <c r="V356" s="802"/>
      <c r="W356" s="802"/>
      <c r="X356" s="802"/>
      <c r="Y356" s="802"/>
      <c r="Z356" s="802"/>
      <c r="AA356" s="802"/>
      <c r="AB356" s="802"/>
      <c r="AC356" s="802"/>
      <c r="AD356" s="802"/>
      <c r="AE356" s="802"/>
      <c r="AF356" s="802"/>
      <c r="AG356" s="802"/>
      <c r="AH356" s="802"/>
      <c r="AI356" s="802"/>
      <c r="AJ356" s="802"/>
      <c r="AK356" s="802"/>
      <c r="AL356" s="802"/>
      <c r="AM356" s="315"/>
      <c r="AN356" s="315"/>
    </row>
    <row r="357" spans="1:40" s="797" customFormat="1" ht="12.95">
      <c r="A357" s="796" t="s">
        <v>474</v>
      </c>
      <c r="B357" s="796"/>
      <c r="C357" s="796"/>
      <c r="D357" s="796"/>
      <c r="E357" s="796"/>
      <c r="F357" s="795"/>
      <c r="G357" s="795"/>
      <c r="H357" s="795"/>
      <c r="I357" s="795"/>
      <c r="J357" s="795"/>
      <c r="K357" s="795"/>
      <c r="L357" s="795"/>
      <c r="M357" s="795"/>
      <c r="N357" s="795"/>
      <c r="O357" s="795"/>
      <c r="P357" s="795"/>
      <c r="Q357" s="795"/>
      <c r="R357" s="795"/>
      <c r="S357" s="795"/>
      <c r="T357" s="795"/>
      <c r="U357" s="795"/>
      <c r="V357" s="795"/>
      <c r="W357" s="795"/>
      <c r="X357" s="795"/>
      <c r="Y357" s="795"/>
      <c r="Z357" s="795"/>
      <c r="AA357" s="795"/>
      <c r="AB357" s="795"/>
      <c r="AC357" s="795"/>
      <c r="AD357" s="795"/>
      <c r="AE357" s="795"/>
      <c r="AF357" s="795"/>
      <c r="AG357" s="795"/>
      <c r="AH357" s="795"/>
      <c r="AI357" s="795"/>
      <c r="AJ357" s="795"/>
      <c r="AK357" s="795"/>
      <c r="AL357" s="795"/>
      <c r="AM357" s="796"/>
      <c r="AN357" s="796"/>
    </row>
    <row r="358" spans="1:40" s="792" customFormat="1" ht="14.25" customHeight="1">
      <c r="A358" s="989" t="s">
        <v>475</v>
      </c>
      <c r="B358" s="791"/>
      <c r="C358" s="791"/>
      <c r="D358" s="791"/>
      <c r="E358" s="791"/>
      <c r="F358" s="790"/>
      <c r="G358" s="790"/>
      <c r="H358" s="790"/>
      <c r="I358" s="790"/>
      <c r="J358" s="790"/>
      <c r="K358" s="790"/>
      <c r="L358" s="790"/>
      <c r="M358" s="790"/>
      <c r="N358" s="790"/>
      <c r="O358" s="790"/>
      <c r="P358" s="790"/>
      <c r="Q358" s="790"/>
      <c r="R358" s="790"/>
      <c r="S358" s="790"/>
      <c r="T358" s="790"/>
      <c r="U358" s="790"/>
      <c r="V358" s="790"/>
      <c r="W358" s="790"/>
      <c r="X358" s="790"/>
      <c r="Y358" s="790"/>
      <c r="Z358" s="790"/>
      <c r="AA358" s="790"/>
      <c r="AB358" s="790"/>
      <c r="AC358" s="790"/>
      <c r="AD358" s="790"/>
      <c r="AE358" s="790"/>
      <c r="AF358" s="790"/>
      <c r="AG358" s="790"/>
      <c r="AH358" s="790"/>
      <c r="AI358" s="790"/>
      <c r="AJ358" s="790"/>
      <c r="AK358" s="790"/>
      <c r="AL358" s="790"/>
      <c r="AM358" s="791"/>
      <c r="AN358" s="791"/>
    </row>
    <row r="359" spans="1:40" ht="12.6">
      <c r="A359" s="990" t="s">
        <v>476</v>
      </c>
      <c r="B359" s="991" t="s">
        <v>121</v>
      </c>
      <c r="C359" s="991"/>
      <c r="D359" s="315"/>
      <c r="E359" s="991" t="s">
        <v>122</v>
      </c>
      <c r="F359" s="294">
        <f>'[5]Food Processing, Beverages, Tob'!C16</f>
        <v>10386.63584764318</v>
      </c>
      <c r="G359" s="294">
        <f>'[5]Food Processing, Beverages, Tob'!D16</f>
        <v>10755.442753128164</v>
      </c>
      <c r="H359" s="294">
        <f>'[5]Food Processing, Beverages, Tob'!E16</f>
        <v>11124.249658613147</v>
      </c>
      <c r="I359" s="294">
        <f>'[5]Food Processing, Beverages, Tob'!F16</f>
        <v>11493.056564098128</v>
      </c>
      <c r="J359" s="294">
        <f>'[5]Food Processing, Beverages, Tob'!G16</f>
        <v>11861.863469583112</v>
      </c>
      <c r="K359" s="294">
        <f>'[5]Food Processing, Beverages, Tob'!H16</f>
        <v>10689.091178705226</v>
      </c>
      <c r="L359" s="294">
        <f>'[5]Food Processing, Beverages, Tob'!I16</f>
        <v>9516.3188878273413</v>
      </c>
      <c r="M359" s="294">
        <f>'[5]Food Processing, Beverages, Tob'!J16</f>
        <v>8343.5465969494562</v>
      </c>
      <c r="N359" s="294">
        <f>'[5]Food Processing, Beverages, Tob'!K16</f>
        <v>7170.7743060715711</v>
      </c>
      <c r="O359" s="294">
        <f>'[5]Food Processing, Beverages, Tob'!L16</f>
        <v>7169.2257134239389</v>
      </c>
      <c r="P359" s="294">
        <f>'[5]Food Processing, Beverages, Tob'!M16</f>
        <v>7167.6771207763068</v>
      </c>
      <c r="Q359" s="294">
        <f>'[5]Food Processing, Beverages, Tob'!N16</f>
        <v>7166.1285281286728</v>
      </c>
      <c r="R359" s="294">
        <f>'[5]Food Processing, Beverages, Tob'!O16</f>
        <v>7164.5799354810406</v>
      </c>
      <c r="S359" s="294">
        <f>'[5]Food Processing, Beverages, Tob'!P16</f>
        <v>8108.5939426831646</v>
      </c>
      <c r="T359" s="294">
        <f>'[5]Food Processing, Beverages, Tob'!Q16</f>
        <v>9052.6079498852887</v>
      </c>
      <c r="U359" s="294">
        <f>'[5]Food Processing, Beverages, Tob'!R16</f>
        <v>9996.6219570874127</v>
      </c>
      <c r="V359" s="294">
        <f>'[5]Food Processing, Beverages, Tob'!S16</f>
        <v>10940.635964289537</v>
      </c>
      <c r="W359" s="294">
        <f>'[5]Food Processing, Beverages, Tob'!T16</f>
        <v>9462.8254514751134</v>
      </c>
      <c r="X359" s="294">
        <f>'[5]Food Processing, Beverages, Tob'!U16</f>
        <v>7985.0149386606899</v>
      </c>
      <c r="Y359" s="294">
        <f>'[5]Food Processing, Beverages, Tob'!V16</f>
        <v>6507.2044258462656</v>
      </c>
      <c r="Z359" s="294">
        <f>'[5]Food Processing, Beverages, Tob'!W16</f>
        <v>5029.3939130318413</v>
      </c>
      <c r="AA359" s="294">
        <f>'[5]Food Processing, Beverages, Tob'!X16</f>
        <v>5730.4369748517238</v>
      </c>
      <c r="AB359" s="294">
        <f>'[5]Food Processing, Beverages, Tob'!Y16</f>
        <v>5577.1330575725915</v>
      </c>
      <c r="AC359" s="294">
        <f>'[5]Food Processing, Beverages, Tob'!Z16</f>
        <v>5146.2543244733442</v>
      </c>
      <c r="AD359" s="294">
        <f>'[5]Food Processing, Beverages, Tob'!AA16</f>
        <v>4479.7469540765196</v>
      </c>
      <c r="AE359" s="294">
        <f>'[5]Food Processing, Beverages, Tob'!AB16</f>
        <v>5494.1065929558727</v>
      </c>
      <c r="AF359" s="294">
        <f>'[5]Food Processing, Beverages, Tob'!AC16</f>
        <v>2830.7520316834753</v>
      </c>
      <c r="AG359" s="294">
        <f>'[5]Food Processing, Beverages, Tob'!AD16</f>
        <v>3074.7314312979133</v>
      </c>
      <c r="AH359" s="294">
        <f>'[5]Food Processing, Beverages, Tob'!AE16</f>
        <v>2998.2922692422794</v>
      </c>
      <c r="AI359" s="294">
        <f>'[5]Food Processing, Beverages, Tob'!AF16</f>
        <v>2946.9528567373586</v>
      </c>
      <c r="AJ359" s="294">
        <f>'[5]Food Processing, Beverages, Tob'!AG16</f>
        <v>3194.3210888264107</v>
      </c>
      <c r="AK359" s="294">
        <f>'[5]Food Processing, Beverages, Tob'!AH16</f>
        <v>3208.8245399867883</v>
      </c>
      <c r="AL359" s="1068">
        <f>AK359</f>
        <v>3208.8245399867883</v>
      </c>
      <c r="AM359" s="315"/>
      <c r="AN359" s="315"/>
    </row>
    <row r="360" spans="1:40" ht="12.6">
      <c r="A360" s="990" t="s">
        <v>477</v>
      </c>
      <c r="B360" s="991" t="s">
        <v>124</v>
      </c>
      <c r="C360" s="991"/>
      <c r="D360" s="315"/>
      <c r="E360" s="315" t="s">
        <v>125</v>
      </c>
      <c r="F360" s="300" t="s">
        <v>126</v>
      </c>
      <c r="G360" s="300" t="s">
        <v>126</v>
      </c>
      <c r="H360" s="300" t="s">
        <v>126</v>
      </c>
      <c r="I360" s="300" t="s">
        <v>126</v>
      </c>
      <c r="J360" s="300" t="s">
        <v>126</v>
      </c>
      <c r="K360" s="300" t="s">
        <v>126</v>
      </c>
      <c r="L360" s="300" t="s">
        <v>126</v>
      </c>
      <c r="M360" s="300" t="s">
        <v>126</v>
      </c>
      <c r="N360" s="300" t="s">
        <v>126</v>
      </c>
      <c r="O360" s="300" t="s">
        <v>126</v>
      </c>
      <c r="P360" s="300" t="s">
        <v>126</v>
      </c>
      <c r="Q360" s="300" t="s">
        <v>126</v>
      </c>
      <c r="R360" s="300" t="s">
        <v>126</v>
      </c>
      <c r="S360" s="300" t="s">
        <v>126</v>
      </c>
      <c r="T360" s="300" t="s">
        <v>126</v>
      </c>
      <c r="U360" s="300" t="s">
        <v>126</v>
      </c>
      <c r="V360" s="300" t="s">
        <v>126</v>
      </c>
      <c r="W360" s="300" t="s">
        <v>126</v>
      </c>
      <c r="X360" s="300" t="s">
        <v>126</v>
      </c>
      <c r="Y360" s="300" t="s">
        <v>126</v>
      </c>
      <c r="Z360" s="300" t="s">
        <v>126</v>
      </c>
      <c r="AA360" s="300" t="s">
        <v>126</v>
      </c>
      <c r="AB360" s="300" t="s">
        <v>126</v>
      </c>
      <c r="AC360" s="300" t="s">
        <v>126</v>
      </c>
      <c r="AD360" s="300" t="s">
        <v>126</v>
      </c>
      <c r="AE360" s="300" t="s">
        <v>126</v>
      </c>
      <c r="AF360" s="300" t="s">
        <v>126</v>
      </c>
      <c r="AG360" s="300" t="s">
        <v>126</v>
      </c>
      <c r="AH360" s="300" t="s">
        <v>126</v>
      </c>
      <c r="AI360" s="300" t="s">
        <v>126</v>
      </c>
      <c r="AJ360" s="300" t="s">
        <v>126</v>
      </c>
      <c r="AK360" s="300" t="s">
        <v>126</v>
      </c>
      <c r="AL360" s="300" t="s">
        <v>126</v>
      </c>
      <c r="AM360" s="315"/>
      <c r="AN360" s="315"/>
    </row>
    <row r="361" spans="1:40" ht="12.6">
      <c r="A361" s="990" t="s">
        <v>478</v>
      </c>
      <c r="B361" s="991" t="s">
        <v>128</v>
      </c>
      <c r="C361" s="991"/>
      <c r="D361" s="991" t="s">
        <v>129</v>
      </c>
      <c r="E361" s="991" t="s">
        <v>130</v>
      </c>
      <c r="F361" s="294">
        <f>'[5]Food Processing, Beverages, Tob'!C21</f>
        <v>781.51231760314386</v>
      </c>
      <c r="G361" s="294">
        <f>'[5]Food Processing, Beverages, Tob'!D21</f>
        <v>796.79272770160367</v>
      </c>
      <c r="H361" s="294">
        <f>'[5]Food Processing, Beverages, Tob'!E21</f>
        <v>834.14531083885538</v>
      </c>
      <c r="I361" s="294">
        <f>'[5]Food Processing, Beverages, Tob'!F21</f>
        <v>853.6098529666375</v>
      </c>
      <c r="J361" s="294">
        <f>'[5]Food Processing, Beverages, Tob'!G21</f>
        <v>883.28566113583747</v>
      </c>
      <c r="K361" s="294">
        <f>'[5]Food Processing, Beverages, Tob'!H21</f>
        <v>781.95706151122977</v>
      </c>
      <c r="L361" s="294">
        <f>'[5]Food Processing, Beverages, Tob'!I21</f>
        <v>713.56196918846149</v>
      </c>
      <c r="M361" s="294">
        <f>'[5]Food Processing, Beverages, Tob'!J21</f>
        <v>627.94040476823409</v>
      </c>
      <c r="N361" s="294">
        <f>'[5]Food Processing, Beverages, Tob'!K21</f>
        <v>548.44505713718138</v>
      </c>
      <c r="O361" s="294">
        <f>'[5]Food Processing, Beverages, Tob'!L21</f>
        <v>554.57892842309047</v>
      </c>
      <c r="P361" s="294">
        <f>'[5]Food Processing, Beverages, Tob'!M21</f>
        <v>545.18100472875835</v>
      </c>
      <c r="Q361" s="294">
        <f>'[5]Food Processing, Beverages, Tob'!N21</f>
        <v>536.26625808105427</v>
      </c>
      <c r="R361" s="294">
        <f>'[5]Food Processing, Beverages, Tob'!O21</f>
        <v>534.72504806283496</v>
      </c>
      <c r="S361" s="294">
        <f>'[5]Food Processing, Beverages, Tob'!P21</f>
        <v>622.34034885019753</v>
      </c>
      <c r="T361" s="294">
        <f>'[5]Food Processing, Beverages, Tob'!Q21</f>
        <v>689.76465455743937</v>
      </c>
      <c r="U361" s="294">
        <f>'[5]Food Processing, Beverages, Tob'!R21</f>
        <v>745.35386305117277</v>
      </c>
      <c r="V361" s="294">
        <f>'[5]Food Processing, Beverages, Tob'!S21</f>
        <v>825.54663353564013</v>
      </c>
      <c r="W361" s="294">
        <f>'[5]Food Processing, Beverages, Tob'!T21</f>
        <v>712.56320984165188</v>
      </c>
      <c r="X361" s="294">
        <f>'[5]Food Processing, Beverages, Tob'!U21</f>
        <v>596.58958233832311</v>
      </c>
      <c r="Y361" s="294">
        <f>'[5]Food Processing, Beverages, Tob'!V21</f>
        <v>473.7783899773824</v>
      </c>
      <c r="Z361" s="294">
        <f>'[5]Food Processing, Beverages, Tob'!W21</f>
        <v>365.72469159062729</v>
      </c>
      <c r="AA361" s="294">
        <f>'[5]Food Processing, Beverages, Tob'!X21</f>
        <v>415.77505210949158</v>
      </c>
      <c r="AB361" s="294">
        <f>'[5]Food Processing, Beverages, Tob'!Y21</f>
        <v>404.33478949725844</v>
      </c>
      <c r="AC361" s="294">
        <f>'[5]Food Processing, Beverages, Tob'!Z21</f>
        <v>374.67996212362891</v>
      </c>
      <c r="AD361" s="294">
        <f>'[5]Food Processing, Beverages, Tob'!AA21</f>
        <v>330.66879008525444</v>
      </c>
      <c r="AE361" s="294">
        <f>'[5]Food Processing, Beverages, Tob'!AB21</f>
        <v>399.840668372766</v>
      </c>
      <c r="AF361" s="294">
        <f>'[5]Food Processing, Beverages, Tob'!AC21</f>
        <v>215.65684327426419</v>
      </c>
      <c r="AG361" s="294">
        <f>'[5]Food Processing, Beverages, Tob'!AD21</f>
        <v>231.47262405485847</v>
      </c>
      <c r="AH361" s="294">
        <f>'[5]Food Processing, Beverages, Tob'!AE21</f>
        <v>229.44696273574868</v>
      </c>
      <c r="AI361" s="294">
        <f>'[5]Food Processing, Beverages, Tob'!AF21</f>
        <v>218.32155436566114</v>
      </c>
      <c r="AJ361" s="294">
        <f>'[5]Food Processing, Beverages, Tob'!AG21</f>
        <v>222.15940390490101</v>
      </c>
      <c r="AK361" s="294">
        <f>'[5]Food Processing, Beverages, Tob'!AH21</f>
        <v>230.10855388035375</v>
      </c>
      <c r="AL361" s="1068">
        <f>AK361</f>
        <v>230.10855388035375</v>
      </c>
      <c r="AM361" s="315"/>
      <c r="AN361" s="315"/>
    </row>
    <row r="362" spans="1:40" ht="12.6">
      <c r="A362" s="990" t="s">
        <v>479</v>
      </c>
      <c r="B362" s="991" t="s">
        <v>132</v>
      </c>
      <c r="C362" s="991"/>
      <c r="D362" s="991" t="s">
        <v>129</v>
      </c>
      <c r="E362" s="991" t="s">
        <v>130</v>
      </c>
      <c r="F362" s="799" t="s">
        <v>106</v>
      </c>
      <c r="G362" s="799" t="s">
        <v>106</v>
      </c>
      <c r="H362" s="799" t="s">
        <v>106</v>
      </c>
      <c r="I362" s="799" t="s">
        <v>106</v>
      </c>
      <c r="J362" s="799" t="s">
        <v>106</v>
      </c>
      <c r="K362" s="799" t="s">
        <v>106</v>
      </c>
      <c r="L362" s="799" t="s">
        <v>106</v>
      </c>
      <c r="M362" s="799" t="s">
        <v>106</v>
      </c>
      <c r="N362" s="799" t="s">
        <v>106</v>
      </c>
      <c r="O362" s="799" t="s">
        <v>106</v>
      </c>
      <c r="P362" s="799" t="s">
        <v>106</v>
      </c>
      <c r="Q362" s="799" t="s">
        <v>106</v>
      </c>
      <c r="R362" s="799" t="s">
        <v>106</v>
      </c>
      <c r="S362" s="799" t="s">
        <v>106</v>
      </c>
      <c r="T362" s="799" t="s">
        <v>106</v>
      </c>
      <c r="U362" s="799" t="s">
        <v>106</v>
      </c>
      <c r="V362" s="799" t="s">
        <v>106</v>
      </c>
      <c r="W362" s="799" t="s">
        <v>106</v>
      </c>
      <c r="X362" s="799" t="s">
        <v>106</v>
      </c>
      <c r="Y362" s="799" t="s">
        <v>106</v>
      </c>
      <c r="Z362" s="799" t="s">
        <v>106</v>
      </c>
      <c r="AA362" s="799" t="s">
        <v>106</v>
      </c>
      <c r="AB362" s="799" t="s">
        <v>106</v>
      </c>
      <c r="AC362" s="799" t="s">
        <v>106</v>
      </c>
      <c r="AD362" s="799" t="s">
        <v>106</v>
      </c>
      <c r="AE362" s="799" t="s">
        <v>106</v>
      </c>
      <c r="AF362" s="799" t="s">
        <v>106</v>
      </c>
      <c r="AG362" s="799" t="s">
        <v>106</v>
      </c>
      <c r="AH362" s="799" t="s">
        <v>106</v>
      </c>
      <c r="AI362" s="799" t="s">
        <v>106</v>
      </c>
      <c r="AJ362" s="799" t="s">
        <v>106</v>
      </c>
      <c r="AK362" s="799" t="s">
        <v>106</v>
      </c>
      <c r="AL362" s="799" t="s">
        <v>106</v>
      </c>
      <c r="AM362" s="315"/>
      <c r="AN362" s="315"/>
    </row>
    <row r="363" spans="1:40" ht="12.6">
      <c r="A363" s="990" t="s">
        <v>480</v>
      </c>
      <c r="B363" s="991" t="s">
        <v>134</v>
      </c>
      <c r="D363" s="315"/>
      <c r="E363" s="315"/>
      <c r="F363" s="800" t="s">
        <v>230</v>
      </c>
      <c r="G363" s="800" t="s">
        <v>230</v>
      </c>
      <c r="H363" s="800" t="s">
        <v>230</v>
      </c>
      <c r="I363" s="800" t="s">
        <v>230</v>
      </c>
      <c r="J363" s="800" t="s">
        <v>230</v>
      </c>
      <c r="K363" s="800" t="s">
        <v>230</v>
      </c>
      <c r="L363" s="800" t="s">
        <v>230</v>
      </c>
      <c r="M363" s="800" t="s">
        <v>230</v>
      </c>
      <c r="N363" s="800" t="s">
        <v>230</v>
      </c>
      <c r="O363" s="800" t="s">
        <v>230</v>
      </c>
      <c r="P363" s="800" t="s">
        <v>230</v>
      </c>
      <c r="Q363" s="800" t="s">
        <v>230</v>
      </c>
      <c r="R363" s="800" t="s">
        <v>230</v>
      </c>
      <c r="S363" s="800" t="s">
        <v>230</v>
      </c>
      <c r="T363" s="800" t="s">
        <v>230</v>
      </c>
      <c r="U363" s="800" t="s">
        <v>230</v>
      </c>
      <c r="V363" s="800" t="s">
        <v>230</v>
      </c>
      <c r="W363" s="800" t="s">
        <v>230</v>
      </c>
      <c r="X363" s="800" t="s">
        <v>230</v>
      </c>
      <c r="Y363" s="800" t="s">
        <v>230</v>
      </c>
      <c r="Z363" s="800" t="s">
        <v>230</v>
      </c>
      <c r="AA363" s="800" t="s">
        <v>230</v>
      </c>
      <c r="AB363" s="800" t="s">
        <v>230</v>
      </c>
      <c r="AC363" s="800" t="s">
        <v>230</v>
      </c>
      <c r="AD363" s="800" t="s">
        <v>230</v>
      </c>
      <c r="AE363" s="800" t="s">
        <v>230</v>
      </c>
      <c r="AF363" s="800" t="s">
        <v>230</v>
      </c>
      <c r="AG363" s="800" t="s">
        <v>230</v>
      </c>
      <c r="AH363" s="800" t="s">
        <v>230</v>
      </c>
      <c r="AI363" s="800" t="s">
        <v>230</v>
      </c>
      <c r="AJ363" s="800" t="s">
        <v>230</v>
      </c>
      <c r="AK363" s="800" t="s">
        <v>230</v>
      </c>
      <c r="AL363" s="800" t="s">
        <v>230</v>
      </c>
      <c r="AM363" s="315"/>
      <c r="AN363" s="315"/>
    </row>
    <row r="364" spans="1:40" s="792" customFormat="1" ht="14.25" customHeight="1">
      <c r="A364" s="989" t="s">
        <v>481</v>
      </c>
      <c r="B364" s="791"/>
      <c r="C364" s="791"/>
      <c r="D364" s="791"/>
      <c r="E364" s="791"/>
      <c r="F364" s="790"/>
      <c r="G364" s="790"/>
      <c r="H364" s="790"/>
      <c r="I364" s="790"/>
      <c r="J364" s="790"/>
      <c r="K364" s="790"/>
      <c r="L364" s="790"/>
      <c r="M364" s="790"/>
      <c r="N364" s="790"/>
      <c r="O364" s="790"/>
      <c r="P364" s="790"/>
      <c r="Q364" s="790"/>
      <c r="R364" s="790"/>
      <c r="S364" s="790"/>
      <c r="T364" s="790"/>
      <c r="U364" s="790"/>
      <c r="V364" s="790"/>
      <c r="W364" s="790"/>
      <c r="X364" s="790"/>
      <c r="Y364" s="790"/>
      <c r="Z364" s="790"/>
      <c r="AA364" s="790"/>
      <c r="AB364" s="790"/>
      <c r="AC364" s="790"/>
      <c r="AD364" s="790"/>
      <c r="AE364" s="790"/>
      <c r="AF364" s="790"/>
      <c r="AG364" s="790"/>
      <c r="AH364" s="790"/>
      <c r="AI364" s="790"/>
      <c r="AJ364" s="790"/>
      <c r="AK364" s="790"/>
      <c r="AL364" s="790"/>
      <c r="AM364" s="791"/>
      <c r="AN364" s="791"/>
    </row>
    <row r="365" spans="1:40" ht="12.6">
      <c r="A365" s="990" t="s">
        <v>482</v>
      </c>
      <c r="B365" s="991" t="s">
        <v>121</v>
      </c>
      <c r="C365" s="991"/>
      <c r="D365" s="315"/>
      <c r="E365" s="991" t="s">
        <v>122</v>
      </c>
      <c r="F365" s="294">
        <f>'[5]Food Processing, Beverages, Tob'!C17</f>
        <v>323709.27220648661</v>
      </c>
      <c r="G365" s="294">
        <f>'[5]Food Processing, Beverages, Tob'!D17</f>
        <v>321211.55560197245</v>
      </c>
      <c r="H365" s="294">
        <f>'[5]Food Processing, Beverages, Tob'!E17</f>
        <v>318713.83899745828</v>
      </c>
      <c r="I365" s="294">
        <f>'[5]Food Processing, Beverages, Tob'!F17</f>
        <v>316216.12239294412</v>
      </c>
      <c r="J365" s="294">
        <f>'[5]Food Processing, Beverages, Tob'!G17</f>
        <v>313718.40578842995</v>
      </c>
      <c r="K365" s="294">
        <f>'[5]Food Processing, Beverages, Tob'!H17</f>
        <v>310146.71397016692</v>
      </c>
      <c r="L365" s="294">
        <f>'[5]Food Processing, Beverages, Tob'!I17</f>
        <v>306575.02215190383</v>
      </c>
      <c r="M365" s="294">
        <f>'[5]Food Processing, Beverages, Tob'!J17</f>
        <v>303003.33033364074</v>
      </c>
      <c r="N365" s="294">
        <f>'[5]Food Processing, Beverages, Tob'!K17</f>
        <v>299431.63851537777</v>
      </c>
      <c r="O365" s="294">
        <f>'[5]Food Processing, Beverages, Tob'!L17</f>
        <v>319569.47863927315</v>
      </c>
      <c r="P365" s="294">
        <f>'[5]Food Processing, Beverages, Tob'!M17</f>
        <v>339707.31876316853</v>
      </c>
      <c r="Q365" s="294">
        <f>'[5]Food Processing, Beverages, Tob'!N17</f>
        <v>359845.15888706391</v>
      </c>
      <c r="R365" s="294">
        <f>'[5]Food Processing, Beverages, Tob'!O17</f>
        <v>379982.99901095935</v>
      </c>
      <c r="S365" s="294">
        <f>'[5]Food Processing, Beverages, Tob'!P17</f>
        <v>364232.66670120397</v>
      </c>
      <c r="T365" s="294">
        <f>'[5]Food Processing, Beverages, Tob'!Q17</f>
        <v>348482.33439144876</v>
      </c>
      <c r="U365" s="294">
        <f>'[5]Food Processing, Beverages, Tob'!R17</f>
        <v>332732.0020816935</v>
      </c>
      <c r="V365" s="294">
        <f>'[5]Food Processing, Beverages, Tob'!S17</f>
        <v>316981.66977193824</v>
      </c>
      <c r="W365" s="294">
        <f>'[5]Food Processing, Beverages, Tob'!T17</f>
        <v>259502.67087458703</v>
      </c>
      <c r="X365" s="294">
        <f>'[5]Food Processing, Beverages, Tob'!U17</f>
        <v>202023.67197723585</v>
      </c>
      <c r="Y365" s="294">
        <f>'[5]Food Processing, Beverages, Tob'!V17</f>
        <v>144544.67307988464</v>
      </c>
      <c r="Z365" s="294">
        <f>'[5]Food Processing, Beverages, Tob'!W17</f>
        <v>87065.674182533359</v>
      </c>
      <c r="AA365" s="294">
        <f>'[5]Food Processing, Beverages, Tob'!X17</f>
        <v>223894.60501797547</v>
      </c>
      <c r="AB365" s="294">
        <f>'[5]Food Processing, Beverages, Tob'!Y17</f>
        <v>210783.44502908623</v>
      </c>
      <c r="AC365" s="294">
        <f>'[5]Food Processing, Beverages, Tob'!Z17</f>
        <v>215776.22675640901</v>
      </c>
      <c r="AD365" s="294">
        <f>'[5]Food Processing, Beverages, Tob'!AA17</f>
        <v>215957.563675916</v>
      </c>
      <c r="AE365" s="294">
        <f>'[5]Food Processing, Beverages, Tob'!AB17</f>
        <v>190074.14496905173</v>
      </c>
      <c r="AF365" s="294">
        <f>'[5]Food Processing, Beverages, Tob'!AC17</f>
        <v>171004.5426901071</v>
      </c>
      <c r="AG365" s="294">
        <f>'[5]Food Processing, Beverages, Tob'!AD17</f>
        <v>167168.73001123371</v>
      </c>
      <c r="AH365" s="294">
        <f>'[5]Food Processing, Beverages, Tob'!AE17</f>
        <v>164038.1464966753</v>
      </c>
      <c r="AI365" s="294">
        <f>'[5]Food Processing, Beverages, Tob'!AF17</f>
        <v>159934.8252799366</v>
      </c>
      <c r="AJ365" s="294">
        <f>'[5]Food Processing, Beverages, Tob'!AG17</f>
        <v>142292.0927020055</v>
      </c>
      <c r="AK365" s="294">
        <f>'[5]Food Processing, Beverages, Tob'!AH17</f>
        <v>139300.23701374372</v>
      </c>
      <c r="AL365" s="1068">
        <f>AK365</f>
        <v>139300.23701374372</v>
      </c>
      <c r="AM365" s="315"/>
      <c r="AN365" s="315"/>
    </row>
    <row r="366" spans="1:40" ht="12.6">
      <c r="A366" s="990" t="s">
        <v>483</v>
      </c>
      <c r="B366" s="991" t="s">
        <v>124</v>
      </c>
      <c r="C366" s="991"/>
      <c r="D366" s="315"/>
      <c r="E366" s="315" t="s">
        <v>125</v>
      </c>
      <c r="F366" s="300" t="s">
        <v>126</v>
      </c>
      <c r="G366" s="300" t="s">
        <v>126</v>
      </c>
      <c r="H366" s="300" t="s">
        <v>126</v>
      </c>
      <c r="I366" s="300" t="s">
        <v>126</v>
      </c>
      <c r="J366" s="300" t="s">
        <v>126</v>
      </c>
      <c r="K366" s="300" t="s">
        <v>126</v>
      </c>
      <c r="L366" s="300" t="s">
        <v>126</v>
      </c>
      <c r="M366" s="300" t="s">
        <v>126</v>
      </c>
      <c r="N366" s="300" t="s">
        <v>126</v>
      </c>
      <c r="O366" s="300" t="s">
        <v>126</v>
      </c>
      <c r="P366" s="300" t="s">
        <v>126</v>
      </c>
      <c r="Q366" s="300" t="s">
        <v>126</v>
      </c>
      <c r="R366" s="300" t="s">
        <v>126</v>
      </c>
      <c r="S366" s="300" t="s">
        <v>126</v>
      </c>
      <c r="T366" s="300" t="s">
        <v>126</v>
      </c>
      <c r="U366" s="300" t="s">
        <v>126</v>
      </c>
      <c r="V366" s="300" t="s">
        <v>126</v>
      </c>
      <c r="W366" s="300" t="s">
        <v>126</v>
      </c>
      <c r="X366" s="300" t="s">
        <v>126</v>
      </c>
      <c r="Y366" s="300" t="s">
        <v>126</v>
      </c>
      <c r="Z366" s="300" t="s">
        <v>126</v>
      </c>
      <c r="AA366" s="300" t="s">
        <v>126</v>
      </c>
      <c r="AB366" s="300" t="s">
        <v>126</v>
      </c>
      <c r="AC366" s="300" t="s">
        <v>126</v>
      </c>
      <c r="AD366" s="300" t="s">
        <v>126</v>
      </c>
      <c r="AE366" s="300" t="s">
        <v>126</v>
      </c>
      <c r="AF366" s="300" t="s">
        <v>126</v>
      </c>
      <c r="AG366" s="300" t="s">
        <v>126</v>
      </c>
      <c r="AH366" s="300" t="s">
        <v>126</v>
      </c>
      <c r="AI366" s="300" t="s">
        <v>126</v>
      </c>
      <c r="AJ366" s="300" t="s">
        <v>126</v>
      </c>
      <c r="AK366" s="300" t="s">
        <v>126</v>
      </c>
      <c r="AL366" s="300" t="s">
        <v>126</v>
      </c>
      <c r="AM366" s="315"/>
      <c r="AN366" s="315"/>
    </row>
    <row r="367" spans="1:40" ht="12.6">
      <c r="A367" s="990" t="s">
        <v>484</v>
      </c>
      <c r="B367" s="991" t="s">
        <v>128</v>
      </c>
      <c r="C367" s="991"/>
      <c r="D367" s="991" t="s">
        <v>129</v>
      </c>
      <c r="E367" s="991" t="s">
        <v>130</v>
      </c>
      <c r="F367" s="294">
        <f>'[5]Food Processing, Beverages, Tob'!C22</f>
        <v>29031.254233490767</v>
      </c>
      <c r="G367" s="294">
        <f>'[5]Food Processing, Beverages, Tob'!D22</f>
        <v>28881.194636529974</v>
      </c>
      <c r="H367" s="294">
        <f>'[5]Food Processing, Beverages, Tob'!E22</f>
        <v>28638.948209346141</v>
      </c>
      <c r="I367" s="294">
        <f>'[5]Food Processing, Beverages, Tob'!F22</f>
        <v>28308.678608228212</v>
      </c>
      <c r="J367" s="294">
        <f>'[5]Food Processing, Beverages, Tob'!G22</f>
        <v>28086.458362909252</v>
      </c>
      <c r="K367" s="294">
        <f>'[5]Food Processing, Beverages, Tob'!H22</f>
        <v>27794.304020772535</v>
      </c>
      <c r="L367" s="294">
        <f>'[5]Food Processing, Beverages, Tob'!I22</f>
        <v>27428.55189676115</v>
      </c>
      <c r="M367" s="294">
        <f>'[5]Food Processing, Beverages, Tob'!J22</f>
        <v>27112.510858118592</v>
      </c>
      <c r="N367" s="294">
        <f>'[5]Food Processing, Beverages, Tob'!K22</f>
        <v>26832.264493114908</v>
      </c>
      <c r="O367" s="294">
        <f>'[5]Food Processing, Beverages, Tob'!L22</f>
        <v>28649.155013531097</v>
      </c>
      <c r="P367" s="294">
        <f>'[5]Food Processing, Beverages, Tob'!M22</f>
        <v>30384.345318997337</v>
      </c>
      <c r="Q367" s="294">
        <f>'[5]Food Processing, Beverages, Tob'!N22</f>
        <v>32082.814778711327</v>
      </c>
      <c r="R367" s="294">
        <f>'[5]Food Processing, Beverages, Tob'!O22</f>
        <v>33756.052916061337</v>
      </c>
      <c r="S367" s="294">
        <f>'[5]Food Processing, Beverages, Tob'!P22</f>
        <v>32330.372573601915</v>
      </c>
      <c r="T367" s="294">
        <f>'[5]Food Processing, Beverages, Tob'!Q22</f>
        <v>30941.263320057482</v>
      </c>
      <c r="U367" s="294">
        <f>'[5]Food Processing, Beverages, Tob'!R22</f>
        <v>29827.838153666406</v>
      </c>
      <c r="V367" s="294">
        <f>'[5]Food Processing, Beverages, Tob'!S22</f>
        <v>28457.855142905195</v>
      </c>
      <c r="W367" s="294">
        <f>'[5]Food Processing, Beverages, Tob'!T22</f>
        <v>23279.082467435077</v>
      </c>
      <c r="X367" s="294">
        <f>'[5]Food Processing, Beverages, Tob'!U22</f>
        <v>18122.457202123973</v>
      </c>
      <c r="Y367" s="294">
        <f>'[5]Food Processing, Beverages, Tob'!V22</f>
        <v>12991.822752481812</v>
      </c>
      <c r="Z367" s="294">
        <f>'[5]Food Processing, Beverages, Tob'!W22</f>
        <v>7825.524145050802</v>
      </c>
      <c r="AA367" s="294">
        <f>'[5]Food Processing, Beverages, Tob'!X22</f>
        <v>20139.051911780993</v>
      </c>
      <c r="AB367" s="294">
        <f>'[5]Food Processing, Beverages, Tob'!Y22</f>
        <v>18998.80583438891</v>
      </c>
      <c r="AC367" s="294">
        <f>'[5]Food Processing, Beverages, Tob'!Z22</f>
        <v>19441.365105982477</v>
      </c>
      <c r="AD367" s="294">
        <f>'[5]Food Processing, Beverages, Tob'!AA22</f>
        <v>19472.808775474026</v>
      </c>
      <c r="AE367" s="294">
        <f>'[5]Food Processing, Beverages, Tob'!AB22</f>
        <v>17177.578589406177</v>
      </c>
      <c r="AF367" s="294">
        <f>'[5]Food Processing, Beverages, Tob'!AC22</f>
        <v>15472.2804861475</v>
      </c>
      <c r="AG367" s="294">
        <f>'[5]Food Processing, Beverages, Tob'!AD22</f>
        <v>15139.555059251068</v>
      </c>
      <c r="AH367" s="294">
        <f>'[5]Food Processing, Beverages, Tob'!AE22</f>
        <v>14868.224537704225</v>
      </c>
      <c r="AI367" s="294">
        <f>'[5]Food Processing, Beverages, Tob'!AF22</f>
        <v>14490.838979252858</v>
      </c>
      <c r="AJ367" s="294">
        <f>'[5]Food Processing, Beverages, Tob'!AG22</f>
        <v>12920.712649179148</v>
      </c>
      <c r="AK367" s="294">
        <f>'[5]Food Processing, Beverages, Tob'!AH22</f>
        <v>12633.506020644079</v>
      </c>
      <c r="AL367" s="1068">
        <f>AK367</f>
        <v>12633.506020644079</v>
      </c>
      <c r="AM367" s="315"/>
      <c r="AN367" s="315"/>
    </row>
    <row r="368" spans="1:40" ht="12.6">
      <c r="A368" s="990" t="s">
        <v>485</v>
      </c>
      <c r="B368" s="991" t="s">
        <v>132</v>
      </c>
      <c r="C368" s="991"/>
      <c r="D368" s="991" t="s">
        <v>129</v>
      </c>
      <c r="E368" s="991" t="s">
        <v>130</v>
      </c>
      <c r="F368" s="799" t="s">
        <v>106</v>
      </c>
      <c r="G368" s="799" t="s">
        <v>106</v>
      </c>
      <c r="H368" s="799" t="s">
        <v>106</v>
      </c>
      <c r="I368" s="799" t="s">
        <v>106</v>
      </c>
      <c r="J368" s="799" t="s">
        <v>106</v>
      </c>
      <c r="K368" s="799" t="s">
        <v>106</v>
      </c>
      <c r="L368" s="799" t="s">
        <v>106</v>
      </c>
      <c r="M368" s="799" t="s">
        <v>106</v>
      </c>
      <c r="N368" s="799" t="s">
        <v>106</v>
      </c>
      <c r="O368" s="799" t="s">
        <v>106</v>
      </c>
      <c r="P368" s="799" t="s">
        <v>106</v>
      </c>
      <c r="Q368" s="799" t="s">
        <v>106</v>
      </c>
      <c r="R368" s="799" t="s">
        <v>106</v>
      </c>
      <c r="S368" s="799" t="s">
        <v>106</v>
      </c>
      <c r="T368" s="799" t="s">
        <v>106</v>
      </c>
      <c r="U368" s="799" t="s">
        <v>106</v>
      </c>
      <c r="V368" s="799" t="s">
        <v>106</v>
      </c>
      <c r="W368" s="799" t="s">
        <v>106</v>
      </c>
      <c r="X368" s="799" t="s">
        <v>106</v>
      </c>
      <c r="Y368" s="799" t="s">
        <v>106</v>
      </c>
      <c r="Z368" s="799" t="s">
        <v>106</v>
      </c>
      <c r="AA368" s="799" t="s">
        <v>106</v>
      </c>
      <c r="AB368" s="799" t="s">
        <v>106</v>
      </c>
      <c r="AC368" s="799" t="s">
        <v>106</v>
      </c>
      <c r="AD368" s="799" t="s">
        <v>106</v>
      </c>
      <c r="AE368" s="799" t="s">
        <v>106</v>
      </c>
      <c r="AF368" s="799" t="s">
        <v>106</v>
      </c>
      <c r="AG368" s="799" t="s">
        <v>106</v>
      </c>
      <c r="AH368" s="799" t="s">
        <v>106</v>
      </c>
      <c r="AI368" s="799" t="s">
        <v>106</v>
      </c>
      <c r="AJ368" s="799" t="s">
        <v>106</v>
      </c>
      <c r="AK368" s="799" t="s">
        <v>106</v>
      </c>
      <c r="AL368" s="799" t="s">
        <v>106</v>
      </c>
      <c r="AM368" s="315"/>
      <c r="AN368" s="315"/>
    </row>
    <row r="369" spans="1:40" ht="12.6">
      <c r="A369" s="990" t="s">
        <v>486</v>
      </c>
      <c r="B369" s="991" t="s">
        <v>134</v>
      </c>
      <c r="D369" s="315"/>
      <c r="E369" s="315"/>
      <c r="F369" s="800" t="s">
        <v>230</v>
      </c>
      <c r="G369" s="800" t="s">
        <v>230</v>
      </c>
      <c r="H369" s="800" t="s">
        <v>230</v>
      </c>
      <c r="I369" s="800" t="s">
        <v>230</v>
      </c>
      <c r="J369" s="800" t="s">
        <v>230</v>
      </c>
      <c r="K369" s="800" t="s">
        <v>230</v>
      </c>
      <c r="L369" s="800" t="s">
        <v>230</v>
      </c>
      <c r="M369" s="800" t="s">
        <v>230</v>
      </c>
      <c r="N369" s="800" t="s">
        <v>230</v>
      </c>
      <c r="O369" s="800" t="s">
        <v>230</v>
      </c>
      <c r="P369" s="800" t="s">
        <v>230</v>
      </c>
      <c r="Q369" s="800" t="s">
        <v>230</v>
      </c>
      <c r="R369" s="800" t="s">
        <v>230</v>
      </c>
      <c r="S369" s="800" t="s">
        <v>230</v>
      </c>
      <c r="T369" s="800" t="s">
        <v>230</v>
      </c>
      <c r="U369" s="800" t="s">
        <v>230</v>
      </c>
      <c r="V369" s="800" t="s">
        <v>230</v>
      </c>
      <c r="W369" s="800" t="s">
        <v>230</v>
      </c>
      <c r="X369" s="800" t="s">
        <v>230</v>
      </c>
      <c r="Y369" s="800" t="s">
        <v>230</v>
      </c>
      <c r="Z369" s="800" t="s">
        <v>230</v>
      </c>
      <c r="AA369" s="800" t="s">
        <v>230</v>
      </c>
      <c r="AB369" s="800" t="s">
        <v>230</v>
      </c>
      <c r="AC369" s="800" t="s">
        <v>230</v>
      </c>
      <c r="AD369" s="800" t="s">
        <v>230</v>
      </c>
      <c r="AE369" s="800" t="s">
        <v>230</v>
      </c>
      <c r="AF369" s="800" t="s">
        <v>230</v>
      </c>
      <c r="AG369" s="800" t="s">
        <v>230</v>
      </c>
      <c r="AH369" s="800" t="s">
        <v>230</v>
      </c>
      <c r="AI369" s="800" t="s">
        <v>230</v>
      </c>
      <c r="AJ369" s="800" t="s">
        <v>230</v>
      </c>
      <c r="AK369" s="800" t="s">
        <v>230</v>
      </c>
      <c r="AL369" s="800" t="s">
        <v>230</v>
      </c>
      <c r="AM369" s="315"/>
      <c r="AN369" s="315"/>
    </row>
    <row r="370" spans="1:40" s="792" customFormat="1" ht="14.25" customHeight="1">
      <c r="A370" s="989" t="s">
        <v>487</v>
      </c>
      <c r="B370" s="791"/>
      <c r="C370" s="791"/>
      <c r="D370" s="791"/>
      <c r="E370" s="791"/>
      <c r="F370" s="790"/>
      <c r="G370" s="790"/>
      <c r="H370" s="790"/>
      <c r="I370" s="790"/>
      <c r="J370" s="790"/>
      <c r="K370" s="790"/>
      <c r="L370" s="790"/>
      <c r="M370" s="790"/>
      <c r="N370" s="790"/>
      <c r="O370" s="790"/>
      <c r="P370" s="790"/>
      <c r="Q370" s="790"/>
      <c r="R370" s="790"/>
      <c r="S370" s="790"/>
      <c r="T370" s="790"/>
      <c r="U370" s="790"/>
      <c r="V370" s="790"/>
      <c r="W370" s="790"/>
      <c r="X370" s="790"/>
      <c r="Y370" s="790"/>
      <c r="Z370" s="790"/>
      <c r="AA370" s="790"/>
      <c r="AB370" s="790"/>
      <c r="AC370" s="790"/>
      <c r="AD370" s="790"/>
      <c r="AE370" s="790"/>
      <c r="AF370" s="790"/>
      <c r="AG370" s="790"/>
      <c r="AH370" s="790"/>
      <c r="AI370" s="790"/>
      <c r="AJ370" s="790"/>
      <c r="AK370" s="790"/>
      <c r="AL370" s="790"/>
      <c r="AM370" s="791"/>
      <c r="AN370" s="791"/>
    </row>
    <row r="371" spans="1:40" ht="12.6">
      <c r="A371" s="990" t="s">
        <v>488</v>
      </c>
      <c r="B371" s="991" t="s">
        <v>121</v>
      </c>
      <c r="C371" s="991"/>
      <c r="D371" s="315"/>
      <c r="E371" s="991" t="s">
        <v>122</v>
      </c>
      <c r="F371" s="294">
        <f>'[5]Food Processing, Beverages, Tob'!C18</f>
        <v>217701.37470964028</v>
      </c>
      <c r="G371" s="294">
        <f>'[5]Food Processing, Beverages, Tob'!D18</f>
        <v>235008.17855685018</v>
      </c>
      <c r="H371" s="294">
        <f>'[5]Food Processing, Beverages, Tob'!E18</f>
        <v>252314.98240406008</v>
      </c>
      <c r="I371" s="294">
        <f>'[5]Food Processing, Beverages, Tob'!F18</f>
        <v>269621.78625126998</v>
      </c>
      <c r="J371" s="294">
        <f>'[5]Food Processing, Beverages, Tob'!G18</f>
        <v>286928.59009847988</v>
      </c>
      <c r="K371" s="294">
        <f>'[5]Food Processing, Beverages, Tob'!H18</f>
        <v>284537.51851432584</v>
      </c>
      <c r="L371" s="294">
        <f>'[5]Food Processing, Beverages, Tob'!I18</f>
        <v>282146.44693017186</v>
      </c>
      <c r="M371" s="294">
        <f>'[5]Food Processing, Beverages, Tob'!J18</f>
        <v>279755.37534601789</v>
      </c>
      <c r="N371" s="294">
        <f>'[5]Food Processing, Beverages, Tob'!K18</f>
        <v>277364.30376186385</v>
      </c>
      <c r="O371" s="294">
        <f>'[5]Food Processing, Beverages, Tob'!L18</f>
        <v>278730.63038138044</v>
      </c>
      <c r="P371" s="294">
        <f>'[5]Food Processing, Beverages, Tob'!M18</f>
        <v>280096.95700089697</v>
      </c>
      <c r="Q371" s="294">
        <f>'[5]Food Processing, Beverages, Tob'!N18</f>
        <v>281463.28362041351</v>
      </c>
      <c r="R371" s="294">
        <f>'[5]Food Processing, Beverages, Tob'!O18</f>
        <v>282829.6102399301</v>
      </c>
      <c r="S371" s="294">
        <f>'[5]Food Processing, Beverages, Tob'!P18</f>
        <v>289091.94057938113</v>
      </c>
      <c r="T371" s="294">
        <f>'[5]Food Processing, Beverages, Tob'!Q18</f>
        <v>295354.27091883204</v>
      </c>
      <c r="U371" s="294">
        <f>'[5]Food Processing, Beverages, Tob'!R18</f>
        <v>301616.60125828296</v>
      </c>
      <c r="V371" s="294">
        <f>'[5]Food Processing, Beverages, Tob'!S18</f>
        <v>307878.93159773399</v>
      </c>
      <c r="W371" s="294">
        <f>'[5]Food Processing, Beverages, Tob'!T18</f>
        <v>281893.9829871633</v>
      </c>
      <c r="X371" s="294">
        <f>'[5]Food Processing, Beverages, Tob'!U18</f>
        <v>255909.03437659258</v>
      </c>
      <c r="Y371" s="294">
        <f>'[5]Food Processing, Beverages, Tob'!V18</f>
        <v>229924.08576602189</v>
      </c>
      <c r="Z371" s="294">
        <f>'[5]Food Processing, Beverages, Tob'!W18</f>
        <v>203939.13715545114</v>
      </c>
      <c r="AA371" s="294">
        <f>'[5]Food Processing, Beverages, Tob'!X18</f>
        <v>280847.00651707675</v>
      </c>
      <c r="AB371" s="294">
        <f>'[5]Food Processing, Beverages, Tob'!Y18</f>
        <v>306054.40635617863</v>
      </c>
      <c r="AC371" s="294">
        <f>'[5]Food Processing, Beverages, Tob'!Z18</f>
        <v>304496.41885352653</v>
      </c>
      <c r="AD371" s="294">
        <f>'[5]Food Processing, Beverages, Tob'!AA18</f>
        <v>318505.0999913534</v>
      </c>
      <c r="AE371" s="294">
        <f>'[5]Food Processing, Beverages, Tob'!AB18</f>
        <v>330840.77515051421</v>
      </c>
      <c r="AF371" s="294">
        <f>'[5]Food Processing, Beverages, Tob'!AC18</f>
        <v>348507.66242047492</v>
      </c>
      <c r="AG371" s="294">
        <f>'[5]Food Processing, Beverages, Tob'!AD18</f>
        <v>357375.5295271849</v>
      </c>
      <c r="AH371" s="294">
        <f>'[5]Food Processing, Beverages, Tob'!AE18</f>
        <v>376258.41914714995</v>
      </c>
      <c r="AI371" s="294">
        <f>'[5]Food Processing, Beverages, Tob'!AF18</f>
        <v>378551.21256811533</v>
      </c>
      <c r="AJ371" s="294">
        <f>'[5]Food Processing, Beverages, Tob'!AG18</f>
        <v>388845.76366828347</v>
      </c>
      <c r="AK371" s="294">
        <f>'[5]Food Processing, Beverages, Tob'!AH18</f>
        <v>400319.06437114469</v>
      </c>
      <c r="AL371" s="1068">
        <f>AK371</f>
        <v>400319.06437114469</v>
      </c>
      <c r="AM371" s="315"/>
      <c r="AN371" s="315"/>
    </row>
    <row r="372" spans="1:40" ht="12.6">
      <c r="A372" s="990" t="s">
        <v>489</v>
      </c>
      <c r="B372" s="991" t="s">
        <v>124</v>
      </c>
      <c r="C372" s="991"/>
      <c r="D372" s="315"/>
      <c r="E372" s="315" t="s">
        <v>125</v>
      </c>
      <c r="F372" s="300" t="s">
        <v>126</v>
      </c>
      <c r="G372" s="300" t="s">
        <v>126</v>
      </c>
      <c r="H372" s="300" t="s">
        <v>126</v>
      </c>
      <c r="I372" s="300" t="s">
        <v>126</v>
      </c>
      <c r="J372" s="300" t="s">
        <v>126</v>
      </c>
      <c r="K372" s="300" t="s">
        <v>126</v>
      </c>
      <c r="L372" s="300" t="s">
        <v>126</v>
      </c>
      <c r="M372" s="300" t="s">
        <v>126</v>
      </c>
      <c r="N372" s="300" t="s">
        <v>126</v>
      </c>
      <c r="O372" s="300" t="s">
        <v>126</v>
      </c>
      <c r="P372" s="300" t="s">
        <v>126</v>
      </c>
      <c r="Q372" s="300" t="s">
        <v>126</v>
      </c>
      <c r="R372" s="300" t="s">
        <v>126</v>
      </c>
      <c r="S372" s="300" t="s">
        <v>126</v>
      </c>
      <c r="T372" s="300" t="s">
        <v>126</v>
      </c>
      <c r="U372" s="300" t="s">
        <v>126</v>
      </c>
      <c r="V372" s="300" t="s">
        <v>126</v>
      </c>
      <c r="W372" s="300" t="s">
        <v>126</v>
      </c>
      <c r="X372" s="300" t="s">
        <v>126</v>
      </c>
      <c r="Y372" s="300" t="s">
        <v>126</v>
      </c>
      <c r="Z372" s="300" t="s">
        <v>126</v>
      </c>
      <c r="AA372" s="300" t="s">
        <v>126</v>
      </c>
      <c r="AB372" s="300" t="s">
        <v>126</v>
      </c>
      <c r="AC372" s="300" t="s">
        <v>126</v>
      </c>
      <c r="AD372" s="300" t="s">
        <v>126</v>
      </c>
      <c r="AE372" s="300" t="s">
        <v>126</v>
      </c>
      <c r="AF372" s="300" t="s">
        <v>126</v>
      </c>
      <c r="AG372" s="300" t="s">
        <v>126</v>
      </c>
      <c r="AH372" s="300" t="s">
        <v>126</v>
      </c>
      <c r="AI372" s="300" t="s">
        <v>126</v>
      </c>
      <c r="AJ372" s="300" t="s">
        <v>126</v>
      </c>
      <c r="AK372" s="300" t="s">
        <v>126</v>
      </c>
      <c r="AL372" s="300" t="s">
        <v>126</v>
      </c>
      <c r="AM372" s="315"/>
      <c r="AN372" s="315"/>
    </row>
    <row r="373" spans="1:40" ht="12.6">
      <c r="A373" s="990" t="s">
        <v>490</v>
      </c>
      <c r="B373" s="991" t="s">
        <v>128</v>
      </c>
      <c r="C373" s="991"/>
      <c r="D373" s="991" t="s">
        <v>129</v>
      </c>
      <c r="E373" s="991" t="s">
        <v>130</v>
      </c>
      <c r="F373" s="294">
        <f>'[5]Food Processing, Beverages, Tob'!C23</f>
        <v>11382.092003311467</v>
      </c>
      <c r="G373" s="294">
        <f>'[5]Food Processing, Beverages, Tob'!D23</f>
        <v>12346.05495326627</v>
      </c>
      <c r="H373" s="294">
        <f>'[5]Food Processing, Beverages, Tob'!E23</f>
        <v>13191.862962776782</v>
      </c>
      <c r="I373" s="294">
        <f>'[5]Food Processing, Beverages, Tob'!F23</f>
        <v>14146.325519965239</v>
      </c>
      <c r="J373" s="294">
        <f>'[5]Food Processing, Beverages, Tob'!G23</f>
        <v>15019.55207336672</v>
      </c>
      <c r="K373" s="294">
        <f>'[5]Food Processing, Beverages, Tob'!H23</f>
        <v>14925.356995776778</v>
      </c>
      <c r="L373" s="294">
        <f>'[5]Food Processing, Beverages, Tob'!I23</f>
        <v>14689.636053364411</v>
      </c>
      <c r="M373" s="294">
        <f>'[5]Food Processing, Beverages, Tob'!J23</f>
        <v>14564.467359175853</v>
      </c>
      <c r="N373" s="294">
        <f>'[5]Food Processing, Beverages, Tob'!K23</f>
        <v>14441.896059467925</v>
      </c>
      <c r="O373" s="294">
        <f>'[5]Food Processing, Beverages, Tob'!L23</f>
        <v>14570.032161021047</v>
      </c>
      <c r="P373" s="294">
        <f>'[5]Food Processing, Beverages, Tob'!M23</f>
        <v>14609.130558285682</v>
      </c>
      <c r="Q373" s="294">
        <f>'[5]Food Processing, Beverages, Tob'!N23</f>
        <v>14733.49922009846</v>
      </c>
      <c r="R373" s="294">
        <f>'[5]Food Processing, Beverages, Tob'!O23</f>
        <v>14835.925128862886</v>
      </c>
      <c r="S373" s="294">
        <f>'[5]Food Processing, Beverages, Tob'!P23</f>
        <v>15042.108034295228</v>
      </c>
      <c r="T373" s="294">
        <f>'[5]Food Processing, Beverages, Tob'!Q23</f>
        <v>15360.111864455408</v>
      </c>
      <c r="U373" s="294">
        <f>'[5]Food Processing, Beverages, Tob'!R23</f>
        <v>15811.411987320667</v>
      </c>
      <c r="V373" s="294">
        <f>'[5]Food Processing, Beverages, Tob'!S23</f>
        <v>16017.866322737704</v>
      </c>
      <c r="W373" s="294">
        <f>'[5]Food Processing, Beverages, Tob'!T23</f>
        <v>14680.837464166761</v>
      </c>
      <c r="X373" s="294">
        <f>'[5]Food Processing, Beverages, Tob'!U23</f>
        <v>13414.853807009373</v>
      </c>
      <c r="Y373" s="294">
        <f>'[5]Food Processing, Beverages, Tob'!V23</f>
        <v>12231.31742330023</v>
      </c>
      <c r="Z373" s="294">
        <f>'[5]Food Processing, Beverages, Tob'!W23</f>
        <v>10808.842441676625</v>
      </c>
      <c r="AA373" s="294">
        <f>'[5]Food Processing, Beverages, Tob'!X23</f>
        <v>14873.339003020961</v>
      </c>
      <c r="AB373" s="294">
        <f>'[5]Food Processing, Beverages, Tob'!Y23</f>
        <v>16180.483338578459</v>
      </c>
      <c r="AC373" s="294">
        <f>'[5]Food Processing, Beverages, Tob'!Z23</f>
        <v>15980.855905119251</v>
      </c>
      <c r="AD373" s="294">
        <f>'[5]Food Processing, Beverages, Tob'!AA23</f>
        <v>16709.517365045267</v>
      </c>
      <c r="AE373" s="294">
        <f>'[5]Food Processing, Beverages, Tob'!AB23</f>
        <v>17382.182394715877</v>
      </c>
      <c r="AF373" s="294">
        <f>'[5]Food Processing, Beverages, Tob'!AC23</f>
        <v>18114.06150014346</v>
      </c>
      <c r="AG373" s="294">
        <f>'[5]Food Processing, Beverages, Tob'!AD23</f>
        <v>18609.115849958202</v>
      </c>
      <c r="AH373" s="294">
        <f>'[5]Food Processing, Beverages, Tob'!AE23</f>
        <v>19512.496520477118</v>
      </c>
      <c r="AI373" s="294">
        <f>'[5]Food Processing, Beverages, Tob'!AF23</f>
        <v>19742.106412968384</v>
      </c>
      <c r="AJ373" s="294">
        <f>'[5]Food Processing, Beverages, Tob'!AG23</f>
        <v>20528.959518354182</v>
      </c>
      <c r="AK373" s="294">
        <f>'[5]Food Processing, Beverages, Tob'!AH23</f>
        <v>20983.695992884357</v>
      </c>
      <c r="AL373" s="1068">
        <f>AK373</f>
        <v>20983.695992884357</v>
      </c>
      <c r="AM373" s="315"/>
      <c r="AN373" s="315"/>
    </row>
    <row r="374" spans="1:40" ht="12.6">
      <c r="A374" s="990" t="s">
        <v>491</v>
      </c>
      <c r="B374" s="991" t="s">
        <v>132</v>
      </c>
      <c r="C374" s="991"/>
      <c r="D374" s="991" t="s">
        <v>129</v>
      </c>
      <c r="E374" s="991" t="s">
        <v>130</v>
      </c>
      <c r="F374" s="799" t="s">
        <v>106</v>
      </c>
      <c r="G374" s="799" t="s">
        <v>106</v>
      </c>
      <c r="H374" s="799" t="s">
        <v>106</v>
      </c>
      <c r="I374" s="799" t="s">
        <v>106</v>
      </c>
      <c r="J374" s="799" t="s">
        <v>106</v>
      </c>
      <c r="K374" s="799" t="s">
        <v>106</v>
      </c>
      <c r="L374" s="799" t="s">
        <v>106</v>
      </c>
      <c r="M374" s="799" t="s">
        <v>106</v>
      </c>
      <c r="N374" s="799" t="s">
        <v>106</v>
      </c>
      <c r="O374" s="799" t="s">
        <v>106</v>
      </c>
      <c r="P374" s="799" t="s">
        <v>106</v>
      </c>
      <c r="Q374" s="799" t="s">
        <v>106</v>
      </c>
      <c r="R374" s="799" t="s">
        <v>106</v>
      </c>
      <c r="S374" s="799" t="s">
        <v>106</v>
      </c>
      <c r="T374" s="799" t="s">
        <v>106</v>
      </c>
      <c r="U374" s="799" t="s">
        <v>106</v>
      </c>
      <c r="V374" s="799" t="s">
        <v>106</v>
      </c>
      <c r="W374" s="799" t="s">
        <v>106</v>
      </c>
      <c r="X374" s="799" t="s">
        <v>106</v>
      </c>
      <c r="Y374" s="799" t="s">
        <v>106</v>
      </c>
      <c r="Z374" s="799" t="s">
        <v>106</v>
      </c>
      <c r="AA374" s="799" t="s">
        <v>106</v>
      </c>
      <c r="AB374" s="799" t="s">
        <v>106</v>
      </c>
      <c r="AC374" s="799" t="s">
        <v>106</v>
      </c>
      <c r="AD374" s="799" t="s">
        <v>106</v>
      </c>
      <c r="AE374" s="799" t="s">
        <v>106</v>
      </c>
      <c r="AF374" s="799" t="s">
        <v>106</v>
      </c>
      <c r="AG374" s="799" t="s">
        <v>106</v>
      </c>
      <c r="AH374" s="799" t="s">
        <v>106</v>
      </c>
      <c r="AI374" s="799" t="s">
        <v>106</v>
      </c>
      <c r="AJ374" s="799" t="s">
        <v>106</v>
      </c>
      <c r="AK374" s="799" t="s">
        <v>106</v>
      </c>
      <c r="AL374" s="799" t="s">
        <v>106</v>
      </c>
      <c r="AM374" s="315"/>
      <c r="AN374" s="315"/>
    </row>
    <row r="375" spans="1:40" ht="12.6">
      <c r="A375" s="990" t="s">
        <v>492</v>
      </c>
      <c r="B375" s="991" t="s">
        <v>134</v>
      </c>
      <c r="D375" s="315"/>
      <c r="E375" s="315"/>
      <c r="F375" s="800" t="s">
        <v>230</v>
      </c>
      <c r="G375" s="800" t="s">
        <v>230</v>
      </c>
      <c r="H375" s="800" t="s">
        <v>230</v>
      </c>
      <c r="I375" s="800" t="s">
        <v>230</v>
      </c>
      <c r="J375" s="800" t="s">
        <v>230</v>
      </c>
      <c r="K375" s="800" t="s">
        <v>230</v>
      </c>
      <c r="L375" s="800" t="s">
        <v>230</v>
      </c>
      <c r="M375" s="800" t="s">
        <v>230</v>
      </c>
      <c r="N375" s="800" t="s">
        <v>230</v>
      </c>
      <c r="O375" s="800" t="s">
        <v>230</v>
      </c>
      <c r="P375" s="800" t="s">
        <v>230</v>
      </c>
      <c r="Q375" s="800" t="s">
        <v>230</v>
      </c>
      <c r="R375" s="800" t="s">
        <v>230</v>
      </c>
      <c r="S375" s="800" t="s">
        <v>230</v>
      </c>
      <c r="T375" s="800" t="s">
        <v>230</v>
      </c>
      <c r="U375" s="800" t="s">
        <v>230</v>
      </c>
      <c r="V375" s="800" t="s">
        <v>230</v>
      </c>
      <c r="W375" s="800" t="s">
        <v>230</v>
      </c>
      <c r="X375" s="800" t="s">
        <v>230</v>
      </c>
      <c r="Y375" s="800" t="s">
        <v>230</v>
      </c>
      <c r="Z375" s="800" t="s">
        <v>230</v>
      </c>
      <c r="AA375" s="800" t="s">
        <v>230</v>
      </c>
      <c r="AB375" s="800" t="s">
        <v>230</v>
      </c>
      <c r="AC375" s="800" t="s">
        <v>230</v>
      </c>
      <c r="AD375" s="800" t="s">
        <v>230</v>
      </c>
      <c r="AE375" s="800" t="s">
        <v>230</v>
      </c>
      <c r="AF375" s="800" t="s">
        <v>230</v>
      </c>
      <c r="AG375" s="800" t="s">
        <v>230</v>
      </c>
      <c r="AH375" s="800" t="s">
        <v>230</v>
      </c>
      <c r="AI375" s="800" t="s">
        <v>230</v>
      </c>
      <c r="AJ375" s="800" t="s">
        <v>230</v>
      </c>
      <c r="AK375" s="800" t="s">
        <v>230</v>
      </c>
      <c r="AL375" s="800" t="s">
        <v>230</v>
      </c>
      <c r="AM375" s="315"/>
      <c r="AN375" s="315"/>
    </row>
    <row r="376" spans="1:40" s="792" customFormat="1" ht="14.25" customHeight="1">
      <c r="A376" s="989" t="s">
        <v>493</v>
      </c>
      <c r="B376" s="791"/>
      <c r="C376" s="791"/>
      <c r="D376" s="791"/>
      <c r="E376" s="791"/>
      <c r="F376" s="790"/>
      <c r="G376" s="790"/>
      <c r="H376" s="790"/>
      <c r="I376" s="790"/>
      <c r="J376" s="790"/>
      <c r="K376" s="790"/>
      <c r="L376" s="790"/>
      <c r="M376" s="790"/>
      <c r="N376" s="790"/>
      <c r="O376" s="790"/>
      <c r="P376" s="790"/>
      <c r="Q376" s="790"/>
      <c r="R376" s="790"/>
      <c r="S376" s="790"/>
      <c r="T376" s="790"/>
      <c r="U376" s="790"/>
      <c r="V376" s="790"/>
      <c r="W376" s="790"/>
      <c r="X376" s="790"/>
      <c r="Y376" s="790"/>
      <c r="Z376" s="790"/>
      <c r="AA376" s="790"/>
      <c r="AB376" s="790"/>
      <c r="AC376" s="790"/>
      <c r="AD376" s="790"/>
      <c r="AE376" s="790"/>
      <c r="AF376" s="790"/>
      <c r="AG376" s="790"/>
      <c r="AH376" s="790"/>
      <c r="AI376" s="790"/>
      <c r="AJ376" s="790"/>
      <c r="AK376" s="790"/>
      <c r="AL376" s="790"/>
      <c r="AM376" s="791"/>
      <c r="AN376" s="791"/>
    </row>
    <row r="377" spans="1:40" ht="12.6">
      <c r="A377" s="990" t="s">
        <v>494</v>
      </c>
      <c r="B377" s="991" t="s">
        <v>121</v>
      </c>
      <c r="C377" s="991"/>
      <c r="D377" s="315"/>
      <c r="E377" s="991" t="s">
        <v>122</v>
      </c>
      <c r="F377" s="799" t="s">
        <v>108</v>
      </c>
      <c r="G377" s="799" t="s">
        <v>108</v>
      </c>
      <c r="H377" s="799" t="s">
        <v>108</v>
      </c>
      <c r="I377" s="799" t="s">
        <v>108</v>
      </c>
      <c r="J377" s="799" t="s">
        <v>108</v>
      </c>
      <c r="K377" s="799" t="s">
        <v>108</v>
      </c>
      <c r="L377" s="799" t="s">
        <v>108</v>
      </c>
      <c r="M377" s="799" t="s">
        <v>108</v>
      </c>
      <c r="N377" s="799" t="s">
        <v>108</v>
      </c>
      <c r="O377" s="799" t="s">
        <v>108</v>
      </c>
      <c r="P377" s="799" t="s">
        <v>108</v>
      </c>
      <c r="Q377" s="799" t="s">
        <v>108</v>
      </c>
      <c r="R377" s="799" t="s">
        <v>108</v>
      </c>
      <c r="S377" s="799" t="s">
        <v>108</v>
      </c>
      <c r="T377" s="799" t="s">
        <v>108</v>
      </c>
      <c r="U377" s="799" t="s">
        <v>108</v>
      </c>
      <c r="V377" s="799" t="s">
        <v>108</v>
      </c>
      <c r="W377" s="799" t="s">
        <v>108</v>
      </c>
      <c r="X377" s="799" t="s">
        <v>108</v>
      </c>
      <c r="Y377" s="799" t="s">
        <v>108</v>
      </c>
      <c r="Z377" s="799" t="s">
        <v>108</v>
      </c>
      <c r="AA377" s="799" t="s">
        <v>108</v>
      </c>
      <c r="AB377" s="799" t="s">
        <v>108</v>
      </c>
      <c r="AC377" s="799" t="s">
        <v>108</v>
      </c>
      <c r="AD377" s="799" t="s">
        <v>108</v>
      </c>
      <c r="AE377" s="799" t="s">
        <v>108</v>
      </c>
      <c r="AF377" s="799" t="s">
        <v>108</v>
      </c>
      <c r="AG377" s="799" t="s">
        <v>108</v>
      </c>
      <c r="AH377" s="799" t="s">
        <v>108</v>
      </c>
      <c r="AI377" s="799" t="s">
        <v>108</v>
      </c>
      <c r="AJ377" s="799" t="s">
        <v>108</v>
      </c>
      <c r="AK377" s="799" t="s">
        <v>108</v>
      </c>
      <c r="AL377" s="799" t="s">
        <v>108</v>
      </c>
      <c r="AM377" s="315"/>
      <c r="AN377" s="315"/>
    </row>
    <row r="378" spans="1:40" ht="12.6">
      <c r="A378" s="990" t="s">
        <v>495</v>
      </c>
      <c r="B378" s="991" t="s">
        <v>124</v>
      </c>
      <c r="C378" s="991"/>
      <c r="D378" s="315"/>
      <c r="E378" s="315" t="s">
        <v>125</v>
      </c>
      <c r="F378" s="799" t="s">
        <v>126</v>
      </c>
      <c r="G378" s="799" t="s">
        <v>126</v>
      </c>
      <c r="H378" s="799" t="s">
        <v>126</v>
      </c>
      <c r="I378" s="799" t="s">
        <v>126</v>
      </c>
      <c r="J378" s="799" t="s">
        <v>126</v>
      </c>
      <c r="K378" s="799" t="s">
        <v>126</v>
      </c>
      <c r="L378" s="799" t="s">
        <v>126</v>
      </c>
      <c r="M378" s="799" t="s">
        <v>126</v>
      </c>
      <c r="N378" s="799" t="s">
        <v>126</v>
      </c>
      <c r="O378" s="799" t="s">
        <v>126</v>
      </c>
      <c r="P378" s="799" t="s">
        <v>126</v>
      </c>
      <c r="Q378" s="799" t="s">
        <v>126</v>
      </c>
      <c r="R378" s="799" t="s">
        <v>126</v>
      </c>
      <c r="S378" s="799" t="s">
        <v>126</v>
      </c>
      <c r="T378" s="799" t="s">
        <v>126</v>
      </c>
      <c r="U378" s="799" t="s">
        <v>126</v>
      </c>
      <c r="V378" s="799" t="s">
        <v>126</v>
      </c>
      <c r="W378" s="799" t="s">
        <v>126</v>
      </c>
      <c r="X378" s="799" t="s">
        <v>126</v>
      </c>
      <c r="Y378" s="799" t="s">
        <v>126</v>
      </c>
      <c r="Z378" s="799" t="s">
        <v>126</v>
      </c>
      <c r="AA378" s="799" t="s">
        <v>126</v>
      </c>
      <c r="AB378" s="799" t="s">
        <v>126</v>
      </c>
      <c r="AC378" s="799" t="s">
        <v>126</v>
      </c>
      <c r="AD378" s="799" t="s">
        <v>126</v>
      </c>
      <c r="AE378" s="799" t="s">
        <v>126</v>
      </c>
      <c r="AF378" s="799" t="s">
        <v>126</v>
      </c>
      <c r="AG378" s="799" t="s">
        <v>126</v>
      </c>
      <c r="AH378" s="799" t="s">
        <v>126</v>
      </c>
      <c r="AI378" s="799" t="s">
        <v>126</v>
      </c>
      <c r="AJ378" s="799" t="s">
        <v>126</v>
      </c>
      <c r="AK378" s="799" t="s">
        <v>126</v>
      </c>
      <c r="AL378" s="799" t="s">
        <v>126</v>
      </c>
      <c r="AM378" s="315"/>
      <c r="AN378" s="315"/>
    </row>
    <row r="379" spans="1:40" ht="12.6">
      <c r="A379" s="990" t="s">
        <v>496</v>
      </c>
      <c r="B379" s="991" t="s">
        <v>128</v>
      </c>
      <c r="C379" s="991"/>
      <c r="D379" s="991" t="s">
        <v>129</v>
      </c>
      <c r="E379" s="991" t="s">
        <v>130</v>
      </c>
      <c r="F379" s="799" t="s">
        <v>108</v>
      </c>
      <c r="G379" s="799" t="s">
        <v>108</v>
      </c>
      <c r="H379" s="799" t="s">
        <v>108</v>
      </c>
      <c r="I379" s="799" t="s">
        <v>108</v>
      </c>
      <c r="J379" s="799" t="s">
        <v>108</v>
      </c>
      <c r="K379" s="799" t="s">
        <v>108</v>
      </c>
      <c r="L379" s="799" t="s">
        <v>108</v>
      </c>
      <c r="M379" s="799" t="s">
        <v>108</v>
      </c>
      <c r="N379" s="799" t="s">
        <v>108</v>
      </c>
      <c r="O379" s="799" t="s">
        <v>108</v>
      </c>
      <c r="P379" s="799" t="s">
        <v>108</v>
      </c>
      <c r="Q379" s="799" t="s">
        <v>108</v>
      </c>
      <c r="R379" s="799" t="s">
        <v>108</v>
      </c>
      <c r="S379" s="799" t="s">
        <v>108</v>
      </c>
      <c r="T379" s="799" t="s">
        <v>108</v>
      </c>
      <c r="U379" s="799" t="s">
        <v>108</v>
      </c>
      <c r="V379" s="799" t="s">
        <v>108</v>
      </c>
      <c r="W379" s="799" t="s">
        <v>108</v>
      </c>
      <c r="X379" s="799" t="s">
        <v>108</v>
      </c>
      <c r="Y379" s="799" t="s">
        <v>108</v>
      </c>
      <c r="Z379" s="799" t="s">
        <v>108</v>
      </c>
      <c r="AA379" s="799" t="s">
        <v>108</v>
      </c>
      <c r="AB379" s="799" t="s">
        <v>108</v>
      </c>
      <c r="AC379" s="799" t="s">
        <v>108</v>
      </c>
      <c r="AD379" s="799" t="s">
        <v>108</v>
      </c>
      <c r="AE379" s="799" t="s">
        <v>108</v>
      </c>
      <c r="AF379" s="799" t="s">
        <v>108</v>
      </c>
      <c r="AG379" s="799" t="s">
        <v>108</v>
      </c>
      <c r="AH379" s="799" t="s">
        <v>108</v>
      </c>
      <c r="AI379" s="799" t="s">
        <v>108</v>
      </c>
      <c r="AJ379" s="799" t="s">
        <v>108</v>
      </c>
      <c r="AK379" s="799" t="s">
        <v>108</v>
      </c>
      <c r="AL379" s="799" t="s">
        <v>108</v>
      </c>
      <c r="AM379" s="315"/>
      <c r="AN379" s="315"/>
    </row>
    <row r="380" spans="1:40" ht="12.6">
      <c r="A380" s="990" t="s">
        <v>497</v>
      </c>
      <c r="B380" s="991" t="s">
        <v>132</v>
      </c>
      <c r="C380" s="991"/>
      <c r="D380" s="991" t="s">
        <v>129</v>
      </c>
      <c r="E380" s="991" t="s">
        <v>130</v>
      </c>
      <c r="F380" s="794" t="s">
        <v>108</v>
      </c>
      <c r="G380" s="794" t="s">
        <v>108</v>
      </c>
      <c r="H380" s="794" t="s">
        <v>108</v>
      </c>
      <c r="I380" s="794" t="s">
        <v>108</v>
      </c>
      <c r="J380" s="794" t="s">
        <v>108</v>
      </c>
      <c r="K380" s="794" t="s">
        <v>108</v>
      </c>
      <c r="L380" s="794" t="s">
        <v>108</v>
      </c>
      <c r="M380" s="794" t="s">
        <v>108</v>
      </c>
      <c r="N380" s="794" t="s">
        <v>108</v>
      </c>
      <c r="O380" s="794" t="s">
        <v>108</v>
      </c>
      <c r="P380" s="794" t="s">
        <v>108</v>
      </c>
      <c r="Q380" s="794" t="s">
        <v>108</v>
      </c>
      <c r="R380" s="794" t="s">
        <v>108</v>
      </c>
      <c r="S380" s="794" t="s">
        <v>108</v>
      </c>
      <c r="T380" s="794" t="s">
        <v>108</v>
      </c>
      <c r="U380" s="794" t="s">
        <v>108</v>
      </c>
      <c r="V380" s="794" t="s">
        <v>108</v>
      </c>
      <c r="W380" s="794" t="s">
        <v>108</v>
      </c>
      <c r="X380" s="794" t="s">
        <v>108</v>
      </c>
      <c r="Y380" s="794" t="s">
        <v>108</v>
      </c>
      <c r="Z380" s="794" t="s">
        <v>108</v>
      </c>
      <c r="AA380" s="794" t="s">
        <v>108</v>
      </c>
      <c r="AB380" s="794" t="s">
        <v>108</v>
      </c>
      <c r="AC380" s="794" t="s">
        <v>108</v>
      </c>
      <c r="AD380" s="794" t="s">
        <v>108</v>
      </c>
      <c r="AE380" s="794" t="s">
        <v>108</v>
      </c>
      <c r="AF380" s="794" t="s">
        <v>108</v>
      </c>
      <c r="AG380" s="794" t="s">
        <v>108</v>
      </c>
      <c r="AH380" s="794" t="s">
        <v>108</v>
      </c>
      <c r="AI380" s="794" t="s">
        <v>108</v>
      </c>
      <c r="AJ380" s="794" t="s">
        <v>108</v>
      </c>
      <c r="AK380" s="794" t="s">
        <v>108</v>
      </c>
      <c r="AL380" s="794" t="s">
        <v>108</v>
      </c>
      <c r="AM380" s="315"/>
      <c r="AN380" s="315"/>
    </row>
    <row r="381" spans="1:40" ht="12.6">
      <c r="A381" s="990" t="s">
        <v>498</v>
      </c>
      <c r="B381" s="991" t="s">
        <v>134</v>
      </c>
      <c r="D381" s="315"/>
      <c r="E381" s="315"/>
      <c r="F381" s="801"/>
      <c r="G381" s="802"/>
      <c r="H381" s="802"/>
      <c r="I381" s="802"/>
      <c r="J381" s="802"/>
      <c r="K381" s="802"/>
      <c r="L381" s="802"/>
      <c r="M381" s="802"/>
      <c r="N381" s="802"/>
      <c r="O381" s="802"/>
      <c r="P381" s="802"/>
      <c r="Q381" s="802"/>
      <c r="R381" s="802"/>
      <c r="S381" s="802"/>
      <c r="T381" s="802"/>
      <c r="U381" s="802"/>
      <c r="V381" s="802"/>
      <c r="W381" s="802"/>
      <c r="X381" s="802"/>
      <c r="Y381" s="802"/>
      <c r="Z381" s="802"/>
      <c r="AA381" s="802"/>
      <c r="AB381" s="802"/>
      <c r="AC381" s="802"/>
      <c r="AD381" s="802"/>
      <c r="AE381" s="802"/>
      <c r="AF381" s="802"/>
      <c r="AG381" s="802"/>
      <c r="AH381" s="802"/>
      <c r="AI381" s="802"/>
      <c r="AJ381" s="802"/>
      <c r="AK381" s="802"/>
      <c r="AL381" s="802"/>
      <c r="AM381" s="315"/>
      <c r="AN381" s="315"/>
    </row>
    <row r="382" spans="1:40" s="792" customFormat="1" ht="14.25" customHeight="1">
      <c r="A382" s="989" t="s">
        <v>499</v>
      </c>
      <c r="B382" s="791"/>
      <c r="C382" s="791"/>
      <c r="D382" s="791"/>
      <c r="E382" s="791"/>
      <c r="F382" s="790"/>
      <c r="G382" s="790"/>
      <c r="H382" s="790"/>
      <c r="I382" s="790"/>
      <c r="J382" s="790"/>
      <c r="K382" s="790"/>
      <c r="L382" s="790"/>
      <c r="M382" s="790"/>
      <c r="N382" s="790"/>
      <c r="O382" s="790"/>
      <c r="P382" s="790"/>
      <c r="Q382" s="790"/>
      <c r="R382" s="790"/>
      <c r="S382" s="790"/>
      <c r="T382" s="790"/>
      <c r="U382" s="790"/>
      <c r="V382" s="790"/>
      <c r="W382" s="790"/>
      <c r="X382" s="790"/>
      <c r="Y382" s="790"/>
      <c r="Z382" s="790"/>
      <c r="AA382" s="790"/>
      <c r="AB382" s="790"/>
      <c r="AC382" s="790"/>
      <c r="AD382" s="790"/>
      <c r="AE382" s="790"/>
      <c r="AF382" s="790"/>
      <c r="AG382" s="790"/>
      <c r="AH382" s="790"/>
      <c r="AI382" s="790"/>
      <c r="AJ382" s="790"/>
      <c r="AK382" s="790"/>
      <c r="AL382" s="790"/>
      <c r="AM382" s="791"/>
      <c r="AN382" s="791"/>
    </row>
    <row r="383" spans="1:40" ht="12.6">
      <c r="A383" s="990" t="s">
        <v>500</v>
      </c>
      <c r="B383" s="991" t="s">
        <v>121</v>
      </c>
      <c r="C383" s="991"/>
      <c r="D383" s="315"/>
      <c r="E383" s="991" t="s">
        <v>122</v>
      </c>
      <c r="F383" s="300" t="s">
        <v>108</v>
      </c>
      <c r="G383" s="300" t="s">
        <v>108</v>
      </c>
      <c r="H383" s="300" t="s">
        <v>108</v>
      </c>
      <c r="I383" s="300" t="s">
        <v>108</v>
      </c>
      <c r="J383" s="300" t="s">
        <v>108</v>
      </c>
      <c r="K383" s="300" t="s">
        <v>108</v>
      </c>
      <c r="L383" s="300" t="s">
        <v>108</v>
      </c>
      <c r="M383" s="300" t="s">
        <v>108</v>
      </c>
      <c r="N383" s="300" t="s">
        <v>108</v>
      </c>
      <c r="O383" s="300" t="s">
        <v>108</v>
      </c>
      <c r="P383" s="300" t="s">
        <v>108</v>
      </c>
      <c r="Q383" s="300" t="s">
        <v>108</v>
      </c>
      <c r="R383" s="300" t="s">
        <v>108</v>
      </c>
      <c r="S383" s="300" t="s">
        <v>108</v>
      </c>
      <c r="T383" s="300" t="s">
        <v>108</v>
      </c>
      <c r="U383" s="300" t="s">
        <v>108</v>
      </c>
      <c r="V383" s="300" t="s">
        <v>108</v>
      </c>
      <c r="W383" s="300" t="s">
        <v>108</v>
      </c>
      <c r="X383" s="300" t="s">
        <v>108</v>
      </c>
      <c r="Y383" s="300" t="s">
        <v>108</v>
      </c>
      <c r="Z383" s="300" t="s">
        <v>108</v>
      </c>
      <c r="AA383" s="300" t="s">
        <v>108</v>
      </c>
      <c r="AB383" s="300" t="s">
        <v>108</v>
      </c>
      <c r="AC383" s="300" t="s">
        <v>108</v>
      </c>
      <c r="AD383" s="300" t="s">
        <v>108</v>
      </c>
      <c r="AE383" s="300" t="s">
        <v>108</v>
      </c>
      <c r="AF383" s="300" t="s">
        <v>108</v>
      </c>
      <c r="AG383" s="300" t="s">
        <v>108</v>
      </c>
      <c r="AH383" s="300" t="s">
        <v>108</v>
      </c>
      <c r="AI383" s="300" t="s">
        <v>108</v>
      </c>
      <c r="AJ383" s="300" t="s">
        <v>108</v>
      </c>
      <c r="AK383" s="300" t="s">
        <v>108</v>
      </c>
      <c r="AL383" s="300" t="s">
        <v>108</v>
      </c>
      <c r="AM383" s="315"/>
      <c r="AN383" s="315"/>
    </row>
    <row r="384" spans="1:40" ht="12.6">
      <c r="A384" s="990" t="s">
        <v>501</v>
      </c>
      <c r="B384" s="991" t="s">
        <v>124</v>
      </c>
      <c r="C384" s="991"/>
      <c r="D384" s="315"/>
      <c r="E384" s="315" t="s">
        <v>125</v>
      </c>
      <c r="F384" s="799" t="s">
        <v>126</v>
      </c>
      <c r="G384" s="799" t="s">
        <v>126</v>
      </c>
      <c r="H384" s="799" t="s">
        <v>126</v>
      </c>
      <c r="I384" s="799" t="s">
        <v>126</v>
      </c>
      <c r="J384" s="799" t="s">
        <v>126</v>
      </c>
      <c r="K384" s="799" t="s">
        <v>126</v>
      </c>
      <c r="L384" s="799" t="s">
        <v>126</v>
      </c>
      <c r="M384" s="799" t="s">
        <v>126</v>
      </c>
      <c r="N384" s="799" t="s">
        <v>126</v>
      </c>
      <c r="O384" s="799" t="s">
        <v>126</v>
      </c>
      <c r="P384" s="799" t="s">
        <v>126</v>
      </c>
      <c r="Q384" s="799" t="s">
        <v>126</v>
      </c>
      <c r="R384" s="799" t="s">
        <v>126</v>
      </c>
      <c r="S384" s="799" t="s">
        <v>126</v>
      </c>
      <c r="T384" s="799" t="s">
        <v>126</v>
      </c>
      <c r="U384" s="799" t="s">
        <v>126</v>
      </c>
      <c r="V384" s="799" t="s">
        <v>126</v>
      </c>
      <c r="W384" s="799" t="s">
        <v>126</v>
      </c>
      <c r="X384" s="799" t="s">
        <v>126</v>
      </c>
      <c r="Y384" s="799" t="s">
        <v>126</v>
      </c>
      <c r="Z384" s="799" t="s">
        <v>126</v>
      </c>
      <c r="AA384" s="799" t="s">
        <v>126</v>
      </c>
      <c r="AB384" s="799" t="s">
        <v>126</v>
      </c>
      <c r="AC384" s="799" t="s">
        <v>126</v>
      </c>
      <c r="AD384" s="799" t="s">
        <v>126</v>
      </c>
      <c r="AE384" s="799" t="s">
        <v>126</v>
      </c>
      <c r="AF384" s="799" t="s">
        <v>126</v>
      </c>
      <c r="AG384" s="799" t="s">
        <v>126</v>
      </c>
      <c r="AH384" s="799" t="s">
        <v>126</v>
      </c>
      <c r="AI384" s="799" t="s">
        <v>126</v>
      </c>
      <c r="AJ384" s="799" t="s">
        <v>126</v>
      </c>
      <c r="AK384" s="799" t="s">
        <v>126</v>
      </c>
      <c r="AL384" s="799" t="s">
        <v>126</v>
      </c>
      <c r="AM384" s="315"/>
      <c r="AN384" s="315"/>
    </row>
    <row r="385" spans="1:40" ht="12.6">
      <c r="A385" s="990" t="s">
        <v>502</v>
      </c>
      <c r="B385" s="991" t="s">
        <v>128</v>
      </c>
      <c r="C385" s="991"/>
      <c r="D385" s="991" t="s">
        <v>129</v>
      </c>
      <c r="E385" s="991" t="s">
        <v>130</v>
      </c>
      <c r="F385" s="300" t="s">
        <v>108</v>
      </c>
      <c r="G385" s="300" t="s">
        <v>108</v>
      </c>
      <c r="H385" s="300" t="s">
        <v>108</v>
      </c>
      <c r="I385" s="300" t="s">
        <v>108</v>
      </c>
      <c r="J385" s="300" t="s">
        <v>108</v>
      </c>
      <c r="K385" s="300" t="s">
        <v>108</v>
      </c>
      <c r="L385" s="300" t="s">
        <v>108</v>
      </c>
      <c r="M385" s="300" t="s">
        <v>108</v>
      </c>
      <c r="N385" s="300" t="s">
        <v>108</v>
      </c>
      <c r="O385" s="300" t="s">
        <v>108</v>
      </c>
      <c r="P385" s="300" t="s">
        <v>108</v>
      </c>
      <c r="Q385" s="300" t="s">
        <v>108</v>
      </c>
      <c r="R385" s="300" t="s">
        <v>108</v>
      </c>
      <c r="S385" s="300" t="s">
        <v>108</v>
      </c>
      <c r="T385" s="300" t="s">
        <v>108</v>
      </c>
      <c r="U385" s="300" t="s">
        <v>108</v>
      </c>
      <c r="V385" s="300" t="s">
        <v>108</v>
      </c>
      <c r="W385" s="300" t="s">
        <v>108</v>
      </c>
      <c r="X385" s="300" t="s">
        <v>108</v>
      </c>
      <c r="Y385" s="300" t="s">
        <v>108</v>
      </c>
      <c r="Z385" s="300" t="s">
        <v>108</v>
      </c>
      <c r="AA385" s="300" t="s">
        <v>108</v>
      </c>
      <c r="AB385" s="300" t="s">
        <v>108</v>
      </c>
      <c r="AC385" s="300" t="s">
        <v>108</v>
      </c>
      <c r="AD385" s="300" t="s">
        <v>108</v>
      </c>
      <c r="AE385" s="300" t="s">
        <v>108</v>
      </c>
      <c r="AF385" s="300" t="s">
        <v>108</v>
      </c>
      <c r="AG385" s="300" t="s">
        <v>108</v>
      </c>
      <c r="AH385" s="300" t="s">
        <v>108</v>
      </c>
      <c r="AI385" s="300" t="s">
        <v>108</v>
      </c>
      <c r="AJ385" s="300" t="s">
        <v>108</v>
      </c>
      <c r="AK385" s="300" t="s">
        <v>108</v>
      </c>
      <c r="AL385" s="300" t="s">
        <v>108</v>
      </c>
      <c r="AM385" s="315"/>
      <c r="AN385" s="315"/>
    </row>
    <row r="386" spans="1:40" ht="12.6">
      <c r="A386" s="990" t="s">
        <v>503</v>
      </c>
      <c r="B386" s="991" t="s">
        <v>132</v>
      </c>
      <c r="C386" s="991"/>
      <c r="D386" s="991" t="s">
        <v>129</v>
      </c>
      <c r="E386" s="991" t="s">
        <v>130</v>
      </c>
      <c r="F386" s="794" t="s">
        <v>108</v>
      </c>
      <c r="G386" s="794" t="s">
        <v>108</v>
      </c>
      <c r="H386" s="794" t="s">
        <v>108</v>
      </c>
      <c r="I386" s="794" t="s">
        <v>108</v>
      </c>
      <c r="J386" s="794" t="s">
        <v>108</v>
      </c>
      <c r="K386" s="794" t="s">
        <v>108</v>
      </c>
      <c r="L386" s="794" t="s">
        <v>108</v>
      </c>
      <c r="M386" s="794" t="s">
        <v>108</v>
      </c>
      <c r="N386" s="794" t="s">
        <v>108</v>
      </c>
      <c r="O386" s="794" t="s">
        <v>108</v>
      </c>
      <c r="P386" s="794" t="s">
        <v>108</v>
      </c>
      <c r="Q386" s="794" t="s">
        <v>108</v>
      </c>
      <c r="R386" s="794" t="s">
        <v>108</v>
      </c>
      <c r="S386" s="794" t="s">
        <v>108</v>
      </c>
      <c r="T386" s="794" t="s">
        <v>108</v>
      </c>
      <c r="U386" s="794" t="s">
        <v>108</v>
      </c>
      <c r="V386" s="794" t="s">
        <v>108</v>
      </c>
      <c r="W386" s="794" t="s">
        <v>108</v>
      </c>
      <c r="X386" s="794" t="s">
        <v>108</v>
      </c>
      <c r="Y386" s="794" t="s">
        <v>108</v>
      </c>
      <c r="Z386" s="794" t="s">
        <v>108</v>
      </c>
      <c r="AA386" s="794" t="s">
        <v>108</v>
      </c>
      <c r="AB386" s="794" t="s">
        <v>108</v>
      </c>
      <c r="AC386" s="794" t="s">
        <v>108</v>
      </c>
      <c r="AD386" s="794" t="s">
        <v>108</v>
      </c>
      <c r="AE386" s="794" t="s">
        <v>108</v>
      </c>
      <c r="AF386" s="794" t="s">
        <v>108</v>
      </c>
      <c r="AG386" s="794" t="s">
        <v>108</v>
      </c>
      <c r="AH386" s="794" t="s">
        <v>108</v>
      </c>
      <c r="AI386" s="794" t="s">
        <v>108</v>
      </c>
      <c r="AJ386" s="794" t="s">
        <v>108</v>
      </c>
      <c r="AK386" s="794" t="s">
        <v>108</v>
      </c>
      <c r="AL386" s="794" t="s">
        <v>108</v>
      </c>
      <c r="AM386" s="315"/>
      <c r="AN386" s="315"/>
    </row>
    <row r="387" spans="1:40" ht="12.6">
      <c r="A387" s="990" t="s">
        <v>504</v>
      </c>
      <c r="B387" s="991" t="s">
        <v>134</v>
      </c>
      <c r="D387" s="315"/>
      <c r="E387" s="315"/>
      <c r="F387" s="801"/>
      <c r="G387" s="802"/>
      <c r="H387" s="802"/>
      <c r="I387" s="802"/>
      <c r="J387" s="802"/>
      <c r="K387" s="802"/>
      <c r="L387" s="802"/>
      <c r="M387" s="802"/>
      <c r="N387" s="802"/>
      <c r="O387" s="802"/>
      <c r="P387" s="802"/>
      <c r="Q387" s="802"/>
      <c r="R387" s="802"/>
      <c r="S387" s="802"/>
      <c r="T387" s="802"/>
      <c r="U387" s="802"/>
      <c r="V387" s="802"/>
      <c r="W387" s="802"/>
      <c r="X387" s="802"/>
      <c r="Y387" s="802"/>
      <c r="Z387" s="802"/>
      <c r="AA387" s="802"/>
      <c r="AB387" s="802"/>
      <c r="AC387" s="802"/>
      <c r="AD387" s="802"/>
      <c r="AE387" s="802"/>
      <c r="AF387" s="802"/>
      <c r="AG387" s="802"/>
      <c r="AH387" s="802"/>
      <c r="AI387" s="802"/>
      <c r="AJ387" s="802"/>
      <c r="AK387" s="802"/>
      <c r="AL387" s="802"/>
      <c r="AM387" s="315"/>
      <c r="AN387" s="315"/>
    </row>
    <row r="388" spans="1:40" s="797" customFormat="1" ht="12.95">
      <c r="A388" s="796" t="s">
        <v>505</v>
      </c>
      <c r="B388" s="796"/>
      <c r="C388" s="796"/>
      <c r="D388" s="796"/>
      <c r="E388" s="796"/>
      <c r="F388" s="795"/>
      <c r="G388" s="795"/>
      <c r="H388" s="795"/>
      <c r="I388" s="795"/>
      <c r="J388" s="795"/>
      <c r="K388" s="795"/>
      <c r="L388" s="795"/>
      <c r="M388" s="795"/>
      <c r="N388" s="795"/>
      <c r="O388" s="795"/>
      <c r="P388" s="795"/>
      <c r="Q388" s="795"/>
      <c r="R388" s="795"/>
      <c r="S388" s="795"/>
      <c r="T388" s="795"/>
      <c r="U388" s="795"/>
      <c r="V388" s="795"/>
      <c r="W388" s="795"/>
      <c r="X388" s="795"/>
      <c r="Y388" s="795"/>
      <c r="Z388" s="795"/>
      <c r="AA388" s="795"/>
      <c r="AB388" s="795"/>
      <c r="AC388" s="795"/>
      <c r="AD388" s="795"/>
      <c r="AE388" s="795"/>
      <c r="AF388" s="795"/>
      <c r="AG388" s="795"/>
      <c r="AH388" s="795"/>
      <c r="AI388" s="795"/>
      <c r="AJ388" s="795"/>
      <c r="AK388" s="795"/>
      <c r="AL388" s="795"/>
      <c r="AM388" s="796"/>
      <c r="AN388" s="796"/>
    </row>
    <row r="389" spans="1:40" s="792" customFormat="1" ht="14.25" customHeight="1">
      <c r="A389" s="989" t="s">
        <v>506</v>
      </c>
      <c r="B389" s="791"/>
      <c r="C389" s="791"/>
      <c r="D389" s="791"/>
      <c r="E389" s="791"/>
      <c r="F389" s="790"/>
      <c r="G389" s="790"/>
      <c r="H389" s="790"/>
      <c r="I389" s="790"/>
      <c r="J389" s="790"/>
      <c r="K389" s="790"/>
      <c r="L389" s="790"/>
      <c r="M389" s="790"/>
      <c r="N389" s="790"/>
      <c r="O389" s="790"/>
      <c r="P389" s="790"/>
      <c r="Q389" s="790"/>
      <c r="R389" s="790"/>
      <c r="S389" s="790"/>
      <c r="T389" s="790"/>
      <c r="U389" s="790"/>
      <c r="V389" s="790"/>
      <c r="W389" s="790"/>
      <c r="X389" s="790"/>
      <c r="Y389" s="790"/>
      <c r="Z389" s="790"/>
      <c r="AA389" s="790"/>
      <c r="AB389" s="790"/>
      <c r="AC389" s="790"/>
      <c r="AD389" s="790"/>
      <c r="AE389" s="790"/>
      <c r="AF389" s="790"/>
      <c r="AG389" s="790"/>
      <c r="AH389" s="790"/>
      <c r="AI389" s="790"/>
      <c r="AJ389" s="790"/>
      <c r="AK389" s="790"/>
      <c r="AL389" s="790"/>
      <c r="AM389" s="791"/>
      <c r="AN389" s="791"/>
    </row>
    <row r="390" spans="1:40" ht="12.6">
      <c r="A390" s="990" t="s">
        <v>507</v>
      </c>
      <c r="B390" s="991" t="s">
        <v>121</v>
      </c>
      <c r="C390" s="991"/>
      <c r="D390" s="315"/>
      <c r="E390" s="991" t="s">
        <v>122</v>
      </c>
      <c r="F390" s="294">
        <f>'[5]Minerals Manufacturing'!C16</f>
        <v>5241.0312208005935</v>
      </c>
      <c r="G390" s="294">
        <f>'[5]Minerals Manufacturing'!D16</f>
        <v>5158.830106869219</v>
      </c>
      <c r="H390" s="294">
        <f>'[5]Minerals Manufacturing'!E16</f>
        <v>5076.6289929378445</v>
      </c>
      <c r="I390" s="294">
        <f>'[5]Minerals Manufacturing'!F16</f>
        <v>4994.42787900647</v>
      </c>
      <c r="J390" s="294">
        <f>'[5]Minerals Manufacturing'!G16</f>
        <v>4912.2267650750946</v>
      </c>
      <c r="K390" s="294">
        <f>'[5]Minerals Manufacturing'!H16</f>
        <v>4612.4753348505974</v>
      </c>
      <c r="L390" s="294">
        <f>'[5]Minerals Manufacturing'!I16</f>
        <v>4312.7239046260993</v>
      </c>
      <c r="M390" s="294">
        <f>'[5]Minerals Manufacturing'!J16</f>
        <v>4012.9724744016021</v>
      </c>
      <c r="N390" s="294">
        <f>'[5]Minerals Manufacturing'!K16</f>
        <v>3713.2210441771049</v>
      </c>
      <c r="O390" s="294">
        <f>'[5]Minerals Manufacturing'!L16</f>
        <v>4030.4835004221541</v>
      </c>
      <c r="P390" s="294">
        <f>'[5]Minerals Manufacturing'!M16</f>
        <v>4347.7459566672032</v>
      </c>
      <c r="Q390" s="294">
        <f>'[5]Minerals Manufacturing'!N16</f>
        <v>4665.0084129122524</v>
      </c>
      <c r="R390" s="294">
        <f>'[5]Minerals Manufacturing'!O16</f>
        <v>4982.2708691573016</v>
      </c>
      <c r="S390" s="294">
        <f>'[5]Minerals Manufacturing'!P16</f>
        <v>4960.7525481768316</v>
      </c>
      <c r="T390" s="294">
        <f>'[5]Minerals Manufacturing'!Q16</f>
        <v>4939.2342271963616</v>
      </c>
      <c r="U390" s="294">
        <f>'[5]Minerals Manufacturing'!R16</f>
        <v>4917.7159062158898</v>
      </c>
      <c r="V390" s="294">
        <f>'[5]Minerals Manufacturing'!S16</f>
        <v>4896.1975852354199</v>
      </c>
      <c r="W390" s="294">
        <f>'[5]Minerals Manufacturing'!T16</f>
        <v>5375.6348846203909</v>
      </c>
      <c r="X390" s="294">
        <f>'[5]Minerals Manufacturing'!U16</f>
        <v>5855.072184005362</v>
      </c>
      <c r="Y390" s="294">
        <f>'[5]Minerals Manufacturing'!V16</f>
        <v>6334.5094833903322</v>
      </c>
      <c r="Z390" s="294">
        <f>'[5]Minerals Manufacturing'!W16</f>
        <v>6813.9467827753024</v>
      </c>
      <c r="AA390" s="294">
        <f>'[5]Minerals Manufacturing'!X16</f>
        <v>1535.6770188493363</v>
      </c>
      <c r="AB390" s="294">
        <f>'[5]Minerals Manufacturing'!Y16</f>
        <v>1141.8975577748845</v>
      </c>
      <c r="AC390" s="294">
        <f>'[5]Minerals Manufacturing'!Z16</f>
        <v>2364.2404028810583</v>
      </c>
      <c r="AD390" s="294">
        <f>'[5]Minerals Manufacturing'!AA16</f>
        <v>723.24898409588366</v>
      </c>
      <c r="AE390" s="294">
        <f>'[5]Minerals Manufacturing'!AB16</f>
        <v>855.33205031369789</v>
      </c>
      <c r="AF390" s="294">
        <f>'[5]Minerals Manufacturing'!AC16</f>
        <v>492.79319273829771</v>
      </c>
      <c r="AG390" s="294">
        <f>'[5]Minerals Manufacturing'!AD16</f>
        <v>802.32025061197987</v>
      </c>
      <c r="AH390" s="294">
        <f>'[5]Minerals Manufacturing'!AE16</f>
        <v>749.4188285914048</v>
      </c>
      <c r="AI390" s="294">
        <f>'[5]Minerals Manufacturing'!AF16</f>
        <v>2414.0299616387442</v>
      </c>
      <c r="AJ390" s="294">
        <f>'[5]Minerals Manufacturing'!AG16</f>
        <v>1164.6089816467572</v>
      </c>
      <c r="AK390" s="294">
        <f>'[5]Minerals Manufacturing'!AH16</f>
        <v>1561.9054167704019</v>
      </c>
      <c r="AL390" s="1068">
        <f>AK390</f>
        <v>1561.9054167704019</v>
      </c>
      <c r="AM390" s="315"/>
      <c r="AN390" s="315"/>
    </row>
    <row r="391" spans="1:40" ht="12.6">
      <c r="A391" s="990" t="s">
        <v>508</v>
      </c>
      <c r="B391" s="991" t="s">
        <v>124</v>
      </c>
      <c r="C391" s="991"/>
      <c r="D391" s="315"/>
      <c r="E391" s="315" t="s">
        <v>125</v>
      </c>
      <c r="F391" s="300" t="s">
        <v>126</v>
      </c>
      <c r="G391" s="300" t="s">
        <v>126</v>
      </c>
      <c r="H391" s="300" t="s">
        <v>126</v>
      </c>
      <c r="I391" s="300" t="s">
        <v>126</v>
      </c>
      <c r="J391" s="300" t="s">
        <v>126</v>
      </c>
      <c r="K391" s="300" t="s">
        <v>126</v>
      </c>
      <c r="L391" s="300" t="s">
        <v>126</v>
      </c>
      <c r="M391" s="300" t="s">
        <v>126</v>
      </c>
      <c r="N391" s="300" t="s">
        <v>126</v>
      </c>
      <c r="O391" s="300" t="s">
        <v>126</v>
      </c>
      <c r="P391" s="300" t="s">
        <v>126</v>
      </c>
      <c r="Q391" s="300" t="s">
        <v>126</v>
      </c>
      <c r="R391" s="300" t="s">
        <v>126</v>
      </c>
      <c r="S391" s="300" t="s">
        <v>126</v>
      </c>
      <c r="T391" s="300" t="s">
        <v>126</v>
      </c>
      <c r="U391" s="300" t="s">
        <v>126</v>
      </c>
      <c r="V391" s="300" t="s">
        <v>126</v>
      </c>
      <c r="W391" s="300" t="s">
        <v>126</v>
      </c>
      <c r="X391" s="300" t="s">
        <v>126</v>
      </c>
      <c r="Y391" s="300" t="s">
        <v>126</v>
      </c>
      <c r="Z391" s="300" t="s">
        <v>126</v>
      </c>
      <c r="AA391" s="300" t="s">
        <v>126</v>
      </c>
      <c r="AB391" s="300" t="s">
        <v>126</v>
      </c>
      <c r="AC391" s="300" t="s">
        <v>126</v>
      </c>
      <c r="AD391" s="300" t="s">
        <v>126</v>
      </c>
      <c r="AE391" s="300" t="s">
        <v>126</v>
      </c>
      <c r="AF391" s="300" t="s">
        <v>126</v>
      </c>
      <c r="AG391" s="300" t="s">
        <v>126</v>
      </c>
      <c r="AH391" s="300" t="s">
        <v>126</v>
      </c>
      <c r="AI391" s="300" t="s">
        <v>126</v>
      </c>
      <c r="AJ391" s="300" t="s">
        <v>126</v>
      </c>
      <c r="AK391" s="300" t="s">
        <v>126</v>
      </c>
      <c r="AL391" s="300" t="s">
        <v>126</v>
      </c>
      <c r="AM391" s="315"/>
      <c r="AN391" s="315"/>
    </row>
    <row r="392" spans="1:40" ht="12.6">
      <c r="A392" s="990" t="s">
        <v>509</v>
      </c>
      <c r="B392" s="991" t="s">
        <v>128</v>
      </c>
      <c r="C392" s="991"/>
      <c r="D392" s="991" t="s">
        <v>129</v>
      </c>
      <c r="E392" s="991" t="s">
        <v>130</v>
      </c>
      <c r="F392" s="294">
        <f>'[5]Minerals Manufacturing'!C21</f>
        <v>394.34620757670149</v>
      </c>
      <c r="G392" s="294">
        <f>'[5]Minerals Manufacturing'!D21</f>
        <v>382.18029763637185</v>
      </c>
      <c r="H392" s="294">
        <f>'[5]Minerals Manufacturing'!E21</f>
        <v>380.66803598289738</v>
      </c>
      <c r="I392" s="294">
        <f>'[5]Minerals Manufacturing'!F21</f>
        <v>370.94508529339453</v>
      </c>
      <c r="J392" s="294">
        <f>'[5]Minerals Manufacturing'!G21</f>
        <v>365.78565222610871</v>
      </c>
      <c r="K392" s="294">
        <f>'[5]Minerals Manufacturing'!H21</f>
        <v>337.42416439651765</v>
      </c>
      <c r="L392" s="294">
        <f>'[5]Minerals Manufacturing'!I21</f>
        <v>323.38089950806034</v>
      </c>
      <c r="M392" s="294">
        <f>'[5]Minerals Manufacturing'!J21</f>
        <v>302.01875552787652</v>
      </c>
      <c r="N392" s="294">
        <f>'[5]Minerals Manufacturing'!K21</f>
        <v>283.99969665930951</v>
      </c>
      <c r="O392" s="294">
        <f>'[5]Minerals Manufacturing'!L21</f>
        <v>311.78000387207078</v>
      </c>
      <c r="P392" s="294">
        <f>'[5]Minerals Manufacturing'!M21</f>
        <v>330.69409643057446</v>
      </c>
      <c r="Q392" s="294">
        <f>'[5]Minerals Manufacturing'!N21</f>
        <v>349.09876311726845</v>
      </c>
      <c r="R392" s="294">
        <f>'[5]Minerals Manufacturing'!O21</f>
        <v>371.84943904088436</v>
      </c>
      <c r="S392" s="294">
        <f>'[5]Minerals Manufacturing'!P21</f>
        <v>380.74128427379162</v>
      </c>
      <c r="T392" s="294">
        <f>'[5]Minerals Manufacturing'!Q21</f>
        <v>376.3456022132882</v>
      </c>
      <c r="U392" s="294">
        <f>'[5]Minerals Manufacturing'!R21</f>
        <v>366.66771673680097</v>
      </c>
      <c r="V392" s="294">
        <f>'[5]Minerals Manufacturing'!S21</f>
        <v>369.45196301291185</v>
      </c>
      <c r="W392" s="294">
        <f>'[5]Minerals Manufacturing'!T21</f>
        <v>404.7923812992608</v>
      </c>
      <c r="X392" s="294">
        <f>'[5]Minerals Manufacturing'!U21</f>
        <v>437.45379259144858</v>
      </c>
      <c r="Y392" s="294">
        <f>'[5]Minerals Manufacturing'!V21</f>
        <v>461.20476750610618</v>
      </c>
      <c r="Z392" s="294">
        <f>'[5]Minerals Manufacturing'!W21</f>
        <v>495.49282254234663</v>
      </c>
      <c r="AA392" s="294">
        <f>'[5]Minerals Manufacturing'!X21</f>
        <v>111.42190296089116</v>
      </c>
      <c r="AB392" s="294">
        <f>'[5]Minerals Manufacturing'!Y21</f>
        <v>82.786066583696865</v>
      </c>
      <c r="AC392" s="294">
        <f>'[5]Minerals Manufacturing'!Z21</f>
        <v>172.13169982485897</v>
      </c>
      <c r="AD392" s="294">
        <f>'[5]Minerals Manufacturing'!AA21</f>
        <v>53.386021342956909</v>
      </c>
      <c r="AE392" s="294">
        <f>'[5]Minerals Manufacturing'!AB21</f>
        <v>62.247889241275253</v>
      </c>
      <c r="AF392" s="294">
        <f>'[5]Minerals Manufacturing'!AC21</f>
        <v>37.542753001146849</v>
      </c>
      <c r="AG392" s="294">
        <f>'[5]Minerals Manufacturing'!AD21</f>
        <v>60.400453792841382</v>
      </c>
      <c r="AH392" s="294">
        <f>'[5]Minerals Manufacturing'!AE21</f>
        <v>57.349937429794231</v>
      </c>
      <c r="AI392" s="294">
        <f>'[5]Minerals Manufacturing'!AF21</f>
        <v>178.84058521850284</v>
      </c>
      <c r="AJ392" s="294">
        <f>'[5]Minerals Manufacturing'!AG21</f>
        <v>80.996502840606425</v>
      </c>
      <c r="AK392" s="294">
        <f>'[5]Minerals Manufacturing'!AH21</f>
        <v>112.00606087125232</v>
      </c>
      <c r="AL392" s="1068">
        <f>AK392</f>
        <v>112.00606087125232</v>
      </c>
      <c r="AM392" s="315"/>
      <c r="AN392" s="315"/>
    </row>
    <row r="393" spans="1:40" ht="12.6">
      <c r="A393" s="990" t="s">
        <v>510</v>
      </c>
      <c r="B393" s="991" t="s">
        <v>132</v>
      </c>
      <c r="C393" s="991"/>
      <c r="D393" s="991" t="s">
        <v>129</v>
      </c>
      <c r="E393" s="991" t="s">
        <v>130</v>
      </c>
      <c r="F393" s="799" t="s">
        <v>106</v>
      </c>
      <c r="G393" s="799" t="s">
        <v>106</v>
      </c>
      <c r="H393" s="799" t="s">
        <v>106</v>
      </c>
      <c r="I393" s="799" t="s">
        <v>106</v>
      </c>
      <c r="J393" s="799" t="s">
        <v>106</v>
      </c>
      <c r="K393" s="799" t="s">
        <v>106</v>
      </c>
      <c r="L393" s="799" t="s">
        <v>106</v>
      </c>
      <c r="M393" s="799" t="s">
        <v>106</v>
      </c>
      <c r="N393" s="799" t="s">
        <v>106</v>
      </c>
      <c r="O393" s="799" t="s">
        <v>106</v>
      </c>
      <c r="P393" s="799" t="s">
        <v>106</v>
      </c>
      <c r="Q393" s="799" t="s">
        <v>106</v>
      </c>
      <c r="R393" s="799" t="s">
        <v>106</v>
      </c>
      <c r="S393" s="799" t="s">
        <v>106</v>
      </c>
      <c r="T393" s="799" t="s">
        <v>106</v>
      </c>
      <c r="U393" s="799" t="s">
        <v>106</v>
      </c>
      <c r="V393" s="799" t="s">
        <v>106</v>
      </c>
      <c r="W393" s="799" t="s">
        <v>106</v>
      </c>
      <c r="X393" s="799" t="s">
        <v>106</v>
      </c>
      <c r="Y393" s="799" t="s">
        <v>106</v>
      </c>
      <c r="Z393" s="799" t="s">
        <v>106</v>
      </c>
      <c r="AA393" s="799" t="s">
        <v>106</v>
      </c>
      <c r="AB393" s="799" t="s">
        <v>106</v>
      </c>
      <c r="AC393" s="799" t="s">
        <v>106</v>
      </c>
      <c r="AD393" s="799" t="s">
        <v>106</v>
      </c>
      <c r="AE393" s="799" t="s">
        <v>106</v>
      </c>
      <c r="AF393" s="799" t="s">
        <v>106</v>
      </c>
      <c r="AG393" s="799" t="s">
        <v>106</v>
      </c>
      <c r="AH393" s="799" t="s">
        <v>106</v>
      </c>
      <c r="AI393" s="799" t="s">
        <v>106</v>
      </c>
      <c r="AJ393" s="799" t="s">
        <v>106</v>
      </c>
      <c r="AK393" s="799" t="s">
        <v>106</v>
      </c>
      <c r="AL393" s="799" t="s">
        <v>106</v>
      </c>
      <c r="AM393" s="315"/>
      <c r="AN393" s="315"/>
    </row>
    <row r="394" spans="1:40" ht="12.6">
      <c r="A394" s="990" t="s">
        <v>511</v>
      </c>
      <c r="B394" s="991" t="s">
        <v>134</v>
      </c>
      <c r="D394" s="315"/>
      <c r="E394" s="315"/>
      <c r="F394" s="800" t="s">
        <v>230</v>
      </c>
      <c r="G394" s="800" t="s">
        <v>230</v>
      </c>
      <c r="H394" s="800" t="s">
        <v>230</v>
      </c>
      <c r="I394" s="800" t="s">
        <v>230</v>
      </c>
      <c r="J394" s="800" t="s">
        <v>230</v>
      </c>
      <c r="K394" s="800" t="s">
        <v>230</v>
      </c>
      <c r="L394" s="800" t="s">
        <v>230</v>
      </c>
      <c r="M394" s="800" t="s">
        <v>230</v>
      </c>
      <c r="N394" s="800" t="s">
        <v>230</v>
      </c>
      <c r="O394" s="800" t="s">
        <v>230</v>
      </c>
      <c r="P394" s="800" t="s">
        <v>230</v>
      </c>
      <c r="Q394" s="800" t="s">
        <v>230</v>
      </c>
      <c r="R394" s="800" t="s">
        <v>230</v>
      </c>
      <c r="S394" s="800" t="s">
        <v>230</v>
      </c>
      <c r="T394" s="800" t="s">
        <v>230</v>
      </c>
      <c r="U394" s="800" t="s">
        <v>230</v>
      </c>
      <c r="V394" s="800" t="s">
        <v>230</v>
      </c>
      <c r="W394" s="800" t="s">
        <v>230</v>
      </c>
      <c r="X394" s="800" t="s">
        <v>230</v>
      </c>
      <c r="Y394" s="800" t="s">
        <v>230</v>
      </c>
      <c r="Z394" s="800" t="s">
        <v>230</v>
      </c>
      <c r="AA394" s="800" t="s">
        <v>230</v>
      </c>
      <c r="AB394" s="800" t="s">
        <v>230</v>
      </c>
      <c r="AC394" s="800" t="s">
        <v>230</v>
      </c>
      <c r="AD394" s="800" t="s">
        <v>230</v>
      </c>
      <c r="AE394" s="800" t="s">
        <v>230</v>
      </c>
      <c r="AF394" s="800" t="s">
        <v>230</v>
      </c>
      <c r="AG394" s="800" t="s">
        <v>230</v>
      </c>
      <c r="AH394" s="800" t="s">
        <v>230</v>
      </c>
      <c r="AI394" s="800" t="s">
        <v>230</v>
      </c>
      <c r="AJ394" s="800" t="s">
        <v>230</v>
      </c>
      <c r="AK394" s="800" t="s">
        <v>230</v>
      </c>
      <c r="AL394" s="800" t="s">
        <v>230</v>
      </c>
      <c r="AM394" s="315"/>
      <c r="AN394" s="315"/>
    </row>
    <row r="395" spans="1:40" s="792" customFormat="1" ht="14.25" customHeight="1">
      <c r="A395" s="989" t="s">
        <v>512</v>
      </c>
      <c r="B395" s="791"/>
      <c r="C395" s="791"/>
      <c r="D395" s="791"/>
      <c r="E395" s="791"/>
      <c r="F395" s="790"/>
      <c r="G395" s="790"/>
      <c r="H395" s="790"/>
      <c r="I395" s="790"/>
      <c r="J395" s="790"/>
      <c r="K395" s="790"/>
      <c r="L395" s="790"/>
      <c r="M395" s="790"/>
      <c r="N395" s="790"/>
      <c r="O395" s="790"/>
      <c r="P395" s="790"/>
      <c r="Q395" s="790"/>
      <c r="R395" s="790"/>
      <c r="S395" s="790"/>
      <c r="T395" s="790"/>
      <c r="U395" s="790"/>
      <c r="V395" s="790"/>
      <c r="W395" s="790"/>
      <c r="X395" s="790"/>
      <c r="Y395" s="790"/>
      <c r="Z395" s="790"/>
      <c r="AA395" s="790"/>
      <c r="AB395" s="790"/>
      <c r="AC395" s="790"/>
      <c r="AD395" s="790"/>
      <c r="AE395" s="790"/>
      <c r="AF395" s="790"/>
      <c r="AG395" s="790"/>
      <c r="AH395" s="790"/>
      <c r="AI395" s="790"/>
      <c r="AJ395" s="790"/>
      <c r="AK395" s="790"/>
      <c r="AL395" s="790"/>
      <c r="AM395" s="791"/>
      <c r="AN395" s="791"/>
    </row>
    <row r="396" spans="1:40" ht="12.6">
      <c r="A396" s="990" t="s">
        <v>513</v>
      </c>
      <c r="B396" s="991" t="s">
        <v>121</v>
      </c>
      <c r="C396" s="991"/>
      <c r="D396" s="315"/>
      <c r="E396" s="991" t="s">
        <v>122</v>
      </c>
      <c r="F396" s="294">
        <f>'[5]Minerals Manufacturing'!C17</f>
        <v>197882.17863210704</v>
      </c>
      <c r="G396" s="294">
        <f>'[5]Minerals Manufacturing'!D17</f>
        <v>194244.22329418419</v>
      </c>
      <c r="H396" s="294">
        <f>'[5]Minerals Manufacturing'!E17</f>
        <v>190606.26795626132</v>
      </c>
      <c r="I396" s="294">
        <f>'[5]Minerals Manufacturing'!F17</f>
        <v>186968.31261833844</v>
      </c>
      <c r="J396" s="294">
        <f>'[5]Minerals Manufacturing'!G17</f>
        <v>183330.35728041554</v>
      </c>
      <c r="K396" s="294">
        <f>'[5]Minerals Manufacturing'!H17</f>
        <v>185245.31893121894</v>
      </c>
      <c r="L396" s="294">
        <f>'[5]Minerals Manufacturing'!I17</f>
        <v>187160.28058202227</v>
      </c>
      <c r="M396" s="294">
        <f>'[5]Minerals Manufacturing'!J17</f>
        <v>189075.24223282567</v>
      </c>
      <c r="N396" s="294">
        <f>'[5]Minerals Manufacturing'!K17</f>
        <v>190990.20388362906</v>
      </c>
      <c r="O396" s="294">
        <f>'[5]Minerals Manufacturing'!L17</f>
        <v>200113.30279180373</v>
      </c>
      <c r="P396" s="294">
        <f>'[5]Minerals Manufacturing'!M17</f>
        <v>209236.40169997833</v>
      </c>
      <c r="Q396" s="294">
        <f>'[5]Minerals Manufacturing'!N17</f>
        <v>218359.500608153</v>
      </c>
      <c r="R396" s="294">
        <f>'[5]Minerals Manufacturing'!O17</f>
        <v>227482.59951632758</v>
      </c>
      <c r="S396" s="294">
        <f>'[5]Minerals Manufacturing'!P17</f>
        <v>228679.09669912703</v>
      </c>
      <c r="T396" s="294">
        <f>'[5]Minerals Manufacturing'!Q17</f>
        <v>229875.59388192653</v>
      </c>
      <c r="U396" s="294">
        <f>'[5]Minerals Manufacturing'!R17</f>
        <v>231072.091064726</v>
      </c>
      <c r="V396" s="294">
        <f>'[5]Minerals Manufacturing'!S17</f>
        <v>232268.58824752545</v>
      </c>
      <c r="W396" s="294">
        <f>'[5]Minerals Manufacturing'!T17</f>
        <v>230865.14338563313</v>
      </c>
      <c r="X396" s="294">
        <f>'[5]Minerals Manufacturing'!U17</f>
        <v>229461.69852374081</v>
      </c>
      <c r="Y396" s="294">
        <f>'[5]Minerals Manufacturing'!V17</f>
        <v>228058.25366184855</v>
      </c>
      <c r="Z396" s="294">
        <f>'[5]Minerals Manufacturing'!W17</f>
        <v>226654.80879995628</v>
      </c>
      <c r="AA396" s="294">
        <f>'[5]Minerals Manufacturing'!X17</f>
        <v>137713.05445949556</v>
      </c>
      <c r="AB396" s="294">
        <f>'[5]Minerals Manufacturing'!Y17</f>
        <v>133309.45699730865</v>
      </c>
      <c r="AC396" s="294">
        <f>'[5]Minerals Manufacturing'!Z17</f>
        <v>130635.62155120679</v>
      </c>
      <c r="AD396" s="294">
        <f>'[5]Minerals Manufacturing'!AA17</f>
        <v>134272.65215292037</v>
      </c>
      <c r="AE396" s="294">
        <f>'[5]Minerals Manufacturing'!AB17</f>
        <v>126382.56393798848</v>
      </c>
      <c r="AF396" s="294">
        <f>'[5]Minerals Manufacturing'!AC17</f>
        <v>111700.44424803874</v>
      </c>
      <c r="AG396" s="294">
        <f>'[5]Minerals Manufacturing'!AD17</f>
        <v>109515.1399928079</v>
      </c>
      <c r="AH396" s="294">
        <f>'[5]Minerals Manufacturing'!AE17</f>
        <v>108517.73401681927</v>
      </c>
      <c r="AI396" s="294">
        <f>'[5]Minerals Manufacturing'!AF17</f>
        <v>96403.201126046872</v>
      </c>
      <c r="AJ396" s="294">
        <f>'[5]Minerals Manufacturing'!AG17</f>
        <v>82833.602861699561</v>
      </c>
      <c r="AK396" s="294">
        <f>'[5]Minerals Manufacturing'!AH17</f>
        <v>86286.091290790879</v>
      </c>
      <c r="AL396" s="1068">
        <f>AK396</f>
        <v>86286.091290790879</v>
      </c>
      <c r="AM396" s="315"/>
      <c r="AN396" s="315"/>
    </row>
    <row r="397" spans="1:40" ht="12.6">
      <c r="A397" s="990" t="s">
        <v>514</v>
      </c>
      <c r="B397" s="991" t="s">
        <v>124</v>
      </c>
      <c r="C397" s="991"/>
      <c r="D397" s="315"/>
      <c r="E397" s="315" t="s">
        <v>125</v>
      </c>
      <c r="F397" s="300" t="s">
        <v>126</v>
      </c>
      <c r="G397" s="300" t="s">
        <v>126</v>
      </c>
      <c r="H397" s="300" t="s">
        <v>126</v>
      </c>
      <c r="I397" s="300" t="s">
        <v>126</v>
      </c>
      <c r="J397" s="300" t="s">
        <v>126</v>
      </c>
      <c r="K397" s="300" t="s">
        <v>126</v>
      </c>
      <c r="L397" s="300" t="s">
        <v>126</v>
      </c>
      <c r="M397" s="300" t="s">
        <v>126</v>
      </c>
      <c r="N397" s="300" t="s">
        <v>126</v>
      </c>
      <c r="O397" s="300" t="s">
        <v>126</v>
      </c>
      <c r="P397" s="300" t="s">
        <v>126</v>
      </c>
      <c r="Q397" s="300" t="s">
        <v>126</v>
      </c>
      <c r="R397" s="300" t="s">
        <v>126</v>
      </c>
      <c r="S397" s="300" t="s">
        <v>126</v>
      </c>
      <c r="T397" s="300" t="s">
        <v>126</v>
      </c>
      <c r="U397" s="300" t="s">
        <v>126</v>
      </c>
      <c r="V397" s="300" t="s">
        <v>126</v>
      </c>
      <c r="W397" s="300" t="s">
        <v>126</v>
      </c>
      <c r="X397" s="300" t="s">
        <v>126</v>
      </c>
      <c r="Y397" s="300" t="s">
        <v>126</v>
      </c>
      <c r="Z397" s="300" t="s">
        <v>126</v>
      </c>
      <c r="AA397" s="300" t="s">
        <v>126</v>
      </c>
      <c r="AB397" s="300" t="s">
        <v>126</v>
      </c>
      <c r="AC397" s="300" t="s">
        <v>126</v>
      </c>
      <c r="AD397" s="300" t="s">
        <v>126</v>
      </c>
      <c r="AE397" s="300" t="s">
        <v>126</v>
      </c>
      <c r="AF397" s="300" t="s">
        <v>126</v>
      </c>
      <c r="AG397" s="300" t="s">
        <v>126</v>
      </c>
      <c r="AH397" s="300" t="s">
        <v>126</v>
      </c>
      <c r="AI397" s="300" t="s">
        <v>126</v>
      </c>
      <c r="AJ397" s="300" t="s">
        <v>126</v>
      </c>
      <c r="AK397" s="300" t="s">
        <v>126</v>
      </c>
      <c r="AL397" s="300" t="s">
        <v>126</v>
      </c>
      <c r="AM397" s="315"/>
      <c r="AN397" s="315"/>
    </row>
    <row r="398" spans="1:40" ht="12.6">
      <c r="A398" s="990" t="s">
        <v>515</v>
      </c>
      <c r="B398" s="991" t="s">
        <v>128</v>
      </c>
      <c r="C398" s="991"/>
      <c r="D398" s="991" t="s">
        <v>129</v>
      </c>
      <c r="E398" s="991" t="s">
        <v>130</v>
      </c>
      <c r="F398" s="294">
        <f>'[5]Minerals Manufacturing'!C22</f>
        <v>17746.689172626724</v>
      </c>
      <c r="G398" s="294">
        <f>'[5]Minerals Manufacturing'!D22</f>
        <v>17465.141344206593</v>
      </c>
      <c r="H398" s="294">
        <f>'[5]Minerals Manufacturing'!E22</f>
        <v>17127.474142783158</v>
      </c>
      <c r="I398" s="294">
        <f>'[5]Minerals Manufacturing'!F22</f>
        <v>16738.001313096185</v>
      </c>
      <c r="J398" s="294">
        <f>'[5]Minerals Manufacturing'!G22</f>
        <v>16413.128306810901</v>
      </c>
      <c r="K398" s="294">
        <f>'[5]Minerals Manufacturing'!H22</f>
        <v>16601.061629479427</v>
      </c>
      <c r="L398" s="294">
        <f>'[5]Minerals Manufacturing'!I22</f>
        <v>16744.793600350054</v>
      </c>
      <c r="M398" s="294">
        <f>'[5]Minerals Manufacturing'!J22</f>
        <v>16918.310938675993</v>
      </c>
      <c r="N398" s="294">
        <f>'[5]Minerals Manufacturing'!K22</f>
        <v>17114.756782577904</v>
      </c>
      <c r="O398" s="294">
        <f>'[5]Minerals Manufacturing'!L22</f>
        <v>17940.001831099493</v>
      </c>
      <c r="P398" s="294">
        <f>'[5]Minerals Manufacturing'!M22</f>
        <v>18714.672105692272</v>
      </c>
      <c r="Q398" s="294">
        <f>'[5]Minerals Manufacturing'!N22</f>
        <v>19468.338645572705</v>
      </c>
      <c r="R398" s="294">
        <f>'[5]Minerals Manufacturing'!O22</f>
        <v>20208.574296069681</v>
      </c>
      <c r="S398" s="294">
        <f>'[5]Minerals Manufacturing'!P22</f>
        <v>20298.235364327025</v>
      </c>
      <c r="T398" s="294">
        <f>'[5]Minerals Manufacturing'!Q22</f>
        <v>20410.335271588494</v>
      </c>
      <c r="U398" s="294">
        <f>'[5]Minerals Manufacturing'!R22</f>
        <v>20714.511651980116</v>
      </c>
      <c r="V398" s="294">
        <f>'[5]Minerals Manufacturing'!S22</f>
        <v>20852.517570971322</v>
      </c>
      <c r="W398" s="294">
        <f>'[5]Minerals Manufacturing'!T22</f>
        <v>20710.109432082467</v>
      </c>
      <c r="X398" s="294">
        <f>'[5]Minerals Manufacturing'!U22</f>
        <v>20583.775011730995</v>
      </c>
      <c r="Y398" s="294">
        <f>'[5]Minerals Manufacturing'!V22</f>
        <v>20498.108617104059</v>
      </c>
      <c r="Z398" s="294">
        <f>'[5]Minerals Manufacturing'!W22</f>
        <v>20371.893923860058</v>
      </c>
      <c r="AA398" s="294">
        <f>'[5]Minerals Manufacturing'!X22</f>
        <v>12387.124524358411</v>
      </c>
      <c r="AB398" s="294">
        <f>'[5]Minerals Manufacturing'!Y22</f>
        <v>12015.746725413812</v>
      </c>
      <c r="AC398" s="294">
        <f>'[5]Minerals Manufacturing'!Z22</f>
        <v>11770.225351521625</v>
      </c>
      <c r="AD398" s="294">
        <f>'[5]Minerals Manufacturing'!AA22</f>
        <v>12107.312356391209</v>
      </c>
      <c r="AE398" s="294">
        <f>'[5]Minerals Manufacturing'!AB22</f>
        <v>11421.576694341707</v>
      </c>
      <c r="AF398" s="294">
        <f>'[5]Minerals Manufacturing'!AC22</f>
        <v>10106.5186728102</v>
      </c>
      <c r="AG398" s="294">
        <f>'[5]Minerals Manufacturing'!AD22</f>
        <v>9918.1856058324174</v>
      </c>
      <c r="AH398" s="294">
        <f>'[5]Minerals Manufacturing'!AE22</f>
        <v>9835.9196939453013</v>
      </c>
      <c r="AI398" s="294">
        <f>'[5]Minerals Manufacturing'!AF22</f>
        <v>8734.5783643865234</v>
      </c>
      <c r="AJ398" s="294">
        <f>'[5]Minerals Manufacturing'!AG22</f>
        <v>7521.6349689483404</v>
      </c>
      <c r="AK398" s="294">
        <f>'[5]Minerals Manufacturing'!AH22</f>
        <v>7825.5132739831561</v>
      </c>
      <c r="AL398" s="1068">
        <f>AK398</f>
        <v>7825.5132739831561</v>
      </c>
      <c r="AM398" s="315"/>
      <c r="AN398" s="315"/>
    </row>
    <row r="399" spans="1:40" ht="12.6">
      <c r="A399" s="990" t="s">
        <v>516</v>
      </c>
      <c r="B399" s="991" t="s">
        <v>132</v>
      </c>
      <c r="C399" s="991"/>
      <c r="D399" s="991" t="s">
        <v>129</v>
      </c>
      <c r="E399" s="991" t="s">
        <v>130</v>
      </c>
      <c r="F399" s="799" t="s">
        <v>106</v>
      </c>
      <c r="G399" s="799" t="s">
        <v>106</v>
      </c>
      <c r="H399" s="799" t="s">
        <v>106</v>
      </c>
      <c r="I399" s="799" t="s">
        <v>106</v>
      </c>
      <c r="J399" s="799" t="s">
        <v>106</v>
      </c>
      <c r="K399" s="799" t="s">
        <v>106</v>
      </c>
      <c r="L399" s="799" t="s">
        <v>106</v>
      </c>
      <c r="M399" s="799" t="s">
        <v>106</v>
      </c>
      <c r="N399" s="799" t="s">
        <v>106</v>
      </c>
      <c r="O399" s="799" t="s">
        <v>106</v>
      </c>
      <c r="P399" s="799" t="s">
        <v>106</v>
      </c>
      <c r="Q399" s="799" t="s">
        <v>106</v>
      </c>
      <c r="R399" s="799" t="s">
        <v>106</v>
      </c>
      <c r="S399" s="799" t="s">
        <v>106</v>
      </c>
      <c r="T399" s="799" t="s">
        <v>106</v>
      </c>
      <c r="U399" s="799" t="s">
        <v>106</v>
      </c>
      <c r="V399" s="799" t="s">
        <v>106</v>
      </c>
      <c r="W399" s="799" t="s">
        <v>106</v>
      </c>
      <c r="X399" s="799" t="s">
        <v>106</v>
      </c>
      <c r="Y399" s="799" t="s">
        <v>106</v>
      </c>
      <c r="Z399" s="799" t="s">
        <v>106</v>
      </c>
      <c r="AA399" s="799" t="s">
        <v>106</v>
      </c>
      <c r="AB399" s="799" t="s">
        <v>106</v>
      </c>
      <c r="AC399" s="799" t="s">
        <v>106</v>
      </c>
      <c r="AD399" s="799" t="s">
        <v>106</v>
      </c>
      <c r="AE399" s="799" t="s">
        <v>106</v>
      </c>
      <c r="AF399" s="799" t="s">
        <v>106</v>
      </c>
      <c r="AG399" s="799" t="s">
        <v>106</v>
      </c>
      <c r="AH399" s="799" t="s">
        <v>106</v>
      </c>
      <c r="AI399" s="799" t="s">
        <v>106</v>
      </c>
      <c r="AJ399" s="799" t="s">
        <v>106</v>
      </c>
      <c r="AK399" s="799" t="s">
        <v>106</v>
      </c>
      <c r="AL399" s="799" t="s">
        <v>106</v>
      </c>
      <c r="AM399" s="315"/>
      <c r="AN399" s="315"/>
    </row>
    <row r="400" spans="1:40" ht="12.6">
      <c r="A400" s="990" t="s">
        <v>517</v>
      </c>
      <c r="B400" s="991" t="s">
        <v>134</v>
      </c>
      <c r="D400" s="315"/>
      <c r="E400" s="315"/>
      <c r="F400" s="800" t="s">
        <v>230</v>
      </c>
      <c r="G400" s="800" t="s">
        <v>230</v>
      </c>
      <c r="H400" s="800" t="s">
        <v>230</v>
      </c>
      <c r="I400" s="800" t="s">
        <v>230</v>
      </c>
      <c r="J400" s="800" t="s">
        <v>230</v>
      </c>
      <c r="K400" s="800" t="s">
        <v>230</v>
      </c>
      <c r="L400" s="800" t="s">
        <v>230</v>
      </c>
      <c r="M400" s="800" t="s">
        <v>230</v>
      </c>
      <c r="N400" s="800" t="s">
        <v>230</v>
      </c>
      <c r="O400" s="800" t="s">
        <v>230</v>
      </c>
      <c r="P400" s="800" t="s">
        <v>230</v>
      </c>
      <c r="Q400" s="800" t="s">
        <v>230</v>
      </c>
      <c r="R400" s="800" t="s">
        <v>230</v>
      </c>
      <c r="S400" s="800" t="s">
        <v>230</v>
      </c>
      <c r="T400" s="800" t="s">
        <v>230</v>
      </c>
      <c r="U400" s="800" t="s">
        <v>230</v>
      </c>
      <c r="V400" s="800" t="s">
        <v>230</v>
      </c>
      <c r="W400" s="800" t="s">
        <v>230</v>
      </c>
      <c r="X400" s="800" t="s">
        <v>230</v>
      </c>
      <c r="Y400" s="800" t="s">
        <v>230</v>
      </c>
      <c r="Z400" s="800" t="s">
        <v>230</v>
      </c>
      <c r="AA400" s="800" t="s">
        <v>230</v>
      </c>
      <c r="AB400" s="800" t="s">
        <v>230</v>
      </c>
      <c r="AC400" s="800" t="s">
        <v>230</v>
      </c>
      <c r="AD400" s="800" t="s">
        <v>230</v>
      </c>
      <c r="AE400" s="800" t="s">
        <v>230</v>
      </c>
      <c r="AF400" s="800" t="s">
        <v>230</v>
      </c>
      <c r="AG400" s="800" t="s">
        <v>230</v>
      </c>
      <c r="AH400" s="800" t="s">
        <v>230</v>
      </c>
      <c r="AI400" s="800" t="s">
        <v>230</v>
      </c>
      <c r="AJ400" s="800" t="s">
        <v>230</v>
      </c>
      <c r="AK400" s="800" t="s">
        <v>230</v>
      </c>
      <c r="AL400" s="800" t="s">
        <v>230</v>
      </c>
      <c r="AM400" s="315"/>
      <c r="AN400" s="315"/>
    </row>
    <row r="401" spans="1:40" s="792" customFormat="1" ht="14.25" customHeight="1">
      <c r="A401" s="989" t="s">
        <v>518</v>
      </c>
      <c r="B401" s="791"/>
      <c r="C401" s="791"/>
      <c r="D401" s="791"/>
      <c r="E401" s="791"/>
      <c r="F401" s="790"/>
      <c r="G401" s="790"/>
      <c r="H401" s="790"/>
      <c r="I401" s="790"/>
      <c r="J401" s="790"/>
      <c r="K401" s="790"/>
      <c r="L401" s="790"/>
      <c r="M401" s="790"/>
      <c r="N401" s="790"/>
      <c r="O401" s="790"/>
      <c r="P401" s="790"/>
      <c r="Q401" s="790"/>
      <c r="R401" s="790"/>
      <c r="S401" s="790"/>
      <c r="T401" s="790"/>
      <c r="U401" s="790"/>
      <c r="V401" s="790"/>
      <c r="W401" s="790"/>
      <c r="X401" s="790"/>
      <c r="Y401" s="790"/>
      <c r="Z401" s="790"/>
      <c r="AA401" s="790"/>
      <c r="AB401" s="790"/>
      <c r="AC401" s="790"/>
      <c r="AD401" s="790"/>
      <c r="AE401" s="790"/>
      <c r="AF401" s="790"/>
      <c r="AG401" s="790"/>
      <c r="AH401" s="790"/>
      <c r="AI401" s="790"/>
      <c r="AJ401" s="790"/>
      <c r="AK401" s="790"/>
      <c r="AL401" s="790"/>
      <c r="AM401" s="791"/>
      <c r="AN401" s="791"/>
    </row>
    <row r="402" spans="1:40" ht="12.6">
      <c r="A402" s="990" t="s">
        <v>519</v>
      </c>
      <c r="B402" s="991" t="s">
        <v>121</v>
      </c>
      <c r="C402" s="991"/>
      <c r="D402" s="315"/>
      <c r="E402" s="991" t="s">
        <v>122</v>
      </c>
      <c r="F402" s="294">
        <f>'[5]Minerals Manufacturing'!C18</f>
        <v>234898.91639067704</v>
      </c>
      <c r="G402" s="294">
        <f>'[5]Minerals Manufacturing'!D18</f>
        <v>245899.69208941399</v>
      </c>
      <c r="H402" s="294">
        <f>'[5]Minerals Manufacturing'!E18</f>
        <v>256900.46778815091</v>
      </c>
      <c r="I402" s="294">
        <f>'[5]Minerals Manufacturing'!F18</f>
        <v>267901.24348688789</v>
      </c>
      <c r="J402" s="294">
        <f>'[5]Minerals Manufacturing'!G18</f>
        <v>278902.01918562478</v>
      </c>
      <c r="K402" s="294">
        <f>'[5]Minerals Manufacturing'!H18</f>
        <v>280034.45197814185</v>
      </c>
      <c r="L402" s="294">
        <f>'[5]Minerals Manufacturing'!I18</f>
        <v>281166.88477065886</v>
      </c>
      <c r="M402" s="294">
        <f>'[5]Minerals Manufacturing'!J18</f>
        <v>282299.31756317586</v>
      </c>
      <c r="N402" s="294">
        <f>'[5]Minerals Manufacturing'!K18</f>
        <v>283431.75035569293</v>
      </c>
      <c r="O402" s="294">
        <f>'[5]Minerals Manufacturing'!L18</f>
        <v>280681.55643100874</v>
      </c>
      <c r="P402" s="294">
        <f>'[5]Minerals Manufacturing'!M18</f>
        <v>277931.36250632454</v>
      </c>
      <c r="Q402" s="294">
        <f>'[5]Minerals Manufacturing'!N18</f>
        <v>275181.16858164029</v>
      </c>
      <c r="R402" s="294">
        <f>'[5]Minerals Manufacturing'!O18</f>
        <v>272430.97465695604</v>
      </c>
      <c r="S402" s="294">
        <f>'[5]Minerals Manufacturing'!P18</f>
        <v>278578.46695919137</v>
      </c>
      <c r="T402" s="294">
        <f>'[5]Minerals Manufacturing'!Q18</f>
        <v>284725.95926142676</v>
      </c>
      <c r="U402" s="294">
        <f>'[5]Minerals Manufacturing'!R18</f>
        <v>290873.45156366209</v>
      </c>
      <c r="V402" s="294">
        <f>'[5]Minerals Manufacturing'!S18</f>
        <v>297020.94386589742</v>
      </c>
      <c r="W402" s="294">
        <f>'[5]Minerals Manufacturing'!T18</f>
        <v>266425.632899875</v>
      </c>
      <c r="X402" s="294">
        <f>'[5]Minerals Manufacturing'!U18</f>
        <v>235830.32193385265</v>
      </c>
      <c r="Y402" s="294">
        <f>'[5]Minerals Manufacturing'!V18</f>
        <v>205235.01096783025</v>
      </c>
      <c r="Z402" s="294">
        <f>'[5]Minerals Manufacturing'!W18</f>
        <v>174639.70000180788</v>
      </c>
      <c r="AA402" s="294">
        <f>'[5]Minerals Manufacturing'!X18</f>
        <v>195497.0199534164</v>
      </c>
      <c r="AB402" s="294">
        <f>'[5]Minerals Manufacturing'!Y18</f>
        <v>201323.82757405678</v>
      </c>
      <c r="AC402" s="294">
        <f>'[5]Minerals Manufacturing'!Z18</f>
        <v>208175.57171328797</v>
      </c>
      <c r="AD402" s="294">
        <f>'[5]Minerals Manufacturing'!AA18</f>
        <v>210307.55604268704</v>
      </c>
      <c r="AE402" s="294">
        <f>'[5]Minerals Manufacturing'!AB18</f>
        <v>214419.20971210249</v>
      </c>
      <c r="AF402" s="294">
        <f>'[5]Minerals Manufacturing'!AC18</f>
        <v>223579.72121616339</v>
      </c>
      <c r="AG402" s="294">
        <f>'[5]Minerals Manufacturing'!AD18</f>
        <v>231569.38271530176</v>
      </c>
      <c r="AH402" s="294">
        <f>'[5]Minerals Manufacturing'!AE18</f>
        <v>233178.53985233427</v>
      </c>
      <c r="AI402" s="294">
        <f>'[5]Minerals Manufacturing'!AF18</f>
        <v>236034.19133653963</v>
      </c>
      <c r="AJ402" s="294">
        <f>'[5]Minerals Manufacturing'!AG18</f>
        <v>226136.95993508538</v>
      </c>
      <c r="AK402" s="294">
        <f>'[5]Minerals Manufacturing'!AH18</f>
        <v>227236.78912372611</v>
      </c>
      <c r="AL402" s="1068">
        <f>AK402</f>
        <v>227236.78912372611</v>
      </c>
      <c r="AM402" s="315"/>
      <c r="AN402" s="315"/>
    </row>
    <row r="403" spans="1:40" ht="12.6">
      <c r="A403" s="990" t="s">
        <v>520</v>
      </c>
      <c r="B403" s="991" t="s">
        <v>124</v>
      </c>
      <c r="C403" s="991"/>
      <c r="D403" s="315"/>
      <c r="E403" s="315" t="s">
        <v>125</v>
      </c>
      <c r="F403" s="300" t="s">
        <v>126</v>
      </c>
      <c r="G403" s="300" t="s">
        <v>126</v>
      </c>
      <c r="H403" s="300" t="s">
        <v>126</v>
      </c>
      <c r="I403" s="300" t="s">
        <v>126</v>
      </c>
      <c r="J403" s="300" t="s">
        <v>126</v>
      </c>
      <c r="K403" s="300" t="s">
        <v>126</v>
      </c>
      <c r="L403" s="300" t="s">
        <v>126</v>
      </c>
      <c r="M403" s="300" t="s">
        <v>126</v>
      </c>
      <c r="N403" s="300" t="s">
        <v>126</v>
      </c>
      <c r="O403" s="300" t="s">
        <v>126</v>
      </c>
      <c r="P403" s="300" t="s">
        <v>126</v>
      </c>
      <c r="Q403" s="300" t="s">
        <v>126</v>
      </c>
      <c r="R403" s="300" t="s">
        <v>126</v>
      </c>
      <c r="S403" s="300" t="s">
        <v>126</v>
      </c>
      <c r="T403" s="300" t="s">
        <v>126</v>
      </c>
      <c r="U403" s="300" t="s">
        <v>126</v>
      </c>
      <c r="V403" s="300" t="s">
        <v>126</v>
      </c>
      <c r="W403" s="300" t="s">
        <v>126</v>
      </c>
      <c r="X403" s="300" t="s">
        <v>126</v>
      </c>
      <c r="Y403" s="300" t="s">
        <v>126</v>
      </c>
      <c r="Z403" s="300" t="s">
        <v>126</v>
      </c>
      <c r="AA403" s="300" t="s">
        <v>126</v>
      </c>
      <c r="AB403" s="300" t="s">
        <v>126</v>
      </c>
      <c r="AC403" s="300" t="s">
        <v>126</v>
      </c>
      <c r="AD403" s="300" t="s">
        <v>126</v>
      </c>
      <c r="AE403" s="300" t="s">
        <v>126</v>
      </c>
      <c r="AF403" s="300" t="s">
        <v>126</v>
      </c>
      <c r="AG403" s="300" t="s">
        <v>126</v>
      </c>
      <c r="AH403" s="300" t="s">
        <v>126</v>
      </c>
      <c r="AI403" s="300" t="s">
        <v>126</v>
      </c>
      <c r="AJ403" s="300" t="s">
        <v>126</v>
      </c>
      <c r="AK403" s="300" t="s">
        <v>126</v>
      </c>
      <c r="AL403" s="300" t="s">
        <v>126</v>
      </c>
      <c r="AM403" s="315"/>
      <c r="AN403" s="315"/>
    </row>
    <row r="404" spans="1:40" ht="12.6">
      <c r="A404" s="990" t="s">
        <v>521</v>
      </c>
      <c r="B404" s="991" t="s">
        <v>128</v>
      </c>
      <c r="C404" s="991"/>
      <c r="D404" s="991" t="s">
        <v>129</v>
      </c>
      <c r="E404" s="991" t="s">
        <v>130</v>
      </c>
      <c r="F404" s="294">
        <f>'[5]Minerals Manufacturing'!C23</f>
        <v>12281.231946297212</v>
      </c>
      <c r="G404" s="294">
        <f>'[5]Minerals Manufacturing'!D23</f>
        <v>12918.235995743255</v>
      </c>
      <c r="H404" s="294">
        <f>'[5]Minerals Manufacturing'!E23</f>
        <v>13431.607326065803</v>
      </c>
      <c r="I404" s="294">
        <f>'[5]Minerals Manufacturing'!F23</f>
        <v>14056.053296958427</v>
      </c>
      <c r="J404" s="294">
        <f>'[5]Minerals Manufacturing'!G23</f>
        <v>14599.393525364165</v>
      </c>
      <c r="K404" s="294">
        <f>'[5]Minerals Manufacturing'!H23</f>
        <v>14689.149567036942</v>
      </c>
      <c r="L404" s="294">
        <f>'[5]Minerals Manufacturing'!I23</f>
        <v>14638.636256019965</v>
      </c>
      <c r="M404" s="294">
        <f>'[5]Minerals Manufacturing'!J23</f>
        <v>14696.908651285432</v>
      </c>
      <c r="N404" s="294">
        <f>'[5]Minerals Manufacturing'!K23</f>
        <v>14757.817870119106</v>
      </c>
      <c r="O404" s="294">
        <f>'[5]Minerals Manufacturing'!L23</f>
        <v>14672.012539883481</v>
      </c>
      <c r="P404" s="294">
        <f>'[5]Minerals Manufacturing'!M23</f>
        <v>14496.178768140344</v>
      </c>
      <c r="Q404" s="294">
        <f>'[5]Minerals Manufacturing'!N23</f>
        <v>14404.655131328576</v>
      </c>
      <c r="R404" s="294">
        <f>'[5]Minerals Manufacturing'!O23</f>
        <v>14290.461099051934</v>
      </c>
      <c r="S404" s="294">
        <f>'[5]Minerals Manufacturing'!P23</f>
        <v>14495.068204358557</v>
      </c>
      <c r="T404" s="294">
        <f>'[5]Minerals Manufacturing'!Q23</f>
        <v>14807.378851724046</v>
      </c>
      <c r="U404" s="294">
        <f>'[5]Minerals Manufacturing'!R23</f>
        <v>15248.232224819303</v>
      </c>
      <c r="V404" s="294">
        <f>'[5]Minerals Manufacturing'!S23</f>
        <v>15452.963115103719</v>
      </c>
      <c r="W404" s="294">
        <f>'[5]Minerals Manufacturing'!T23</f>
        <v>13875.256830398321</v>
      </c>
      <c r="X404" s="294">
        <f>'[5]Minerals Manufacturing'!U23</f>
        <v>12362.319680152563</v>
      </c>
      <c r="Y404" s="294">
        <f>'[5]Minerals Manufacturing'!V23</f>
        <v>10917.927789768803</v>
      </c>
      <c r="Z404" s="294">
        <f>'[5]Minerals Manufacturing'!W23</f>
        <v>9255.9624783661038</v>
      </c>
      <c r="AA404" s="294">
        <f>'[5]Minerals Manufacturing'!X23</f>
        <v>10353.300495907954</v>
      </c>
      <c r="AB404" s="294">
        <f>'[5]Minerals Manufacturing'!Y23</f>
        <v>10643.587447422175</v>
      </c>
      <c r="AC404" s="294">
        <f>'[5]Minerals Manufacturing'!Z23</f>
        <v>10925.658262392219</v>
      </c>
      <c r="AD404" s="294">
        <f>'[5]Minerals Manufacturing'!AA23</f>
        <v>11033.222889652034</v>
      </c>
      <c r="AE404" s="294">
        <f>'[5]Minerals Manufacturing'!AB23</f>
        <v>11265.46088658808</v>
      </c>
      <c r="AF404" s="294">
        <f>'[5]Minerals Manufacturing'!AC23</f>
        <v>11620.797064164</v>
      </c>
      <c r="AG404" s="294">
        <f>'[5]Minerals Manufacturing'!AD23</f>
        <v>12058.188415848317</v>
      </c>
      <c r="AH404" s="294">
        <f>'[5]Minerals Manufacturing'!AE23</f>
        <v>12092.474788555364</v>
      </c>
      <c r="AI404" s="294">
        <f>'[5]Minerals Manufacturing'!AF23</f>
        <v>12309.595023755031</v>
      </c>
      <c r="AJ404" s="294">
        <f>'[5]Minerals Manufacturing'!AG23</f>
        <v>11938.812068610707</v>
      </c>
      <c r="AK404" s="294">
        <f>'[5]Minerals Manufacturing'!AH23</f>
        <v>11911.168179966249</v>
      </c>
      <c r="AL404" s="1068">
        <f>AK404</f>
        <v>11911.168179966249</v>
      </c>
      <c r="AM404" s="315"/>
      <c r="AN404" s="315"/>
    </row>
    <row r="405" spans="1:40" ht="12.6">
      <c r="A405" s="990" t="s">
        <v>522</v>
      </c>
      <c r="B405" s="991" t="s">
        <v>132</v>
      </c>
      <c r="C405" s="991"/>
      <c r="D405" s="991" t="s">
        <v>129</v>
      </c>
      <c r="E405" s="991" t="s">
        <v>130</v>
      </c>
      <c r="F405" s="799" t="s">
        <v>106</v>
      </c>
      <c r="G405" s="799" t="s">
        <v>106</v>
      </c>
      <c r="H405" s="799" t="s">
        <v>106</v>
      </c>
      <c r="I405" s="799" t="s">
        <v>106</v>
      </c>
      <c r="J405" s="799" t="s">
        <v>106</v>
      </c>
      <c r="K405" s="799" t="s">
        <v>106</v>
      </c>
      <c r="L405" s="799" t="s">
        <v>106</v>
      </c>
      <c r="M405" s="799" t="s">
        <v>106</v>
      </c>
      <c r="N405" s="799" t="s">
        <v>106</v>
      </c>
      <c r="O405" s="799" t="s">
        <v>106</v>
      </c>
      <c r="P405" s="799" t="s">
        <v>106</v>
      </c>
      <c r="Q405" s="799" t="s">
        <v>106</v>
      </c>
      <c r="R405" s="799" t="s">
        <v>106</v>
      </c>
      <c r="S405" s="799" t="s">
        <v>106</v>
      </c>
      <c r="T405" s="799" t="s">
        <v>106</v>
      </c>
      <c r="U405" s="799" t="s">
        <v>106</v>
      </c>
      <c r="V405" s="799" t="s">
        <v>106</v>
      </c>
      <c r="W405" s="799" t="s">
        <v>106</v>
      </c>
      <c r="X405" s="799" t="s">
        <v>106</v>
      </c>
      <c r="Y405" s="799" t="s">
        <v>106</v>
      </c>
      <c r="Z405" s="799" t="s">
        <v>106</v>
      </c>
      <c r="AA405" s="799" t="s">
        <v>106</v>
      </c>
      <c r="AB405" s="799" t="s">
        <v>106</v>
      </c>
      <c r="AC405" s="799" t="s">
        <v>106</v>
      </c>
      <c r="AD405" s="799" t="s">
        <v>106</v>
      </c>
      <c r="AE405" s="799" t="s">
        <v>106</v>
      </c>
      <c r="AF405" s="799" t="s">
        <v>106</v>
      </c>
      <c r="AG405" s="799" t="s">
        <v>106</v>
      </c>
      <c r="AH405" s="799" t="s">
        <v>106</v>
      </c>
      <c r="AI405" s="799" t="s">
        <v>106</v>
      </c>
      <c r="AJ405" s="799" t="s">
        <v>106</v>
      </c>
      <c r="AK405" s="799" t="s">
        <v>106</v>
      </c>
      <c r="AL405" s="799" t="s">
        <v>106</v>
      </c>
      <c r="AM405" s="315"/>
      <c r="AN405" s="315"/>
    </row>
    <row r="406" spans="1:40" ht="12.6">
      <c r="A406" s="990" t="s">
        <v>523</v>
      </c>
      <c r="B406" s="991" t="s">
        <v>134</v>
      </c>
      <c r="D406" s="315"/>
      <c r="E406" s="315"/>
      <c r="F406" s="800" t="s">
        <v>230</v>
      </c>
      <c r="G406" s="800" t="s">
        <v>230</v>
      </c>
      <c r="H406" s="800" t="s">
        <v>230</v>
      </c>
      <c r="I406" s="800" t="s">
        <v>230</v>
      </c>
      <c r="J406" s="800" t="s">
        <v>230</v>
      </c>
      <c r="K406" s="800" t="s">
        <v>230</v>
      </c>
      <c r="L406" s="800" t="s">
        <v>230</v>
      </c>
      <c r="M406" s="800" t="s">
        <v>230</v>
      </c>
      <c r="N406" s="800" t="s">
        <v>230</v>
      </c>
      <c r="O406" s="800" t="s">
        <v>230</v>
      </c>
      <c r="P406" s="800" t="s">
        <v>230</v>
      </c>
      <c r="Q406" s="800" t="s">
        <v>230</v>
      </c>
      <c r="R406" s="800" t="s">
        <v>230</v>
      </c>
      <c r="S406" s="800" t="s">
        <v>230</v>
      </c>
      <c r="T406" s="800" t="s">
        <v>230</v>
      </c>
      <c r="U406" s="800" t="s">
        <v>230</v>
      </c>
      <c r="V406" s="800" t="s">
        <v>230</v>
      </c>
      <c r="W406" s="800" t="s">
        <v>230</v>
      </c>
      <c r="X406" s="800" t="s">
        <v>230</v>
      </c>
      <c r="Y406" s="800" t="s">
        <v>230</v>
      </c>
      <c r="Z406" s="800" t="s">
        <v>230</v>
      </c>
      <c r="AA406" s="800" t="s">
        <v>230</v>
      </c>
      <c r="AB406" s="800" t="s">
        <v>230</v>
      </c>
      <c r="AC406" s="800" t="s">
        <v>230</v>
      </c>
      <c r="AD406" s="800" t="s">
        <v>230</v>
      </c>
      <c r="AE406" s="800" t="s">
        <v>230</v>
      </c>
      <c r="AF406" s="800" t="s">
        <v>230</v>
      </c>
      <c r="AG406" s="800" t="s">
        <v>230</v>
      </c>
      <c r="AH406" s="800" t="s">
        <v>230</v>
      </c>
      <c r="AI406" s="800" t="s">
        <v>230</v>
      </c>
      <c r="AJ406" s="800" t="s">
        <v>230</v>
      </c>
      <c r="AK406" s="800" t="s">
        <v>230</v>
      </c>
      <c r="AL406" s="800" t="s">
        <v>230</v>
      </c>
      <c r="AM406" s="315"/>
      <c r="AN406" s="315"/>
    </row>
    <row r="407" spans="1:40" s="792" customFormat="1" ht="14.25" customHeight="1">
      <c r="A407" s="989" t="s">
        <v>524</v>
      </c>
      <c r="B407" s="791"/>
      <c r="C407" s="791"/>
      <c r="D407" s="791"/>
      <c r="E407" s="791"/>
      <c r="F407" s="790"/>
      <c r="G407" s="790"/>
      <c r="H407" s="790"/>
      <c r="I407" s="790"/>
      <c r="J407" s="790"/>
      <c r="K407" s="790"/>
      <c r="L407" s="790"/>
      <c r="M407" s="790"/>
      <c r="N407" s="790"/>
      <c r="O407" s="790"/>
      <c r="P407" s="790"/>
      <c r="Q407" s="790"/>
      <c r="R407" s="790"/>
      <c r="S407" s="790"/>
      <c r="T407" s="790"/>
      <c r="U407" s="790"/>
      <c r="V407" s="790"/>
      <c r="W407" s="790"/>
      <c r="X407" s="790"/>
      <c r="Y407" s="790"/>
      <c r="Z407" s="790"/>
      <c r="AA407" s="790"/>
      <c r="AB407" s="790"/>
      <c r="AC407" s="790"/>
      <c r="AD407" s="790"/>
      <c r="AE407" s="790"/>
      <c r="AF407" s="790"/>
      <c r="AG407" s="790"/>
      <c r="AH407" s="790"/>
      <c r="AI407" s="790"/>
      <c r="AJ407" s="790"/>
      <c r="AK407" s="790"/>
      <c r="AL407" s="790"/>
      <c r="AM407" s="791"/>
      <c r="AN407" s="791"/>
    </row>
    <row r="408" spans="1:40" ht="12.6">
      <c r="A408" s="990" t="s">
        <v>525</v>
      </c>
      <c r="B408" s="991" t="s">
        <v>121</v>
      </c>
      <c r="C408" s="991"/>
      <c r="D408" s="315"/>
      <c r="E408" s="991" t="s">
        <v>122</v>
      </c>
      <c r="F408" s="799" t="s">
        <v>108</v>
      </c>
      <c r="G408" s="799" t="s">
        <v>108</v>
      </c>
      <c r="H408" s="799" t="s">
        <v>108</v>
      </c>
      <c r="I408" s="799" t="s">
        <v>108</v>
      </c>
      <c r="J408" s="799" t="s">
        <v>108</v>
      </c>
      <c r="K408" s="799" t="s">
        <v>108</v>
      </c>
      <c r="L408" s="799" t="s">
        <v>108</v>
      </c>
      <c r="M408" s="799" t="s">
        <v>108</v>
      </c>
      <c r="N408" s="799" t="s">
        <v>108</v>
      </c>
      <c r="O408" s="799" t="s">
        <v>108</v>
      </c>
      <c r="P408" s="799" t="s">
        <v>108</v>
      </c>
      <c r="Q408" s="799" t="s">
        <v>108</v>
      </c>
      <c r="R408" s="799" t="s">
        <v>108</v>
      </c>
      <c r="S408" s="799" t="s">
        <v>108</v>
      </c>
      <c r="T408" s="799" t="s">
        <v>108</v>
      </c>
      <c r="U408" s="799" t="s">
        <v>108</v>
      </c>
      <c r="V408" s="799" t="s">
        <v>108</v>
      </c>
      <c r="W408" s="799" t="s">
        <v>108</v>
      </c>
      <c r="X408" s="799" t="s">
        <v>108</v>
      </c>
      <c r="Y408" s="799" t="s">
        <v>108</v>
      </c>
      <c r="Z408" s="799" t="s">
        <v>108</v>
      </c>
      <c r="AA408" s="799" t="s">
        <v>108</v>
      </c>
      <c r="AB408" s="799" t="s">
        <v>108</v>
      </c>
      <c r="AC408" s="799" t="s">
        <v>108</v>
      </c>
      <c r="AD408" s="799" t="s">
        <v>108</v>
      </c>
      <c r="AE408" s="799" t="s">
        <v>108</v>
      </c>
      <c r="AF408" s="799" t="s">
        <v>108</v>
      </c>
      <c r="AG408" s="799" t="s">
        <v>108</v>
      </c>
      <c r="AH408" s="799" t="s">
        <v>108</v>
      </c>
      <c r="AI408" s="799" t="s">
        <v>108</v>
      </c>
      <c r="AJ408" s="799" t="s">
        <v>108</v>
      </c>
      <c r="AK408" s="799" t="s">
        <v>108</v>
      </c>
      <c r="AL408" s="799" t="s">
        <v>108</v>
      </c>
      <c r="AM408" s="315"/>
      <c r="AN408" s="315"/>
    </row>
    <row r="409" spans="1:40" ht="12.6">
      <c r="A409" s="990" t="s">
        <v>526</v>
      </c>
      <c r="B409" s="991" t="s">
        <v>124</v>
      </c>
      <c r="C409" s="991"/>
      <c r="D409" s="315"/>
      <c r="E409" s="315" t="s">
        <v>125</v>
      </c>
      <c r="F409" s="799" t="s">
        <v>126</v>
      </c>
      <c r="G409" s="799" t="s">
        <v>126</v>
      </c>
      <c r="H409" s="799" t="s">
        <v>126</v>
      </c>
      <c r="I409" s="799" t="s">
        <v>126</v>
      </c>
      <c r="J409" s="799" t="s">
        <v>126</v>
      </c>
      <c r="K409" s="799" t="s">
        <v>126</v>
      </c>
      <c r="L409" s="799" t="s">
        <v>126</v>
      </c>
      <c r="M409" s="799" t="s">
        <v>126</v>
      </c>
      <c r="N409" s="799" t="s">
        <v>126</v>
      </c>
      <c r="O409" s="799" t="s">
        <v>126</v>
      </c>
      <c r="P409" s="799" t="s">
        <v>126</v>
      </c>
      <c r="Q409" s="799" t="s">
        <v>126</v>
      </c>
      <c r="R409" s="799" t="s">
        <v>126</v>
      </c>
      <c r="S409" s="799" t="s">
        <v>126</v>
      </c>
      <c r="T409" s="799" t="s">
        <v>126</v>
      </c>
      <c r="U409" s="799" t="s">
        <v>126</v>
      </c>
      <c r="V409" s="799" t="s">
        <v>126</v>
      </c>
      <c r="W409" s="799" t="s">
        <v>126</v>
      </c>
      <c r="X409" s="799" t="s">
        <v>126</v>
      </c>
      <c r="Y409" s="799" t="s">
        <v>126</v>
      </c>
      <c r="Z409" s="799" t="s">
        <v>126</v>
      </c>
      <c r="AA409" s="799" t="s">
        <v>126</v>
      </c>
      <c r="AB409" s="799" t="s">
        <v>126</v>
      </c>
      <c r="AC409" s="799" t="s">
        <v>126</v>
      </c>
      <c r="AD409" s="799" t="s">
        <v>126</v>
      </c>
      <c r="AE409" s="799" t="s">
        <v>126</v>
      </c>
      <c r="AF409" s="799" t="s">
        <v>126</v>
      </c>
      <c r="AG409" s="799" t="s">
        <v>126</v>
      </c>
      <c r="AH409" s="799" t="s">
        <v>126</v>
      </c>
      <c r="AI409" s="799" t="s">
        <v>126</v>
      </c>
      <c r="AJ409" s="799" t="s">
        <v>126</v>
      </c>
      <c r="AK409" s="799" t="s">
        <v>126</v>
      </c>
      <c r="AL409" s="799" t="s">
        <v>126</v>
      </c>
      <c r="AM409" s="315"/>
      <c r="AN409" s="315"/>
    </row>
    <row r="410" spans="1:40" ht="12.6">
      <c r="A410" s="990" t="s">
        <v>527</v>
      </c>
      <c r="B410" s="991" t="s">
        <v>128</v>
      </c>
      <c r="C410" s="991"/>
      <c r="D410" s="991" t="s">
        <v>129</v>
      </c>
      <c r="E410" s="991" t="s">
        <v>130</v>
      </c>
      <c r="F410" s="799" t="s">
        <v>108</v>
      </c>
      <c r="G410" s="799" t="s">
        <v>108</v>
      </c>
      <c r="H410" s="799" t="s">
        <v>108</v>
      </c>
      <c r="I410" s="799" t="s">
        <v>108</v>
      </c>
      <c r="J410" s="799" t="s">
        <v>108</v>
      </c>
      <c r="K410" s="799" t="s">
        <v>108</v>
      </c>
      <c r="L410" s="799" t="s">
        <v>108</v>
      </c>
      <c r="M410" s="799" t="s">
        <v>108</v>
      </c>
      <c r="N410" s="799" t="s">
        <v>108</v>
      </c>
      <c r="O410" s="799" t="s">
        <v>108</v>
      </c>
      <c r="P410" s="799" t="s">
        <v>108</v>
      </c>
      <c r="Q410" s="799" t="s">
        <v>108</v>
      </c>
      <c r="R410" s="799" t="s">
        <v>108</v>
      </c>
      <c r="S410" s="799" t="s">
        <v>108</v>
      </c>
      <c r="T410" s="799" t="s">
        <v>108</v>
      </c>
      <c r="U410" s="799" t="s">
        <v>108</v>
      </c>
      <c r="V410" s="799" t="s">
        <v>108</v>
      </c>
      <c r="W410" s="799" t="s">
        <v>108</v>
      </c>
      <c r="X410" s="799" t="s">
        <v>108</v>
      </c>
      <c r="Y410" s="799" t="s">
        <v>108</v>
      </c>
      <c r="Z410" s="799" t="s">
        <v>108</v>
      </c>
      <c r="AA410" s="799" t="s">
        <v>108</v>
      </c>
      <c r="AB410" s="799" t="s">
        <v>108</v>
      </c>
      <c r="AC410" s="799" t="s">
        <v>108</v>
      </c>
      <c r="AD410" s="799" t="s">
        <v>108</v>
      </c>
      <c r="AE410" s="799" t="s">
        <v>108</v>
      </c>
      <c r="AF410" s="799" t="s">
        <v>108</v>
      </c>
      <c r="AG410" s="799" t="s">
        <v>108</v>
      </c>
      <c r="AH410" s="799" t="s">
        <v>108</v>
      </c>
      <c r="AI410" s="799" t="s">
        <v>108</v>
      </c>
      <c r="AJ410" s="799" t="s">
        <v>108</v>
      </c>
      <c r="AK410" s="799" t="s">
        <v>108</v>
      </c>
      <c r="AL410" s="799" t="s">
        <v>108</v>
      </c>
      <c r="AM410" s="315"/>
      <c r="AN410" s="315"/>
    </row>
    <row r="411" spans="1:40" ht="12.6">
      <c r="A411" s="990" t="s">
        <v>528</v>
      </c>
      <c r="B411" s="991" t="s">
        <v>132</v>
      </c>
      <c r="C411" s="991"/>
      <c r="D411" s="991" t="s">
        <v>129</v>
      </c>
      <c r="E411" s="991" t="s">
        <v>130</v>
      </c>
      <c r="F411" s="794" t="s">
        <v>108</v>
      </c>
      <c r="G411" s="794" t="s">
        <v>108</v>
      </c>
      <c r="H411" s="794" t="s">
        <v>108</v>
      </c>
      <c r="I411" s="794" t="s">
        <v>108</v>
      </c>
      <c r="J411" s="794" t="s">
        <v>108</v>
      </c>
      <c r="K411" s="794" t="s">
        <v>108</v>
      </c>
      <c r="L411" s="794" t="s">
        <v>108</v>
      </c>
      <c r="M411" s="794" t="s">
        <v>108</v>
      </c>
      <c r="N411" s="794" t="s">
        <v>108</v>
      </c>
      <c r="O411" s="794" t="s">
        <v>108</v>
      </c>
      <c r="P411" s="794" t="s">
        <v>108</v>
      </c>
      <c r="Q411" s="794" t="s">
        <v>108</v>
      </c>
      <c r="R411" s="794" t="s">
        <v>108</v>
      </c>
      <c r="S411" s="794" t="s">
        <v>108</v>
      </c>
      <c r="T411" s="794" t="s">
        <v>108</v>
      </c>
      <c r="U411" s="794" t="s">
        <v>108</v>
      </c>
      <c r="V411" s="794" t="s">
        <v>108</v>
      </c>
      <c r="W411" s="794" t="s">
        <v>108</v>
      </c>
      <c r="X411" s="794" t="s">
        <v>108</v>
      </c>
      <c r="Y411" s="794" t="s">
        <v>108</v>
      </c>
      <c r="Z411" s="794" t="s">
        <v>108</v>
      </c>
      <c r="AA411" s="794" t="s">
        <v>108</v>
      </c>
      <c r="AB411" s="794" t="s">
        <v>108</v>
      </c>
      <c r="AC411" s="794" t="s">
        <v>108</v>
      </c>
      <c r="AD411" s="794" t="s">
        <v>108</v>
      </c>
      <c r="AE411" s="794" t="s">
        <v>108</v>
      </c>
      <c r="AF411" s="794" t="s">
        <v>108</v>
      </c>
      <c r="AG411" s="794" t="s">
        <v>108</v>
      </c>
      <c r="AH411" s="794" t="s">
        <v>108</v>
      </c>
      <c r="AI411" s="794" t="s">
        <v>108</v>
      </c>
      <c r="AJ411" s="794" t="s">
        <v>108</v>
      </c>
      <c r="AK411" s="794" t="s">
        <v>108</v>
      </c>
      <c r="AL411" s="794" t="s">
        <v>108</v>
      </c>
      <c r="AM411" s="315"/>
      <c r="AN411" s="315"/>
    </row>
    <row r="412" spans="1:40" ht="12.6">
      <c r="A412" s="990" t="s">
        <v>529</v>
      </c>
      <c r="B412" s="991" t="s">
        <v>134</v>
      </c>
      <c r="D412" s="315"/>
      <c r="E412" s="315"/>
      <c r="F412" s="801"/>
      <c r="G412" s="802"/>
      <c r="H412" s="802"/>
      <c r="I412" s="802"/>
      <c r="J412" s="802"/>
      <c r="K412" s="802"/>
      <c r="L412" s="802"/>
      <c r="M412" s="802"/>
      <c r="N412" s="802"/>
      <c r="O412" s="802"/>
      <c r="P412" s="802"/>
      <c r="Q412" s="802"/>
      <c r="R412" s="802"/>
      <c r="S412" s="802"/>
      <c r="T412" s="802"/>
      <c r="U412" s="802"/>
      <c r="V412" s="802"/>
      <c r="W412" s="802"/>
      <c r="X412" s="802"/>
      <c r="Y412" s="802"/>
      <c r="Z412" s="802"/>
      <c r="AA412" s="802"/>
      <c r="AB412" s="802"/>
      <c r="AC412" s="802"/>
      <c r="AD412" s="802"/>
      <c r="AE412" s="802"/>
      <c r="AF412" s="802"/>
      <c r="AG412" s="802"/>
      <c r="AH412" s="802"/>
      <c r="AI412" s="802"/>
      <c r="AJ412" s="802"/>
      <c r="AK412" s="802"/>
      <c r="AL412" s="802"/>
      <c r="AM412" s="315"/>
      <c r="AN412" s="315"/>
    </row>
    <row r="413" spans="1:40" s="792" customFormat="1" ht="14.25" customHeight="1">
      <c r="A413" s="989" t="s">
        <v>530</v>
      </c>
      <c r="B413" s="791"/>
      <c r="C413" s="791"/>
      <c r="D413" s="791"/>
      <c r="E413" s="791"/>
      <c r="F413" s="790"/>
      <c r="G413" s="790"/>
      <c r="H413" s="790"/>
      <c r="I413" s="790"/>
      <c r="J413" s="790"/>
      <c r="K413" s="790"/>
      <c r="L413" s="790"/>
      <c r="M413" s="790"/>
      <c r="N413" s="790"/>
      <c r="O413" s="790"/>
      <c r="P413" s="790"/>
      <c r="Q413" s="790"/>
      <c r="R413" s="790"/>
      <c r="S413" s="790"/>
      <c r="T413" s="790"/>
      <c r="U413" s="790"/>
      <c r="V413" s="790"/>
      <c r="W413" s="790"/>
      <c r="X413" s="790"/>
      <c r="Y413" s="790"/>
      <c r="Z413" s="790"/>
      <c r="AA413" s="790"/>
      <c r="AB413" s="790"/>
      <c r="AC413" s="790"/>
      <c r="AD413" s="790"/>
      <c r="AE413" s="790"/>
      <c r="AF413" s="790"/>
      <c r="AG413" s="790"/>
      <c r="AH413" s="790"/>
      <c r="AI413" s="790"/>
      <c r="AJ413" s="790"/>
      <c r="AK413" s="790"/>
      <c r="AL413" s="790"/>
      <c r="AM413" s="791"/>
      <c r="AN413" s="791"/>
    </row>
    <row r="414" spans="1:40" ht="12.6">
      <c r="A414" s="990" t="s">
        <v>531</v>
      </c>
      <c r="B414" s="991" t="s">
        <v>121</v>
      </c>
      <c r="C414" s="991"/>
      <c r="D414" s="315"/>
      <c r="E414" s="991" t="s">
        <v>122</v>
      </c>
      <c r="F414" s="300" t="s">
        <v>108</v>
      </c>
      <c r="G414" s="300" t="s">
        <v>108</v>
      </c>
      <c r="H414" s="300" t="s">
        <v>108</v>
      </c>
      <c r="I414" s="300" t="s">
        <v>108</v>
      </c>
      <c r="J414" s="300" t="s">
        <v>108</v>
      </c>
      <c r="K414" s="300" t="s">
        <v>108</v>
      </c>
      <c r="L414" s="300" t="s">
        <v>108</v>
      </c>
      <c r="M414" s="300" t="s">
        <v>108</v>
      </c>
      <c r="N414" s="300" t="s">
        <v>108</v>
      </c>
      <c r="O414" s="300" t="s">
        <v>108</v>
      </c>
      <c r="P414" s="300" t="s">
        <v>108</v>
      </c>
      <c r="Q414" s="300" t="s">
        <v>108</v>
      </c>
      <c r="R414" s="300" t="s">
        <v>108</v>
      </c>
      <c r="S414" s="300" t="s">
        <v>108</v>
      </c>
      <c r="T414" s="300" t="s">
        <v>108</v>
      </c>
      <c r="U414" s="300" t="s">
        <v>108</v>
      </c>
      <c r="V414" s="300" t="s">
        <v>108</v>
      </c>
      <c r="W414" s="300" t="s">
        <v>108</v>
      </c>
      <c r="X414" s="300" t="s">
        <v>108</v>
      </c>
      <c r="Y414" s="300" t="s">
        <v>108</v>
      </c>
      <c r="Z414" s="300" t="s">
        <v>108</v>
      </c>
      <c r="AA414" s="300" t="s">
        <v>108</v>
      </c>
      <c r="AB414" s="300" t="s">
        <v>108</v>
      </c>
      <c r="AC414" s="300" t="s">
        <v>108</v>
      </c>
      <c r="AD414" s="300" t="s">
        <v>108</v>
      </c>
      <c r="AE414" s="300" t="s">
        <v>108</v>
      </c>
      <c r="AF414" s="300" t="s">
        <v>108</v>
      </c>
      <c r="AG414" s="300" t="s">
        <v>108</v>
      </c>
      <c r="AH414" s="300" t="s">
        <v>108</v>
      </c>
      <c r="AI414" s="300" t="s">
        <v>108</v>
      </c>
      <c r="AJ414" s="300" t="s">
        <v>108</v>
      </c>
      <c r="AK414" s="300" t="s">
        <v>108</v>
      </c>
      <c r="AL414" s="300" t="s">
        <v>108</v>
      </c>
      <c r="AM414" s="315"/>
      <c r="AN414" s="315"/>
    </row>
    <row r="415" spans="1:40" ht="12.6">
      <c r="A415" s="990" t="s">
        <v>532</v>
      </c>
      <c r="B415" s="991" t="s">
        <v>124</v>
      </c>
      <c r="C415" s="991"/>
      <c r="D415" s="315"/>
      <c r="E415" s="315" t="s">
        <v>125</v>
      </c>
      <c r="F415" s="799" t="s">
        <v>126</v>
      </c>
      <c r="G415" s="799" t="s">
        <v>126</v>
      </c>
      <c r="H415" s="799" t="s">
        <v>126</v>
      </c>
      <c r="I415" s="799" t="s">
        <v>126</v>
      </c>
      <c r="J415" s="799" t="s">
        <v>126</v>
      </c>
      <c r="K415" s="799" t="s">
        <v>126</v>
      </c>
      <c r="L415" s="799" t="s">
        <v>126</v>
      </c>
      <c r="M415" s="799" t="s">
        <v>126</v>
      </c>
      <c r="N415" s="799" t="s">
        <v>126</v>
      </c>
      <c r="O415" s="799" t="s">
        <v>126</v>
      </c>
      <c r="P415" s="799" t="s">
        <v>126</v>
      </c>
      <c r="Q415" s="799" t="s">
        <v>126</v>
      </c>
      <c r="R415" s="799" t="s">
        <v>126</v>
      </c>
      <c r="S415" s="799" t="s">
        <v>126</v>
      </c>
      <c r="T415" s="799" t="s">
        <v>126</v>
      </c>
      <c r="U415" s="799" t="s">
        <v>126</v>
      </c>
      <c r="V415" s="799" t="s">
        <v>126</v>
      </c>
      <c r="W415" s="799" t="s">
        <v>126</v>
      </c>
      <c r="X415" s="799" t="s">
        <v>126</v>
      </c>
      <c r="Y415" s="799" t="s">
        <v>126</v>
      </c>
      <c r="Z415" s="799" t="s">
        <v>126</v>
      </c>
      <c r="AA415" s="799" t="s">
        <v>126</v>
      </c>
      <c r="AB415" s="799" t="s">
        <v>126</v>
      </c>
      <c r="AC415" s="799" t="s">
        <v>126</v>
      </c>
      <c r="AD415" s="799" t="s">
        <v>126</v>
      </c>
      <c r="AE415" s="799" t="s">
        <v>126</v>
      </c>
      <c r="AF415" s="799" t="s">
        <v>126</v>
      </c>
      <c r="AG415" s="799" t="s">
        <v>126</v>
      </c>
      <c r="AH415" s="799" t="s">
        <v>126</v>
      </c>
      <c r="AI415" s="799" t="s">
        <v>126</v>
      </c>
      <c r="AJ415" s="799" t="s">
        <v>126</v>
      </c>
      <c r="AK415" s="799" t="s">
        <v>126</v>
      </c>
      <c r="AL415" s="799" t="s">
        <v>126</v>
      </c>
      <c r="AM415" s="315"/>
      <c r="AN415" s="315"/>
    </row>
    <row r="416" spans="1:40" ht="12.6">
      <c r="A416" s="990" t="s">
        <v>533</v>
      </c>
      <c r="B416" s="991" t="s">
        <v>128</v>
      </c>
      <c r="C416" s="991"/>
      <c r="D416" s="991" t="s">
        <v>129</v>
      </c>
      <c r="E416" s="991" t="s">
        <v>130</v>
      </c>
      <c r="F416" s="300" t="s">
        <v>108</v>
      </c>
      <c r="G416" s="300" t="s">
        <v>108</v>
      </c>
      <c r="H416" s="300" t="s">
        <v>108</v>
      </c>
      <c r="I416" s="300" t="s">
        <v>108</v>
      </c>
      <c r="J416" s="300" t="s">
        <v>108</v>
      </c>
      <c r="K416" s="300" t="s">
        <v>108</v>
      </c>
      <c r="L416" s="300" t="s">
        <v>108</v>
      </c>
      <c r="M416" s="300" t="s">
        <v>108</v>
      </c>
      <c r="N416" s="300" t="s">
        <v>108</v>
      </c>
      <c r="O416" s="300" t="s">
        <v>108</v>
      </c>
      <c r="P416" s="300" t="s">
        <v>108</v>
      </c>
      <c r="Q416" s="300" t="s">
        <v>108</v>
      </c>
      <c r="R416" s="300" t="s">
        <v>108</v>
      </c>
      <c r="S416" s="300" t="s">
        <v>108</v>
      </c>
      <c r="T416" s="300" t="s">
        <v>108</v>
      </c>
      <c r="U416" s="300" t="s">
        <v>108</v>
      </c>
      <c r="V416" s="300" t="s">
        <v>108</v>
      </c>
      <c r="W416" s="300" t="s">
        <v>108</v>
      </c>
      <c r="X416" s="300" t="s">
        <v>108</v>
      </c>
      <c r="Y416" s="300" t="s">
        <v>108</v>
      </c>
      <c r="Z416" s="300" t="s">
        <v>108</v>
      </c>
      <c r="AA416" s="300" t="s">
        <v>108</v>
      </c>
      <c r="AB416" s="300" t="s">
        <v>108</v>
      </c>
      <c r="AC416" s="300" t="s">
        <v>108</v>
      </c>
      <c r="AD416" s="300" t="s">
        <v>108</v>
      </c>
      <c r="AE416" s="300" t="s">
        <v>108</v>
      </c>
      <c r="AF416" s="300" t="s">
        <v>108</v>
      </c>
      <c r="AG416" s="300" t="s">
        <v>108</v>
      </c>
      <c r="AH416" s="300" t="s">
        <v>108</v>
      </c>
      <c r="AI416" s="300" t="s">
        <v>108</v>
      </c>
      <c r="AJ416" s="300" t="s">
        <v>108</v>
      </c>
      <c r="AK416" s="300" t="s">
        <v>108</v>
      </c>
      <c r="AL416" s="300" t="s">
        <v>108</v>
      </c>
      <c r="AM416" s="315"/>
      <c r="AN416" s="315"/>
    </row>
    <row r="417" spans="1:40" ht="12.6">
      <c r="A417" s="990" t="s">
        <v>534</v>
      </c>
      <c r="B417" s="991" t="s">
        <v>132</v>
      </c>
      <c r="C417" s="991"/>
      <c r="D417" s="991" t="s">
        <v>129</v>
      </c>
      <c r="E417" s="991" t="s">
        <v>130</v>
      </c>
      <c r="F417" s="794" t="s">
        <v>108</v>
      </c>
      <c r="G417" s="794" t="s">
        <v>108</v>
      </c>
      <c r="H417" s="794" t="s">
        <v>108</v>
      </c>
      <c r="I417" s="794" t="s">
        <v>108</v>
      </c>
      <c r="J417" s="794" t="s">
        <v>108</v>
      </c>
      <c r="K417" s="794" t="s">
        <v>108</v>
      </c>
      <c r="L417" s="794" t="s">
        <v>108</v>
      </c>
      <c r="M417" s="794" t="s">
        <v>108</v>
      </c>
      <c r="N417" s="794" t="s">
        <v>108</v>
      </c>
      <c r="O417" s="794" t="s">
        <v>108</v>
      </c>
      <c r="P417" s="794" t="s">
        <v>108</v>
      </c>
      <c r="Q417" s="794" t="s">
        <v>108</v>
      </c>
      <c r="R417" s="794" t="s">
        <v>108</v>
      </c>
      <c r="S417" s="794" t="s">
        <v>108</v>
      </c>
      <c r="T417" s="794" t="s">
        <v>108</v>
      </c>
      <c r="U417" s="794" t="s">
        <v>108</v>
      </c>
      <c r="V417" s="794" t="s">
        <v>108</v>
      </c>
      <c r="W417" s="794" t="s">
        <v>108</v>
      </c>
      <c r="X417" s="794" t="s">
        <v>108</v>
      </c>
      <c r="Y417" s="794" t="s">
        <v>108</v>
      </c>
      <c r="Z417" s="794" t="s">
        <v>108</v>
      </c>
      <c r="AA417" s="794" t="s">
        <v>108</v>
      </c>
      <c r="AB417" s="794" t="s">
        <v>108</v>
      </c>
      <c r="AC417" s="794" t="s">
        <v>108</v>
      </c>
      <c r="AD417" s="794" t="s">
        <v>108</v>
      </c>
      <c r="AE417" s="794" t="s">
        <v>108</v>
      </c>
      <c r="AF417" s="794" t="s">
        <v>108</v>
      </c>
      <c r="AG417" s="794" t="s">
        <v>108</v>
      </c>
      <c r="AH417" s="794" t="s">
        <v>108</v>
      </c>
      <c r="AI417" s="794" t="s">
        <v>108</v>
      </c>
      <c r="AJ417" s="794" t="s">
        <v>108</v>
      </c>
      <c r="AK417" s="794" t="s">
        <v>108</v>
      </c>
      <c r="AL417" s="794" t="s">
        <v>108</v>
      </c>
      <c r="AM417" s="315"/>
      <c r="AN417" s="315"/>
    </row>
    <row r="418" spans="1:40" ht="12.6">
      <c r="A418" s="990" t="s">
        <v>535</v>
      </c>
      <c r="B418" s="991" t="s">
        <v>134</v>
      </c>
      <c r="D418" s="315"/>
      <c r="E418" s="315"/>
      <c r="F418" s="801"/>
      <c r="G418" s="802"/>
      <c r="H418" s="802"/>
      <c r="I418" s="802"/>
      <c r="J418" s="802"/>
      <c r="K418" s="802"/>
      <c r="L418" s="802"/>
      <c r="M418" s="802"/>
      <c r="N418" s="802"/>
      <c r="O418" s="802"/>
      <c r="P418" s="802"/>
      <c r="Q418" s="802"/>
      <c r="R418" s="802"/>
      <c r="S418" s="802"/>
      <c r="T418" s="802"/>
      <c r="U418" s="802"/>
      <c r="V418" s="802"/>
      <c r="W418" s="802"/>
      <c r="X418" s="802"/>
      <c r="Y418" s="802"/>
      <c r="Z418" s="802"/>
      <c r="AA418" s="802"/>
      <c r="AB418" s="802"/>
      <c r="AC418" s="802"/>
      <c r="AD418" s="802"/>
      <c r="AE418" s="802"/>
      <c r="AF418" s="802"/>
      <c r="AG418" s="802"/>
      <c r="AH418" s="802"/>
      <c r="AI418" s="802"/>
      <c r="AJ418" s="802"/>
      <c r="AK418" s="802"/>
      <c r="AL418" s="802"/>
      <c r="AM418" s="315"/>
      <c r="AN418" s="315"/>
    </row>
    <row r="419" spans="1:40" s="797" customFormat="1" ht="12.95">
      <c r="A419" s="796" t="s">
        <v>536</v>
      </c>
      <c r="B419" s="796"/>
      <c r="C419" s="796"/>
      <c r="D419" s="796"/>
      <c r="E419" s="796"/>
      <c r="F419" s="795"/>
      <c r="G419" s="795"/>
      <c r="H419" s="795"/>
      <c r="I419" s="795"/>
      <c r="J419" s="795"/>
      <c r="K419" s="795"/>
      <c r="L419" s="795"/>
      <c r="M419" s="795"/>
      <c r="N419" s="795"/>
      <c r="O419" s="795"/>
      <c r="P419" s="795"/>
      <c r="Q419" s="795"/>
      <c r="R419" s="795"/>
      <c r="S419" s="795"/>
      <c r="T419" s="795"/>
      <c r="U419" s="795"/>
      <c r="V419" s="795"/>
      <c r="W419" s="795"/>
      <c r="X419" s="795"/>
      <c r="Y419" s="795"/>
      <c r="Z419" s="795"/>
      <c r="AA419" s="795"/>
      <c r="AB419" s="795"/>
      <c r="AC419" s="795"/>
      <c r="AD419" s="795"/>
      <c r="AE419" s="795"/>
      <c r="AF419" s="795"/>
      <c r="AG419" s="795"/>
      <c r="AH419" s="795"/>
      <c r="AI419" s="795"/>
      <c r="AJ419" s="795"/>
      <c r="AK419" s="795"/>
      <c r="AL419" s="795"/>
      <c r="AM419" s="796"/>
      <c r="AN419" s="796"/>
    </row>
    <row r="420" spans="1:40" s="792" customFormat="1" ht="14.25" customHeight="1">
      <c r="A420" s="989" t="s">
        <v>537</v>
      </c>
      <c r="B420" s="791"/>
      <c r="C420" s="791"/>
      <c r="D420" s="791"/>
      <c r="E420" s="791"/>
      <c r="F420" s="790"/>
      <c r="G420" s="790"/>
      <c r="H420" s="790"/>
      <c r="I420" s="790"/>
      <c r="J420" s="790"/>
      <c r="K420" s="790"/>
      <c r="L420" s="790"/>
      <c r="M420" s="790"/>
      <c r="N420" s="790"/>
      <c r="O420" s="790"/>
      <c r="P420" s="790"/>
      <c r="Q420" s="790"/>
      <c r="R420" s="790"/>
      <c r="S420" s="790"/>
      <c r="T420" s="790"/>
      <c r="U420" s="790"/>
      <c r="V420" s="790"/>
      <c r="W420" s="790"/>
      <c r="X420" s="790"/>
      <c r="Y420" s="790"/>
      <c r="Z420" s="790"/>
      <c r="AA420" s="790"/>
      <c r="AB420" s="790"/>
      <c r="AC420" s="790"/>
      <c r="AD420" s="790"/>
      <c r="AE420" s="790"/>
      <c r="AF420" s="790"/>
      <c r="AG420" s="790"/>
      <c r="AH420" s="790"/>
      <c r="AI420" s="790"/>
      <c r="AJ420" s="790"/>
      <c r="AK420" s="790"/>
      <c r="AL420" s="790"/>
      <c r="AM420" s="791"/>
      <c r="AN420" s="791"/>
    </row>
    <row r="421" spans="1:40" ht="12.6">
      <c r="A421" s="990" t="s">
        <v>538</v>
      </c>
      <c r="B421" s="991" t="s">
        <v>121</v>
      </c>
      <c r="C421" s="991"/>
      <c r="D421" s="315"/>
      <c r="E421" s="991" t="s">
        <v>122</v>
      </c>
      <c r="F421" s="294">
        <f>'[5]1A2'!C$2-SUM(F110,F142,F417, F359,F328,F297,F266,F235,F390,F515)</f>
        <v>2337408.1245607757</v>
      </c>
      <c r="G421" s="294">
        <f>'[5]1A2'!D$2-SUM(G110,G142,G417, G359,G328,G297,G266,G235,G390,G515)</f>
        <v>2134351.4621261433</v>
      </c>
      <c r="H421" s="294">
        <f>'[5]1A2'!E$2-SUM(H110,H142,H417, H359,H328,H297,H266,H235,H390,H515)</f>
        <v>2317498.9712290065</v>
      </c>
      <c r="I421" s="294">
        <f>'[5]1A2'!F$2-SUM(I110,I142,I417, I359,I328,I297,I266,I235,I390,I515)</f>
        <v>2193583.6099763834</v>
      </c>
      <c r="J421" s="294">
        <f>'[5]1A2'!G$2-SUM(J110,J142,J417, J359,J328,J297,J266,J235,J390,J515)</f>
        <v>2245129.3345796485</v>
      </c>
      <c r="K421" s="294">
        <f>'[5]1A2'!H$2-SUM(K110,K142,K417, K359,K328,K297,K266,K235,K390,K515)</f>
        <v>2307614.5490302201</v>
      </c>
      <c r="L421" s="294">
        <f>'[5]1A2'!I$2-SUM(L110,L142,L417, L359,L328,L297,L266,L235,L390,L515)</f>
        <v>2586798.1580551066</v>
      </c>
      <c r="M421" s="294">
        <f>'[5]1A2'!J$2-SUM(M110,M142,M417, M359,M328,M297,M266,M235,M390,M515)</f>
        <v>2513767.9944677781</v>
      </c>
      <c r="N421" s="294">
        <f>'[5]1A2'!K$2-SUM(N110,N142,N417, N359,N328,N297,N266,N235,N390,N515)</f>
        <v>2276263.4936414664</v>
      </c>
      <c r="O421" s="294">
        <f>'[5]1A2'!L$2-SUM(O110,O142,O417, O359,O328,O297,O266,O235,O390,O515)</f>
        <v>2030782.7609385026</v>
      </c>
      <c r="P421" s="294">
        <f>'[5]1A2'!M$2-SUM(P110,P142,P417, P359,P328,P297,P266,P235,P390,P515)</f>
        <v>2313769.0581654729</v>
      </c>
      <c r="Q421" s="294">
        <f>'[5]1A2'!N$2-SUM(Q110,Q142,Q417, Q359,Q328,Q297,Q266,Q235,Q390,Q515)</f>
        <v>2810510.4639325324</v>
      </c>
      <c r="R421" s="294">
        <f>'[5]1A2'!O$2-SUM(R110,R142,R417, R359,R328,R297,R266,R235,R390,R515)</f>
        <v>2681531.9811647506</v>
      </c>
      <c r="S421" s="294">
        <f>'[5]1A2'!P$2-SUM(S110,S142,S417, S359,S328,S297,S266,S235,S390,S515)</f>
        <v>2757471.0758141796</v>
      </c>
      <c r="T421" s="294">
        <f>'[5]1A2'!Q$2-SUM(T110,T142,T417, T359,T328,T297,T266,T235,T390,T515)</f>
        <v>3016277.8249676488</v>
      </c>
      <c r="U421" s="294">
        <f>'[5]1A2'!R$2-SUM(U110,U142,U417, U359,U328,U297,U266,U235,U390,U515)</f>
        <v>3200368.8188120034</v>
      </c>
      <c r="V421" s="294">
        <f>'[5]1A2'!S$2-SUM(V110,V142,V417, V359,V328,V297,V266,V235,V390,V515)</f>
        <v>3510453.8122143927</v>
      </c>
      <c r="W421" s="294">
        <f>'[5]1A2'!T$2-SUM(W110,W142,W417, W359,W328,W297,W266,W235,W390,W515)</f>
        <v>3356909.6252744738</v>
      </c>
      <c r="X421" s="294">
        <f>'[5]1A2'!U$2-SUM(X110,X142,X417, X359,X328,X297,X266,X235,X390,X515)</f>
        <v>2808566.2523656324</v>
      </c>
      <c r="Y421" s="294">
        <f>'[5]1A2'!V$2-SUM(Y110,Y142,Y417, Y359,Y328,Y297,Y266,Y235,Y390,Y515)</f>
        <v>2448493.5698921024</v>
      </c>
      <c r="Z421" s="294">
        <f>'[5]1A2'!W$2-SUM(Z110,Z142,Z417, Z359,Z328,Z297,Z266,Z235,Z390,Z515)</f>
        <v>2653291.7011541408</v>
      </c>
      <c r="AA421" s="294">
        <f>'[5]1A2'!X$2-SUM(AA110,AA142,AA417, AA359,AA328,AA297,AA266,AA235,AA390,AA515)</f>
        <v>2652965.0538157816</v>
      </c>
      <c r="AB421" s="294">
        <f>'[5]1A2'!Y$2-SUM(AB110,AB142,AB417, AB359,AB328,AB297,AB266,AB235,AB390,AB515)</f>
        <v>2673746.0307892794</v>
      </c>
      <c r="AC421" s="294">
        <f>'[5]1A2'!Z$2-SUM(AC110,AC142,AC417, AC359,AC328,AC297,AC266,AC235,AC390,AC515)</f>
        <v>2795564.8726207949</v>
      </c>
      <c r="AD421" s="294">
        <f>'[5]1A2'!AA$2-SUM(AD110,AD142,AD417, AD359,AD328,AD297,AD266,AD235,AD390,AD515)</f>
        <v>2293360.7666804632</v>
      </c>
      <c r="AE421" s="294">
        <f>'[5]1A2'!AB$2-SUM(AE110,AE142,AE417, AE359,AE328,AE297,AE266,AE235,AE390,AE515)</f>
        <v>2325830.1290550055</v>
      </c>
      <c r="AF421" s="294">
        <f>'[5]1A2'!AC$2-SUM(AF110,AF142,AF417, AF359,AF328,AF297,AF266,AF235,AF390,AF515)</f>
        <v>2193921.9285522033</v>
      </c>
      <c r="AG421" s="294">
        <f>'[5]1A2'!AD$2-SUM(AG110,AG142,AG417, AG359,AG328,AG297,AG266,AG235,AG390,AG515)</f>
        <v>2178040.8593862038</v>
      </c>
      <c r="AH421" s="294">
        <f>'[5]1A2'!AE$2-SUM(AH110,AH142,AH417, AH359,AH328,AH297,AH266,AH235,AH390,AH515)</f>
        <v>2183518.1026100377</v>
      </c>
      <c r="AI421" s="294">
        <f>'[5]1A2'!AF$2-SUM(AI110,AI142,AI417, AI359,AI328,AI297,AI266,AI235,AI390,AI515)</f>
        <v>2246214.7846801663</v>
      </c>
      <c r="AJ421" s="294">
        <f>'[5]1A2'!AG$2-SUM(AJ110,AJ142,AJ417, AJ359,AJ328,AJ297,AJ266,AJ235,AJ390,AJ515)</f>
        <v>2025378.8477184766</v>
      </c>
      <c r="AK421" s="294">
        <f>'[5]1A2'!AH$2-SUM(AK110,AK142,AK417, AK359,AK328,AK297,AK266,AK235,AK390,AK515)</f>
        <v>1872008.6234828667</v>
      </c>
      <c r="AL421" s="1068">
        <f>AK421</f>
        <v>1872008.6234828667</v>
      </c>
      <c r="AM421" s="315"/>
      <c r="AN421" s="315"/>
    </row>
    <row r="422" spans="1:40" ht="12.6">
      <c r="A422" s="990" t="s">
        <v>539</v>
      </c>
      <c r="B422" s="991" t="s">
        <v>124</v>
      </c>
      <c r="C422" s="991"/>
      <c r="D422" s="315"/>
      <c r="E422" s="315" t="s">
        <v>125</v>
      </c>
      <c r="F422" s="300" t="s">
        <v>126</v>
      </c>
      <c r="G422" s="300" t="s">
        <v>126</v>
      </c>
      <c r="H422" s="300" t="s">
        <v>126</v>
      </c>
      <c r="I422" s="300" t="s">
        <v>126</v>
      </c>
      <c r="J422" s="300" t="s">
        <v>126</v>
      </c>
      <c r="K422" s="300" t="s">
        <v>126</v>
      </c>
      <c r="L422" s="300" t="s">
        <v>126</v>
      </c>
      <c r="M422" s="300" t="s">
        <v>126</v>
      </c>
      <c r="N422" s="300" t="s">
        <v>126</v>
      </c>
      <c r="O422" s="300" t="s">
        <v>126</v>
      </c>
      <c r="P422" s="300" t="s">
        <v>126</v>
      </c>
      <c r="Q422" s="300" t="s">
        <v>126</v>
      </c>
      <c r="R422" s="300" t="s">
        <v>126</v>
      </c>
      <c r="S422" s="300" t="s">
        <v>126</v>
      </c>
      <c r="T422" s="300" t="s">
        <v>126</v>
      </c>
      <c r="U422" s="300" t="s">
        <v>126</v>
      </c>
      <c r="V422" s="300" t="s">
        <v>126</v>
      </c>
      <c r="W422" s="300" t="s">
        <v>126</v>
      </c>
      <c r="X422" s="300" t="s">
        <v>126</v>
      </c>
      <c r="Y422" s="300" t="s">
        <v>126</v>
      </c>
      <c r="Z422" s="300" t="s">
        <v>126</v>
      </c>
      <c r="AA422" s="300" t="s">
        <v>126</v>
      </c>
      <c r="AB422" s="300" t="s">
        <v>126</v>
      </c>
      <c r="AC422" s="300" t="s">
        <v>126</v>
      </c>
      <c r="AD422" s="300" t="s">
        <v>126</v>
      </c>
      <c r="AE422" s="300" t="s">
        <v>126</v>
      </c>
      <c r="AF422" s="300" t="s">
        <v>126</v>
      </c>
      <c r="AG422" s="300" t="s">
        <v>126</v>
      </c>
      <c r="AH422" s="300" t="s">
        <v>126</v>
      </c>
      <c r="AI422" s="300" t="s">
        <v>126</v>
      </c>
      <c r="AJ422" s="300" t="s">
        <v>126</v>
      </c>
      <c r="AK422" s="300" t="s">
        <v>126</v>
      </c>
      <c r="AL422" s="300" t="s">
        <v>126</v>
      </c>
      <c r="AM422" s="315"/>
      <c r="AN422" s="315"/>
    </row>
    <row r="423" spans="1:40" ht="12.6">
      <c r="A423" s="990" t="s">
        <v>540</v>
      </c>
      <c r="B423" s="991" t="s">
        <v>128</v>
      </c>
      <c r="C423" s="991"/>
      <c r="D423" s="991" t="s">
        <v>129</v>
      </c>
      <c r="E423" s="991" t="s">
        <v>130</v>
      </c>
      <c r="F423" s="296">
        <f>('[5]1A2'!C$6)-SUM(F112, F144, F361,F330,F299,F268,F237,F392,F517)</f>
        <v>175871.501360511</v>
      </c>
      <c r="G423" s="296">
        <f>('[5]1A2'!D$6)-SUM(G112, G144, G361,G330,G299,G268,G237,G392,G517)</f>
        <v>158118.61607340848</v>
      </c>
      <c r="H423" s="296">
        <f>('[5]1A2'!E$6)-SUM(H112, H144, H361,H330,H299,H268,H237,H392,H517)</f>
        <v>173776.29584461785</v>
      </c>
      <c r="I423" s="296">
        <f>('[5]1A2'!F$6)-SUM(I112, I144, I361,I330,I299,I268,I237,I392,I517)</f>
        <v>162921.37538339006</v>
      </c>
      <c r="J423" s="296">
        <f>('[5]1A2'!G$6)-SUM(J112, J144, J361,J330,J299,J268,J237,J392,J517)</f>
        <v>167182.04131372826</v>
      </c>
      <c r="K423" s="296">
        <f>('[5]1A2'!H$6)-SUM(K112, K144, K361,K330,K299,K268,K237,K392,K517)</f>
        <v>168812.80753363422</v>
      </c>
      <c r="L423" s="296">
        <f>('[5]1A2'!I$6)-SUM(L112, L144, L361,L330,L299,L268,L237,L392,L517)</f>
        <v>193965.84008087066</v>
      </c>
      <c r="M423" s="296">
        <f>('[5]1A2'!J$6)-SUM(M112, M144, M361,M330,M299,M268,M237,M392,M517)</f>
        <v>189187.71215548238</v>
      </c>
      <c r="N423" s="296">
        <f>('[5]1A2'!K$6)-SUM(N112, N144, N361,N330,N299,N268,N237,N392,N517)</f>
        <v>174096.32607910084</v>
      </c>
      <c r="O423" s="296">
        <f>('[5]1A2'!L$6)-SUM(O112, O144, O361,O330,O299,O268,O237,O392,O517)</f>
        <v>157092.18435019616</v>
      </c>
      <c r="P423" s="296">
        <f>('[5]1A2'!M$6)-SUM(P112, P144, P361,P330,P299,P268,P237,P392,P517)</f>
        <v>175987.69009622253</v>
      </c>
      <c r="Q423" s="296">
        <f>('[5]1A2'!N$6)-SUM(Q112, Q144, Q361,Q330,Q299,Q268,Q237,Q392,Q517)</f>
        <v>210320.24807742666</v>
      </c>
      <c r="R423" s="296">
        <f>('[5]1A2'!O$6)-SUM(R112, R144, R361,R330,R299,R268,R237,R392,R517)</f>
        <v>200134.87607408169</v>
      </c>
      <c r="S423" s="296">
        <f>('[5]1A2'!P$6)-SUM(S112, S144, S361,S330,S299,S268,S237,S392,S517)</f>
        <v>211637.86513382455</v>
      </c>
      <c r="T423" s="296">
        <f>('[5]1A2'!Q$6)-SUM(T112, T144, T361,T330,T299,T268,T237,T392,T517)</f>
        <v>229825.68597974448</v>
      </c>
      <c r="U423" s="296">
        <f>('[5]1A2'!R$6)-SUM(U112, U144, U361,U330,U299,U268,U237,U392,U517)</f>
        <v>238621.33353946006</v>
      </c>
      <c r="V423" s="296">
        <f>('[5]1A2'!S$6)-SUM(V112, V144, V361,V330,V299,V268,V237,V392,V517)</f>
        <v>264888.01348616474</v>
      </c>
      <c r="W423" s="296">
        <f>('[5]1A2'!T$6)-SUM(W112, W144, W361,W330,W299,W268,W237,W392,W517)</f>
        <v>252779.71257105214</v>
      </c>
      <c r="X423" s="296">
        <f>('[5]1A2'!U$6)-SUM(X112, X144, X361,X330,X299,X268,X237,X392,X517)</f>
        <v>209838.22576910048</v>
      </c>
      <c r="Y423" s="296">
        <f>('[5]1A2'!V$6)-SUM(Y112, Y144, Y361,Y330,Y299,Y268,Y237,Y392,Y517)</f>
        <v>178270.6159969132</v>
      </c>
      <c r="Z423" s="296">
        <f>('[5]1A2'!W$6)-SUM(Z112, Z144, Z361,Z330,Z299,Z268,Z237,Z392,Z517)</f>
        <v>192940.60196601378</v>
      </c>
      <c r="AA423" s="296">
        <f>('[5]1A2'!X$6)-SUM(AA112, AA144, AA361,AA330,AA299,AA268,AA237,AA392,AA517)</f>
        <v>192487.35974859193</v>
      </c>
      <c r="AB423" s="296">
        <f>('[5]1A2'!Y$6)-SUM(AB112, AB144, AB361,AB330,AB299,AB268,AB237,AB392,AB517)</f>
        <v>193843.06011139887</v>
      </c>
      <c r="AC423" s="296">
        <f>('[5]1A2'!Z$6)-SUM(AC112, AC144, AC361,AC330,AC299,AC268,AC237,AC392,AC517)</f>
        <v>203534.85749946875</v>
      </c>
      <c r="AD423" s="296">
        <f>('[5]1A2'!AA$6)-SUM(AD112, AD144, AD361,AD330,AD299,AD268,AD237,AD392,AD517)</f>
        <v>169282.51477622785</v>
      </c>
      <c r="AE423" s="296">
        <f>('[5]1A2'!AB$6)-SUM(AE112, AE144, AE361,AE330,AE299,AE268,AE237,AE392,AE517)</f>
        <v>169265.27681774434</v>
      </c>
      <c r="AF423" s="296">
        <f>('[5]1A2'!AC$6)-SUM(AF112, AF144, AF361,AF330,AF299,AF268,AF237,AF392,AF517)</f>
        <v>167140.84179968826</v>
      </c>
      <c r="AG423" s="296">
        <f>('[5]1A2'!AD$6)-SUM(AG112, AG144, AG361,AG330,AG299,AG268,AG237,AG392,AG517)</f>
        <v>163967.76248129344</v>
      </c>
      <c r="AH423" s="296">
        <f>('[5]1A2'!AE$6)-SUM(AH112, AH144, AH361,AH330,AH299,AH268,AH237,AH392,AH517)</f>
        <v>167095.65036800422</v>
      </c>
      <c r="AI423" s="296">
        <f>('[5]1A2'!AF$6)-SUM(AI112, AI144, AI361,AI330,AI299,AI268,AI237,AI392,AI517)</f>
        <v>166408.19418245906</v>
      </c>
      <c r="AJ423" s="296">
        <f>('[5]1A2'!AG$6)-SUM(AJ112, AJ144, AJ361,AJ330,AJ299,AJ268,AJ237,AJ392,AJ517)</f>
        <v>140861.53050319862</v>
      </c>
      <c r="AK423" s="296">
        <f>('[5]1A2'!AH$6)-SUM(AK112, AK144, AK361,AK330,AK299,AK268,AK237,AK392,AK517)</f>
        <v>134243.9238522427</v>
      </c>
      <c r="AL423" s="1068">
        <f>AK423</f>
        <v>134243.9238522427</v>
      </c>
      <c r="AM423" s="315"/>
      <c r="AN423" s="315"/>
    </row>
    <row r="424" spans="1:40" ht="12.6">
      <c r="A424" s="990" t="s">
        <v>541</v>
      </c>
      <c r="B424" s="991" t="s">
        <v>132</v>
      </c>
      <c r="C424" s="991"/>
      <c r="D424" s="991" t="s">
        <v>129</v>
      </c>
      <c r="E424" s="991" t="s">
        <v>130</v>
      </c>
      <c r="F424" s="799" t="s">
        <v>106</v>
      </c>
      <c r="G424" s="799" t="s">
        <v>106</v>
      </c>
      <c r="H424" s="799" t="s">
        <v>106</v>
      </c>
      <c r="I424" s="799" t="s">
        <v>106</v>
      </c>
      <c r="J424" s="799" t="s">
        <v>106</v>
      </c>
      <c r="K424" s="799" t="s">
        <v>106</v>
      </c>
      <c r="L424" s="799" t="s">
        <v>106</v>
      </c>
      <c r="M424" s="799" t="s">
        <v>106</v>
      </c>
      <c r="N424" s="799" t="s">
        <v>106</v>
      </c>
      <c r="O424" s="799" t="s">
        <v>106</v>
      </c>
      <c r="P424" s="799" t="s">
        <v>106</v>
      </c>
      <c r="Q424" s="799" t="s">
        <v>106</v>
      </c>
      <c r="R424" s="799" t="s">
        <v>106</v>
      </c>
      <c r="S424" s="799" t="s">
        <v>106</v>
      </c>
      <c r="T424" s="799" t="s">
        <v>106</v>
      </c>
      <c r="U424" s="799" t="s">
        <v>106</v>
      </c>
      <c r="V424" s="799" t="s">
        <v>106</v>
      </c>
      <c r="W424" s="799" t="s">
        <v>106</v>
      </c>
      <c r="X424" s="799" t="s">
        <v>106</v>
      </c>
      <c r="Y424" s="799" t="s">
        <v>106</v>
      </c>
      <c r="Z424" s="799" t="s">
        <v>106</v>
      </c>
      <c r="AA424" s="799" t="s">
        <v>106</v>
      </c>
      <c r="AB424" s="799" t="s">
        <v>106</v>
      </c>
      <c r="AC424" s="799" t="s">
        <v>106</v>
      </c>
      <c r="AD424" s="799" t="s">
        <v>106</v>
      </c>
      <c r="AE424" s="799" t="s">
        <v>106</v>
      </c>
      <c r="AF424" s="799" t="s">
        <v>106</v>
      </c>
      <c r="AG424" s="799" t="s">
        <v>106</v>
      </c>
      <c r="AH424" s="799" t="s">
        <v>106</v>
      </c>
      <c r="AI424" s="799" t="s">
        <v>106</v>
      </c>
      <c r="AJ424" s="799" t="s">
        <v>106</v>
      </c>
      <c r="AK424" s="799" t="s">
        <v>106</v>
      </c>
      <c r="AL424" s="799" t="s">
        <v>106</v>
      </c>
      <c r="AM424" s="315"/>
      <c r="AN424" s="315"/>
    </row>
    <row r="425" spans="1:40" ht="12.6">
      <c r="A425" s="990" t="s">
        <v>542</v>
      </c>
      <c r="B425" s="991" t="s">
        <v>134</v>
      </c>
      <c r="D425" s="315"/>
      <c r="E425" s="315"/>
      <c r="F425" s="802" t="s">
        <v>543</v>
      </c>
      <c r="G425" s="802" t="s">
        <v>543</v>
      </c>
      <c r="H425" s="802" t="s">
        <v>543</v>
      </c>
      <c r="I425" s="802" t="s">
        <v>543</v>
      </c>
      <c r="J425" s="802" t="s">
        <v>543</v>
      </c>
      <c r="K425" s="802" t="s">
        <v>543</v>
      </c>
      <c r="L425" s="802" t="s">
        <v>543</v>
      </c>
      <c r="M425" s="802" t="s">
        <v>543</v>
      </c>
      <c r="N425" s="802" t="s">
        <v>543</v>
      </c>
      <c r="O425" s="802" t="s">
        <v>543</v>
      </c>
      <c r="P425" s="802" t="s">
        <v>543</v>
      </c>
      <c r="Q425" s="802" t="s">
        <v>543</v>
      </c>
      <c r="R425" s="802" t="s">
        <v>543</v>
      </c>
      <c r="S425" s="802" t="s">
        <v>543</v>
      </c>
      <c r="T425" s="802" t="s">
        <v>543</v>
      </c>
      <c r="U425" s="802" t="s">
        <v>543</v>
      </c>
      <c r="V425" s="802" t="s">
        <v>543</v>
      </c>
      <c r="W425" s="802" t="s">
        <v>543</v>
      </c>
      <c r="X425" s="802" t="s">
        <v>543</v>
      </c>
      <c r="Y425" s="802" t="s">
        <v>543</v>
      </c>
      <c r="Z425" s="802" t="s">
        <v>543</v>
      </c>
      <c r="AA425" s="802" t="s">
        <v>543</v>
      </c>
      <c r="AB425" s="802" t="s">
        <v>543</v>
      </c>
      <c r="AC425" s="802" t="s">
        <v>543</v>
      </c>
      <c r="AD425" s="802" t="s">
        <v>543</v>
      </c>
      <c r="AE425" s="802" t="s">
        <v>543</v>
      </c>
      <c r="AF425" s="802" t="s">
        <v>543</v>
      </c>
      <c r="AG425" s="802" t="s">
        <v>543</v>
      </c>
      <c r="AH425" s="802" t="s">
        <v>543</v>
      </c>
      <c r="AI425" s="802" t="s">
        <v>543</v>
      </c>
      <c r="AJ425" s="802" t="s">
        <v>543</v>
      </c>
      <c r="AK425" s="802" t="s">
        <v>543</v>
      </c>
      <c r="AL425" s="802" t="s">
        <v>543</v>
      </c>
      <c r="AM425" s="315"/>
      <c r="AN425" s="315"/>
    </row>
    <row r="426" spans="1:40" s="792" customFormat="1" ht="14.25" customHeight="1">
      <c r="A426" s="989" t="s">
        <v>544</v>
      </c>
      <c r="B426" s="791"/>
      <c r="C426" s="791"/>
      <c r="D426" s="791"/>
      <c r="E426" s="791"/>
      <c r="F426" s="790"/>
      <c r="G426" s="790"/>
      <c r="H426" s="790"/>
      <c r="I426" s="790"/>
      <c r="J426" s="790"/>
      <c r="K426" s="790"/>
      <c r="L426" s="790"/>
      <c r="M426" s="790"/>
      <c r="N426" s="790"/>
      <c r="O426" s="790"/>
      <c r="P426" s="790"/>
      <c r="Q426" s="790"/>
      <c r="R426" s="790"/>
      <c r="S426" s="790"/>
      <c r="T426" s="790"/>
      <c r="U426" s="790"/>
      <c r="V426" s="790"/>
      <c r="W426" s="790"/>
      <c r="X426" s="790"/>
      <c r="Y426" s="790"/>
      <c r="Z426" s="790"/>
      <c r="AA426" s="790"/>
      <c r="AB426" s="790"/>
      <c r="AC426" s="790"/>
      <c r="AD426" s="790"/>
      <c r="AE426" s="790"/>
      <c r="AF426" s="790"/>
      <c r="AG426" s="790"/>
      <c r="AH426" s="790"/>
      <c r="AI426" s="790"/>
      <c r="AJ426" s="790"/>
      <c r="AK426" s="790"/>
      <c r="AL426" s="790"/>
      <c r="AM426" s="791"/>
      <c r="AN426" s="791"/>
    </row>
    <row r="427" spans="1:40" ht="12.6">
      <c r="A427" s="990" t="s">
        <v>545</v>
      </c>
      <c r="B427" s="991" t="s">
        <v>121</v>
      </c>
      <c r="C427" s="991"/>
      <c r="D427" s="315"/>
      <c r="E427" s="991" t="s">
        <v>122</v>
      </c>
      <c r="F427" s="294">
        <f>'1990'!$P$8*1055.05585262-SUM(F116, F148,F365,F334,F303,F272,F241,F396,F521)</f>
        <v>612347.98065944901</v>
      </c>
      <c r="G427" s="294">
        <f>'1991'!$P$8*1055.05585262-SUM(G116, G148, G365,G334,G303,G272,G241,G396,G521)</f>
        <v>576804.45122964773</v>
      </c>
      <c r="H427" s="294">
        <f>'1992'!$P$8*1055.05585262-SUM(H116, H148, H365,H334,H303,H272,H241,H396,H521)</f>
        <v>532851.31365916389</v>
      </c>
      <c r="I427" s="294">
        <f>'1993'!$P$8*1055.05585262-SUM(I116, I148, I365,I334,I303,I272,I241,I396,I521)</f>
        <v>568034.51228441414</v>
      </c>
      <c r="J427" s="294">
        <f>'1994'!$P$8*1055.05585262-SUM(J116, J148, J365,J334,J303,J272,J241,J396,J521)</f>
        <v>581783.62790474854</v>
      </c>
      <c r="K427" s="294">
        <f>'1995'!$P$8*1055.05585262-SUM(K116,K148,K365,K334,K303,K272,K241,K396,K521)</f>
        <v>518346.53049479891</v>
      </c>
      <c r="L427" s="294">
        <f>'1996'!$P$8*1055.05585262-SUM(L116,L148,L365,L334,L303,L272,L241,L396,L521)</f>
        <v>449473.95106154052</v>
      </c>
      <c r="M427" s="294">
        <f>'1997'!$P$8*1055.05585262-SUM(M116,M148,M365,M334,M303,M272,M241,M396,M521)</f>
        <v>458995.24808927486</v>
      </c>
      <c r="N427" s="294">
        <f>'1998'!$P$8*1055.05585262-SUM(N116,N148,N365,N334,N303,N272,N241,N396,N521)</f>
        <v>481658.67747252528</v>
      </c>
      <c r="O427" s="294">
        <f>'1999'!$P$8*1055.05585262-SUM(O116,O148,O365,O334,O303,O272,O241,O396,O521)</f>
        <v>361926.01316906628</v>
      </c>
      <c r="P427" s="294">
        <f>'2000'!$P$8*1055.05585262-SUM(P116,P148,P365,P334,P303,P272,P241,P396,P521)</f>
        <v>305058.24107206077</v>
      </c>
      <c r="Q427" s="294">
        <f>'2001'!$P$8*1055.05585262-SUM(Q116,Q148,Q365,Q334,Q303,Q272,Q241,Q396,Q521)</f>
        <v>313104.61042521661</v>
      </c>
      <c r="R427" s="294">
        <f>'2002'!$P$8*1055.05585262-SUM(R116,R148,R365,R334,R303,R272,R241,R396,R521)</f>
        <v>177577.5766592219</v>
      </c>
      <c r="S427" s="294">
        <f>'2003'!$P$8*1055.05585262-SUM(S116,S148,S365,S334,S303,S272,S241,S396,S521)</f>
        <v>218764.27397616953</v>
      </c>
      <c r="T427" s="294">
        <f>'2004'!$P$8*1055.05585262-SUM(T116,T148,T365,T334,T303,T272,T241,T396,T521)</f>
        <v>265388.5060710609</v>
      </c>
      <c r="U427" s="294">
        <f>'2005'!$P$8*1055.05585262-SUM(U116,U148,U365,U334,U303,U272,U241,U396,U521)</f>
        <v>259301.89517633384</v>
      </c>
      <c r="V427" s="294">
        <f>'2006'!$P$8*1055.05585262-SUM(V116,V148,V365,V334,V303,V272,V241,V396,V521)</f>
        <v>267966.89660280105</v>
      </c>
      <c r="W427" s="294">
        <f>'2007'!$P$8*1055.05585262-SUM(W116,W148,W365,W334,W303,W272,W241,W396,W521)</f>
        <v>275662.48609947728</v>
      </c>
      <c r="X427" s="294">
        <f>'2008'!$P$8*1055.05585262-SUM(X116,X148,X365,X334,X303,X272,X241,X396,X521)</f>
        <v>283542.22384816757</v>
      </c>
      <c r="Y427" s="294">
        <f>'2009'!$P$8*1055.05585262-SUM(Y116,Y148,Y365,Y334,Y303,Y272,Y241,Y396,Y521)</f>
        <v>129983.97768540087</v>
      </c>
      <c r="Z427" s="294">
        <f>'2010'!$P$8*1055.05585262-SUM(Z116,Z148,Z365,Z334,Z303,Z272,Z241,Z396,Z521)</f>
        <v>269193.0616157403</v>
      </c>
      <c r="AA427" s="294">
        <f>'2011'!$P$8*1055.05585262-SUM(AA116,AA148,AA365,AA334,AA303,AA272,AA241,AA396,AA521)</f>
        <v>99186.020257508615</v>
      </c>
      <c r="AB427" s="294">
        <f>'2012'!$P$8*1055.05585262-SUM(AB116,AB148,AB365,AB334,AB303,AB272,AB241,AB396,AB521)</f>
        <v>93657.466347707203</v>
      </c>
      <c r="AC427" s="294">
        <f>'2013'!$P$8*1055.05585262-SUM(AC116,AC148,AC365,AC334,AC303,AC272,AC241,AC396,AC521)</f>
        <v>126965.41420840612</v>
      </c>
      <c r="AD427" s="294">
        <f>'2014'!$P$8*1055.05585262-SUM(AD116,AD148,AD365,AD334,AD303,AD272,AD241,AD396,AD521)</f>
        <v>124943.31965132034</v>
      </c>
      <c r="AE427" s="294">
        <f>'2015'!$P$8*1055.05585262-SUM(AE116,AE148,AE365,AE334,AE303,AE272,AE241,AE396,AE521)</f>
        <v>112237.77648227755</v>
      </c>
      <c r="AF427" s="294">
        <f>'2016'!$P$8*1055.05585262-SUM(AF116,AF148,AF365,AF334,AF303,AF272,AF241,AF396,AF521)</f>
        <v>141595.10961321602</v>
      </c>
      <c r="AG427" s="294">
        <f>'2017'!$P$8*1055.05585262-SUM(AG116,AG148,AG365,AG334,AG303,AG272,AG241,AG396,AG521)</f>
        <v>139491.7714545714</v>
      </c>
      <c r="AH427" s="294">
        <f>'2018'!$P$8*1055.05585262-SUM(AH116,AH148,AH365,AH334,AH303,AH272,AH241,AH396,AH521)</f>
        <v>120876.9479094852</v>
      </c>
      <c r="AI427" s="294">
        <f>'2019'!$P$8*1055.05585262-SUM(AI116,AI148,AI365,AI334,AI303,AI272,AI241,AI396,AI521)</f>
        <v>108300.32101991284</v>
      </c>
      <c r="AJ427" s="294">
        <f>'2020'!$P$8*1055.05585262-SUM(AJ116,AJ148,AJ365,AJ334,AJ303,AJ272,AJ241,AJ396,AJ521)</f>
        <v>96043.963039722177</v>
      </c>
      <c r="AK427" s="294">
        <f>'2021'!$P$8*1055.05585262-SUM(AK116,AK148,AK365,AK334,AK303,AK272,AK241,AK396,AK521)</f>
        <v>97954.230693797639</v>
      </c>
      <c r="AL427" s="294">
        <f>'2022'!$P$8*1055.05585262-SUM(AL116,AL148,AL365,AL334,AL303,AL272,AL241,AL396,AL521)</f>
        <v>93755.160596093163</v>
      </c>
      <c r="AM427" s="315"/>
      <c r="AN427" s="315"/>
    </row>
    <row r="428" spans="1:40" ht="12.6">
      <c r="A428" s="990" t="s">
        <v>546</v>
      </c>
      <c r="B428" s="991" t="s">
        <v>124</v>
      </c>
      <c r="C428" s="991"/>
      <c r="D428" s="315"/>
      <c r="E428" s="315" t="s">
        <v>125</v>
      </c>
      <c r="F428" s="300" t="s">
        <v>126</v>
      </c>
      <c r="G428" s="300" t="s">
        <v>126</v>
      </c>
      <c r="H428" s="300" t="s">
        <v>126</v>
      </c>
      <c r="I428" s="300" t="s">
        <v>126</v>
      </c>
      <c r="J428" s="300" t="s">
        <v>126</v>
      </c>
      <c r="K428" s="300" t="s">
        <v>126</v>
      </c>
      <c r="L428" s="300" t="s">
        <v>126</v>
      </c>
      <c r="M428" s="300" t="s">
        <v>126</v>
      </c>
      <c r="N428" s="300" t="s">
        <v>126</v>
      </c>
      <c r="O428" s="300" t="s">
        <v>126</v>
      </c>
      <c r="P428" s="300" t="s">
        <v>126</v>
      </c>
      <c r="Q428" s="300" t="s">
        <v>126</v>
      </c>
      <c r="R428" s="300" t="s">
        <v>126</v>
      </c>
      <c r="S428" s="300" t="s">
        <v>126</v>
      </c>
      <c r="T428" s="300" t="s">
        <v>126</v>
      </c>
      <c r="U428" s="300" t="s">
        <v>126</v>
      </c>
      <c r="V428" s="300" t="s">
        <v>126</v>
      </c>
      <c r="W428" s="300" t="s">
        <v>126</v>
      </c>
      <c r="X428" s="300" t="s">
        <v>126</v>
      </c>
      <c r="Y428" s="300" t="s">
        <v>126</v>
      </c>
      <c r="Z428" s="300" t="s">
        <v>126</v>
      </c>
      <c r="AA428" s="300" t="s">
        <v>126</v>
      </c>
      <c r="AB428" s="300" t="s">
        <v>126</v>
      </c>
      <c r="AC428" s="300" t="s">
        <v>126</v>
      </c>
      <c r="AD428" s="300" t="s">
        <v>126</v>
      </c>
      <c r="AE428" s="300" t="s">
        <v>126</v>
      </c>
      <c r="AF428" s="300" t="s">
        <v>126</v>
      </c>
      <c r="AG428" s="300" t="s">
        <v>126</v>
      </c>
      <c r="AH428" s="300" t="s">
        <v>126</v>
      </c>
      <c r="AI428" s="300" t="s">
        <v>126</v>
      </c>
      <c r="AJ428" s="300" t="s">
        <v>126</v>
      </c>
      <c r="AK428" s="300" t="s">
        <v>126</v>
      </c>
      <c r="AL428" s="300" t="s">
        <v>126</v>
      </c>
      <c r="AM428" s="315"/>
      <c r="AN428" s="315"/>
    </row>
    <row r="429" spans="1:40" ht="12.6">
      <c r="A429" s="990" t="s">
        <v>547</v>
      </c>
      <c r="B429" s="991" t="s">
        <v>128</v>
      </c>
      <c r="C429" s="991"/>
      <c r="D429" s="991" t="s">
        <v>129</v>
      </c>
      <c r="E429" s="991" t="s">
        <v>130</v>
      </c>
      <c r="F429" s="296">
        <f>('Summary Table'!C10*1000)-SUM(F118,F150,F367,F336,F305,F274,F243,F398,F523)</f>
        <v>54917.271243776646</v>
      </c>
      <c r="G429" s="296">
        <f>('Summary Table'!D10*1000)-SUM(G118,G150,G367,G336,G305,G274,G243,G398,G523)</f>
        <v>51862.398262604795</v>
      </c>
      <c r="H429" s="296">
        <f>('Summary Table'!E10*1000)-SUM(H118,H150,H367,H336,H305,H274,H243,H398,H523)</f>
        <v>47880.886575774188</v>
      </c>
      <c r="I429" s="296">
        <f>('Summary Table'!F10*1000)-SUM(I118,I150,I367,I336,I305,I274,I243,I398,I523)</f>
        <v>50852.266244220911</v>
      </c>
      <c r="J429" s="296">
        <f>('Summary Table'!G10*1000)-SUM(J118,J150, J367,J336,J305,J274,J243,J398,J523)</f>
        <v>52085.696407589101</v>
      </c>
      <c r="K429" s="296">
        <f>('Summary Table'!H10*1000)-SUM(K118,K150,K367,K336,K305,K274,K243,K398,K523)</f>
        <v>46452.470420405312</v>
      </c>
      <c r="L429" s="296">
        <f>('Summary Table'!I10*1000)-SUM(L118,L150,L367,L336,L305,L274,L243,L398,L523)</f>
        <v>40213.385638524647</v>
      </c>
      <c r="M429" s="296">
        <f>('Summary Table'!J10*1000)-SUM(M118,M150,M367,M336,M305,M274,M243,M398,M523)</f>
        <v>41070.550722800588</v>
      </c>
      <c r="N429" s="296">
        <f>('Summary Table'!K10*1000)-SUM(N118,N150,N367,N336,N305,N274,N243,N398,N523)</f>
        <v>43161.748349057627</v>
      </c>
      <c r="O429" s="296">
        <f>('Summary Table'!L10*1000)-SUM(O118,O150,O367,O336,O305,O274,O243,O398,O523)</f>
        <v>32446.385364649148</v>
      </c>
      <c r="P429" s="296">
        <f>('Summary Table'!M10*1000)-SUM(P118,P150,P367,P336,P305,P274,P243,P398,P523)</f>
        <v>27285.237694868294</v>
      </c>
      <c r="Q429" s="296">
        <f>('Summary Table'!N10*1000)-SUM(Q118,Q150,Q367,Q336,Q305,Q274,Q243,Q398,Q523)</f>
        <v>27915.554717203995</v>
      </c>
      <c r="R429" s="296">
        <f>('Summary Table'!O10*1000)-SUM(R118,R150,R367,R336,R305,R274,R243,R398,R523)</f>
        <v>15775.22702335885</v>
      </c>
      <c r="S429" s="296">
        <f>('Summary Table'!P10*1000)-SUM(S118,S150,S367,S336,S305,S274,S243,S398,S523)</f>
        <v>19418.166271300302</v>
      </c>
      <c r="T429" s="296">
        <f>('Summary Table'!Q10*1000)-SUM(T118,T150,T367,T336,T305,T274,T243,T398,T523)</f>
        <v>23563.477508267271</v>
      </c>
      <c r="U429" s="296">
        <f>('Summary Table'!R10*1000)-SUM(U118,U150,U367,U336,U305,U274,U243,U398,U523)</f>
        <v>23245.179044604462</v>
      </c>
      <c r="V429" s="296">
        <f>('Summary Table'!S10*1000)-SUM(V118,V150,V367,V336,V305,V274,V243,V398,V523)</f>
        <v>24057.426197871158</v>
      </c>
      <c r="W429" s="296">
        <f>('Summary Table'!T10*1000)-SUM(W118,W150,W367,W336,W305,W274,W243,W398,W523)</f>
        <v>24728.723313176277</v>
      </c>
      <c r="X429" s="296">
        <f>('Summary Table'!U10*1000)-SUM(X118,X150,X367,X336,X305,X274,X243,X398,X523)</f>
        <v>25435.048112888893</v>
      </c>
      <c r="Y429" s="296">
        <f>('Summary Table'!V10*1000)-SUM(Y118,Y150,Y367,Y336,Y305,Y274,Y243,Y398,Y523)</f>
        <v>11683.09258839293</v>
      </c>
      <c r="Z429" s="296">
        <f>('Summary Table'!W10*1000)-SUM(Z118,Z150,Z367,Z336,Z305,Z274,Z243,Z398,Z523)</f>
        <v>24195.262060886147</v>
      </c>
      <c r="AA429" s="296">
        <f>('Summary Table'!X10*1000)-SUM(AA118,AA150,AA367,AA336,AA305,AA274,AA243,AA398,AA523)</f>
        <v>8921.6638816667692</v>
      </c>
      <c r="AB429" s="296">
        <f>('Summary Table'!Y10*1000)-SUM(AB118,AB150,AB367,AB336,AB305,AB274,AB243,AB398,AB523)</f>
        <v>8441.7446438232437</v>
      </c>
      <c r="AC429" s="296">
        <f>('Summary Table'!Z10*1000)-SUM(AC118,AC150,AC367,AC336,AC305,AC274,AC243,AC398,AC523)</f>
        <v>11439.540910336174</v>
      </c>
      <c r="AD429" s="296">
        <f>('Summary Table'!AA10*1000)-SUM(AD118,AD150,AD367,AD336,AD305,AD274,AD243,AD398,AD523)</f>
        <v>11266.090105527634</v>
      </c>
      <c r="AE429" s="296">
        <f>('Summary Table'!AB10*1000)-SUM(AE118,AE150,AE367,AE336,AE305,AE274,AE243,AE398,AE523)</f>
        <v>10143.269230743834</v>
      </c>
      <c r="AF429" s="296">
        <f>('Summary Table'!AC10*1000)-SUM(AF118,AF150,AF367,AF336,AF305,AF274,AF243,AF398,AF523)</f>
        <v>12811.351189498084</v>
      </c>
      <c r="AG429" s="296">
        <f>('Summary Table'!AD10*1000)-SUM(AG118,AG150,AG367,AG336,AG305,AG274,AG243,AG398,AG523)</f>
        <v>12633.004713902155</v>
      </c>
      <c r="AH429" s="296">
        <f>('Summary Table'!AE10*1000)-SUM(AH118,AH150,AH367,AH336,AH305,AH274,AH243,AH398,AH523)</f>
        <v>10956.144295296755</v>
      </c>
      <c r="AI429" s="296">
        <f>('Summary Table'!AF10*1000)-SUM(AI118,AI150,AI367,AI336,AI305,AI274,AI243,AI398,AI523)</f>
        <v>9812.5127567061791</v>
      </c>
      <c r="AJ429" s="296">
        <f>('Summary Table'!AG10*1000)-SUM(AJ118,AJ150,AJ367,AJ336,AJ305,AJ274,AJ243,AJ398,AJ523)</f>
        <v>8721.1905072160225</v>
      </c>
      <c r="AK429" s="296">
        <f>('Summary Table'!AH10*1000)-SUM(AK118,AK150,AK367,AK336,AK305,AK274,AK243,AK398,AK523)</f>
        <v>8883.7276213360383</v>
      </c>
      <c r="AL429" s="296">
        <f>('Summary Table'!AI10*1000)-SUM(AL118,AL150,AL367,AL336,AL305,AL274,AL243,AL398,AL523)</f>
        <v>8517.3188856043198</v>
      </c>
      <c r="AM429" s="315"/>
      <c r="AN429" s="315"/>
    </row>
    <row r="430" spans="1:40" ht="12.6">
      <c r="A430" s="990" t="s">
        <v>548</v>
      </c>
      <c r="B430" s="991" t="s">
        <v>132</v>
      </c>
      <c r="C430" s="991"/>
      <c r="D430" s="991" t="s">
        <v>129</v>
      </c>
      <c r="E430" s="991" t="s">
        <v>130</v>
      </c>
      <c r="F430" s="799" t="s">
        <v>106</v>
      </c>
      <c r="G430" s="799" t="s">
        <v>106</v>
      </c>
      <c r="H430" s="799" t="s">
        <v>106</v>
      </c>
      <c r="I430" s="799" t="s">
        <v>106</v>
      </c>
      <c r="J430" s="799" t="s">
        <v>106</v>
      </c>
      <c r="K430" s="799" t="s">
        <v>106</v>
      </c>
      <c r="L430" s="799" t="s">
        <v>106</v>
      </c>
      <c r="M430" s="799" t="s">
        <v>106</v>
      </c>
      <c r="N430" s="799" t="s">
        <v>106</v>
      </c>
      <c r="O430" s="799" t="s">
        <v>106</v>
      </c>
      <c r="P430" s="799" t="s">
        <v>106</v>
      </c>
      <c r="Q430" s="799" t="s">
        <v>106</v>
      </c>
      <c r="R430" s="799" t="s">
        <v>106</v>
      </c>
      <c r="S430" s="799" t="s">
        <v>106</v>
      </c>
      <c r="T430" s="799" t="s">
        <v>106</v>
      </c>
      <c r="U430" s="799" t="s">
        <v>106</v>
      </c>
      <c r="V430" s="799" t="s">
        <v>106</v>
      </c>
      <c r="W430" s="799" t="s">
        <v>106</v>
      </c>
      <c r="X430" s="799" t="s">
        <v>106</v>
      </c>
      <c r="Y430" s="799" t="s">
        <v>106</v>
      </c>
      <c r="Z430" s="799" t="s">
        <v>106</v>
      </c>
      <c r="AA430" s="799" t="s">
        <v>106</v>
      </c>
      <c r="AB430" s="799" t="s">
        <v>106</v>
      </c>
      <c r="AC430" s="799" t="s">
        <v>106</v>
      </c>
      <c r="AD430" s="799" t="s">
        <v>106</v>
      </c>
      <c r="AE430" s="799" t="s">
        <v>106</v>
      </c>
      <c r="AF430" s="799" t="s">
        <v>106</v>
      </c>
      <c r="AG430" s="799" t="s">
        <v>106</v>
      </c>
      <c r="AH430" s="799" t="s">
        <v>106</v>
      </c>
      <c r="AI430" s="799" t="s">
        <v>106</v>
      </c>
      <c r="AJ430" s="799" t="s">
        <v>106</v>
      </c>
      <c r="AK430" s="799" t="s">
        <v>106</v>
      </c>
      <c r="AL430" s="799" t="s">
        <v>106</v>
      </c>
      <c r="AM430" s="315"/>
      <c r="AN430" s="315"/>
    </row>
    <row r="431" spans="1:40" ht="12.6">
      <c r="A431" s="990" t="s">
        <v>549</v>
      </c>
      <c r="B431" s="991" t="s">
        <v>134</v>
      </c>
      <c r="D431" s="315"/>
      <c r="E431" s="315"/>
      <c r="F431" s="802" t="s">
        <v>543</v>
      </c>
      <c r="G431" s="802" t="s">
        <v>543</v>
      </c>
      <c r="H431" s="802" t="s">
        <v>543</v>
      </c>
      <c r="I431" s="802" t="s">
        <v>543</v>
      </c>
      <c r="J431" s="802" t="s">
        <v>543</v>
      </c>
      <c r="K431" s="802" t="s">
        <v>543</v>
      </c>
      <c r="L431" s="802" t="s">
        <v>543</v>
      </c>
      <c r="M431" s="802" t="s">
        <v>543</v>
      </c>
      <c r="N431" s="802" t="s">
        <v>543</v>
      </c>
      <c r="O431" s="802" t="s">
        <v>543</v>
      </c>
      <c r="P431" s="802" t="s">
        <v>543</v>
      </c>
      <c r="Q431" s="802" t="s">
        <v>543</v>
      </c>
      <c r="R431" s="802" t="s">
        <v>543</v>
      </c>
      <c r="S431" s="802" t="s">
        <v>543</v>
      </c>
      <c r="T431" s="802" t="s">
        <v>543</v>
      </c>
      <c r="U431" s="802" t="s">
        <v>543</v>
      </c>
      <c r="V431" s="802" t="s">
        <v>543</v>
      </c>
      <c r="W431" s="802" t="s">
        <v>543</v>
      </c>
      <c r="X431" s="802" t="s">
        <v>543</v>
      </c>
      <c r="Y431" s="802" t="s">
        <v>543</v>
      </c>
      <c r="Z431" s="802" t="s">
        <v>543</v>
      </c>
      <c r="AA431" s="802" t="s">
        <v>543</v>
      </c>
      <c r="AB431" s="802" t="s">
        <v>543</v>
      </c>
      <c r="AC431" s="802" t="s">
        <v>543</v>
      </c>
      <c r="AD431" s="802" t="s">
        <v>543</v>
      </c>
      <c r="AE431" s="802" t="s">
        <v>543</v>
      </c>
      <c r="AF431" s="802" t="s">
        <v>543</v>
      </c>
      <c r="AG431" s="802" t="s">
        <v>543</v>
      </c>
      <c r="AH431" s="802" t="s">
        <v>543</v>
      </c>
      <c r="AI431" s="802" t="s">
        <v>543</v>
      </c>
      <c r="AJ431" s="802" t="s">
        <v>543</v>
      </c>
      <c r="AK431" s="802" t="s">
        <v>543</v>
      </c>
      <c r="AL431" s="802" t="s">
        <v>543</v>
      </c>
      <c r="AM431" s="315"/>
      <c r="AN431" s="315"/>
    </row>
    <row r="432" spans="1:40" s="792" customFormat="1" ht="14.25" customHeight="1">
      <c r="A432" s="989" t="s">
        <v>550</v>
      </c>
      <c r="B432" s="791"/>
      <c r="C432" s="791"/>
      <c r="D432" s="791"/>
      <c r="E432" s="791"/>
      <c r="F432" s="790"/>
      <c r="G432" s="790"/>
      <c r="H432" s="790"/>
      <c r="I432" s="790"/>
      <c r="J432" s="790"/>
      <c r="K432" s="790"/>
      <c r="L432" s="790"/>
      <c r="M432" s="790"/>
      <c r="N432" s="790"/>
      <c r="O432" s="790"/>
      <c r="P432" s="790"/>
      <c r="Q432" s="790"/>
      <c r="R432" s="790"/>
      <c r="S432" s="790"/>
      <c r="T432" s="790"/>
      <c r="U432" s="790"/>
      <c r="V432" s="790"/>
      <c r="W432" s="790"/>
      <c r="X432" s="790"/>
      <c r="Y432" s="790"/>
      <c r="Z432" s="790"/>
      <c r="AA432" s="790"/>
      <c r="AB432" s="790"/>
      <c r="AC432" s="790"/>
      <c r="AD432" s="790"/>
      <c r="AE432" s="790"/>
      <c r="AF432" s="790"/>
      <c r="AG432" s="790"/>
      <c r="AH432" s="790"/>
      <c r="AI432" s="790"/>
      <c r="AJ432" s="790"/>
      <c r="AK432" s="790"/>
      <c r="AL432" s="790"/>
      <c r="AM432" s="791"/>
      <c r="AN432" s="791"/>
    </row>
    <row r="433" spans="1:40" ht="12.6">
      <c r="A433" s="990" t="s">
        <v>551</v>
      </c>
      <c r="B433" s="991" t="s">
        <v>121</v>
      </c>
      <c r="C433" s="991"/>
      <c r="D433" s="315"/>
      <c r="E433" s="991" t="s">
        <v>122</v>
      </c>
      <c r="F433" s="294">
        <f>'[5]1A2'!C$4-SUM(F122,F154,F371,F340,F309,F278,F247,F402,F527)</f>
        <v>4639380.2386652026</v>
      </c>
      <c r="G433" s="294">
        <f>'[5]1A2'!D$4-SUM(G122,G154,G371,G340,G309,G278,G247,G402,G527)</f>
        <v>4625167.1709479084</v>
      </c>
      <c r="H433" s="294">
        <f>'[5]1A2'!E$4-SUM(H122,H154,H371,H340,H309,H278,H247,H402,H527)</f>
        <v>4887038.5373825869</v>
      </c>
      <c r="I433" s="294">
        <f>'[5]1A2'!F$4-SUM(I122,I154,I371,I340,I309,I278,I247,I402,I527)</f>
        <v>4912830.4567370219</v>
      </c>
      <c r="J433" s="294">
        <f>'[5]1A2'!G$4-SUM(J122,J154,J371,J340,J309,J278,J247,J402,J527)</f>
        <v>4874534.599966649</v>
      </c>
      <c r="K433" s="294">
        <f>'[5]1A2'!H$4-SUM(K122,K154,K371,K340,K309,K278,K247,K402,K527)</f>
        <v>5221729.6655324372</v>
      </c>
      <c r="L433" s="294">
        <f>'[5]1A2'!I$4-SUM(L122,L154,L371,L340,L309,L278,L247,L402,L527)</f>
        <v>5529136.97607187</v>
      </c>
      <c r="M433" s="294">
        <f>'[5]1A2'!J$4-SUM(M122,M154,M371,M340,M309,M278,M247,M402,M527)</f>
        <v>5467256.9452802557</v>
      </c>
      <c r="N433" s="294">
        <f>'[5]1A2'!K$4-SUM(N122,N154,N371,N340,N309,N278,N247,N402,N527)</f>
        <v>5166855.1411009179</v>
      </c>
      <c r="O433" s="294">
        <f>'[5]1A2'!L$4-SUM(O122,O154,O371,O340,O309,O278,O247,O402,O527)</f>
        <v>4876077.5267949188</v>
      </c>
      <c r="P433" s="294">
        <f>'[5]1A2'!M$4-SUM(P122,P154,P371,P340,P309,P278,P247,P402,P527)</f>
        <v>5285538.8609791873</v>
      </c>
      <c r="Q433" s="294">
        <f>'[5]1A2'!N$4-SUM(Q122,Q154,Q371,Q340,Q309,Q278,Q247,Q402,Q527)</f>
        <v>4674922.3726151884</v>
      </c>
      <c r="R433" s="294">
        <f>'[5]1A2'!O$4-SUM(R122,R154,R371,R340,R309,R278,R247,R402,R527)</f>
        <v>4943208.2973890193</v>
      </c>
      <c r="S433" s="294">
        <f>'[5]1A2'!P$4-SUM(S122,S154,S371,S340,S309,S278,S247,S402,S527)</f>
        <v>4864125.0770574501</v>
      </c>
      <c r="T433" s="294">
        <f>'[5]1A2'!Q$4-SUM(T122,T154,T371,T340,T309,T278,T247,T402,T527)</f>
        <v>5032209.8362120325</v>
      </c>
      <c r="U433" s="294">
        <f>'[5]1A2'!R$4-SUM(U122,U154,U371,U340,U309,U278,U247,U402,U527)</f>
        <v>4450284.9817371974</v>
      </c>
      <c r="V433" s="294">
        <f>'[5]1A2'!S$4-SUM(V122,V154,V371,V340,V309,V278,V247,V402,V527)</f>
        <v>4603752.4491808871</v>
      </c>
      <c r="W433" s="294">
        <f>'[5]1A2'!T$4-SUM(W122,W154,W371,W340,W309,W278,W247,W402,W527)</f>
        <v>4830856.8455698304</v>
      </c>
      <c r="X433" s="294">
        <f>'[5]1A2'!U$4-SUM(X122,X154,X371,X340,X309,X278,X247,X402,X527)</f>
        <v>4854828.7194269169</v>
      </c>
      <c r="Y433" s="294">
        <f>'[5]1A2'!V$4-SUM(Y122,Y154,Y371,Y340,Y309,Y278,Y247,Y402,Y527)</f>
        <v>4310904.7519020401</v>
      </c>
      <c r="Z433" s="294">
        <f>'[5]1A2'!W$4-SUM(Z122,Z154,Z371,Z340,Z309,Z278,Z247,Z402,Z527)</f>
        <v>5017743.4984143376</v>
      </c>
      <c r="AA433" s="294">
        <f>'[5]1A2'!X$4-SUM(AA122,AA154,AA371,AA340,AA309,AA278,AA247,AA402,AA527)</f>
        <v>4319202.5596135855</v>
      </c>
      <c r="AB433" s="294">
        <f>'[5]1A2'!Y$4-SUM(AB122,AB154,AB371,AB340,AB309,AB278,AB247,AB402,AB527)</f>
        <v>4590672.2327744057</v>
      </c>
      <c r="AC433" s="294">
        <f>'[5]1A2'!Z$4-SUM(AC122,AC154,AC371,AC340,AC309,AC278,AC247,AC402,AC527)</f>
        <v>4859730.4210413853</v>
      </c>
      <c r="AD433" s="294">
        <f>'[5]1A2'!AA$4-SUM(AD122,AD154,AD371,AD340,AD309,AD278,AD247,AD402,AD527)</f>
        <v>4602873.5988237439</v>
      </c>
      <c r="AE433" s="294">
        <f>'[5]1A2'!AB$4-SUM(AE122,AE154,AE371,AE340,AE309,AE278,AE247,AE402,AE527)</f>
        <v>4704261.1320464946</v>
      </c>
      <c r="AF433" s="294">
        <f>'[5]1A2'!AC$4-SUM(AF122,AF154,AF371,AF340,AF309,AF278,AF247,AF402,AF527)</f>
        <v>5235371.1487929355</v>
      </c>
      <c r="AG433" s="294">
        <f>'[5]1A2'!AD$4-SUM(AG122,AG154,AG371,AG340,AG309,AG278,AG247,AG402,AG527)</f>
        <v>5213022.365565192</v>
      </c>
      <c r="AH433" s="294">
        <f>'[5]1A2'!AE$4-SUM(AH122,AH154,AH371,AH340,AH309,AH278,AH247,AH402,AH527)</f>
        <v>5507243.4093463598</v>
      </c>
      <c r="AI433" s="294">
        <f>'[5]1A2'!AF$4-SUM(AI122,AI154,AI371,AI340,AI309,AI278,AI247,AI402,AI527)</f>
        <v>5611013.0347499298</v>
      </c>
      <c r="AJ433" s="294">
        <f>'[5]1A2'!AG$4-SUM(AJ122,AJ154,AJ371,AJ340,AJ309,AJ278,AJ247,AJ402,AJ527)</f>
        <v>5354169.2575803446</v>
      </c>
      <c r="AK433" s="294">
        <f>'[5]1A2'!AH$4-SUM(AK122,AK154,AK371,AK340,AK309,AK278,AK247,AK402,AK527)</f>
        <v>5589017.8472902328</v>
      </c>
      <c r="AL433" s="1069">
        <f>AK433</f>
        <v>5589017.8472902328</v>
      </c>
      <c r="AM433" s="315"/>
      <c r="AN433" s="315"/>
    </row>
    <row r="434" spans="1:40" ht="12.6">
      <c r="A434" s="990" t="s">
        <v>552</v>
      </c>
      <c r="B434" s="991" t="s">
        <v>124</v>
      </c>
      <c r="C434" s="991"/>
      <c r="D434" s="315"/>
      <c r="E434" s="315" t="s">
        <v>125</v>
      </c>
      <c r="F434" s="300" t="s">
        <v>126</v>
      </c>
      <c r="G434" s="300" t="s">
        <v>126</v>
      </c>
      <c r="H434" s="300" t="s">
        <v>126</v>
      </c>
      <c r="I434" s="300" t="s">
        <v>126</v>
      </c>
      <c r="J434" s="300" t="s">
        <v>126</v>
      </c>
      <c r="K434" s="300" t="s">
        <v>126</v>
      </c>
      <c r="L434" s="300" t="s">
        <v>126</v>
      </c>
      <c r="M434" s="300" t="s">
        <v>126</v>
      </c>
      <c r="N434" s="300" t="s">
        <v>126</v>
      </c>
      <c r="O434" s="300" t="s">
        <v>126</v>
      </c>
      <c r="P434" s="300" t="s">
        <v>126</v>
      </c>
      <c r="Q434" s="300" t="s">
        <v>126</v>
      </c>
      <c r="R434" s="300" t="s">
        <v>126</v>
      </c>
      <c r="S434" s="300" t="s">
        <v>126</v>
      </c>
      <c r="T434" s="300" t="s">
        <v>126</v>
      </c>
      <c r="U434" s="300" t="s">
        <v>126</v>
      </c>
      <c r="V434" s="300" t="s">
        <v>126</v>
      </c>
      <c r="W434" s="300" t="s">
        <v>126</v>
      </c>
      <c r="X434" s="300" t="s">
        <v>126</v>
      </c>
      <c r="Y434" s="300" t="s">
        <v>126</v>
      </c>
      <c r="Z434" s="300" t="s">
        <v>126</v>
      </c>
      <c r="AA434" s="300" t="s">
        <v>126</v>
      </c>
      <c r="AB434" s="300" t="s">
        <v>126</v>
      </c>
      <c r="AC434" s="300" t="s">
        <v>126</v>
      </c>
      <c r="AD434" s="300" t="s">
        <v>126</v>
      </c>
      <c r="AE434" s="300" t="s">
        <v>126</v>
      </c>
      <c r="AF434" s="300" t="s">
        <v>126</v>
      </c>
      <c r="AG434" s="300" t="s">
        <v>126</v>
      </c>
      <c r="AH434" s="300" t="s">
        <v>126</v>
      </c>
      <c r="AI434" s="300" t="s">
        <v>126</v>
      </c>
      <c r="AJ434" s="300" t="s">
        <v>126</v>
      </c>
      <c r="AK434" s="300" t="s">
        <v>126</v>
      </c>
      <c r="AL434" s="300" t="s">
        <v>126</v>
      </c>
      <c r="AM434" s="315"/>
      <c r="AN434" s="315"/>
    </row>
    <row r="435" spans="1:40" ht="12.6">
      <c r="A435" s="990" t="s">
        <v>553</v>
      </c>
      <c r="B435" s="991" t="s">
        <v>128</v>
      </c>
      <c r="C435" s="991"/>
      <c r="D435" s="991" t="s">
        <v>129</v>
      </c>
      <c r="E435" s="991" t="s">
        <v>130</v>
      </c>
      <c r="F435" s="296">
        <f>('[5]1A2'!C$8)-SUM(F124,F156,F373,F342,F311,F280,F249,F404,F529)</f>
        <v>242560.95206225663</v>
      </c>
      <c r="G435" s="296">
        <f>('[5]1A2'!D$8)-SUM(G124,G156,G373,G342,G311,G280,G249,G404,G529)</f>
        <v>242981.19500020903</v>
      </c>
      <c r="H435" s="296">
        <f>('[5]1A2'!E$8)-SUM(H124,H156,H373,H342,H311,H280,H249,H404,H529)</f>
        <v>255510.56090564822</v>
      </c>
      <c r="I435" s="296">
        <f>('[5]1A2'!F$8)-SUM(I124,I156,I373,I342,I311,I280,I249,I404,I529)</f>
        <v>257762.91979845183</v>
      </c>
      <c r="J435" s="296">
        <f>('[5]1A2'!G$8)-SUM(J124,J156,J373,J342,J311,J280,J249,J404,J529)</f>
        <v>255162.18593796651</v>
      </c>
      <c r="K435" s="296">
        <f>('[5]1A2'!H$8)-SUM(K124,K156,K373,K342,K311,K280,K249,K404,K529)</f>
        <v>273904.75533927087</v>
      </c>
      <c r="L435" s="296">
        <f>('[5]1A2'!I$8)-SUM(L124,L156,L373,L342,L311,L280,L249,L404,L529)</f>
        <v>287868.27107483271</v>
      </c>
      <c r="M435" s="296">
        <f>('[5]1A2'!J$8)-SUM(M124,M156,M373,M342,M311,M280,M249,M404,M529)</f>
        <v>284633.26299011608</v>
      </c>
      <c r="N435" s="296">
        <f>('[5]1A2'!K$8)-SUM(N124,N156,N373,N342,N311,N280,N249,N404,N529)</f>
        <v>269029.51782206481</v>
      </c>
      <c r="O435" s="296">
        <f>('[5]1A2'!L$8)-SUM(O124,O156,O373,O342,O311,O280,O249,O404,O529)</f>
        <v>254886.25447380968</v>
      </c>
      <c r="P435" s="296">
        <f>('[5]1A2'!M$8)-SUM(P124,P156,P373,P342,P311,P280,P249,P404,P529)</f>
        <v>275679.993519852</v>
      </c>
      <c r="Q435" s="296">
        <f>('[5]1A2'!N$8)-SUM(Q124,Q156,Q373,Q342,Q311,Q280,Q249,Q404,Q529)</f>
        <v>244713.85484096321</v>
      </c>
      <c r="R435" s="296">
        <f>('[5]1A2'!O$8)-SUM(R124,R156,R373,R342,R311,R280,R249,R404,R529)</f>
        <v>259297.70272010757</v>
      </c>
      <c r="S435" s="296">
        <f>('[5]1A2'!P$8)-SUM(S124,S156,S373,S342,S311,S280,S249,S404,S529)</f>
        <v>253091.43781312741</v>
      </c>
      <c r="T435" s="296">
        <f>('[5]1A2'!Q$8)-SUM(T124,T156,T373,T342,T311,T280,T249,T404,T529)</f>
        <v>261703.70169074551</v>
      </c>
      <c r="U435" s="296">
        <f>('[5]1A2'!R$8)-SUM(U124,U156,U373,U342,U311,U280,U249,U404,U529)</f>
        <v>233293.82074356324</v>
      </c>
      <c r="V435" s="296">
        <f>('[5]1A2'!S$8)-SUM(V124,V156,V373,V342,V311,V280,V249,V404,V529)</f>
        <v>239517.17297208688</v>
      </c>
      <c r="W435" s="296">
        <f>('[5]1A2'!T$8)-SUM(W124,W156,W373,W342,W311,W280,W249,W404,W529)</f>
        <v>251587.57704203133</v>
      </c>
      <c r="X435" s="296">
        <f>('[5]1A2'!U$8)-SUM(X124,X156,X373,X342,X311,X280,X249,X404,X529)</f>
        <v>254492.06077399664</v>
      </c>
      <c r="Y435" s="296">
        <f>('[5]1A2'!V$8)-SUM(Y124,Y156,Y373,Y342,Y311,Y280,Y249,Y404,Y529)</f>
        <v>229328.05941777199</v>
      </c>
      <c r="Z435" s="296">
        <f>('[5]1A2'!W$8)-SUM(Z124,Z156,Z373,Z342,Z311,Z280,Z249,Z404,Z529)</f>
        <v>265942.08273896365</v>
      </c>
      <c r="AA435" s="296">
        <f>('[5]1A2'!X$8)-SUM(AA124,AA156,AA373,AA342,AA311,AA280,AA249,AA404,AA529)</f>
        <v>228740.06986413297</v>
      </c>
      <c r="AB435" s="296">
        <f>('[5]1A2'!Y$8)-SUM(AB124,AB156,AB373,AB342,AB311,AB280,AB249,AB404,AB529)</f>
        <v>242699.64435289538</v>
      </c>
      <c r="AC435" s="296">
        <f>('[5]1A2'!Z$8)-SUM(AC124,AC156,AC373,AC342,AC311,AC280,AC249,AC404,AC529)</f>
        <v>255052.75854736852</v>
      </c>
      <c r="AD435" s="296">
        <f>('[5]1A2'!AA$8)-SUM(AD124,AD156,AD373,AD342,AD311,AD280,AD249,AD404,AD529)</f>
        <v>241477.44048915297</v>
      </c>
      <c r="AE435" s="296">
        <f>('[5]1A2'!AB$8)-SUM(AE124,AE156,AE373,AE342,AE311,AE280,AE249,AE404,AE529)</f>
        <v>247159.15078002028</v>
      </c>
      <c r="AF435" s="296">
        <f>('[5]1A2'!AC$8)-SUM(AF124,AF156,AF373,AF342,AF311,AF280,AF249,AF404,AF529)</f>
        <v>272114.06000851368</v>
      </c>
      <c r="AG435" s="296">
        <f>('[5]1A2'!AD$8)-SUM(AG124,AG156,AG373,AG342,AG311,AG280,AG249,AG404,AG529)</f>
        <v>271450.41871661355</v>
      </c>
      <c r="AH435" s="296">
        <f>('[5]1A2'!AE$8)-SUM(AH124,AH156,AH373,AH342,AH311,AH280,AH249,AH404,AH529)</f>
        <v>285601.76302730147</v>
      </c>
      <c r="AI435" s="296">
        <f>('[5]1A2'!AF$8)-SUM(AI124,AI156,AI373,AI342,AI311,AI280,AI249,AI404,AI529)</f>
        <v>292624.12254630838</v>
      </c>
      <c r="AJ435" s="296">
        <f>('[5]1A2'!AG$8)-SUM(AJ124,AJ156,AJ373,AJ342,AJ311,AJ280,AJ249,AJ404,AJ529)</f>
        <v>282671.26509586995</v>
      </c>
      <c r="AK435" s="296">
        <f>('[5]1A2'!AH$8)-SUM(AK124,AK156,AK373,AK342,AK311,AK280,AK249,AK404,AK529)</f>
        <v>292961.94421960367</v>
      </c>
      <c r="AL435" s="1069">
        <f>AK435</f>
        <v>292961.94421960367</v>
      </c>
      <c r="AM435" s="315"/>
      <c r="AN435" s="315"/>
    </row>
    <row r="436" spans="1:40" ht="12.6">
      <c r="A436" s="990" t="s">
        <v>554</v>
      </c>
      <c r="B436" s="991" t="s">
        <v>132</v>
      </c>
      <c r="C436" s="991"/>
      <c r="D436" s="991" t="s">
        <v>129</v>
      </c>
      <c r="E436" s="991" t="s">
        <v>130</v>
      </c>
      <c r="F436" s="799" t="s">
        <v>106</v>
      </c>
      <c r="G436" s="799" t="s">
        <v>106</v>
      </c>
      <c r="H436" s="799" t="s">
        <v>106</v>
      </c>
      <c r="I436" s="799" t="s">
        <v>106</v>
      </c>
      <c r="J436" s="799" t="s">
        <v>106</v>
      </c>
      <c r="K436" s="799" t="s">
        <v>106</v>
      </c>
      <c r="L436" s="799" t="s">
        <v>106</v>
      </c>
      <c r="M436" s="799" t="s">
        <v>106</v>
      </c>
      <c r="N436" s="799" t="s">
        <v>106</v>
      </c>
      <c r="O436" s="799" t="s">
        <v>106</v>
      </c>
      <c r="P436" s="799" t="s">
        <v>106</v>
      </c>
      <c r="Q436" s="799" t="s">
        <v>106</v>
      </c>
      <c r="R436" s="799" t="s">
        <v>106</v>
      </c>
      <c r="S436" s="799" t="s">
        <v>106</v>
      </c>
      <c r="T436" s="799" t="s">
        <v>106</v>
      </c>
      <c r="U436" s="799" t="s">
        <v>106</v>
      </c>
      <c r="V436" s="799" t="s">
        <v>106</v>
      </c>
      <c r="W436" s="799" t="s">
        <v>106</v>
      </c>
      <c r="X436" s="799" t="s">
        <v>106</v>
      </c>
      <c r="Y436" s="799" t="s">
        <v>106</v>
      </c>
      <c r="Z436" s="799" t="s">
        <v>106</v>
      </c>
      <c r="AA436" s="799" t="s">
        <v>106</v>
      </c>
      <c r="AB436" s="799" t="s">
        <v>106</v>
      </c>
      <c r="AC436" s="799" t="s">
        <v>106</v>
      </c>
      <c r="AD436" s="799" t="s">
        <v>106</v>
      </c>
      <c r="AE436" s="799" t="s">
        <v>106</v>
      </c>
      <c r="AF436" s="799" t="s">
        <v>106</v>
      </c>
      <c r="AG436" s="799" t="s">
        <v>106</v>
      </c>
      <c r="AH436" s="799" t="s">
        <v>106</v>
      </c>
      <c r="AI436" s="799" t="s">
        <v>106</v>
      </c>
      <c r="AJ436" s="799" t="s">
        <v>106</v>
      </c>
      <c r="AK436" s="799" t="s">
        <v>106</v>
      </c>
      <c r="AL436" s="799" t="s">
        <v>106</v>
      </c>
      <c r="AM436" s="315"/>
      <c r="AN436" s="315"/>
    </row>
    <row r="437" spans="1:40" ht="12.6">
      <c r="A437" s="990" t="s">
        <v>555</v>
      </c>
      <c r="B437" s="991" t="s">
        <v>134</v>
      </c>
      <c r="D437" s="315"/>
      <c r="E437" s="315"/>
      <c r="F437" s="802" t="s">
        <v>543</v>
      </c>
      <c r="G437" s="802" t="s">
        <v>543</v>
      </c>
      <c r="H437" s="802" t="s">
        <v>543</v>
      </c>
      <c r="I437" s="802" t="s">
        <v>543</v>
      </c>
      <c r="J437" s="802" t="s">
        <v>543</v>
      </c>
      <c r="K437" s="802" t="s">
        <v>543</v>
      </c>
      <c r="L437" s="802" t="s">
        <v>543</v>
      </c>
      <c r="M437" s="802" t="s">
        <v>543</v>
      </c>
      <c r="N437" s="802" t="s">
        <v>543</v>
      </c>
      <c r="O437" s="802" t="s">
        <v>543</v>
      </c>
      <c r="P437" s="802" t="s">
        <v>543</v>
      </c>
      <c r="Q437" s="802" t="s">
        <v>543</v>
      </c>
      <c r="R437" s="802" t="s">
        <v>543</v>
      </c>
      <c r="S437" s="802" t="s">
        <v>543</v>
      </c>
      <c r="T437" s="802" t="s">
        <v>543</v>
      </c>
      <c r="U437" s="802" t="s">
        <v>543</v>
      </c>
      <c r="V437" s="802" t="s">
        <v>543</v>
      </c>
      <c r="W437" s="802" t="s">
        <v>543</v>
      </c>
      <c r="X437" s="802" t="s">
        <v>543</v>
      </c>
      <c r="Y437" s="802" t="s">
        <v>543</v>
      </c>
      <c r="Z437" s="802" t="s">
        <v>543</v>
      </c>
      <c r="AA437" s="802" t="s">
        <v>543</v>
      </c>
      <c r="AB437" s="802" t="s">
        <v>543</v>
      </c>
      <c r="AC437" s="802" t="s">
        <v>543</v>
      </c>
      <c r="AD437" s="802" t="s">
        <v>543</v>
      </c>
      <c r="AE437" s="802" t="s">
        <v>543</v>
      </c>
      <c r="AF437" s="802" t="s">
        <v>543</v>
      </c>
      <c r="AG437" s="802" t="s">
        <v>543</v>
      </c>
      <c r="AH437" s="802" t="s">
        <v>543</v>
      </c>
      <c r="AI437" s="802" t="s">
        <v>543</v>
      </c>
      <c r="AJ437" s="802" t="s">
        <v>543</v>
      </c>
      <c r="AK437" s="802" t="s">
        <v>543</v>
      </c>
      <c r="AL437" s="802" t="s">
        <v>543</v>
      </c>
      <c r="AM437" s="315"/>
      <c r="AN437" s="315"/>
    </row>
    <row r="438" spans="1:40" s="792" customFormat="1" ht="14.25" customHeight="1">
      <c r="A438" s="989" t="s">
        <v>556</v>
      </c>
      <c r="B438" s="791"/>
      <c r="C438" s="791"/>
      <c r="D438" s="791"/>
      <c r="E438" s="791"/>
      <c r="F438" s="790"/>
      <c r="G438" s="790"/>
      <c r="H438" s="790"/>
      <c r="I438" s="790"/>
      <c r="J438" s="790"/>
      <c r="K438" s="790"/>
      <c r="L438" s="790"/>
      <c r="M438" s="790"/>
      <c r="N438" s="790"/>
      <c r="O438" s="790"/>
      <c r="P438" s="790"/>
      <c r="Q438" s="790"/>
      <c r="R438" s="790"/>
      <c r="S438" s="790"/>
      <c r="T438" s="790"/>
      <c r="U438" s="790"/>
      <c r="V438" s="790"/>
      <c r="W438" s="790"/>
      <c r="X438" s="790"/>
      <c r="Y438" s="790"/>
      <c r="Z438" s="790"/>
      <c r="AA438" s="790"/>
      <c r="AB438" s="790"/>
      <c r="AC438" s="790"/>
      <c r="AD438" s="790"/>
      <c r="AE438" s="790"/>
      <c r="AF438" s="790"/>
      <c r="AG438" s="790"/>
      <c r="AH438" s="790"/>
      <c r="AI438" s="790"/>
      <c r="AJ438" s="790"/>
      <c r="AK438" s="790"/>
      <c r="AL438" s="790"/>
      <c r="AM438" s="791"/>
      <c r="AN438" s="791"/>
    </row>
    <row r="439" spans="1:40" ht="12.6">
      <c r="A439" s="990" t="s">
        <v>557</v>
      </c>
      <c r="B439" s="991" t="s">
        <v>121</v>
      </c>
      <c r="C439" s="991"/>
      <c r="D439" s="315"/>
      <c r="E439" s="991" t="s">
        <v>122</v>
      </c>
      <c r="F439" s="799" t="s">
        <v>108</v>
      </c>
      <c r="G439" s="799" t="s">
        <v>108</v>
      </c>
      <c r="H439" s="799" t="s">
        <v>108</v>
      </c>
      <c r="I439" s="799" t="s">
        <v>108</v>
      </c>
      <c r="J439" s="799" t="s">
        <v>108</v>
      </c>
      <c r="K439" s="799" t="s">
        <v>108</v>
      </c>
      <c r="L439" s="799" t="s">
        <v>108</v>
      </c>
      <c r="M439" s="799" t="s">
        <v>108</v>
      </c>
      <c r="N439" s="799" t="s">
        <v>108</v>
      </c>
      <c r="O439" s="799" t="s">
        <v>108</v>
      </c>
      <c r="P439" s="799" t="s">
        <v>108</v>
      </c>
      <c r="Q439" s="799" t="s">
        <v>108</v>
      </c>
      <c r="R439" s="799" t="s">
        <v>108</v>
      </c>
      <c r="S439" s="799" t="s">
        <v>108</v>
      </c>
      <c r="T439" s="799" t="s">
        <v>108</v>
      </c>
      <c r="U439" s="799" t="s">
        <v>108</v>
      </c>
      <c r="V439" s="799" t="s">
        <v>108</v>
      </c>
      <c r="W439" s="799" t="s">
        <v>108</v>
      </c>
      <c r="X439" s="799" t="s">
        <v>108</v>
      </c>
      <c r="Y439" s="799" t="s">
        <v>108</v>
      </c>
      <c r="Z439" s="799" t="s">
        <v>108</v>
      </c>
      <c r="AA439" s="799" t="s">
        <v>108</v>
      </c>
      <c r="AB439" s="799" t="s">
        <v>108</v>
      </c>
      <c r="AC439" s="799" t="s">
        <v>108</v>
      </c>
      <c r="AD439" s="799" t="s">
        <v>108</v>
      </c>
      <c r="AE439" s="799" t="s">
        <v>108</v>
      </c>
      <c r="AF439" s="799" t="s">
        <v>108</v>
      </c>
      <c r="AG439" s="799" t="s">
        <v>108</v>
      </c>
      <c r="AH439" s="799" t="s">
        <v>108</v>
      </c>
      <c r="AI439" s="799" t="s">
        <v>108</v>
      </c>
      <c r="AJ439" s="799" t="s">
        <v>108</v>
      </c>
      <c r="AK439" s="799" t="s">
        <v>108</v>
      </c>
      <c r="AL439" s="799" t="s">
        <v>108</v>
      </c>
      <c r="AM439" s="315"/>
      <c r="AN439" s="315"/>
    </row>
    <row r="440" spans="1:40" ht="12.6">
      <c r="A440" s="990" t="s">
        <v>558</v>
      </c>
      <c r="B440" s="991" t="s">
        <v>124</v>
      </c>
      <c r="C440" s="991"/>
      <c r="D440" s="315"/>
      <c r="E440" s="315" t="s">
        <v>125</v>
      </c>
      <c r="F440" s="799" t="s">
        <v>126</v>
      </c>
      <c r="G440" s="799" t="s">
        <v>126</v>
      </c>
      <c r="H440" s="799" t="s">
        <v>126</v>
      </c>
      <c r="I440" s="799" t="s">
        <v>126</v>
      </c>
      <c r="J440" s="799" t="s">
        <v>126</v>
      </c>
      <c r="K440" s="799" t="s">
        <v>126</v>
      </c>
      <c r="L440" s="799" t="s">
        <v>126</v>
      </c>
      <c r="M440" s="799" t="s">
        <v>126</v>
      </c>
      <c r="N440" s="799" t="s">
        <v>126</v>
      </c>
      <c r="O440" s="799" t="s">
        <v>126</v>
      </c>
      <c r="P440" s="799" t="s">
        <v>126</v>
      </c>
      <c r="Q440" s="799" t="s">
        <v>126</v>
      </c>
      <c r="R440" s="799" t="s">
        <v>126</v>
      </c>
      <c r="S440" s="799" t="s">
        <v>126</v>
      </c>
      <c r="T440" s="799" t="s">
        <v>126</v>
      </c>
      <c r="U440" s="799" t="s">
        <v>126</v>
      </c>
      <c r="V440" s="799" t="s">
        <v>126</v>
      </c>
      <c r="W440" s="799" t="s">
        <v>126</v>
      </c>
      <c r="X440" s="799" t="s">
        <v>126</v>
      </c>
      <c r="Y440" s="799" t="s">
        <v>126</v>
      </c>
      <c r="Z440" s="799" t="s">
        <v>126</v>
      </c>
      <c r="AA440" s="799" t="s">
        <v>126</v>
      </c>
      <c r="AB440" s="799" t="s">
        <v>126</v>
      </c>
      <c r="AC440" s="799" t="s">
        <v>126</v>
      </c>
      <c r="AD440" s="799" t="s">
        <v>126</v>
      </c>
      <c r="AE440" s="799" t="s">
        <v>126</v>
      </c>
      <c r="AF440" s="799" t="s">
        <v>126</v>
      </c>
      <c r="AG440" s="799" t="s">
        <v>126</v>
      </c>
      <c r="AH440" s="799" t="s">
        <v>126</v>
      </c>
      <c r="AI440" s="799" t="s">
        <v>126</v>
      </c>
      <c r="AJ440" s="799" t="s">
        <v>126</v>
      </c>
      <c r="AK440" s="799" t="s">
        <v>126</v>
      </c>
      <c r="AL440" s="799" t="s">
        <v>126</v>
      </c>
      <c r="AM440" s="315"/>
      <c r="AN440" s="315"/>
    </row>
    <row r="441" spans="1:40" ht="12.6">
      <c r="A441" s="990" t="s">
        <v>559</v>
      </c>
      <c r="B441" s="991" t="s">
        <v>128</v>
      </c>
      <c r="C441" s="991"/>
      <c r="D441" s="991" t="s">
        <v>129</v>
      </c>
      <c r="E441" s="991" t="s">
        <v>130</v>
      </c>
      <c r="F441" s="799" t="s">
        <v>108</v>
      </c>
      <c r="G441" s="799" t="s">
        <v>108</v>
      </c>
      <c r="H441" s="799" t="s">
        <v>108</v>
      </c>
      <c r="I441" s="799" t="s">
        <v>108</v>
      </c>
      <c r="J441" s="799" t="s">
        <v>108</v>
      </c>
      <c r="K441" s="799" t="s">
        <v>108</v>
      </c>
      <c r="L441" s="799" t="s">
        <v>108</v>
      </c>
      <c r="M441" s="799" t="s">
        <v>108</v>
      </c>
      <c r="N441" s="799" t="s">
        <v>108</v>
      </c>
      <c r="O441" s="799" t="s">
        <v>108</v>
      </c>
      <c r="P441" s="799" t="s">
        <v>108</v>
      </c>
      <c r="Q441" s="799" t="s">
        <v>108</v>
      </c>
      <c r="R441" s="799" t="s">
        <v>108</v>
      </c>
      <c r="S441" s="799" t="s">
        <v>108</v>
      </c>
      <c r="T441" s="799" t="s">
        <v>108</v>
      </c>
      <c r="U441" s="799" t="s">
        <v>108</v>
      </c>
      <c r="V441" s="799" t="s">
        <v>108</v>
      </c>
      <c r="W441" s="799" t="s">
        <v>108</v>
      </c>
      <c r="X441" s="799" t="s">
        <v>108</v>
      </c>
      <c r="Y441" s="799" t="s">
        <v>108</v>
      </c>
      <c r="Z441" s="799" t="s">
        <v>108</v>
      </c>
      <c r="AA441" s="799" t="s">
        <v>108</v>
      </c>
      <c r="AB441" s="799" t="s">
        <v>108</v>
      </c>
      <c r="AC441" s="799" t="s">
        <v>108</v>
      </c>
      <c r="AD441" s="799" t="s">
        <v>108</v>
      </c>
      <c r="AE441" s="799" t="s">
        <v>108</v>
      </c>
      <c r="AF441" s="799" t="s">
        <v>108</v>
      </c>
      <c r="AG441" s="799" t="s">
        <v>108</v>
      </c>
      <c r="AH441" s="799" t="s">
        <v>108</v>
      </c>
      <c r="AI441" s="799" t="s">
        <v>108</v>
      </c>
      <c r="AJ441" s="799" t="s">
        <v>108</v>
      </c>
      <c r="AK441" s="799" t="s">
        <v>108</v>
      </c>
      <c r="AL441" s="799" t="s">
        <v>108</v>
      </c>
      <c r="AM441" s="315"/>
      <c r="AN441" s="315"/>
    </row>
    <row r="442" spans="1:40" ht="12.6">
      <c r="A442" s="990" t="s">
        <v>560</v>
      </c>
      <c r="B442" s="991" t="s">
        <v>132</v>
      </c>
      <c r="C442" s="991"/>
      <c r="D442" s="991" t="s">
        <v>129</v>
      </c>
      <c r="E442" s="991" t="s">
        <v>130</v>
      </c>
      <c r="F442" s="794" t="s">
        <v>108</v>
      </c>
      <c r="G442" s="794" t="s">
        <v>108</v>
      </c>
      <c r="H442" s="794" t="s">
        <v>108</v>
      </c>
      <c r="I442" s="794" t="s">
        <v>108</v>
      </c>
      <c r="J442" s="794" t="s">
        <v>108</v>
      </c>
      <c r="K442" s="794" t="s">
        <v>108</v>
      </c>
      <c r="L442" s="794" t="s">
        <v>108</v>
      </c>
      <c r="M442" s="794" t="s">
        <v>108</v>
      </c>
      <c r="N442" s="794" t="s">
        <v>108</v>
      </c>
      <c r="O442" s="794" t="s">
        <v>108</v>
      </c>
      <c r="P442" s="794" t="s">
        <v>108</v>
      </c>
      <c r="Q442" s="794" t="s">
        <v>108</v>
      </c>
      <c r="R442" s="794" t="s">
        <v>108</v>
      </c>
      <c r="S442" s="794" t="s">
        <v>108</v>
      </c>
      <c r="T442" s="794" t="s">
        <v>108</v>
      </c>
      <c r="U442" s="794" t="s">
        <v>108</v>
      </c>
      <c r="V442" s="794" t="s">
        <v>108</v>
      </c>
      <c r="W442" s="794" t="s">
        <v>108</v>
      </c>
      <c r="X442" s="794" t="s">
        <v>108</v>
      </c>
      <c r="Y442" s="794" t="s">
        <v>108</v>
      </c>
      <c r="Z442" s="794" t="s">
        <v>108</v>
      </c>
      <c r="AA442" s="794" t="s">
        <v>108</v>
      </c>
      <c r="AB442" s="794" t="s">
        <v>108</v>
      </c>
      <c r="AC442" s="794" t="s">
        <v>108</v>
      </c>
      <c r="AD442" s="794" t="s">
        <v>108</v>
      </c>
      <c r="AE442" s="794" t="s">
        <v>108</v>
      </c>
      <c r="AF442" s="794" t="s">
        <v>108</v>
      </c>
      <c r="AG442" s="794" t="s">
        <v>108</v>
      </c>
      <c r="AH442" s="794" t="s">
        <v>108</v>
      </c>
      <c r="AI442" s="794" t="s">
        <v>108</v>
      </c>
      <c r="AJ442" s="794" t="s">
        <v>108</v>
      </c>
      <c r="AK442" s="794" t="s">
        <v>108</v>
      </c>
      <c r="AL442" s="794" t="s">
        <v>108</v>
      </c>
      <c r="AM442" s="315"/>
      <c r="AN442" s="315"/>
    </row>
    <row r="443" spans="1:40" ht="12.6">
      <c r="A443" s="990" t="s">
        <v>561</v>
      </c>
      <c r="B443" s="991" t="s">
        <v>134</v>
      </c>
      <c r="D443" s="315"/>
      <c r="E443" s="315"/>
      <c r="F443" s="799"/>
      <c r="G443" s="799"/>
      <c r="H443" s="799"/>
      <c r="I443" s="799"/>
      <c r="J443" s="799"/>
      <c r="K443" s="799"/>
      <c r="L443" s="799"/>
      <c r="M443" s="799"/>
      <c r="N443" s="799"/>
      <c r="O443" s="799"/>
      <c r="P443" s="799"/>
      <c r="Q443" s="799"/>
      <c r="R443" s="799"/>
      <c r="S443" s="799"/>
      <c r="T443" s="799"/>
      <c r="U443" s="799"/>
      <c r="V443" s="799"/>
      <c r="W443" s="799"/>
      <c r="X443" s="799"/>
      <c r="Y443" s="799"/>
      <c r="Z443" s="799"/>
      <c r="AA443" s="799"/>
      <c r="AB443" s="799"/>
      <c r="AC443" s="799"/>
      <c r="AD443" s="799"/>
      <c r="AE443" s="799"/>
      <c r="AF443" s="799"/>
      <c r="AG443" s="799"/>
      <c r="AH443" s="799"/>
      <c r="AI443" s="799"/>
      <c r="AJ443" s="799"/>
      <c r="AK443" s="799"/>
      <c r="AL443" s="799"/>
      <c r="AM443" s="315"/>
      <c r="AN443" s="315"/>
    </row>
    <row r="444" spans="1:40" s="792" customFormat="1" ht="14.25" customHeight="1">
      <c r="A444" s="989" t="s">
        <v>562</v>
      </c>
      <c r="B444" s="791"/>
      <c r="C444" s="791"/>
      <c r="D444" s="791"/>
      <c r="E444" s="791"/>
      <c r="F444" s="790"/>
      <c r="G444" s="790"/>
      <c r="H444" s="790"/>
      <c r="I444" s="790"/>
      <c r="J444" s="790"/>
      <c r="K444" s="790"/>
      <c r="L444" s="790"/>
      <c r="M444" s="790"/>
      <c r="N444" s="790"/>
      <c r="O444" s="790"/>
      <c r="P444" s="790"/>
      <c r="Q444" s="790"/>
      <c r="R444" s="790"/>
      <c r="S444" s="790"/>
      <c r="T444" s="790"/>
      <c r="U444" s="790"/>
      <c r="V444" s="790"/>
      <c r="W444" s="790"/>
      <c r="X444" s="790"/>
      <c r="Y444" s="790"/>
      <c r="Z444" s="790"/>
      <c r="AA444" s="790"/>
      <c r="AB444" s="790"/>
      <c r="AC444" s="790"/>
      <c r="AD444" s="790"/>
      <c r="AE444" s="790"/>
      <c r="AF444" s="790"/>
      <c r="AG444" s="790"/>
      <c r="AH444" s="790"/>
      <c r="AI444" s="790"/>
      <c r="AJ444" s="790"/>
      <c r="AK444" s="790"/>
      <c r="AL444" s="790"/>
      <c r="AM444" s="791"/>
      <c r="AN444" s="791"/>
    </row>
    <row r="445" spans="1:40" ht="12.6">
      <c r="A445" s="990" t="s">
        <v>563</v>
      </c>
      <c r="B445" s="991" t="s">
        <v>121</v>
      </c>
      <c r="C445" s="991"/>
      <c r="D445" s="315"/>
      <c r="E445" s="991" t="s">
        <v>122</v>
      </c>
      <c r="F445" s="300" t="s">
        <v>108</v>
      </c>
      <c r="G445" s="300" t="s">
        <v>108</v>
      </c>
      <c r="H445" s="300" t="s">
        <v>108</v>
      </c>
      <c r="I445" s="300" t="s">
        <v>108</v>
      </c>
      <c r="J445" s="300" t="s">
        <v>108</v>
      </c>
      <c r="K445" s="300" t="s">
        <v>108</v>
      </c>
      <c r="L445" s="300" t="s">
        <v>108</v>
      </c>
      <c r="M445" s="300" t="s">
        <v>108</v>
      </c>
      <c r="N445" s="300" t="s">
        <v>108</v>
      </c>
      <c r="O445" s="300" t="s">
        <v>108</v>
      </c>
      <c r="P445" s="300" t="s">
        <v>108</v>
      </c>
      <c r="Q445" s="300" t="s">
        <v>108</v>
      </c>
      <c r="R445" s="300" t="s">
        <v>108</v>
      </c>
      <c r="S445" s="300" t="s">
        <v>108</v>
      </c>
      <c r="T445" s="300" t="s">
        <v>108</v>
      </c>
      <c r="U445" s="300" t="s">
        <v>108</v>
      </c>
      <c r="V445" s="300" t="s">
        <v>108</v>
      </c>
      <c r="W445" s="300" t="s">
        <v>108</v>
      </c>
      <c r="X445" s="300" t="s">
        <v>108</v>
      </c>
      <c r="Y445" s="300" t="s">
        <v>108</v>
      </c>
      <c r="Z445" s="300" t="s">
        <v>108</v>
      </c>
      <c r="AA445" s="300" t="s">
        <v>108</v>
      </c>
      <c r="AB445" s="300" t="s">
        <v>108</v>
      </c>
      <c r="AC445" s="300" t="s">
        <v>108</v>
      </c>
      <c r="AD445" s="300" t="s">
        <v>108</v>
      </c>
      <c r="AE445" s="300" t="s">
        <v>108</v>
      </c>
      <c r="AF445" s="300" t="s">
        <v>108</v>
      </c>
      <c r="AG445" s="300" t="s">
        <v>108</v>
      </c>
      <c r="AH445" s="300" t="s">
        <v>108</v>
      </c>
      <c r="AI445" s="300" t="s">
        <v>108</v>
      </c>
      <c r="AJ445" s="300" t="s">
        <v>108</v>
      </c>
      <c r="AK445" s="300" t="s">
        <v>108</v>
      </c>
      <c r="AL445" s="300" t="s">
        <v>108</v>
      </c>
      <c r="AM445" s="315"/>
      <c r="AN445" s="315"/>
    </row>
    <row r="446" spans="1:40" ht="12.6">
      <c r="A446" s="990" t="s">
        <v>564</v>
      </c>
      <c r="B446" s="991" t="s">
        <v>124</v>
      </c>
      <c r="C446" s="991"/>
      <c r="D446" s="315"/>
      <c r="E446" s="315" t="s">
        <v>125</v>
      </c>
      <c r="F446" s="799" t="s">
        <v>126</v>
      </c>
      <c r="G446" s="799" t="s">
        <v>126</v>
      </c>
      <c r="H446" s="799" t="s">
        <v>126</v>
      </c>
      <c r="I446" s="799" t="s">
        <v>126</v>
      </c>
      <c r="J446" s="799" t="s">
        <v>126</v>
      </c>
      <c r="K446" s="799" t="s">
        <v>126</v>
      </c>
      <c r="L446" s="799" t="s">
        <v>126</v>
      </c>
      <c r="M446" s="799" t="s">
        <v>126</v>
      </c>
      <c r="N446" s="799" t="s">
        <v>126</v>
      </c>
      <c r="O446" s="799" t="s">
        <v>126</v>
      </c>
      <c r="P446" s="799" t="s">
        <v>126</v>
      </c>
      <c r="Q446" s="799" t="s">
        <v>126</v>
      </c>
      <c r="R446" s="799" t="s">
        <v>126</v>
      </c>
      <c r="S446" s="799" t="s">
        <v>126</v>
      </c>
      <c r="T446" s="799" t="s">
        <v>126</v>
      </c>
      <c r="U446" s="799" t="s">
        <v>126</v>
      </c>
      <c r="V446" s="799" t="s">
        <v>126</v>
      </c>
      <c r="W446" s="799" t="s">
        <v>126</v>
      </c>
      <c r="X446" s="799" t="s">
        <v>126</v>
      </c>
      <c r="Y446" s="799" t="s">
        <v>126</v>
      </c>
      <c r="Z446" s="799" t="s">
        <v>126</v>
      </c>
      <c r="AA446" s="799" t="s">
        <v>126</v>
      </c>
      <c r="AB446" s="799" t="s">
        <v>126</v>
      </c>
      <c r="AC446" s="799" t="s">
        <v>126</v>
      </c>
      <c r="AD446" s="799" t="s">
        <v>126</v>
      </c>
      <c r="AE446" s="799" t="s">
        <v>126</v>
      </c>
      <c r="AF446" s="799" t="s">
        <v>126</v>
      </c>
      <c r="AG446" s="799" t="s">
        <v>126</v>
      </c>
      <c r="AH446" s="799" t="s">
        <v>126</v>
      </c>
      <c r="AI446" s="799" t="s">
        <v>126</v>
      </c>
      <c r="AJ446" s="799" t="s">
        <v>126</v>
      </c>
      <c r="AK446" s="799" t="s">
        <v>126</v>
      </c>
      <c r="AL446" s="799" t="s">
        <v>126</v>
      </c>
      <c r="AM446" s="315"/>
      <c r="AN446" s="315"/>
    </row>
    <row r="447" spans="1:40" ht="12.6">
      <c r="A447" s="990" t="s">
        <v>565</v>
      </c>
      <c r="B447" s="991" t="s">
        <v>128</v>
      </c>
      <c r="C447" s="991"/>
      <c r="D447" s="991" t="s">
        <v>129</v>
      </c>
      <c r="E447" s="991" t="s">
        <v>130</v>
      </c>
      <c r="F447" s="300" t="s">
        <v>108</v>
      </c>
      <c r="G447" s="300" t="s">
        <v>108</v>
      </c>
      <c r="H447" s="300" t="s">
        <v>108</v>
      </c>
      <c r="I447" s="300" t="s">
        <v>108</v>
      </c>
      <c r="J447" s="300" t="s">
        <v>108</v>
      </c>
      <c r="K447" s="300" t="s">
        <v>108</v>
      </c>
      <c r="L447" s="300" t="s">
        <v>108</v>
      </c>
      <c r="M447" s="300" t="s">
        <v>108</v>
      </c>
      <c r="N447" s="300" t="s">
        <v>108</v>
      </c>
      <c r="O447" s="300" t="s">
        <v>108</v>
      </c>
      <c r="P447" s="300" t="s">
        <v>108</v>
      </c>
      <c r="Q447" s="300" t="s">
        <v>108</v>
      </c>
      <c r="R447" s="300" t="s">
        <v>108</v>
      </c>
      <c r="S447" s="300" t="s">
        <v>108</v>
      </c>
      <c r="T447" s="300" t="s">
        <v>108</v>
      </c>
      <c r="U447" s="300" t="s">
        <v>108</v>
      </c>
      <c r="V447" s="300" t="s">
        <v>108</v>
      </c>
      <c r="W447" s="300" t="s">
        <v>108</v>
      </c>
      <c r="X447" s="300" t="s">
        <v>108</v>
      </c>
      <c r="Y447" s="300" t="s">
        <v>108</v>
      </c>
      <c r="Z447" s="300" t="s">
        <v>108</v>
      </c>
      <c r="AA447" s="300" t="s">
        <v>108</v>
      </c>
      <c r="AB447" s="300" t="s">
        <v>108</v>
      </c>
      <c r="AC447" s="300" t="s">
        <v>108</v>
      </c>
      <c r="AD447" s="300" t="s">
        <v>108</v>
      </c>
      <c r="AE447" s="300" t="s">
        <v>108</v>
      </c>
      <c r="AF447" s="300" t="s">
        <v>108</v>
      </c>
      <c r="AG447" s="300" t="s">
        <v>108</v>
      </c>
      <c r="AH447" s="300" t="s">
        <v>108</v>
      </c>
      <c r="AI447" s="300" t="s">
        <v>108</v>
      </c>
      <c r="AJ447" s="300" t="s">
        <v>108</v>
      </c>
      <c r="AK447" s="300" t="s">
        <v>108</v>
      </c>
      <c r="AL447" s="300" t="s">
        <v>108</v>
      </c>
      <c r="AM447" s="315"/>
      <c r="AN447" s="315"/>
    </row>
    <row r="448" spans="1:40" ht="12.6">
      <c r="A448" s="990" t="s">
        <v>566</v>
      </c>
      <c r="B448" s="991" t="s">
        <v>132</v>
      </c>
      <c r="C448" s="991"/>
      <c r="D448" s="991" t="s">
        <v>129</v>
      </c>
      <c r="E448" s="991" t="s">
        <v>130</v>
      </c>
      <c r="F448" s="794" t="s">
        <v>108</v>
      </c>
      <c r="G448" s="794" t="s">
        <v>108</v>
      </c>
      <c r="H448" s="794" t="s">
        <v>108</v>
      </c>
      <c r="I448" s="794" t="s">
        <v>108</v>
      </c>
      <c r="J448" s="794" t="s">
        <v>108</v>
      </c>
      <c r="K448" s="794" t="s">
        <v>108</v>
      </c>
      <c r="L448" s="794" t="s">
        <v>108</v>
      </c>
      <c r="M448" s="794" t="s">
        <v>108</v>
      </c>
      <c r="N448" s="794" t="s">
        <v>108</v>
      </c>
      <c r="O448" s="794" t="s">
        <v>108</v>
      </c>
      <c r="P448" s="794" t="s">
        <v>108</v>
      </c>
      <c r="Q448" s="794" t="s">
        <v>108</v>
      </c>
      <c r="R448" s="794" t="s">
        <v>108</v>
      </c>
      <c r="S448" s="794" t="s">
        <v>108</v>
      </c>
      <c r="T448" s="794" t="s">
        <v>108</v>
      </c>
      <c r="U448" s="794" t="s">
        <v>108</v>
      </c>
      <c r="V448" s="794" t="s">
        <v>108</v>
      </c>
      <c r="W448" s="794" t="s">
        <v>108</v>
      </c>
      <c r="X448" s="794" t="s">
        <v>108</v>
      </c>
      <c r="Y448" s="794" t="s">
        <v>108</v>
      </c>
      <c r="Z448" s="794" t="s">
        <v>108</v>
      </c>
      <c r="AA448" s="794" t="s">
        <v>108</v>
      </c>
      <c r="AB448" s="794" t="s">
        <v>108</v>
      </c>
      <c r="AC448" s="794" t="s">
        <v>108</v>
      </c>
      <c r="AD448" s="794" t="s">
        <v>108</v>
      </c>
      <c r="AE448" s="794" t="s">
        <v>108</v>
      </c>
      <c r="AF448" s="794" t="s">
        <v>108</v>
      </c>
      <c r="AG448" s="794" t="s">
        <v>108</v>
      </c>
      <c r="AH448" s="794" t="s">
        <v>108</v>
      </c>
      <c r="AI448" s="794" t="s">
        <v>108</v>
      </c>
      <c r="AJ448" s="794" t="s">
        <v>108</v>
      </c>
      <c r="AK448" s="794" t="s">
        <v>108</v>
      </c>
      <c r="AL448" s="794" t="s">
        <v>108</v>
      </c>
      <c r="AM448" s="315"/>
      <c r="AN448" s="315"/>
    </row>
    <row r="449" spans="1:40" ht="12.6">
      <c r="A449" s="990" t="s">
        <v>567</v>
      </c>
      <c r="B449" s="991" t="s">
        <v>134</v>
      </c>
      <c r="D449" s="315"/>
      <c r="E449" s="315"/>
      <c r="F449" s="799"/>
      <c r="G449" s="799"/>
      <c r="H449" s="799"/>
      <c r="I449" s="799"/>
      <c r="J449" s="799"/>
      <c r="K449" s="799"/>
      <c r="L449" s="799"/>
      <c r="M449" s="799"/>
      <c r="N449" s="799"/>
      <c r="O449" s="799"/>
      <c r="P449" s="799"/>
      <c r="Q449" s="799"/>
      <c r="R449" s="799"/>
      <c r="S449" s="799"/>
      <c r="T449" s="799"/>
      <c r="U449" s="799"/>
      <c r="V449" s="799"/>
      <c r="W449" s="799"/>
      <c r="X449" s="799"/>
      <c r="Y449" s="799"/>
      <c r="Z449" s="799"/>
      <c r="AA449" s="799"/>
      <c r="AB449" s="799"/>
      <c r="AC449" s="799"/>
      <c r="AD449" s="799"/>
      <c r="AE449" s="799"/>
      <c r="AF449" s="799"/>
      <c r="AG449" s="799"/>
      <c r="AH449" s="799"/>
      <c r="AI449" s="799"/>
      <c r="AJ449" s="799"/>
      <c r="AK449" s="799"/>
      <c r="AL449" s="799"/>
      <c r="AM449" s="315"/>
      <c r="AN449" s="315"/>
    </row>
    <row r="450" spans="1:40" s="797" customFormat="1" ht="12.95">
      <c r="A450" s="796" t="s">
        <v>568</v>
      </c>
      <c r="B450" s="796"/>
      <c r="C450" s="796"/>
      <c r="D450" s="796"/>
      <c r="E450" s="796"/>
      <c r="F450" s="795"/>
      <c r="G450" s="795"/>
      <c r="H450" s="795"/>
      <c r="I450" s="795"/>
      <c r="J450" s="795"/>
      <c r="K450" s="795"/>
      <c r="L450" s="795"/>
      <c r="M450" s="795"/>
      <c r="N450" s="795"/>
      <c r="O450" s="795"/>
      <c r="P450" s="795"/>
      <c r="Q450" s="795"/>
      <c r="R450" s="795"/>
      <c r="S450" s="795"/>
      <c r="T450" s="795"/>
      <c r="U450" s="795"/>
      <c r="V450" s="795"/>
      <c r="W450" s="795"/>
      <c r="X450" s="795"/>
      <c r="Y450" s="795"/>
      <c r="Z450" s="795"/>
      <c r="AA450" s="795"/>
      <c r="AB450" s="795"/>
      <c r="AC450" s="795"/>
      <c r="AD450" s="795"/>
      <c r="AE450" s="795"/>
      <c r="AF450" s="795"/>
      <c r="AG450" s="795"/>
      <c r="AH450" s="795"/>
      <c r="AI450" s="795"/>
      <c r="AJ450" s="795"/>
      <c r="AK450" s="795"/>
      <c r="AL450" s="795"/>
      <c r="AM450" s="796"/>
      <c r="AN450" s="796"/>
    </row>
    <row r="451" spans="1:40" s="792" customFormat="1" ht="14.25" customHeight="1">
      <c r="A451" s="989" t="s">
        <v>569</v>
      </c>
      <c r="B451" s="791"/>
      <c r="C451" s="791"/>
      <c r="D451" s="791"/>
      <c r="E451" s="791"/>
      <c r="F451" s="790"/>
      <c r="G451" s="790"/>
      <c r="H451" s="790"/>
      <c r="I451" s="790"/>
      <c r="J451" s="790"/>
      <c r="K451" s="790"/>
      <c r="L451" s="790"/>
      <c r="M451" s="790"/>
      <c r="N451" s="790"/>
      <c r="O451" s="790"/>
      <c r="P451" s="790"/>
      <c r="Q451" s="790"/>
      <c r="R451" s="790"/>
      <c r="S451" s="790"/>
      <c r="T451" s="790"/>
      <c r="U451" s="790"/>
      <c r="V451" s="790"/>
      <c r="W451" s="790"/>
      <c r="X451" s="790"/>
      <c r="Y451" s="790"/>
      <c r="Z451" s="790"/>
      <c r="AA451" s="790"/>
      <c r="AB451" s="790"/>
      <c r="AC451" s="790"/>
      <c r="AD451" s="790"/>
      <c r="AE451" s="790"/>
      <c r="AF451" s="790"/>
      <c r="AG451" s="790"/>
      <c r="AH451" s="790"/>
      <c r="AI451" s="790"/>
      <c r="AJ451" s="790"/>
      <c r="AK451" s="790"/>
      <c r="AL451" s="790"/>
      <c r="AM451" s="791"/>
      <c r="AN451" s="791"/>
    </row>
    <row r="452" spans="1:40" ht="12.6">
      <c r="A452" s="990" t="s">
        <v>570</v>
      </c>
      <c r="B452" s="991" t="s">
        <v>121</v>
      </c>
      <c r="C452" s="991"/>
      <c r="D452" s="315"/>
      <c r="E452" s="991" t="s">
        <v>122</v>
      </c>
      <c r="F452" s="297">
        <f>('1990'!$O$18)*1055.05585262</f>
        <v>1078770.8267213756</v>
      </c>
      <c r="G452" s="295">
        <f>('1991'!$O$18)*1055.05585262</f>
        <v>1067233.4480139141</v>
      </c>
      <c r="H452" s="295">
        <f>('1992'!$O$18)*1055.05585262</f>
        <v>939361.47453287791</v>
      </c>
      <c r="I452" s="295">
        <f>('1993'!$O$18)*1055.05585262</f>
        <v>827506.56570705085</v>
      </c>
      <c r="J452" s="295">
        <f>('1994'!$O$18)*1055.05585262</f>
        <v>819867.38431232353</v>
      </c>
      <c r="K452" s="295">
        <f>('1995'!$O$18)*1055.05585262</f>
        <v>763943.69538129191</v>
      </c>
      <c r="L452" s="295">
        <f>('1996'!$O$18)*1055.05585262</f>
        <v>801366.76481635787</v>
      </c>
      <c r="M452" s="295">
        <f>('1997'!$O$18)*1055.05585262</f>
        <v>751553.0473820467</v>
      </c>
      <c r="N452" s="295">
        <f>('1998'!$O$18)*1055.05585262</f>
        <v>702760.05052246992</v>
      </c>
      <c r="O452" s="295">
        <f>('1999'!$O$18)*1055.05585262</f>
        <v>675664.51352983061</v>
      </c>
      <c r="P452" s="295">
        <f>('2000'!$O$18)*1055.05585262</f>
        <v>808962.5184376731</v>
      </c>
      <c r="Q452" s="295">
        <f>('2001'!$O$18)*1055.05585262</f>
        <v>803872.47011560819</v>
      </c>
      <c r="R452" s="295">
        <f>('2002'!$O$18)*1055.05585262</f>
        <v>732751.33624188986</v>
      </c>
      <c r="S452" s="295">
        <f>('2003'!$O$18)*1055.05585262</f>
        <v>868457.29301533464</v>
      </c>
      <c r="T452" s="295">
        <f>('2004'!$O$18)*1055.05585262</f>
        <v>852645.87623261602</v>
      </c>
      <c r="U452" s="295">
        <f>('2005'!$O$18)*1055.05585262</f>
        <v>800481.22094002436</v>
      </c>
      <c r="V452" s="295">
        <f>('2006'!$O$18)*1055.05585262</f>
        <v>751591.92227115645</v>
      </c>
      <c r="W452" s="295">
        <f>('2007'!$O$18)*1055.05585262</f>
        <v>767967.04241132317</v>
      </c>
      <c r="X452" s="295">
        <f>('2008'!$O$18)*1055.05585262</f>
        <v>716778.47459761461</v>
      </c>
      <c r="Y452" s="295">
        <f>('2009'!$O$18)*1055.05585262</f>
        <v>762928.44060230406</v>
      </c>
      <c r="Z452" s="295">
        <f>('2010'!$O$18)*1055.05585262</f>
        <v>733766.76779339788</v>
      </c>
      <c r="AA452" s="295">
        <f>('2011'!$O$18)*1055.05585262</f>
        <v>708901.67916504538</v>
      </c>
      <c r="AB452" s="295">
        <f>('2012'!$O$18)*1055.05585262</f>
        <v>582776.41047554719</v>
      </c>
      <c r="AC452" s="295">
        <f>('2013'!$O$18)*1055.05585262</f>
        <v>614100.91637798946</v>
      </c>
      <c r="AD452" s="295">
        <f>('2014'!$O$18)*1055.05585262</f>
        <v>590689.51156958402</v>
      </c>
      <c r="AE452" s="295">
        <f>('2015'!$O$18)*1055.05585262</f>
        <v>992443.68586885207</v>
      </c>
      <c r="AF452" s="295">
        <f>('2016'!$O$18)*1055.05585262</f>
        <v>884903.24748894898</v>
      </c>
      <c r="AG452" s="295">
        <f>('2017'!$O$18)*1055.05585262</f>
        <v>859371.25409563538</v>
      </c>
      <c r="AH452" s="295">
        <f>('2018'!$O$18)*1055.05585262</f>
        <v>781585.1771596641</v>
      </c>
      <c r="AI452" s="295">
        <f>('2019'!$O$18)*1055.05585262</f>
        <v>860271.523592446</v>
      </c>
      <c r="AJ452" s="295">
        <f>('2020'!$O$18)*1055.05585262</f>
        <v>823152.54911191133</v>
      </c>
      <c r="AK452" s="295">
        <f>('2021'!$O$18)*1055.05585262</f>
        <v>843420.01242813247</v>
      </c>
      <c r="AL452" s="295">
        <f>('2022'!$O$18)*1055.05585262</f>
        <v>772901.17293561902</v>
      </c>
      <c r="AM452" s="315"/>
      <c r="AN452" s="315"/>
    </row>
    <row r="453" spans="1:40" ht="12.6">
      <c r="A453" s="990" t="s">
        <v>571</v>
      </c>
      <c r="B453" s="991" t="s">
        <v>124</v>
      </c>
      <c r="C453" s="991"/>
      <c r="D453" s="315"/>
      <c r="E453" s="315" t="s">
        <v>125</v>
      </c>
      <c r="F453" s="300" t="s">
        <v>126</v>
      </c>
      <c r="G453" s="300" t="s">
        <v>126</v>
      </c>
      <c r="H453" s="300" t="s">
        <v>126</v>
      </c>
      <c r="I453" s="300" t="s">
        <v>126</v>
      </c>
      <c r="J453" s="300" t="s">
        <v>126</v>
      </c>
      <c r="K453" s="300" t="s">
        <v>126</v>
      </c>
      <c r="L453" s="300" t="s">
        <v>126</v>
      </c>
      <c r="M453" s="300" t="s">
        <v>126</v>
      </c>
      <c r="N453" s="300" t="s">
        <v>126</v>
      </c>
      <c r="O453" s="300" t="s">
        <v>126</v>
      </c>
      <c r="P453" s="300" t="s">
        <v>126</v>
      </c>
      <c r="Q453" s="300" t="s">
        <v>126</v>
      </c>
      <c r="R453" s="300" t="s">
        <v>126</v>
      </c>
      <c r="S453" s="300" t="s">
        <v>126</v>
      </c>
      <c r="T453" s="300" t="s">
        <v>126</v>
      </c>
      <c r="U453" s="300" t="s">
        <v>126</v>
      </c>
      <c r="V453" s="300" t="s">
        <v>126</v>
      </c>
      <c r="W453" s="300" t="s">
        <v>126</v>
      </c>
      <c r="X453" s="300" t="s">
        <v>126</v>
      </c>
      <c r="Y453" s="300" t="s">
        <v>126</v>
      </c>
      <c r="Z453" s="300" t="s">
        <v>126</v>
      </c>
      <c r="AA453" s="300" t="s">
        <v>126</v>
      </c>
      <c r="AB453" s="300" t="s">
        <v>126</v>
      </c>
      <c r="AC453" s="300" t="s">
        <v>126</v>
      </c>
      <c r="AD453" s="300" t="s">
        <v>126</v>
      </c>
      <c r="AE453" s="300" t="s">
        <v>126</v>
      </c>
      <c r="AF453" s="300" t="s">
        <v>126</v>
      </c>
      <c r="AG453" s="300" t="s">
        <v>126</v>
      </c>
      <c r="AH453" s="300" t="s">
        <v>126</v>
      </c>
      <c r="AI453" s="300" t="s">
        <v>126</v>
      </c>
      <c r="AJ453" s="300" t="s">
        <v>126</v>
      </c>
      <c r="AK453" s="300" t="s">
        <v>126</v>
      </c>
      <c r="AL453" s="300" t="s">
        <v>126</v>
      </c>
      <c r="AM453" s="315"/>
      <c r="AN453" s="315"/>
    </row>
    <row r="454" spans="1:40" ht="12.6">
      <c r="A454" s="990" t="s">
        <v>572</v>
      </c>
      <c r="B454" s="991" t="s">
        <v>128</v>
      </c>
      <c r="C454" s="991"/>
      <c r="D454" s="991" t="s">
        <v>129</v>
      </c>
      <c r="E454" s="991" t="s">
        <v>130</v>
      </c>
      <c r="F454" s="295">
        <f>'Summary Table'!C23*1000</f>
        <v>74317.009238006431</v>
      </c>
      <c r="G454" s="295">
        <f>'Summary Table'!D23*1000</f>
        <v>73407.833850551557</v>
      </c>
      <c r="H454" s="295">
        <f>'Summary Table'!E23*1000</f>
        <v>64616.730035679044</v>
      </c>
      <c r="I454" s="295">
        <f>'Summary Table'!F23*1000</f>
        <v>56873.975020454345</v>
      </c>
      <c r="J454" s="295">
        <f>'Summary Table'!G23*1000</f>
        <v>56369.484996221159</v>
      </c>
      <c r="K454" s="295">
        <f>'Summary Table'!H23*1000</f>
        <v>52391.239933514436</v>
      </c>
      <c r="L454" s="295">
        <f>'Summary Table'!I23*1000</f>
        <v>54832.060684371056</v>
      </c>
      <c r="M454" s="295">
        <f>'Summary Table'!J23*1000</f>
        <v>51284.956381041498</v>
      </c>
      <c r="N454" s="295">
        <f>'Summary Table'!K23*1000</f>
        <v>47862.168349800406</v>
      </c>
      <c r="O454" s="295">
        <f>'Summary Table'!L23*1000</f>
        <v>45786.69586341524</v>
      </c>
      <c r="P454" s="295">
        <f>'Summary Table'!M23*1000</f>
        <v>55272.252292626494</v>
      </c>
      <c r="Q454" s="295">
        <f>'Summary Table'!N23*1000</f>
        <v>55007.529049391844</v>
      </c>
      <c r="R454" s="295">
        <f>'Summary Table'!O23*1000</f>
        <v>49963.577276939133</v>
      </c>
      <c r="S454" s="295">
        <f>'Summary Table'!P23*1000</f>
        <v>59413.372710105818</v>
      </c>
      <c r="T454" s="295">
        <f>'Summary Table'!Q23*1000</f>
        <v>58386.082462551458</v>
      </c>
      <c r="U454" s="295">
        <f>'Summary Table'!R23*1000</f>
        <v>54793.864419601836</v>
      </c>
      <c r="V454" s="295">
        <f>'Summary Table'!S23*1000</f>
        <v>51316.127037437342</v>
      </c>
      <c r="W454" s="295">
        <f>'Summary Table'!T23*1000</f>
        <v>52302.199112446593</v>
      </c>
      <c r="X454" s="295">
        <f>'Summary Table'!U23*1000</f>
        <v>48260.774591540991</v>
      </c>
      <c r="Y454" s="295">
        <f>'Summary Table'!V23*1000</f>
        <v>51732.975084881022</v>
      </c>
      <c r="Z454" s="295">
        <f>'Summary Table'!W23*1000</f>
        <v>49736.176633621209</v>
      </c>
      <c r="AA454" s="295">
        <f>'Summary Table'!X23*1000</f>
        <v>48019.411873386591</v>
      </c>
      <c r="AB454" s="295">
        <f>'Summary Table'!Y23*1000</f>
        <v>39253.041337374343</v>
      </c>
      <c r="AC454" s="295">
        <f>'Summary Table'!Z23*1000</f>
        <v>41171.116981845458</v>
      </c>
      <c r="AD454" s="295">
        <f>'Summary Table'!AA23*1000</f>
        <v>39547.045254145807</v>
      </c>
      <c r="AE454" s="295">
        <f>'Summary Table'!AB23*1000</f>
        <v>66428.800315750646</v>
      </c>
      <c r="AF454" s="295">
        <f>'Summary Table'!AC23*1000</f>
        <v>59055.150951147298</v>
      </c>
      <c r="AG454" s="295">
        <f>'Summary Table'!AD23*1000</f>
        <v>57247.196778983693</v>
      </c>
      <c r="AH454" s="295">
        <f>'Summary Table'!AE23*1000</f>
        <v>51977.488359870644</v>
      </c>
      <c r="AI454" s="295">
        <f>'Summary Table'!AF23*1000</f>
        <v>57233.006553301078</v>
      </c>
      <c r="AJ454" s="295">
        <f>'Summary Table'!AG23*1000</f>
        <v>54419.044483563019</v>
      </c>
      <c r="AK454" s="295">
        <f>'Summary Table'!AH23*1000</f>
        <v>55734.392755355948</v>
      </c>
      <c r="AL454" s="295">
        <f>'Summary Table'!AI23*1000</f>
        <v>51063.464820652334</v>
      </c>
      <c r="AM454" s="315"/>
      <c r="AN454" s="315"/>
    </row>
    <row r="455" spans="1:40" ht="12.6">
      <c r="A455" s="990" t="s">
        <v>573</v>
      </c>
      <c r="B455" s="991" t="s">
        <v>132</v>
      </c>
      <c r="C455" s="991"/>
      <c r="D455" s="991" t="s">
        <v>129</v>
      </c>
      <c r="E455" s="991" t="s">
        <v>130</v>
      </c>
      <c r="F455" s="799" t="s">
        <v>106</v>
      </c>
      <c r="G455" s="799" t="s">
        <v>106</v>
      </c>
      <c r="H455" s="799" t="s">
        <v>106</v>
      </c>
      <c r="I455" s="799" t="s">
        <v>106</v>
      </c>
      <c r="J455" s="799" t="s">
        <v>106</v>
      </c>
      <c r="K455" s="799" t="s">
        <v>106</v>
      </c>
      <c r="L455" s="799" t="s">
        <v>106</v>
      </c>
      <c r="M455" s="799" t="s">
        <v>106</v>
      </c>
      <c r="N455" s="799" t="s">
        <v>106</v>
      </c>
      <c r="O455" s="799" t="s">
        <v>106</v>
      </c>
      <c r="P455" s="799" t="s">
        <v>106</v>
      </c>
      <c r="Q455" s="799" t="s">
        <v>106</v>
      </c>
      <c r="R455" s="799" t="s">
        <v>106</v>
      </c>
      <c r="S455" s="799" t="s">
        <v>106</v>
      </c>
      <c r="T455" s="799" t="s">
        <v>106</v>
      </c>
      <c r="U455" s="799" t="s">
        <v>106</v>
      </c>
      <c r="V455" s="799" t="s">
        <v>106</v>
      </c>
      <c r="W455" s="799" t="s">
        <v>106</v>
      </c>
      <c r="X455" s="799" t="s">
        <v>106</v>
      </c>
      <c r="Y455" s="799" t="s">
        <v>106</v>
      </c>
      <c r="Z455" s="799" t="s">
        <v>106</v>
      </c>
      <c r="AA455" s="799" t="s">
        <v>106</v>
      </c>
      <c r="AB455" s="799" t="s">
        <v>106</v>
      </c>
      <c r="AC455" s="799" t="s">
        <v>106</v>
      </c>
      <c r="AD455" s="799" t="s">
        <v>106</v>
      </c>
      <c r="AE455" s="799" t="s">
        <v>106</v>
      </c>
      <c r="AF455" s="799" t="s">
        <v>106</v>
      </c>
      <c r="AG455" s="799" t="s">
        <v>106</v>
      </c>
      <c r="AH455" s="799" t="s">
        <v>106</v>
      </c>
      <c r="AI455" s="799" t="s">
        <v>106</v>
      </c>
      <c r="AJ455" s="799" t="s">
        <v>106</v>
      </c>
      <c r="AK455" s="799" t="s">
        <v>106</v>
      </c>
      <c r="AL455" s="799" t="s">
        <v>106</v>
      </c>
      <c r="AM455" s="315"/>
      <c r="AN455" s="315"/>
    </row>
    <row r="456" spans="1:40" ht="12.6">
      <c r="A456" s="990" t="s">
        <v>574</v>
      </c>
      <c r="B456" s="991" t="s">
        <v>134</v>
      </c>
      <c r="D456" s="315"/>
      <c r="E456" s="315"/>
      <c r="F456" s="799"/>
      <c r="G456" s="799"/>
      <c r="H456" s="799"/>
      <c r="I456" s="799"/>
      <c r="J456" s="799"/>
      <c r="K456" s="799"/>
      <c r="L456" s="799"/>
      <c r="M456" s="799"/>
      <c r="N456" s="799"/>
      <c r="O456" s="799"/>
      <c r="P456" s="799"/>
      <c r="Q456" s="799"/>
      <c r="R456" s="799"/>
      <c r="S456" s="799"/>
      <c r="T456" s="799"/>
      <c r="U456" s="799"/>
      <c r="V456" s="799"/>
      <c r="W456" s="799"/>
      <c r="X456" s="799"/>
      <c r="Y456" s="799"/>
      <c r="Z456" s="799"/>
      <c r="AA456" s="799"/>
      <c r="AB456" s="799"/>
      <c r="AC456" s="799"/>
      <c r="AD456" s="799"/>
      <c r="AE456" s="799"/>
      <c r="AF456" s="799"/>
      <c r="AG456" s="799"/>
      <c r="AH456" s="799"/>
      <c r="AI456" s="799"/>
      <c r="AJ456" s="799"/>
      <c r="AK456" s="799"/>
      <c r="AL456" s="799"/>
      <c r="AM456" s="315"/>
      <c r="AN456" s="315"/>
    </row>
    <row r="457" spans="1:40" s="792" customFormat="1" ht="14.25" customHeight="1">
      <c r="A457" s="989" t="s">
        <v>575</v>
      </c>
      <c r="B457" s="791"/>
      <c r="C457" s="791"/>
      <c r="D457" s="791"/>
      <c r="E457" s="791"/>
      <c r="F457" s="790"/>
      <c r="G457" s="790"/>
      <c r="H457" s="790"/>
      <c r="I457" s="790"/>
      <c r="J457" s="790"/>
      <c r="K457" s="790"/>
      <c r="L457" s="790"/>
      <c r="M457" s="790"/>
      <c r="N457" s="790"/>
      <c r="O457" s="790"/>
      <c r="P457" s="790"/>
      <c r="Q457" s="790"/>
      <c r="R457" s="790"/>
      <c r="S457" s="790"/>
      <c r="T457" s="790"/>
      <c r="U457" s="790"/>
      <c r="V457" s="790"/>
      <c r="W457" s="790"/>
      <c r="X457" s="790"/>
      <c r="Y457" s="790"/>
      <c r="Z457" s="790"/>
      <c r="AA457" s="790"/>
      <c r="AB457" s="790"/>
      <c r="AC457" s="790"/>
      <c r="AD457" s="790"/>
      <c r="AE457" s="790"/>
      <c r="AF457" s="790"/>
      <c r="AG457" s="790"/>
      <c r="AH457" s="790"/>
      <c r="AI457" s="790"/>
      <c r="AJ457" s="790"/>
      <c r="AK457" s="790"/>
      <c r="AL457" s="790"/>
      <c r="AM457" s="791"/>
      <c r="AN457" s="791"/>
    </row>
    <row r="458" spans="1:40" ht="12.6">
      <c r="A458" s="990" t="s">
        <v>576</v>
      </c>
      <c r="B458" s="991" t="s">
        <v>121</v>
      </c>
      <c r="C458" s="991"/>
      <c r="D458" s="315"/>
      <c r="E458" s="991" t="s">
        <v>122</v>
      </c>
      <c r="F458" s="297">
        <f>('1990'!$O$8)*1055.05585262</f>
        <v>131308.03119367472</v>
      </c>
      <c r="G458" s="295">
        <f>('1991'!$O$8)*1055.05585262</f>
        <v>121864.22625687309</v>
      </c>
      <c r="H458" s="295">
        <f>('1992'!$O$8)*1055.05585262</f>
        <v>122987.86073991339</v>
      </c>
      <c r="I458" s="295">
        <f>('1993'!$O$8)*1055.05585262</f>
        <v>123760.16162403124</v>
      </c>
      <c r="J458" s="295">
        <f>('1994'!$O$8)*1055.05585262</f>
        <v>124622.14225562177</v>
      </c>
      <c r="K458" s="295">
        <f>('1995'!$O$8)*1055.05585262</f>
        <v>123217.86291578456</v>
      </c>
      <c r="L458" s="295">
        <f>('1996'!$O$8)*1055.05585262</f>
        <v>128308.50740467606</v>
      </c>
      <c r="M458" s="295">
        <f>('1997'!$O$8)*1055.05585262</f>
        <v>136514.73182635437</v>
      </c>
      <c r="N458" s="295">
        <f>('1998'!$O$8)*1055.05585262</f>
        <v>98580.198645402328</v>
      </c>
      <c r="O458" s="295">
        <f>('1999'!$O$8)*1055.05585262</f>
        <v>108168.54623401289</v>
      </c>
      <c r="P458" s="295">
        <f>('2000'!$O$8)*1055.05585262</f>
        <v>96954.357576514885</v>
      </c>
      <c r="Q458" s="295">
        <f>('2001'!$O$8)*1055.05585262</f>
        <v>102190.59977306797</v>
      </c>
      <c r="R458" s="295">
        <f>('2002'!$O$8)*1055.05585262</f>
        <v>94765.116682328386</v>
      </c>
      <c r="S458" s="295">
        <f>('2003'!$O$8)*1055.05585262</f>
        <v>86475.542848293058</v>
      </c>
      <c r="T458" s="295">
        <f>('2004'!$O$8)*1055.05585262</f>
        <v>108569.46745800848</v>
      </c>
      <c r="U458" s="295">
        <f>('2005'!$O$8)*1055.05585262</f>
        <v>102339.36264828738</v>
      </c>
      <c r="V458" s="295">
        <f>('2006'!$O$8)*1055.05585262</f>
        <v>68356.013635397176</v>
      </c>
      <c r="W458" s="295">
        <f>('2007'!$O$8)*1055.05585262</f>
        <v>73890.836638241701</v>
      </c>
      <c r="X458" s="295">
        <f>('2008'!$O$8)*1055.05585262</f>
        <v>85203.145490033348</v>
      </c>
      <c r="Y458" s="295">
        <f>('2009'!$O$8)*1055.05585262</f>
        <v>77391.511957234834</v>
      </c>
      <c r="Z458" s="295">
        <f>('2010'!$O$8)*1055.05585262</f>
        <v>73488.860358393475</v>
      </c>
      <c r="AA458" s="295">
        <f>('2011'!$O$8)*1055.05585262</f>
        <v>65112.771944443302</v>
      </c>
      <c r="AB458" s="295">
        <f>('2012'!$O$8)*1055.05585262</f>
        <v>45949.792493306239</v>
      </c>
      <c r="AC458" s="295">
        <f>('2013'!$O$8)*1055.05585262</f>
        <v>43708.853862341355</v>
      </c>
      <c r="AD458" s="295">
        <f>('2014'!$O$8)*1055.05585262</f>
        <v>42417.465498734484</v>
      </c>
      <c r="AE458" s="295">
        <f>('2015'!$O$8)*1055.05585262</f>
        <v>32832.283077681779</v>
      </c>
      <c r="AF458" s="295">
        <f>('2016'!$O$8)*1055.05585262</f>
        <v>25053.35627631452</v>
      </c>
      <c r="AG458" s="295">
        <f>('2017'!$O$8)*1055.05585262</f>
        <v>21794.28874757134</v>
      </c>
      <c r="AH458" s="295">
        <f>('2018'!$O$8)*1055.05585262</f>
        <v>19751.700616899019</v>
      </c>
      <c r="AI458" s="295">
        <f>('2019'!$O$8)*1055.05585262</f>
        <v>17636.313632395922</v>
      </c>
      <c r="AJ458" s="295">
        <f>('2020'!$O$8)*1055.05585262</f>
        <v>15310.97053322144</v>
      </c>
      <c r="AK458" s="295">
        <f>('2021'!$O$8)*1055.05585262</f>
        <v>15736.158041827299</v>
      </c>
      <c r="AL458" s="295">
        <f>('2022'!$O$8)*1055.05585262</f>
        <v>15257.162684737821</v>
      </c>
      <c r="AM458" s="315"/>
      <c r="AN458" s="315"/>
    </row>
    <row r="459" spans="1:40" ht="12.6">
      <c r="A459" s="990" t="s">
        <v>577</v>
      </c>
      <c r="B459" s="991" t="s">
        <v>124</v>
      </c>
      <c r="C459" s="991"/>
      <c r="D459" s="315"/>
      <c r="E459" s="315" t="s">
        <v>125</v>
      </c>
      <c r="F459" s="300" t="s">
        <v>126</v>
      </c>
      <c r="G459" s="300" t="s">
        <v>126</v>
      </c>
      <c r="H459" s="300" t="s">
        <v>126</v>
      </c>
      <c r="I459" s="300" t="s">
        <v>126</v>
      </c>
      <c r="J459" s="300" t="s">
        <v>126</v>
      </c>
      <c r="K459" s="300" t="s">
        <v>126</v>
      </c>
      <c r="L459" s="300" t="s">
        <v>126</v>
      </c>
      <c r="M459" s="300" t="s">
        <v>126</v>
      </c>
      <c r="N459" s="300" t="s">
        <v>126</v>
      </c>
      <c r="O459" s="300" t="s">
        <v>126</v>
      </c>
      <c r="P459" s="300" t="s">
        <v>126</v>
      </c>
      <c r="Q459" s="300" t="s">
        <v>126</v>
      </c>
      <c r="R459" s="300" t="s">
        <v>126</v>
      </c>
      <c r="S459" s="300" t="s">
        <v>126</v>
      </c>
      <c r="T459" s="300" t="s">
        <v>126</v>
      </c>
      <c r="U459" s="300" t="s">
        <v>126</v>
      </c>
      <c r="V459" s="300" t="s">
        <v>126</v>
      </c>
      <c r="W459" s="300" t="s">
        <v>126</v>
      </c>
      <c r="X459" s="300" t="s">
        <v>126</v>
      </c>
      <c r="Y459" s="300" t="s">
        <v>126</v>
      </c>
      <c r="Z459" s="300" t="s">
        <v>126</v>
      </c>
      <c r="AA459" s="300" t="s">
        <v>126</v>
      </c>
      <c r="AB459" s="300" t="s">
        <v>126</v>
      </c>
      <c r="AC459" s="300" t="s">
        <v>126</v>
      </c>
      <c r="AD459" s="300" t="s">
        <v>126</v>
      </c>
      <c r="AE459" s="300" t="s">
        <v>126</v>
      </c>
      <c r="AF459" s="300" t="s">
        <v>126</v>
      </c>
      <c r="AG459" s="300" t="s">
        <v>126</v>
      </c>
      <c r="AH459" s="300" t="s">
        <v>126</v>
      </c>
      <c r="AI459" s="300" t="s">
        <v>126</v>
      </c>
      <c r="AJ459" s="300" t="s">
        <v>126</v>
      </c>
      <c r="AK459" s="300" t="s">
        <v>126</v>
      </c>
      <c r="AL459" s="300" t="s">
        <v>126</v>
      </c>
      <c r="AM459" s="315"/>
      <c r="AN459" s="315"/>
    </row>
    <row r="460" spans="1:40" ht="12.6">
      <c r="A460" s="990" t="s">
        <v>578</v>
      </c>
      <c r="B460" s="991" t="s">
        <v>128</v>
      </c>
      <c r="C460" s="991"/>
      <c r="D460" s="991" t="s">
        <v>129</v>
      </c>
      <c r="E460" s="991" t="s">
        <v>130</v>
      </c>
      <c r="F460" s="295">
        <f>'Summary Table'!C9*1000</f>
        <v>11950.781008242848</v>
      </c>
      <c r="G460" s="295">
        <f>'Summary Table'!D9*1000</f>
        <v>11123.951798824037</v>
      </c>
      <c r="H460" s="295">
        <f>'Summary Table'!E9*1000</f>
        <v>11276.7921073171</v>
      </c>
      <c r="I460" s="295">
        <f>'Summary Table'!F9*1000</f>
        <v>11251.1919447328</v>
      </c>
      <c r="J460" s="295">
        <f>'Summary Table'!G9*1000</f>
        <v>11300.110030238828</v>
      </c>
      <c r="K460" s="295">
        <f>'Summary Table'!H9*1000</f>
        <v>11187.393726740216</v>
      </c>
      <c r="L460" s="295">
        <f>'Summary Table'!I9*1000</f>
        <v>11605.301798192992</v>
      </c>
      <c r="M460" s="295">
        <f>'Summary Table'!J9*1000</f>
        <v>12283.500350691053</v>
      </c>
      <c r="N460" s="295">
        <f>'Summary Table'!K9*1000</f>
        <v>8926.4663574628375</v>
      </c>
      <c r="O460" s="295">
        <f>'Summary Table'!L9*1000</f>
        <v>9763.5618041440739</v>
      </c>
      <c r="P460" s="295">
        <f>'Summary Table'!M9*1000</f>
        <v>8760.340127175099</v>
      </c>
      <c r="Q460" s="295">
        <f>'Summary Table'!N9*1000</f>
        <v>9230.6379407867153</v>
      </c>
      <c r="R460" s="295">
        <f>'Summary Table'!O9*1000</f>
        <v>8551.1654681646287</v>
      </c>
      <c r="S460" s="295">
        <f>'Summary Table'!P9*1000</f>
        <v>7821.9705072625966</v>
      </c>
      <c r="T460" s="295">
        <f>'Summary Table'!Q9*1000</f>
        <v>9767.0904901110298</v>
      </c>
      <c r="U460" s="295">
        <f>'Summary Table'!R9*1000</f>
        <v>9260.1022167636511</v>
      </c>
      <c r="V460" s="295">
        <f>'Summary Table'!S9*1000</f>
        <v>6238.789046369604</v>
      </c>
      <c r="W460" s="295">
        <f>'Summary Table'!T9*1000</f>
        <v>6654.628803380202</v>
      </c>
      <c r="X460" s="295">
        <f>'Summary Table'!U9*1000</f>
        <v>7611.6885807047292</v>
      </c>
      <c r="Y460" s="295">
        <f>'Summary Table'!V9*1000</f>
        <v>6921.2944879527449</v>
      </c>
      <c r="Z460" s="295">
        <f>'Summary Table'!W9*1000</f>
        <v>6576.4502150490671</v>
      </c>
      <c r="AA460" s="295">
        <f>'Summary Table'!X9*1000</f>
        <v>5841.1054745380698</v>
      </c>
      <c r="AB460" s="295">
        <f>'Summary Table'!Y9*1000</f>
        <v>4133.2779377363468</v>
      </c>
      <c r="AC460" s="295">
        <f>'Summary Table'!Z9*1000</f>
        <v>3934.9591086762434</v>
      </c>
      <c r="AD460" s="295">
        <f>'Summary Table'!AA9*1000</f>
        <v>3815.747352827314</v>
      </c>
      <c r="AE460" s="295">
        <f>'Summary Table'!AB9*1000</f>
        <v>2964.5721255676035</v>
      </c>
      <c r="AF460" s="295">
        <f>'Summary Table'!AC9*1000</f>
        <v>2264.9918397973811</v>
      </c>
      <c r="AG460" s="295">
        <f>'Summary Table'!AD9*1000</f>
        <v>1975.9169500269727</v>
      </c>
      <c r="AH460" s="295">
        <f>'Summary Table'!AE9*1000</f>
        <v>1791.1940979329956</v>
      </c>
      <c r="AI460" s="295">
        <f>'Summary Table'!AF9*1000</f>
        <v>1600.0991942164421</v>
      </c>
      <c r="AJ460" s="295">
        <f>'Summary Table'!AG9*1000</f>
        <v>1394.5916740834434</v>
      </c>
      <c r="AK460" s="295">
        <f>'Summary Table'!AH9*1000</f>
        <v>1430.4169328982714</v>
      </c>
      <c r="AL460" s="295">
        <f>'Summary Table'!AI9*1000</f>
        <v>1388.1296839221754</v>
      </c>
      <c r="AM460" s="315"/>
      <c r="AN460" s="315"/>
    </row>
    <row r="461" spans="1:40" ht="12.6">
      <c r="A461" s="990" t="s">
        <v>579</v>
      </c>
      <c r="B461" s="991" t="s">
        <v>132</v>
      </c>
      <c r="C461" s="991"/>
      <c r="D461" s="991" t="s">
        <v>129</v>
      </c>
      <c r="E461" s="991" t="s">
        <v>130</v>
      </c>
      <c r="F461" s="799" t="s">
        <v>106</v>
      </c>
      <c r="G461" s="799" t="s">
        <v>106</v>
      </c>
      <c r="H461" s="799" t="s">
        <v>106</v>
      </c>
      <c r="I461" s="799" t="s">
        <v>106</v>
      </c>
      <c r="J461" s="799" t="s">
        <v>106</v>
      </c>
      <c r="K461" s="799" t="s">
        <v>106</v>
      </c>
      <c r="L461" s="799" t="s">
        <v>106</v>
      </c>
      <c r="M461" s="799" t="s">
        <v>106</v>
      </c>
      <c r="N461" s="799" t="s">
        <v>106</v>
      </c>
      <c r="O461" s="799" t="s">
        <v>106</v>
      </c>
      <c r="P461" s="799" t="s">
        <v>106</v>
      </c>
      <c r="Q461" s="799" t="s">
        <v>106</v>
      </c>
      <c r="R461" s="799" t="s">
        <v>106</v>
      </c>
      <c r="S461" s="799" t="s">
        <v>106</v>
      </c>
      <c r="T461" s="799" t="s">
        <v>106</v>
      </c>
      <c r="U461" s="799" t="s">
        <v>106</v>
      </c>
      <c r="V461" s="799" t="s">
        <v>106</v>
      </c>
      <c r="W461" s="799" t="s">
        <v>106</v>
      </c>
      <c r="X461" s="799" t="s">
        <v>106</v>
      </c>
      <c r="Y461" s="799" t="s">
        <v>106</v>
      </c>
      <c r="Z461" s="799" t="s">
        <v>106</v>
      </c>
      <c r="AA461" s="799" t="s">
        <v>106</v>
      </c>
      <c r="AB461" s="799" t="s">
        <v>106</v>
      </c>
      <c r="AC461" s="799" t="s">
        <v>106</v>
      </c>
      <c r="AD461" s="799" t="s">
        <v>106</v>
      </c>
      <c r="AE461" s="799" t="s">
        <v>106</v>
      </c>
      <c r="AF461" s="799" t="s">
        <v>106</v>
      </c>
      <c r="AG461" s="799" t="s">
        <v>106</v>
      </c>
      <c r="AH461" s="799" t="s">
        <v>106</v>
      </c>
      <c r="AI461" s="799" t="s">
        <v>106</v>
      </c>
      <c r="AJ461" s="799" t="s">
        <v>106</v>
      </c>
      <c r="AK461" s="799" t="s">
        <v>106</v>
      </c>
      <c r="AL461" s="799" t="s">
        <v>106</v>
      </c>
      <c r="AM461" s="315"/>
      <c r="AN461" s="315"/>
    </row>
    <row r="462" spans="1:40" ht="12.6">
      <c r="A462" s="990" t="s">
        <v>580</v>
      </c>
      <c r="B462" s="991" t="s">
        <v>134</v>
      </c>
      <c r="D462" s="315"/>
      <c r="E462" s="315"/>
      <c r="F462" s="799"/>
      <c r="G462" s="799"/>
      <c r="H462" s="799"/>
      <c r="I462" s="799"/>
      <c r="J462" s="799"/>
      <c r="K462" s="799"/>
      <c r="L462" s="799"/>
      <c r="M462" s="799"/>
      <c r="N462" s="799"/>
      <c r="O462" s="799"/>
      <c r="P462" s="799"/>
      <c r="Q462" s="799"/>
      <c r="R462" s="799"/>
      <c r="S462" s="799"/>
      <c r="T462" s="799"/>
      <c r="U462" s="799"/>
      <c r="V462" s="799"/>
      <c r="W462" s="799"/>
      <c r="X462" s="799"/>
      <c r="Y462" s="799"/>
      <c r="Z462" s="799"/>
      <c r="AA462" s="799"/>
      <c r="AB462" s="799"/>
      <c r="AC462" s="799"/>
      <c r="AD462" s="799"/>
      <c r="AE462" s="799"/>
      <c r="AF462" s="799"/>
      <c r="AG462" s="799"/>
      <c r="AH462" s="799"/>
      <c r="AI462" s="799"/>
      <c r="AJ462" s="799"/>
      <c r="AK462" s="799"/>
      <c r="AL462" s="799"/>
      <c r="AM462" s="315"/>
      <c r="AN462" s="315"/>
    </row>
    <row r="463" spans="1:40" s="792" customFormat="1" ht="14.25" customHeight="1">
      <c r="A463" s="989" t="s">
        <v>581</v>
      </c>
      <c r="B463" s="791"/>
      <c r="C463" s="791"/>
      <c r="D463" s="791"/>
      <c r="E463" s="791"/>
      <c r="F463" s="790"/>
      <c r="G463" s="790"/>
      <c r="H463" s="790"/>
      <c r="I463" s="790"/>
      <c r="J463" s="790"/>
      <c r="K463" s="790"/>
      <c r="L463" s="790"/>
      <c r="M463" s="790"/>
      <c r="N463" s="790"/>
      <c r="O463" s="790"/>
      <c r="P463" s="790"/>
      <c r="Q463" s="790"/>
      <c r="R463" s="790"/>
      <c r="S463" s="790"/>
      <c r="T463" s="790"/>
      <c r="U463" s="790"/>
      <c r="V463" s="790"/>
      <c r="W463" s="790"/>
      <c r="X463" s="790"/>
      <c r="Y463" s="790"/>
      <c r="Z463" s="790"/>
      <c r="AA463" s="790"/>
      <c r="AB463" s="790"/>
      <c r="AC463" s="790"/>
      <c r="AD463" s="790"/>
      <c r="AE463" s="790"/>
      <c r="AF463" s="790"/>
      <c r="AG463" s="790"/>
      <c r="AH463" s="790"/>
      <c r="AI463" s="790"/>
      <c r="AJ463" s="790"/>
      <c r="AK463" s="790"/>
      <c r="AL463" s="790"/>
      <c r="AM463" s="791"/>
      <c r="AN463" s="791"/>
    </row>
    <row r="464" spans="1:40" ht="12.6">
      <c r="A464" s="990" t="s">
        <v>582</v>
      </c>
      <c r="B464" s="991" t="s">
        <v>121</v>
      </c>
      <c r="C464" s="991"/>
      <c r="D464" s="315"/>
      <c r="E464" s="991" t="s">
        <v>122</v>
      </c>
      <c r="F464" s="297">
        <f>('1990'!$O$17)*1055.05585262</f>
        <v>2827124.4975129943</v>
      </c>
      <c r="G464" s="295">
        <f>('1991'!$O$17)*1055.05585262</f>
        <v>2949304.1854698006</v>
      </c>
      <c r="H464" s="295">
        <f>('1992'!$O$17)*1055.05585262</f>
        <v>3029261.5932606077</v>
      </c>
      <c r="I464" s="295">
        <f>('1993'!$O$17)*1055.05585262</f>
        <v>3081201.9928850899</v>
      </c>
      <c r="J464" s="295">
        <f>('1994'!$O$17)*1055.05585262</f>
        <v>3125055.3893992403</v>
      </c>
      <c r="K464" s="295">
        <f>('1995'!$O$17)*1055.05585262</f>
        <v>3266441.3140971414</v>
      </c>
      <c r="L464" s="295">
        <f>('1996'!$O$17)*1055.05585262</f>
        <v>3403944.6332574007</v>
      </c>
      <c r="M464" s="295">
        <f>('1997'!$O$17)*1055.05585262</f>
        <v>3466196.0937295384</v>
      </c>
      <c r="N464" s="295">
        <f>('1998'!$O$17)*1055.05585262</f>
        <v>3252710.8172311443</v>
      </c>
      <c r="O464" s="295">
        <f>('1999'!$O$17)*1055.05585262</f>
        <v>3286531.6876427312</v>
      </c>
      <c r="P464" s="295">
        <f>('2000'!$O$17)*1055.05585262</f>
        <v>3430541.5362460981</v>
      </c>
      <c r="Q464" s="295">
        <f>('2001'!$O$17)*1055.05585262</f>
        <v>3267784.4001975264</v>
      </c>
      <c r="R464" s="295">
        <f>('2002'!$O$17)*1055.05585262</f>
        <v>3389320.5040842351</v>
      </c>
      <c r="S464" s="295">
        <f>('2003'!$O$17)*1055.05585262</f>
        <v>3440448.5107022002</v>
      </c>
      <c r="T464" s="295">
        <f>('2004'!$O$17)*1055.05585262</f>
        <v>3377204.242672747</v>
      </c>
      <c r="U464" s="295">
        <f>('2005'!$O$17)*1055.05585262</f>
        <v>3242414.5271654259</v>
      </c>
      <c r="V464" s="295">
        <f>('2006'!$O$17)*1055.05585262</f>
        <v>3061441.85182137</v>
      </c>
      <c r="W464" s="295">
        <f>('2007'!$O$17)*1055.05585262</f>
        <v>3254902.1682370366</v>
      </c>
      <c r="X464" s="295">
        <f>('2008'!$O$17)*1055.05585262</f>
        <v>3406172.9112181342</v>
      </c>
      <c r="Y464" s="295">
        <f>('2009'!$O$17)*1055.05585262</f>
        <v>3362034.6496237763</v>
      </c>
      <c r="Z464" s="295">
        <f>('2010'!$O$17)*1055.05585262</f>
        <v>3338912.0455577564</v>
      </c>
      <c r="AA464" s="295">
        <f>('2011'!$O$17)*1055.05585262</f>
        <v>3393165.1276111817</v>
      </c>
      <c r="AB464" s="295">
        <f>('2012'!$O$17)*1055.05585262</f>
        <v>3122449.4014432686</v>
      </c>
      <c r="AC464" s="295">
        <f>('2013'!$O$17)*1055.05585262</f>
        <v>3565870.3852941077</v>
      </c>
      <c r="AD464" s="295">
        <f>('2014'!$O$17)*1055.05585262</f>
        <v>3768580.3763696938</v>
      </c>
      <c r="AE464" s="295">
        <f>('2015'!$O$17)*1055.05585262</f>
        <v>3498133.6894441983</v>
      </c>
      <c r="AF464" s="295">
        <f>('2016'!$O$17)*1055.05585262</f>
        <v>3400990.4768700642</v>
      </c>
      <c r="AG464" s="295">
        <f>('2017'!$O$17)*1055.05585262</f>
        <v>3453041.657359072</v>
      </c>
      <c r="AH464" s="295">
        <f>('2018'!$O$17)*1055.05585262</f>
        <v>3838605.4883639351</v>
      </c>
      <c r="AI464" s="295">
        <f>('2019'!$O$17)*1055.05585262</f>
        <v>3848090.4404789894</v>
      </c>
      <c r="AJ464" s="295">
        <f>('2020'!$O$17)*1055.05585262</f>
        <v>3459013.2734849015</v>
      </c>
      <c r="AK464" s="295">
        <f>('2021'!$O$17)*1055.05585262</f>
        <v>3596870.0363557888</v>
      </c>
      <c r="AL464" s="295">
        <f>('2022'!$O$17)*1055.05585262</f>
        <v>3833302.7776486673</v>
      </c>
      <c r="AM464" s="315"/>
      <c r="AN464" s="315"/>
    </row>
    <row r="465" spans="1:40" ht="12.6">
      <c r="A465" s="990" t="s">
        <v>583</v>
      </c>
      <c r="B465" s="991" t="s">
        <v>124</v>
      </c>
      <c r="C465" s="991"/>
      <c r="D465" s="315"/>
      <c r="E465" s="315" t="s">
        <v>125</v>
      </c>
      <c r="F465" s="300" t="s">
        <v>126</v>
      </c>
      <c r="G465" s="300" t="s">
        <v>126</v>
      </c>
      <c r="H465" s="300" t="s">
        <v>126</v>
      </c>
      <c r="I465" s="300" t="s">
        <v>126</v>
      </c>
      <c r="J465" s="300" t="s">
        <v>126</v>
      </c>
      <c r="K465" s="300" t="s">
        <v>126</v>
      </c>
      <c r="L465" s="300" t="s">
        <v>126</v>
      </c>
      <c r="M465" s="300" t="s">
        <v>126</v>
      </c>
      <c r="N465" s="300" t="s">
        <v>126</v>
      </c>
      <c r="O465" s="300" t="s">
        <v>126</v>
      </c>
      <c r="P465" s="300" t="s">
        <v>126</v>
      </c>
      <c r="Q465" s="300" t="s">
        <v>126</v>
      </c>
      <c r="R465" s="300" t="s">
        <v>126</v>
      </c>
      <c r="S465" s="300" t="s">
        <v>126</v>
      </c>
      <c r="T465" s="300" t="s">
        <v>126</v>
      </c>
      <c r="U465" s="300" t="s">
        <v>126</v>
      </c>
      <c r="V465" s="300" t="s">
        <v>126</v>
      </c>
      <c r="W465" s="300" t="s">
        <v>126</v>
      </c>
      <c r="X465" s="300" t="s">
        <v>126</v>
      </c>
      <c r="Y465" s="300" t="s">
        <v>126</v>
      </c>
      <c r="Z465" s="300" t="s">
        <v>126</v>
      </c>
      <c r="AA465" s="300" t="s">
        <v>126</v>
      </c>
      <c r="AB465" s="300" t="s">
        <v>126</v>
      </c>
      <c r="AC465" s="300" t="s">
        <v>126</v>
      </c>
      <c r="AD465" s="300" t="s">
        <v>126</v>
      </c>
      <c r="AE465" s="300" t="s">
        <v>126</v>
      </c>
      <c r="AF465" s="300" t="s">
        <v>126</v>
      </c>
      <c r="AG465" s="300" t="s">
        <v>126</v>
      </c>
      <c r="AH465" s="300" t="s">
        <v>126</v>
      </c>
      <c r="AI465" s="300" t="s">
        <v>126</v>
      </c>
      <c r="AJ465" s="300" t="s">
        <v>126</v>
      </c>
      <c r="AK465" s="300" t="s">
        <v>126</v>
      </c>
      <c r="AL465" s="300" t="s">
        <v>126</v>
      </c>
      <c r="AM465" s="315"/>
      <c r="AN465" s="315"/>
    </row>
    <row r="466" spans="1:40" ht="12.6">
      <c r="A466" s="990" t="s">
        <v>584</v>
      </c>
      <c r="B466" s="991" t="s">
        <v>128</v>
      </c>
      <c r="C466" s="991"/>
      <c r="D466" s="991" t="s">
        <v>129</v>
      </c>
      <c r="E466" s="991" t="s">
        <v>130</v>
      </c>
      <c r="F466" s="295">
        <f>'Summary Table'!C16*1000</f>
        <v>142024.73544607754</v>
      </c>
      <c r="G466" s="295">
        <f>'Summary Table'!D16*1000</f>
        <v>148128.4332099577</v>
      </c>
      <c r="H466" s="295">
        <f>'Summary Table'!E16*1000</f>
        <v>152144.28399874139</v>
      </c>
      <c r="I466" s="295">
        <f>'Summary Table'!F16*1000</f>
        <v>154860.31096580881</v>
      </c>
      <c r="J466" s="295">
        <f>'Summary Table'!G16*1000</f>
        <v>157028.01444190188</v>
      </c>
      <c r="K466" s="295">
        <f>'Summary Table'!H16*1000</f>
        <v>164208.45936813724</v>
      </c>
      <c r="L466" s="295">
        <f>'Summary Table'!I16*1000</f>
        <v>171120.93873822887</v>
      </c>
      <c r="M466" s="295">
        <f>'Summary Table'!J16*1000</f>
        <v>174250.40454967009</v>
      </c>
      <c r="N466" s="295">
        <f>'Summary Table'!K16*1000</f>
        <v>163329.37279129025</v>
      </c>
      <c r="O466" s="295">
        <f>'Summary Table'!L16*1000</f>
        <v>165180.12136905649</v>
      </c>
      <c r="P466" s="295">
        <f>'Summary Table'!M16*1000</f>
        <v>172498.06642837645</v>
      </c>
      <c r="Q466" s="295">
        <f>'Summary Table'!N16*1000</f>
        <v>164199.87233758552</v>
      </c>
      <c r="R466" s="295">
        <f>'Summary Table'!O16*1000</f>
        <v>170465.00850943962</v>
      </c>
      <c r="S466" s="295">
        <f>'Summary Table'!P16*1000</f>
        <v>172875.91133833368</v>
      </c>
      <c r="T466" s="295">
        <f>'Summary Table'!Q16*1000</f>
        <v>169776.66283715639</v>
      </c>
      <c r="U466" s="295">
        <f>'Summary Table'!R16*1000</f>
        <v>162925.08508024996</v>
      </c>
      <c r="V466" s="295">
        <f>'Summary Table'!S16*1000</f>
        <v>153831.55669866854</v>
      </c>
      <c r="W466" s="295">
        <f>'Summary Table'!T16*1000</f>
        <v>163590.43097479621</v>
      </c>
      <c r="X466" s="295">
        <f>'Summary Table'!U16*1000</f>
        <v>171193.25427303347</v>
      </c>
      <c r="Y466" s="295">
        <f>'Summary Table'!V16*1000</f>
        <v>169053.33172555466</v>
      </c>
      <c r="Z466" s="295">
        <f>'Summary Table'!W16*1000</f>
        <v>167968.87548912162</v>
      </c>
      <c r="AA466" s="295">
        <f>'Summary Table'!X16*1000</f>
        <v>170738.01795221382</v>
      </c>
      <c r="AB466" s="295">
        <f>'Summary Table'!Y16*1000</f>
        <v>157042.79460910289</v>
      </c>
      <c r="AC466" s="295">
        <f>'Summary Table'!Z16*1000</f>
        <v>179219.60261143069</v>
      </c>
      <c r="AD466" s="295">
        <f>'Summary Table'!AA16*1000</f>
        <v>189189.3877742241</v>
      </c>
      <c r="AE466" s="295">
        <f>'Summary Table'!AB16*1000</f>
        <v>175411.75179782591</v>
      </c>
      <c r="AF466" s="295">
        <f>'Summary Table'!AC16*1000</f>
        <v>170540.56544370894</v>
      </c>
      <c r="AG466" s="295">
        <f>'Summary Table'!AD16*1000</f>
        <v>173190.11617374825</v>
      </c>
      <c r="AH466" s="295">
        <f>'Summary Table'!AE16*1000</f>
        <v>192528.38408656529</v>
      </c>
      <c r="AI466" s="295">
        <f>'Summary Table'!AF16*1000</f>
        <v>192916.20874877498</v>
      </c>
      <c r="AJ466" s="295">
        <f>'Summary Table'!AG16*1000</f>
        <v>173450.0827183431</v>
      </c>
      <c r="AK466" s="295">
        <f>'Summary Table'!AH16*1000</f>
        <v>180362.82488864072</v>
      </c>
      <c r="AL466" s="295">
        <f>'Summary Table'!AI16*1000</f>
        <v>192262.42231258677</v>
      </c>
      <c r="AM466" s="315"/>
      <c r="AN466" s="315"/>
    </row>
    <row r="467" spans="1:40" ht="12.6">
      <c r="A467" s="990" t="s">
        <v>585</v>
      </c>
      <c r="B467" s="991" t="s">
        <v>132</v>
      </c>
      <c r="C467" s="991"/>
      <c r="D467" s="991" t="s">
        <v>129</v>
      </c>
      <c r="E467" s="991" t="s">
        <v>130</v>
      </c>
      <c r="F467" s="799" t="s">
        <v>106</v>
      </c>
      <c r="G467" s="799" t="s">
        <v>106</v>
      </c>
      <c r="H467" s="799" t="s">
        <v>106</v>
      </c>
      <c r="I467" s="799" t="s">
        <v>106</v>
      </c>
      <c r="J467" s="799" t="s">
        <v>106</v>
      </c>
      <c r="K467" s="799" t="s">
        <v>106</v>
      </c>
      <c r="L467" s="799" t="s">
        <v>106</v>
      </c>
      <c r="M467" s="799" t="s">
        <v>106</v>
      </c>
      <c r="N467" s="799" t="s">
        <v>106</v>
      </c>
      <c r="O467" s="799" t="s">
        <v>106</v>
      </c>
      <c r="P467" s="799" t="s">
        <v>106</v>
      </c>
      <c r="Q467" s="799" t="s">
        <v>106</v>
      </c>
      <c r="R467" s="799" t="s">
        <v>106</v>
      </c>
      <c r="S467" s="799" t="s">
        <v>106</v>
      </c>
      <c r="T467" s="799" t="s">
        <v>106</v>
      </c>
      <c r="U467" s="799" t="s">
        <v>106</v>
      </c>
      <c r="V467" s="799" t="s">
        <v>106</v>
      </c>
      <c r="W467" s="799" t="s">
        <v>106</v>
      </c>
      <c r="X467" s="799" t="s">
        <v>106</v>
      </c>
      <c r="Y467" s="799" t="s">
        <v>106</v>
      </c>
      <c r="Z467" s="799" t="s">
        <v>106</v>
      </c>
      <c r="AA467" s="799" t="s">
        <v>106</v>
      </c>
      <c r="AB467" s="799" t="s">
        <v>106</v>
      </c>
      <c r="AC467" s="799" t="s">
        <v>106</v>
      </c>
      <c r="AD467" s="799" t="s">
        <v>106</v>
      </c>
      <c r="AE467" s="799" t="s">
        <v>106</v>
      </c>
      <c r="AF467" s="799" t="s">
        <v>106</v>
      </c>
      <c r="AG467" s="799" t="s">
        <v>106</v>
      </c>
      <c r="AH467" s="799" t="s">
        <v>106</v>
      </c>
      <c r="AI467" s="799" t="s">
        <v>106</v>
      </c>
      <c r="AJ467" s="799" t="s">
        <v>106</v>
      </c>
      <c r="AK467" s="799" t="s">
        <v>106</v>
      </c>
      <c r="AL467" s="799" t="s">
        <v>106</v>
      </c>
      <c r="AM467" s="315"/>
      <c r="AN467" s="315"/>
    </row>
    <row r="468" spans="1:40" ht="12.6">
      <c r="A468" s="990" t="s">
        <v>586</v>
      </c>
      <c r="B468" s="991" t="s">
        <v>134</v>
      </c>
      <c r="D468" s="315"/>
      <c r="E468" s="315"/>
      <c r="F468" s="799"/>
      <c r="G468" s="799"/>
      <c r="H468" s="799"/>
      <c r="I468" s="799"/>
      <c r="J468" s="799"/>
      <c r="K468" s="799"/>
      <c r="L468" s="799"/>
      <c r="M468" s="799"/>
      <c r="N468" s="799"/>
      <c r="O468" s="799"/>
      <c r="P468" s="799"/>
      <c r="Q468" s="799"/>
      <c r="R468" s="799"/>
      <c r="S468" s="799"/>
      <c r="T468" s="799"/>
      <c r="U468" s="799"/>
      <c r="V468" s="799"/>
      <c r="W468" s="799"/>
      <c r="X468" s="799"/>
      <c r="Y468" s="799"/>
      <c r="Z468" s="799"/>
      <c r="AA468" s="799"/>
      <c r="AB468" s="799"/>
      <c r="AC468" s="799"/>
      <c r="AD468" s="799"/>
      <c r="AE468" s="799"/>
      <c r="AF468" s="799"/>
      <c r="AG468" s="799"/>
      <c r="AH468" s="799"/>
      <c r="AI468" s="799"/>
      <c r="AJ468" s="799"/>
      <c r="AK468" s="799"/>
      <c r="AL468" s="799"/>
      <c r="AM468" s="315"/>
      <c r="AN468" s="315"/>
    </row>
    <row r="469" spans="1:40" s="792" customFormat="1" ht="14.25" customHeight="1">
      <c r="A469" s="989" t="s">
        <v>587</v>
      </c>
      <c r="B469" s="791"/>
      <c r="C469" s="791"/>
      <c r="D469" s="791"/>
      <c r="E469" s="791"/>
      <c r="F469" s="790"/>
      <c r="G469" s="790"/>
      <c r="H469" s="790"/>
      <c r="I469" s="790"/>
      <c r="J469" s="790"/>
      <c r="K469" s="790"/>
      <c r="L469" s="790"/>
      <c r="M469" s="790"/>
      <c r="N469" s="790"/>
      <c r="O469" s="790"/>
      <c r="P469" s="790"/>
      <c r="Q469" s="790"/>
      <c r="R469" s="790"/>
      <c r="S469" s="790"/>
      <c r="T469" s="790"/>
      <c r="U469" s="790"/>
      <c r="V469" s="790"/>
      <c r="W469" s="790"/>
      <c r="X469" s="790"/>
      <c r="Y469" s="790"/>
      <c r="Z469" s="790"/>
      <c r="AA469" s="790"/>
      <c r="AB469" s="790"/>
      <c r="AC469" s="790"/>
      <c r="AD469" s="790"/>
      <c r="AE469" s="790"/>
      <c r="AF469" s="790"/>
      <c r="AG469" s="790"/>
      <c r="AH469" s="790"/>
      <c r="AI469" s="790"/>
      <c r="AJ469" s="790"/>
      <c r="AK469" s="790"/>
      <c r="AL469" s="790"/>
      <c r="AM469" s="791"/>
      <c r="AN469" s="791"/>
    </row>
    <row r="470" spans="1:40" ht="12.6">
      <c r="A470" s="990" t="s">
        <v>588</v>
      </c>
      <c r="B470" s="991" t="s">
        <v>121</v>
      </c>
      <c r="C470" s="991"/>
      <c r="D470" s="315"/>
      <c r="E470" s="991" t="s">
        <v>122</v>
      </c>
      <c r="F470" s="799" t="s">
        <v>108</v>
      </c>
      <c r="G470" s="799" t="s">
        <v>108</v>
      </c>
      <c r="H470" s="799" t="s">
        <v>108</v>
      </c>
      <c r="I470" s="799" t="s">
        <v>108</v>
      </c>
      <c r="J470" s="799" t="s">
        <v>108</v>
      </c>
      <c r="K470" s="799" t="s">
        <v>108</v>
      </c>
      <c r="L470" s="799" t="s">
        <v>108</v>
      </c>
      <c r="M470" s="799" t="s">
        <v>108</v>
      </c>
      <c r="N470" s="799" t="s">
        <v>108</v>
      </c>
      <c r="O470" s="799" t="s">
        <v>108</v>
      </c>
      <c r="P470" s="799" t="s">
        <v>108</v>
      </c>
      <c r="Q470" s="799" t="s">
        <v>108</v>
      </c>
      <c r="R470" s="799" t="s">
        <v>108</v>
      </c>
      <c r="S470" s="799" t="s">
        <v>108</v>
      </c>
      <c r="T470" s="799" t="s">
        <v>108</v>
      </c>
      <c r="U470" s="799" t="s">
        <v>108</v>
      </c>
      <c r="V470" s="799" t="s">
        <v>108</v>
      </c>
      <c r="W470" s="799" t="s">
        <v>108</v>
      </c>
      <c r="X470" s="799" t="s">
        <v>108</v>
      </c>
      <c r="Y470" s="799" t="s">
        <v>108</v>
      </c>
      <c r="Z470" s="799" t="s">
        <v>108</v>
      </c>
      <c r="AA470" s="799" t="s">
        <v>108</v>
      </c>
      <c r="AB470" s="799" t="s">
        <v>108</v>
      </c>
      <c r="AC470" s="799" t="s">
        <v>108</v>
      </c>
      <c r="AD470" s="799" t="s">
        <v>108</v>
      </c>
      <c r="AE470" s="799" t="s">
        <v>108</v>
      </c>
      <c r="AF470" s="799" t="s">
        <v>108</v>
      </c>
      <c r="AG470" s="799" t="s">
        <v>108</v>
      </c>
      <c r="AH470" s="799" t="s">
        <v>108</v>
      </c>
      <c r="AI470" s="799" t="s">
        <v>108</v>
      </c>
      <c r="AJ470" s="799" t="s">
        <v>108</v>
      </c>
      <c r="AK470" s="799" t="s">
        <v>108</v>
      </c>
      <c r="AL470" s="799" t="s">
        <v>108</v>
      </c>
      <c r="AM470" s="315"/>
      <c r="AN470" s="315"/>
    </row>
    <row r="471" spans="1:40" ht="12.6">
      <c r="A471" s="990" t="s">
        <v>589</v>
      </c>
      <c r="B471" s="991" t="s">
        <v>124</v>
      </c>
      <c r="C471" s="991"/>
      <c r="D471" s="315"/>
      <c r="E471" s="315" t="s">
        <v>125</v>
      </c>
      <c r="F471" s="799" t="s">
        <v>126</v>
      </c>
      <c r="G471" s="799" t="s">
        <v>126</v>
      </c>
      <c r="H471" s="799" t="s">
        <v>126</v>
      </c>
      <c r="I471" s="799" t="s">
        <v>126</v>
      </c>
      <c r="J471" s="799" t="s">
        <v>126</v>
      </c>
      <c r="K471" s="799" t="s">
        <v>126</v>
      </c>
      <c r="L471" s="799" t="s">
        <v>126</v>
      </c>
      <c r="M471" s="799" t="s">
        <v>126</v>
      </c>
      <c r="N471" s="799" t="s">
        <v>126</v>
      </c>
      <c r="O471" s="799" t="s">
        <v>126</v>
      </c>
      <c r="P471" s="799" t="s">
        <v>126</v>
      </c>
      <c r="Q471" s="799" t="s">
        <v>126</v>
      </c>
      <c r="R471" s="799" t="s">
        <v>126</v>
      </c>
      <c r="S471" s="799" t="s">
        <v>126</v>
      </c>
      <c r="T471" s="799" t="s">
        <v>126</v>
      </c>
      <c r="U471" s="799" t="s">
        <v>126</v>
      </c>
      <c r="V471" s="799" t="s">
        <v>126</v>
      </c>
      <c r="W471" s="799" t="s">
        <v>126</v>
      </c>
      <c r="X471" s="799" t="s">
        <v>126</v>
      </c>
      <c r="Y471" s="799" t="s">
        <v>126</v>
      </c>
      <c r="Z471" s="799" t="s">
        <v>126</v>
      </c>
      <c r="AA471" s="799" t="s">
        <v>126</v>
      </c>
      <c r="AB471" s="799" t="s">
        <v>126</v>
      </c>
      <c r="AC471" s="799" t="s">
        <v>126</v>
      </c>
      <c r="AD471" s="799" t="s">
        <v>126</v>
      </c>
      <c r="AE471" s="799" t="s">
        <v>126</v>
      </c>
      <c r="AF471" s="799" t="s">
        <v>126</v>
      </c>
      <c r="AG471" s="799" t="s">
        <v>126</v>
      </c>
      <c r="AH471" s="799" t="s">
        <v>126</v>
      </c>
      <c r="AI471" s="799" t="s">
        <v>126</v>
      </c>
      <c r="AJ471" s="799" t="s">
        <v>126</v>
      </c>
      <c r="AK471" s="799" t="s">
        <v>126</v>
      </c>
      <c r="AL471" s="799" t="s">
        <v>126</v>
      </c>
      <c r="AM471" s="315"/>
      <c r="AN471" s="315"/>
    </row>
    <row r="472" spans="1:40" ht="12.6">
      <c r="A472" s="990" t="s">
        <v>590</v>
      </c>
      <c r="B472" s="991" t="s">
        <v>128</v>
      </c>
      <c r="C472" s="991"/>
      <c r="D472" s="991" t="s">
        <v>129</v>
      </c>
      <c r="E472" s="991" t="s">
        <v>130</v>
      </c>
      <c r="F472" s="799" t="s">
        <v>108</v>
      </c>
      <c r="G472" s="799" t="s">
        <v>108</v>
      </c>
      <c r="H472" s="799" t="s">
        <v>108</v>
      </c>
      <c r="I472" s="799" t="s">
        <v>108</v>
      </c>
      <c r="J472" s="799" t="s">
        <v>108</v>
      </c>
      <c r="K472" s="799" t="s">
        <v>108</v>
      </c>
      <c r="L472" s="799" t="s">
        <v>108</v>
      </c>
      <c r="M472" s="799" t="s">
        <v>108</v>
      </c>
      <c r="N472" s="799" t="s">
        <v>108</v>
      </c>
      <c r="O472" s="799" t="s">
        <v>108</v>
      </c>
      <c r="P472" s="799" t="s">
        <v>108</v>
      </c>
      <c r="Q472" s="799" t="s">
        <v>108</v>
      </c>
      <c r="R472" s="799" t="s">
        <v>108</v>
      </c>
      <c r="S472" s="799" t="s">
        <v>108</v>
      </c>
      <c r="T472" s="799" t="s">
        <v>108</v>
      </c>
      <c r="U472" s="799" t="s">
        <v>108</v>
      </c>
      <c r="V472" s="799" t="s">
        <v>108</v>
      </c>
      <c r="W472" s="799" t="s">
        <v>108</v>
      </c>
      <c r="X472" s="799" t="s">
        <v>108</v>
      </c>
      <c r="Y472" s="799" t="s">
        <v>108</v>
      </c>
      <c r="Z472" s="799" t="s">
        <v>108</v>
      </c>
      <c r="AA472" s="799" t="s">
        <v>108</v>
      </c>
      <c r="AB472" s="799" t="s">
        <v>108</v>
      </c>
      <c r="AC472" s="799" t="s">
        <v>108</v>
      </c>
      <c r="AD472" s="799" t="s">
        <v>108</v>
      </c>
      <c r="AE472" s="799" t="s">
        <v>108</v>
      </c>
      <c r="AF472" s="799" t="s">
        <v>108</v>
      </c>
      <c r="AG472" s="799" t="s">
        <v>108</v>
      </c>
      <c r="AH472" s="799" t="s">
        <v>108</v>
      </c>
      <c r="AI472" s="799" t="s">
        <v>108</v>
      </c>
      <c r="AJ472" s="799" t="s">
        <v>108</v>
      </c>
      <c r="AK472" s="799" t="s">
        <v>108</v>
      </c>
      <c r="AL472" s="799" t="s">
        <v>108</v>
      </c>
      <c r="AM472" s="315"/>
      <c r="AN472" s="315"/>
    </row>
    <row r="473" spans="1:40" ht="12.6">
      <c r="A473" s="990" t="s">
        <v>591</v>
      </c>
      <c r="B473" s="991" t="s">
        <v>132</v>
      </c>
      <c r="C473" s="991"/>
      <c r="D473" s="991" t="s">
        <v>129</v>
      </c>
      <c r="E473" s="991" t="s">
        <v>130</v>
      </c>
      <c r="F473" s="794" t="s">
        <v>108</v>
      </c>
      <c r="G473" s="794" t="s">
        <v>108</v>
      </c>
      <c r="H473" s="794" t="s">
        <v>108</v>
      </c>
      <c r="I473" s="794" t="s">
        <v>108</v>
      </c>
      <c r="J473" s="794" t="s">
        <v>108</v>
      </c>
      <c r="K473" s="794" t="s">
        <v>108</v>
      </c>
      <c r="L473" s="794" t="s">
        <v>108</v>
      </c>
      <c r="M473" s="794" t="s">
        <v>108</v>
      </c>
      <c r="N473" s="794" t="s">
        <v>108</v>
      </c>
      <c r="O473" s="794" t="s">
        <v>108</v>
      </c>
      <c r="P473" s="794" t="s">
        <v>108</v>
      </c>
      <c r="Q473" s="794" t="s">
        <v>108</v>
      </c>
      <c r="R473" s="794" t="s">
        <v>108</v>
      </c>
      <c r="S473" s="794" t="s">
        <v>108</v>
      </c>
      <c r="T473" s="794" t="s">
        <v>108</v>
      </c>
      <c r="U473" s="794" t="s">
        <v>108</v>
      </c>
      <c r="V473" s="794" t="s">
        <v>108</v>
      </c>
      <c r="W473" s="794" t="s">
        <v>108</v>
      </c>
      <c r="X473" s="794" t="s">
        <v>108</v>
      </c>
      <c r="Y473" s="794" t="s">
        <v>108</v>
      </c>
      <c r="Z473" s="794" t="s">
        <v>108</v>
      </c>
      <c r="AA473" s="794" t="s">
        <v>108</v>
      </c>
      <c r="AB473" s="794" t="s">
        <v>108</v>
      </c>
      <c r="AC473" s="794" t="s">
        <v>108</v>
      </c>
      <c r="AD473" s="794" t="s">
        <v>108</v>
      </c>
      <c r="AE473" s="794" t="s">
        <v>108</v>
      </c>
      <c r="AF473" s="794" t="s">
        <v>108</v>
      </c>
      <c r="AG473" s="794" t="s">
        <v>108</v>
      </c>
      <c r="AH473" s="794" t="s">
        <v>108</v>
      </c>
      <c r="AI473" s="794" t="s">
        <v>108</v>
      </c>
      <c r="AJ473" s="794" t="s">
        <v>108</v>
      </c>
      <c r="AK473" s="794" t="s">
        <v>108</v>
      </c>
      <c r="AL473" s="794" t="s">
        <v>108</v>
      </c>
      <c r="AM473" s="315"/>
      <c r="AN473" s="315"/>
    </row>
    <row r="474" spans="1:40" ht="12.6">
      <c r="A474" s="990" t="s">
        <v>592</v>
      </c>
      <c r="B474" s="991" t="s">
        <v>134</v>
      </c>
      <c r="D474" s="315"/>
      <c r="E474" s="315"/>
      <c r="F474" s="799"/>
      <c r="G474" s="799"/>
      <c r="H474" s="799"/>
      <c r="I474" s="799"/>
      <c r="J474" s="799"/>
      <c r="K474" s="799"/>
      <c r="L474" s="799"/>
      <c r="M474" s="799"/>
      <c r="N474" s="799"/>
      <c r="O474" s="799"/>
      <c r="P474" s="799"/>
      <c r="Q474" s="799"/>
      <c r="R474" s="799"/>
      <c r="S474" s="799"/>
      <c r="T474" s="799"/>
      <c r="U474" s="799"/>
      <c r="V474" s="799"/>
      <c r="W474" s="799"/>
      <c r="X474" s="799"/>
      <c r="Y474" s="799"/>
      <c r="Z474" s="799"/>
      <c r="AA474" s="799"/>
      <c r="AB474" s="799"/>
      <c r="AC474" s="799"/>
      <c r="AD474" s="799"/>
      <c r="AE474" s="799"/>
      <c r="AF474" s="799"/>
      <c r="AG474" s="799"/>
      <c r="AH474" s="799"/>
      <c r="AI474" s="799"/>
      <c r="AJ474" s="799"/>
      <c r="AK474" s="799"/>
      <c r="AL474" s="799"/>
      <c r="AM474" s="315"/>
      <c r="AN474" s="315"/>
    </row>
    <row r="475" spans="1:40" s="792" customFormat="1" ht="14.25" customHeight="1">
      <c r="A475" s="989" t="s">
        <v>593</v>
      </c>
      <c r="B475" s="791"/>
      <c r="C475" s="791"/>
      <c r="D475" s="791"/>
      <c r="E475" s="791"/>
      <c r="F475" s="790"/>
      <c r="G475" s="790"/>
      <c r="H475" s="790"/>
      <c r="I475" s="790"/>
      <c r="J475" s="790"/>
      <c r="K475" s="790"/>
      <c r="L475" s="790"/>
      <c r="M475" s="790"/>
      <c r="N475" s="790"/>
      <c r="O475" s="790"/>
      <c r="P475" s="790"/>
      <c r="Q475" s="790"/>
      <c r="R475" s="790"/>
      <c r="S475" s="790"/>
      <c r="T475" s="790"/>
      <c r="U475" s="790"/>
      <c r="V475" s="790"/>
      <c r="W475" s="790"/>
      <c r="X475" s="790"/>
      <c r="Y475" s="790"/>
      <c r="Z475" s="790"/>
      <c r="AA475" s="790"/>
      <c r="AB475" s="790"/>
      <c r="AC475" s="790"/>
      <c r="AD475" s="790"/>
      <c r="AE475" s="790"/>
      <c r="AF475" s="790"/>
      <c r="AG475" s="790"/>
      <c r="AH475" s="790"/>
      <c r="AI475" s="790"/>
      <c r="AJ475" s="790"/>
      <c r="AK475" s="790"/>
      <c r="AL475" s="790"/>
      <c r="AM475" s="791"/>
      <c r="AN475" s="791"/>
    </row>
    <row r="476" spans="1:40" ht="12.6">
      <c r="A476" s="990" t="s">
        <v>594</v>
      </c>
      <c r="B476" s="991" t="s">
        <v>121</v>
      </c>
      <c r="C476" s="991"/>
      <c r="D476" s="315"/>
      <c r="E476" s="991" t="s">
        <v>122</v>
      </c>
      <c r="F476" s="300" t="s">
        <v>108</v>
      </c>
      <c r="G476" s="300" t="s">
        <v>108</v>
      </c>
      <c r="H476" s="300" t="s">
        <v>108</v>
      </c>
      <c r="I476" s="300" t="s">
        <v>108</v>
      </c>
      <c r="J476" s="300" t="s">
        <v>108</v>
      </c>
      <c r="K476" s="300" t="s">
        <v>108</v>
      </c>
      <c r="L476" s="300" t="s">
        <v>108</v>
      </c>
      <c r="M476" s="300" t="s">
        <v>108</v>
      </c>
      <c r="N476" s="300" t="s">
        <v>108</v>
      </c>
      <c r="O476" s="300" t="s">
        <v>108</v>
      </c>
      <c r="P476" s="300" t="s">
        <v>108</v>
      </c>
      <c r="Q476" s="300" t="s">
        <v>108</v>
      </c>
      <c r="R476" s="300" t="s">
        <v>108</v>
      </c>
      <c r="S476" s="300" t="s">
        <v>108</v>
      </c>
      <c r="T476" s="300" t="s">
        <v>108</v>
      </c>
      <c r="U476" s="300" t="s">
        <v>108</v>
      </c>
      <c r="V476" s="300" t="s">
        <v>108</v>
      </c>
      <c r="W476" s="300" t="s">
        <v>108</v>
      </c>
      <c r="X476" s="300" t="s">
        <v>108</v>
      </c>
      <c r="Y476" s="300" t="s">
        <v>108</v>
      </c>
      <c r="Z476" s="300" t="s">
        <v>108</v>
      </c>
      <c r="AA476" s="300" t="s">
        <v>108</v>
      </c>
      <c r="AB476" s="300" t="s">
        <v>108</v>
      </c>
      <c r="AC476" s="300" t="s">
        <v>108</v>
      </c>
      <c r="AD476" s="300" t="s">
        <v>108</v>
      </c>
      <c r="AE476" s="300" t="s">
        <v>108</v>
      </c>
      <c r="AF476" s="300" t="s">
        <v>108</v>
      </c>
      <c r="AG476" s="300" t="s">
        <v>108</v>
      </c>
      <c r="AH476" s="300" t="s">
        <v>108</v>
      </c>
      <c r="AI476" s="300" t="s">
        <v>108</v>
      </c>
      <c r="AJ476" s="300" t="s">
        <v>108</v>
      </c>
      <c r="AK476" s="300" t="s">
        <v>108</v>
      </c>
      <c r="AL476" s="300" t="s">
        <v>108</v>
      </c>
      <c r="AM476" s="315"/>
      <c r="AN476" s="315"/>
    </row>
    <row r="477" spans="1:40" ht="12.6">
      <c r="A477" s="990" t="s">
        <v>595</v>
      </c>
      <c r="B477" s="991" t="s">
        <v>124</v>
      </c>
      <c r="C477" s="991"/>
      <c r="D477" s="315"/>
      <c r="E477" s="315" t="s">
        <v>125</v>
      </c>
      <c r="F477" s="799" t="s">
        <v>126</v>
      </c>
      <c r="G477" s="799" t="s">
        <v>126</v>
      </c>
      <c r="H477" s="799" t="s">
        <v>126</v>
      </c>
      <c r="I477" s="799" t="s">
        <v>126</v>
      </c>
      <c r="J477" s="799" t="s">
        <v>126</v>
      </c>
      <c r="K477" s="799" t="s">
        <v>126</v>
      </c>
      <c r="L477" s="799" t="s">
        <v>126</v>
      </c>
      <c r="M477" s="799" t="s">
        <v>126</v>
      </c>
      <c r="N477" s="799" t="s">
        <v>126</v>
      </c>
      <c r="O477" s="799" t="s">
        <v>126</v>
      </c>
      <c r="P477" s="799" t="s">
        <v>126</v>
      </c>
      <c r="Q477" s="799" t="s">
        <v>126</v>
      </c>
      <c r="R477" s="799" t="s">
        <v>126</v>
      </c>
      <c r="S477" s="799" t="s">
        <v>126</v>
      </c>
      <c r="T477" s="799" t="s">
        <v>126</v>
      </c>
      <c r="U477" s="799" t="s">
        <v>126</v>
      </c>
      <c r="V477" s="799" t="s">
        <v>126</v>
      </c>
      <c r="W477" s="799" t="s">
        <v>126</v>
      </c>
      <c r="X477" s="799" t="s">
        <v>126</v>
      </c>
      <c r="Y477" s="799" t="s">
        <v>126</v>
      </c>
      <c r="Z477" s="799" t="s">
        <v>126</v>
      </c>
      <c r="AA477" s="799" t="s">
        <v>126</v>
      </c>
      <c r="AB477" s="799" t="s">
        <v>126</v>
      </c>
      <c r="AC477" s="799" t="s">
        <v>126</v>
      </c>
      <c r="AD477" s="799" t="s">
        <v>126</v>
      </c>
      <c r="AE477" s="799" t="s">
        <v>126</v>
      </c>
      <c r="AF477" s="799" t="s">
        <v>126</v>
      </c>
      <c r="AG477" s="799" t="s">
        <v>126</v>
      </c>
      <c r="AH477" s="799" t="s">
        <v>126</v>
      </c>
      <c r="AI477" s="799" t="s">
        <v>126</v>
      </c>
      <c r="AJ477" s="799" t="s">
        <v>126</v>
      </c>
      <c r="AK477" s="799" t="s">
        <v>126</v>
      </c>
      <c r="AL477" s="799" t="s">
        <v>126</v>
      </c>
      <c r="AM477" s="315"/>
      <c r="AN477" s="315"/>
    </row>
    <row r="478" spans="1:40" ht="12.6">
      <c r="A478" s="990" t="s">
        <v>596</v>
      </c>
      <c r="B478" s="991" t="s">
        <v>128</v>
      </c>
      <c r="C478" s="991"/>
      <c r="D478" s="991" t="s">
        <v>129</v>
      </c>
      <c r="E478" s="991" t="s">
        <v>130</v>
      </c>
      <c r="F478" s="300" t="s">
        <v>108</v>
      </c>
      <c r="G478" s="300" t="s">
        <v>108</v>
      </c>
      <c r="H478" s="300" t="s">
        <v>108</v>
      </c>
      <c r="I478" s="300" t="s">
        <v>108</v>
      </c>
      <c r="J478" s="300" t="s">
        <v>108</v>
      </c>
      <c r="K478" s="300" t="s">
        <v>108</v>
      </c>
      <c r="L478" s="300" t="s">
        <v>108</v>
      </c>
      <c r="M478" s="300" t="s">
        <v>108</v>
      </c>
      <c r="N478" s="300" t="s">
        <v>108</v>
      </c>
      <c r="O478" s="300" t="s">
        <v>108</v>
      </c>
      <c r="P478" s="300" t="s">
        <v>108</v>
      </c>
      <c r="Q478" s="300" t="s">
        <v>108</v>
      </c>
      <c r="R478" s="300" t="s">
        <v>108</v>
      </c>
      <c r="S478" s="300" t="s">
        <v>108</v>
      </c>
      <c r="T478" s="300" t="s">
        <v>108</v>
      </c>
      <c r="U478" s="300" t="s">
        <v>108</v>
      </c>
      <c r="V478" s="300" t="s">
        <v>108</v>
      </c>
      <c r="W478" s="300" t="s">
        <v>108</v>
      </c>
      <c r="X478" s="300" t="s">
        <v>108</v>
      </c>
      <c r="Y478" s="300" t="s">
        <v>108</v>
      </c>
      <c r="Z478" s="300" t="s">
        <v>108</v>
      </c>
      <c r="AA478" s="300" t="s">
        <v>108</v>
      </c>
      <c r="AB478" s="300" t="s">
        <v>108</v>
      </c>
      <c r="AC478" s="300" t="s">
        <v>108</v>
      </c>
      <c r="AD478" s="300" t="s">
        <v>108</v>
      </c>
      <c r="AE478" s="300" t="s">
        <v>108</v>
      </c>
      <c r="AF478" s="300" t="s">
        <v>108</v>
      </c>
      <c r="AG478" s="300" t="s">
        <v>108</v>
      </c>
      <c r="AH478" s="300" t="s">
        <v>108</v>
      </c>
      <c r="AI478" s="300" t="s">
        <v>108</v>
      </c>
      <c r="AJ478" s="300" t="s">
        <v>108</v>
      </c>
      <c r="AK478" s="300" t="s">
        <v>108</v>
      </c>
      <c r="AL478" s="300" t="s">
        <v>108</v>
      </c>
      <c r="AM478" s="315"/>
      <c r="AN478" s="315"/>
    </row>
    <row r="479" spans="1:40" ht="12.6">
      <c r="A479" s="990" t="s">
        <v>597</v>
      </c>
      <c r="B479" s="991" t="s">
        <v>132</v>
      </c>
      <c r="C479" s="991"/>
      <c r="D479" s="991" t="s">
        <v>129</v>
      </c>
      <c r="E479" s="991" t="s">
        <v>130</v>
      </c>
      <c r="F479" s="794" t="s">
        <v>108</v>
      </c>
      <c r="G479" s="794" t="s">
        <v>108</v>
      </c>
      <c r="H479" s="794" t="s">
        <v>108</v>
      </c>
      <c r="I479" s="794" t="s">
        <v>108</v>
      </c>
      <c r="J479" s="794" t="s">
        <v>108</v>
      </c>
      <c r="K479" s="794" t="s">
        <v>108</v>
      </c>
      <c r="L479" s="794" t="s">
        <v>108</v>
      </c>
      <c r="M479" s="794" t="s">
        <v>108</v>
      </c>
      <c r="N479" s="794" t="s">
        <v>108</v>
      </c>
      <c r="O479" s="794" t="s">
        <v>108</v>
      </c>
      <c r="P479" s="794" t="s">
        <v>108</v>
      </c>
      <c r="Q479" s="794" t="s">
        <v>108</v>
      </c>
      <c r="R479" s="794" t="s">
        <v>108</v>
      </c>
      <c r="S479" s="794" t="s">
        <v>108</v>
      </c>
      <c r="T479" s="794" t="s">
        <v>108</v>
      </c>
      <c r="U479" s="794" t="s">
        <v>108</v>
      </c>
      <c r="V479" s="794" t="s">
        <v>108</v>
      </c>
      <c r="W479" s="794" t="s">
        <v>108</v>
      </c>
      <c r="X479" s="794" t="s">
        <v>108</v>
      </c>
      <c r="Y479" s="794" t="s">
        <v>108</v>
      </c>
      <c r="Z479" s="794" t="s">
        <v>108</v>
      </c>
      <c r="AA479" s="794" t="s">
        <v>108</v>
      </c>
      <c r="AB479" s="794" t="s">
        <v>108</v>
      </c>
      <c r="AC479" s="794" t="s">
        <v>108</v>
      </c>
      <c r="AD479" s="794" t="s">
        <v>108</v>
      </c>
      <c r="AE479" s="794" t="s">
        <v>108</v>
      </c>
      <c r="AF479" s="794" t="s">
        <v>108</v>
      </c>
      <c r="AG479" s="794" t="s">
        <v>108</v>
      </c>
      <c r="AH479" s="794" t="s">
        <v>108</v>
      </c>
      <c r="AI479" s="794" t="s">
        <v>108</v>
      </c>
      <c r="AJ479" s="794" t="s">
        <v>108</v>
      </c>
      <c r="AK479" s="794" t="s">
        <v>108</v>
      </c>
      <c r="AL479" s="794" t="s">
        <v>108</v>
      </c>
      <c r="AM479" s="315"/>
      <c r="AN479" s="315"/>
    </row>
    <row r="480" spans="1:40" ht="12.6">
      <c r="A480" s="990" t="s">
        <v>598</v>
      </c>
      <c r="B480" s="991" t="s">
        <v>134</v>
      </c>
      <c r="D480" s="315"/>
      <c r="E480" s="315"/>
      <c r="F480" s="799"/>
      <c r="G480" s="799"/>
      <c r="H480" s="799"/>
      <c r="I480" s="799"/>
      <c r="J480" s="799"/>
      <c r="K480" s="799"/>
      <c r="L480" s="799"/>
      <c r="M480" s="799"/>
      <c r="N480" s="799"/>
      <c r="O480" s="799"/>
      <c r="P480" s="799"/>
      <c r="Q480" s="799"/>
      <c r="R480" s="799"/>
      <c r="S480" s="799"/>
      <c r="T480" s="799"/>
      <c r="U480" s="799"/>
      <c r="V480" s="799"/>
      <c r="W480" s="799"/>
      <c r="X480" s="799"/>
      <c r="Y480" s="799"/>
      <c r="Z480" s="799"/>
      <c r="AA480" s="799"/>
      <c r="AB480" s="799"/>
      <c r="AC480" s="799"/>
      <c r="AD480" s="799"/>
      <c r="AE480" s="799"/>
      <c r="AF480" s="799"/>
      <c r="AG480" s="799"/>
      <c r="AH480" s="799"/>
      <c r="AI480" s="799"/>
      <c r="AJ480" s="799"/>
      <c r="AK480" s="799"/>
      <c r="AL480" s="799"/>
      <c r="AM480" s="315"/>
      <c r="AN480" s="315"/>
    </row>
    <row r="481" spans="1:40" s="797" customFormat="1" ht="12.95">
      <c r="A481" s="796" t="s">
        <v>599</v>
      </c>
      <c r="B481" s="796"/>
      <c r="C481" s="796"/>
      <c r="D481" s="796"/>
      <c r="E481" s="796"/>
      <c r="F481" s="795"/>
      <c r="G481" s="795"/>
      <c r="H481" s="795"/>
      <c r="I481" s="795"/>
      <c r="J481" s="795"/>
      <c r="K481" s="795"/>
      <c r="L481" s="795"/>
      <c r="M481" s="795"/>
      <c r="N481" s="795"/>
      <c r="O481" s="795"/>
      <c r="P481" s="795"/>
      <c r="Q481" s="795"/>
      <c r="R481" s="795"/>
      <c r="S481" s="795"/>
      <c r="T481" s="795"/>
      <c r="U481" s="795"/>
      <c r="V481" s="795"/>
      <c r="W481" s="795"/>
      <c r="X481" s="795"/>
      <c r="Y481" s="795"/>
      <c r="Z481" s="795"/>
      <c r="AA481" s="795"/>
      <c r="AB481" s="795"/>
      <c r="AC481" s="795"/>
      <c r="AD481" s="795"/>
      <c r="AE481" s="795"/>
      <c r="AF481" s="795"/>
      <c r="AG481" s="795"/>
      <c r="AH481" s="795"/>
      <c r="AI481" s="795"/>
      <c r="AJ481" s="795"/>
      <c r="AK481" s="795"/>
      <c r="AL481" s="795"/>
      <c r="AM481" s="796"/>
      <c r="AN481" s="796"/>
    </row>
    <row r="482" spans="1:40" s="792" customFormat="1" ht="14.25" customHeight="1">
      <c r="A482" s="989" t="s">
        <v>600</v>
      </c>
      <c r="B482" s="791"/>
      <c r="C482" s="791"/>
      <c r="D482" s="791"/>
      <c r="E482" s="791"/>
      <c r="F482" s="790"/>
      <c r="G482" s="790"/>
      <c r="H482" s="790"/>
      <c r="I482" s="790"/>
      <c r="J482" s="790"/>
      <c r="K482" s="790"/>
      <c r="L482" s="790"/>
      <c r="M482" s="790"/>
      <c r="N482" s="790"/>
      <c r="O482" s="790"/>
      <c r="P482" s="790"/>
      <c r="Q482" s="790"/>
      <c r="R482" s="790"/>
      <c r="S482" s="790"/>
      <c r="T482" s="790"/>
      <c r="U482" s="790"/>
      <c r="V482" s="790"/>
      <c r="W482" s="790"/>
      <c r="X482" s="790"/>
      <c r="Y482" s="790"/>
      <c r="Z482" s="790"/>
      <c r="AA482" s="790"/>
      <c r="AB482" s="790"/>
      <c r="AC482" s="790"/>
      <c r="AD482" s="790"/>
      <c r="AE482" s="790"/>
      <c r="AF482" s="790"/>
      <c r="AG482" s="790"/>
      <c r="AH482" s="790"/>
      <c r="AI482" s="790"/>
      <c r="AJ482" s="790"/>
      <c r="AK482" s="790"/>
      <c r="AL482" s="790"/>
      <c r="AM482" s="791"/>
      <c r="AN482" s="791"/>
    </row>
    <row r="483" spans="1:40" ht="12.6">
      <c r="A483" s="990" t="s">
        <v>601</v>
      </c>
      <c r="B483" s="991" t="s">
        <v>121</v>
      </c>
      <c r="C483" s="991"/>
      <c r="D483" s="315"/>
      <c r="E483" s="991" t="s">
        <v>122</v>
      </c>
      <c r="F483" s="297">
        <f>('1990'!$N$18)*1055.05585262</f>
        <v>1451406.089800101</v>
      </c>
      <c r="G483" s="295">
        <f>('1991'!$N$18)*1055.05585262</f>
        <v>1458037.3009646016</v>
      </c>
      <c r="H483" s="295">
        <f>('1992'!$N$18)*1055.05585262</f>
        <v>1441527.6173079235</v>
      </c>
      <c r="I483" s="295">
        <f>('1993'!$N$18)*1055.05585262</f>
        <v>1423226.2870095409</v>
      </c>
      <c r="J483" s="295">
        <f>('1994'!$N$18)*1055.05585262</f>
        <v>1375482.2865629008</v>
      </c>
      <c r="K483" s="295">
        <f>('1995'!$N$18)*1055.05585262</f>
        <v>1328652.7818672308</v>
      </c>
      <c r="L483" s="295">
        <f>('1996'!$N$18)*1055.05585262</f>
        <v>1471814.861881403</v>
      </c>
      <c r="M483" s="295">
        <f>('1997'!$N$18)*1055.05585262</f>
        <v>1405333.793248733</v>
      </c>
      <c r="N483" s="295">
        <f>('1998'!$N$18)*1055.05585262</f>
        <v>1271867.8466908857</v>
      </c>
      <c r="O483" s="295">
        <f>('1999'!$N$18)*1055.05585262</f>
        <v>1414019.1267332474</v>
      </c>
      <c r="P483" s="295">
        <f>('2000'!$N$18)*1055.05585262</f>
        <v>1503910.7945893938</v>
      </c>
      <c r="Q483" s="295">
        <f>('2001'!$N$18)*1055.05585262</f>
        <v>1540902.412994788</v>
      </c>
      <c r="R483" s="295">
        <f>('2002'!$N$18)*1055.05585262</f>
        <v>1430720.079795172</v>
      </c>
      <c r="S483" s="295">
        <f>('2003'!$N$18)*1055.05585262</f>
        <v>1543723.9060203196</v>
      </c>
      <c r="T483" s="295">
        <f>('2004'!$N$18)*1055.05585262</f>
        <v>1551359.9651445311</v>
      </c>
      <c r="U483" s="295">
        <f>('2005'!$N$18)*1055.05585262</f>
        <v>1437582.0777419573</v>
      </c>
      <c r="V483" s="295">
        <f>('2006'!$N$18)*1055.05585262</f>
        <v>1250798.0408125664</v>
      </c>
      <c r="W483" s="295">
        <f>('2007'!$N$18)*1055.05585262</f>
        <v>1258343.3456478717</v>
      </c>
      <c r="X483" s="295">
        <f>('2008'!$N$18)*1055.05585262</f>
        <v>1245798.4383294345</v>
      </c>
      <c r="Y483" s="295">
        <f>('2009'!$N$18)*1055.05585262</f>
        <v>1181867.3934956307</v>
      </c>
      <c r="Z483" s="295">
        <f>('2010'!$N$18)*1055.05585262</f>
        <v>1160404.7408104979</v>
      </c>
      <c r="AA483" s="295">
        <f>('2011'!$N$18)*1055.05585262</f>
        <v>1093393.3155420294</v>
      </c>
      <c r="AB483" s="295">
        <f>('2012'!$N$18)*1055.05585262</f>
        <v>880807.0227138768</v>
      </c>
      <c r="AC483" s="295">
        <f>('2013'!$N$18)*1055.05585262</f>
        <v>969515.73847163469</v>
      </c>
      <c r="AD483" s="295">
        <f>('2014'!$N$18)*1055.05585262</f>
        <v>1061227.3031092375</v>
      </c>
      <c r="AE483" s="295">
        <f>('2015'!$N$18)*1055.05585262</f>
        <v>995045.28510823613</v>
      </c>
      <c r="AF483" s="295">
        <f>('2016'!$N$18)*1055.05585262</f>
        <v>849199.58722197486</v>
      </c>
      <c r="AG483" s="295">
        <f>('2017'!$N$18)*1055.05585262</f>
        <v>816238.7383558678</v>
      </c>
      <c r="AH483" s="295">
        <f>('2018'!$N$18)*1055.05585262</f>
        <v>1008081.310476008</v>
      </c>
      <c r="AI483" s="295">
        <f>('2019'!$N$18)*1055.05585262</f>
        <v>1050117.6995771104</v>
      </c>
      <c r="AJ483" s="295">
        <f>('2020'!$N$18)*1055.05585262</f>
        <v>911125.20364372525</v>
      </c>
      <c r="AK483" s="295">
        <f>('2021'!$N$18)*1055.05585262</f>
        <v>922936.84339135769</v>
      </c>
      <c r="AL483" s="295">
        <f>('2022'!$N$18)*1055.05585262</f>
        <v>947947.24728953338</v>
      </c>
      <c r="AM483" s="315"/>
      <c r="AN483" s="315"/>
    </row>
    <row r="484" spans="1:40" ht="12.6">
      <c r="A484" s="990" t="s">
        <v>602</v>
      </c>
      <c r="B484" s="991" t="s">
        <v>124</v>
      </c>
      <c r="C484" s="991"/>
      <c r="D484" s="315"/>
      <c r="E484" s="315" t="s">
        <v>125</v>
      </c>
      <c r="F484" s="300" t="s">
        <v>126</v>
      </c>
      <c r="G484" s="300" t="s">
        <v>126</v>
      </c>
      <c r="H484" s="300" t="s">
        <v>126</v>
      </c>
      <c r="I484" s="300" t="s">
        <v>126</v>
      </c>
      <c r="J484" s="300" t="s">
        <v>126</v>
      </c>
      <c r="K484" s="300" t="s">
        <v>126</v>
      </c>
      <c r="L484" s="300" t="s">
        <v>126</v>
      </c>
      <c r="M484" s="300" t="s">
        <v>126</v>
      </c>
      <c r="N484" s="300" t="s">
        <v>126</v>
      </c>
      <c r="O484" s="300" t="s">
        <v>126</v>
      </c>
      <c r="P484" s="300" t="s">
        <v>126</v>
      </c>
      <c r="Q484" s="300" t="s">
        <v>126</v>
      </c>
      <c r="R484" s="300" t="s">
        <v>126</v>
      </c>
      <c r="S484" s="300" t="s">
        <v>126</v>
      </c>
      <c r="T484" s="300" t="s">
        <v>126</v>
      </c>
      <c r="U484" s="300" t="s">
        <v>126</v>
      </c>
      <c r="V484" s="300" t="s">
        <v>126</v>
      </c>
      <c r="W484" s="300" t="s">
        <v>126</v>
      </c>
      <c r="X484" s="300" t="s">
        <v>126</v>
      </c>
      <c r="Y484" s="300" t="s">
        <v>126</v>
      </c>
      <c r="Z484" s="300" t="s">
        <v>126</v>
      </c>
      <c r="AA484" s="300" t="s">
        <v>126</v>
      </c>
      <c r="AB484" s="300" t="s">
        <v>126</v>
      </c>
      <c r="AC484" s="300" t="s">
        <v>126</v>
      </c>
      <c r="AD484" s="300" t="s">
        <v>126</v>
      </c>
      <c r="AE484" s="300" t="s">
        <v>126</v>
      </c>
      <c r="AF484" s="300" t="s">
        <v>126</v>
      </c>
      <c r="AG484" s="300" t="s">
        <v>126</v>
      </c>
      <c r="AH484" s="300" t="s">
        <v>126</v>
      </c>
      <c r="AI484" s="300" t="s">
        <v>126</v>
      </c>
      <c r="AJ484" s="300" t="s">
        <v>126</v>
      </c>
      <c r="AK484" s="300" t="s">
        <v>126</v>
      </c>
      <c r="AL484" s="300" t="s">
        <v>126</v>
      </c>
      <c r="AM484" s="315"/>
      <c r="AN484" s="315"/>
    </row>
    <row r="485" spans="1:40" ht="12.6">
      <c r="A485" s="990" t="s">
        <v>603</v>
      </c>
      <c r="B485" s="991" t="s">
        <v>128</v>
      </c>
      <c r="C485" s="991"/>
      <c r="D485" s="991" t="s">
        <v>129</v>
      </c>
      <c r="E485" s="991" t="s">
        <v>130</v>
      </c>
      <c r="F485" s="295">
        <f>'Summary Table'!C22*1000</f>
        <v>97782.412230795337</v>
      </c>
      <c r="G485" s="295">
        <f>'Summary Table'!D22*1000</f>
        <v>97952.169988467358</v>
      </c>
      <c r="H485" s="295">
        <f>'Summary Table'!E22*1000</f>
        <v>96897.39756070888</v>
      </c>
      <c r="I485" s="295">
        <f>'Summary Table'!F22*1000</f>
        <v>95382.683252831644</v>
      </c>
      <c r="J485" s="295">
        <f>'Summary Table'!G22*1000</f>
        <v>92109.480052541898</v>
      </c>
      <c r="K485" s="295">
        <f>'Summary Table'!H22*1000</f>
        <v>88696.195308228213</v>
      </c>
      <c r="L485" s="295">
        <f>'Summary Table'!I22*1000</f>
        <v>97899.890710711537</v>
      </c>
      <c r="M485" s="295">
        <f>'Summary Table'!J22*1000</f>
        <v>93391.358622908534</v>
      </c>
      <c r="N485" s="295">
        <f>'Summary Table'!K22*1000</f>
        <v>84367.234993758102</v>
      </c>
      <c r="O485" s="295">
        <f>'Summary Table'!L22*1000</f>
        <v>93196.130120409449</v>
      </c>
      <c r="P485" s="295">
        <f>'Summary Table'!M22*1000</f>
        <v>99814.277951232027</v>
      </c>
      <c r="Q485" s="295">
        <f>'Summary Table'!N22*1000</f>
        <v>102690.33732360053</v>
      </c>
      <c r="R485" s="295">
        <f>'Summary Table'!O22*1000</f>
        <v>94809.824998097727</v>
      </c>
      <c r="S485" s="295">
        <f>'Summary Table'!P22*1000</f>
        <v>102735.24037201688</v>
      </c>
      <c r="T485" s="295">
        <f>'Summary Table'!Q22*1000</f>
        <v>103705.75945407544</v>
      </c>
      <c r="U485" s="295">
        <f>'Summary Table'!R22*1000</f>
        <v>95575.442274390967</v>
      </c>
      <c r="V485" s="295">
        <f>'Summary Table'!S22*1000</f>
        <v>83076.643788508387</v>
      </c>
      <c r="W485" s="295">
        <f>'Summary Table'!T22*1000</f>
        <v>82999.286658834433</v>
      </c>
      <c r="X485" s="295">
        <f>'Summary Table'!U22*1000</f>
        <v>81353.107439890548</v>
      </c>
      <c r="Y485" s="295">
        <f>'Summary Table'!V22*1000</f>
        <v>76871.691567355752</v>
      </c>
      <c r="Z485" s="295">
        <f>'Summary Table'!W22*1000</f>
        <v>75584.117715666231</v>
      </c>
      <c r="AA485" s="295">
        <f>'Summary Table'!X22*1000</f>
        <v>71264.898165119666</v>
      </c>
      <c r="AB485" s="295">
        <f>'Summary Table'!Y22*1000</f>
        <v>57430.156749728856</v>
      </c>
      <c r="AC485" s="295">
        <f>'Summary Table'!Z22*1000</f>
        <v>62914.302900543815</v>
      </c>
      <c r="AD485" s="295">
        <f>'Summary Table'!AA22*1000</f>
        <v>69062.290446070198</v>
      </c>
      <c r="AE485" s="295">
        <f>'Summary Table'!AB22*1000</f>
        <v>64893.28799696955</v>
      </c>
      <c r="AF485" s="295">
        <f>'Summary Table'!AC22*1000</f>
        <v>54808.963118601649</v>
      </c>
      <c r="AG485" s="295">
        <f>'Summary Table'!AD22*1000</f>
        <v>52479.502214743727</v>
      </c>
      <c r="AH485" s="295">
        <f>'Summary Table'!AE22*1000</f>
        <v>65125.30568088124</v>
      </c>
      <c r="AI485" s="295">
        <f>'Summary Table'!AF22*1000</f>
        <v>67435.980875494992</v>
      </c>
      <c r="AJ485" s="295">
        <f>'Summary Table'!AG22*1000</f>
        <v>58433.675778621102</v>
      </c>
      <c r="AK485" s="295">
        <f>'Summary Table'!AH22*1000</f>
        <v>59386.526507479677</v>
      </c>
      <c r="AL485" s="295">
        <f>'Summary Table'!AI22*1000</f>
        <v>61113.011543269022</v>
      </c>
      <c r="AM485" s="315"/>
      <c r="AN485" s="315"/>
    </row>
    <row r="486" spans="1:40" ht="12.6">
      <c r="A486" s="990" t="s">
        <v>604</v>
      </c>
      <c r="B486" s="991" t="s">
        <v>132</v>
      </c>
      <c r="C486" s="991"/>
      <c r="D486" s="991" t="s">
        <v>129</v>
      </c>
      <c r="E486" s="991" t="s">
        <v>130</v>
      </c>
      <c r="F486" s="799" t="s">
        <v>106</v>
      </c>
      <c r="G486" s="799" t="s">
        <v>106</v>
      </c>
      <c r="H486" s="799" t="s">
        <v>106</v>
      </c>
      <c r="I486" s="799" t="s">
        <v>106</v>
      </c>
      <c r="J486" s="799" t="s">
        <v>106</v>
      </c>
      <c r="K486" s="799" t="s">
        <v>106</v>
      </c>
      <c r="L486" s="799" t="s">
        <v>106</v>
      </c>
      <c r="M486" s="799" t="s">
        <v>106</v>
      </c>
      <c r="N486" s="799" t="s">
        <v>106</v>
      </c>
      <c r="O486" s="799" t="s">
        <v>106</v>
      </c>
      <c r="P486" s="799" t="s">
        <v>106</v>
      </c>
      <c r="Q486" s="799" t="s">
        <v>106</v>
      </c>
      <c r="R486" s="799" t="s">
        <v>106</v>
      </c>
      <c r="S486" s="799" t="s">
        <v>106</v>
      </c>
      <c r="T486" s="799" t="s">
        <v>106</v>
      </c>
      <c r="U486" s="799" t="s">
        <v>106</v>
      </c>
      <c r="V486" s="799" t="s">
        <v>106</v>
      </c>
      <c r="W486" s="799" t="s">
        <v>106</v>
      </c>
      <c r="X486" s="799" t="s">
        <v>106</v>
      </c>
      <c r="Y486" s="799" t="s">
        <v>106</v>
      </c>
      <c r="Z486" s="799" t="s">
        <v>106</v>
      </c>
      <c r="AA486" s="799" t="s">
        <v>106</v>
      </c>
      <c r="AB486" s="799" t="s">
        <v>106</v>
      </c>
      <c r="AC486" s="799" t="s">
        <v>106</v>
      </c>
      <c r="AD486" s="799" t="s">
        <v>106</v>
      </c>
      <c r="AE486" s="799" t="s">
        <v>106</v>
      </c>
      <c r="AF486" s="799" t="s">
        <v>106</v>
      </c>
      <c r="AG486" s="799" t="s">
        <v>106</v>
      </c>
      <c r="AH486" s="799" t="s">
        <v>106</v>
      </c>
      <c r="AI486" s="799" t="s">
        <v>106</v>
      </c>
      <c r="AJ486" s="799" t="s">
        <v>106</v>
      </c>
      <c r="AK486" s="799" t="s">
        <v>106</v>
      </c>
      <c r="AL486" s="799" t="s">
        <v>106</v>
      </c>
      <c r="AM486" s="315"/>
      <c r="AN486" s="315"/>
    </row>
    <row r="487" spans="1:40" ht="12.6">
      <c r="A487" s="990" t="s">
        <v>605</v>
      </c>
      <c r="B487" s="991" t="s">
        <v>134</v>
      </c>
      <c r="D487" s="315"/>
      <c r="E487" s="315"/>
      <c r="F487" s="799"/>
      <c r="G487" s="799"/>
      <c r="H487" s="799"/>
      <c r="I487" s="799"/>
      <c r="J487" s="799"/>
      <c r="K487" s="799"/>
      <c r="L487" s="799"/>
      <c r="M487" s="799"/>
      <c r="N487" s="799"/>
      <c r="O487" s="799"/>
      <c r="P487" s="799"/>
      <c r="Q487" s="799"/>
      <c r="R487" s="799"/>
      <c r="S487" s="799"/>
      <c r="T487" s="799"/>
      <c r="U487" s="799"/>
      <c r="V487" s="799"/>
      <c r="W487" s="799"/>
      <c r="X487" s="799"/>
      <c r="Y487" s="799"/>
      <c r="Z487" s="799"/>
      <c r="AA487" s="799"/>
      <c r="AB487" s="799"/>
      <c r="AC487" s="799"/>
      <c r="AD487" s="799"/>
      <c r="AE487" s="799"/>
      <c r="AF487" s="799"/>
      <c r="AG487" s="799"/>
      <c r="AH487" s="799"/>
      <c r="AI487" s="799"/>
      <c r="AJ487" s="799"/>
      <c r="AK487" s="799"/>
      <c r="AL487" s="799"/>
      <c r="AM487" s="315"/>
      <c r="AN487" s="315"/>
    </row>
    <row r="488" spans="1:40" s="792" customFormat="1" ht="14.25" customHeight="1">
      <c r="A488" s="989" t="s">
        <v>606</v>
      </c>
      <c r="B488" s="791"/>
      <c r="C488" s="791"/>
      <c r="D488" s="791"/>
      <c r="E488" s="791"/>
      <c r="F488" s="790"/>
      <c r="G488" s="790"/>
      <c r="H488" s="790"/>
      <c r="I488" s="790"/>
      <c r="J488" s="790"/>
      <c r="K488" s="790"/>
      <c r="L488" s="790"/>
      <c r="M488" s="790"/>
      <c r="N488" s="790"/>
      <c r="O488" s="790"/>
      <c r="P488" s="790"/>
      <c r="Q488" s="790"/>
      <c r="R488" s="790"/>
      <c r="S488" s="790"/>
      <c r="T488" s="790"/>
      <c r="U488" s="790"/>
      <c r="V488" s="790"/>
      <c r="W488" s="790"/>
      <c r="X488" s="790"/>
      <c r="Y488" s="790"/>
      <c r="Z488" s="790"/>
      <c r="AA488" s="790"/>
      <c r="AB488" s="790"/>
      <c r="AC488" s="790"/>
      <c r="AD488" s="790"/>
      <c r="AE488" s="790"/>
      <c r="AF488" s="790"/>
      <c r="AG488" s="790"/>
      <c r="AH488" s="790"/>
      <c r="AI488" s="790"/>
      <c r="AJ488" s="790"/>
      <c r="AK488" s="790"/>
      <c r="AL488" s="790"/>
      <c r="AM488" s="791"/>
      <c r="AN488" s="791"/>
    </row>
    <row r="489" spans="1:40" ht="12.6">
      <c r="A489" s="990" t="s">
        <v>607</v>
      </c>
      <c r="B489" s="991" t="s">
        <v>121</v>
      </c>
      <c r="C489" s="991"/>
      <c r="D489" s="315"/>
      <c r="E489" s="991" t="s">
        <v>122</v>
      </c>
      <c r="F489" s="297">
        <f>('1990'!$N$8)*1055.05585262</f>
        <v>32827.007798418679</v>
      </c>
      <c r="G489" s="295">
        <f>('1991'!$N$8)*1055.05585262</f>
        <v>26750.941143180098</v>
      </c>
      <c r="H489" s="295">
        <f>('1992'!$N$8)*1055.05585262</f>
        <v>26997.824212693176</v>
      </c>
      <c r="I489" s="295">
        <f>('1993'!$N$8)*1055.05585262</f>
        <v>27166.633149112378</v>
      </c>
      <c r="J489" s="295">
        <f>('1994'!$N$8)*1055.05585262</f>
        <v>21992.639247863899</v>
      </c>
      <c r="K489" s="295">
        <f>('1995'!$N$8)*1055.05585262</f>
        <v>18411.779684071622</v>
      </c>
      <c r="L489" s="295">
        <f>('1996'!$N$8)*1055.05585262</f>
        <v>17497.046259850074</v>
      </c>
      <c r="M489" s="295">
        <f>('1997'!$N$8)*1055.05585262</f>
        <v>16872.453195099039</v>
      </c>
      <c r="N489" s="295">
        <f>('1998'!$N$8)*1055.05585262</f>
        <v>12183.784986055758</v>
      </c>
      <c r="O489" s="295">
        <f>('1999'!$N$8)*1055.05585262</f>
        <v>14750.735875480219</v>
      </c>
      <c r="P489" s="295">
        <f>('2000'!$N$8)*1055.05585262</f>
        <v>11983.32437405796</v>
      </c>
      <c r="Q489" s="295">
        <f>('2001'!$N$8)*1055.05585262</f>
        <v>12630.07361171402</v>
      </c>
      <c r="R489" s="295">
        <f>('2002'!$N$8)*1055.05585262</f>
        <v>12922.324082889758</v>
      </c>
      <c r="S489" s="295">
        <f>('2003'!$N$8)*1055.05585262</f>
        <v>12921.269027037139</v>
      </c>
      <c r="T489" s="295">
        <f>('2004'!$N$8)*1055.05585262</f>
        <v>12063.508618857079</v>
      </c>
      <c r="U489" s="295">
        <f>('2005'!$N$8)*1055.05585262</f>
        <v>8899.3961168497008</v>
      </c>
      <c r="V489" s="295">
        <f>('2006'!$N$8)*1055.05585262</f>
        <v>6760.7979035889603</v>
      </c>
      <c r="W489" s="295">
        <f>('2007'!$N$8)*1055.05585262</f>
        <v>8210.4446450888408</v>
      </c>
      <c r="X489" s="295">
        <f>('2008'!$N$8)*1055.05585262</f>
        <v>0</v>
      </c>
      <c r="Y489" s="295">
        <f>('2009'!$N$8)*1055.05585262</f>
        <v>0</v>
      </c>
      <c r="Z489" s="295">
        <f>('2010'!$N$8)*1055.05585262</f>
        <v>0</v>
      </c>
      <c r="AA489" s="295">
        <f>('2011'!$N$8)*1055.05585262</f>
        <v>0</v>
      </c>
      <c r="AB489" s="295">
        <f>('2012'!$N$8)*1055.05585262</f>
        <v>0</v>
      </c>
      <c r="AC489" s="295">
        <f>('2013'!$N$8)*1055.05585262</f>
        <v>0</v>
      </c>
      <c r="AD489" s="295">
        <f>('2014'!$N$8)*1055.05585262</f>
        <v>0</v>
      </c>
      <c r="AE489" s="295">
        <f>('2015'!$N$8)*1055.05585262</f>
        <v>0</v>
      </c>
      <c r="AF489" s="295">
        <f>('2016'!$N$8)*1055.05585262</f>
        <v>0</v>
      </c>
      <c r="AG489" s="295">
        <f>('2017'!$N$8)*1055.05585262</f>
        <v>0</v>
      </c>
      <c r="AH489" s="295">
        <f>('2018'!$N$8)*1055.05585262</f>
        <v>0</v>
      </c>
      <c r="AI489" s="295">
        <f>('2019'!$N$8)*1055.05585262</f>
        <v>0</v>
      </c>
      <c r="AJ489" s="295">
        <f>('2020'!$N$8)*1055.05585262</f>
        <v>0</v>
      </c>
      <c r="AK489" s="295">
        <f>('2021'!$N$8)*1055.05585262</f>
        <v>0</v>
      </c>
      <c r="AL489" s="295">
        <f>('2022'!$N$8)*1055.05585262</f>
        <v>0</v>
      </c>
      <c r="AM489" s="315"/>
      <c r="AN489" s="315"/>
    </row>
    <row r="490" spans="1:40" ht="12.6">
      <c r="A490" s="990" t="s">
        <v>608</v>
      </c>
      <c r="B490" s="991" t="s">
        <v>124</v>
      </c>
      <c r="C490" s="991"/>
      <c r="D490" s="315"/>
      <c r="E490" s="315" t="s">
        <v>125</v>
      </c>
      <c r="F490" s="300" t="s">
        <v>126</v>
      </c>
      <c r="G490" s="300" t="s">
        <v>126</v>
      </c>
      <c r="H490" s="300" t="s">
        <v>126</v>
      </c>
      <c r="I490" s="300" t="s">
        <v>126</v>
      </c>
      <c r="J490" s="300" t="s">
        <v>126</v>
      </c>
      <c r="K490" s="300" t="s">
        <v>126</v>
      </c>
      <c r="L490" s="300" t="s">
        <v>126</v>
      </c>
      <c r="M490" s="300" t="s">
        <v>126</v>
      </c>
      <c r="N490" s="300" t="s">
        <v>126</v>
      </c>
      <c r="O490" s="300" t="s">
        <v>126</v>
      </c>
      <c r="P490" s="300" t="s">
        <v>126</v>
      </c>
      <c r="Q490" s="300" t="s">
        <v>126</v>
      </c>
      <c r="R490" s="300" t="s">
        <v>126</v>
      </c>
      <c r="S490" s="300" t="s">
        <v>126</v>
      </c>
      <c r="T490" s="300" t="s">
        <v>126</v>
      </c>
      <c r="U490" s="300" t="s">
        <v>126</v>
      </c>
      <c r="V490" s="300" t="s">
        <v>126</v>
      </c>
      <c r="W490" s="300" t="s">
        <v>126</v>
      </c>
      <c r="X490" s="300" t="s">
        <v>126</v>
      </c>
      <c r="Y490" s="300" t="s">
        <v>126</v>
      </c>
      <c r="Z490" s="300" t="s">
        <v>126</v>
      </c>
      <c r="AA490" s="300" t="s">
        <v>126</v>
      </c>
      <c r="AB490" s="300" t="s">
        <v>126</v>
      </c>
      <c r="AC490" s="300" t="s">
        <v>126</v>
      </c>
      <c r="AD490" s="300" t="s">
        <v>126</v>
      </c>
      <c r="AE490" s="300" t="s">
        <v>126</v>
      </c>
      <c r="AF490" s="300" t="s">
        <v>126</v>
      </c>
      <c r="AG490" s="300" t="s">
        <v>126</v>
      </c>
      <c r="AH490" s="300" t="s">
        <v>126</v>
      </c>
      <c r="AI490" s="300" t="s">
        <v>126</v>
      </c>
      <c r="AJ490" s="300" t="s">
        <v>126</v>
      </c>
      <c r="AK490" s="300" t="s">
        <v>126</v>
      </c>
      <c r="AL490" s="300" t="s">
        <v>126</v>
      </c>
      <c r="AM490" s="315"/>
      <c r="AN490" s="315"/>
    </row>
    <row r="491" spans="1:40" ht="12.6">
      <c r="A491" s="990" t="s">
        <v>609</v>
      </c>
      <c r="B491" s="991" t="s">
        <v>128</v>
      </c>
      <c r="C491" s="991"/>
      <c r="D491" s="991" t="s">
        <v>129</v>
      </c>
      <c r="E491" s="991" t="s">
        <v>130</v>
      </c>
      <c r="F491" s="295">
        <f>'Summary Table'!C8*1000</f>
        <v>2987.6952520607119</v>
      </c>
      <c r="G491" s="295">
        <f>'Summary Table'!D8*1000</f>
        <v>2441.8665673276769</v>
      </c>
      <c r="H491" s="295">
        <f>'Summary Table'!E8*1000</f>
        <v>2475.4382193886699</v>
      </c>
      <c r="I491" s="295">
        <f>'Summary Table'!F8*1000</f>
        <v>2469.7527866952387</v>
      </c>
      <c r="J491" s="295">
        <f>'Summary Table'!G8*1000</f>
        <v>1994.1820840028138</v>
      </c>
      <c r="K491" s="295">
        <f>'Summary Table'!H8*1000</f>
        <v>1671.6718149582452</v>
      </c>
      <c r="L491" s="295">
        <f>'Summary Table'!I8*1000</f>
        <v>1582.5801930815992</v>
      </c>
      <c r="M491" s="295">
        <f>'Summary Table'!J8*1000</f>
        <v>1518.1715699565764</v>
      </c>
      <c r="N491" s="295">
        <f>'Summary Table'!K8*1000</f>
        <v>1103.245360417621</v>
      </c>
      <c r="O491" s="295">
        <f>'Summary Table'!L8*1000</f>
        <v>1331.4380787302316</v>
      </c>
      <c r="P491" s="295">
        <f>'Summary Table'!M8*1000</f>
        <v>1082.7568764835389</v>
      </c>
      <c r="Q491" s="295">
        <f>'Summary Table'!N8*1000</f>
        <v>1140.845018368723</v>
      </c>
      <c r="R491" s="295">
        <f>'Summary Table'!O8*1000</f>
        <v>1166.0507086849295</v>
      </c>
      <c r="S491" s="295">
        <f>'Summary Table'!P8*1000</f>
        <v>1168.7672828281666</v>
      </c>
      <c r="T491" s="295">
        <f>'Summary Table'!Q8*1000</f>
        <v>1085.2533688090796</v>
      </c>
      <c r="U491" s="295">
        <f>'Summary Table'!R8*1000</f>
        <v>805.25533457459767</v>
      </c>
      <c r="V491" s="295">
        <f>'Summary Table'!S8*1000</f>
        <v>617.051663231975</v>
      </c>
      <c r="W491" s="295">
        <f>'Summary Table'!T8*1000</f>
        <v>739.43487324772957</v>
      </c>
      <c r="X491" s="295">
        <f>'Summary Table'!U8*1000</f>
        <v>0</v>
      </c>
      <c r="Y491" s="295">
        <f>'Summary Table'!V8*1000</f>
        <v>0</v>
      </c>
      <c r="Z491" s="295">
        <f>'Summary Table'!W8*1000</f>
        <v>0</v>
      </c>
      <c r="AA491" s="295">
        <f>'Summary Table'!X8*1000</f>
        <v>0</v>
      </c>
      <c r="AB491" s="295">
        <f>'Summary Table'!Y8*1000</f>
        <v>0</v>
      </c>
      <c r="AC491" s="295">
        <f>'Summary Table'!Z8*1000</f>
        <v>0</v>
      </c>
      <c r="AD491" s="295">
        <f>'Summary Table'!AA8*1000</f>
        <v>0</v>
      </c>
      <c r="AE491" s="295">
        <f>'Summary Table'!AB8*1000</f>
        <v>0</v>
      </c>
      <c r="AF491" s="295">
        <f>'Summary Table'!AC8*1000</f>
        <v>0</v>
      </c>
      <c r="AG491" s="295">
        <f>'Summary Table'!AD8*1000</f>
        <v>0</v>
      </c>
      <c r="AH491" s="295">
        <f>'Summary Table'!AE8*1000</f>
        <v>0</v>
      </c>
      <c r="AI491" s="295">
        <f>'Summary Table'!AF8*1000</f>
        <v>0</v>
      </c>
      <c r="AJ491" s="295">
        <f>'Summary Table'!AG8*1000</f>
        <v>0</v>
      </c>
      <c r="AK491" s="295">
        <f>'Summary Table'!AH8*1000</f>
        <v>0</v>
      </c>
      <c r="AL491" s="295">
        <f>'Summary Table'!AI8*1000</f>
        <v>0</v>
      </c>
      <c r="AM491" s="315"/>
      <c r="AN491" s="315"/>
    </row>
    <row r="492" spans="1:40" ht="12.6">
      <c r="A492" s="990" t="s">
        <v>610</v>
      </c>
      <c r="B492" s="991" t="s">
        <v>132</v>
      </c>
      <c r="C492" s="991"/>
      <c r="D492" s="991" t="s">
        <v>129</v>
      </c>
      <c r="E492" s="991" t="s">
        <v>130</v>
      </c>
      <c r="F492" s="799" t="s">
        <v>106</v>
      </c>
      <c r="G492" s="799" t="s">
        <v>106</v>
      </c>
      <c r="H492" s="799" t="s">
        <v>106</v>
      </c>
      <c r="I492" s="799" t="s">
        <v>106</v>
      </c>
      <c r="J492" s="799" t="s">
        <v>106</v>
      </c>
      <c r="K492" s="799" t="s">
        <v>106</v>
      </c>
      <c r="L492" s="799" t="s">
        <v>106</v>
      </c>
      <c r="M492" s="799" t="s">
        <v>106</v>
      </c>
      <c r="N492" s="799" t="s">
        <v>106</v>
      </c>
      <c r="O492" s="799" t="s">
        <v>106</v>
      </c>
      <c r="P492" s="799" t="s">
        <v>106</v>
      </c>
      <c r="Q492" s="799" t="s">
        <v>106</v>
      </c>
      <c r="R492" s="799" t="s">
        <v>106</v>
      </c>
      <c r="S492" s="799" t="s">
        <v>106</v>
      </c>
      <c r="T492" s="799" t="s">
        <v>106</v>
      </c>
      <c r="U492" s="799" t="s">
        <v>106</v>
      </c>
      <c r="V492" s="799" t="s">
        <v>106</v>
      </c>
      <c r="W492" s="799" t="s">
        <v>106</v>
      </c>
      <c r="X492" s="799" t="s">
        <v>106</v>
      </c>
      <c r="Y492" s="799" t="s">
        <v>106</v>
      </c>
      <c r="Z492" s="799" t="s">
        <v>106</v>
      </c>
      <c r="AA492" s="799" t="s">
        <v>106</v>
      </c>
      <c r="AB492" s="799" t="s">
        <v>106</v>
      </c>
      <c r="AC492" s="799" t="s">
        <v>106</v>
      </c>
      <c r="AD492" s="799" t="s">
        <v>106</v>
      </c>
      <c r="AE492" s="799" t="s">
        <v>106</v>
      </c>
      <c r="AF492" s="799" t="s">
        <v>106</v>
      </c>
      <c r="AG492" s="799" t="s">
        <v>106</v>
      </c>
      <c r="AH492" s="799" t="s">
        <v>106</v>
      </c>
      <c r="AI492" s="799" t="s">
        <v>106</v>
      </c>
      <c r="AJ492" s="799" t="s">
        <v>106</v>
      </c>
      <c r="AK492" s="799" t="s">
        <v>106</v>
      </c>
      <c r="AL492" s="799" t="s">
        <v>106</v>
      </c>
      <c r="AM492" s="315"/>
      <c r="AN492" s="315"/>
    </row>
    <row r="493" spans="1:40" ht="12.6">
      <c r="A493" s="990" t="s">
        <v>611</v>
      </c>
      <c r="B493" s="991" t="s">
        <v>134</v>
      </c>
      <c r="D493" s="315"/>
      <c r="E493" s="315"/>
      <c r="F493" s="799"/>
      <c r="G493" s="799"/>
      <c r="H493" s="799"/>
      <c r="I493" s="799"/>
      <c r="J493" s="799"/>
      <c r="K493" s="799"/>
      <c r="L493" s="799"/>
      <c r="M493" s="799"/>
      <c r="N493" s="799"/>
      <c r="O493" s="799"/>
      <c r="P493" s="799"/>
      <c r="Q493" s="799"/>
      <c r="R493" s="799"/>
      <c r="S493" s="799"/>
      <c r="T493" s="799"/>
      <c r="U493" s="799"/>
      <c r="V493" s="799"/>
      <c r="W493" s="799"/>
      <c r="X493" s="799"/>
      <c r="Y493" s="799"/>
      <c r="Z493" s="799"/>
      <c r="AA493" s="799"/>
      <c r="AB493" s="799"/>
      <c r="AC493" s="799"/>
      <c r="AD493" s="799"/>
      <c r="AE493" s="799"/>
      <c r="AF493" s="799"/>
      <c r="AG493" s="799"/>
      <c r="AH493" s="799"/>
      <c r="AI493" s="799"/>
      <c r="AJ493" s="799"/>
      <c r="AK493" s="799"/>
      <c r="AL493" s="799"/>
      <c r="AM493" s="315"/>
      <c r="AN493" s="315"/>
    </row>
    <row r="494" spans="1:40" s="792" customFormat="1" ht="14.25" customHeight="1">
      <c r="A494" s="989" t="s">
        <v>612</v>
      </c>
      <c r="B494" s="791"/>
      <c r="C494" s="791"/>
      <c r="D494" s="791"/>
      <c r="E494" s="791"/>
      <c r="F494" s="790"/>
      <c r="G494" s="790"/>
      <c r="H494" s="790"/>
      <c r="I494" s="790"/>
      <c r="J494" s="790"/>
      <c r="K494" s="790"/>
      <c r="L494" s="790"/>
      <c r="M494" s="790"/>
      <c r="N494" s="790"/>
      <c r="O494" s="790"/>
      <c r="P494" s="790"/>
      <c r="Q494" s="790"/>
      <c r="R494" s="790"/>
      <c r="S494" s="790"/>
      <c r="T494" s="790"/>
      <c r="U494" s="790"/>
      <c r="V494" s="790"/>
      <c r="W494" s="790"/>
      <c r="X494" s="790"/>
      <c r="Y494" s="790"/>
      <c r="Z494" s="790"/>
      <c r="AA494" s="790"/>
      <c r="AB494" s="790"/>
      <c r="AC494" s="790"/>
      <c r="AD494" s="790"/>
      <c r="AE494" s="790"/>
      <c r="AF494" s="790"/>
      <c r="AG494" s="790"/>
      <c r="AH494" s="790"/>
      <c r="AI494" s="790"/>
      <c r="AJ494" s="790"/>
      <c r="AK494" s="790"/>
      <c r="AL494" s="790"/>
      <c r="AM494" s="791"/>
      <c r="AN494" s="791"/>
    </row>
    <row r="495" spans="1:40" ht="12.6">
      <c r="A495" s="990" t="s">
        <v>613</v>
      </c>
      <c r="B495" s="991" t="s">
        <v>121</v>
      </c>
      <c r="C495" s="991"/>
      <c r="D495" s="315"/>
      <c r="E495" s="991" t="s">
        <v>122</v>
      </c>
      <c r="F495" s="297">
        <f>('1990'!$N$17)*1055.05585262</f>
        <v>4733564.0007398184</v>
      </c>
      <c r="G495" s="295">
        <f>('1991'!$N$17)*1055.05585262</f>
        <v>4924180.9416326741</v>
      </c>
      <c r="H495" s="295">
        <f>('1992'!$N$17)*1055.05585262</f>
        <v>5069101.3034368511</v>
      </c>
      <c r="I495" s="295">
        <f>('1993'!$N$17)*1055.05585262</f>
        <v>5336866.038384987</v>
      </c>
      <c r="J495" s="295">
        <f>('1994'!$N$17)*1055.05585262</f>
        <v>5232908.2200587811</v>
      </c>
      <c r="K495" s="295">
        <f>('1995'!$N$17)*1055.05585262</f>
        <v>5226946.0994356256</v>
      </c>
      <c r="L495" s="295">
        <f>('1996'!$N$17)*1055.05585262</f>
        <v>5649179.4516541492</v>
      </c>
      <c r="M495" s="295">
        <f>('1997'!$N$17)*1055.05585262</f>
        <v>5373313.9978695977</v>
      </c>
      <c r="N495" s="295">
        <f>('1998'!$N$17)*1055.05585262</f>
        <v>4901881.2811316987</v>
      </c>
      <c r="O495" s="295">
        <f>('1999'!$N$17)*1055.05585262</f>
        <v>5101088.4867765857</v>
      </c>
      <c r="P495" s="295">
        <f>('2000'!$N$17)*1055.05585262</f>
        <v>5385630.719893083</v>
      </c>
      <c r="Q495" s="295">
        <f>('2001'!$N$17)*1055.05585262</f>
        <v>5158187.0544645274</v>
      </c>
      <c r="R495" s="295">
        <f>('2002'!$N$17)*1055.05585262</f>
        <v>5269997.6535017826</v>
      </c>
      <c r="S495" s="295">
        <f>('2003'!$N$17)*1055.05585262</f>
        <v>5496237.5002025012</v>
      </c>
      <c r="T495" s="295">
        <f>('2004'!$N$17)*1055.05585262</f>
        <v>5255054.8974611275</v>
      </c>
      <c r="U495" s="295">
        <f>('2005'!$N$17)*1055.05585262</f>
        <v>5218679.7368303481</v>
      </c>
      <c r="V495" s="295">
        <f>('2006'!$N$17)*1055.05585262</f>
        <v>4722338.2064679414</v>
      </c>
      <c r="W495" s="295">
        <f>('2007'!$N$17)*1055.05585262</f>
        <v>5101659.271992852</v>
      </c>
      <c r="X495" s="295">
        <f>('2008'!$N$17)*1055.05585262</f>
        <v>5285894.1800332097</v>
      </c>
      <c r="Y495" s="295">
        <f>('2009'!$N$17)*1055.05585262</f>
        <v>5151955.8945989525</v>
      </c>
      <c r="Z495" s="295">
        <f>('2010'!$N$17)*1055.05585262</f>
        <v>5146679.5602800008</v>
      </c>
      <c r="AA495" s="295">
        <f>('2011'!$N$17)*1055.05585262</f>
        <v>5069099.193325147</v>
      </c>
      <c r="AB495" s="295">
        <f>('2012'!$N$17)*1055.05585262</f>
        <v>4475646.1020641867</v>
      </c>
      <c r="AC495" s="295">
        <f>('2013'!$N$17)*1055.05585262</f>
        <v>5299484.3544708071</v>
      </c>
      <c r="AD495" s="295">
        <f>('2014'!$N$17)*1055.05585262</f>
        <v>5531112.371410856</v>
      </c>
      <c r="AE495" s="295">
        <f>('2015'!$N$17)*1055.05585262</f>
        <v>5039924.7888884982</v>
      </c>
      <c r="AF495" s="295">
        <f>('2016'!$N$17)*1055.05585262</f>
        <v>4753917.0831927117</v>
      </c>
      <c r="AG495" s="295">
        <f>('2017'!$N$17)*1055.05585262</f>
        <v>4814717.8418674963</v>
      </c>
      <c r="AH495" s="295">
        <f>('2018'!$N$17)*1055.05585262</f>
        <v>5459274.6734618125</v>
      </c>
      <c r="AI495" s="295">
        <f>('2019'!$N$17)*1055.05585262</f>
        <v>5494764.6422322439</v>
      </c>
      <c r="AJ495" s="295">
        <f>('2020'!$N$17)*1055.05585262</f>
        <v>5112464.0989795336</v>
      </c>
      <c r="AK495" s="295">
        <f>('2021'!$N$17)*1055.05585262</f>
        <v>5158046.7320361286</v>
      </c>
      <c r="AL495" s="295">
        <f>('2022'!$N$17)*1055.05585262</f>
        <v>5422837.2645357279</v>
      </c>
      <c r="AM495" s="315"/>
      <c r="AN495" s="315"/>
    </row>
    <row r="496" spans="1:40" ht="12.6">
      <c r="A496" s="990" t="s">
        <v>614</v>
      </c>
      <c r="B496" s="991" t="s">
        <v>124</v>
      </c>
      <c r="C496" s="991"/>
      <c r="D496" s="315"/>
      <c r="E496" s="315" t="s">
        <v>125</v>
      </c>
      <c r="F496" s="300" t="s">
        <v>126</v>
      </c>
      <c r="G496" s="300" t="s">
        <v>126</v>
      </c>
      <c r="H496" s="300" t="s">
        <v>126</v>
      </c>
      <c r="I496" s="300" t="s">
        <v>126</v>
      </c>
      <c r="J496" s="300" t="s">
        <v>126</v>
      </c>
      <c r="K496" s="300" t="s">
        <v>126</v>
      </c>
      <c r="L496" s="300" t="s">
        <v>126</v>
      </c>
      <c r="M496" s="300" t="s">
        <v>126</v>
      </c>
      <c r="N496" s="300" t="s">
        <v>126</v>
      </c>
      <c r="O496" s="300" t="s">
        <v>126</v>
      </c>
      <c r="P496" s="300" t="s">
        <v>126</v>
      </c>
      <c r="Q496" s="300" t="s">
        <v>126</v>
      </c>
      <c r="R496" s="300" t="s">
        <v>126</v>
      </c>
      <c r="S496" s="300" t="s">
        <v>126</v>
      </c>
      <c r="T496" s="300" t="s">
        <v>126</v>
      </c>
      <c r="U496" s="300" t="s">
        <v>126</v>
      </c>
      <c r="V496" s="300" t="s">
        <v>126</v>
      </c>
      <c r="W496" s="300" t="s">
        <v>126</v>
      </c>
      <c r="X496" s="300" t="s">
        <v>126</v>
      </c>
      <c r="Y496" s="300" t="s">
        <v>126</v>
      </c>
      <c r="Z496" s="300" t="s">
        <v>126</v>
      </c>
      <c r="AA496" s="300" t="s">
        <v>126</v>
      </c>
      <c r="AB496" s="300" t="s">
        <v>126</v>
      </c>
      <c r="AC496" s="300" t="s">
        <v>126</v>
      </c>
      <c r="AD496" s="300" t="s">
        <v>126</v>
      </c>
      <c r="AE496" s="300" t="s">
        <v>126</v>
      </c>
      <c r="AF496" s="300" t="s">
        <v>126</v>
      </c>
      <c r="AG496" s="300" t="s">
        <v>126</v>
      </c>
      <c r="AH496" s="300" t="s">
        <v>126</v>
      </c>
      <c r="AI496" s="300" t="s">
        <v>126</v>
      </c>
      <c r="AJ496" s="300" t="s">
        <v>126</v>
      </c>
      <c r="AK496" s="300" t="s">
        <v>126</v>
      </c>
      <c r="AL496" s="300" t="s">
        <v>126</v>
      </c>
      <c r="AM496" s="315"/>
      <c r="AN496" s="315"/>
    </row>
    <row r="497" spans="1:40" ht="12.6">
      <c r="A497" s="990" t="s">
        <v>615</v>
      </c>
      <c r="B497" s="991" t="s">
        <v>128</v>
      </c>
      <c r="C497" s="991"/>
      <c r="D497" s="991" t="s">
        <v>129</v>
      </c>
      <c r="E497" s="991" t="s">
        <v>130</v>
      </c>
      <c r="F497" s="295">
        <f>'Summary Table'!C15*1000</f>
        <v>237797.51316701926</v>
      </c>
      <c r="G497" s="295">
        <f>'Summary Table'!D15*1000</f>
        <v>247316.37086467331</v>
      </c>
      <c r="H497" s="295">
        <f>'Summary Table'!E15*1000</f>
        <v>254594.97787985759</v>
      </c>
      <c r="I497" s="295">
        <f>'Summary Table'!F15*1000</f>
        <v>268229.32615115494</v>
      </c>
      <c r="J497" s="295">
        <f>'Summary Table'!G15*1000</f>
        <v>262943.55944535858</v>
      </c>
      <c r="K497" s="295">
        <f>'Summary Table'!H15*1000</f>
        <v>262765.7085049632</v>
      </c>
      <c r="L497" s="295">
        <f>'Summary Table'!I15*1000</f>
        <v>283991.95492868382</v>
      </c>
      <c r="M497" s="295">
        <f>'Summary Table'!J15*1000</f>
        <v>270123.82236394065</v>
      </c>
      <c r="N497" s="295">
        <f>'Summary Table'!K15*1000</f>
        <v>246139.67860387044</v>
      </c>
      <c r="O497" s="295">
        <f>'Summary Table'!L15*1000</f>
        <v>256379.21536804282</v>
      </c>
      <c r="P497" s="295">
        <f>'Summary Table'!M15*1000</f>
        <v>270805.89926201588</v>
      </c>
      <c r="Q497" s="295">
        <f>'Summary Table'!N15*1000</f>
        <v>259188.96478766011</v>
      </c>
      <c r="R497" s="295">
        <f>'Summary Table'!O15*1000</f>
        <v>265053.18507540633</v>
      </c>
      <c r="S497" s="295">
        <f>'Summary Table'!P15*1000</f>
        <v>276175.34859880869</v>
      </c>
      <c r="T497" s="295">
        <f>'Summary Table'!Q15*1000</f>
        <v>264178.77611421049</v>
      </c>
      <c r="U497" s="295">
        <f>'Summary Table'!R15*1000</f>
        <v>262228.6055672738</v>
      </c>
      <c r="V497" s="295">
        <f>'Summary Table'!S15*1000</f>
        <v>237288.39962332515</v>
      </c>
      <c r="W497" s="295">
        <f>'Summary Table'!T15*1000</f>
        <v>256407.90286606789</v>
      </c>
      <c r="X497" s="295">
        <f>'Summary Table'!U15*1000</f>
        <v>265667.49545875355</v>
      </c>
      <c r="Y497" s="295">
        <f>'Summary Table'!V15*1000</f>
        <v>259056.0180522014</v>
      </c>
      <c r="Z497" s="295">
        <f>'Summary Table'!W15*1000</f>
        <v>258911.27602274684</v>
      </c>
      <c r="AA497" s="295">
        <f>'Summary Table'!X15*1000</f>
        <v>255068.03132826393</v>
      </c>
      <c r="AB497" s="295">
        <f>'Summary Table'!Y15*1000</f>
        <v>225101.47681644285</v>
      </c>
      <c r="AC497" s="295">
        <f>'Summary Table'!Z15*1000</f>
        <v>266350.53365110367</v>
      </c>
      <c r="AD497" s="295">
        <f>'Summary Table'!AA15*1000</f>
        <v>277671.6054191445</v>
      </c>
      <c r="AE497" s="295">
        <f>'Summary Table'!AB15*1000</f>
        <v>252723.91355879937</v>
      </c>
      <c r="AF497" s="295">
        <f>'Summary Table'!AC15*1000</f>
        <v>238382.23392683928</v>
      </c>
      <c r="AG497" s="295">
        <f>'Summary Table'!AD15*1000</f>
        <v>241486.09403530834</v>
      </c>
      <c r="AH497" s="295">
        <f>'Summary Table'!AE15*1000</f>
        <v>273814.36679347121</v>
      </c>
      <c r="AI497" s="295">
        <f>'Summary Table'!AF15*1000</f>
        <v>275468.87973202544</v>
      </c>
      <c r="AJ497" s="295">
        <f>'Summary Table'!AG15*1000</f>
        <v>256361.35242960934</v>
      </c>
      <c r="AK497" s="295">
        <f>'Summary Table'!AH15*1000</f>
        <v>258647.06539139297</v>
      </c>
      <c r="AL497" s="295">
        <f>'Summary Table'!AI15*1000</f>
        <v>271986.81887741003</v>
      </c>
      <c r="AM497" s="315"/>
      <c r="AN497" s="315"/>
    </row>
    <row r="498" spans="1:40" ht="12.6">
      <c r="A498" s="990" t="s">
        <v>616</v>
      </c>
      <c r="B498" s="991" t="s">
        <v>132</v>
      </c>
      <c r="C498" s="991"/>
      <c r="D498" s="991" t="s">
        <v>129</v>
      </c>
      <c r="E498" s="991" t="s">
        <v>130</v>
      </c>
      <c r="F498" s="799" t="s">
        <v>106</v>
      </c>
      <c r="G498" s="799" t="s">
        <v>106</v>
      </c>
      <c r="H498" s="799" t="s">
        <v>106</v>
      </c>
      <c r="I498" s="799" t="s">
        <v>106</v>
      </c>
      <c r="J498" s="799" t="s">
        <v>106</v>
      </c>
      <c r="K498" s="799" t="s">
        <v>106</v>
      </c>
      <c r="L498" s="799" t="s">
        <v>106</v>
      </c>
      <c r="M498" s="799" t="s">
        <v>106</v>
      </c>
      <c r="N498" s="799" t="s">
        <v>106</v>
      </c>
      <c r="O498" s="799" t="s">
        <v>106</v>
      </c>
      <c r="P498" s="799" t="s">
        <v>106</v>
      </c>
      <c r="Q498" s="799" t="s">
        <v>106</v>
      </c>
      <c r="R498" s="799" t="s">
        <v>106</v>
      </c>
      <c r="S498" s="799" t="s">
        <v>106</v>
      </c>
      <c r="T498" s="799" t="s">
        <v>106</v>
      </c>
      <c r="U498" s="799" t="s">
        <v>106</v>
      </c>
      <c r="V498" s="799" t="s">
        <v>106</v>
      </c>
      <c r="W498" s="799" t="s">
        <v>106</v>
      </c>
      <c r="X498" s="799" t="s">
        <v>106</v>
      </c>
      <c r="Y498" s="799" t="s">
        <v>106</v>
      </c>
      <c r="Z498" s="799" t="s">
        <v>106</v>
      </c>
      <c r="AA498" s="799" t="s">
        <v>106</v>
      </c>
      <c r="AB498" s="799" t="s">
        <v>106</v>
      </c>
      <c r="AC498" s="799" t="s">
        <v>106</v>
      </c>
      <c r="AD498" s="799" t="s">
        <v>106</v>
      </c>
      <c r="AE498" s="799" t="s">
        <v>106</v>
      </c>
      <c r="AF498" s="799" t="s">
        <v>106</v>
      </c>
      <c r="AG498" s="799" t="s">
        <v>106</v>
      </c>
      <c r="AH498" s="799" t="s">
        <v>106</v>
      </c>
      <c r="AI498" s="799" t="s">
        <v>106</v>
      </c>
      <c r="AJ498" s="799" t="s">
        <v>106</v>
      </c>
      <c r="AK498" s="799" t="s">
        <v>106</v>
      </c>
      <c r="AL498" s="799" t="s">
        <v>106</v>
      </c>
      <c r="AM498" s="315"/>
      <c r="AN498" s="315"/>
    </row>
    <row r="499" spans="1:40" ht="12.6">
      <c r="A499" s="990" t="s">
        <v>617</v>
      </c>
      <c r="B499" s="991" t="s">
        <v>134</v>
      </c>
      <c r="D499" s="315"/>
      <c r="E499" s="315"/>
      <c r="F499" s="799"/>
      <c r="G499" s="799"/>
      <c r="H499" s="799"/>
      <c r="I499" s="799"/>
      <c r="J499" s="799"/>
      <c r="K499" s="799"/>
      <c r="L499" s="799"/>
      <c r="M499" s="799"/>
      <c r="N499" s="799"/>
      <c r="O499" s="799"/>
      <c r="P499" s="799"/>
      <c r="Q499" s="799"/>
      <c r="R499" s="799"/>
      <c r="S499" s="799"/>
      <c r="T499" s="799"/>
      <c r="U499" s="799"/>
      <c r="V499" s="799"/>
      <c r="W499" s="799"/>
      <c r="X499" s="799"/>
      <c r="Y499" s="799"/>
      <c r="Z499" s="799"/>
      <c r="AA499" s="799"/>
      <c r="AB499" s="799"/>
      <c r="AC499" s="799"/>
      <c r="AD499" s="799"/>
      <c r="AE499" s="799"/>
      <c r="AF499" s="799"/>
      <c r="AG499" s="799"/>
      <c r="AH499" s="799"/>
      <c r="AI499" s="799"/>
      <c r="AJ499" s="799"/>
      <c r="AK499" s="799"/>
      <c r="AL499" s="799"/>
      <c r="AM499" s="315"/>
      <c r="AN499" s="315"/>
    </row>
    <row r="500" spans="1:40" s="792" customFormat="1" ht="14.25" customHeight="1">
      <c r="A500" s="989" t="s">
        <v>618</v>
      </c>
      <c r="B500" s="791"/>
      <c r="C500" s="791"/>
      <c r="D500" s="791"/>
      <c r="E500" s="791"/>
      <c r="F500" s="790"/>
      <c r="G500" s="790"/>
      <c r="H500" s="790"/>
      <c r="I500" s="790"/>
      <c r="J500" s="790"/>
      <c r="K500" s="790"/>
      <c r="L500" s="790"/>
      <c r="M500" s="790"/>
      <c r="N500" s="790"/>
      <c r="O500" s="790"/>
      <c r="P500" s="790"/>
      <c r="Q500" s="790"/>
      <c r="R500" s="790"/>
      <c r="S500" s="790"/>
      <c r="T500" s="790"/>
      <c r="U500" s="790"/>
      <c r="V500" s="790"/>
      <c r="W500" s="790"/>
      <c r="X500" s="790"/>
      <c r="Y500" s="790"/>
      <c r="Z500" s="790"/>
      <c r="AA500" s="790"/>
      <c r="AB500" s="790"/>
      <c r="AC500" s="790"/>
      <c r="AD500" s="790"/>
      <c r="AE500" s="790"/>
      <c r="AF500" s="790"/>
      <c r="AG500" s="790"/>
      <c r="AH500" s="790"/>
      <c r="AI500" s="790"/>
      <c r="AJ500" s="790"/>
      <c r="AK500" s="790"/>
      <c r="AL500" s="790"/>
      <c r="AM500" s="791"/>
      <c r="AN500" s="791"/>
    </row>
    <row r="501" spans="1:40" ht="12.6">
      <c r="A501" s="990" t="s">
        <v>619</v>
      </c>
      <c r="B501" s="991" t="s">
        <v>121</v>
      </c>
      <c r="C501" s="991"/>
      <c r="D501" s="315"/>
      <c r="E501" s="991" t="s">
        <v>122</v>
      </c>
      <c r="F501" s="799" t="s">
        <v>108</v>
      </c>
      <c r="G501" s="799" t="s">
        <v>108</v>
      </c>
      <c r="H501" s="799" t="s">
        <v>108</v>
      </c>
      <c r="I501" s="799" t="s">
        <v>108</v>
      </c>
      <c r="J501" s="799" t="s">
        <v>108</v>
      </c>
      <c r="K501" s="799" t="s">
        <v>108</v>
      </c>
      <c r="L501" s="799" t="s">
        <v>108</v>
      </c>
      <c r="M501" s="799" t="s">
        <v>108</v>
      </c>
      <c r="N501" s="799" t="s">
        <v>108</v>
      </c>
      <c r="O501" s="799" t="s">
        <v>108</v>
      </c>
      <c r="P501" s="799" t="s">
        <v>108</v>
      </c>
      <c r="Q501" s="799" t="s">
        <v>108</v>
      </c>
      <c r="R501" s="799" t="s">
        <v>108</v>
      </c>
      <c r="S501" s="799" t="s">
        <v>108</v>
      </c>
      <c r="T501" s="799" t="s">
        <v>108</v>
      </c>
      <c r="U501" s="799" t="s">
        <v>108</v>
      </c>
      <c r="V501" s="799" t="s">
        <v>108</v>
      </c>
      <c r="W501" s="799" t="s">
        <v>108</v>
      </c>
      <c r="X501" s="799" t="s">
        <v>108</v>
      </c>
      <c r="Y501" s="799" t="s">
        <v>108</v>
      </c>
      <c r="Z501" s="799" t="s">
        <v>108</v>
      </c>
      <c r="AA501" s="799" t="s">
        <v>108</v>
      </c>
      <c r="AB501" s="799" t="s">
        <v>108</v>
      </c>
      <c r="AC501" s="799" t="s">
        <v>108</v>
      </c>
      <c r="AD501" s="799" t="s">
        <v>108</v>
      </c>
      <c r="AE501" s="799" t="s">
        <v>108</v>
      </c>
      <c r="AF501" s="799" t="s">
        <v>108</v>
      </c>
      <c r="AG501" s="799" t="s">
        <v>108</v>
      </c>
      <c r="AH501" s="799" t="s">
        <v>108</v>
      </c>
      <c r="AI501" s="799" t="s">
        <v>108</v>
      </c>
      <c r="AJ501" s="799" t="s">
        <v>108</v>
      </c>
      <c r="AK501" s="799" t="s">
        <v>108</v>
      </c>
      <c r="AL501" s="799" t="s">
        <v>108</v>
      </c>
      <c r="AM501" s="315"/>
      <c r="AN501" s="315"/>
    </row>
    <row r="502" spans="1:40" ht="12.6">
      <c r="A502" s="990" t="s">
        <v>620</v>
      </c>
      <c r="B502" s="991" t="s">
        <v>124</v>
      </c>
      <c r="C502" s="991"/>
      <c r="D502" s="315"/>
      <c r="E502" s="315" t="s">
        <v>125</v>
      </c>
      <c r="F502" s="799" t="s">
        <v>126</v>
      </c>
      <c r="G502" s="799" t="s">
        <v>126</v>
      </c>
      <c r="H502" s="799" t="s">
        <v>126</v>
      </c>
      <c r="I502" s="799" t="s">
        <v>126</v>
      </c>
      <c r="J502" s="799" t="s">
        <v>126</v>
      </c>
      <c r="K502" s="799" t="s">
        <v>126</v>
      </c>
      <c r="L502" s="799" t="s">
        <v>126</v>
      </c>
      <c r="M502" s="799" t="s">
        <v>126</v>
      </c>
      <c r="N502" s="799" t="s">
        <v>126</v>
      </c>
      <c r="O502" s="799" t="s">
        <v>126</v>
      </c>
      <c r="P502" s="799" t="s">
        <v>126</v>
      </c>
      <c r="Q502" s="799" t="s">
        <v>126</v>
      </c>
      <c r="R502" s="799" t="s">
        <v>126</v>
      </c>
      <c r="S502" s="799" t="s">
        <v>126</v>
      </c>
      <c r="T502" s="799" t="s">
        <v>126</v>
      </c>
      <c r="U502" s="799" t="s">
        <v>126</v>
      </c>
      <c r="V502" s="799" t="s">
        <v>126</v>
      </c>
      <c r="W502" s="799" t="s">
        <v>126</v>
      </c>
      <c r="X502" s="799" t="s">
        <v>126</v>
      </c>
      <c r="Y502" s="799" t="s">
        <v>126</v>
      </c>
      <c r="Z502" s="799" t="s">
        <v>126</v>
      </c>
      <c r="AA502" s="799" t="s">
        <v>126</v>
      </c>
      <c r="AB502" s="799" t="s">
        <v>126</v>
      </c>
      <c r="AC502" s="799" t="s">
        <v>126</v>
      </c>
      <c r="AD502" s="799" t="s">
        <v>126</v>
      </c>
      <c r="AE502" s="799" t="s">
        <v>126</v>
      </c>
      <c r="AF502" s="799" t="s">
        <v>126</v>
      </c>
      <c r="AG502" s="799" t="s">
        <v>126</v>
      </c>
      <c r="AH502" s="799" t="s">
        <v>126</v>
      </c>
      <c r="AI502" s="799" t="s">
        <v>126</v>
      </c>
      <c r="AJ502" s="799" t="s">
        <v>126</v>
      </c>
      <c r="AK502" s="799" t="s">
        <v>126</v>
      </c>
      <c r="AL502" s="799" t="s">
        <v>126</v>
      </c>
      <c r="AM502" s="315"/>
      <c r="AN502" s="315"/>
    </row>
    <row r="503" spans="1:40" ht="12.6">
      <c r="A503" s="990" t="s">
        <v>621</v>
      </c>
      <c r="B503" s="991" t="s">
        <v>128</v>
      </c>
      <c r="C503" s="991"/>
      <c r="D503" s="991" t="s">
        <v>129</v>
      </c>
      <c r="E503" s="991" t="s">
        <v>130</v>
      </c>
      <c r="F503" s="799" t="s">
        <v>108</v>
      </c>
      <c r="G503" s="799" t="s">
        <v>108</v>
      </c>
      <c r="H503" s="799" t="s">
        <v>108</v>
      </c>
      <c r="I503" s="799" t="s">
        <v>108</v>
      </c>
      <c r="J503" s="799" t="s">
        <v>108</v>
      </c>
      <c r="K503" s="799" t="s">
        <v>108</v>
      </c>
      <c r="L503" s="799" t="s">
        <v>108</v>
      </c>
      <c r="M503" s="799" t="s">
        <v>108</v>
      </c>
      <c r="N503" s="799" t="s">
        <v>108</v>
      </c>
      <c r="O503" s="799" t="s">
        <v>108</v>
      </c>
      <c r="P503" s="799" t="s">
        <v>108</v>
      </c>
      <c r="Q503" s="799" t="s">
        <v>108</v>
      </c>
      <c r="R503" s="799" t="s">
        <v>108</v>
      </c>
      <c r="S503" s="799" t="s">
        <v>108</v>
      </c>
      <c r="T503" s="799" t="s">
        <v>108</v>
      </c>
      <c r="U503" s="799" t="s">
        <v>108</v>
      </c>
      <c r="V503" s="799" t="s">
        <v>108</v>
      </c>
      <c r="W503" s="799" t="s">
        <v>108</v>
      </c>
      <c r="X503" s="799" t="s">
        <v>108</v>
      </c>
      <c r="Y503" s="799" t="s">
        <v>108</v>
      </c>
      <c r="Z503" s="799" t="s">
        <v>108</v>
      </c>
      <c r="AA503" s="799" t="s">
        <v>108</v>
      </c>
      <c r="AB503" s="799" t="s">
        <v>108</v>
      </c>
      <c r="AC503" s="799" t="s">
        <v>108</v>
      </c>
      <c r="AD503" s="799" t="s">
        <v>108</v>
      </c>
      <c r="AE503" s="799" t="s">
        <v>108</v>
      </c>
      <c r="AF503" s="799" t="s">
        <v>108</v>
      </c>
      <c r="AG503" s="799" t="s">
        <v>108</v>
      </c>
      <c r="AH503" s="799" t="s">
        <v>108</v>
      </c>
      <c r="AI503" s="799" t="s">
        <v>108</v>
      </c>
      <c r="AJ503" s="799" t="s">
        <v>108</v>
      </c>
      <c r="AK503" s="799" t="s">
        <v>108</v>
      </c>
      <c r="AL503" s="799" t="s">
        <v>108</v>
      </c>
      <c r="AM503" s="315"/>
      <c r="AN503" s="315"/>
    </row>
    <row r="504" spans="1:40" ht="12.6">
      <c r="A504" s="990" t="s">
        <v>622</v>
      </c>
      <c r="B504" s="991" t="s">
        <v>132</v>
      </c>
      <c r="C504" s="991"/>
      <c r="D504" s="991" t="s">
        <v>129</v>
      </c>
      <c r="E504" s="991" t="s">
        <v>130</v>
      </c>
      <c r="F504" s="794" t="s">
        <v>108</v>
      </c>
      <c r="G504" s="794" t="s">
        <v>108</v>
      </c>
      <c r="H504" s="794" t="s">
        <v>108</v>
      </c>
      <c r="I504" s="794" t="s">
        <v>108</v>
      </c>
      <c r="J504" s="794" t="s">
        <v>108</v>
      </c>
      <c r="K504" s="794" t="s">
        <v>108</v>
      </c>
      <c r="L504" s="794" t="s">
        <v>108</v>
      </c>
      <c r="M504" s="794" t="s">
        <v>108</v>
      </c>
      <c r="N504" s="794" t="s">
        <v>108</v>
      </c>
      <c r="O504" s="794" t="s">
        <v>108</v>
      </c>
      <c r="P504" s="794" t="s">
        <v>108</v>
      </c>
      <c r="Q504" s="794" t="s">
        <v>108</v>
      </c>
      <c r="R504" s="794" t="s">
        <v>108</v>
      </c>
      <c r="S504" s="794" t="s">
        <v>108</v>
      </c>
      <c r="T504" s="794" t="s">
        <v>108</v>
      </c>
      <c r="U504" s="794" t="s">
        <v>108</v>
      </c>
      <c r="V504" s="794" t="s">
        <v>108</v>
      </c>
      <c r="W504" s="794" t="s">
        <v>108</v>
      </c>
      <c r="X504" s="794" t="s">
        <v>108</v>
      </c>
      <c r="Y504" s="794" t="s">
        <v>108</v>
      </c>
      <c r="Z504" s="794" t="s">
        <v>108</v>
      </c>
      <c r="AA504" s="794" t="s">
        <v>108</v>
      </c>
      <c r="AB504" s="794" t="s">
        <v>108</v>
      </c>
      <c r="AC504" s="794" t="s">
        <v>108</v>
      </c>
      <c r="AD504" s="794" t="s">
        <v>108</v>
      </c>
      <c r="AE504" s="794" t="s">
        <v>108</v>
      </c>
      <c r="AF504" s="794" t="s">
        <v>108</v>
      </c>
      <c r="AG504" s="794" t="s">
        <v>108</v>
      </c>
      <c r="AH504" s="794" t="s">
        <v>108</v>
      </c>
      <c r="AI504" s="794" t="s">
        <v>108</v>
      </c>
      <c r="AJ504" s="794" t="s">
        <v>108</v>
      </c>
      <c r="AK504" s="794" t="s">
        <v>108</v>
      </c>
      <c r="AL504" s="794" t="s">
        <v>108</v>
      </c>
      <c r="AM504" s="315"/>
      <c r="AN504" s="315"/>
    </row>
    <row r="505" spans="1:40" ht="12.6">
      <c r="A505" s="990" t="s">
        <v>623</v>
      </c>
      <c r="B505" s="991" t="s">
        <v>134</v>
      </c>
      <c r="D505" s="315"/>
      <c r="E505" s="315"/>
      <c r="F505" s="799"/>
      <c r="G505" s="799"/>
      <c r="H505" s="799"/>
      <c r="I505" s="799"/>
      <c r="J505" s="799"/>
      <c r="K505" s="799"/>
      <c r="L505" s="799"/>
      <c r="M505" s="799"/>
      <c r="N505" s="799"/>
      <c r="O505" s="799"/>
      <c r="P505" s="799"/>
      <c r="Q505" s="799"/>
      <c r="R505" s="799"/>
      <c r="S505" s="799"/>
      <c r="T505" s="799"/>
      <c r="U505" s="799"/>
      <c r="V505" s="799"/>
      <c r="W505" s="799"/>
      <c r="X505" s="799"/>
      <c r="Y505" s="799"/>
      <c r="Z505" s="799"/>
      <c r="AA505" s="799"/>
      <c r="AB505" s="799"/>
      <c r="AC505" s="799"/>
      <c r="AD505" s="799"/>
      <c r="AE505" s="799"/>
      <c r="AF505" s="799"/>
      <c r="AG505" s="799"/>
      <c r="AH505" s="799"/>
      <c r="AI505" s="799"/>
      <c r="AJ505" s="799"/>
      <c r="AK505" s="799"/>
      <c r="AL505" s="799"/>
      <c r="AM505" s="315"/>
      <c r="AN505" s="315"/>
    </row>
    <row r="506" spans="1:40" s="792" customFormat="1" ht="14.25" customHeight="1">
      <c r="A506" s="989" t="s">
        <v>624</v>
      </c>
      <c r="B506" s="791"/>
      <c r="C506" s="791"/>
      <c r="D506" s="791"/>
      <c r="E506" s="791"/>
      <c r="F506" s="790"/>
      <c r="G506" s="790"/>
      <c r="H506" s="790"/>
      <c r="I506" s="790"/>
      <c r="J506" s="790"/>
      <c r="K506" s="790"/>
      <c r="L506" s="790"/>
      <c r="M506" s="790"/>
      <c r="N506" s="790"/>
      <c r="O506" s="790"/>
      <c r="P506" s="790"/>
      <c r="Q506" s="790"/>
      <c r="R506" s="790"/>
      <c r="S506" s="790"/>
      <c r="T506" s="790"/>
      <c r="U506" s="790"/>
      <c r="V506" s="790"/>
      <c r="W506" s="790"/>
      <c r="X506" s="790"/>
      <c r="Y506" s="790"/>
      <c r="Z506" s="790"/>
      <c r="AA506" s="790"/>
      <c r="AB506" s="790"/>
      <c r="AC506" s="790"/>
      <c r="AD506" s="790"/>
      <c r="AE506" s="790"/>
      <c r="AF506" s="790"/>
      <c r="AG506" s="790"/>
      <c r="AH506" s="790"/>
      <c r="AI506" s="790"/>
      <c r="AJ506" s="790"/>
      <c r="AK506" s="790"/>
      <c r="AL506" s="790"/>
      <c r="AM506" s="791"/>
      <c r="AN506" s="791"/>
    </row>
    <row r="507" spans="1:40" ht="12.6">
      <c r="A507" s="990" t="s">
        <v>625</v>
      </c>
      <c r="B507" s="991" t="s">
        <v>121</v>
      </c>
      <c r="C507" s="991"/>
      <c r="D507" s="315"/>
      <c r="E507" s="991" t="s">
        <v>122</v>
      </c>
      <c r="F507" s="300" t="s">
        <v>108</v>
      </c>
      <c r="G507" s="300" t="s">
        <v>108</v>
      </c>
      <c r="H507" s="300" t="s">
        <v>108</v>
      </c>
      <c r="I507" s="300" t="s">
        <v>108</v>
      </c>
      <c r="J507" s="300" t="s">
        <v>108</v>
      </c>
      <c r="K507" s="300" t="s">
        <v>108</v>
      </c>
      <c r="L507" s="300" t="s">
        <v>108</v>
      </c>
      <c r="M507" s="300" t="s">
        <v>108</v>
      </c>
      <c r="N507" s="300" t="s">
        <v>108</v>
      </c>
      <c r="O507" s="300" t="s">
        <v>108</v>
      </c>
      <c r="P507" s="300" t="s">
        <v>108</v>
      </c>
      <c r="Q507" s="300" t="s">
        <v>108</v>
      </c>
      <c r="R507" s="300" t="s">
        <v>108</v>
      </c>
      <c r="S507" s="300" t="s">
        <v>108</v>
      </c>
      <c r="T507" s="300" t="s">
        <v>108</v>
      </c>
      <c r="U507" s="300" t="s">
        <v>108</v>
      </c>
      <c r="V507" s="300" t="s">
        <v>108</v>
      </c>
      <c r="W507" s="300" t="s">
        <v>108</v>
      </c>
      <c r="X507" s="300" t="s">
        <v>108</v>
      </c>
      <c r="Y507" s="300" t="s">
        <v>108</v>
      </c>
      <c r="Z507" s="300" t="s">
        <v>108</v>
      </c>
      <c r="AA507" s="300" t="s">
        <v>108</v>
      </c>
      <c r="AB507" s="300" t="s">
        <v>108</v>
      </c>
      <c r="AC507" s="300" t="s">
        <v>108</v>
      </c>
      <c r="AD507" s="300" t="s">
        <v>108</v>
      </c>
      <c r="AE507" s="300" t="s">
        <v>108</v>
      </c>
      <c r="AF507" s="300" t="s">
        <v>108</v>
      </c>
      <c r="AG507" s="300" t="s">
        <v>108</v>
      </c>
      <c r="AH507" s="300" t="s">
        <v>108</v>
      </c>
      <c r="AI507" s="300" t="s">
        <v>108</v>
      </c>
      <c r="AJ507" s="300" t="s">
        <v>108</v>
      </c>
      <c r="AK507" s="300" t="s">
        <v>108</v>
      </c>
      <c r="AL507" s="300" t="s">
        <v>108</v>
      </c>
      <c r="AM507" s="315"/>
      <c r="AN507" s="315"/>
    </row>
    <row r="508" spans="1:40" ht="12.6">
      <c r="A508" s="990" t="s">
        <v>626</v>
      </c>
      <c r="B508" s="991" t="s">
        <v>124</v>
      </c>
      <c r="C508" s="991"/>
      <c r="D508" s="315"/>
      <c r="E508" s="315" t="s">
        <v>125</v>
      </c>
      <c r="F508" s="799" t="s">
        <v>126</v>
      </c>
      <c r="G508" s="799" t="s">
        <v>126</v>
      </c>
      <c r="H508" s="799" t="s">
        <v>126</v>
      </c>
      <c r="I508" s="799" t="s">
        <v>126</v>
      </c>
      <c r="J508" s="799" t="s">
        <v>126</v>
      </c>
      <c r="K508" s="799" t="s">
        <v>126</v>
      </c>
      <c r="L508" s="799" t="s">
        <v>126</v>
      </c>
      <c r="M508" s="799" t="s">
        <v>126</v>
      </c>
      <c r="N508" s="799" t="s">
        <v>126</v>
      </c>
      <c r="O508" s="799" t="s">
        <v>126</v>
      </c>
      <c r="P508" s="799" t="s">
        <v>126</v>
      </c>
      <c r="Q508" s="799" t="s">
        <v>126</v>
      </c>
      <c r="R508" s="799" t="s">
        <v>126</v>
      </c>
      <c r="S508" s="799" t="s">
        <v>126</v>
      </c>
      <c r="T508" s="799" t="s">
        <v>126</v>
      </c>
      <c r="U508" s="799" t="s">
        <v>126</v>
      </c>
      <c r="V508" s="799" t="s">
        <v>126</v>
      </c>
      <c r="W508" s="799" t="s">
        <v>126</v>
      </c>
      <c r="X508" s="799" t="s">
        <v>126</v>
      </c>
      <c r="Y508" s="799" t="s">
        <v>126</v>
      </c>
      <c r="Z508" s="799" t="s">
        <v>126</v>
      </c>
      <c r="AA508" s="799" t="s">
        <v>126</v>
      </c>
      <c r="AB508" s="799" t="s">
        <v>126</v>
      </c>
      <c r="AC508" s="799" t="s">
        <v>126</v>
      </c>
      <c r="AD508" s="799" t="s">
        <v>126</v>
      </c>
      <c r="AE508" s="799" t="s">
        <v>126</v>
      </c>
      <c r="AF508" s="799" t="s">
        <v>126</v>
      </c>
      <c r="AG508" s="799" t="s">
        <v>126</v>
      </c>
      <c r="AH508" s="799" t="s">
        <v>126</v>
      </c>
      <c r="AI508" s="799" t="s">
        <v>126</v>
      </c>
      <c r="AJ508" s="799" t="s">
        <v>126</v>
      </c>
      <c r="AK508" s="799" t="s">
        <v>126</v>
      </c>
      <c r="AL508" s="799" t="s">
        <v>126</v>
      </c>
      <c r="AM508" s="315"/>
      <c r="AN508" s="315"/>
    </row>
    <row r="509" spans="1:40" ht="12.6">
      <c r="A509" s="990" t="s">
        <v>627</v>
      </c>
      <c r="B509" s="991" t="s">
        <v>128</v>
      </c>
      <c r="C509" s="991"/>
      <c r="D509" s="991" t="s">
        <v>129</v>
      </c>
      <c r="E509" s="991" t="s">
        <v>130</v>
      </c>
      <c r="F509" s="300" t="s">
        <v>108</v>
      </c>
      <c r="G509" s="300" t="s">
        <v>108</v>
      </c>
      <c r="H509" s="300" t="s">
        <v>108</v>
      </c>
      <c r="I509" s="300" t="s">
        <v>108</v>
      </c>
      <c r="J509" s="300" t="s">
        <v>108</v>
      </c>
      <c r="K509" s="300" t="s">
        <v>108</v>
      </c>
      <c r="L509" s="300" t="s">
        <v>108</v>
      </c>
      <c r="M509" s="300" t="s">
        <v>108</v>
      </c>
      <c r="N509" s="300" t="s">
        <v>108</v>
      </c>
      <c r="O509" s="300" t="s">
        <v>108</v>
      </c>
      <c r="P509" s="300" t="s">
        <v>108</v>
      </c>
      <c r="Q509" s="300" t="s">
        <v>108</v>
      </c>
      <c r="R509" s="300" t="s">
        <v>108</v>
      </c>
      <c r="S509" s="300" t="s">
        <v>108</v>
      </c>
      <c r="T509" s="300" t="s">
        <v>108</v>
      </c>
      <c r="U509" s="300" t="s">
        <v>108</v>
      </c>
      <c r="V509" s="300" t="s">
        <v>108</v>
      </c>
      <c r="W509" s="300" t="s">
        <v>108</v>
      </c>
      <c r="X509" s="300" t="s">
        <v>108</v>
      </c>
      <c r="Y509" s="300" t="s">
        <v>108</v>
      </c>
      <c r="Z509" s="300" t="s">
        <v>108</v>
      </c>
      <c r="AA509" s="300" t="s">
        <v>108</v>
      </c>
      <c r="AB509" s="300" t="s">
        <v>108</v>
      </c>
      <c r="AC509" s="300" t="s">
        <v>108</v>
      </c>
      <c r="AD509" s="300" t="s">
        <v>108</v>
      </c>
      <c r="AE509" s="300" t="s">
        <v>108</v>
      </c>
      <c r="AF509" s="300" t="s">
        <v>108</v>
      </c>
      <c r="AG509" s="300" t="s">
        <v>108</v>
      </c>
      <c r="AH509" s="300" t="s">
        <v>108</v>
      </c>
      <c r="AI509" s="300" t="s">
        <v>108</v>
      </c>
      <c r="AJ509" s="300" t="s">
        <v>108</v>
      </c>
      <c r="AK509" s="300" t="s">
        <v>108</v>
      </c>
      <c r="AL509" s="300" t="s">
        <v>108</v>
      </c>
      <c r="AM509" s="315"/>
      <c r="AN509" s="315"/>
    </row>
    <row r="510" spans="1:40" ht="12.6">
      <c r="A510" s="990" t="s">
        <v>628</v>
      </c>
      <c r="B510" s="991" t="s">
        <v>132</v>
      </c>
      <c r="C510" s="991"/>
      <c r="D510" s="991" t="s">
        <v>129</v>
      </c>
      <c r="E510" s="991" t="s">
        <v>130</v>
      </c>
      <c r="F510" s="794" t="s">
        <v>108</v>
      </c>
      <c r="G510" s="794" t="s">
        <v>108</v>
      </c>
      <c r="H510" s="794" t="s">
        <v>108</v>
      </c>
      <c r="I510" s="794" t="s">
        <v>108</v>
      </c>
      <c r="J510" s="794" t="s">
        <v>108</v>
      </c>
      <c r="K510" s="794" t="s">
        <v>108</v>
      </c>
      <c r="L510" s="794" t="s">
        <v>108</v>
      </c>
      <c r="M510" s="794" t="s">
        <v>108</v>
      </c>
      <c r="N510" s="794" t="s">
        <v>108</v>
      </c>
      <c r="O510" s="794" t="s">
        <v>108</v>
      </c>
      <c r="P510" s="794" t="s">
        <v>108</v>
      </c>
      <c r="Q510" s="794" t="s">
        <v>108</v>
      </c>
      <c r="R510" s="794" t="s">
        <v>108</v>
      </c>
      <c r="S510" s="794" t="s">
        <v>108</v>
      </c>
      <c r="T510" s="794" t="s">
        <v>108</v>
      </c>
      <c r="U510" s="794" t="s">
        <v>108</v>
      </c>
      <c r="V510" s="794" t="s">
        <v>108</v>
      </c>
      <c r="W510" s="794" t="s">
        <v>108</v>
      </c>
      <c r="X510" s="794" t="s">
        <v>108</v>
      </c>
      <c r="Y510" s="794" t="s">
        <v>108</v>
      </c>
      <c r="Z510" s="794" t="s">
        <v>108</v>
      </c>
      <c r="AA510" s="794" t="s">
        <v>108</v>
      </c>
      <c r="AB510" s="794" t="s">
        <v>108</v>
      </c>
      <c r="AC510" s="794" t="s">
        <v>108</v>
      </c>
      <c r="AD510" s="794" t="s">
        <v>108</v>
      </c>
      <c r="AE510" s="794" t="s">
        <v>108</v>
      </c>
      <c r="AF510" s="794" t="s">
        <v>108</v>
      </c>
      <c r="AG510" s="794" t="s">
        <v>108</v>
      </c>
      <c r="AH510" s="794" t="s">
        <v>108</v>
      </c>
      <c r="AI510" s="794" t="s">
        <v>108</v>
      </c>
      <c r="AJ510" s="794" t="s">
        <v>108</v>
      </c>
      <c r="AK510" s="794" t="s">
        <v>108</v>
      </c>
      <c r="AL510" s="794" t="s">
        <v>108</v>
      </c>
      <c r="AM510" s="315"/>
      <c r="AN510" s="315"/>
    </row>
    <row r="511" spans="1:40" ht="12.6">
      <c r="A511" s="990" t="s">
        <v>629</v>
      </c>
      <c r="B511" s="991" t="s">
        <v>134</v>
      </c>
      <c r="D511" s="315"/>
      <c r="E511" s="315"/>
      <c r="F511" s="799"/>
      <c r="G511" s="799"/>
      <c r="H511" s="799"/>
      <c r="I511" s="799"/>
      <c r="J511" s="799"/>
      <c r="K511" s="799"/>
      <c r="L511" s="799"/>
      <c r="M511" s="799"/>
      <c r="N511" s="799"/>
      <c r="O511" s="799"/>
      <c r="P511" s="799"/>
      <c r="Q511" s="799"/>
      <c r="R511" s="799"/>
      <c r="S511" s="799"/>
      <c r="T511" s="799"/>
      <c r="U511" s="799"/>
      <c r="V511" s="799"/>
      <c r="W511" s="799"/>
      <c r="X511" s="799"/>
      <c r="Y511" s="799"/>
      <c r="Z511" s="799"/>
      <c r="AA511" s="799"/>
      <c r="AB511" s="799"/>
      <c r="AC511" s="799"/>
      <c r="AD511" s="799"/>
      <c r="AE511" s="799"/>
      <c r="AF511" s="799"/>
      <c r="AG511" s="799"/>
      <c r="AH511" s="799"/>
      <c r="AI511" s="799"/>
      <c r="AJ511" s="799"/>
      <c r="AK511" s="799"/>
      <c r="AL511" s="799"/>
      <c r="AM511" s="315"/>
      <c r="AN511" s="315"/>
    </row>
    <row r="512" spans="1:40" s="797" customFormat="1" ht="12.95">
      <c r="A512" s="796" t="s">
        <v>630</v>
      </c>
      <c r="B512" s="796"/>
      <c r="C512" s="796"/>
      <c r="D512" s="796"/>
      <c r="E512" s="796"/>
      <c r="F512" s="795"/>
      <c r="G512" s="795"/>
      <c r="H512" s="795"/>
      <c r="I512" s="795"/>
      <c r="J512" s="795"/>
      <c r="K512" s="795"/>
      <c r="L512" s="795"/>
      <c r="M512" s="795"/>
      <c r="N512" s="795"/>
      <c r="O512" s="795"/>
      <c r="P512" s="795"/>
      <c r="Q512" s="795"/>
      <c r="R512" s="795"/>
      <c r="S512" s="795"/>
      <c r="T512" s="795"/>
      <c r="U512" s="795"/>
      <c r="V512" s="795"/>
      <c r="W512" s="795"/>
      <c r="X512" s="795"/>
      <c r="Y512" s="795"/>
      <c r="Z512" s="795"/>
      <c r="AA512" s="795"/>
      <c r="AB512" s="795"/>
      <c r="AC512" s="795"/>
      <c r="AD512" s="795"/>
      <c r="AE512" s="795"/>
      <c r="AF512" s="795"/>
      <c r="AG512" s="795"/>
      <c r="AH512" s="795"/>
      <c r="AI512" s="795"/>
      <c r="AJ512" s="795"/>
      <c r="AK512" s="795"/>
      <c r="AL512" s="795"/>
      <c r="AM512" s="796"/>
      <c r="AN512" s="796"/>
    </row>
    <row r="513" spans="1:40" s="797" customFormat="1" ht="12.95">
      <c r="A513" s="989" t="s">
        <v>631</v>
      </c>
      <c r="B513" s="796"/>
      <c r="C513" s="796"/>
      <c r="D513" s="796"/>
      <c r="E513" s="796"/>
      <c r="F513" s="795"/>
      <c r="G513" s="795"/>
      <c r="H513" s="795"/>
      <c r="I513" s="795"/>
      <c r="J513" s="795"/>
      <c r="K513" s="795"/>
      <c r="L513" s="795"/>
      <c r="M513" s="795"/>
      <c r="N513" s="795"/>
      <c r="O513" s="795"/>
      <c r="P513" s="795"/>
      <c r="Q513" s="795"/>
      <c r="R513" s="795"/>
      <c r="S513" s="795"/>
      <c r="T513" s="795"/>
      <c r="U513" s="795"/>
      <c r="V513" s="795"/>
      <c r="W513" s="795"/>
      <c r="X513" s="795"/>
      <c r="Y513" s="795"/>
      <c r="Z513" s="795"/>
      <c r="AA513" s="795"/>
      <c r="AB513" s="795"/>
      <c r="AC513" s="795"/>
      <c r="AD513" s="795"/>
      <c r="AE513" s="795"/>
      <c r="AF513" s="795"/>
      <c r="AG513" s="795"/>
      <c r="AH513" s="795"/>
      <c r="AI513" s="795"/>
      <c r="AJ513" s="795"/>
      <c r="AK513" s="795"/>
      <c r="AL513" s="795"/>
      <c r="AM513" s="796"/>
      <c r="AN513" s="796"/>
    </row>
    <row r="514" spans="1:40" s="792" customFormat="1" ht="14.25" customHeight="1">
      <c r="A514" s="989" t="s">
        <v>632</v>
      </c>
      <c r="B514" s="791"/>
      <c r="C514" s="791"/>
      <c r="D514" s="791"/>
      <c r="E514" s="791"/>
      <c r="F514" s="790"/>
      <c r="G514" s="790"/>
      <c r="H514" s="790"/>
      <c r="I514" s="790"/>
      <c r="J514" s="790"/>
      <c r="K514" s="790"/>
      <c r="L514" s="790"/>
      <c r="M514" s="790"/>
      <c r="N514" s="790"/>
      <c r="O514" s="790"/>
      <c r="P514" s="790"/>
      <c r="Q514" s="790"/>
      <c r="R514" s="790"/>
      <c r="S514" s="790"/>
      <c r="T514" s="790"/>
      <c r="U514" s="790"/>
      <c r="V514" s="790"/>
      <c r="W514" s="790"/>
      <c r="X514" s="790"/>
      <c r="Y514" s="790"/>
      <c r="Z514" s="790"/>
      <c r="AA514" s="790"/>
      <c r="AB514" s="790"/>
      <c r="AC514" s="790"/>
      <c r="AD514" s="790"/>
      <c r="AE514" s="790"/>
      <c r="AF514" s="790"/>
      <c r="AG514" s="790"/>
      <c r="AH514" s="790"/>
      <c r="AI514" s="790"/>
      <c r="AJ514" s="790"/>
      <c r="AK514" s="790"/>
      <c r="AL514" s="790"/>
      <c r="AM514" s="791"/>
      <c r="AN514" s="791"/>
    </row>
    <row r="515" spans="1:40" ht="12.6">
      <c r="A515" s="990" t="s">
        <v>633</v>
      </c>
      <c r="B515" s="991" t="s">
        <v>121</v>
      </c>
      <c r="C515" s="991"/>
      <c r="D515" s="315"/>
      <c r="E515" s="991" t="s">
        <v>122</v>
      </c>
      <c r="F515" s="296">
        <f>'[5]Agriculture-Forestry-Fisheries'!C16</f>
        <v>14.51610461115424</v>
      </c>
      <c r="G515" s="296">
        <f>'[5]Agriculture-Forestry-Fisheries'!D16</f>
        <v>14.613541873043275</v>
      </c>
      <c r="H515" s="296">
        <f>'[5]Agriculture-Forestry-Fisheries'!E16</f>
        <v>14.710979134932311</v>
      </c>
      <c r="I515" s="296">
        <f>'[5]Agriculture-Forestry-Fisheries'!F16</f>
        <v>14.808416396821345</v>
      </c>
      <c r="J515" s="296">
        <f>'[5]Agriculture-Forestry-Fisheries'!G16</f>
        <v>14.905853658710376</v>
      </c>
      <c r="K515" s="296">
        <f>'[5]Agriculture-Forestry-Fisheries'!H16</f>
        <v>15.370804161944458</v>
      </c>
      <c r="L515" s="296">
        <f>'[5]Agriculture-Forestry-Fisheries'!I16</f>
        <v>15.835754665178541</v>
      </c>
      <c r="M515" s="296">
        <f>'[5]Agriculture-Forestry-Fisheries'!J16</f>
        <v>16.300705168412623</v>
      </c>
      <c r="N515" s="296">
        <f>'[5]Agriculture-Forestry-Fisheries'!K16</f>
        <v>16.765655671646705</v>
      </c>
      <c r="O515" s="296">
        <f>'[5]Agriculture-Forestry-Fisheries'!L16</f>
        <v>16.70706794452007</v>
      </c>
      <c r="P515" s="296">
        <f>'[5]Agriculture-Forestry-Fisheries'!M16</f>
        <v>16.648480217393431</v>
      </c>
      <c r="Q515" s="296">
        <f>'[5]Agriculture-Forestry-Fisheries'!N16</f>
        <v>16.589892490266791</v>
      </c>
      <c r="R515" s="296">
        <f>'[5]Agriculture-Forestry-Fisheries'!O16</f>
        <v>16.531304763140149</v>
      </c>
      <c r="S515" s="296">
        <f>'[5]Agriculture-Forestry-Fisheries'!P16</f>
        <v>16.791419705544364</v>
      </c>
      <c r="T515" s="296">
        <f>'[5]Agriculture-Forestry-Fisheries'!Q16</f>
        <v>17.051534647948586</v>
      </c>
      <c r="U515" s="296">
        <f>'[5]Agriculture-Forestry-Fisheries'!R16</f>
        <v>17.3116495903528</v>
      </c>
      <c r="V515" s="296">
        <f>'[5]Agriculture-Forestry-Fisheries'!S16</f>
        <v>17.571764532757022</v>
      </c>
      <c r="W515" s="296">
        <f>'[5]Agriculture-Forestry-Fisheries'!T16</f>
        <v>43.219041792845402</v>
      </c>
      <c r="X515" s="296">
        <f>'[5]Agriculture-Forestry-Fisheries'!U16</f>
        <v>68.86631905293379</v>
      </c>
      <c r="Y515" s="296">
        <f>'[5]Agriculture-Forestry-Fisheries'!V16</f>
        <v>94.513596313022163</v>
      </c>
      <c r="Z515" s="296">
        <f>'[5]Agriculture-Forestry-Fisheries'!W16</f>
        <v>120.16087357311055</v>
      </c>
      <c r="AA515" s="296">
        <f>'[5]Agriculture-Forestry-Fisheries'!X16</f>
        <v>87.383066849444674</v>
      </c>
      <c r="AB515" s="296">
        <f>'[5]Agriculture-Forestry-Fisheries'!Y16</f>
        <v>144.34995474784191</v>
      </c>
      <c r="AC515" s="296">
        <f>'[5]Agriculture-Forestry-Fisheries'!Z16</f>
        <v>148.16572723994761</v>
      </c>
      <c r="AD515" s="296">
        <f>'[5]Agriculture-Forestry-Fisheries'!AA16</f>
        <v>84.451614259930892</v>
      </c>
      <c r="AE515" s="296">
        <f>'[5]Agriculture-Forestry-Fisheries'!AB16</f>
        <v>113.60553329934331</v>
      </c>
      <c r="AF515" s="296">
        <f>'[5]Agriculture-Forestry-Fisheries'!AC16</f>
        <v>112.67079984716325</v>
      </c>
      <c r="AG515" s="296">
        <f>'[5]Agriculture-Forestry-Fisheries'!AD16</f>
        <v>6.3394648580898867</v>
      </c>
      <c r="AH515" s="296">
        <f>'[5]Agriculture-Forestry-Fisheries'!AE16</f>
        <v>10.830156886277772</v>
      </c>
      <c r="AI515" s="296">
        <f>'[5]Agriculture-Forestry-Fisheries'!AF16</f>
        <v>4.6904051425291522</v>
      </c>
      <c r="AJ515" s="296">
        <f>'[5]Agriculture-Forestry-Fisheries'!AG16</f>
        <v>9.6090538443054623</v>
      </c>
      <c r="AK515" s="296">
        <f>'[5]Agriculture-Forestry-Fisheries'!AH16</f>
        <v>0.28673097130424557</v>
      </c>
      <c r="AL515" s="1070">
        <f>AK515</f>
        <v>0.28673097130424557</v>
      </c>
      <c r="AM515" s="315"/>
      <c r="AN515" s="315"/>
    </row>
    <row r="516" spans="1:40" ht="12.6">
      <c r="A516" s="990" t="s">
        <v>634</v>
      </c>
      <c r="B516" s="991" t="s">
        <v>124</v>
      </c>
      <c r="C516" s="991"/>
      <c r="D516" s="315"/>
      <c r="E516" s="315" t="s">
        <v>125</v>
      </c>
      <c r="F516" s="300" t="s">
        <v>126</v>
      </c>
      <c r="G516" s="300" t="s">
        <v>126</v>
      </c>
      <c r="H516" s="300" t="s">
        <v>126</v>
      </c>
      <c r="I516" s="300" t="s">
        <v>126</v>
      </c>
      <c r="J516" s="300" t="s">
        <v>126</v>
      </c>
      <c r="K516" s="300" t="s">
        <v>126</v>
      </c>
      <c r="L516" s="300" t="s">
        <v>126</v>
      </c>
      <c r="M516" s="300" t="s">
        <v>126</v>
      </c>
      <c r="N516" s="300" t="s">
        <v>126</v>
      </c>
      <c r="O516" s="300" t="s">
        <v>126</v>
      </c>
      <c r="P516" s="300" t="s">
        <v>126</v>
      </c>
      <c r="Q516" s="300" t="s">
        <v>126</v>
      </c>
      <c r="R516" s="300" t="s">
        <v>126</v>
      </c>
      <c r="S516" s="300" t="s">
        <v>126</v>
      </c>
      <c r="T516" s="300" t="s">
        <v>126</v>
      </c>
      <c r="U516" s="300" t="s">
        <v>126</v>
      </c>
      <c r="V516" s="300" t="s">
        <v>126</v>
      </c>
      <c r="W516" s="300" t="s">
        <v>126</v>
      </c>
      <c r="X516" s="300" t="s">
        <v>126</v>
      </c>
      <c r="Y516" s="300" t="s">
        <v>126</v>
      </c>
      <c r="Z516" s="300" t="s">
        <v>126</v>
      </c>
      <c r="AA516" s="300" t="s">
        <v>126</v>
      </c>
      <c r="AB516" s="300" t="s">
        <v>126</v>
      </c>
      <c r="AC516" s="300" t="s">
        <v>126</v>
      </c>
      <c r="AD516" s="300" t="s">
        <v>126</v>
      </c>
      <c r="AE516" s="300" t="s">
        <v>126</v>
      </c>
      <c r="AF516" s="300" t="s">
        <v>126</v>
      </c>
      <c r="AG516" s="300" t="s">
        <v>126</v>
      </c>
      <c r="AH516" s="300" t="s">
        <v>126</v>
      </c>
      <c r="AI516" s="300" t="s">
        <v>126</v>
      </c>
      <c r="AJ516" s="300" t="s">
        <v>126</v>
      </c>
      <c r="AK516" s="300" t="s">
        <v>126</v>
      </c>
      <c r="AL516" s="300" t="s">
        <v>126</v>
      </c>
      <c r="AM516" s="315"/>
      <c r="AN516" s="315"/>
    </row>
    <row r="517" spans="1:40" ht="12.6">
      <c r="A517" s="990" t="s">
        <v>635</v>
      </c>
      <c r="B517" s="991" t="s">
        <v>128</v>
      </c>
      <c r="C517" s="991"/>
      <c r="D517" s="991" t="s">
        <v>129</v>
      </c>
      <c r="E517" s="991" t="s">
        <v>130</v>
      </c>
      <c r="F517" s="296">
        <f>'[5]Agriculture-Forestry-Fisheries'!C21</f>
        <v>1.0922222289912096</v>
      </c>
      <c r="G517" s="296">
        <f>'[5]Agriculture-Forestry-Fisheries'!D21</f>
        <v>1.0826113027301612</v>
      </c>
      <c r="H517" s="296">
        <f>'[5]Agriculture-Forestry-Fisheries'!E21</f>
        <v>1.1030941088013893</v>
      </c>
      <c r="I517" s="296">
        <f>'[5]Agriculture-Forestry-Fisheries'!F21</f>
        <v>1.0998475534042005</v>
      </c>
      <c r="J517" s="296">
        <f>'[5]Agriculture-Forestry-Fisheries'!G21</f>
        <v>1.1099543370642728</v>
      </c>
      <c r="K517" s="296">
        <f>'[5]Agriculture-Forestry-Fisheries'!H21</f>
        <v>1.1244462840286644</v>
      </c>
      <c r="L517" s="296">
        <f>'[5]Agriculture-Forestry-Fisheries'!I21</f>
        <v>1.1874121092058116</v>
      </c>
      <c r="M517" s="296">
        <f>'[5]Agriculture-Forestry-Fisheries'!J21</f>
        <v>1.2268010111195493</v>
      </c>
      <c r="N517" s="296">
        <f>'[5]Agriculture-Forestry-Fisheries'!K21</f>
        <v>1.2822940160022951</v>
      </c>
      <c r="O517" s="296">
        <f>'[5]Agriculture-Forestry-Fisheries'!L21</f>
        <v>1.2923833351229033</v>
      </c>
      <c r="P517" s="296">
        <f>'[5]Agriculture-Forestry-Fisheries'!M21</f>
        <v>1.2663007860407598</v>
      </c>
      <c r="Q517" s="296">
        <f>'[5]Agriculture-Forestry-Fisheries'!N21</f>
        <v>1.2414792077481156</v>
      </c>
      <c r="R517" s="296">
        <f>'[5]Agriculture-Forestry-Fisheries'!O21</f>
        <v>1.2338061426650797</v>
      </c>
      <c r="S517" s="296">
        <f>'[5]Agriculture-Forestry-Fisheries'!P21</f>
        <v>1.2887533980744168</v>
      </c>
      <c r="T517" s="296">
        <f>'[5]Agriculture-Forestry-Fisheries'!Q21</f>
        <v>1.2992439274104985</v>
      </c>
      <c r="U517" s="296">
        <f>'[5]Agriculture-Forestry-Fisheries'!R21</f>
        <v>1.2907665162639783</v>
      </c>
      <c r="V517" s="296">
        <f>'[5]Agriculture-Forestry-Fisheries'!S21</f>
        <v>1.3259111355726871</v>
      </c>
      <c r="W517" s="296">
        <f>'[5]Agriculture-Forestry-Fisheries'!T21</f>
        <v>3.254450724480999</v>
      </c>
      <c r="X517" s="296">
        <f>'[5]Agriculture-Forestry-Fisheries'!U21</f>
        <v>5.1452538081110415</v>
      </c>
      <c r="Y517" s="296">
        <f>'[5]Agriculture-Forestry-Fisheries'!V21</f>
        <v>6.8813727926385893</v>
      </c>
      <c r="Z517" s="296">
        <f>'[5]Agriculture-Forestry-Fisheries'!W21</f>
        <v>8.7377921055093122</v>
      </c>
      <c r="AA517" s="296">
        <f>'[5]Agriculture-Forestry-Fisheries'!X21</f>
        <v>6.3401271721961718</v>
      </c>
      <c r="AB517" s="296">
        <f>'[5]Agriculture-Forestry-Fisheries'!Y21</f>
        <v>10.465181297343964</v>
      </c>
      <c r="AC517" s="296">
        <f>'[5]Agriculture-Forestry-Fisheries'!Z21</f>
        <v>10.787404891025231</v>
      </c>
      <c r="AD517" s="296">
        <f>'[5]Agriculture-Forestry-Fisheries'!AA21</f>
        <v>6.2337255640446525</v>
      </c>
      <c r="AE517" s="296">
        <f>'[5]Agriculture-Forestry-Fisheries'!AB21</f>
        <v>8.2677886926135198</v>
      </c>
      <c r="AF517" s="296">
        <f>'[5]Agriculture-Forestry-Fisheries'!AC21</f>
        <v>8.5836656663195203</v>
      </c>
      <c r="AG517" s="296">
        <f>'[5]Agriculture-Forestry-Fisheries'!AD21</f>
        <v>0.47724902112383821</v>
      </c>
      <c r="AH517" s="296">
        <f>'[5]Agriculture-Forestry-Fisheries'!AE21</f>
        <v>0.82878731636661862</v>
      </c>
      <c r="AI517" s="296">
        <f>'[5]Agriculture-Forestry-Fisheries'!AF21</f>
        <v>0.34748317706560394</v>
      </c>
      <c r="AJ517" s="296">
        <f>'[5]Agriculture-Forestry-Fisheries'!AG21</f>
        <v>0.66829276543558125</v>
      </c>
      <c r="AK517" s="296">
        <f>'[5]Agriculture-Forestry-Fisheries'!AH21</f>
        <v>2.0561812694127806E-2</v>
      </c>
      <c r="AL517" s="1070">
        <f>AK517</f>
        <v>2.0561812694127806E-2</v>
      </c>
      <c r="AM517" s="315"/>
      <c r="AN517" s="315"/>
    </row>
    <row r="518" spans="1:40" ht="12.6">
      <c r="A518" s="990" t="s">
        <v>636</v>
      </c>
      <c r="B518" s="991" t="s">
        <v>132</v>
      </c>
      <c r="C518" s="991"/>
      <c r="D518" s="991" t="s">
        <v>129</v>
      </c>
      <c r="E518" s="991" t="s">
        <v>130</v>
      </c>
      <c r="F518" s="799" t="s">
        <v>106</v>
      </c>
      <c r="G518" s="799" t="s">
        <v>106</v>
      </c>
      <c r="H518" s="799" t="s">
        <v>106</v>
      </c>
      <c r="I518" s="799" t="s">
        <v>106</v>
      </c>
      <c r="J518" s="799" t="s">
        <v>106</v>
      </c>
      <c r="K518" s="799" t="s">
        <v>106</v>
      </c>
      <c r="L518" s="799" t="s">
        <v>106</v>
      </c>
      <c r="M518" s="799" t="s">
        <v>106</v>
      </c>
      <c r="N518" s="799" t="s">
        <v>106</v>
      </c>
      <c r="O518" s="799" t="s">
        <v>106</v>
      </c>
      <c r="P518" s="799" t="s">
        <v>106</v>
      </c>
      <c r="Q518" s="799" t="s">
        <v>106</v>
      </c>
      <c r="R518" s="799" t="s">
        <v>106</v>
      </c>
      <c r="S518" s="799" t="s">
        <v>106</v>
      </c>
      <c r="T518" s="799" t="s">
        <v>106</v>
      </c>
      <c r="U518" s="799" t="s">
        <v>106</v>
      </c>
      <c r="V518" s="799" t="s">
        <v>106</v>
      </c>
      <c r="W518" s="799" t="s">
        <v>106</v>
      </c>
      <c r="X518" s="799" t="s">
        <v>106</v>
      </c>
      <c r="Y518" s="799" t="s">
        <v>106</v>
      </c>
      <c r="Z518" s="799" t="s">
        <v>106</v>
      </c>
      <c r="AA518" s="799" t="s">
        <v>106</v>
      </c>
      <c r="AB518" s="799" t="s">
        <v>106</v>
      </c>
      <c r="AC518" s="799" t="s">
        <v>106</v>
      </c>
      <c r="AD518" s="799" t="s">
        <v>106</v>
      </c>
      <c r="AE518" s="799" t="s">
        <v>106</v>
      </c>
      <c r="AF518" s="799" t="s">
        <v>106</v>
      </c>
      <c r="AG518" s="799" t="s">
        <v>106</v>
      </c>
      <c r="AH518" s="799" t="s">
        <v>106</v>
      </c>
      <c r="AI518" s="799" t="s">
        <v>106</v>
      </c>
      <c r="AJ518" s="799" t="s">
        <v>106</v>
      </c>
      <c r="AK518" s="799" t="s">
        <v>106</v>
      </c>
      <c r="AL518" s="799" t="s">
        <v>106</v>
      </c>
      <c r="AM518" s="315"/>
      <c r="AN518" s="315"/>
    </row>
    <row r="519" spans="1:40" ht="12.6">
      <c r="A519" s="990" t="s">
        <v>637</v>
      </c>
      <c r="B519" s="991" t="s">
        <v>134</v>
      </c>
      <c r="D519" s="315"/>
      <c r="E519" s="315"/>
      <c r="F519" s="800" t="s">
        <v>230</v>
      </c>
      <c r="G519" s="800" t="s">
        <v>230</v>
      </c>
      <c r="H519" s="800" t="s">
        <v>230</v>
      </c>
      <c r="I519" s="800" t="s">
        <v>230</v>
      </c>
      <c r="J519" s="800" t="s">
        <v>230</v>
      </c>
      <c r="K519" s="800" t="s">
        <v>230</v>
      </c>
      <c r="L519" s="800" t="s">
        <v>230</v>
      </c>
      <c r="M519" s="800" t="s">
        <v>230</v>
      </c>
      <c r="N519" s="800" t="s">
        <v>230</v>
      </c>
      <c r="O519" s="800" t="s">
        <v>230</v>
      </c>
      <c r="P519" s="800" t="s">
        <v>230</v>
      </c>
      <c r="Q519" s="800" t="s">
        <v>230</v>
      </c>
      <c r="R519" s="800" t="s">
        <v>230</v>
      </c>
      <c r="S519" s="800" t="s">
        <v>230</v>
      </c>
      <c r="T519" s="800" t="s">
        <v>230</v>
      </c>
      <c r="U519" s="800" t="s">
        <v>230</v>
      </c>
      <c r="V519" s="800" t="s">
        <v>230</v>
      </c>
      <c r="W519" s="800" t="s">
        <v>230</v>
      </c>
      <c r="X519" s="800" t="s">
        <v>230</v>
      </c>
      <c r="Y519" s="800" t="s">
        <v>230</v>
      </c>
      <c r="Z519" s="800" t="s">
        <v>230</v>
      </c>
      <c r="AA519" s="800" t="s">
        <v>230</v>
      </c>
      <c r="AB519" s="800" t="s">
        <v>230</v>
      </c>
      <c r="AC519" s="800" t="s">
        <v>230</v>
      </c>
      <c r="AD519" s="800" t="s">
        <v>230</v>
      </c>
      <c r="AE519" s="800" t="s">
        <v>230</v>
      </c>
      <c r="AF519" s="800" t="s">
        <v>230</v>
      </c>
      <c r="AG519" s="800" t="s">
        <v>230</v>
      </c>
      <c r="AH519" s="800" t="s">
        <v>230</v>
      </c>
      <c r="AI519" s="800" t="s">
        <v>230</v>
      </c>
      <c r="AJ519" s="800" t="s">
        <v>230</v>
      </c>
      <c r="AK519" s="800" t="s">
        <v>230</v>
      </c>
      <c r="AL519" s="800" t="s">
        <v>230</v>
      </c>
      <c r="AM519" s="315"/>
      <c r="AN519" s="315"/>
    </row>
    <row r="520" spans="1:40" s="792" customFormat="1" ht="14.25" customHeight="1">
      <c r="A520" s="989" t="s">
        <v>638</v>
      </c>
      <c r="B520" s="791"/>
      <c r="C520" s="791"/>
      <c r="D520" s="791"/>
      <c r="E520" s="791"/>
      <c r="F520" s="790"/>
      <c r="G520" s="790"/>
      <c r="H520" s="790"/>
      <c r="I520" s="790"/>
      <c r="J520" s="790"/>
      <c r="K520" s="790"/>
      <c r="L520" s="790"/>
      <c r="M520" s="790"/>
      <c r="N520" s="790"/>
      <c r="O520" s="790"/>
      <c r="P520" s="790"/>
      <c r="Q520" s="790"/>
      <c r="R520" s="790"/>
      <c r="S520" s="790"/>
      <c r="T520" s="790"/>
      <c r="U520" s="790"/>
      <c r="V520" s="790"/>
      <c r="W520" s="790"/>
      <c r="X520" s="790"/>
      <c r="Y520" s="790"/>
      <c r="Z520" s="790"/>
      <c r="AA520" s="790"/>
      <c r="AB520" s="790"/>
      <c r="AC520" s="790"/>
      <c r="AD520" s="790"/>
      <c r="AE520" s="790"/>
      <c r="AF520" s="790"/>
      <c r="AG520" s="790"/>
      <c r="AH520" s="790"/>
      <c r="AI520" s="790"/>
      <c r="AJ520" s="790"/>
      <c r="AK520" s="790"/>
      <c r="AL520" s="790"/>
      <c r="AM520" s="791"/>
      <c r="AN520" s="791"/>
    </row>
    <row r="521" spans="1:40" ht="12.6">
      <c r="A521" s="990" t="s">
        <v>639</v>
      </c>
      <c r="B521" s="991" t="s">
        <v>121</v>
      </c>
      <c r="C521" s="991"/>
      <c r="D521" s="315"/>
      <c r="E521" s="991" t="s">
        <v>122</v>
      </c>
      <c r="F521" s="296">
        <f>'[5]Agriculture-Forestry-Fisheries'!C17</f>
        <v>1853.9860721077112</v>
      </c>
      <c r="G521" s="296">
        <f>'[5]Agriculture-Forestry-Fisheries'!D17</f>
        <v>1809.2274305228693</v>
      </c>
      <c r="H521" s="296">
        <f>'[5]Agriculture-Forestry-Fisheries'!E17</f>
        <v>1764.4687889380275</v>
      </c>
      <c r="I521" s="296">
        <f>'[5]Agriculture-Forestry-Fisheries'!F17</f>
        <v>1719.7101473531857</v>
      </c>
      <c r="J521" s="296">
        <f>'[5]Agriculture-Forestry-Fisheries'!G17</f>
        <v>1674.9515057683441</v>
      </c>
      <c r="K521" s="296">
        <f>'[5]Agriculture-Forestry-Fisheries'!H17</f>
        <v>1636.8260638791655</v>
      </c>
      <c r="L521" s="296">
        <f>'[5]Agriculture-Forestry-Fisheries'!I17</f>
        <v>1598.700621989987</v>
      </c>
      <c r="M521" s="296">
        <f>'[5]Agriculture-Forestry-Fisheries'!J17</f>
        <v>1560.5751801008084</v>
      </c>
      <c r="N521" s="296">
        <f>'[5]Agriculture-Forestry-Fisheries'!K17</f>
        <v>1522.4497382116299</v>
      </c>
      <c r="O521" s="296">
        <f>'[5]Agriculture-Forestry-Fisheries'!L17</f>
        <v>1409.1524314726903</v>
      </c>
      <c r="P521" s="296">
        <f>'[5]Agriculture-Forestry-Fisheries'!M17</f>
        <v>1295.8551247337507</v>
      </c>
      <c r="Q521" s="296">
        <f>'[5]Agriculture-Forestry-Fisheries'!N17</f>
        <v>1182.5578179948111</v>
      </c>
      <c r="R521" s="296">
        <f>'[5]Agriculture-Forestry-Fisheries'!O17</f>
        <v>1069.2605112558713</v>
      </c>
      <c r="S521" s="296">
        <f>'[5]Agriculture-Forestry-Fisheries'!P17</f>
        <v>1088.7684073175988</v>
      </c>
      <c r="T521" s="296">
        <f>'[5]Agriculture-Forestry-Fisheries'!Q17</f>
        <v>1108.276303379326</v>
      </c>
      <c r="U521" s="296">
        <f>'[5]Agriculture-Forestry-Fisheries'!R17</f>
        <v>1127.7841994410535</v>
      </c>
      <c r="V521" s="296">
        <f>'[5]Agriculture-Forestry-Fisheries'!S17</f>
        <v>1147.292095502781</v>
      </c>
      <c r="W521" s="296">
        <f>'[5]Agriculture-Forestry-Fisheries'!T17</f>
        <v>1224.7830204451093</v>
      </c>
      <c r="X521" s="296">
        <f>'[5]Agriculture-Forestry-Fisheries'!U17</f>
        <v>1302.2739453874376</v>
      </c>
      <c r="Y521" s="296">
        <f>'[5]Agriculture-Forestry-Fisheries'!V17</f>
        <v>1379.7648703297659</v>
      </c>
      <c r="Z521" s="296">
        <f>'[5]Agriculture-Forestry-Fisheries'!W17</f>
        <v>1457.2557952720945</v>
      </c>
      <c r="AA521" s="296">
        <f>'[5]Agriculture-Forestry-Fisheries'!X17</f>
        <v>1373.460186917486</v>
      </c>
      <c r="AB521" s="296">
        <f>'[5]Agriculture-Forestry-Fisheries'!Y17</f>
        <v>1190.0521692999339</v>
      </c>
      <c r="AC521" s="296">
        <f>'[5]Agriculture-Forestry-Fisheries'!Z17</f>
        <v>1435.0501433124532</v>
      </c>
      <c r="AD521" s="296">
        <f>'[5]Agriculture-Forestry-Fisheries'!AA17</f>
        <v>1450.0061934187938</v>
      </c>
      <c r="AE521" s="296">
        <f>'[5]Agriculture-Forestry-Fisheries'!AB17</f>
        <v>1201.3724641193871</v>
      </c>
      <c r="AF521" s="296">
        <f>'[5]Agriculture-Forestry-Fisheries'!AC17</f>
        <v>287.08535747872622</v>
      </c>
      <c r="AG521" s="296">
        <f>'[5]Agriculture-Forestry-Fisheries'!AD17</f>
        <v>0</v>
      </c>
      <c r="AH521" s="296">
        <f>'[5]Agriculture-Forestry-Fisheries'!AE17</f>
        <v>0</v>
      </c>
      <c r="AI521" s="296">
        <f>'[5]Agriculture-Forestry-Fisheries'!AF17</f>
        <v>0</v>
      </c>
      <c r="AJ521" s="296">
        <f>'[5]Agriculture-Forestry-Fisheries'!AG17</f>
        <v>0</v>
      </c>
      <c r="AK521" s="296">
        <f>'[5]Agriculture-Forestry-Fisheries'!AH17</f>
        <v>0</v>
      </c>
      <c r="AL521" s="1070">
        <f>AK521</f>
        <v>0</v>
      </c>
      <c r="AM521" s="315"/>
      <c r="AN521" s="315"/>
    </row>
    <row r="522" spans="1:40" ht="12.6">
      <c r="A522" s="990" t="s">
        <v>640</v>
      </c>
      <c r="B522" s="991" t="s">
        <v>124</v>
      </c>
      <c r="C522" s="991"/>
      <c r="D522" s="315"/>
      <c r="E522" s="315" t="s">
        <v>125</v>
      </c>
      <c r="F522" s="300" t="s">
        <v>126</v>
      </c>
      <c r="G522" s="300" t="s">
        <v>126</v>
      </c>
      <c r="H522" s="300" t="s">
        <v>126</v>
      </c>
      <c r="I522" s="300" t="s">
        <v>126</v>
      </c>
      <c r="J522" s="300" t="s">
        <v>126</v>
      </c>
      <c r="K522" s="300" t="s">
        <v>126</v>
      </c>
      <c r="L522" s="300" t="s">
        <v>126</v>
      </c>
      <c r="M522" s="300" t="s">
        <v>126</v>
      </c>
      <c r="N522" s="300" t="s">
        <v>126</v>
      </c>
      <c r="O522" s="300" t="s">
        <v>126</v>
      </c>
      <c r="P522" s="300" t="s">
        <v>126</v>
      </c>
      <c r="Q522" s="300" t="s">
        <v>126</v>
      </c>
      <c r="R522" s="300" t="s">
        <v>126</v>
      </c>
      <c r="S522" s="300" t="s">
        <v>126</v>
      </c>
      <c r="T522" s="300" t="s">
        <v>126</v>
      </c>
      <c r="U522" s="300" t="s">
        <v>126</v>
      </c>
      <c r="V522" s="300" t="s">
        <v>126</v>
      </c>
      <c r="W522" s="300" t="s">
        <v>126</v>
      </c>
      <c r="X522" s="300" t="s">
        <v>126</v>
      </c>
      <c r="Y522" s="300" t="s">
        <v>126</v>
      </c>
      <c r="Z522" s="300" t="s">
        <v>126</v>
      </c>
      <c r="AA522" s="300" t="s">
        <v>126</v>
      </c>
      <c r="AB522" s="300" t="s">
        <v>126</v>
      </c>
      <c r="AC522" s="300" t="s">
        <v>126</v>
      </c>
      <c r="AD522" s="300" t="s">
        <v>126</v>
      </c>
      <c r="AE522" s="300" t="s">
        <v>126</v>
      </c>
      <c r="AF522" s="300" t="s">
        <v>126</v>
      </c>
      <c r="AG522" s="300" t="s">
        <v>126</v>
      </c>
      <c r="AH522" s="300" t="s">
        <v>126</v>
      </c>
      <c r="AI522" s="300" t="s">
        <v>126</v>
      </c>
      <c r="AJ522" s="300" t="s">
        <v>126</v>
      </c>
      <c r="AK522" s="300" t="s">
        <v>126</v>
      </c>
      <c r="AL522" s="300" t="s">
        <v>126</v>
      </c>
      <c r="AM522" s="315"/>
      <c r="AN522" s="315"/>
    </row>
    <row r="523" spans="1:40" ht="12.6">
      <c r="A523" s="990" t="s">
        <v>641</v>
      </c>
      <c r="B523" s="991" t="s">
        <v>128</v>
      </c>
      <c r="C523" s="991"/>
      <c r="D523" s="991" t="s">
        <v>129</v>
      </c>
      <c r="E523" s="991" t="s">
        <v>130</v>
      </c>
      <c r="F523" s="296">
        <f>'[5]Agriculture-Forestry-Fisheries'!C22</f>
        <v>166.27123664958575</v>
      </c>
      <c r="G523" s="296">
        <f>'[5]Agriculture-Forestry-Fisheries'!D22</f>
        <v>162.67362942393203</v>
      </c>
      <c r="H523" s="296">
        <f>'[5]Agriculture-Forestry-Fisheries'!E22</f>
        <v>158.55141534599906</v>
      </c>
      <c r="I523" s="296">
        <f>'[5]Agriculture-Forestry-Fisheries'!F22</f>
        <v>153.95395241813387</v>
      </c>
      <c r="J523" s="296">
        <f>'[5]Agriculture-Forestry-Fisheries'!G22</f>
        <v>149.95440133143035</v>
      </c>
      <c r="K523" s="296">
        <f>'[5]Agriculture-Forestry-Fisheries'!H22</f>
        <v>146.68683948383892</v>
      </c>
      <c r="L523" s="296">
        <f>'[5]Agriculture-Forestry-Fisheries'!I22</f>
        <v>143.03201438214225</v>
      </c>
      <c r="M523" s="296">
        <f>'[5]Agriculture-Forestry-Fisheries'!J22</f>
        <v>139.63909726274051</v>
      </c>
      <c r="N523" s="296">
        <f>'[5]Agriculture-Forestry-Fisheries'!K22</f>
        <v>136.42771437150603</v>
      </c>
      <c r="O523" s="296">
        <f>'[5]Agriculture-Forestry-Fisheries'!L22</f>
        <v>126.32941862550577</v>
      </c>
      <c r="P523" s="296">
        <f>'[5]Agriculture-Forestry-Fisheries'!M22</f>
        <v>115.90480221814872</v>
      </c>
      <c r="Q523" s="296">
        <f>'[5]Agriculture-Forestry-Fisheries'!N22</f>
        <v>105.43363583710683</v>
      </c>
      <c r="R523" s="296">
        <f>'[5]Agriculture-Forestry-Fisheries'!O22</f>
        <v>94.98849815111592</v>
      </c>
      <c r="S523" s="296">
        <f>'[5]Agriculture-Forestry-Fisheries'!P22</f>
        <v>96.642315401714015</v>
      </c>
      <c r="T523" s="296">
        <f>'[5]Agriculture-Forestry-Fisheries'!Q22</f>
        <v>98.402316416189322</v>
      </c>
      <c r="U523" s="296">
        <f>'[5]Agriculture-Forestry-Fisheries'!R22</f>
        <v>101.10047835113475</v>
      </c>
      <c r="V523" s="296">
        <f>'[5]Agriculture-Forestry-Fisheries'!S22</f>
        <v>103.00113657647432</v>
      </c>
      <c r="W523" s="296">
        <f>'[5]Agriculture-Forestry-Fisheries'!T22</f>
        <v>109.87102692070238</v>
      </c>
      <c r="X523" s="296">
        <f>'[5]Agriculture-Forestry-Fisheries'!U22</f>
        <v>116.81999247783338</v>
      </c>
      <c r="Y523" s="296">
        <f>'[5]Agriculture-Forestry-Fisheries'!V22</f>
        <v>124.01467486469393</v>
      </c>
      <c r="Z523" s="296">
        <f>'[5]Agriculture-Forestry-Fisheries'!W22</f>
        <v>130.97917771254967</v>
      </c>
      <c r="AA523" s="296">
        <f>'[5]Agriculture-Forestry-Fisheries'!X22</f>
        <v>123.54110096076217</v>
      </c>
      <c r="AB523" s="296">
        <f>'[5]Agriculture-Forestry-Fisheries'!Y22</f>
        <v>107.26444903774509</v>
      </c>
      <c r="AC523" s="296">
        <f>'[5]Agriculture-Forestry-Fisheries'!Z22</f>
        <v>129.29753291601301</v>
      </c>
      <c r="AD523" s="296">
        <f>'[5]Agriculture-Forestry-Fisheries'!AA22</f>
        <v>130.74648948193368</v>
      </c>
      <c r="AE523" s="296">
        <f>'[5]Agriculture-Forestry-Fisheries'!AB22</f>
        <v>108.57168354443699</v>
      </c>
      <c r="AF523" s="296">
        <f>'[5]Agriculture-Forestry-Fisheries'!AC22</f>
        <v>25.975129692468364</v>
      </c>
      <c r="AG523" s="296">
        <f>'[5]Agriculture-Forestry-Fisheries'!AD22</f>
        <v>0</v>
      </c>
      <c r="AH523" s="296">
        <f>'[5]Agriculture-Forestry-Fisheries'!AE22</f>
        <v>0</v>
      </c>
      <c r="AI523" s="296">
        <f>'[5]Agriculture-Forestry-Fisheries'!AF22</f>
        <v>0</v>
      </c>
      <c r="AJ523" s="296">
        <f>'[5]Agriculture-Forestry-Fisheries'!AG22</f>
        <v>0</v>
      </c>
      <c r="AK523" s="296">
        <f>'[5]Agriculture-Forestry-Fisheries'!AH22</f>
        <v>0</v>
      </c>
      <c r="AL523" s="1070">
        <f>AK523</f>
        <v>0</v>
      </c>
      <c r="AM523" s="315"/>
      <c r="AN523" s="315"/>
    </row>
    <row r="524" spans="1:40" ht="12.6">
      <c r="A524" s="990" t="s">
        <v>642</v>
      </c>
      <c r="B524" s="991" t="s">
        <v>132</v>
      </c>
      <c r="C524" s="991"/>
      <c r="D524" s="991" t="s">
        <v>129</v>
      </c>
      <c r="E524" s="991" t="s">
        <v>130</v>
      </c>
      <c r="F524" s="799" t="s">
        <v>106</v>
      </c>
      <c r="G524" s="799" t="s">
        <v>106</v>
      </c>
      <c r="H524" s="799" t="s">
        <v>106</v>
      </c>
      <c r="I524" s="799" t="s">
        <v>106</v>
      </c>
      <c r="J524" s="799" t="s">
        <v>106</v>
      </c>
      <c r="K524" s="799" t="s">
        <v>106</v>
      </c>
      <c r="L524" s="799" t="s">
        <v>106</v>
      </c>
      <c r="M524" s="799" t="s">
        <v>106</v>
      </c>
      <c r="N524" s="799" t="s">
        <v>106</v>
      </c>
      <c r="O524" s="799" t="s">
        <v>106</v>
      </c>
      <c r="P524" s="799" t="s">
        <v>106</v>
      </c>
      <c r="Q524" s="799" t="s">
        <v>106</v>
      </c>
      <c r="R524" s="799" t="s">
        <v>106</v>
      </c>
      <c r="S524" s="799" t="s">
        <v>106</v>
      </c>
      <c r="T524" s="799" t="s">
        <v>106</v>
      </c>
      <c r="U524" s="799" t="s">
        <v>106</v>
      </c>
      <c r="V524" s="799" t="s">
        <v>106</v>
      </c>
      <c r="W524" s="799" t="s">
        <v>106</v>
      </c>
      <c r="X524" s="799" t="s">
        <v>106</v>
      </c>
      <c r="Y524" s="799" t="s">
        <v>106</v>
      </c>
      <c r="Z524" s="799" t="s">
        <v>106</v>
      </c>
      <c r="AA524" s="799" t="s">
        <v>106</v>
      </c>
      <c r="AB524" s="799" t="s">
        <v>106</v>
      </c>
      <c r="AC524" s="799" t="s">
        <v>106</v>
      </c>
      <c r="AD524" s="799" t="s">
        <v>106</v>
      </c>
      <c r="AE524" s="799" t="s">
        <v>106</v>
      </c>
      <c r="AF524" s="799" t="s">
        <v>106</v>
      </c>
      <c r="AG524" s="799" t="s">
        <v>106</v>
      </c>
      <c r="AH524" s="799" t="s">
        <v>106</v>
      </c>
      <c r="AI524" s="799" t="s">
        <v>106</v>
      </c>
      <c r="AJ524" s="799" t="s">
        <v>106</v>
      </c>
      <c r="AK524" s="799" t="s">
        <v>106</v>
      </c>
      <c r="AL524" s="799" t="s">
        <v>106</v>
      </c>
      <c r="AM524" s="315"/>
      <c r="AN524" s="315"/>
    </row>
    <row r="525" spans="1:40" ht="12.6">
      <c r="A525" s="990" t="s">
        <v>643</v>
      </c>
      <c r="B525" s="991" t="s">
        <v>134</v>
      </c>
      <c r="D525" s="315"/>
      <c r="E525" s="315"/>
      <c r="F525" s="800" t="s">
        <v>230</v>
      </c>
      <c r="G525" s="800" t="s">
        <v>230</v>
      </c>
      <c r="H525" s="800" t="s">
        <v>230</v>
      </c>
      <c r="I525" s="800" t="s">
        <v>230</v>
      </c>
      <c r="J525" s="800" t="s">
        <v>230</v>
      </c>
      <c r="K525" s="800" t="s">
        <v>230</v>
      </c>
      <c r="L525" s="800" t="s">
        <v>230</v>
      </c>
      <c r="M525" s="800" t="s">
        <v>230</v>
      </c>
      <c r="N525" s="800" t="s">
        <v>230</v>
      </c>
      <c r="O525" s="800" t="s">
        <v>230</v>
      </c>
      <c r="P525" s="800" t="s">
        <v>230</v>
      </c>
      <c r="Q525" s="800" t="s">
        <v>230</v>
      </c>
      <c r="R525" s="800" t="s">
        <v>230</v>
      </c>
      <c r="S525" s="800" t="s">
        <v>230</v>
      </c>
      <c r="T525" s="800" t="s">
        <v>230</v>
      </c>
      <c r="U525" s="800" t="s">
        <v>230</v>
      </c>
      <c r="V525" s="800" t="s">
        <v>230</v>
      </c>
      <c r="W525" s="800" t="s">
        <v>230</v>
      </c>
      <c r="X525" s="800" t="s">
        <v>230</v>
      </c>
      <c r="Y525" s="800" t="s">
        <v>230</v>
      </c>
      <c r="Z525" s="800" t="s">
        <v>230</v>
      </c>
      <c r="AA525" s="800" t="s">
        <v>230</v>
      </c>
      <c r="AB525" s="800" t="s">
        <v>230</v>
      </c>
      <c r="AC525" s="800" t="s">
        <v>230</v>
      </c>
      <c r="AD525" s="800" t="s">
        <v>230</v>
      </c>
      <c r="AE525" s="800" t="s">
        <v>230</v>
      </c>
      <c r="AF525" s="800" t="s">
        <v>230</v>
      </c>
      <c r="AG525" s="800" t="s">
        <v>230</v>
      </c>
      <c r="AH525" s="800" t="s">
        <v>230</v>
      </c>
      <c r="AI525" s="800" t="s">
        <v>230</v>
      </c>
      <c r="AJ525" s="800" t="s">
        <v>230</v>
      </c>
      <c r="AK525" s="800" t="s">
        <v>230</v>
      </c>
      <c r="AL525" s="800" t="s">
        <v>230</v>
      </c>
      <c r="AM525" s="315"/>
      <c r="AN525" s="315"/>
    </row>
    <row r="526" spans="1:40" s="792" customFormat="1" ht="14.25" customHeight="1">
      <c r="A526" s="989" t="s">
        <v>644</v>
      </c>
      <c r="B526" s="791"/>
      <c r="C526" s="791"/>
      <c r="D526" s="791"/>
      <c r="E526" s="791"/>
      <c r="F526" s="790"/>
      <c r="G526" s="790"/>
      <c r="H526" s="790"/>
      <c r="I526" s="790"/>
      <c r="J526" s="790"/>
      <c r="K526" s="790"/>
      <c r="L526" s="790"/>
      <c r="M526" s="790"/>
      <c r="N526" s="790"/>
      <c r="O526" s="790"/>
      <c r="P526" s="790"/>
      <c r="Q526" s="790"/>
      <c r="R526" s="790"/>
      <c r="S526" s="790"/>
      <c r="T526" s="790"/>
      <c r="U526" s="790"/>
      <c r="V526" s="790"/>
      <c r="W526" s="790"/>
      <c r="X526" s="790"/>
      <c r="Y526" s="790"/>
      <c r="Z526" s="790"/>
      <c r="AA526" s="790"/>
      <c r="AB526" s="790"/>
      <c r="AC526" s="790"/>
      <c r="AD526" s="790"/>
      <c r="AE526" s="790"/>
      <c r="AF526" s="790"/>
      <c r="AG526" s="790"/>
      <c r="AH526" s="790"/>
      <c r="AI526" s="790"/>
      <c r="AJ526" s="790"/>
      <c r="AK526" s="790"/>
      <c r="AL526" s="790"/>
      <c r="AM526" s="791"/>
      <c r="AN526" s="791"/>
    </row>
    <row r="527" spans="1:40" ht="12.6">
      <c r="A527" s="990" t="s">
        <v>645</v>
      </c>
      <c r="B527" s="991" t="s">
        <v>121</v>
      </c>
      <c r="C527" s="991"/>
      <c r="D527" s="315"/>
      <c r="E527" s="991" t="s">
        <v>122</v>
      </c>
      <c r="F527" s="296">
        <f>'[5]Agriculture-Forestry-Fisheries'!C18</f>
        <v>3643.7994902306068</v>
      </c>
      <c r="G527" s="296">
        <f>'[5]Agriculture-Forestry-Fisheries'!D18</f>
        <v>3611.8887509695132</v>
      </c>
      <c r="H527" s="296">
        <f>'[5]Agriculture-Forestry-Fisheries'!E18</f>
        <v>3579.9780117084201</v>
      </c>
      <c r="I527" s="296">
        <f>'[5]Agriculture-Forestry-Fisheries'!F18</f>
        <v>3548.0672724473266</v>
      </c>
      <c r="J527" s="296">
        <f>'[5]Agriculture-Forestry-Fisheries'!G18</f>
        <v>3516.1565331862339</v>
      </c>
      <c r="K527" s="296">
        <f>'[5]Agriculture-Forestry-Fisheries'!H18</f>
        <v>3555.7109177234433</v>
      </c>
      <c r="L527" s="296">
        <f>'[5]Agriculture-Forestry-Fisheries'!I18</f>
        <v>3595.2653022606528</v>
      </c>
      <c r="M527" s="296">
        <f>'[5]Agriculture-Forestry-Fisheries'!J18</f>
        <v>3634.8196867978627</v>
      </c>
      <c r="N527" s="296">
        <f>'[5]Agriculture-Forestry-Fisheries'!K18</f>
        <v>3674.3740713350726</v>
      </c>
      <c r="O527" s="296">
        <f>'[5]Agriculture-Forestry-Fisheries'!L18</f>
        <v>3650.2870033609133</v>
      </c>
      <c r="P527" s="296">
        <f>'[5]Agriculture-Forestry-Fisheries'!M18</f>
        <v>3626.1999353867545</v>
      </c>
      <c r="Q527" s="296">
        <f>'[5]Agriculture-Forestry-Fisheries'!N18</f>
        <v>3602.1128674125953</v>
      </c>
      <c r="R527" s="296">
        <f>'[5]Agriculture-Forestry-Fisheries'!O18</f>
        <v>3578.025799438436</v>
      </c>
      <c r="S527" s="296">
        <f>'[5]Agriculture-Forestry-Fisheries'!P18</f>
        <v>3375.2624249257219</v>
      </c>
      <c r="T527" s="296">
        <f>'[5]Agriculture-Forestry-Fisheries'!Q18</f>
        <v>3172.4990504130078</v>
      </c>
      <c r="U527" s="296">
        <f>'[5]Agriculture-Forestry-Fisheries'!R18</f>
        <v>2969.7356759002942</v>
      </c>
      <c r="V527" s="296">
        <f>'[5]Agriculture-Forestry-Fisheries'!S18</f>
        <v>2766.97230138758</v>
      </c>
      <c r="W527" s="296">
        <f>'[5]Agriculture-Forestry-Fisheries'!T18</f>
        <v>2735.1873570277639</v>
      </c>
      <c r="X527" s="296">
        <f>'[5]Agriculture-Forestry-Fisheries'!U18</f>
        <v>2703.4024126679478</v>
      </c>
      <c r="Y527" s="296">
        <f>'[5]Agriculture-Forestry-Fisheries'!V18</f>
        <v>2671.6174683081322</v>
      </c>
      <c r="Z527" s="296">
        <f>'[5]Agriculture-Forestry-Fisheries'!W18</f>
        <v>2639.8325239483156</v>
      </c>
      <c r="AA527" s="296">
        <f>'[5]Agriculture-Forestry-Fisheries'!X18</f>
        <v>4033.37385474761</v>
      </c>
      <c r="AB527" s="296">
        <f>'[5]Agriculture-Forestry-Fisheries'!Y18</f>
        <v>4207.8719738952914</v>
      </c>
      <c r="AC527" s="296">
        <f>'[5]Agriculture-Forestry-Fisheries'!Z18</f>
        <v>4650.2769814351459</v>
      </c>
      <c r="AD527" s="296">
        <f>'[5]Agriculture-Forestry-Fisheries'!AA18</f>
        <v>4750.348213803798</v>
      </c>
      <c r="AE527" s="296">
        <f>'[5]Agriculture-Forestry-Fisheries'!AB18</f>
        <v>5696.3252897423517</v>
      </c>
      <c r="AF527" s="296">
        <f>'[5]Agriculture-Forestry-Fisheries'!AC18</f>
        <v>5735.4434838407196</v>
      </c>
      <c r="AG527" s="296">
        <f>'[5]Agriculture-Forestry-Fisheries'!AD18</f>
        <v>5754.2161606303644</v>
      </c>
      <c r="AH527" s="296">
        <f>'[5]Agriculture-Forestry-Fisheries'!AE18</f>
        <v>5539.6218565850277</v>
      </c>
      <c r="AI527" s="296">
        <f>'[5]Agriculture-Forestry-Fisheries'!AF18</f>
        <v>5293.2625369995385</v>
      </c>
      <c r="AJ527" s="296">
        <f>'[5]Agriculture-Forestry-Fisheries'!AG18</f>
        <v>3730.6106839396152</v>
      </c>
      <c r="AK527" s="296">
        <f>'[5]Agriculture-Forestry-Fisheries'!AH18</f>
        <v>4435.5554184856119</v>
      </c>
      <c r="AL527" s="1070">
        <f>AK527</f>
        <v>4435.5554184856119</v>
      </c>
      <c r="AM527" s="315"/>
      <c r="AN527" s="315"/>
    </row>
    <row r="528" spans="1:40" ht="12.6">
      <c r="A528" s="990" t="s">
        <v>646</v>
      </c>
      <c r="B528" s="991" t="s">
        <v>124</v>
      </c>
      <c r="C528" s="991"/>
      <c r="D528" s="315"/>
      <c r="E528" s="315" t="s">
        <v>125</v>
      </c>
      <c r="F528" s="300" t="s">
        <v>126</v>
      </c>
      <c r="G528" s="300" t="s">
        <v>126</v>
      </c>
      <c r="H528" s="300" t="s">
        <v>126</v>
      </c>
      <c r="I528" s="300" t="s">
        <v>126</v>
      </c>
      <c r="J528" s="300" t="s">
        <v>126</v>
      </c>
      <c r="K528" s="300" t="s">
        <v>126</v>
      </c>
      <c r="L528" s="300" t="s">
        <v>126</v>
      </c>
      <c r="M528" s="300" t="s">
        <v>126</v>
      </c>
      <c r="N528" s="300" t="s">
        <v>126</v>
      </c>
      <c r="O528" s="300" t="s">
        <v>126</v>
      </c>
      <c r="P528" s="300" t="s">
        <v>126</v>
      </c>
      <c r="Q528" s="300" t="s">
        <v>126</v>
      </c>
      <c r="R528" s="300" t="s">
        <v>126</v>
      </c>
      <c r="S528" s="300" t="s">
        <v>126</v>
      </c>
      <c r="T528" s="300" t="s">
        <v>126</v>
      </c>
      <c r="U528" s="300" t="s">
        <v>126</v>
      </c>
      <c r="V528" s="300" t="s">
        <v>126</v>
      </c>
      <c r="W528" s="300" t="s">
        <v>126</v>
      </c>
      <c r="X528" s="300" t="s">
        <v>126</v>
      </c>
      <c r="Y528" s="300" t="s">
        <v>126</v>
      </c>
      <c r="Z528" s="300" t="s">
        <v>126</v>
      </c>
      <c r="AA528" s="300" t="s">
        <v>126</v>
      </c>
      <c r="AB528" s="300" t="s">
        <v>126</v>
      </c>
      <c r="AC528" s="300" t="s">
        <v>126</v>
      </c>
      <c r="AD528" s="300" t="s">
        <v>126</v>
      </c>
      <c r="AE528" s="300" t="s">
        <v>126</v>
      </c>
      <c r="AF528" s="300" t="s">
        <v>126</v>
      </c>
      <c r="AG528" s="300" t="s">
        <v>126</v>
      </c>
      <c r="AH528" s="300" t="s">
        <v>126</v>
      </c>
      <c r="AI528" s="300" t="s">
        <v>126</v>
      </c>
      <c r="AJ528" s="300" t="s">
        <v>126</v>
      </c>
      <c r="AK528" s="300" t="s">
        <v>126</v>
      </c>
      <c r="AL528" s="300" t="s">
        <v>126</v>
      </c>
      <c r="AM528" s="315"/>
      <c r="AN528" s="315"/>
    </row>
    <row r="529" spans="1:40" ht="12.6">
      <c r="A529" s="990" t="s">
        <v>647</v>
      </c>
      <c r="B529" s="991" t="s">
        <v>128</v>
      </c>
      <c r="C529" s="991"/>
      <c r="D529" s="991" t="s">
        <v>129</v>
      </c>
      <c r="E529" s="991" t="s">
        <v>130</v>
      </c>
      <c r="F529" s="296">
        <f>'[5]Agriculture-Forestry-Fisheries'!C23</f>
        <v>190.50895335291435</v>
      </c>
      <c r="G529" s="296">
        <f>'[5]Agriculture-Forestry-Fisheries'!D23</f>
        <v>189.74904311156394</v>
      </c>
      <c r="H529" s="296">
        <f>'[5]Agriculture-Forestry-Fisheries'!E23</f>
        <v>187.17310755879882</v>
      </c>
      <c r="I529" s="296">
        <f>'[5]Agriculture-Forestry-Fisheries'!F23</f>
        <v>186.1574886088741</v>
      </c>
      <c r="J529" s="296">
        <f>'[5]Agriculture-Forestry-Fisheries'!G23</f>
        <v>184.05658400988679</v>
      </c>
      <c r="K529" s="296">
        <f>'[5]Agriculture-Forestry-Fisheries'!H23</f>
        <v>186.51408467291981</v>
      </c>
      <c r="L529" s="296">
        <f>'[5]Agriculture-Forestry-Fisheries'!I23</f>
        <v>187.18342683425266</v>
      </c>
      <c r="M529" s="296">
        <f>'[5]Agriculture-Forestry-Fisheries'!J23</f>
        <v>189.23394275938017</v>
      </c>
      <c r="N529" s="296">
        <f>'[5]Agriculture-Forestry-Fisheries'!K23</f>
        <v>191.31852117273519</v>
      </c>
      <c r="O529" s="296">
        <f>'[5]Agriculture-Forestry-Fisheries'!L23</f>
        <v>190.81074427720472</v>
      </c>
      <c r="P529" s="296">
        <f>'[5]Agriculture-Forestry-Fisheries'!M23</f>
        <v>189.13318035919454</v>
      </c>
      <c r="Q529" s="296">
        <f>'[5]Agriculture-Forestry-Fisheries'!N23</f>
        <v>188.55648395797013</v>
      </c>
      <c r="R529" s="296">
        <f>'[5]Agriculture-Forestry-Fisheries'!O23</f>
        <v>187.68658212475259</v>
      </c>
      <c r="S529" s="296">
        <f>'[5]Agriculture-Forestry-Fisheries'!P23</f>
        <v>175.62254394943562</v>
      </c>
      <c r="T529" s="296">
        <f>'[5]Agriculture-Forestry-Fisheries'!Q23</f>
        <v>164.98810107815945</v>
      </c>
      <c r="U529" s="296">
        <f>'[5]Agriculture-Forestry-Fisheries'!R23</f>
        <v>155.68013852425261</v>
      </c>
      <c r="V529" s="296">
        <f>'[5]Agriculture-Forestry-Fisheries'!S23</f>
        <v>143.95591219035649</v>
      </c>
      <c r="W529" s="296">
        <f>'[5]Agriculture-Forestry-Fisheries'!T23</f>
        <v>142.44660562477139</v>
      </c>
      <c r="X529" s="296">
        <f>'[5]Agriculture-Forestry-Fisheries'!U23</f>
        <v>141.71343436859175</v>
      </c>
      <c r="Y529" s="296">
        <f>'[5]Agriculture-Forestry-Fisheries'!V23</f>
        <v>142.12256701876842</v>
      </c>
      <c r="Z529" s="296">
        <f>'[5]Agriculture-Forestry-Fisheries'!W23</f>
        <v>139.91200620811392</v>
      </c>
      <c r="AA529" s="296">
        <f>'[5]Agriculture-Forestry-Fisheries'!X23</f>
        <v>213.60290576547408</v>
      </c>
      <c r="AB529" s="296">
        <f>'[5]Agriculture-Forestry-Fisheries'!Y23</f>
        <v>222.46176153807073</v>
      </c>
      <c r="AC529" s="296">
        <f>'[5]Agriculture-Forestry-Fisheries'!Z23</f>
        <v>244.06003406876289</v>
      </c>
      <c r="AD529" s="296">
        <f>'[5]Agriculture-Forestry-Fisheries'!AA23</f>
        <v>249.21430134312195</v>
      </c>
      <c r="AE529" s="296">
        <f>'[5]Agriculture-Forestry-Fisheries'!AB23</f>
        <v>299.28162609608262</v>
      </c>
      <c r="AF529" s="296">
        <f>'[5]Agriculture-Forestry-Fisheries'!AC23</f>
        <v>298.10585877891492</v>
      </c>
      <c r="AG529" s="296">
        <f>'[5]Agriculture-Forestry-Fisheries'!AD23</f>
        <v>299.63124587892833</v>
      </c>
      <c r="AH529" s="296">
        <f>'[5]Agriculture-Forestry-Fisheries'!AE23</f>
        <v>287.28088648855186</v>
      </c>
      <c r="AI529" s="296">
        <f>'[5]Agriculture-Forestry-Fisheries'!AF23</f>
        <v>276.05287952530455</v>
      </c>
      <c r="AJ529" s="296">
        <f>'[5]Agriculture-Forestry-Fisheries'!AG23</f>
        <v>196.95612724913101</v>
      </c>
      <c r="AK529" s="296">
        <f>'[5]Agriculture-Forestry-Fisheries'!AH23</f>
        <v>232.50040966023479</v>
      </c>
      <c r="AL529" s="1070">
        <f>AK529</f>
        <v>232.50040966023479</v>
      </c>
      <c r="AM529" s="315"/>
      <c r="AN529" s="315"/>
    </row>
    <row r="530" spans="1:40" ht="12.6">
      <c r="A530" s="990" t="s">
        <v>648</v>
      </c>
      <c r="B530" s="991" t="s">
        <v>132</v>
      </c>
      <c r="C530" s="991"/>
      <c r="D530" s="991" t="s">
        <v>129</v>
      </c>
      <c r="E530" s="991" t="s">
        <v>130</v>
      </c>
      <c r="F530" s="799" t="s">
        <v>106</v>
      </c>
      <c r="G530" s="799" t="s">
        <v>106</v>
      </c>
      <c r="H530" s="799" t="s">
        <v>106</v>
      </c>
      <c r="I530" s="799" t="s">
        <v>106</v>
      </c>
      <c r="J530" s="799" t="s">
        <v>106</v>
      </c>
      <c r="K530" s="799" t="s">
        <v>106</v>
      </c>
      <c r="L530" s="799" t="s">
        <v>106</v>
      </c>
      <c r="M530" s="799" t="s">
        <v>106</v>
      </c>
      <c r="N530" s="799" t="s">
        <v>106</v>
      </c>
      <c r="O530" s="799" t="s">
        <v>106</v>
      </c>
      <c r="P530" s="799" t="s">
        <v>106</v>
      </c>
      <c r="Q530" s="799" t="s">
        <v>106</v>
      </c>
      <c r="R530" s="799" t="s">
        <v>106</v>
      </c>
      <c r="S530" s="799" t="s">
        <v>106</v>
      </c>
      <c r="T530" s="799" t="s">
        <v>106</v>
      </c>
      <c r="U530" s="799" t="s">
        <v>106</v>
      </c>
      <c r="V530" s="799" t="s">
        <v>106</v>
      </c>
      <c r="W530" s="799" t="s">
        <v>106</v>
      </c>
      <c r="X530" s="799" t="s">
        <v>106</v>
      </c>
      <c r="Y530" s="799" t="s">
        <v>106</v>
      </c>
      <c r="Z530" s="799" t="s">
        <v>106</v>
      </c>
      <c r="AA530" s="799" t="s">
        <v>106</v>
      </c>
      <c r="AB530" s="799" t="s">
        <v>106</v>
      </c>
      <c r="AC530" s="799" t="s">
        <v>106</v>
      </c>
      <c r="AD530" s="799" t="s">
        <v>106</v>
      </c>
      <c r="AE530" s="799" t="s">
        <v>106</v>
      </c>
      <c r="AF530" s="799" t="s">
        <v>106</v>
      </c>
      <c r="AG530" s="799" t="s">
        <v>106</v>
      </c>
      <c r="AH530" s="799" t="s">
        <v>106</v>
      </c>
      <c r="AI530" s="799" t="s">
        <v>106</v>
      </c>
      <c r="AJ530" s="799" t="s">
        <v>106</v>
      </c>
      <c r="AK530" s="799" t="s">
        <v>106</v>
      </c>
      <c r="AL530" s="799" t="s">
        <v>106</v>
      </c>
      <c r="AM530" s="315"/>
      <c r="AN530" s="315"/>
    </row>
    <row r="531" spans="1:40" ht="12.6">
      <c r="A531" s="990" t="s">
        <v>649</v>
      </c>
      <c r="B531" s="991" t="s">
        <v>134</v>
      </c>
      <c r="D531" s="315"/>
      <c r="E531" s="315"/>
      <c r="F531" s="800" t="s">
        <v>230</v>
      </c>
      <c r="G531" s="800" t="s">
        <v>230</v>
      </c>
      <c r="H531" s="800" t="s">
        <v>230</v>
      </c>
      <c r="I531" s="800" t="s">
        <v>230</v>
      </c>
      <c r="J531" s="800" t="s">
        <v>230</v>
      </c>
      <c r="K531" s="800" t="s">
        <v>230</v>
      </c>
      <c r="L531" s="800" t="s">
        <v>230</v>
      </c>
      <c r="M531" s="800" t="s">
        <v>230</v>
      </c>
      <c r="N531" s="800" t="s">
        <v>230</v>
      </c>
      <c r="O531" s="800" t="s">
        <v>230</v>
      </c>
      <c r="P531" s="800" t="s">
        <v>230</v>
      </c>
      <c r="Q531" s="800" t="s">
        <v>230</v>
      </c>
      <c r="R531" s="800" t="s">
        <v>230</v>
      </c>
      <c r="S531" s="800" t="s">
        <v>230</v>
      </c>
      <c r="T531" s="800" t="s">
        <v>230</v>
      </c>
      <c r="U531" s="800" t="s">
        <v>230</v>
      </c>
      <c r="V531" s="800" t="s">
        <v>230</v>
      </c>
      <c r="W531" s="800" t="s">
        <v>230</v>
      </c>
      <c r="X531" s="800" t="s">
        <v>230</v>
      </c>
      <c r="Y531" s="800" t="s">
        <v>230</v>
      </c>
      <c r="Z531" s="800" t="s">
        <v>230</v>
      </c>
      <c r="AA531" s="800" t="s">
        <v>230</v>
      </c>
      <c r="AB531" s="800" t="s">
        <v>230</v>
      </c>
      <c r="AC531" s="800" t="s">
        <v>230</v>
      </c>
      <c r="AD531" s="800" t="s">
        <v>230</v>
      </c>
      <c r="AE531" s="800" t="s">
        <v>230</v>
      </c>
      <c r="AF531" s="800" t="s">
        <v>230</v>
      </c>
      <c r="AG531" s="800" t="s">
        <v>230</v>
      </c>
      <c r="AH531" s="800" t="s">
        <v>230</v>
      </c>
      <c r="AI531" s="800" t="s">
        <v>230</v>
      </c>
      <c r="AJ531" s="800" t="s">
        <v>230</v>
      </c>
      <c r="AK531" s="800" t="s">
        <v>230</v>
      </c>
      <c r="AL531" s="800" t="s">
        <v>230</v>
      </c>
      <c r="AM531" s="315"/>
      <c r="AN531" s="315"/>
    </row>
    <row r="532" spans="1:40" s="792" customFormat="1" ht="14.25" customHeight="1">
      <c r="A532" s="989" t="s">
        <v>650</v>
      </c>
      <c r="B532" s="791"/>
      <c r="C532" s="791"/>
      <c r="D532" s="791"/>
      <c r="E532" s="791"/>
      <c r="F532" s="790"/>
      <c r="G532" s="790"/>
      <c r="H532" s="790"/>
      <c r="I532" s="790"/>
      <c r="J532" s="790"/>
      <c r="K532" s="790"/>
      <c r="L532" s="790"/>
      <c r="M532" s="790"/>
      <c r="N532" s="790"/>
      <c r="O532" s="790"/>
      <c r="P532" s="790"/>
      <c r="Q532" s="790"/>
      <c r="R532" s="790"/>
      <c r="S532" s="790"/>
      <c r="T532" s="790"/>
      <c r="U532" s="790"/>
      <c r="V532" s="790"/>
      <c r="W532" s="790"/>
      <c r="X532" s="790"/>
      <c r="Y532" s="790"/>
      <c r="Z532" s="790"/>
      <c r="AA532" s="790"/>
      <c r="AB532" s="790"/>
      <c r="AC532" s="790"/>
      <c r="AD532" s="790"/>
      <c r="AE532" s="790"/>
      <c r="AF532" s="790"/>
      <c r="AG532" s="790"/>
      <c r="AH532" s="790"/>
      <c r="AI532" s="790"/>
      <c r="AJ532" s="790"/>
      <c r="AK532" s="790"/>
      <c r="AL532" s="790"/>
      <c r="AM532" s="791"/>
      <c r="AN532" s="791"/>
    </row>
    <row r="533" spans="1:40" ht="12.6">
      <c r="A533" s="990" t="s">
        <v>651</v>
      </c>
      <c r="B533" s="991" t="s">
        <v>121</v>
      </c>
      <c r="C533" s="991"/>
      <c r="D533" s="315"/>
      <c r="E533" s="991" t="s">
        <v>122</v>
      </c>
      <c r="F533" s="799" t="s">
        <v>108</v>
      </c>
      <c r="G533" s="799" t="s">
        <v>108</v>
      </c>
      <c r="H533" s="799" t="s">
        <v>108</v>
      </c>
      <c r="I533" s="799" t="s">
        <v>108</v>
      </c>
      <c r="J533" s="799" t="s">
        <v>108</v>
      </c>
      <c r="K533" s="799" t="s">
        <v>108</v>
      </c>
      <c r="L533" s="799" t="s">
        <v>108</v>
      </c>
      <c r="M533" s="799" t="s">
        <v>108</v>
      </c>
      <c r="N533" s="799" t="s">
        <v>108</v>
      </c>
      <c r="O533" s="799" t="s">
        <v>108</v>
      </c>
      <c r="P533" s="799" t="s">
        <v>108</v>
      </c>
      <c r="Q533" s="799" t="s">
        <v>108</v>
      </c>
      <c r="R533" s="799" t="s">
        <v>108</v>
      </c>
      <c r="S533" s="799" t="s">
        <v>108</v>
      </c>
      <c r="T533" s="799" t="s">
        <v>108</v>
      </c>
      <c r="U533" s="799" t="s">
        <v>108</v>
      </c>
      <c r="V533" s="799" t="s">
        <v>108</v>
      </c>
      <c r="W533" s="799" t="s">
        <v>108</v>
      </c>
      <c r="X533" s="799" t="s">
        <v>108</v>
      </c>
      <c r="Y533" s="799" t="s">
        <v>108</v>
      </c>
      <c r="Z533" s="799" t="s">
        <v>108</v>
      </c>
      <c r="AA533" s="799" t="s">
        <v>108</v>
      </c>
      <c r="AB533" s="799" t="s">
        <v>108</v>
      </c>
      <c r="AC533" s="799" t="s">
        <v>108</v>
      </c>
      <c r="AD533" s="799" t="s">
        <v>108</v>
      </c>
      <c r="AE533" s="799" t="s">
        <v>108</v>
      </c>
      <c r="AF533" s="799" t="s">
        <v>108</v>
      </c>
      <c r="AG533" s="799" t="s">
        <v>108</v>
      </c>
      <c r="AH533" s="799" t="s">
        <v>108</v>
      </c>
      <c r="AI533" s="799" t="s">
        <v>108</v>
      </c>
      <c r="AJ533" s="799" t="s">
        <v>108</v>
      </c>
      <c r="AK533" s="799" t="s">
        <v>108</v>
      </c>
      <c r="AL533" s="799" t="s">
        <v>108</v>
      </c>
      <c r="AM533" s="315"/>
      <c r="AN533" s="315"/>
    </row>
    <row r="534" spans="1:40" ht="12.6">
      <c r="A534" s="990" t="s">
        <v>652</v>
      </c>
      <c r="B534" s="991" t="s">
        <v>124</v>
      </c>
      <c r="C534" s="991"/>
      <c r="D534" s="315"/>
      <c r="E534" s="315" t="s">
        <v>125</v>
      </c>
      <c r="F534" s="799" t="s">
        <v>126</v>
      </c>
      <c r="G534" s="799" t="s">
        <v>126</v>
      </c>
      <c r="H534" s="799" t="s">
        <v>126</v>
      </c>
      <c r="I534" s="799" t="s">
        <v>126</v>
      </c>
      <c r="J534" s="799" t="s">
        <v>126</v>
      </c>
      <c r="K534" s="799" t="s">
        <v>126</v>
      </c>
      <c r="L534" s="799" t="s">
        <v>126</v>
      </c>
      <c r="M534" s="799" t="s">
        <v>126</v>
      </c>
      <c r="N534" s="799" t="s">
        <v>126</v>
      </c>
      <c r="O534" s="799" t="s">
        <v>126</v>
      </c>
      <c r="P534" s="799" t="s">
        <v>126</v>
      </c>
      <c r="Q534" s="799" t="s">
        <v>126</v>
      </c>
      <c r="R534" s="799" t="s">
        <v>126</v>
      </c>
      <c r="S534" s="799" t="s">
        <v>126</v>
      </c>
      <c r="T534" s="799" t="s">
        <v>126</v>
      </c>
      <c r="U534" s="799" t="s">
        <v>126</v>
      </c>
      <c r="V534" s="799" t="s">
        <v>126</v>
      </c>
      <c r="W534" s="799" t="s">
        <v>126</v>
      </c>
      <c r="X534" s="799" t="s">
        <v>126</v>
      </c>
      <c r="Y534" s="799" t="s">
        <v>126</v>
      </c>
      <c r="Z534" s="799" t="s">
        <v>126</v>
      </c>
      <c r="AA534" s="799" t="s">
        <v>126</v>
      </c>
      <c r="AB534" s="799" t="s">
        <v>126</v>
      </c>
      <c r="AC534" s="799" t="s">
        <v>126</v>
      </c>
      <c r="AD534" s="799" t="s">
        <v>126</v>
      </c>
      <c r="AE534" s="799" t="s">
        <v>126</v>
      </c>
      <c r="AF534" s="799" t="s">
        <v>126</v>
      </c>
      <c r="AG534" s="799" t="s">
        <v>126</v>
      </c>
      <c r="AH534" s="799" t="s">
        <v>126</v>
      </c>
      <c r="AI534" s="799" t="s">
        <v>126</v>
      </c>
      <c r="AJ534" s="799" t="s">
        <v>126</v>
      </c>
      <c r="AK534" s="799" t="s">
        <v>126</v>
      </c>
      <c r="AL534" s="799" t="s">
        <v>126</v>
      </c>
      <c r="AM534" s="315"/>
      <c r="AN534" s="315"/>
    </row>
    <row r="535" spans="1:40" ht="12.6">
      <c r="A535" s="990" t="s">
        <v>653</v>
      </c>
      <c r="B535" s="991" t="s">
        <v>128</v>
      </c>
      <c r="C535" s="991"/>
      <c r="D535" s="991" t="s">
        <v>129</v>
      </c>
      <c r="E535" s="991" t="s">
        <v>130</v>
      </c>
      <c r="F535" s="799" t="s">
        <v>108</v>
      </c>
      <c r="G535" s="799" t="s">
        <v>108</v>
      </c>
      <c r="H535" s="799" t="s">
        <v>108</v>
      </c>
      <c r="I535" s="799" t="s">
        <v>108</v>
      </c>
      <c r="J535" s="799" t="s">
        <v>108</v>
      </c>
      <c r="K535" s="799" t="s">
        <v>108</v>
      </c>
      <c r="L535" s="799" t="s">
        <v>108</v>
      </c>
      <c r="M535" s="799" t="s">
        <v>108</v>
      </c>
      <c r="N535" s="799" t="s">
        <v>108</v>
      </c>
      <c r="O535" s="799" t="s">
        <v>108</v>
      </c>
      <c r="P535" s="799" t="s">
        <v>108</v>
      </c>
      <c r="Q535" s="799" t="s">
        <v>108</v>
      </c>
      <c r="R535" s="799" t="s">
        <v>108</v>
      </c>
      <c r="S535" s="799" t="s">
        <v>108</v>
      </c>
      <c r="T535" s="799" t="s">
        <v>108</v>
      </c>
      <c r="U535" s="799" t="s">
        <v>108</v>
      </c>
      <c r="V535" s="799" t="s">
        <v>108</v>
      </c>
      <c r="W535" s="799" t="s">
        <v>108</v>
      </c>
      <c r="X535" s="799" t="s">
        <v>108</v>
      </c>
      <c r="Y535" s="799" t="s">
        <v>108</v>
      </c>
      <c r="Z535" s="799" t="s">
        <v>108</v>
      </c>
      <c r="AA535" s="799" t="s">
        <v>108</v>
      </c>
      <c r="AB535" s="799" t="s">
        <v>108</v>
      </c>
      <c r="AC535" s="799" t="s">
        <v>108</v>
      </c>
      <c r="AD535" s="799" t="s">
        <v>108</v>
      </c>
      <c r="AE535" s="799" t="s">
        <v>108</v>
      </c>
      <c r="AF535" s="799" t="s">
        <v>108</v>
      </c>
      <c r="AG535" s="799" t="s">
        <v>108</v>
      </c>
      <c r="AH535" s="799" t="s">
        <v>108</v>
      </c>
      <c r="AI535" s="799" t="s">
        <v>108</v>
      </c>
      <c r="AJ535" s="799" t="s">
        <v>108</v>
      </c>
      <c r="AK535" s="799" t="s">
        <v>108</v>
      </c>
      <c r="AL535" s="799" t="s">
        <v>108</v>
      </c>
      <c r="AM535" s="315"/>
      <c r="AN535" s="315"/>
    </row>
    <row r="536" spans="1:40" ht="12.6">
      <c r="A536" s="990" t="s">
        <v>654</v>
      </c>
      <c r="B536" s="991" t="s">
        <v>132</v>
      </c>
      <c r="C536" s="991"/>
      <c r="D536" s="991" t="s">
        <v>129</v>
      </c>
      <c r="E536" s="991" t="s">
        <v>130</v>
      </c>
      <c r="F536" s="794" t="s">
        <v>108</v>
      </c>
      <c r="G536" s="794" t="s">
        <v>108</v>
      </c>
      <c r="H536" s="794" t="s">
        <v>108</v>
      </c>
      <c r="I536" s="794" t="s">
        <v>108</v>
      </c>
      <c r="J536" s="794" t="s">
        <v>108</v>
      </c>
      <c r="K536" s="794" t="s">
        <v>108</v>
      </c>
      <c r="L536" s="794" t="s">
        <v>108</v>
      </c>
      <c r="M536" s="794" t="s">
        <v>108</v>
      </c>
      <c r="N536" s="794" t="s">
        <v>108</v>
      </c>
      <c r="O536" s="794" t="s">
        <v>108</v>
      </c>
      <c r="P536" s="794" t="s">
        <v>108</v>
      </c>
      <c r="Q536" s="794" t="s">
        <v>108</v>
      </c>
      <c r="R536" s="794" t="s">
        <v>108</v>
      </c>
      <c r="S536" s="794" t="s">
        <v>108</v>
      </c>
      <c r="T536" s="794" t="s">
        <v>108</v>
      </c>
      <c r="U536" s="794" t="s">
        <v>108</v>
      </c>
      <c r="V536" s="794" t="s">
        <v>108</v>
      </c>
      <c r="W536" s="794" t="s">
        <v>108</v>
      </c>
      <c r="X536" s="794" t="s">
        <v>108</v>
      </c>
      <c r="Y536" s="794" t="s">
        <v>108</v>
      </c>
      <c r="Z536" s="794" t="s">
        <v>108</v>
      </c>
      <c r="AA536" s="794" t="s">
        <v>108</v>
      </c>
      <c r="AB536" s="794" t="s">
        <v>108</v>
      </c>
      <c r="AC536" s="794" t="s">
        <v>108</v>
      </c>
      <c r="AD536" s="794" t="s">
        <v>108</v>
      </c>
      <c r="AE536" s="794" t="s">
        <v>108</v>
      </c>
      <c r="AF536" s="794" t="s">
        <v>108</v>
      </c>
      <c r="AG536" s="794" t="s">
        <v>108</v>
      </c>
      <c r="AH536" s="794" t="s">
        <v>108</v>
      </c>
      <c r="AI536" s="794" t="s">
        <v>108</v>
      </c>
      <c r="AJ536" s="794" t="s">
        <v>108</v>
      </c>
      <c r="AK536" s="794" t="s">
        <v>108</v>
      </c>
      <c r="AL536" s="794" t="s">
        <v>108</v>
      </c>
      <c r="AM536" s="315"/>
      <c r="AN536" s="315"/>
    </row>
    <row r="537" spans="1:40" ht="12.6">
      <c r="A537" s="990" t="s">
        <v>655</v>
      </c>
      <c r="B537" s="991" t="s">
        <v>134</v>
      </c>
      <c r="D537" s="315"/>
      <c r="E537" s="315"/>
      <c r="F537" s="801"/>
      <c r="G537" s="802"/>
      <c r="H537" s="802"/>
      <c r="I537" s="802"/>
      <c r="J537" s="802"/>
      <c r="K537" s="802"/>
      <c r="L537" s="802"/>
      <c r="M537" s="802"/>
      <c r="N537" s="802"/>
      <c r="O537" s="802"/>
      <c r="P537" s="802"/>
      <c r="Q537" s="802"/>
      <c r="R537" s="802"/>
      <c r="S537" s="802"/>
      <c r="T537" s="802"/>
      <c r="U537" s="802"/>
      <c r="V537" s="802"/>
      <c r="W537" s="802"/>
      <c r="X537" s="802"/>
      <c r="Y537" s="802"/>
      <c r="Z537" s="802"/>
      <c r="AA537" s="802"/>
      <c r="AB537" s="802"/>
      <c r="AC537" s="802"/>
      <c r="AD537" s="802"/>
      <c r="AE537" s="802"/>
      <c r="AF537" s="802"/>
      <c r="AG537" s="802"/>
      <c r="AH537" s="802"/>
      <c r="AI537" s="802"/>
      <c r="AJ537" s="802"/>
      <c r="AK537" s="802"/>
      <c r="AL537" s="802"/>
      <c r="AM537" s="315"/>
      <c r="AN537" s="315"/>
    </row>
    <row r="538" spans="1:40" s="792" customFormat="1" ht="14.25" customHeight="1">
      <c r="A538" s="989" t="s">
        <v>656</v>
      </c>
      <c r="B538" s="791"/>
      <c r="C538" s="791"/>
      <c r="D538" s="791"/>
      <c r="E538" s="791"/>
      <c r="F538" s="790"/>
      <c r="G538" s="790"/>
      <c r="H538" s="790"/>
      <c r="I538" s="790"/>
      <c r="J538" s="790"/>
      <c r="K538" s="790"/>
      <c r="L538" s="790"/>
      <c r="M538" s="790"/>
      <c r="N538" s="790"/>
      <c r="O538" s="790"/>
      <c r="P538" s="790"/>
      <c r="Q538" s="790"/>
      <c r="R538" s="790"/>
      <c r="S538" s="790"/>
      <c r="T538" s="790"/>
      <c r="U538" s="790"/>
      <c r="V538" s="790"/>
      <c r="W538" s="790"/>
      <c r="X538" s="790"/>
      <c r="Y538" s="790"/>
      <c r="Z538" s="790"/>
      <c r="AA538" s="790"/>
      <c r="AB538" s="790"/>
      <c r="AC538" s="790"/>
      <c r="AD538" s="790"/>
      <c r="AE538" s="790"/>
      <c r="AF538" s="790"/>
      <c r="AG538" s="790"/>
      <c r="AH538" s="790"/>
      <c r="AI538" s="790"/>
      <c r="AJ538" s="790"/>
      <c r="AK538" s="790"/>
      <c r="AL538" s="790"/>
      <c r="AM538" s="791"/>
      <c r="AN538" s="791"/>
    </row>
    <row r="539" spans="1:40" ht="12.6">
      <c r="A539" s="990" t="s">
        <v>657</v>
      </c>
      <c r="B539" s="991" t="s">
        <v>121</v>
      </c>
      <c r="C539" s="991"/>
      <c r="D539" s="315"/>
      <c r="E539" s="991" t="s">
        <v>122</v>
      </c>
      <c r="F539" s="300" t="s">
        <v>108</v>
      </c>
      <c r="G539" s="300" t="s">
        <v>108</v>
      </c>
      <c r="H539" s="300" t="s">
        <v>108</v>
      </c>
      <c r="I539" s="300" t="s">
        <v>108</v>
      </c>
      <c r="J539" s="300" t="s">
        <v>108</v>
      </c>
      <c r="K539" s="300" t="s">
        <v>108</v>
      </c>
      <c r="L539" s="300" t="s">
        <v>108</v>
      </c>
      <c r="M539" s="300" t="s">
        <v>108</v>
      </c>
      <c r="N539" s="300" t="s">
        <v>108</v>
      </c>
      <c r="O539" s="300" t="s">
        <v>108</v>
      </c>
      <c r="P539" s="300" t="s">
        <v>108</v>
      </c>
      <c r="Q539" s="300" t="s">
        <v>108</v>
      </c>
      <c r="R539" s="300" t="s">
        <v>108</v>
      </c>
      <c r="S539" s="300" t="s">
        <v>108</v>
      </c>
      <c r="T539" s="300" t="s">
        <v>108</v>
      </c>
      <c r="U539" s="300" t="s">
        <v>108</v>
      </c>
      <c r="V539" s="300" t="s">
        <v>108</v>
      </c>
      <c r="W539" s="300" t="s">
        <v>108</v>
      </c>
      <c r="X539" s="300" t="s">
        <v>108</v>
      </c>
      <c r="Y539" s="300" t="s">
        <v>108</v>
      </c>
      <c r="Z539" s="300" t="s">
        <v>108</v>
      </c>
      <c r="AA539" s="300" t="s">
        <v>108</v>
      </c>
      <c r="AB539" s="300" t="s">
        <v>108</v>
      </c>
      <c r="AC539" s="300" t="s">
        <v>108</v>
      </c>
      <c r="AD539" s="300" t="s">
        <v>108</v>
      </c>
      <c r="AE539" s="300" t="s">
        <v>108</v>
      </c>
      <c r="AF539" s="300" t="s">
        <v>108</v>
      </c>
      <c r="AG539" s="300" t="s">
        <v>108</v>
      </c>
      <c r="AH539" s="300" t="s">
        <v>108</v>
      </c>
      <c r="AI539" s="300" t="s">
        <v>108</v>
      </c>
      <c r="AJ539" s="300" t="s">
        <v>108</v>
      </c>
      <c r="AK539" s="300" t="s">
        <v>108</v>
      </c>
      <c r="AL539" s="300" t="s">
        <v>108</v>
      </c>
      <c r="AM539" s="315"/>
      <c r="AN539" s="315"/>
    </row>
    <row r="540" spans="1:40" ht="12.6">
      <c r="A540" s="990" t="s">
        <v>658</v>
      </c>
      <c r="B540" s="991" t="s">
        <v>124</v>
      </c>
      <c r="C540" s="991"/>
      <c r="D540" s="315"/>
      <c r="E540" s="315" t="s">
        <v>125</v>
      </c>
      <c r="F540" s="799" t="s">
        <v>126</v>
      </c>
      <c r="G540" s="799" t="s">
        <v>126</v>
      </c>
      <c r="H540" s="799" t="s">
        <v>126</v>
      </c>
      <c r="I540" s="799" t="s">
        <v>126</v>
      </c>
      <c r="J540" s="799" t="s">
        <v>126</v>
      </c>
      <c r="K540" s="799" t="s">
        <v>126</v>
      </c>
      <c r="L540" s="799" t="s">
        <v>126</v>
      </c>
      <c r="M540" s="799" t="s">
        <v>126</v>
      </c>
      <c r="N540" s="799" t="s">
        <v>126</v>
      </c>
      <c r="O540" s="799" t="s">
        <v>126</v>
      </c>
      <c r="P540" s="799" t="s">
        <v>126</v>
      </c>
      <c r="Q540" s="799" t="s">
        <v>126</v>
      </c>
      <c r="R540" s="799" t="s">
        <v>126</v>
      </c>
      <c r="S540" s="799" t="s">
        <v>126</v>
      </c>
      <c r="T540" s="799" t="s">
        <v>126</v>
      </c>
      <c r="U540" s="799" t="s">
        <v>126</v>
      </c>
      <c r="V540" s="799" t="s">
        <v>126</v>
      </c>
      <c r="W540" s="799" t="s">
        <v>126</v>
      </c>
      <c r="X540" s="799" t="s">
        <v>126</v>
      </c>
      <c r="Y540" s="799" t="s">
        <v>126</v>
      </c>
      <c r="Z540" s="799" t="s">
        <v>126</v>
      </c>
      <c r="AA540" s="799" t="s">
        <v>126</v>
      </c>
      <c r="AB540" s="799" t="s">
        <v>126</v>
      </c>
      <c r="AC540" s="799" t="s">
        <v>126</v>
      </c>
      <c r="AD540" s="799" t="s">
        <v>126</v>
      </c>
      <c r="AE540" s="799" t="s">
        <v>126</v>
      </c>
      <c r="AF540" s="799" t="s">
        <v>126</v>
      </c>
      <c r="AG540" s="799" t="s">
        <v>126</v>
      </c>
      <c r="AH540" s="799" t="s">
        <v>126</v>
      </c>
      <c r="AI540" s="799" t="s">
        <v>126</v>
      </c>
      <c r="AJ540" s="799" t="s">
        <v>126</v>
      </c>
      <c r="AK540" s="799" t="s">
        <v>126</v>
      </c>
      <c r="AL540" s="799" t="s">
        <v>126</v>
      </c>
      <c r="AM540" s="315"/>
      <c r="AN540" s="315"/>
    </row>
    <row r="541" spans="1:40" ht="12.6">
      <c r="A541" s="990" t="s">
        <v>659</v>
      </c>
      <c r="B541" s="991" t="s">
        <v>128</v>
      </c>
      <c r="C541" s="991"/>
      <c r="D541" s="991" t="s">
        <v>129</v>
      </c>
      <c r="E541" s="991" t="s">
        <v>130</v>
      </c>
      <c r="F541" s="300" t="s">
        <v>108</v>
      </c>
      <c r="G541" s="300" t="s">
        <v>108</v>
      </c>
      <c r="H541" s="300" t="s">
        <v>108</v>
      </c>
      <c r="I541" s="300" t="s">
        <v>108</v>
      </c>
      <c r="J541" s="300" t="s">
        <v>108</v>
      </c>
      <c r="K541" s="300" t="s">
        <v>108</v>
      </c>
      <c r="L541" s="300" t="s">
        <v>108</v>
      </c>
      <c r="M541" s="300" t="s">
        <v>108</v>
      </c>
      <c r="N541" s="300" t="s">
        <v>108</v>
      </c>
      <c r="O541" s="300" t="s">
        <v>108</v>
      </c>
      <c r="P541" s="300" t="s">
        <v>108</v>
      </c>
      <c r="Q541" s="300" t="s">
        <v>108</v>
      </c>
      <c r="R541" s="300" t="s">
        <v>108</v>
      </c>
      <c r="S541" s="300" t="s">
        <v>108</v>
      </c>
      <c r="T541" s="300" t="s">
        <v>108</v>
      </c>
      <c r="U541" s="300" t="s">
        <v>108</v>
      </c>
      <c r="V541" s="300" t="s">
        <v>108</v>
      </c>
      <c r="W541" s="300" t="s">
        <v>108</v>
      </c>
      <c r="X541" s="300" t="s">
        <v>108</v>
      </c>
      <c r="Y541" s="300" t="s">
        <v>108</v>
      </c>
      <c r="Z541" s="300" t="s">
        <v>108</v>
      </c>
      <c r="AA541" s="300" t="s">
        <v>108</v>
      </c>
      <c r="AB541" s="300" t="s">
        <v>108</v>
      </c>
      <c r="AC541" s="300" t="s">
        <v>108</v>
      </c>
      <c r="AD541" s="300" t="s">
        <v>108</v>
      </c>
      <c r="AE541" s="300" t="s">
        <v>108</v>
      </c>
      <c r="AF541" s="300" t="s">
        <v>108</v>
      </c>
      <c r="AG541" s="300" t="s">
        <v>108</v>
      </c>
      <c r="AH541" s="300" t="s">
        <v>108</v>
      </c>
      <c r="AI541" s="300" t="s">
        <v>108</v>
      </c>
      <c r="AJ541" s="300" t="s">
        <v>108</v>
      </c>
      <c r="AK541" s="300" t="s">
        <v>108</v>
      </c>
      <c r="AL541" s="300" t="s">
        <v>108</v>
      </c>
      <c r="AM541" s="315"/>
      <c r="AN541" s="315"/>
    </row>
    <row r="542" spans="1:40" ht="12.6">
      <c r="A542" s="990" t="s">
        <v>660</v>
      </c>
      <c r="B542" s="991" t="s">
        <v>132</v>
      </c>
      <c r="C542" s="991"/>
      <c r="D542" s="991" t="s">
        <v>129</v>
      </c>
      <c r="E542" s="991" t="s">
        <v>130</v>
      </c>
      <c r="F542" s="794" t="s">
        <v>108</v>
      </c>
      <c r="G542" s="794" t="s">
        <v>108</v>
      </c>
      <c r="H542" s="794" t="s">
        <v>108</v>
      </c>
      <c r="I542" s="794" t="s">
        <v>108</v>
      </c>
      <c r="J542" s="794" t="s">
        <v>108</v>
      </c>
      <c r="K542" s="794" t="s">
        <v>108</v>
      </c>
      <c r="L542" s="794" t="s">
        <v>108</v>
      </c>
      <c r="M542" s="794" t="s">
        <v>108</v>
      </c>
      <c r="N542" s="794" t="s">
        <v>108</v>
      </c>
      <c r="O542" s="794" t="s">
        <v>108</v>
      </c>
      <c r="P542" s="794" t="s">
        <v>108</v>
      </c>
      <c r="Q542" s="794" t="s">
        <v>108</v>
      </c>
      <c r="R542" s="794" t="s">
        <v>108</v>
      </c>
      <c r="S542" s="794" t="s">
        <v>108</v>
      </c>
      <c r="T542" s="794" t="s">
        <v>108</v>
      </c>
      <c r="U542" s="794" t="s">
        <v>108</v>
      </c>
      <c r="V542" s="794" t="s">
        <v>108</v>
      </c>
      <c r="W542" s="794" t="s">
        <v>108</v>
      </c>
      <c r="X542" s="794" t="s">
        <v>108</v>
      </c>
      <c r="Y542" s="794" t="s">
        <v>108</v>
      </c>
      <c r="Z542" s="794" t="s">
        <v>108</v>
      </c>
      <c r="AA542" s="794" t="s">
        <v>108</v>
      </c>
      <c r="AB542" s="794" t="s">
        <v>108</v>
      </c>
      <c r="AC542" s="794" t="s">
        <v>108</v>
      </c>
      <c r="AD542" s="794" t="s">
        <v>108</v>
      </c>
      <c r="AE542" s="794" t="s">
        <v>108</v>
      </c>
      <c r="AF542" s="794" t="s">
        <v>108</v>
      </c>
      <c r="AG542" s="794" t="s">
        <v>108</v>
      </c>
      <c r="AH542" s="794" t="s">
        <v>108</v>
      </c>
      <c r="AI542" s="794" t="s">
        <v>108</v>
      </c>
      <c r="AJ542" s="794" t="s">
        <v>108</v>
      </c>
      <c r="AK542" s="794" t="s">
        <v>108</v>
      </c>
      <c r="AL542" s="794" t="s">
        <v>108</v>
      </c>
      <c r="AM542" s="315"/>
      <c r="AN542" s="315"/>
    </row>
    <row r="543" spans="1:40" ht="12.6">
      <c r="A543" s="990" t="s">
        <v>661</v>
      </c>
      <c r="B543" s="991" t="s">
        <v>134</v>
      </c>
      <c r="D543" s="315"/>
      <c r="E543" s="315"/>
      <c r="F543" s="801"/>
      <c r="G543" s="802"/>
      <c r="H543" s="802"/>
      <c r="I543" s="802"/>
      <c r="J543" s="802"/>
      <c r="K543" s="802"/>
      <c r="L543" s="802"/>
      <c r="M543" s="802"/>
      <c r="N543" s="802"/>
      <c r="O543" s="802"/>
      <c r="P543" s="802"/>
      <c r="Q543" s="802"/>
      <c r="R543" s="802"/>
      <c r="S543" s="802"/>
      <c r="T543" s="802"/>
      <c r="U543" s="802"/>
      <c r="V543" s="802"/>
      <c r="W543" s="802"/>
      <c r="X543" s="802"/>
      <c r="Y543" s="802"/>
      <c r="Z543" s="802"/>
      <c r="AA543" s="802"/>
      <c r="AB543" s="802"/>
      <c r="AC543" s="802"/>
      <c r="AD543" s="802"/>
      <c r="AE543" s="802"/>
      <c r="AF543" s="802"/>
      <c r="AG543" s="802"/>
      <c r="AH543" s="802"/>
      <c r="AI543" s="802"/>
      <c r="AJ543" s="802"/>
      <c r="AK543" s="802"/>
      <c r="AL543" s="802"/>
      <c r="AM543" s="315"/>
      <c r="AN543" s="315"/>
    </row>
    <row r="544" spans="1:40" s="797" customFormat="1" ht="12.95">
      <c r="A544" s="992" t="s">
        <v>662</v>
      </c>
      <c r="B544" s="796"/>
      <c r="C544" s="796"/>
      <c r="D544" s="796"/>
      <c r="E544" s="796"/>
      <c r="F544" s="795"/>
      <c r="G544" s="795"/>
      <c r="H544" s="795"/>
      <c r="I544" s="795"/>
      <c r="J544" s="795"/>
      <c r="K544" s="795"/>
      <c r="L544" s="795"/>
      <c r="M544" s="795"/>
      <c r="N544" s="795"/>
      <c r="O544" s="795"/>
      <c r="P544" s="795"/>
      <c r="Q544" s="795"/>
      <c r="R544" s="795"/>
      <c r="S544" s="795"/>
      <c r="T544" s="795"/>
      <c r="U544" s="795"/>
      <c r="V544" s="795"/>
      <c r="W544" s="795"/>
      <c r="X544" s="795"/>
      <c r="Y544" s="795"/>
      <c r="Z544" s="795"/>
      <c r="AA544" s="795"/>
      <c r="AB544" s="795"/>
      <c r="AC544" s="795"/>
      <c r="AD544" s="795"/>
      <c r="AE544" s="795"/>
      <c r="AF544" s="795"/>
      <c r="AG544" s="795"/>
      <c r="AH544" s="795"/>
      <c r="AI544" s="795"/>
      <c r="AJ544" s="795"/>
      <c r="AK544" s="795"/>
      <c r="AL544" s="795"/>
      <c r="AM544" s="796"/>
      <c r="AN544" s="796"/>
    </row>
    <row r="545" spans="1:40" s="792" customFormat="1" ht="14.25" customHeight="1">
      <c r="A545" s="989" t="s">
        <v>663</v>
      </c>
      <c r="B545" s="791"/>
      <c r="C545" s="791"/>
      <c r="D545" s="791"/>
      <c r="E545" s="791"/>
      <c r="F545" s="790"/>
      <c r="G545" s="790"/>
      <c r="H545" s="790"/>
      <c r="I545" s="790"/>
      <c r="J545" s="790"/>
      <c r="K545" s="790"/>
      <c r="L545" s="790"/>
      <c r="M545" s="790"/>
      <c r="N545" s="790"/>
      <c r="O545" s="790"/>
      <c r="P545" s="790"/>
      <c r="Q545" s="790"/>
      <c r="R545" s="790"/>
      <c r="S545" s="790"/>
      <c r="T545" s="790"/>
      <c r="U545" s="790"/>
      <c r="V545" s="790"/>
      <c r="W545" s="790"/>
      <c r="X545" s="790"/>
      <c r="Y545" s="790"/>
      <c r="Z545" s="790"/>
      <c r="AA545" s="790"/>
      <c r="AB545" s="790"/>
      <c r="AC545" s="790"/>
      <c r="AD545" s="790"/>
      <c r="AE545" s="790"/>
      <c r="AF545" s="790"/>
      <c r="AG545" s="790"/>
      <c r="AH545" s="790"/>
      <c r="AI545" s="790"/>
      <c r="AJ545" s="790"/>
      <c r="AK545" s="790"/>
      <c r="AL545" s="790"/>
      <c r="AM545" s="791"/>
      <c r="AN545" s="791"/>
    </row>
    <row r="546" spans="1:40" ht="12.6">
      <c r="A546" s="990" t="s">
        <v>664</v>
      </c>
      <c r="B546" s="991" t="s">
        <v>121</v>
      </c>
      <c r="C546" s="991"/>
      <c r="D546" s="315"/>
      <c r="E546" s="991" t="s">
        <v>122</v>
      </c>
      <c r="F546" s="332" t="s">
        <v>99</v>
      </c>
      <c r="G546" s="332" t="s">
        <v>99</v>
      </c>
      <c r="H546" s="332" t="s">
        <v>99</v>
      </c>
      <c r="I546" s="332" t="s">
        <v>99</v>
      </c>
      <c r="J546" s="332" t="s">
        <v>99</v>
      </c>
      <c r="K546" s="332" t="s">
        <v>99</v>
      </c>
      <c r="L546" s="332" t="s">
        <v>99</v>
      </c>
      <c r="M546" s="332" t="s">
        <v>99</v>
      </c>
      <c r="N546" s="332" t="s">
        <v>99</v>
      </c>
      <c r="O546" s="332" t="s">
        <v>99</v>
      </c>
      <c r="P546" s="332" t="s">
        <v>99</v>
      </c>
      <c r="Q546" s="332" t="s">
        <v>99</v>
      </c>
      <c r="R546" s="332" t="s">
        <v>99</v>
      </c>
      <c r="S546" s="332" t="s">
        <v>99</v>
      </c>
      <c r="T546" s="332" t="s">
        <v>99</v>
      </c>
      <c r="U546" s="332" t="s">
        <v>99</v>
      </c>
      <c r="V546" s="332" t="s">
        <v>99</v>
      </c>
      <c r="W546" s="332" t="s">
        <v>99</v>
      </c>
      <c r="X546" s="332" t="s">
        <v>99</v>
      </c>
      <c r="Y546" s="332" t="s">
        <v>99</v>
      </c>
      <c r="Z546" s="332" t="s">
        <v>99</v>
      </c>
      <c r="AA546" s="332" t="s">
        <v>99</v>
      </c>
      <c r="AB546" s="332" t="s">
        <v>99</v>
      </c>
      <c r="AC546" s="332" t="s">
        <v>99</v>
      </c>
      <c r="AD546" s="332" t="s">
        <v>99</v>
      </c>
      <c r="AE546" s="332" t="s">
        <v>99</v>
      </c>
      <c r="AF546" s="332" t="s">
        <v>99</v>
      </c>
      <c r="AG546" s="332" t="s">
        <v>99</v>
      </c>
      <c r="AH546" s="332" t="s">
        <v>99</v>
      </c>
      <c r="AI546" s="332" t="s">
        <v>99</v>
      </c>
      <c r="AJ546" s="332" t="s">
        <v>99</v>
      </c>
      <c r="AK546" s="332" t="s">
        <v>99</v>
      </c>
      <c r="AL546" s="332" t="s">
        <v>99</v>
      </c>
      <c r="AM546" s="344" t="s">
        <v>665</v>
      </c>
      <c r="AN546" s="807"/>
    </row>
    <row r="547" spans="1:40" ht="12.6">
      <c r="A547" s="990" t="s">
        <v>666</v>
      </c>
      <c r="B547" s="991" t="s">
        <v>124</v>
      </c>
      <c r="C547" s="991"/>
      <c r="D547" s="315"/>
      <c r="E547" s="315" t="s">
        <v>125</v>
      </c>
      <c r="F547" s="332" t="s">
        <v>126</v>
      </c>
      <c r="G547" s="332" t="s">
        <v>126</v>
      </c>
      <c r="H547" s="332" t="s">
        <v>126</v>
      </c>
      <c r="I547" s="332" t="s">
        <v>126</v>
      </c>
      <c r="J547" s="332" t="s">
        <v>126</v>
      </c>
      <c r="K547" s="332" t="s">
        <v>126</v>
      </c>
      <c r="L547" s="332" t="s">
        <v>126</v>
      </c>
      <c r="M547" s="332" t="s">
        <v>126</v>
      </c>
      <c r="N547" s="332" t="s">
        <v>126</v>
      </c>
      <c r="O547" s="332" t="s">
        <v>126</v>
      </c>
      <c r="P547" s="332" t="s">
        <v>126</v>
      </c>
      <c r="Q547" s="332" t="s">
        <v>126</v>
      </c>
      <c r="R547" s="332" t="s">
        <v>126</v>
      </c>
      <c r="S547" s="332" t="s">
        <v>126</v>
      </c>
      <c r="T547" s="332" t="s">
        <v>126</v>
      </c>
      <c r="U547" s="332" t="s">
        <v>126</v>
      </c>
      <c r="V547" s="332" t="s">
        <v>126</v>
      </c>
      <c r="W547" s="332" t="s">
        <v>126</v>
      </c>
      <c r="X547" s="332" t="s">
        <v>126</v>
      </c>
      <c r="Y547" s="332" t="s">
        <v>126</v>
      </c>
      <c r="Z547" s="332" t="s">
        <v>126</v>
      </c>
      <c r="AA547" s="332" t="s">
        <v>126</v>
      </c>
      <c r="AB547" s="332" t="s">
        <v>126</v>
      </c>
      <c r="AC547" s="332" t="s">
        <v>126</v>
      </c>
      <c r="AD547" s="332" t="s">
        <v>126</v>
      </c>
      <c r="AE547" s="332" t="s">
        <v>126</v>
      </c>
      <c r="AF547" s="332" t="s">
        <v>126</v>
      </c>
      <c r="AG547" s="332" t="s">
        <v>126</v>
      </c>
      <c r="AH547" s="332" t="s">
        <v>126</v>
      </c>
      <c r="AI547" s="332" t="s">
        <v>126</v>
      </c>
      <c r="AJ547" s="332" t="s">
        <v>126</v>
      </c>
      <c r="AK547" s="332" t="s">
        <v>126</v>
      </c>
      <c r="AL547" s="332" t="s">
        <v>126</v>
      </c>
      <c r="AM547" s="315"/>
      <c r="AN547" s="315"/>
    </row>
    <row r="548" spans="1:40" ht="12.6">
      <c r="A548" s="990" t="s">
        <v>667</v>
      </c>
      <c r="B548" s="991" t="s">
        <v>128</v>
      </c>
      <c r="C548" s="991"/>
      <c r="D548" s="991" t="s">
        <v>129</v>
      </c>
      <c r="E548" s="991" t="s">
        <v>130</v>
      </c>
      <c r="F548" s="332" t="s">
        <v>99</v>
      </c>
      <c r="G548" s="332" t="s">
        <v>99</v>
      </c>
      <c r="H548" s="332" t="s">
        <v>99</v>
      </c>
      <c r="I548" s="332" t="s">
        <v>99</v>
      </c>
      <c r="J548" s="332" t="s">
        <v>99</v>
      </c>
      <c r="K548" s="332" t="s">
        <v>99</v>
      </c>
      <c r="L548" s="332" t="s">
        <v>99</v>
      </c>
      <c r="M548" s="332" t="s">
        <v>99</v>
      </c>
      <c r="N548" s="332" t="s">
        <v>99</v>
      </c>
      <c r="O548" s="332" t="s">
        <v>99</v>
      </c>
      <c r="P548" s="332" t="s">
        <v>99</v>
      </c>
      <c r="Q548" s="332" t="s">
        <v>99</v>
      </c>
      <c r="R548" s="332" t="s">
        <v>99</v>
      </c>
      <c r="S548" s="332" t="s">
        <v>99</v>
      </c>
      <c r="T548" s="332" t="s">
        <v>99</v>
      </c>
      <c r="U548" s="332" t="s">
        <v>99</v>
      </c>
      <c r="V548" s="332" t="s">
        <v>99</v>
      </c>
      <c r="W548" s="332" t="s">
        <v>99</v>
      </c>
      <c r="X548" s="332" t="s">
        <v>99</v>
      </c>
      <c r="Y548" s="332" t="s">
        <v>99</v>
      </c>
      <c r="Z548" s="332" t="s">
        <v>99</v>
      </c>
      <c r="AA548" s="332" t="s">
        <v>99</v>
      </c>
      <c r="AB548" s="332" t="s">
        <v>99</v>
      </c>
      <c r="AC548" s="332" t="s">
        <v>99</v>
      </c>
      <c r="AD548" s="332" t="s">
        <v>99</v>
      </c>
      <c r="AE548" s="332" t="s">
        <v>99</v>
      </c>
      <c r="AF548" s="332" t="s">
        <v>99</v>
      </c>
      <c r="AG548" s="332" t="s">
        <v>99</v>
      </c>
      <c r="AH548" s="332" t="s">
        <v>99</v>
      </c>
      <c r="AI548" s="332" t="s">
        <v>99</v>
      </c>
      <c r="AJ548" s="332" t="s">
        <v>99</v>
      </c>
      <c r="AK548" s="332" t="s">
        <v>99</v>
      </c>
      <c r="AL548" s="332" t="s">
        <v>99</v>
      </c>
      <c r="AM548" s="344" t="s">
        <v>665</v>
      </c>
      <c r="AN548" s="807"/>
    </row>
    <row r="549" spans="1:40" ht="12.6">
      <c r="A549" s="990" t="s">
        <v>668</v>
      </c>
      <c r="B549" s="991" t="s">
        <v>134</v>
      </c>
      <c r="D549" s="315"/>
      <c r="E549" s="315"/>
      <c r="F549" s="332"/>
      <c r="G549" s="332"/>
      <c r="H549" s="332"/>
      <c r="I549" s="332"/>
      <c r="J549" s="332"/>
      <c r="K549" s="332"/>
      <c r="L549" s="332"/>
      <c r="M549" s="332"/>
      <c r="N549" s="332"/>
      <c r="O549" s="332"/>
      <c r="P549" s="332"/>
      <c r="Q549" s="332"/>
      <c r="R549" s="332"/>
      <c r="S549" s="332"/>
      <c r="T549" s="332"/>
      <c r="U549" s="332"/>
      <c r="V549" s="332"/>
      <c r="W549" s="332"/>
      <c r="X549" s="332"/>
      <c r="Y549" s="332"/>
      <c r="Z549" s="332"/>
      <c r="AA549" s="332"/>
      <c r="AB549" s="332"/>
      <c r="AC549" s="332"/>
      <c r="AD549" s="332"/>
      <c r="AE549" s="332"/>
      <c r="AF549" s="332"/>
      <c r="AG549" s="332"/>
      <c r="AH549" s="332"/>
      <c r="AI549" s="332"/>
      <c r="AJ549" s="332"/>
      <c r="AK549" s="332"/>
      <c r="AL549" s="332"/>
      <c r="AM549" s="315"/>
      <c r="AN549" s="315"/>
    </row>
    <row r="550" spans="1:40" s="792" customFormat="1" ht="14.25" customHeight="1">
      <c r="A550" s="989" t="s">
        <v>669</v>
      </c>
      <c r="B550" s="791"/>
      <c r="C550" s="791"/>
      <c r="D550" s="791"/>
      <c r="E550" s="791"/>
      <c r="F550" s="790"/>
      <c r="G550" s="790"/>
      <c r="H550" s="790"/>
      <c r="I550" s="790"/>
      <c r="J550" s="790"/>
      <c r="K550" s="790"/>
      <c r="L550" s="790"/>
      <c r="M550" s="790"/>
      <c r="N550" s="790"/>
      <c r="O550" s="790"/>
      <c r="P550" s="790"/>
      <c r="Q550" s="790"/>
      <c r="R550" s="790"/>
      <c r="S550" s="790"/>
      <c r="T550" s="790"/>
      <c r="U550" s="790"/>
      <c r="V550" s="790"/>
      <c r="W550" s="790"/>
      <c r="X550" s="790"/>
      <c r="Y550" s="790"/>
      <c r="Z550" s="790"/>
      <c r="AA550" s="790"/>
      <c r="AB550" s="790"/>
      <c r="AC550" s="790"/>
      <c r="AD550" s="790"/>
      <c r="AE550" s="790"/>
      <c r="AF550" s="790"/>
      <c r="AG550" s="790"/>
      <c r="AH550" s="790"/>
      <c r="AI550" s="790"/>
      <c r="AJ550" s="790"/>
      <c r="AK550" s="790"/>
      <c r="AL550" s="790"/>
      <c r="AM550" s="791"/>
      <c r="AN550" s="791"/>
    </row>
    <row r="551" spans="1:40" ht="12.6">
      <c r="A551" s="990" t="s">
        <v>670</v>
      </c>
      <c r="B551" s="991" t="s">
        <v>121</v>
      </c>
      <c r="C551" s="991"/>
      <c r="D551" s="315"/>
      <c r="E551" s="991" t="s">
        <v>122</v>
      </c>
      <c r="F551" s="332" t="s">
        <v>99</v>
      </c>
      <c r="G551" s="332" t="s">
        <v>99</v>
      </c>
      <c r="H551" s="332" t="s">
        <v>99</v>
      </c>
      <c r="I551" s="332" t="s">
        <v>99</v>
      </c>
      <c r="J551" s="332" t="s">
        <v>99</v>
      </c>
      <c r="K551" s="332" t="s">
        <v>99</v>
      </c>
      <c r="L551" s="332" t="s">
        <v>99</v>
      </c>
      <c r="M551" s="332" t="s">
        <v>99</v>
      </c>
      <c r="N551" s="332" t="s">
        <v>99</v>
      </c>
      <c r="O551" s="332" t="s">
        <v>99</v>
      </c>
      <c r="P551" s="332" t="s">
        <v>99</v>
      </c>
      <c r="Q551" s="332" t="s">
        <v>99</v>
      </c>
      <c r="R551" s="332" t="s">
        <v>99</v>
      </c>
      <c r="S551" s="332" t="s">
        <v>99</v>
      </c>
      <c r="T551" s="332" t="s">
        <v>99</v>
      </c>
      <c r="U551" s="332" t="s">
        <v>99</v>
      </c>
      <c r="V551" s="332" t="s">
        <v>99</v>
      </c>
      <c r="W551" s="332" t="s">
        <v>99</v>
      </c>
      <c r="X551" s="332" t="s">
        <v>99</v>
      </c>
      <c r="Y551" s="332" t="s">
        <v>99</v>
      </c>
      <c r="Z551" s="332" t="s">
        <v>99</v>
      </c>
      <c r="AA551" s="332" t="s">
        <v>99</v>
      </c>
      <c r="AB551" s="332" t="s">
        <v>99</v>
      </c>
      <c r="AC551" s="332" t="s">
        <v>99</v>
      </c>
      <c r="AD551" s="332" t="s">
        <v>99</v>
      </c>
      <c r="AE551" s="332" t="s">
        <v>99</v>
      </c>
      <c r="AF551" s="332" t="s">
        <v>99</v>
      </c>
      <c r="AG551" s="332" t="s">
        <v>99</v>
      </c>
      <c r="AH551" s="332" t="s">
        <v>99</v>
      </c>
      <c r="AI551" s="332" t="s">
        <v>99</v>
      </c>
      <c r="AJ551" s="332" t="s">
        <v>99</v>
      </c>
      <c r="AK551" s="332" t="s">
        <v>99</v>
      </c>
      <c r="AL551" s="332" t="s">
        <v>99</v>
      </c>
      <c r="AM551" s="344" t="s">
        <v>665</v>
      </c>
      <c r="AN551" s="807"/>
    </row>
    <row r="552" spans="1:40" ht="12.6">
      <c r="A552" s="990" t="s">
        <v>671</v>
      </c>
      <c r="B552" s="991" t="s">
        <v>124</v>
      </c>
      <c r="C552" s="991"/>
      <c r="D552" s="315"/>
      <c r="E552" s="315" t="s">
        <v>125</v>
      </c>
      <c r="F552" s="332" t="s">
        <v>126</v>
      </c>
      <c r="G552" s="332" t="s">
        <v>126</v>
      </c>
      <c r="H552" s="332" t="s">
        <v>126</v>
      </c>
      <c r="I552" s="332" t="s">
        <v>126</v>
      </c>
      <c r="J552" s="332" t="s">
        <v>126</v>
      </c>
      <c r="K552" s="332" t="s">
        <v>126</v>
      </c>
      <c r="L552" s="332" t="s">
        <v>126</v>
      </c>
      <c r="M552" s="332" t="s">
        <v>126</v>
      </c>
      <c r="N552" s="332" t="s">
        <v>126</v>
      </c>
      <c r="O552" s="332" t="s">
        <v>126</v>
      </c>
      <c r="P552" s="332" t="s">
        <v>126</v>
      </c>
      <c r="Q552" s="332" t="s">
        <v>126</v>
      </c>
      <c r="R552" s="332" t="s">
        <v>126</v>
      </c>
      <c r="S552" s="332" t="s">
        <v>126</v>
      </c>
      <c r="T552" s="332" t="s">
        <v>126</v>
      </c>
      <c r="U552" s="332" t="s">
        <v>126</v>
      </c>
      <c r="V552" s="332" t="s">
        <v>126</v>
      </c>
      <c r="W552" s="332" t="s">
        <v>126</v>
      </c>
      <c r="X552" s="332" t="s">
        <v>126</v>
      </c>
      <c r="Y552" s="332" t="s">
        <v>126</v>
      </c>
      <c r="Z552" s="332" t="s">
        <v>126</v>
      </c>
      <c r="AA552" s="332" t="s">
        <v>126</v>
      </c>
      <c r="AB552" s="332" t="s">
        <v>126</v>
      </c>
      <c r="AC552" s="332" t="s">
        <v>126</v>
      </c>
      <c r="AD552" s="332" t="s">
        <v>126</v>
      </c>
      <c r="AE552" s="332" t="s">
        <v>126</v>
      </c>
      <c r="AF552" s="332" t="s">
        <v>126</v>
      </c>
      <c r="AG552" s="332" t="s">
        <v>126</v>
      </c>
      <c r="AH552" s="332" t="s">
        <v>126</v>
      </c>
      <c r="AI552" s="332" t="s">
        <v>126</v>
      </c>
      <c r="AJ552" s="332" t="s">
        <v>126</v>
      </c>
      <c r="AK552" s="332" t="s">
        <v>126</v>
      </c>
      <c r="AL552" s="332" t="s">
        <v>126</v>
      </c>
      <c r="AM552" s="315"/>
      <c r="AN552" s="315"/>
    </row>
    <row r="553" spans="1:40" ht="12.6">
      <c r="A553" s="990" t="s">
        <v>672</v>
      </c>
      <c r="B553" s="991" t="s">
        <v>128</v>
      </c>
      <c r="C553" s="991"/>
      <c r="D553" s="991" t="s">
        <v>129</v>
      </c>
      <c r="E553" s="991" t="s">
        <v>130</v>
      </c>
      <c r="F553" s="332" t="s">
        <v>99</v>
      </c>
      <c r="G553" s="332" t="s">
        <v>99</v>
      </c>
      <c r="H553" s="332" t="s">
        <v>99</v>
      </c>
      <c r="I553" s="332" t="s">
        <v>99</v>
      </c>
      <c r="J553" s="332" t="s">
        <v>99</v>
      </c>
      <c r="K553" s="332" t="s">
        <v>99</v>
      </c>
      <c r="L553" s="332" t="s">
        <v>99</v>
      </c>
      <c r="M553" s="332" t="s">
        <v>99</v>
      </c>
      <c r="N553" s="332" t="s">
        <v>99</v>
      </c>
      <c r="O553" s="332" t="s">
        <v>99</v>
      </c>
      <c r="P553" s="332" t="s">
        <v>99</v>
      </c>
      <c r="Q553" s="332" t="s">
        <v>99</v>
      </c>
      <c r="R553" s="332" t="s">
        <v>99</v>
      </c>
      <c r="S553" s="332" t="s">
        <v>99</v>
      </c>
      <c r="T553" s="332" t="s">
        <v>99</v>
      </c>
      <c r="U553" s="332" t="s">
        <v>99</v>
      </c>
      <c r="V553" s="332" t="s">
        <v>99</v>
      </c>
      <c r="W553" s="332" t="s">
        <v>99</v>
      </c>
      <c r="X553" s="332" t="s">
        <v>99</v>
      </c>
      <c r="Y553" s="332" t="s">
        <v>99</v>
      </c>
      <c r="Z553" s="332" t="s">
        <v>99</v>
      </c>
      <c r="AA553" s="332" t="s">
        <v>99</v>
      </c>
      <c r="AB553" s="332" t="s">
        <v>99</v>
      </c>
      <c r="AC553" s="332" t="s">
        <v>99</v>
      </c>
      <c r="AD553" s="332" t="s">
        <v>99</v>
      </c>
      <c r="AE553" s="332" t="s">
        <v>99</v>
      </c>
      <c r="AF553" s="332" t="s">
        <v>99</v>
      </c>
      <c r="AG553" s="332" t="s">
        <v>99</v>
      </c>
      <c r="AH553" s="332" t="s">
        <v>99</v>
      </c>
      <c r="AI553" s="332" t="s">
        <v>99</v>
      </c>
      <c r="AJ553" s="332" t="s">
        <v>99</v>
      </c>
      <c r="AK553" s="332" t="s">
        <v>99</v>
      </c>
      <c r="AL553" s="332" t="s">
        <v>99</v>
      </c>
      <c r="AM553" s="344" t="s">
        <v>665</v>
      </c>
      <c r="AN553" s="807"/>
    </row>
    <row r="554" spans="1:40" ht="12.6">
      <c r="A554" s="990" t="s">
        <v>673</v>
      </c>
      <c r="B554" s="991" t="s">
        <v>134</v>
      </c>
      <c r="D554" s="315"/>
      <c r="E554" s="315"/>
      <c r="F554" s="332"/>
      <c r="G554" s="332"/>
      <c r="H554" s="332"/>
      <c r="I554" s="332"/>
      <c r="J554" s="332"/>
      <c r="K554" s="332"/>
      <c r="L554" s="332"/>
      <c r="M554" s="332"/>
      <c r="N554" s="332"/>
      <c r="O554" s="332"/>
      <c r="P554" s="332"/>
      <c r="Q554" s="332"/>
      <c r="R554" s="332"/>
      <c r="S554" s="332"/>
      <c r="T554" s="332"/>
      <c r="U554" s="332"/>
      <c r="V554" s="332"/>
      <c r="W554" s="332"/>
      <c r="X554" s="332"/>
      <c r="Y554" s="332"/>
      <c r="Z554" s="332"/>
      <c r="AA554" s="332"/>
      <c r="AB554" s="332"/>
      <c r="AC554" s="332"/>
      <c r="AD554" s="332"/>
      <c r="AE554" s="332"/>
      <c r="AF554" s="332"/>
      <c r="AG554" s="332"/>
      <c r="AH554" s="332"/>
      <c r="AI554" s="332"/>
      <c r="AJ554" s="332"/>
      <c r="AK554" s="332"/>
      <c r="AL554" s="332"/>
      <c r="AM554" s="315"/>
      <c r="AN554" s="315"/>
    </row>
    <row r="555" spans="1:40" s="792" customFormat="1" ht="14.25" customHeight="1">
      <c r="A555" s="989" t="s">
        <v>674</v>
      </c>
      <c r="B555" s="791"/>
      <c r="C555" s="791"/>
      <c r="D555" s="791"/>
      <c r="E555" s="791"/>
      <c r="F555" s="790"/>
      <c r="G555" s="790"/>
      <c r="H555" s="790"/>
      <c r="I555" s="790"/>
      <c r="J555" s="790"/>
      <c r="K555" s="790"/>
      <c r="L555" s="790"/>
      <c r="M555" s="790"/>
      <c r="N555" s="790"/>
      <c r="O555" s="790"/>
      <c r="P555" s="790"/>
      <c r="Q555" s="790"/>
      <c r="R555" s="790"/>
      <c r="S555" s="790"/>
      <c r="T555" s="790"/>
      <c r="U555" s="790"/>
      <c r="V555" s="790"/>
      <c r="W555" s="790"/>
      <c r="X555" s="790"/>
      <c r="Y555" s="790"/>
      <c r="Z555" s="790"/>
      <c r="AA555" s="790"/>
      <c r="AB555" s="790"/>
      <c r="AC555" s="790"/>
      <c r="AD555" s="790"/>
      <c r="AE555" s="790"/>
      <c r="AF555" s="790"/>
      <c r="AG555" s="790"/>
      <c r="AH555" s="790"/>
      <c r="AI555" s="790"/>
      <c r="AJ555" s="790"/>
      <c r="AK555" s="790"/>
      <c r="AL555" s="790"/>
      <c r="AM555" s="791"/>
      <c r="AN555" s="791"/>
    </row>
    <row r="556" spans="1:40" ht="12.6">
      <c r="A556" s="990" t="s">
        <v>675</v>
      </c>
      <c r="B556" s="991" t="s">
        <v>121</v>
      </c>
      <c r="C556" s="991"/>
      <c r="D556" s="315"/>
      <c r="E556" s="991" t="s">
        <v>122</v>
      </c>
      <c r="F556" s="332" t="s">
        <v>99</v>
      </c>
      <c r="G556" s="332" t="s">
        <v>99</v>
      </c>
      <c r="H556" s="332" t="s">
        <v>99</v>
      </c>
      <c r="I556" s="332" t="s">
        <v>99</v>
      </c>
      <c r="J556" s="332" t="s">
        <v>99</v>
      </c>
      <c r="K556" s="332" t="s">
        <v>99</v>
      </c>
      <c r="L556" s="332" t="s">
        <v>99</v>
      </c>
      <c r="M556" s="332" t="s">
        <v>99</v>
      </c>
      <c r="N556" s="332" t="s">
        <v>99</v>
      </c>
      <c r="O556" s="332" t="s">
        <v>99</v>
      </c>
      <c r="P556" s="332" t="s">
        <v>99</v>
      </c>
      <c r="Q556" s="332" t="s">
        <v>99</v>
      </c>
      <c r="R556" s="332" t="s">
        <v>99</v>
      </c>
      <c r="S556" s="332" t="s">
        <v>99</v>
      </c>
      <c r="T556" s="332" t="s">
        <v>99</v>
      </c>
      <c r="U556" s="332" t="s">
        <v>99</v>
      </c>
      <c r="V556" s="332" t="s">
        <v>99</v>
      </c>
      <c r="W556" s="332" t="s">
        <v>99</v>
      </c>
      <c r="X556" s="332" t="s">
        <v>99</v>
      </c>
      <c r="Y556" s="332" t="s">
        <v>99</v>
      </c>
      <c r="Z556" s="332" t="s">
        <v>99</v>
      </c>
      <c r="AA556" s="332" t="s">
        <v>99</v>
      </c>
      <c r="AB556" s="332" t="s">
        <v>99</v>
      </c>
      <c r="AC556" s="332" t="s">
        <v>99</v>
      </c>
      <c r="AD556" s="332" t="s">
        <v>99</v>
      </c>
      <c r="AE556" s="332" t="s">
        <v>99</v>
      </c>
      <c r="AF556" s="332" t="s">
        <v>99</v>
      </c>
      <c r="AG556" s="332" t="s">
        <v>99</v>
      </c>
      <c r="AH556" s="332" t="s">
        <v>99</v>
      </c>
      <c r="AI556" s="332" t="s">
        <v>99</v>
      </c>
      <c r="AJ556" s="332" t="s">
        <v>99</v>
      </c>
      <c r="AK556" s="332" t="s">
        <v>99</v>
      </c>
      <c r="AL556" s="332" t="s">
        <v>99</v>
      </c>
      <c r="AM556" s="344" t="s">
        <v>665</v>
      </c>
      <c r="AN556" s="807"/>
    </row>
    <row r="557" spans="1:40" ht="12.6">
      <c r="A557" s="990" t="s">
        <v>676</v>
      </c>
      <c r="B557" s="991" t="s">
        <v>124</v>
      </c>
      <c r="C557" s="991"/>
      <c r="D557" s="315"/>
      <c r="E557" s="315" t="s">
        <v>125</v>
      </c>
      <c r="F557" s="332" t="s">
        <v>126</v>
      </c>
      <c r="G557" s="332" t="s">
        <v>126</v>
      </c>
      <c r="H557" s="332" t="s">
        <v>126</v>
      </c>
      <c r="I557" s="332" t="s">
        <v>126</v>
      </c>
      <c r="J557" s="332" t="s">
        <v>126</v>
      </c>
      <c r="K557" s="332" t="s">
        <v>126</v>
      </c>
      <c r="L557" s="332" t="s">
        <v>126</v>
      </c>
      <c r="M557" s="332" t="s">
        <v>126</v>
      </c>
      <c r="N557" s="332" t="s">
        <v>126</v>
      </c>
      <c r="O557" s="332" t="s">
        <v>126</v>
      </c>
      <c r="P557" s="332" t="s">
        <v>126</v>
      </c>
      <c r="Q557" s="332" t="s">
        <v>126</v>
      </c>
      <c r="R557" s="332" t="s">
        <v>126</v>
      </c>
      <c r="S557" s="332" t="s">
        <v>126</v>
      </c>
      <c r="T557" s="332" t="s">
        <v>126</v>
      </c>
      <c r="U557" s="332" t="s">
        <v>126</v>
      </c>
      <c r="V557" s="332" t="s">
        <v>126</v>
      </c>
      <c r="W557" s="332" t="s">
        <v>126</v>
      </c>
      <c r="X557" s="332" t="s">
        <v>126</v>
      </c>
      <c r="Y557" s="332" t="s">
        <v>126</v>
      </c>
      <c r="Z557" s="332" t="s">
        <v>126</v>
      </c>
      <c r="AA557" s="332" t="s">
        <v>126</v>
      </c>
      <c r="AB557" s="332" t="s">
        <v>126</v>
      </c>
      <c r="AC557" s="332" t="s">
        <v>126</v>
      </c>
      <c r="AD557" s="332" t="s">
        <v>126</v>
      </c>
      <c r="AE557" s="332" t="s">
        <v>126</v>
      </c>
      <c r="AF557" s="332" t="s">
        <v>126</v>
      </c>
      <c r="AG557" s="332" t="s">
        <v>126</v>
      </c>
      <c r="AH557" s="332" t="s">
        <v>126</v>
      </c>
      <c r="AI557" s="332" t="s">
        <v>126</v>
      </c>
      <c r="AJ557" s="332" t="s">
        <v>126</v>
      </c>
      <c r="AK557" s="332" t="s">
        <v>126</v>
      </c>
      <c r="AL557" s="332" t="s">
        <v>126</v>
      </c>
      <c r="AM557" s="315"/>
      <c r="AN557" s="315"/>
    </row>
    <row r="558" spans="1:40" ht="12.6">
      <c r="A558" s="990" t="s">
        <v>677</v>
      </c>
      <c r="B558" s="991" t="s">
        <v>128</v>
      </c>
      <c r="C558" s="991"/>
      <c r="D558" s="991" t="s">
        <v>129</v>
      </c>
      <c r="E558" s="991" t="s">
        <v>130</v>
      </c>
      <c r="F558" s="332" t="s">
        <v>99</v>
      </c>
      <c r="G558" s="332" t="s">
        <v>99</v>
      </c>
      <c r="H558" s="332" t="s">
        <v>99</v>
      </c>
      <c r="I558" s="332" t="s">
        <v>99</v>
      </c>
      <c r="J558" s="332" t="s">
        <v>99</v>
      </c>
      <c r="K558" s="332" t="s">
        <v>99</v>
      </c>
      <c r="L558" s="332" t="s">
        <v>99</v>
      </c>
      <c r="M558" s="332" t="s">
        <v>99</v>
      </c>
      <c r="N558" s="332" t="s">
        <v>99</v>
      </c>
      <c r="O558" s="332" t="s">
        <v>99</v>
      </c>
      <c r="P558" s="332" t="s">
        <v>99</v>
      </c>
      <c r="Q558" s="332" t="s">
        <v>99</v>
      </c>
      <c r="R558" s="332" t="s">
        <v>99</v>
      </c>
      <c r="S558" s="332" t="s">
        <v>99</v>
      </c>
      <c r="T558" s="332" t="s">
        <v>99</v>
      </c>
      <c r="U558" s="332" t="s">
        <v>99</v>
      </c>
      <c r="V558" s="332" t="s">
        <v>99</v>
      </c>
      <c r="W558" s="332" t="s">
        <v>99</v>
      </c>
      <c r="X558" s="332" t="s">
        <v>99</v>
      </c>
      <c r="Y558" s="332" t="s">
        <v>99</v>
      </c>
      <c r="Z558" s="332" t="s">
        <v>99</v>
      </c>
      <c r="AA558" s="332" t="s">
        <v>99</v>
      </c>
      <c r="AB558" s="332" t="s">
        <v>99</v>
      </c>
      <c r="AC558" s="332" t="s">
        <v>99</v>
      </c>
      <c r="AD558" s="332" t="s">
        <v>99</v>
      </c>
      <c r="AE558" s="332" t="s">
        <v>99</v>
      </c>
      <c r="AF558" s="332" t="s">
        <v>99</v>
      </c>
      <c r="AG558" s="332" t="s">
        <v>99</v>
      </c>
      <c r="AH558" s="332" t="s">
        <v>99</v>
      </c>
      <c r="AI558" s="332" t="s">
        <v>99</v>
      </c>
      <c r="AJ558" s="332" t="s">
        <v>99</v>
      </c>
      <c r="AK558" s="332" t="s">
        <v>99</v>
      </c>
      <c r="AL558" s="332" t="s">
        <v>99</v>
      </c>
      <c r="AM558" s="344" t="s">
        <v>665</v>
      </c>
      <c r="AN558" s="807"/>
    </row>
    <row r="559" spans="1:40" ht="12.6">
      <c r="A559" s="990" t="s">
        <v>678</v>
      </c>
      <c r="B559" s="991" t="s">
        <v>134</v>
      </c>
      <c r="D559" s="315"/>
      <c r="E559" s="315"/>
      <c r="F559" s="332"/>
      <c r="G559" s="332"/>
      <c r="H559" s="332"/>
      <c r="I559" s="332"/>
      <c r="J559" s="332"/>
      <c r="K559" s="332"/>
      <c r="L559" s="332"/>
      <c r="M559" s="332"/>
      <c r="N559" s="332"/>
      <c r="O559" s="332"/>
      <c r="P559" s="332"/>
      <c r="Q559" s="332"/>
      <c r="R559" s="332"/>
      <c r="S559" s="332"/>
      <c r="T559" s="332"/>
      <c r="U559" s="332"/>
      <c r="V559" s="332"/>
      <c r="W559" s="332"/>
      <c r="X559" s="332"/>
      <c r="Y559" s="332"/>
      <c r="Z559" s="332"/>
      <c r="AA559" s="332"/>
      <c r="AB559" s="332"/>
      <c r="AC559" s="332"/>
      <c r="AD559" s="332"/>
      <c r="AE559" s="332"/>
      <c r="AF559" s="332"/>
      <c r="AG559" s="332"/>
      <c r="AH559" s="332"/>
      <c r="AI559" s="332"/>
      <c r="AJ559" s="332"/>
      <c r="AK559" s="332"/>
      <c r="AL559" s="332"/>
      <c r="AM559" s="315"/>
      <c r="AN559" s="315"/>
    </row>
    <row r="560" spans="1:40" s="792" customFormat="1" ht="14.25" customHeight="1">
      <c r="A560" s="989" t="s">
        <v>679</v>
      </c>
      <c r="B560" s="791"/>
      <c r="C560" s="791"/>
      <c r="D560" s="791"/>
      <c r="E560" s="791"/>
      <c r="F560" s="790"/>
      <c r="G560" s="790"/>
      <c r="H560" s="790"/>
      <c r="I560" s="790"/>
      <c r="J560" s="790"/>
      <c r="K560" s="790"/>
      <c r="L560" s="790"/>
      <c r="M560" s="790"/>
      <c r="N560" s="790"/>
      <c r="O560" s="790"/>
      <c r="P560" s="790"/>
      <c r="Q560" s="790"/>
      <c r="R560" s="790"/>
      <c r="S560" s="790"/>
      <c r="T560" s="790"/>
      <c r="U560" s="790"/>
      <c r="V560" s="790"/>
      <c r="W560" s="790"/>
      <c r="X560" s="790"/>
      <c r="Y560" s="790"/>
      <c r="Z560" s="790"/>
      <c r="AA560" s="790"/>
      <c r="AB560" s="790"/>
      <c r="AC560" s="790"/>
      <c r="AD560" s="790"/>
      <c r="AE560" s="790"/>
      <c r="AF560" s="790"/>
      <c r="AG560" s="790"/>
      <c r="AH560" s="790"/>
      <c r="AI560" s="790"/>
      <c r="AJ560" s="790"/>
      <c r="AK560" s="790"/>
      <c r="AL560" s="790"/>
      <c r="AM560" s="791"/>
      <c r="AN560" s="791"/>
    </row>
    <row r="561" spans="1:40" ht="12.6">
      <c r="A561" s="990" t="s">
        <v>680</v>
      </c>
      <c r="B561" s="991" t="s">
        <v>121</v>
      </c>
      <c r="C561" s="991"/>
      <c r="D561" s="315"/>
      <c r="E561" s="991" t="s">
        <v>122</v>
      </c>
      <c r="F561" s="332" t="s">
        <v>99</v>
      </c>
      <c r="G561" s="332" t="s">
        <v>99</v>
      </c>
      <c r="H561" s="332" t="s">
        <v>99</v>
      </c>
      <c r="I561" s="332" t="s">
        <v>99</v>
      </c>
      <c r="J561" s="332" t="s">
        <v>99</v>
      </c>
      <c r="K561" s="332" t="s">
        <v>99</v>
      </c>
      <c r="L561" s="332" t="s">
        <v>99</v>
      </c>
      <c r="M561" s="332" t="s">
        <v>99</v>
      </c>
      <c r="N561" s="332" t="s">
        <v>99</v>
      </c>
      <c r="O561" s="332" t="s">
        <v>99</v>
      </c>
      <c r="P561" s="332" t="s">
        <v>99</v>
      </c>
      <c r="Q561" s="332" t="s">
        <v>99</v>
      </c>
      <c r="R561" s="332" t="s">
        <v>99</v>
      </c>
      <c r="S561" s="332" t="s">
        <v>99</v>
      </c>
      <c r="T561" s="332" t="s">
        <v>99</v>
      </c>
      <c r="U561" s="332" t="s">
        <v>99</v>
      </c>
      <c r="V561" s="332" t="s">
        <v>99</v>
      </c>
      <c r="W561" s="332" t="s">
        <v>99</v>
      </c>
      <c r="X561" s="332" t="s">
        <v>99</v>
      </c>
      <c r="Y561" s="332" t="s">
        <v>99</v>
      </c>
      <c r="Z561" s="332" t="s">
        <v>99</v>
      </c>
      <c r="AA561" s="332" t="s">
        <v>99</v>
      </c>
      <c r="AB561" s="332" t="s">
        <v>99</v>
      </c>
      <c r="AC561" s="332" t="s">
        <v>99</v>
      </c>
      <c r="AD561" s="332" t="s">
        <v>99</v>
      </c>
      <c r="AE561" s="332" t="s">
        <v>99</v>
      </c>
      <c r="AF561" s="332" t="s">
        <v>99</v>
      </c>
      <c r="AG561" s="332" t="s">
        <v>99</v>
      </c>
      <c r="AH561" s="332" t="s">
        <v>99</v>
      </c>
      <c r="AI561" s="332" t="s">
        <v>99</v>
      </c>
      <c r="AJ561" s="332" t="s">
        <v>99</v>
      </c>
      <c r="AK561" s="332" t="s">
        <v>99</v>
      </c>
      <c r="AL561" s="332" t="s">
        <v>99</v>
      </c>
      <c r="AM561" s="344" t="s">
        <v>665</v>
      </c>
      <c r="AN561" s="807"/>
    </row>
    <row r="562" spans="1:40" ht="12.6">
      <c r="A562" s="990" t="s">
        <v>681</v>
      </c>
      <c r="B562" s="991" t="s">
        <v>124</v>
      </c>
      <c r="C562" s="991"/>
      <c r="D562" s="315"/>
      <c r="E562" s="315" t="s">
        <v>125</v>
      </c>
      <c r="F562" s="332" t="s">
        <v>126</v>
      </c>
      <c r="G562" s="332" t="s">
        <v>126</v>
      </c>
      <c r="H562" s="332" t="s">
        <v>126</v>
      </c>
      <c r="I562" s="332" t="s">
        <v>126</v>
      </c>
      <c r="J562" s="332" t="s">
        <v>126</v>
      </c>
      <c r="K562" s="332" t="s">
        <v>126</v>
      </c>
      <c r="L562" s="332" t="s">
        <v>126</v>
      </c>
      <c r="M562" s="332" t="s">
        <v>126</v>
      </c>
      <c r="N562" s="332" t="s">
        <v>126</v>
      </c>
      <c r="O562" s="332" t="s">
        <v>126</v>
      </c>
      <c r="P562" s="332" t="s">
        <v>126</v>
      </c>
      <c r="Q562" s="332" t="s">
        <v>126</v>
      </c>
      <c r="R562" s="332" t="s">
        <v>126</v>
      </c>
      <c r="S562" s="332" t="s">
        <v>126</v>
      </c>
      <c r="T562" s="332" t="s">
        <v>126</v>
      </c>
      <c r="U562" s="332" t="s">
        <v>126</v>
      </c>
      <c r="V562" s="332" t="s">
        <v>126</v>
      </c>
      <c r="W562" s="332" t="s">
        <v>126</v>
      </c>
      <c r="X562" s="332" t="s">
        <v>126</v>
      </c>
      <c r="Y562" s="332" t="s">
        <v>126</v>
      </c>
      <c r="Z562" s="332" t="s">
        <v>126</v>
      </c>
      <c r="AA562" s="332" t="s">
        <v>126</v>
      </c>
      <c r="AB562" s="332" t="s">
        <v>126</v>
      </c>
      <c r="AC562" s="332" t="s">
        <v>126</v>
      </c>
      <c r="AD562" s="332" t="s">
        <v>126</v>
      </c>
      <c r="AE562" s="332" t="s">
        <v>126</v>
      </c>
      <c r="AF562" s="332" t="s">
        <v>126</v>
      </c>
      <c r="AG562" s="332" t="s">
        <v>126</v>
      </c>
      <c r="AH562" s="332" t="s">
        <v>126</v>
      </c>
      <c r="AI562" s="332" t="s">
        <v>126</v>
      </c>
      <c r="AJ562" s="332" t="s">
        <v>126</v>
      </c>
      <c r="AK562" s="332" t="s">
        <v>126</v>
      </c>
      <c r="AL562" s="332" t="s">
        <v>126</v>
      </c>
      <c r="AM562" s="315"/>
      <c r="AN562" s="315"/>
    </row>
    <row r="563" spans="1:40" ht="12.6">
      <c r="A563" s="990" t="s">
        <v>682</v>
      </c>
      <c r="B563" s="991" t="s">
        <v>128</v>
      </c>
      <c r="C563" s="991"/>
      <c r="D563" s="991" t="s">
        <v>129</v>
      </c>
      <c r="E563" s="991" t="s">
        <v>130</v>
      </c>
      <c r="F563" s="332" t="s">
        <v>99</v>
      </c>
      <c r="G563" s="332" t="s">
        <v>99</v>
      </c>
      <c r="H563" s="332" t="s">
        <v>99</v>
      </c>
      <c r="I563" s="332" t="s">
        <v>99</v>
      </c>
      <c r="J563" s="332" t="s">
        <v>99</v>
      </c>
      <c r="K563" s="332" t="s">
        <v>99</v>
      </c>
      <c r="L563" s="332" t="s">
        <v>99</v>
      </c>
      <c r="M563" s="332" t="s">
        <v>99</v>
      </c>
      <c r="N563" s="332" t="s">
        <v>99</v>
      </c>
      <c r="O563" s="332" t="s">
        <v>99</v>
      </c>
      <c r="P563" s="332" t="s">
        <v>99</v>
      </c>
      <c r="Q563" s="332" t="s">
        <v>99</v>
      </c>
      <c r="R563" s="332" t="s">
        <v>99</v>
      </c>
      <c r="S563" s="332" t="s">
        <v>99</v>
      </c>
      <c r="T563" s="332" t="s">
        <v>99</v>
      </c>
      <c r="U563" s="332" t="s">
        <v>99</v>
      </c>
      <c r="V563" s="332" t="s">
        <v>99</v>
      </c>
      <c r="W563" s="332" t="s">
        <v>99</v>
      </c>
      <c r="X563" s="332" t="s">
        <v>99</v>
      </c>
      <c r="Y563" s="332" t="s">
        <v>99</v>
      </c>
      <c r="Z563" s="332" t="s">
        <v>99</v>
      </c>
      <c r="AA563" s="332" t="s">
        <v>99</v>
      </c>
      <c r="AB563" s="332" t="s">
        <v>99</v>
      </c>
      <c r="AC563" s="332" t="s">
        <v>99</v>
      </c>
      <c r="AD563" s="332" t="s">
        <v>99</v>
      </c>
      <c r="AE563" s="332" t="s">
        <v>99</v>
      </c>
      <c r="AF563" s="332" t="s">
        <v>99</v>
      </c>
      <c r="AG563" s="332" t="s">
        <v>99</v>
      </c>
      <c r="AH563" s="332" t="s">
        <v>99</v>
      </c>
      <c r="AI563" s="332" t="s">
        <v>99</v>
      </c>
      <c r="AJ563" s="332" t="s">
        <v>99</v>
      </c>
      <c r="AK563" s="332" t="s">
        <v>99</v>
      </c>
      <c r="AL563" s="332" t="s">
        <v>99</v>
      </c>
      <c r="AM563" s="344" t="s">
        <v>665</v>
      </c>
      <c r="AN563" s="807"/>
    </row>
    <row r="564" spans="1:40" ht="12.6">
      <c r="A564" s="990" t="s">
        <v>683</v>
      </c>
      <c r="B564" s="991" t="s">
        <v>134</v>
      </c>
      <c r="D564" s="315"/>
      <c r="E564" s="315"/>
      <c r="F564" s="332"/>
      <c r="G564" s="332"/>
      <c r="H564" s="332"/>
      <c r="I564" s="332"/>
      <c r="J564" s="332"/>
      <c r="K564" s="332"/>
      <c r="L564" s="332"/>
      <c r="M564" s="332"/>
      <c r="N564" s="332"/>
      <c r="O564" s="332"/>
      <c r="P564" s="332"/>
      <c r="Q564" s="332"/>
      <c r="R564" s="332"/>
      <c r="S564" s="332"/>
      <c r="T564" s="332"/>
      <c r="U564" s="332"/>
      <c r="V564" s="332"/>
      <c r="W564" s="332"/>
      <c r="X564" s="332"/>
      <c r="Y564" s="332"/>
      <c r="Z564" s="332"/>
      <c r="AA564" s="332"/>
      <c r="AB564" s="332"/>
      <c r="AC564" s="332"/>
      <c r="AD564" s="332"/>
      <c r="AE564" s="332"/>
      <c r="AF564" s="332"/>
      <c r="AG564" s="332"/>
      <c r="AH564" s="332"/>
      <c r="AI564" s="332"/>
      <c r="AJ564" s="332"/>
      <c r="AK564" s="332"/>
      <c r="AL564" s="332"/>
      <c r="AM564" s="315"/>
      <c r="AN564" s="315"/>
    </row>
    <row r="565" spans="1:40" s="792" customFormat="1" ht="14.25" customHeight="1">
      <c r="A565" s="989" t="s">
        <v>684</v>
      </c>
      <c r="B565" s="791"/>
      <c r="C565" s="791"/>
      <c r="D565" s="791"/>
      <c r="E565" s="791"/>
      <c r="F565" s="790"/>
      <c r="G565" s="790"/>
      <c r="H565" s="790"/>
      <c r="I565" s="790"/>
      <c r="J565" s="790"/>
      <c r="K565" s="790"/>
      <c r="L565" s="790"/>
      <c r="M565" s="790"/>
      <c r="N565" s="790"/>
      <c r="O565" s="790"/>
      <c r="P565" s="790"/>
      <c r="Q565" s="790"/>
      <c r="R565" s="790"/>
      <c r="S565" s="790"/>
      <c r="T565" s="790"/>
      <c r="U565" s="790"/>
      <c r="V565" s="790"/>
      <c r="W565" s="790"/>
      <c r="X565" s="790"/>
      <c r="Y565" s="790"/>
      <c r="Z565" s="790"/>
      <c r="AA565" s="790"/>
      <c r="AB565" s="790"/>
      <c r="AC565" s="790"/>
      <c r="AD565" s="790"/>
      <c r="AE565" s="790"/>
      <c r="AF565" s="790"/>
      <c r="AG565" s="790"/>
      <c r="AH565" s="790"/>
      <c r="AI565" s="790"/>
      <c r="AJ565" s="790"/>
      <c r="AK565" s="790"/>
      <c r="AL565" s="790"/>
      <c r="AM565" s="791"/>
      <c r="AN565" s="791"/>
    </row>
    <row r="566" spans="1:40" ht="12.6">
      <c r="A566" s="990" t="s">
        <v>685</v>
      </c>
      <c r="B566" s="991" t="s">
        <v>121</v>
      </c>
      <c r="C566" s="991"/>
      <c r="D566" s="315"/>
      <c r="E566" s="991" t="s">
        <v>122</v>
      </c>
      <c r="F566" s="332" t="s">
        <v>99</v>
      </c>
      <c r="G566" s="332" t="s">
        <v>99</v>
      </c>
      <c r="H566" s="332" t="s">
        <v>99</v>
      </c>
      <c r="I566" s="332" t="s">
        <v>99</v>
      </c>
      <c r="J566" s="332" t="s">
        <v>99</v>
      </c>
      <c r="K566" s="332" t="s">
        <v>99</v>
      </c>
      <c r="L566" s="332" t="s">
        <v>99</v>
      </c>
      <c r="M566" s="332" t="s">
        <v>99</v>
      </c>
      <c r="N566" s="332" t="s">
        <v>99</v>
      </c>
      <c r="O566" s="332" t="s">
        <v>99</v>
      </c>
      <c r="P566" s="332" t="s">
        <v>99</v>
      </c>
      <c r="Q566" s="332" t="s">
        <v>99</v>
      </c>
      <c r="R566" s="332" t="s">
        <v>99</v>
      </c>
      <c r="S566" s="332" t="s">
        <v>99</v>
      </c>
      <c r="T566" s="332" t="s">
        <v>99</v>
      </c>
      <c r="U566" s="332" t="s">
        <v>99</v>
      </c>
      <c r="V566" s="332" t="s">
        <v>99</v>
      </c>
      <c r="W566" s="332" t="s">
        <v>99</v>
      </c>
      <c r="X566" s="332" t="s">
        <v>99</v>
      </c>
      <c r="Y566" s="332" t="s">
        <v>99</v>
      </c>
      <c r="Z566" s="332" t="s">
        <v>99</v>
      </c>
      <c r="AA566" s="332" t="s">
        <v>99</v>
      </c>
      <c r="AB566" s="332" t="s">
        <v>99</v>
      </c>
      <c r="AC566" s="332" t="s">
        <v>99</v>
      </c>
      <c r="AD566" s="332" t="s">
        <v>99</v>
      </c>
      <c r="AE566" s="332" t="s">
        <v>99</v>
      </c>
      <c r="AF566" s="332" t="s">
        <v>99</v>
      </c>
      <c r="AG566" s="332" t="s">
        <v>99</v>
      </c>
      <c r="AH566" s="332" t="s">
        <v>99</v>
      </c>
      <c r="AI566" s="332" t="s">
        <v>99</v>
      </c>
      <c r="AJ566" s="332" t="s">
        <v>99</v>
      </c>
      <c r="AK566" s="332" t="s">
        <v>99</v>
      </c>
      <c r="AL566" s="332" t="s">
        <v>99</v>
      </c>
      <c r="AM566" s="344" t="s">
        <v>665</v>
      </c>
      <c r="AN566" s="807"/>
    </row>
    <row r="567" spans="1:40" ht="12.6">
      <c r="A567" s="990" t="s">
        <v>686</v>
      </c>
      <c r="B567" s="991" t="s">
        <v>124</v>
      </c>
      <c r="C567" s="991"/>
      <c r="D567" s="315"/>
      <c r="E567" s="315" t="s">
        <v>125</v>
      </c>
      <c r="F567" s="332" t="s">
        <v>126</v>
      </c>
      <c r="G567" s="332" t="s">
        <v>126</v>
      </c>
      <c r="H567" s="332" t="s">
        <v>126</v>
      </c>
      <c r="I567" s="332" t="s">
        <v>126</v>
      </c>
      <c r="J567" s="332" t="s">
        <v>126</v>
      </c>
      <c r="K567" s="332" t="s">
        <v>126</v>
      </c>
      <c r="L567" s="332" t="s">
        <v>126</v>
      </c>
      <c r="M567" s="332" t="s">
        <v>126</v>
      </c>
      <c r="N567" s="332" t="s">
        <v>126</v>
      </c>
      <c r="O567" s="332" t="s">
        <v>126</v>
      </c>
      <c r="P567" s="332" t="s">
        <v>126</v>
      </c>
      <c r="Q567" s="332" t="s">
        <v>126</v>
      </c>
      <c r="R567" s="332" t="s">
        <v>126</v>
      </c>
      <c r="S567" s="332" t="s">
        <v>126</v>
      </c>
      <c r="T567" s="332" t="s">
        <v>126</v>
      </c>
      <c r="U567" s="332" t="s">
        <v>126</v>
      </c>
      <c r="V567" s="332" t="s">
        <v>126</v>
      </c>
      <c r="W567" s="332" t="s">
        <v>126</v>
      </c>
      <c r="X567" s="332" t="s">
        <v>126</v>
      </c>
      <c r="Y567" s="332" t="s">
        <v>126</v>
      </c>
      <c r="Z567" s="332" t="s">
        <v>126</v>
      </c>
      <c r="AA567" s="332" t="s">
        <v>126</v>
      </c>
      <c r="AB567" s="332" t="s">
        <v>126</v>
      </c>
      <c r="AC567" s="332" t="s">
        <v>126</v>
      </c>
      <c r="AD567" s="332" t="s">
        <v>126</v>
      </c>
      <c r="AE567" s="332" t="s">
        <v>126</v>
      </c>
      <c r="AF567" s="332" t="s">
        <v>126</v>
      </c>
      <c r="AG567" s="332" t="s">
        <v>126</v>
      </c>
      <c r="AH567" s="332" t="s">
        <v>126</v>
      </c>
      <c r="AI567" s="332" t="s">
        <v>126</v>
      </c>
      <c r="AJ567" s="332" t="s">
        <v>126</v>
      </c>
      <c r="AK567" s="332" t="s">
        <v>126</v>
      </c>
      <c r="AL567" s="332" t="s">
        <v>126</v>
      </c>
      <c r="AM567" s="315"/>
      <c r="AN567" s="315"/>
    </row>
    <row r="568" spans="1:40" ht="12.6">
      <c r="A568" s="990" t="s">
        <v>687</v>
      </c>
      <c r="B568" s="991" t="s">
        <v>128</v>
      </c>
      <c r="C568" s="991"/>
      <c r="D568" s="991" t="s">
        <v>129</v>
      </c>
      <c r="E568" s="991" t="s">
        <v>130</v>
      </c>
      <c r="F568" s="332" t="s">
        <v>99</v>
      </c>
      <c r="G568" s="332" t="s">
        <v>99</v>
      </c>
      <c r="H568" s="332" t="s">
        <v>99</v>
      </c>
      <c r="I568" s="332" t="s">
        <v>99</v>
      </c>
      <c r="J568" s="332" t="s">
        <v>99</v>
      </c>
      <c r="K568" s="332" t="s">
        <v>99</v>
      </c>
      <c r="L568" s="332" t="s">
        <v>99</v>
      </c>
      <c r="M568" s="332" t="s">
        <v>99</v>
      </c>
      <c r="N568" s="332" t="s">
        <v>99</v>
      </c>
      <c r="O568" s="332" t="s">
        <v>99</v>
      </c>
      <c r="P568" s="332" t="s">
        <v>99</v>
      </c>
      <c r="Q568" s="332" t="s">
        <v>99</v>
      </c>
      <c r="R568" s="332" t="s">
        <v>99</v>
      </c>
      <c r="S568" s="332" t="s">
        <v>99</v>
      </c>
      <c r="T568" s="332" t="s">
        <v>99</v>
      </c>
      <c r="U568" s="332" t="s">
        <v>99</v>
      </c>
      <c r="V568" s="332" t="s">
        <v>99</v>
      </c>
      <c r="W568" s="332" t="s">
        <v>99</v>
      </c>
      <c r="X568" s="332" t="s">
        <v>99</v>
      </c>
      <c r="Y568" s="332" t="s">
        <v>99</v>
      </c>
      <c r="Z568" s="332" t="s">
        <v>99</v>
      </c>
      <c r="AA568" s="332" t="s">
        <v>99</v>
      </c>
      <c r="AB568" s="332" t="s">
        <v>99</v>
      </c>
      <c r="AC568" s="332" t="s">
        <v>99</v>
      </c>
      <c r="AD568" s="332" t="s">
        <v>99</v>
      </c>
      <c r="AE568" s="332" t="s">
        <v>99</v>
      </c>
      <c r="AF568" s="332" t="s">
        <v>99</v>
      </c>
      <c r="AG568" s="332" t="s">
        <v>99</v>
      </c>
      <c r="AH568" s="332" t="s">
        <v>99</v>
      </c>
      <c r="AI568" s="332" t="s">
        <v>99</v>
      </c>
      <c r="AJ568" s="332" t="s">
        <v>99</v>
      </c>
      <c r="AK568" s="332" t="s">
        <v>99</v>
      </c>
      <c r="AL568" s="332" t="s">
        <v>99</v>
      </c>
      <c r="AM568" s="344" t="s">
        <v>665</v>
      </c>
      <c r="AN568" s="807"/>
    </row>
    <row r="569" spans="1:40" ht="12.6">
      <c r="A569" s="990" t="s">
        <v>688</v>
      </c>
      <c r="B569" s="991" t="s">
        <v>134</v>
      </c>
      <c r="D569" s="315"/>
      <c r="E569" s="315"/>
      <c r="F569" s="332"/>
      <c r="G569" s="332"/>
      <c r="H569" s="332"/>
      <c r="I569" s="332"/>
      <c r="J569" s="332"/>
      <c r="K569" s="332"/>
      <c r="L569" s="332"/>
      <c r="M569" s="332"/>
      <c r="N569" s="332"/>
      <c r="O569" s="332"/>
      <c r="P569" s="332"/>
      <c r="Q569" s="332"/>
      <c r="R569" s="332"/>
      <c r="S569" s="332"/>
      <c r="T569" s="332"/>
      <c r="U569" s="332"/>
      <c r="V569" s="332"/>
      <c r="W569" s="332"/>
      <c r="X569" s="332"/>
      <c r="Y569" s="332"/>
      <c r="Z569" s="332"/>
      <c r="AA569" s="332"/>
      <c r="AB569" s="332"/>
      <c r="AC569" s="332"/>
      <c r="AD569" s="332"/>
      <c r="AE569" s="332"/>
      <c r="AF569" s="332"/>
      <c r="AG569" s="332"/>
      <c r="AH569" s="332"/>
      <c r="AI569" s="332"/>
      <c r="AJ569" s="332"/>
      <c r="AK569" s="332"/>
      <c r="AL569" s="332"/>
      <c r="AM569" s="315"/>
      <c r="AN569" s="315"/>
    </row>
    <row r="570" spans="1:40" s="792" customFormat="1" ht="14.25" customHeight="1">
      <c r="A570" s="989" t="s">
        <v>689</v>
      </c>
      <c r="B570" s="791"/>
      <c r="C570" s="791"/>
      <c r="D570" s="791"/>
      <c r="E570" s="791"/>
      <c r="F570" s="790"/>
      <c r="G570" s="790"/>
      <c r="H570" s="790"/>
      <c r="I570" s="790"/>
      <c r="J570" s="790"/>
      <c r="K570" s="790"/>
      <c r="L570" s="790"/>
      <c r="M570" s="790"/>
      <c r="N570" s="790"/>
      <c r="O570" s="790"/>
      <c r="P570" s="790"/>
      <c r="Q570" s="790"/>
      <c r="R570" s="790"/>
      <c r="S570" s="790"/>
      <c r="T570" s="790"/>
      <c r="U570" s="790"/>
      <c r="V570" s="790"/>
      <c r="W570" s="790"/>
      <c r="X570" s="790"/>
      <c r="Y570" s="790"/>
      <c r="Z570" s="790"/>
      <c r="AA570" s="790"/>
      <c r="AB570" s="790"/>
      <c r="AC570" s="790"/>
      <c r="AD570" s="790"/>
      <c r="AE570" s="790"/>
      <c r="AF570" s="790"/>
      <c r="AG570" s="790"/>
      <c r="AH570" s="790"/>
      <c r="AI570" s="790"/>
      <c r="AJ570" s="790"/>
      <c r="AK570" s="790"/>
      <c r="AL570" s="790"/>
      <c r="AM570" s="791"/>
      <c r="AN570" s="791"/>
    </row>
    <row r="571" spans="1:40" ht="12.6">
      <c r="A571" s="990" t="s">
        <v>690</v>
      </c>
      <c r="B571" s="991" t="s">
        <v>121</v>
      </c>
      <c r="C571" s="991"/>
      <c r="D571" s="315"/>
      <c r="E571" s="991" t="s">
        <v>122</v>
      </c>
      <c r="F571" s="332" t="s">
        <v>108</v>
      </c>
      <c r="G571" s="332" t="s">
        <v>108</v>
      </c>
      <c r="H571" s="332" t="s">
        <v>108</v>
      </c>
      <c r="I571" s="332" t="s">
        <v>108</v>
      </c>
      <c r="J571" s="332" t="s">
        <v>108</v>
      </c>
      <c r="K571" s="332" t="s">
        <v>108</v>
      </c>
      <c r="L571" s="332" t="s">
        <v>108</v>
      </c>
      <c r="M571" s="332" t="s">
        <v>108</v>
      </c>
      <c r="N571" s="332" t="s">
        <v>108</v>
      </c>
      <c r="O571" s="332" t="s">
        <v>108</v>
      </c>
      <c r="P571" s="332" t="s">
        <v>108</v>
      </c>
      <c r="Q571" s="332" t="s">
        <v>108</v>
      </c>
      <c r="R571" s="332" t="s">
        <v>108</v>
      </c>
      <c r="S571" s="332" t="s">
        <v>108</v>
      </c>
      <c r="T571" s="332" t="s">
        <v>108</v>
      </c>
      <c r="U571" s="332" t="s">
        <v>108</v>
      </c>
      <c r="V571" s="332" t="s">
        <v>108</v>
      </c>
      <c r="W571" s="332" t="s">
        <v>108</v>
      </c>
      <c r="X571" s="332" t="s">
        <v>108</v>
      </c>
      <c r="Y571" s="332" t="s">
        <v>108</v>
      </c>
      <c r="Z571" s="332" t="s">
        <v>108</v>
      </c>
      <c r="AA571" s="332" t="s">
        <v>108</v>
      </c>
      <c r="AB571" s="332" t="s">
        <v>108</v>
      </c>
      <c r="AC571" s="332" t="s">
        <v>108</v>
      </c>
      <c r="AD571" s="332" t="s">
        <v>108</v>
      </c>
      <c r="AE571" s="332" t="s">
        <v>108</v>
      </c>
      <c r="AF571" s="332" t="s">
        <v>108</v>
      </c>
      <c r="AG571" s="332" t="s">
        <v>108</v>
      </c>
      <c r="AH571" s="332" t="s">
        <v>108</v>
      </c>
      <c r="AI571" s="332" t="s">
        <v>108</v>
      </c>
      <c r="AJ571" s="332" t="s">
        <v>108</v>
      </c>
      <c r="AK571" s="332" t="s">
        <v>108</v>
      </c>
      <c r="AL571" s="332" t="s">
        <v>108</v>
      </c>
      <c r="AM571" s="315"/>
      <c r="AN571" s="315"/>
    </row>
    <row r="572" spans="1:40" ht="12.6">
      <c r="A572" s="990" t="s">
        <v>691</v>
      </c>
      <c r="B572" s="991" t="s">
        <v>124</v>
      </c>
      <c r="C572" s="991"/>
      <c r="D572" s="315"/>
      <c r="E572" s="315" t="s">
        <v>125</v>
      </c>
      <c r="F572" s="799" t="s">
        <v>126</v>
      </c>
      <c r="G572" s="799" t="s">
        <v>126</v>
      </c>
      <c r="H572" s="799" t="s">
        <v>126</v>
      </c>
      <c r="I572" s="799" t="s">
        <v>126</v>
      </c>
      <c r="J572" s="799" t="s">
        <v>126</v>
      </c>
      <c r="K572" s="799" t="s">
        <v>126</v>
      </c>
      <c r="L572" s="799" t="s">
        <v>126</v>
      </c>
      <c r="M572" s="799" t="s">
        <v>126</v>
      </c>
      <c r="N572" s="799" t="s">
        <v>126</v>
      </c>
      <c r="O572" s="799" t="s">
        <v>126</v>
      </c>
      <c r="P572" s="799" t="s">
        <v>126</v>
      </c>
      <c r="Q572" s="799" t="s">
        <v>126</v>
      </c>
      <c r="R572" s="799" t="s">
        <v>126</v>
      </c>
      <c r="S572" s="799" t="s">
        <v>126</v>
      </c>
      <c r="T572" s="799" t="s">
        <v>126</v>
      </c>
      <c r="U572" s="799" t="s">
        <v>126</v>
      </c>
      <c r="V572" s="799" t="s">
        <v>126</v>
      </c>
      <c r="W572" s="799" t="s">
        <v>126</v>
      </c>
      <c r="X572" s="799" t="s">
        <v>126</v>
      </c>
      <c r="Y572" s="799" t="s">
        <v>126</v>
      </c>
      <c r="Z572" s="799" t="s">
        <v>126</v>
      </c>
      <c r="AA572" s="799" t="s">
        <v>126</v>
      </c>
      <c r="AB572" s="799" t="s">
        <v>126</v>
      </c>
      <c r="AC572" s="799" t="s">
        <v>126</v>
      </c>
      <c r="AD572" s="799" t="s">
        <v>126</v>
      </c>
      <c r="AE572" s="799" t="s">
        <v>126</v>
      </c>
      <c r="AF572" s="799" t="s">
        <v>126</v>
      </c>
      <c r="AG572" s="799" t="s">
        <v>126</v>
      </c>
      <c r="AH572" s="799" t="s">
        <v>126</v>
      </c>
      <c r="AI572" s="799" t="s">
        <v>126</v>
      </c>
      <c r="AJ572" s="799" t="s">
        <v>126</v>
      </c>
      <c r="AK572" s="799" t="s">
        <v>126</v>
      </c>
      <c r="AL572" s="799" t="s">
        <v>126</v>
      </c>
      <c r="AM572" s="315"/>
      <c r="AN572" s="315"/>
    </row>
    <row r="573" spans="1:40" ht="12.6">
      <c r="A573" s="990" t="s">
        <v>692</v>
      </c>
      <c r="B573" s="991" t="s">
        <v>128</v>
      </c>
      <c r="C573" s="991"/>
      <c r="D573" s="991" t="s">
        <v>129</v>
      </c>
      <c r="E573" s="991" t="s">
        <v>130</v>
      </c>
      <c r="F573" s="332" t="s">
        <v>108</v>
      </c>
      <c r="G573" s="332" t="s">
        <v>108</v>
      </c>
      <c r="H573" s="332" t="s">
        <v>108</v>
      </c>
      <c r="I573" s="332" t="s">
        <v>108</v>
      </c>
      <c r="J573" s="332" t="s">
        <v>108</v>
      </c>
      <c r="K573" s="332" t="s">
        <v>108</v>
      </c>
      <c r="L573" s="332" t="s">
        <v>108</v>
      </c>
      <c r="M573" s="332" t="s">
        <v>108</v>
      </c>
      <c r="N573" s="332" t="s">
        <v>108</v>
      </c>
      <c r="O573" s="332" t="s">
        <v>108</v>
      </c>
      <c r="P573" s="332" t="s">
        <v>108</v>
      </c>
      <c r="Q573" s="332" t="s">
        <v>108</v>
      </c>
      <c r="R573" s="332" t="s">
        <v>108</v>
      </c>
      <c r="S573" s="332" t="s">
        <v>108</v>
      </c>
      <c r="T573" s="332" t="s">
        <v>108</v>
      </c>
      <c r="U573" s="332" t="s">
        <v>108</v>
      </c>
      <c r="V573" s="332" t="s">
        <v>108</v>
      </c>
      <c r="W573" s="332" t="s">
        <v>108</v>
      </c>
      <c r="X573" s="332" t="s">
        <v>108</v>
      </c>
      <c r="Y573" s="332" t="s">
        <v>108</v>
      </c>
      <c r="Z573" s="332" t="s">
        <v>108</v>
      </c>
      <c r="AA573" s="332" t="s">
        <v>108</v>
      </c>
      <c r="AB573" s="332" t="s">
        <v>108</v>
      </c>
      <c r="AC573" s="332" t="s">
        <v>108</v>
      </c>
      <c r="AD573" s="332" t="s">
        <v>108</v>
      </c>
      <c r="AE573" s="332" t="s">
        <v>108</v>
      </c>
      <c r="AF573" s="332" t="s">
        <v>108</v>
      </c>
      <c r="AG573" s="332" t="s">
        <v>108</v>
      </c>
      <c r="AH573" s="332" t="s">
        <v>108</v>
      </c>
      <c r="AI573" s="332" t="s">
        <v>108</v>
      </c>
      <c r="AJ573" s="332" t="s">
        <v>108</v>
      </c>
      <c r="AK573" s="332" t="s">
        <v>108</v>
      </c>
      <c r="AL573" s="332" t="s">
        <v>108</v>
      </c>
      <c r="AM573" s="315"/>
      <c r="AN573" s="315"/>
    </row>
    <row r="574" spans="1:40" ht="12.6">
      <c r="A574" s="990" t="s">
        <v>693</v>
      </c>
      <c r="B574" s="991" t="s">
        <v>134</v>
      </c>
      <c r="D574" s="315"/>
      <c r="E574" s="315"/>
      <c r="F574" s="332"/>
      <c r="G574" s="332"/>
      <c r="H574" s="332"/>
      <c r="I574" s="332"/>
      <c r="J574" s="332"/>
      <c r="K574" s="332"/>
      <c r="L574" s="332"/>
      <c r="M574" s="332"/>
      <c r="N574" s="332"/>
      <c r="O574" s="332"/>
      <c r="P574" s="332"/>
      <c r="Q574" s="332"/>
      <c r="R574" s="332"/>
      <c r="S574" s="332"/>
      <c r="T574" s="332"/>
      <c r="U574" s="332"/>
      <c r="V574" s="332"/>
      <c r="W574" s="332"/>
      <c r="X574" s="332"/>
      <c r="Y574" s="332"/>
      <c r="Z574" s="332"/>
      <c r="AA574" s="332"/>
      <c r="AB574" s="332"/>
      <c r="AC574" s="332"/>
      <c r="AD574" s="332"/>
      <c r="AE574" s="332"/>
      <c r="AF574" s="332"/>
      <c r="AG574" s="332"/>
      <c r="AH574" s="332"/>
      <c r="AI574" s="332"/>
      <c r="AJ574" s="332"/>
      <c r="AK574" s="332"/>
      <c r="AL574" s="332"/>
      <c r="AM574" s="315"/>
      <c r="AN574" s="315"/>
    </row>
    <row r="575" spans="1:40" s="797" customFormat="1" ht="12.95">
      <c r="A575" s="992" t="s">
        <v>694</v>
      </c>
      <c r="B575" s="796"/>
      <c r="C575" s="796"/>
      <c r="D575" s="796"/>
      <c r="E575" s="796"/>
      <c r="F575" s="795"/>
      <c r="G575" s="795"/>
      <c r="H575" s="795"/>
      <c r="I575" s="795"/>
      <c r="J575" s="795"/>
      <c r="K575" s="795"/>
      <c r="L575" s="795"/>
      <c r="M575" s="795"/>
      <c r="N575" s="795"/>
      <c r="O575" s="795"/>
      <c r="P575" s="795"/>
      <c r="Q575" s="795"/>
      <c r="R575" s="795"/>
      <c r="S575" s="795"/>
      <c r="T575" s="795"/>
      <c r="U575" s="795"/>
      <c r="V575" s="795"/>
      <c r="W575" s="795"/>
      <c r="X575" s="795"/>
      <c r="Y575" s="795"/>
      <c r="Z575" s="795"/>
      <c r="AA575" s="795"/>
      <c r="AB575" s="795"/>
      <c r="AC575" s="795"/>
      <c r="AD575" s="795"/>
      <c r="AE575" s="795"/>
      <c r="AF575" s="795"/>
      <c r="AG575" s="795"/>
      <c r="AH575" s="795"/>
      <c r="AI575" s="795"/>
      <c r="AJ575" s="795"/>
      <c r="AK575" s="795"/>
      <c r="AL575" s="795"/>
      <c r="AM575" s="796"/>
      <c r="AN575" s="796"/>
    </row>
    <row r="576" spans="1:40" s="792" customFormat="1" ht="14.25" customHeight="1">
      <c r="A576" s="989" t="s">
        <v>695</v>
      </c>
      <c r="B576" s="791"/>
      <c r="C576" s="791"/>
      <c r="D576" s="791"/>
      <c r="E576" s="791"/>
      <c r="F576" s="790"/>
      <c r="G576" s="790"/>
      <c r="H576" s="790"/>
      <c r="I576" s="790"/>
      <c r="J576" s="790"/>
      <c r="K576" s="790"/>
      <c r="L576" s="790"/>
      <c r="M576" s="790"/>
      <c r="N576" s="790"/>
      <c r="O576" s="790"/>
      <c r="P576" s="790"/>
      <c r="Q576" s="790"/>
      <c r="R576" s="790"/>
      <c r="S576" s="790"/>
      <c r="T576" s="790"/>
      <c r="U576" s="790"/>
      <c r="V576" s="790"/>
      <c r="W576" s="790"/>
      <c r="X576" s="790"/>
      <c r="Y576" s="790"/>
      <c r="Z576" s="790"/>
      <c r="AA576" s="790"/>
      <c r="AB576" s="790"/>
      <c r="AC576" s="790"/>
      <c r="AD576" s="790"/>
      <c r="AE576" s="790"/>
      <c r="AF576" s="790"/>
      <c r="AG576" s="790"/>
      <c r="AH576" s="790"/>
      <c r="AI576" s="790"/>
      <c r="AJ576" s="790"/>
      <c r="AK576" s="790"/>
      <c r="AL576" s="790"/>
      <c r="AM576" s="791"/>
      <c r="AN576" s="791"/>
    </row>
    <row r="577" spans="1:40" ht="12.6">
      <c r="A577" s="990" t="s">
        <v>696</v>
      </c>
      <c r="B577" s="991" t="s">
        <v>121</v>
      </c>
      <c r="C577" s="991"/>
      <c r="D577" s="315"/>
      <c r="E577" s="991" t="s">
        <v>122</v>
      </c>
      <c r="F577" s="332" t="s">
        <v>99</v>
      </c>
      <c r="G577" s="332" t="s">
        <v>99</v>
      </c>
      <c r="H577" s="332" t="s">
        <v>99</v>
      </c>
      <c r="I577" s="332" t="s">
        <v>99</v>
      </c>
      <c r="J577" s="332" t="s">
        <v>99</v>
      </c>
      <c r="K577" s="332" t="s">
        <v>99</v>
      </c>
      <c r="L577" s="332" t="s">
        <v>99</v>
      </c>
      <c r="M577" s="332" t="s">
        <v>99</v>
      </c>
      <c r="N577" s="332" t="s">
        <v>99</v>
      </c>
      <c r="O577" s="332" t="s">
        <v>99</v>
      </c>
      <c r="P577" s="332" t="s">
        <v>99</v>
      </c>
      <c r="Q577" s="332" t="s">
        <v>99</v>
      </c>
      <c r="R577" s="332" t="s">
        <v>99</v>
      </c>
      <c r="S577" s="332" t="s">
        <v>99</v>
      </c>
      <c r="T577" s="332" t="s">
        <v>99</v>
      </c>
      <c r="U577" s="332" t="s">
        <v>99</v>
      </c>
      <c r="V577" s="332" t="s">
        <v>99</v>
      </c>
      <c r="W577" s="332" t="s">
        <v>99</v>
      </c>
      <c r="X577" s="332" t="s">
        <v>99</v>
      </c>
      <c r="Y577" s="332" t="s">
        <v>99</v>
      </c>
      <c r="Z577" s="332" t="s">
        <v>99</v>
      </c>
      <c r="AA577" s="332" t="s">
        <v>99</v>
      </c>
      <c r="AB577" s="332" t="s">
        <v>99</v>
      </c>
      <c r="AC577" s="332" t="s">
        <v>99</v>
      </c>
      <c r="AD577" s="332" t="s">
        <v>99</v>
      </c>
      <c r="AE577" s="332" t="s">
        <v>99</v>
      </c>
      <c r="AF577" s="332" t="s">
        <v>99</v>
      </c>
      <c r="AG577" s="332" t="s">
        <v>99</v>
      </c>
      <c r="AH577" s="332" t="s">
        <v>99</v>
      </c>
      <c r="AI577" s="332" t="s">
        <v>99</v>
      </c>
      <c r="AJ577" s="332" t="s">
        <v>99</v>
      </c>
      <c r="AK577" s="332" t="s">
        <v>99</v>
      </c>
      <c r="AL577" s="332" t="s">
        <v>99</v>
      </c>
      <c r="AM577" s="344" t="s">
        <v>697</v>
      </c>
      <c r="AN577" s="807"/>
    </row>
    <row r="578" spans="1:40" ht="12.6">
      <c r="A578" s="990" t="s">
        <v>698</v>
      </c>
      <c r="B578" s="991" t="s">
        <v>124</v>
      </c>
      <c r="C578" s="991"/>
      <c r="D578" s="315"/>
      <c r="E578" s="315"/>
      <c r="F578" s="332" t="s">
        <v>126</v>
      </c>
      <c r="G578" s="332" t="s">
        <v>126</v>
      </c>
      <c r="H578" s="332" t="s">
        <v>126</v>
      </c>
      <c r="I578" s="332" t="s">
        <v>126</v>
      </c>
      <c r="J578" s="332" t="s">
        <v>126</v>
      </c>
      <c r="K578" s="332" t="s">
        <v>126</v>
      </c>
      <c r="L578" s="332" t="s">
        <v>126</v>
      </c>
      <c r="M578" s="332" t="s">
        <v>126</v>
      </c>
      <c r="N578" s="332" t="s">
        <v>126</v>
      </c>
      <c r="O578" s="332" t="s">
        <v>126</v>
      </c>
      <c r="P578" s="332" t="s">
        <v>126</v>
      </c>
      <c r="Q578" s="332" t="s">
        <v>126</v>
      </c>
      <c r="R578" s="332" t="s">
        <v>126</v>
      </c>
      <c r="S578" s="332" t="s">
        <v>126</v>
      </c>
      <c r="T578" s="332" t="s">
        <v>126</v>
      </c>
      <c r="U578" s="332" t="s">
        <v>126</v>
      </c>
      <c r="V578" s="332" t="s">
        <v>126</v>
      </c>
      <c r="W578" s="332" t="s">
        <v>126</v>
      </c>
      <c r="X578" s="332" t="s">
        <v>126</v>
      </c>
      <c r="Y578" s="332" t="s">
        <v>126</v>
      </c>
      <c r="Z578" s="332" t="s">
        <v>126</v>
      </c>
      <c r="AA578" s="332" t="s">
        <v>126</v>
      </c>
      <c r="AB578" s="332" t="s">
        <v>126</v>
      </c>
      <c r="AC578" s="332" t="s">
        <v>126</v>
      </c>
      <c r="AD578" s="332" t="s">
        <v>126</v>
      </c>
      <c r="AE578" s="332" t="s">
        <v>126</v>
      </c>
      <c r="AF578" s="332" t="s">
        <v>126</v>
      </c>
      <c r="AG578" s="332" t="s">
        <v>126</v>
      </c>
      <c r="AH578" s="332" t="s">
        <v>126</v>
      </c>
      <c r="AI578" s="332" t="s">
        <v>126</v>
      </c>
      <c r="AJ578" s="332" t="s">
        <v>126</v>
      </c>
      <c r="AK578" s="332" t="s">
        <v>126</v>
      </c>
      <c r="AL578" s="332" t="s">
        <v>126</v>
      </c>
      <c r="AM578" s="315"/>
      <c r="AN578" s="315"/>
    </row>
    <row r="579" spans="1:40" ht="12.6">
      <c r="A579" s="990" t="s">
        <v>699</v>
      </c>
      <c r="B579" s="991" t="s">
        <v>128</v>
      </c>
      <c r="C579" s="991"/>
      <c r="D579" s="991" t="s">
        <v>129</v>
      </c>
      <c r="E579" s="991" t="s">
        <v>130</v>
      </c>
      <c r="F579" s="332" t="s">
        <v>99</v>
      </c>
      <c r="G579" s="332" t="s">
        <v>99</v>
      </c>
      <c r="H579" s="332" t="s">
        <v>99</v>
      </c>
      <c r="I579" s="332" t="s">
        <v>99</v>
      </c>
      <c r="J579" s="332" t="s">
        <v>99</v>
      </c>
      <c r="K579" s="332" t="s">
        <v>99</v>
      </c>
      <c r="L579" s="332" t="s">
        <v>99</v>
      </c>
      <c r="M579" s="332" t="s">
        <v>99</v>
      </c>
      <c r="N579" s="332" t="s">
        <v>99</v>
      </c>
      <c r="O579" s="332" t="s">
        <v>99</v>
      </c>
      <c r="P579" s="332" t="s">
        <v>99</v>
      </c>
      <c r="Q579" s="332" t="s">
        <v>99</v>
      </c>
      <c r="R579" s="332" t="s">
        <v>99</v>
      </c>
      <c r="S579" s="332" t="s">
        <v>99</v>
      </c>
      <c r="T579" s="332" t="s">
        <v>99</v>
      </c>
      <c r="U579" s="332" t="s">
        <v>99</v>
      </c>
      <c r="V579" s="332" t="s">
        <v>99</v>
      </c>
      <c r="W579" s="332" t="s">
        <v>99</v>
      </c>
      <c r="X579" s="332" t="s">
        <v>99</v>
      </c>
      <c r="Y579" s="332" t="s">
        <v>99</v>
      </c>
      <c r="Z579" s="332" t="s">
        <v>99</v>
      </c>
      <c r="AA579" s="332" t="s">
        <v>99</v>
      </c>
      <c r="AB579" s="332" t="s">
        <v>99</v>
      </c>
      <c r="AC579" s="332" t="s">
        <v>99</v>
      </c>
      <c r="AD579" s="332" t="s">
        <v>99</v>
      </c>
      <c r="AE579" s="332" t="s">
        <v>99</v>
      </c>
      <c r="AF579" s="332" t="s">
        <v>99</v>
      </c>
      <c r="AG579" s="332" t="s">
        <v>99</v>
      </c>
      <c r="AH579" s="332" t="s">
        <v>99</v>
      </c>
      <c r="AI579" s="332" t="s">
        <v>99</v>
      </c>
      <c r="AJ579" s="332" t="s">
        <v>99</v>
      </c>
      <c r="AK579" s="332" t="s">
        <v>99</v>
      </c>
      <c r="AL579" s="332" t="s">
        <v>99</v>
      </c>
      <c r="AM579" s="344" t="s">
        <v>697</v>
      </c>
      <c r="AN579" s="807"/>
    </row>
    <row r="580" spans="1:40" ht="12.6">
      <c r="A580" s="990" t="s">
        <v>700</v>
      </c>
      <c r="B580" s="991" t="s">
        <v>134</v>
      </c>
      <c r="D580" s="315"/>
      <c r="E580" s="315"/>
      <c r="F580" s="332"/>
      <c r="G580" s="332"/>
      <c r="H580" s="332"/>
      <c r="I580" s="332"/>
      <c r="J580" s="332"/>
      <c r="K580" s="332"/>
      <c r="L580" s="332"/>
      <c r="M580" s="332"/>
      <c r="N580" s="332"/>
      <c r="O580" s="332"/>
      <c r="P580" s="332"/>
      <c r="Q580" s="332"/>
      <c r="R580" s="332"/>
      <c r="S580" s="332"/>
      <c r="T580" s="332"/>
      <c r="U580" s="332"/>
      <c r="V580" s="332"/>
      <c r="W580" s="332"/>
      <c r="X580" s="332"/>
      <c r="Y580" s="332"/>
      <c r="Z580" s="332"/>
      <c r="AA580" s="332"/>
      <c r="AB580" s="332"/>
      <c r="AC580" s="332"/>
      <c r="AD580" s="332"/>
      <c r="AE580" s="332"/>
      <c r="AF580" s="332"/>
      <c r="AG580" s="332"/>
      <c r="AH580" s="332"/>
      <c r="AI580" s="332"/>
      <c r="AJ580" s="332"/>
      <c r="AK580" s="332"/>
      <c r="AL580" s="332"/>
      <c r="AM580" s="315"/>
      <c r="AN580" s="315"/>
    </row>
    <row r="581" spans="1:40" s="792" customFormat="1" ht="14.25" customHeight="1">
      <c r="A581" s="989" t="s">
        <v>701</v>
      </c>
      <c r="B581" s="791"/>
      <c r="C581" s="791"/>
      <c r="D581" s="791"/>
      <c r="E581" s="791"/>
      <c r="F581" s="790"/>
      <c r="G581" s="790"/>
      <c r="H581" s="790"/>
      <c r="I581" s="790"/>
      <c r="J581" s="790"/>
      <c r="K581" s="790"/>
      <c r="L581" s="790"/>
      <c r="M581" s="790"/>
      <c r="N581" s="790"/>
      <c r="O581" s="790"/>
      <c r="P581" s="790"/>
      <c r="Q581" s="790"/>
      <c r="R581" s="790"/>
      <c r="S581" s="790"/>
      <c r="T581" s="790"/>
      <c r="U581" s="790"/>
      <c r="V581" s="790"/>
      <c r="W581" s="790"/>
      <c r="X581" s="790"/>
      <c r="Y581" s="790"/>
      <c r="Z581" s="790"/>
      <c r="AA581" s="790"/>
      <c r="AB581" s="790"/>
      <c r="AC581" s="790"/>
      <c r="AD581" s="790"/>
      <c r="AE581" s="790"/>
      <c r="AF581" s="790"/>
      <c r="AG581" s="790"/>
      <c r="AH581" s="790"/>
      <c r="AI581" s="790"/>
      <c r="AJ581" s="790"/>
      <c r="AK581" s="790"/>
      <c r="AL581" s="790"/>
      <c r="AM581" s="791"/>
      <c r="AN581" s="791"/>
    </row>
    <row r="582" spans="1:40" ht="12.6">
      <c r="A582" s="990" t="s">
        <v>702</v>
      </c>
      <c r="B582" s="991" t="s">
        <v>121</v>
      </c>
      <c r="C582" s="991"/>
      <c r="D582" s="315"/>
      <c r="E582" s="991" t="s">
        <v>122</v>
      </c>
      <c r="F582" s="332" t="s">
        <v>99</v>
      </c>
      <c r="G582" s="332" t="s">
        <v>99</v>
      </c>
      <c r="H582" s="332" t="s">
        <v>99</v>
      </c>
      <c r="I582" s="332" t="s">
        <v>99</v>
      </c>
      <c r="J582" s="332" t="s">
        <v>99</v>
      </c>
      <c r="K582" s="332" t="s">
        <v>99</v>
      </c>
      <c r="L582" s="332" t="s">
        <v>99</v>
      </c>
      <c r="M582" s="332" t="s">
        <v>99</v>
      </c>
      <c r="N582" s="332" t="s">
        <v>99</v>
      </c>
      <c r="O582" s="332" t="s">
        <v>99</v>
      </c>
      <c r="P582" s="332" t="s">
        <v>99</v>
      </c>
      <c r="Q582" s="332" t="s">
        <v>99</v>
      </c>
      <c r="R582" s="332" t="s">
        <v>99</v>
      </c>
      <c r="S582" s="332" t="s">
        <v>99</v>
      </c>
      <c r="T582" s="332" t="s">
        <v>99</v>
      </c>
      <c r="U582" s="332" t="s">
        <v>99</v>
      </c>
      <c r="V582" s="332" t="s">
        <v>99</v>
      </c>
      <c r="W582" s="332" t="s">
        <v>99</v>
      </c>
      <c r="X582" s="332" t="s">
        <v>99</v>
      </c>
      <c r="Y582" s="332" t="s">
        <v>99</v>
      </c>
      <c r="Z582" s="332" t="s">
        <v>99</v>
      </c>
      <c r="AA582" s="332" t="s">
        <v>99</v>
      </c>
      <c r="AB582" s="332" t="s">
        <v>99</v>
      </c>
      <c r="AC582" s="332" t="s">
        <v>99</v>
      </c>
      <c r="AD582" s="332" t="s">
        <v>99</v>
      </c>
      <c r="AE582" s="332" t="s">
        <v>99</v>
      </c>
      <c r="AF582" s="332" t="s">
        <v>99</v>
      </c>
      <c r="AG582" s="332" t="s">
        <v>99</v>
      </c>
      <c r="AH582" s="332" t="s">
        <v>99</v>
      </c>
      <c r="AI582" s="332" t="s">
        <v>99</v>
      </c>
      <c r="AJ582" s="332" t="s">
        <v>99</v>
      </c>
      <c r="AK582" s="332" t="s">
        <v>99</v>
      </c>
      <c r="AL582" s="332" t="s">
        <v>99</v>
      </c>
      <c r="AM582" s="344" t="s">
        <v>697</v>
      </c>
      <c r="AN582" s="807"/>
    </row>
    <row r="583" spans="1:40" ht="12.6">
      <c r="A583" s="990" t="s">
        <v>703</v>
      </c>
      <c r="B583" s="991" t="s">
        <v>124</v>
      </c>
      <c r="C583" s="991"/>
      <c r="D583" s="315"/>
      <c r="E583" s="315"/>
      <c r="F583" s="332" t="s">
        <v>126</v>
      </c>
      <c r="G583" s="332" t="s">
        <v>126</v>
      </c>
      <c r="H583" s="332" t="s">
        <v>126</v>
      </c>
      <c r="I583" s="332" t="s">
        <v>126</v>
      </c>
      <c r="J583" s="332" t="s">
        <v>126</v>
      </c>
      <c r="K583" s="332" t="s">
        <v>126</v>
      </c>
      <c r="L583" s="332" t="s">
        <v>126</v>
      </c>
      <c r="M583" s="332" t="s">
        <v>126</v>
      </c>
      <c r="N583" s="332" t="s">
        <v>126</v>
      </c>
      <c r="O583" s="332" t="s">
        <v>126</v>
      </c>
      <c r="P583" s="332" t="s">
        <v>126</v>
      </c>
      <c r="Q583" s="332" t="s">
        <v>126</v>
      </c>
      <c r="R583" s="332" t="s">
        <v>126</v>
      </c>
      <c r="S583" s="332" t="s">
        <v>126</v>
      </c>
      <c r="T583" s="332" t="s">
        <v>126</v>
      </c>
      <c r="U583" s="332" t="s">
        <v>126</v>
      </c>
      <c r="V583" s="332" t="s">
        <v>126</v>
      </c>
      <c r="W583" s="332" t="s">
        <v>126</v>
      </c>
      <c r="X583" s="332" t="s">
        <v>126</v>
      </c>
      <c r="Y583" s="332" t="s">
        <v>126</v>
      </c>
      <c r="Z583" s="332" t="s">
        <v>126</v>
      </c>
      <c r="AA583" s="332" t="s">
        <v>126</v>
      </c>
      <c r="AB583" s="332" t="s">
        <v>126</v>
      </c>
      <c r="AC583" s="332" t="s">
        <v>126</v>
      </c>
      <c r="AD583" s="332" t="s">
        <v>126</v>
      </c>
      <c r="AE583" s="332" t="s">
        <v>126</v>
      </c>
      <c r="AF583" s="332" t="s">
        <v>126</v>
      </c>
      <c r="AG583" s="332" t="s">
        <v>126</v>
      </c>
      <c r="AH583" s="332" t="s">
        <v>126</v>
      </c>
      <c r="AI583" s="332" t="s">
        <v>126</v>
      </c>
      <c r="AJ583" s="332" t="s">
        <v>126</v>
      </c>
      <c r="AK583" s="332" t="s">
        <v>126</v>
      </c>
      <c r="AL583" s="332" t="s">
        <v>126</v>
      </c>
      <c r="AM583" s="315"/>
      <c r="AN583" s="315"/>
    </row>
    <row r="584" spans="1:40" ht="12.6">
      <c r="A584" s="990" t="s">
        <v>704</v>
      </c>
      <c r="B584" s="991" t="s">
        <v>128</v>
      </c>
      <c r="C584" s="991"/>
      <c r="D584" s="991" t="s">
        <v>129</v>
      </c>
      <c r="E584" s="991" t="s">
        <v>130</v>
      </c>
      <c r="F584" s="332" t="s">
        <v>99</v>
      </c>
      <c r="G584" s="332" t="s">
        <v>99</v>
      </c>
      <c r="H584" s="332" t="s">
        <v>99</v>
      </c>
      <c r="I584" s="332" t="s">
        <v>99</v>
      </c>
      <c r="J584" s="332" t="s">
        <v>99</v>
      </c>
      <c r="K584" s="332" t="s">
        <v>99</v>
      </c>
      <c r="L584" s="332" t="s">
        <v>99</v>
      </c>
      <c r="M584" s="332" t="s">
        <v>99</v>
      </c>
      <c r="N584" s="332" t="s">
        <v>99</v>
      </c>
      <c r="O584" s="332" t="s">
        <v>99</v>
      </c>
      <c r="P584" s="332" t="s">
        <v>99</v>
      </c>
      <c r="Q584" s="332" t="s">
        <v>99</v>
      </c>
      <c r="R584" s="332" t="s">
        <v>99</v>
      </c>
      <c r="S584" s="332" t="s">
        <v>99</v>
      </c>
      <c r="T584" s="332" t="s">
        <v>99</v>
      </c>
      <c r="U584" s="332" t="s">
        <v>99</v>
      </c>
      <c r="V584" s="332" t="s">
        <v>99</v>
      </c>
      <c r="W584" s="332" t="s">
        <v>99</v>
      </c>
      <c r="X584" s="332" t="s">
        <v>99</v>
      </c>
      <c r="Y584" s="332" t="s">
        <v>99</v>
      </c>
      <c r="Z584" s="332" t="s">
        <v>99</v>
      </c>
      <c r="AA584" s="332" t="s">
        <v>99</v>
      </c>
      <c r="AB584" s="332" t="s">
        <v>99</v>
      </c>
      <c r="AC584" s="332" t="s">
        <v>99</v>
      </c>
      <c r="AD584" s="332" t="s">
        <v>99</v>
      </c>
      <c r="AE584" s="332" t="s">
        <v>99</v>
      </c>
      <c r="AF584" s="332" t="s">
        <v>99</v>
      </c>
      <c r="AG584" s="332" t="s">
        <v>99</v>
      </c>
      <c r="AH584" s="332" t="s">
        <v>99</v>
      </c>
      <c r="AI584" s="332" t="s">
        <v>99</v>
      </c>
      <c r="AJ584" s="332" t="s">
        <v>99</v>
      </c>
      <c r="AK584" s="332" t="s">
        <v>99</v>
      </c>
      <c r="AL584" s="332" t="s">
        <v>99</v>
      </c>
      <c r="AM584" s="344" t="s">
        <v>697</v>
      </c>
      <c r="AN584" s="807"/>
    </row>
    <row r="585" spans="1:40" ht="12.6">
      <c r="A585" s="990" t="s">
        <v>705</v>
      </c>
      <c r="B585" s="991" t="s">
        <v>134</v>
      </c>
      <c r="D585" s="315"/>
      <c r="E585" s="315"/>
      <c r="F585" s="332"/>
      <c r="G585" s="332"/>
      <c r="H585" s="332"/>
      <c r="I585" s="332"/>
      <c r="J585" s="332"/>
      <c r="K585" s="332"/>
      <c r="L585" s="332"/>
      <c r="M585" s="332"/>
      <c r="N585" s="332"/>
      <c r="O585" s="332"/>
      <c r="P585" s="332"/>
      <c r="Q585" s="332"/>
      <c r="R585" s="332"/>
      <c r="S585" s="332"/>
      <c r="T585" s="332"/>
      <c r="U585" s="332"/>
      <c r="V585" s="332"/>
      <c r="W585" s="332"/>
      <c r="X585" s="332"/>
      <c r="Y585" s="332"/>
      <c r="Z585" s="332"/>
      <c r="AA585" s="332"/>
      <c r="AB585" s="332"/>
      <c r="AC585" s="332"/>
      <c r="AD585" s="332"/>
      <c r="AE585" s="332"/>
      <c r="AF585" s="332"/>
      <c r="AG585" s="332"/>
      <c r="AH585" s="332"/>
      <c r="AI585" s="332"/>
      <c r="AJ585" s="332"/>
      <c r="AK585" s="332"/>
      <c r="AL585" s="332"/>
      <c r="AM585" s="315"/>
      <c r="AN585" s="315"/>
    </row>
    <row r="586" spans="1:40" s="792" customFormat="1" ht="14.25" customHeight="1">
      <c r="A586" s="989" t="s">
        <v>706</v>
      </c>
      <c r="B586" s="791"/>
      <c r="C586" s="791"/>
      <c r="D586" s="791"/>
      <c r="E586" s="791"/>
      <c r="F586" s="790"/>
      <c r="G586" s="790"/>
      <c r="H586" s="790"/>
      <c r="I586" s="790"/>
      <c r="J586" s="790"/>
      <c r="K586" s="790"/>
      <c r="L586" s="790"/>
      <c r="M586" s="790"/>
      <c r="N586" s="790"/>
      <c r="O586" s="790"/>
      <c r="P586" s="790"/>
      <c r="Q586" s="790"/>
      <c r="R586" s="790"/>
      <c r="S586" s="790"/>
      <c r="T586" s="790"/>
      <c r="U586" s="790"/>
      <c r="V586" s="790"/>
      <c r="W586" s="790"/>
      <c r="X586" s="790"/>
      <c r="Y586" s="790"/>
      <c r="Z586" s="790"/>
      <c r="AA586" s="790"/>
      <c r="AB586" s="790"/>
      <c r="AC586" s="790"/>
      <c r="AD586" s="790"/>
      <c r="AE586" s="790"/>
      <c r="AF586" s="790"/>
      <c r="AG586" s="790"/>
      <c r="AH586" s="790"/>
      <c r="AI586" s="790"/>
      <c r="AJ586" s="790"/>
      <c r="AK586" s="790"/>
      <c r="AL586" s="790"/>
      <c r="AM586" s="791"/>
      <c r="AN586" s="791"/>
    </row>
    <row r="587" spans="1:40" ht="12.6">
      <c r="A587" s="990" t="s">
        <v>707</v>
      </c>
      <c r="B587" s="991" t="s">
        <v>121</v>
      </c>
      <c r="C587" s="991"/>
      <c r="D587" s="315"/>
      <c r="E587" s="991" t="s">
        <v>122</v>
      </c>
      <c r="F587" s="332" t="s">
        <v>99</v>
      </c>
      <c r="G587" s="332" t="s">
        <v>99</v>
      </c>
      <c r="H587" s="332" t="s">
        <v>99</v>
      </c>
      <c r="I587" s="332" t="s">
        <v>99</v>
      </c>
      <c r="J587" s="332" t="s">
        <v>99</v>
      </c>
      <c r="K587" s="332" t="s">
        <v>99</v>
      </c>
      <c r="L587" s="332" t="s">
        <v>99</v>
      </c>
      <c r="M587" s="332" t="s">
        <v>99</v>
      </c>
      <c r="N587" s="332" t="s">
        <v>99</v>
      </c>
      <c r="O587" s="332" t="s">
        <v>99</v>
      </c>
      <c r="P587" s="332" t="s">
        <v>99</v>
      </c>
      <c r="Q587" s="332" t="s">
        <v>99</v>
      </c>
      <c r="R587" s="332" t="s">
        <v>99</v>
      </c>
      <c r="S587" s="332" t="s">
        <v>99</v>
      </c>
      <c r="T587" s="332" t="s">
        <v>99</v>
      </c>
      <c r="U587" s="332" t="s">
        <v>99</v>
      </c>
      <c r="V587" s="332" t="s">
        <v>99</v>
      </c>
      <c r="W587" s="332" t="s">
        <v>99</v>
      </c>
      <c r="X587" s="332" t="s">
        <v>99</v>
      </c>
      <c r="Y587" s="332" t="s">
        <v>99</v>
      </c>
      <c r="Z587" s="332" t="s">
        <v>99</v>
      </c>
      <c r="AA587" s="332" t="s">
        <v>99</v>
      </c>
      <c r="AB587" s="332" t="s">
        <v>99</v>
      </c>
      <c r="AC587" s="332" t="s">
        <v>99</v>
      </c>
      <c r="AD587" s="332" t="s">
        <v>99</v>
      </c>
      <c r="AE587" s="332" t="s">
        <v>99</v>
      </c>
      <c r="AF587" s="332" t="s">
        <v>99</v>
      </c>
      <c r="AG587" s="332" t="s">
        <v>99</v>
      </c>
      <c r="AH587" s="332" t="s">
        <v>99</v>
      </c>
      <c r="AI587" s="332" t="s">
        <v>99</v>
      </c>
      <c r="AJ587" s="332" t="s">
        <v>99</v>
      </c>
      <c r="AK587" s="332" t="s">
        <v>99</v>
      </c>
      <c r="AL587" s="332" t="s">
        <v>99</v>
      </c>
      <c r="AM587" s="344" t="s">
        <v>697</v>
      </c>
      <c r="AN587" s="807"/>
    </row>
    <row r="588" spans="1:40" ht="12.6">
      <c r="A588" s="990" t="s">
        <v>708</v>
      </c>
      <c r="B588" s="991" t="s">
        <v>124</v>
      </c>
      <c r="C588" s="991"/>
      <c r="D588" s="315"/>
      <c r="E588" s="315"/>
      <c r="F588" s="332" t="s">
        <v>126</v>
      </c>
      <c r="G588" s="332" t="s">
        <v>126</v>
      </c>
      <c r="H588" s="332" t="s">
        <v>126</v>
      </c>
      <c r="I588" s="332" t="s">
        <v>126</v>
      </c>
      <c r="J588" s="332" t="s">
        <v>126</v>
      </c>
      <c r="K588" s="332" t="s">
        <v>126</v>
      </c>
      <c r="L588" s="332" t="s">
        <v>126</v>
      </c>
      <c r="M588" s="332" t="s">
        <v>126</v>
      </c>
      <c r="N588" s="332" t="s">
        <v>126</v>
      </c>
      <c r="O588" s="332" t="s">
        <v>126</v>
      </c>
      <c r="P588" s="332" t="s">
        <v>126</v>
      </c>
      <c r="Q588" s="332" t="s">
        <v>126</v>
      </c>
      <c r="R588" s="332" t="s">
        <v>126</v>
      </c>
      <c r="S588" s="332" t="s">
        <v>126</v>
      </c>
      <c r="T588" s="332" t="s">
        <v>126</v>
      </c>
      <c r="U588" s="332" t="s">
        <v>126</v>
      </c>
      <c r="V588" s="332" t="s">
        <v>126</v>
      </c>
      <c r="W588" s="332" t="s">
        <v>126</v>
      </c>
      <c r="X588" s="332" t="s">
        <v>126</v>
      </c>
      <c r="Y588" s="332" t="s">
        <v>126</v>
      </c>
      <c r="Z588" s="332" t="s">
        <v>126</v>
      </c>
      <c r="AA588" s="332" t="s">
        <v>126</v>
      </c>
      <c r="AB588" s="332" t="s">
        <v>126</v>
      </c>
      <c r="AC588" s="332" t="s">
        <v>126</v>
      </c>
      <c r="AD588" s="332" t="s">
        <v>126</v>
      </c>
      <c r="AE588" s="332" t="s">
        <v>126</v>
      </c>
      <c r="AF588" s="332" t="s">
        <v>126</v>
      </c>
      <c r="AG588" s="332" t="s">
        <v>126</v>
      </c>
      <c r="AH588" s="332" t="s">
        <v>126</v>
      </c>
      <c r="AI588" s="332" t="s">
        <v>126</v>
      </c>
      <c r="AJ588" s="332" t="s">
        <v>126</v>
      </c>
      <c r="AK588" s="332" t="s">
        <v>126</v>
      </c>
      <c r="AL588" s="332" t="s">
        <v>126</v>
      </c>
      <c r="AM588" s="315"/>
      <c r="AN588" s="315"/>
    </row>
    <row r="589" spans="1:40" ht="12.6">
      <c r="A589" s="990" t="s">
        <v>709</v>
      </c>
      <c r="B589" s="991" t="s">
        <v>128</v>
      </c>
      <c r="C589" s="991"/>
      <c r="D589" s="991" t="s">
        <v>129</v>
      </c>
      <c r="E589" s="991" t="s">
        <v>130</v>
      </c>
      <c r="F589" s="332" t="s">
        <v>99</v>
      </c>
      <c r="G589" s="332" t="s">
        <v>99</v>
      </c>
      <c r="H589" s="332" t="s">
        <v>99</v>
      </c>
      <c r="I589" s="332" t="s">
        <v>99</v>
      </c>
      <c r="J589" s="332" t="s">
        <v>99</v>
      </c>
      <c r="K589" s="332" t="s">
        <v>99</v>
      </c>
      <c r="L589" s="332" t="s">
        <v>99</v>
      </c>
      <c r="M589" s="332" t="s">
        <v>99</v>
      </c>
      <c r="N589" s="332" t="s">
        <v>99</v>
      </c>
      <c r="O589" s="332" t="s">
        <v>99</v>
      </c>
      <c r="P589" s="332" t="s">
        <v>99</v>
      </c>
      <c r="Q589" s="332" t="s">
        <v>99</v>
      </c>
      <c r="R589" s="332" t="s">
        <v>99</v>
      </c>
      <c r="S589" s="332" t="s">
        <v>99</v>
      </c>
      <c r="T589" s="332" t="s">
        <v>99</v>
      </c>
      <c r="U589" s="332" t="s">
        <v>99</v>
      </c>
      <c r="V589" s="332" t="s">
        <v>99</v>
      </c>
      <c r="W589" s="332" t="s">
        <v>99</v>
      </c>
      <c r="X589" s="332" t="s">
        <v>99</v>
      </c>
      <c r="Y589" s="332" t="s">
        <v>99</v>
      </c>
      <c r="Z589" s="332" t="s">
        <v>99</v>
      </c>
      <c r="AA589" s="332" t="s">
        <v>99</v>
      </c>
      <c r="AB589" s="332" t="s">
        <v>99</v>
      </c>
      <c r="AC589" s="332" t="s">
        <v>99</v>
      </c>
      <c r="AD589" s="332" t="s">
        <v>99</v>
      </c>
      <c r="AE589" s="332" t="s">
        <v>99</v>
      </c>
      <c r="AF589" s="332" t="s">
        <v>99</v>
      </c>
      <c r="AG589" s="332" t="s">
        <v>99</v>
      </c>
      <c r="AH589" s="332" t="s">
        <v>99</v>
      </c>
      <c r="AI589" s="332" t="s">
        <v>99</v>
      </c>
      <c r="AJ589" s="332" t="s">
        <v>99</v>
      </c>
      <c r="AK589" s="332" t="s">
        <v>99</v>
      </c>
      <c r="AL589" s="332" t="s">
        <v>99</v>
      </c>
      <c r="AM589" s="344" t="s">
        <v>697</v>
      </c>
      <c r="AN589" s="807"/>
    </row>
    <row r="590" spans="1:40" ht="12.6">
      <c r="A590" s="990" t="s">
        <v>710</v>
      </c>
      <c r="B590" s="991" t="s">
        <v>134</v>
      </c>
      <c r="D590" s="315"/>
      <c r="E590" s="315"/>
      <c r="F590" s="332"/>
      <c r="G590" s="332"/>
      <c r="H590" s="332"/>
      <c r="I590" s="332"/>
      <c r="J590" s="332"/>
      <c r="K590" s="332"/>
      <c r="L590" s="332"/>
      <c r="M590" s="332"/>
      <c r="N590" s="332"/>
      <c r="O590" s="332"/>
      <c r="P590" s="332"/>
      <c r="Q590" s="332"/>
      <c r="R590" s="332"/>
      <c r="S590" s="332"/>
      <c r="T590" s="332"/>
      <c r="U590" s="332"/>
      <c r="V590" s="332"/>
      <c r="W590" s="332"/>
      <c r="X590" s="332"/>
      <c r="Y590" s="332"/>
      <c r="Z590" s="332"/>
      <c r="AA590" s="332"/>
      <c r="AB590" s="332"/>
      <c r="AC590" s="332"/>
      <c r="AD590" s="332"/>
      <c r="AE590" s="332"/>
      <c r="AF590" s="332"/>
      <c r="AG590" s="332"/>
      <c r="AH590" s="332"/>
      <c r="AI590" s="332"/>
      <c r="AJ590" s="332"/>
      <c r="AK590" s="332"/>
      <c r="AL590" s="332"/>
      <c r="AM590" s="315"/>
      <c r="AN590" s="315"/>
    </row>
    <row r="591" spans="1:40" s="792" customFormat="1" ht="14.25" customHeight="1">
      <c r="A591" s="989" t="s">
        <v>711</v>
      </c>
      <c r="B591" s="791"/>
      <c r="C591" s="791"/>
      <c r="D591" s="791"/>
      <c r="E591" s="791"/>
      <c r="F591" s="790"/>
      <c r="G591" s="790"/>
      <c r="H591" s="790"/>
      <c r="I591" s="790"/>
      <c r="J591" s="790"/>
      <c r="K591" s="790"/>
      <c r="L591" s="790"/>
      <c r="M591" s="790"/>
      <c r="N591" s="790"/>
      <c r="O591" s="790"/>
      <c r="P591" s="790"/>
      <c r="Q591" s="790"/>
      <c r="R591" s="790"/>
      <c r="S591" s="790"/>
      <c r="T591" s="790"/>
      <c r="U591" s="790"/>
      <c r="V591" s="790"/>
      <c r="W591" s="790"/>
      <c r="X591" s="790"/>
      <c r="Y591" s="790"/>
      <c r="Z591" s="790"/>
      <c r="AA591" s="790"/>
      <c r="AB591" s="790"/>
      <c r="AC591" s="790"/>
      <c r="AD591" s="790"/>
      <c r="AE591" s="790"/>
      <c r="AF591" s="790"/>
      <c r="AG591" s="790"/>
      <c r="AH591" s="790"/>
      <c r="AI591" s="790"/>
      <c r="AJ591" s="790"/>
      <c r="AK591" s="790"/>
      <c r="AL591" s="790"/>
      <c r="AM591" s="791"/>
      <c r="AN591" s="791"/>
    </row>
    <row r="592" spans="1:40" ht="12.6">
      <c r="A592" s="990" t="s">
        <v>712</v>
      </c>
      <c r="B592" s="991" t="s">
        <v>121</v>
      </c>
      <c r="C592" s="991"/>
      <c r="D592" s="315"/>
      <c r="E592" s="991" t="s">
        <v>122</v>
      </c>
      <c r="F592" s="332" t="s">
        <v>99</v>
      </c>
      <c r="G592" s="332" t="s">
        <v>99</v>
      </c>
      <c r="H592" s="332" t="s">
        <v>99</v>
      </c>
      <c r="I592" s="332" t="s">
        <v>99</v>
      </c>
      <c r="J592" s="332" t="s">
        <v>99</v>
      </c>
      <c r="K592" s="332" t="s">
        <v>99</v>
      </c>
      <c r="L592" s="332" t="s">
        <v>99</v>
      </c>
      <c r="M592" s="332" t="s">
        <v>99</v>
      </c>
      <c r="N592" s="332" t="s">
        <v>99</v>
      </c>
      <c r="O592" s="332" t="s">
        <v>99</v>
      </c>
      <c r="P592" s="332" t="s">
        <v>99</v>
      </c>
      <c r="Q592" s="332" t="s">
        <v>99</v>
      </c>
      <c r="R592" s="332" t="s">
        <v>99</v>
      </c>
      <c r="S592" s="332" t="s">
        <v>99</v>
      </c>
      <c r="T592" s="332" t="s">
        <v>99</v>
      </c>
      <c r="U592" s="332" t="s">
        <v>99</v>
      </c>
      <c r="V592" s="332" t="s">
        <v>99</v>
      </c>
      <c r="W592" s="332" t="s">
        <v>99</v>
      </c>
      <c r="X592" s="332" t="s">
        <v>99</v>
      </c>
      <c r="Y592" s="332" t="s">
        <v>99</v>
      </c>
      <c r="Z592" s="332" t="s">
        <v>99</v>
      </c>
      <c r="AA592" s="332" t="s">
        <v>99</v>
      </c>
      <c r="AB592" s="332" t="s">
        <v>99</v>
      </c>
      <c r="AC592" s="332" t="s">
        <v>99</v>
      </c>
      <c r="AD592" s="332" t="s">
        <v>99</v>
      </c>
      <c r="AE592" s="332" t="s">
        <v>99</v>
      </c>
      <c r="AF592" s="332" t="s">
        <v>99</v>
      </c>
      <c r="AG592" s="332" t="s">
        <v>99</v>
      </c>
      <c r="AH592" s="332" t="s">
        <v>99</v>
      </c>
      <c r="AI592" s="332" t="s">
        <v>99</v>
      </c>
      <c r="AJ592" s="332" t="s">
        <v>99</v>
      </c>
      <c r="AK592" s="332" t="s">
        <v>99</v>
      </c>
      <c r="AL592" s="332" t="s">
        <v>99</v>
      </c>
      <c r="AM592" s="344" t="s">
        <v>697</v>
      </c>
      <c r="AN592" s="807"/>
    </row>
    <row r="593" spans="1:40" ht="12.6">
      <c r="A593" s="990" t="s">
        <v>713</v>
      </c>
      <c r="B593" s="991" t="s">
        <v>124</v>
      </c>
      <c r="C593" s="991"/>
      <c r="D593" s="315"/>
      <c r="E593" s="315"/>
      <c r="F593" s="332" t="s">
        <v>126</v>
      </c>
      <c r="G593" s="332" t="s">
        <v>126</v>
      </c>
      <c r="H593" s="332" t="s">
        <v>126</v>
      </c>
      <c r="I593" s="332" t="s">
        <v>126</v>
      </c>
      <c r="J593" s="332" t="s">
        <v>126</v>
      </c>
      <c r="K593" s="332" t="s">
        <v>126</v>
      </c>
      <c r="L593" s="332" t="s">
        <v>126</v>
      </c>
      <c r="M593" s="332" t="s">
        <v>126</v>
      </c>
      <c r="N593" s="332" t="s">
        <v>126</v>
      </c>
      <c r="O593" s="332" t="s">
        <v>126</v>
      </c>
      <c r="P593" s="332" t="s">
        <v>126</v>
      </c>
      <c r="Q593" s="332" t="s">
        <v>126</v>
      </c>
      <c r="R593" s="332" t="s">
        <v>126</v>
      </c>
      <c r="S593" s="332" t="s">
        <v>126</v>
      </c>
      <c r="T593" s="332" t="s">
        <v>126</v>
      </c>
      <c r="U593" s="332" t="s">
        <v>126</v>
      </c>
      <c r="V593" s="332" t="s">
        <v>126</v>
      </c>
      <c r="W593" s="332" t="s">
        <v>126</v>
      </c>
      <c r="X593" s="332" t="s">
        <v>126</v>
      </c>
      <c r="Y593" s="332" t="s">
        <v>126</v>
      </c>
      <c r="Z593" s="332" t="s">
        <v>126</v>
      </c>
      <c r="AA593" s="332" t="s">
        <v>126</v>
      </c>
      <c r="AB593" s="332" t="s">
        <v>126</v>
      </c>
      <c r="AC593" s="332" t="s">
        <v>126</v>
      </c>
      <c r="AD593" s="332" t="s">
        <v>126</v>
      </c>
      <c r="AE593" s="332" t="s">
        <v>126</v>
      </c>
      <c r="AF593" s="332" t="s">
        <v>126</v>
      </c>
      <c r="AG593" s="332" t="s">
        <v>126</v>
      </c>
      <c r="AH593" s="332" t="s">
        <v>126</v>
      </c>
      <c r="AI593" s="332" t="s">
        <v>126</v>
      </c>
      <c r="AJ593" s="332" t="s">
        <v>126</v>
      </c>
      <c r="AK593" s="332" t="s">
        <v>126</v>
      </c>
      <c r="AL593" s="332" t="s">
        <v>126</v>
      </c>
      <c r="AM593" s="315"/>
      <c r="AN593" s="315"/>
    </row>
    <row r="594" spans="1:40" ht="12.6">
      <c r="A594" s="990" t="s">
        <v>714</v>
      </c>
      <c r="B594" s="991" t="s">
        <v>128</v>
      </c>
      <c r="C594" s="991"/>
      <c r="D594" s="991" t="s">
        <v>129</v>
      </c>
      <c r="E594" s="991" t="s">
        <v>130</v>
      </c>
      <c r="F594" s="332" t="s">
        <v>99</v>
      </c>
      <c r="G594" s="332" t="s">
        <v>99</v>
      </c>
      <c r="H594" s="332" t="s">
        <v>99</v>
      </c>
      <c r="I594" s="332" t="s">
        <v>99</v>
      </c>
      <c r="J594" s="332" t="s">
        <v>99</v>
      </c>
      <c r="K594" s="332" t="s">
        <v>99</v>
      </c>
      <c r="L594" s="332" t="s">
        <v>99</v>
      </c>
      <c r="M594" s="332" t="s">
        <v>99</v>
      </c>
      <c r="N594" s="332" t="s">
        <v>99</v>
      </c>
      <c r="O594" s="332" t="s">
        <v>99</v>
      </c>
      <c r="P594" s="332" t="s">
        <v>99</v>
      </c>
      <c r="Q594" s="332" t="s">
        <v>99</v>
      </c>
      <c r="R594" s="332" t="s">
        <v>99</v>
      </c>
      <c r="S594" s="332" t="s">
        <v>99</v>
      </c>
      <c r="T594" s="332" t="s">
        <v>99</v>
      </c>
      <c r="U594" s="332" t="s">
        <v>99</v>
      </c>
      <c r="V594" s="332" t="s">
        <v>99</v>
      </c>
      <c r="W594" s="332" t="s">
        <v>99</v>
      </c>
      <c r="X594" s="332" t="s">
        <v>99</v>
      </c>
      <c r="Y594" s="332" t="s">
        <v>99</v>
      </c>
      <c r="Z594" s="332" t="s">
        <v>99</v>
      </c>
      <c r="AA594" s="332" t="s">
        <v>99</v>
      </c>
      <c r="AB594" s="332" t="s">
        <v>99</v>
      </c>
      <c r="AC594" s="332" t="s">
        <v>99</v>
      </c>
      <c r="AD594" s="332" t="s">
        <v>99</v>
      </c>
      <c r="AE594" s="332" t="s">
        <v>99</v>
      </c>
      <c r="AF594" s="332" t="s">
        <v>99</v>
      </c>
      <c r="AG594" s="332" t="s">
        <v>99</v>
      </c>
      <c r="AH594" s="332" t="s">
        <v>99</v>
      </c>
      <c r="AI594" s="332" t="s">
        <v>99</v>
      </c>
      <c r="AJ594" s="332" t="s">
        <v>99</v>
      </c>
      <c r="AK594" s="332" t="s">
        <v>99</v>
      </c>
      <c r="AL594" s="332" t="s">
        <v>99</v>
      </c>
      <c r="AM594" s="344" t="s">
        <v>715</v>
      </c>
      <c r="AN594" s="807"/>
    </row>
    <row r="595" spans="1:40" ht="12.6">
      <c r="A595" s="990" t="s">
        <v>716</v>
      </c>
      <c r="B595" s="991" t="s">
        <v>134</v>
      </c>
      <c r="D595" s="315"/>
      <c r="E595" s="315"/>
      <c r="F595" s="332"/>
      <c r="G595" s="332"/>
      <c r="H595" s="332"/>
      <c r="I595" s="332"/>
      <c r="J595" s="332"/>
      <c r="K595" s="332"/>
      <c r="L595" s="332"/>
      <c r="M595" s="332"/>
      <c r="N595" s="332"/>
      <c r="O595" s="332"/>
      <c r="P595" s="332"/>
      <c r="Q595" s="332"/>
      <c r="R595" s="332"/>
      <c r="S595" s="332"/>
      <c r="T595" s="332"/>
      <c r="U595" s="332"/>
      <c r="V595" s="332"/>
      <c r="W595" s="332"/>
      <c r="X595" s="332"/>
      <c r="Y595" s="332"/>
      <c r="Z595" s="332"/>
      <c r="AA595" s="332"/>
      <c r="AB595" s="332"/>
      <c r="AC595" s="332"/>
      <c r="AD595" s="332"/>
      <c r="AE595" s="332"/>
      <c r="AF595" s="332"/>
      <c r="AG595" s="332"/>
      <c r="AH595" s="332"/>
      <c r="AI595" s="332"/>
      <c r="AJ595" s="332"/>
      <c r="AK595" s="332"/>
      <c r="AL595" s="332"/>
      <c r="AM595" s="315"/>
      <c r="AN595" s="315"/>
    </row>
    <row r="596" spans="1:40" s="792" customFormat="1" ht="14.25" customHeight="1">
      <c r="A596" s="989" t="s">
        <v>717</v>
      </c>
      <c r="B596" s="791"/>
      <c r="C596" s="791"/>
      <c r="D596" s="791"/>
      <c r="E596" s="791"/>
      <c r="F596" s="790"/>
      <c r="G596" s="790"/>
      <c r="H596" s="790"/>
      <c r="I596" s="790"/>
      <c r="J596" s="790"/>
      <c r="K596" s="790"/>
      <c r="L596" s="790"/>
      <c r="M596" s="790"/>
      <c r="N596" s="790"/>
      <c r="O596" s="790"/>
      <c r="P596" s="790"/>
      <c r="Q596" s="790"/>
      <c r="R596" s="790"/>
      <c r="S596" s="790"/>
      <c r="T596" s="790"/>
      <c r="U596" s="790"/>
      <c r="V596" s="790"/>
      <c r="W596" s="790"/>
      <c r="X596" s="790"/>
      <c r="Y596" s="790"/>
      <c r="Z596" s="790"/>
      <c r="AA596" s="790"/>
      <c r="AB596" s="790"/>
      <c r="AC596" s="790"/>
      <c r="AD596" s="790"/>
      <c r="AE596" s="790"/>
      <c r="AF596" s="790"/>
      <c r="AG596" s="790"/>
      <c r="AH596" s="790"/>
      <c r="AI596" s="790"/>
      <c r="AJ596" s="790"/>
      <c r="AK596" s="790"/>
      <c r="AL596" s="790"/>
      <c r="AM596" s="791"/>
      <c r="AN596" s="791"/>
    </row>
    <row r="597" spans="1:40" ht="12.6">
      <c r="A597" s="990" t="s">
        <v>718</v>
      </c>
      <c r="B597" s="991" t="s">
        <v>121</v>
      </c>
      <c r="C597" s="991"/>
      <c r="D597" s="315"/>
      <c r="E597" s="991" t="s">
        <v>122</v>
      </c>
      <c r="F597" s="332" t="s">
        <v>99</v>
      </c>
      <c r="G597" s="332" t="s">
        <v>99</v>
      </c>
      <c r="H597" s="332" t="s">
        <v>99</v>
      </c>
      <c r="I597" s="332" t="s">
        <v>99</v>
      </c>
      <c r="J597" s="332" t="s">
        <v>99</v>
      </c>
      <c r="K597" s="332" t="s">
        <v>99</v>
      </c>
      <c r="L597" s="332" t="s">
        <v>99</v>
      </c>
      <c r="M597" s="332" t="s">
        <v>99</v>
      </c>
      <c r="N597" s="332" t="s">
        <v>99</v>
      </c>
      <c r="O597" s="332" t="s">
        <v>99</v>
      </c>
      <c r="P597" s="332" t="s">
        <v>99</v>
      </c>
      <c r="Q597" s="332" t="s">
        <v>99</v>
      </c>
      <c r="R597" s="332" t="s">
        <v>99</v>
      </c>
      <c r="S597" s="332" t="s">
        <v>99</v>
      </c>
      <c r="T597" s="332" t="s">
        <v>99</v>
      </c>
      <c r="U597" s="332" t="s">
        <v>99</v>
      </c>
      <c r="V597" s="332" t="s">
        <v>99</v>
      </c>
      <c r="W597" s="332" t="s">
        <v>99</v>
      </c>
      <c r="X597" s="332" t="s">
        <v>99</v>
      </c>
      <c r="Y597" s="332" t="s">
        <v>99</v>
      </c>
      <c r="Z597" s="332" t="s">
        <v>99</v>
      </c>
      <c r="AA597" s="332" t="s">
        <v>99</v>
      </c>
      <c r="AB597" s="332" t="s">
        <v>99</v>
      </c>
      <c r="AC597" s="332" t="s">
        <v>99</v>
      </c>
      <c r="AD597" s="332" t="s">
        <v>99</v>
      </c>
      <c r="AE597" s="332" t="s">
        <v>99</v>
      </c>
      <c r="AF597" s="332" t="s">
        <v>99</v>
      </c>
      <c r="AG597" s="332" t="s">
        <v>99</v>
      </c>
      <c r="AH597" s="332" t="s">
        <v>99</v>
      </c>
      <c r="AI597" s="332" t="s">
        <v>99</v>
      </c>
      <c r="AJ597" s="332" t="s">
        <v>99</v>
      </c>
      <c r="AK597" s="332" t="s">
        <v>99</v>
      </c>
      <c r="AL597" s="332" t="s">
        <v>99</v>
      </c>
      <c r="AM597" s="344" t="s">
        <v>715</v>
      </c>
      <c r="AN597" s="807"/>
    </row>
    <row r="598" spans="1:40" ht="12.6">
      <c r="A598" s="990" t="s">
        <v>719</v>
      </c>
      <c r="B598" s="991" t="s">
        <v>124</v>
      </c>
      <c r="C598" s="991"/>
      <c r="D598" s="315"/>
      <c r="E598" s="315"/>
      <c r="F598" s="332" t="s">
        <v>126</v>
      </c>
      <c r="G598" s="332" t="s">
        <v>126</v>
      </c>
      <c r="H598" s="332" t="s">
        <v>126</v>
      </c>
      <c r="I598" s="332" t="s">
        <v>126</v>
      </c>
      <c r="J598" s="332" t="s">
        <v>126</v>
      </c>
      <c r="K598" s="332" t="s">
        <v>126</v>
      </c>
      <c r="L598" s="332" t="s">
        <v>126</v>
      </c>
      <c r="M598" s="332" t="s">
        <v>126</v>
      </c>
      <c r="N598" s="332" t="s">
        <v>126</v>
      </c>
      <c r="O598" s="332" t="s">
        <v>126</v>
      </c>
      <c r="P598" s="332" t="s">
        <v>126</v>
      </c>
      <c r="Q598" s="332" t="s">
        <v>126</v>
      </c>
      <c r="R598" s="332" t="s">
        <v>126</v>
      </c>
      <c r="S598" s="332" t="s">
        <v>126</v>
      </c>
      <c r="T598" s="332" t="s">
        <v>126</v>
      </c>
      <c r="U598" s="332" t="s">
        <v>126</v>
      </c>
      <c r="V598" s="332" t="s">
        <v>126</v>
      </c>
      <c r="W598" s="332" t="s">
        <v>126</v>
      </c>
      <c r="X598" s="332" t="s">
        <v>126</v>
      </c>
      <c r="Y598" s="332" t="s">
        <v>126</v>
      </c>
      <c r="Z598" s="332" t="s">
        <v>126</v>
      </c>
      <c r="AA598" s="332" t="s">
        <v>126</v>
      </c>
      <c r="AB598" s="332" t="s">
        <v>126</v>
      </c>
      <c r="AC598" s="332" t="s">
        <v>126</v>
      </c>
      <c r="AD598" s="332" t="s">
        <v>126</v>
      </c>
      <c r="AE598" s="332" t="s">
        <v>126</v>
      </c>
      <c r="AF598" s="332" t="s">
        <v>126</v>
      </c>
      <c r="AG598" s="332" t="s">
        <v>126</v>
      </c>
      <c r="AH598" s="332" t="s">
        <v>126</v>
      </c>
      <c r="AI598" s="332" t="s">
        <v>126</v>
      </c>
      <c r="AJ598" s="332" t="s">
        <v>126</v>
      </c>
      <c r="AK598" s="332" t="s">
        <v>126</v>
      </c>
      <c r="AL598" s="332" t="s">
        <v>126</v>
      </c>
      <c r="AM598" s="315"/>
      <c r="AN598" s="315"/>
    </row>
    <row r="599" spans="1:40" ht="12.6">
      <c r="A599" s="990" t="s">
        <v>720</v>
      </c>
      <c r="B599" s="991" t="s">
        <v>128</v>
      </c>
      <c r="C599" s="991"/>
      <c r="D599" s="991" t="s">
        <v>129</v>
      </c>
      <c r="E599" s="991" t="s">
        <v>130</v>
      </c>
      <c r="F599" s="332" t="s">
        <v>99</v>
      </c>
      <c r="G599" s="332" t="s">
        <v>99</v>
      </c>
      <c r="H599" s="332" t="s">
        <v>99</v>
      </c>
      <c r="I599" s="332" t="s">
        <v>99</v>
      </c>
      <c r="J599" s="332" t="s">
        <v>99</v>
      </c>
      <c r="K599" s="332" t="s">
        <v>99</v>
      </c>
      <c r="L599" s="332" t="s">
        <v>99</v>
      </c>
      <c r="M599" s="332" t="s">
        <v>99</v>
      </c>
      <c r="N599" s="332" t="s">
        <v>99</v>
      </c>
      <c r="O599" s="332" t="s">
        <v>99</v>
      </c>
      <c r="P599" s="332" t="s">
        <v>99</v>
      </c>
      <c r="Q599" s="332" t="s">
        <v>99</v>
      </c>
      <c r="R599" s="332" t="s">
        <v>99</v>
      </c>
      <c r="S599" s="332" t="s">
        <v>99</v>
      </c>
      <c r="T599" s="332" t="s">
        <v>99</v>
      </c>
      <c r="U599" s="332" t="s">
        <v>99</v>
      </c>
      <c r="V599" s="332" t="s">
        <v>99</v>
      </c>
      <c r="W599" s="332" t="s">
        <v>99</v>
      </c>
      <c r="X599" s="332" t="s">
        <v>99</v>
      </c>
      <c r="Y599" s="332" t="s">
        <v>99</v>
      </c>
      <c r="Z599" s="332" t="s">
        <v>99</v>
      </c>
      <c r="AA599" s="332" t="s">
        <v>99</v>
      </c>
      <c r="AB599" s="332" t="s">
        <v>99</v>
      </c>
      <c r="AC599" s="332" t="s">
        <v>99</v>
      </c>
      <c r="AD599" s="332" t="s">
        <v>99</v>
      </c>
      <c r="AE599" s="332" t="s">
        <v>99</v>
      </c>
      <c r="AF599" s="332" t="s">
        <v>99</v>
      </c>
      <c r="AG599" s="332" t="s">
        <v>99</v>
      </c>
      <c r="AH599" s="332" t="s">
        <v>99</v>
      </c>
      <c r="AI599" s="332" t="s">
        <v>99</v>
      </c>
      <c r="AJ599" s="332" t="s">
        <v>99</v>
      </c>
      <c r="AK599" s="332" t="s">
        <v>99</v>
      </c>
      <c r="AL599" s="332" t="s">
        <v>99</v>
      </c>
      <c r="AM599" s="344" t="s">
        <v>715</v>
      </c>
      <c r="AN599" s="807"/>
    </row>
    <row r="600" spans="1:40" ht="12.6">
      <c r="A600" s="990" t="s">
        <v>721</v>
      </c>
      <c r="B600" s="991" t="s">
        <v>134</v>
      </c>
      <c r="D600" s="315"/>
      <c r="E600" s="315"/>
      <c r="F600" s="332"/>
      <c r="G600" s="332"/>
      <c r="H600" s="332"/>
      <c r="I600" s="332"/>
      <c r="J600" s="332"/>
      <c r="K600" s="332"/>
      <c r="L600" s="332"/>
      <c r="M600" s="332"/>
      <c r="N600" s="332"/>
      <c r="O600" s="332"/>
      <c r="P600" s="332"/>
      <c r="Q600" s="332"/>
      <c r="R600" s="332"/>
      <c r="S600" s="332"/>
      <c r="T600" s="332"/>
      <c r="U600" s="332"/>
      <c r="V600" s="332"/>
      <c r="W600" s="332"/>
      <c r="X600" s="332"/>
      <c r="Y600" s="332"/>
      <c r="Z600" s="332"/>
      <c r="AA600" s="332"/>
      <c r="AB600" s="332"/>
      <c r="AC600" s="332"/>
      <c r="AD600" s="332"/>
      <c r="AE600" s="332"/>
      <c r="AF600" s="332"/>
      <c r="AG600" s="332"/>
      <c r="AH600" s="332"/>
      <c r="AI600" s="332"/>
      <c r="AJ600" s="332"/>
      <c r="AK600" s="332"/>
      <c r="AL600" s="332"/>
      <c r="AM600" s="315"/>
      <c r="AN600" s="315"/>
    </row>
    <row r="601" spans="1:40" s="792" customFormat="1" ht="14.25" customHeight="1">
      <c r="A601" s="989" t="s">
        <v>722</v>
      </c>
      <c r="B601" s="791"/>
      <c r="C601" s="791"/>
      <c r="D601" s="791"/>
      <c r="E601" s="791"/>
      <c r="F601" s="790"/>
      <c r="G601" s="790"/>
      <c r="H601" s="790"/>
      <c r="I601" s="790"/>
      <c r="J601" s="790"/>
      <c r="K601" s="790"/>
      <c r="L601" s="790"/>
      <c r="M601" s="790"/>
      <c r="N601" s="790"/>
      <c r="O601" s="790"/>
      <c r="P601" s="790"/>
      <c r="Q601" s="790"/>
      <c r="R601" s="790"/>
      <c r="S601" s="790"/>
      <c r="T601" s="790"/>
      <c r="U601" s="790"/>
      <c r="V601" s="790"/>
      <c r="W601" s="790"/>
      <c r="X601" s="790"/>
      <c r="Y601" s="790"/>
      <c r="Z601" s="790"/>
      <c r="AA601" s="790"/>
      <c r="AB601" s="790"/>
      <c r="AC601" s="790"/>
      <c r="AD601" s="790"/>
      <c r="AE601" s="790"/>
      <c r="AF601" s="790"/>
      <c r="AG601" s="790"/>
      <c r="AH601" s="790"/>
      <c r="AI601" s="790"/>
      <c r="AJ601" s="790"/>
      <c r="AK601" s="790"/>
      <c r="AL601" s="790"/>
      <c r="AM601" s="791"/>
      <c r="AN601" s="791"/>
    </row>
    <row r="602" spans="1:40" ht="12.6">
      <c r="A602" s="990" t="s">
        <v>723</v>
      </c>
      <c r="B602" s="991" t="s">
        <v>121</v>
      </c>
      <c r="C602" s="991"/>
      <c r="D602" s="315"/>
      <c r="E602" s="991" t="s">
        <v>122</v>
      </c>
      <c r="F602" s="332" t="s">
        <v>108</v>
      </c>
      <c r="G602" s="332" t="s">
        <v>108</v>
      </c>
      <c r="H602" s="332" t="s">
        <v>108</v>
      </c>
      <c r="I602" s="332" t="s">
        <v>108</v>
      </c>
      <c r="J602" s="332" t="s">
        <v>108</v>
      </c>
      <c r="K602" s="332" t="s">
        <v>108</v>
      </c>
      <c r="L602" s="332" t="s">
        <v>108</v>
      </c>
      <c r="M602" s="332" t="s">
        <v>108</v>
      </c>
      <c r="N602" s="332" t="s">
        <v>108</v>
      </c>
      <c r="O602" s="332" t="s">
        <v>108</v>
      </c>
      <c r="P602" s="332" t="s">
        <v>108</v>
      </c>
      <c r="Q602" s="332" t="s">
        <v>108</v>
      </c>
      <c r="R602" s="332" t="s">
        <v>108</v>
      </c>
      <c r="S602" s="332" t="s">
        <v>108</v>
      </c>
      <c r="T602" s="332" t="s">
        <v>108</v>
      </c>
      <c r="U602" s="332" t="s">
        <v>108</v>
      </c>
      <c r="V602" s="332" t="s">
        <v>108</v>
      </c>
      <c r="W602" s="332" t="s">
        <v>108</v>
      </c>
      <c r="X602" s="332" t="s">
        <v>108</v>
      </c>
      <c r="Y602" s="332" t="s">
        <v>108</v>
      </c>
      <c r="Z602" s="332" t="s">
        <v>108</v>
      </c>
      <c r="AA602" s="332" t="s">
        <v>108</v>
      </c>
      <c r="AB602" s="332" t="s">
        <v>108</v>
      </c>
      <c r="AC602" s="332" t="s">
        <v>108</v>
      </c>
      <c r="AD602" s="332" t="s">
        <v>108</v>
      </c>
      <c r="AE602" s="332" t="s">
        <v>108</v>
      </c>
      <c r="AF602" s="332" t="s">
        <v>108</v>
      </c>
      <c r="AG602" s="332" t="s">
        <v>108</v>
      </c>
      <c r="AH602" s="332" t="s">
        <v>108</v>
      </c>
      <c r="AI602" s="332" t="s">
        <v>108</v>
      </c>
      <c r="AJ602" s="332" t="s">
        <v>108</v>
      </c>
      <c r="AK602" s="332" t="s">
        <v>108</v>
      </c>
      <c r="AL602" s="332" t="s">
        <v>108</v>
      </c>
      <c r="AM602" s="315"/>
      <c r="AN602" s="315"/>
    </row>
    <row r="603" spans="1:40" s="1020" customFormat="1" ht="12.6">
      <c r="A603" s="1016" t="s">
        <v>724</v>
      </c>
      <c r="B603" s="1017" t="s">
        <v>124</v>
      </c>
      <c r="C603" s="1017"/>
      <c r="D603" s="1018"/>
      <c r="E603" s="1017"/>
      <c r="F603" s="1019" t="s">
        <v>126</v>
      </c>
      <c r="G603" s="1019" t="s">
        <v>126</v>
      </c>
      <c r="H603" s="1019" t="s">
        <v>126</v>
      </c>
      <c r="I603" s="1019" t="s">
        <v>126</v>
      </c>
      <c r="J603" s="1019" t="s">
        <v>126</v>
      </c>
      <c r="K603" s="1019" t="s">
        <v>126</v>
      </c>
      <c r="L603" s="1019" t="s">
        <v>126</v>
      </c>
      <c r="M603" s="1019" t="s">
        <v>126</v>
      </c>
      <c r="N603" s="1019" t="s">
        <v>126</v>
      </c>
      <c r="O603" s="1019" t="s">
        <v>126</v>
      </c>
      <c r="P603" s="1019" t="s">
        <v>126</v>
      </c>
      <c r="Q603" s="1019" t="s">
        <v>126</v>
      </c>
      <c r="R603" s="1019" t="s">
        <v>126</v>
      </c>
      <c r="S603" s="1019" t="s">
        <v>126</v>
      </c>
      <c r="T603" s="1019" t="s">
        <v>126</v>
      </c>
      <c r="U603" s="1019" t="s">
        <v>126</v>
      </c>
      <c r="V603" s="1019" t="s">
        <v>126</v>
      </c>
      <c r="W603" s="1019" t="s">
        <v>126</v>
      </c>
      <c r="X603" s="1019" t="s">
        <v>126</v>
      </c>
      <c r="Y603" s="1019" t="s">
        <v>126</v>
      </c>
      <c r="Z603" s="1019" t="s">
        <v>126</v>
      </c>
      <c r="AA603" s="1019" t="s">
        <v>126</v>
      </c>
      <c r="AB603" s="1019" t="s">
        <v>126</v>
      </c>
      <c r="AC603" s="1019" t="s">
        <v>126</v>
      </c>
      <c r="AD603" s="1019" t="s">
        <v>126</v>
      </c>
      <c r="AE603" s="1019" t="s">
        <v>126</v>
      </c>
      <c r="AF603" s="1019" t="s">
        <v>126</v>
      </c>
      <c r="AG603" s="1019" t="s">
        <v>126</v>
      </c>
      <c r="AH603" s="1019" t="s">
        <v>126</v>
      </c>
      <c r="AI603" s="1019" t="s">
        <v>126</v>
      </c>
      <c r="AJ603" s="1019" t="s">
        <v>126</v>
      </c>
      <c r="AK603" s="1019" t="s">
        <v>126</v>
      </c>
      <c r="AL603" s="1019" t="s">
        <v>126</v>
      </c>
      <c r="AM603" s="1018"/>
      <c r="AN603" s="1018"/>
    </row>
    <row r="604" spans="1:40" ht="12.6">
      <c r="A604" s="990" t="s">
        <v>725</v>
      </c>
      <c r="B604" s="991" t="s">
        <v>128</v>
      </c>
      <c r="C604" s="991"/>
      <c r="D604" s="991" t="s">
        <v>129</v>
      </c>
      <c r="E604" s="991" t="s">
        <v>130</v>
      </c>
      <c r="F604" s="332" t="s">
        <v>108</v>
      </c>
      <c r="G604" s="332" t="s">
        <v>108</v>
      </c>
      <c r="H604" s="332" t="s">
        <v>108</v>
      </c>
      <c r="I604" s="332" t="s">
        <v>108</v>
      </c>
      <c r="J604" s="332" t="s">
        <v>108</v>
      </c>
      <c r="K604" s="332" t="s">
        <v>108</v>
      </c>
      <c r="L604" s="332" t="s">
        <v>108</v>
      </c>
      <c r="M604" s="332" t="s">
        <v>108</v>
      </c>
      <c r="N604" s="332" t="s">
        <v>108</v>
      </c>
      <c r="O604" s="332" t="s">
        <v>108</v>
      </c>
      <c r="P604" s="332" t="s">
        <v>108</v>
      </c>
      <c r="Q604" s="332" t="s">
        <v>108</v>
      </c>
      <c r="R604" s="332" t="s">
        <v>108</v>
      </c>
      <c r="S604" s="332" t="s">
        <v>108</v>
      </c>
      <c r="T604" s="332" t="s">
        <v>108</v>
      </c>
      <c r="U604" s="332" t="s">
        <v>108</v>
      </c>
      <c r="V604" s="332" t="s">
        <v>108</v>
      </c>
      <c r="W604" s="332" t="s">
        <v>108</v>
      </c>
      <c r="X604" s="332" t="s">
        <v>108</v>
      </c>
      <c r="Y604" s="332" t="s">
        <v>108</v>
      </c>
      <c r="Z604" s="332" t="s">
        <v>108</v>
      </c>
      <c r="AA604" s="332" t="s">
        <v>108</v>
      </c>
      <c r="AB604" s="332" t="s">
        <v>108</v>
      </c>
      <c r="AC604" s="332" t="s">
        <v>108</v>
      </c>
      <c r="AD604" s="332" t="s">
        <v>108</v>
      </c>
      <c r="AE604" s="332" t="s">
        <v>108</v>
      </c>
      <c r="AF604" s="332" t="s">
        <v>108</v>
      </c>
      <c r="AG604" s="332" t="s">
        <v>108</v>
      </c>
      <c r="AH604" s="332" t="s">
        <v>108</v>
      </c>
      <c r="AI604" s="332" t="s">
        <v>108</v>
      </c>
      <c r="AJ604" s="332" t="s">
        <v>108</v>
      </c>
      <c r="AK604" s="332" t="s">
        <v>108</v>
      </c>
      <c r="AL604" s="332" t="s">
        <v>108</v>
      </c>
      <c r="AM604" s="315"/>
      <c r="AN604" s="315"/>
    </row>
    <row r="605" spans="1:40" ht="12.95" thickBot="1">
      <c r="A605" s="993" t="s">
        <v>726</v>
      </c>
      <c r="B605" s="994" t="s">
        <v>134</v>
      </c>
      <c r="C605" s="995"/>
      <c r="D605" s="316"/>
      <c r="E605" s="316"/>
      <c r="F605" s="339"/>
      <c r="G605" s="339"/>
      <c r="H605" s="339"/>
      <c r="I605" s="339"/>
      <c r="J605" s="339"/>
      <c r="K605" s="339"/>
      <c r="L605" s="339"/>
      <c r="M605" s="339"/>
      <c r="N605" s="339"/>
      <c r="O605" s="339"/>
      <c r="P605" s="339"/>
      <c r="Q605" s="339"/>
      <c r="R605" s="339"/>
      <c r="S605" s="339"/>
      <c r="T605" s="339"/>
      <c r="U605" s="339"/>
      <c r="V605" s="339"/>
      <c r="W605" s="339"/>
      <c r="X605" s="339"/>
      <c r="Y605" s="339"/>
      <c r="Z605" s="339"/>
      <c r="AA605" s="339"/>
      <c r="AB605" s="339"/>
      <c r="AC605" s="339"/>
      <c r="AD605" s="339"/>
      <c r="AE605" s="339"/>
      <c r="AF605" s="339"/>
      <c r="AG605" s="339"/>
      <c r="AH605" s="339"/>
      <c r="AI605" s="339"/>
      <c r="AJ605" s="339"/>
      <c r="AK605" s="339"/>
      <c r="AL605" s="339"/>
      <c r="AM605" s="316"/>
      <c r="AN605" s="316"/>
    </row>
    <row r="606" spans="1:40" s="797" customFormat="1" ht="12.95">
      <c r="A606" s="796" t="s">
        <v>727</v>
      </c>
      <c r="B606" s="796"/>
      <c r="C606" s="796"/>
      <c r="D606" s="796"/>
      <c r="E606" s="796"/>
      <c r="F606" s="795"/>
      <c r="G606" s="795"/>
      <c r="H606" s="795"/>
      <c r="I606" s="795"/>
      <c r="J606" s="795"/>
      <c r="K606" s="795"/>
      <c r="L606" s="795"/>
      <c r="M606" s="795"/>
      <c r="N606" s="795"/>
      <c r="O606" s="795"/>
      <c r="P606" s="795"/>
      <c r="Q606" s="795"/>
      <c r="R606" s="795"/>
      <c r="S606" s="795"/>
      <c r="T606" s="795"/>
      <c r="U606" s="795"/>
      <c r="V606" s="795"/>
      <c r="W606" s="795"/>
      <c r="X606" s="795"/>
      <c r="Y606" s="795"/>
      <c r="Z606" s="795"/>
      <c r="AA606" s="795"/>
      <c r="AB606" s="795"/>
      <c r="AC606" s="795"/>
      <c r="AD606" s="795"/>
      <c r="AE606" s="795"/>
      <c r="AF606" s="795"/>
      <c r="AG606" s="795"/>
      <c r="AH606" s="795"/>
      <c r="AI606" s="795"/>
      <c r="AJ606" s="795"/>
      <c r="AK606" s="795"/>
      <c r="AL606" s="795"/>
      <c r="AM606" s="796"/>
      <c r="AN606" s="796"/>
    </row>
    <row r="607" spans="1:40" s="797" customFormat="1" ht="12.95">
      <c r="A607" s="992" t="s">
        <v>728</v>
      </c>
      <c r="B607" s="796"/>
      <c r="C607" s="796"/>
      <c r="D607" s="796"/>
      <c r="E607" s="796"/>
      <c r="F607" s="795"/>
      <c r="G607" s="795"/>
      <c r="H607" s="795"/>
      <c r="I607" s="795"/>
      <c r="J607" s="795"/>
      <c r="K607" s="795"/>
      <c r="L607" s="795"/>
      <c r="M607" s="795"/>
      <c r="N607" s="795"/>
      <c r="O607" s="795"/>
      <c r="P607" s="795"/>
      <c r="Q607" s="795"/>
      <c r="R607" s="795"/>
      <c r="S607" s="795"/>
      <c r="T607" s="795"/>
      <c r="U607" s="795"/>
      <c r="V607" s="795"/>
      <c r="W607" s="795"/>
      <c r="X607" s="795"/>
      <c r="Y607" s="795"/>
      <c r="Z607" s="795"/>
      <c r="AA607" s="795"/>
      <c r="AB607" s="795"/>
      <c r="AC607" s="795"/>
      <c r="AD607" s="795"/>
      <c r="AE607" s="795"/>
      <c r="AF607" s="795"/>
      <c r="AG607" s="795"/>
      <c r="AH607" s="795"/>
      <c r="AI607" s="795"/>
      <c r="AJ607" s="795"/>
      <c r="AK607" s="795"/>
      <c r="AL607" s="795"/>
      <c r="AM607" s="796"/>
      <c r="AN607" s="796"/>
    </row>
    <row r="608" spans="1:40" s="797" customFormat="1" ht="12.95">
      <c r="A608" s="989" t="s">
        <v>729</v>
      </c>
      <c r="B608" s="796"/>
      <c r="C608" s="796"/>
      <c r="D608" s="796"/>
      <c r="E608" s="796"/>
      <c r="F608" s="795"/>
      <c r="G608" s="795"/>
      <c r="H608" s="795"/>
      <c r="I608" s="795"/>
      <c r="J608" s="795"/>
      <c r="K608" s="795"/>
      <c r="L608" s="795"/>
      <c r="M608" s="795"/>
      <c r="N608" s="795"/>
      <c r="O608" s="795"/>
      <c r="P608" s="795"/>
      <c r="Q608" s="795"/>
      <c r="R608" s="795"/>
      <c r="S608" s="795"/>
      <c r="T608" s="795"/>
      <c r="U608" s="795"/>
      <c r="V608" s="795"/>
      <c r="W608" s="795"/>
      <c r="X608" s="795"/>
      <c r="Y608" s="795"/>
      <c r="Z608" s="795"/>
      <c r="AA608" s="795"/>
      <c r="AB608" s="795"/>
      <c r="AC608" s="795"/>
      <c r="AD608" s="795"/>
      <c r="AE608" s="795"/>
      <c r="AF608" s="795"/>
      <c r="AG608" s="795"/>
      <c r="AH608" s="795"/>
      <c r="AI608" s="795"/>
      <c r="AJ608" s="795"/>
      <c r="AK608" s="795"/>
      <c r="AL608" s="795"/>
      <c r="AM608" s="796"/>
      <c r="AN608" s="796"/>
    </row>
    <row r="609" spans="1:40" ht="12.6">
      <c r="A609" s="990" t="s">
        <v>730</v>
      </c>
      <c r="B609" s="991" t="s">
        <v>121</v>
      </c>
      <c r="C609" s="991"/>
      <c r="D609" s="315"/>
      <c r="E609" s="991" t="s">
        <v>122</v>
      </c>
      <c r="F609" s="333">
        <f>SUM('1990'!$S$18)*1055.05585262</f>
        <v>283001.61905372719</v>
      </c>
      <c r="G609" s="333">
        <f>SUM('1991'!$S$18)*1055.05585262</f>
        <v>271822.6055663717</v>
      </c>
      <c r="H609" s="333">
        <f>SUM('1992'!$S$18)*1055.05585262</f>
        <v>311535.55216349318</v>
      </c>
      <c r="I609" s="333">
        <f>SUM('1993'!$S$18)*1055.05585262</f>
        <v>321000.57713163015</v>
      </c>
      <c r="J609" s="333">
        <f>SUM('1994'!$S$18)*1055.05585262</f>
        <v>351874.63727664133</v>
      </c>
      <c r="K609" s="333">
        <f>SUM('1995'!$S$18)*1055.05585262</f>
        <v>306364.28064096591</v>
      </c>
      <c r="L609" s="333">
        <f>SUM('1996'!$S$18)*1055.05585262</f>
        <v>280156.87128646183</v>
      </c>
      <c r="M609" s="333">
        <f>SUM('1997'!$S$18)*1055.05585262</f>
        <v>284139.99775780324</v>
      </c>
      <c r="N609" s="333">
        <f>SUM('1998'!$S$18)*1055.05585262</f>
        <v>274619.74806578754</v>
      </c>
      <c r="O609" s="333">
        <f>SUM('1999'!$S$18)*1055.05585262</f>
        <v>217941.38287471587</v>
      </c>
      <c r="P609" s="333">
        <f>SUM('2000'!$S$18)*1055.05585262</f>
        <v>518289.2192228341</v>
      </c>
      <c r="Q609" s="333">
        <f>SUM('2001'!$S$18)*1055.05585262</f>
        <v>689037.98607270257</v>
      </c>
      <c r="R609" s="333">
        <f>SUM('2002'!$S$18)*1055.05585262</f>
        <v>605281.89275537466</v>
      </c>
      <c r="S609" s="333">
        <f>SUM('2003'!$S$18)*1055.05585262</f>
        <v>665246.52936613199</v>
      </c>
      <c r="T609" s="333">
        <f>SUM('2004'!$S$18)*1055.05585262</f>
        <v>699911.93348121061</v>
      </c>
      <c r="U609" s="333">
        <f>SUM('2005'!$S$18)*1055.05585262</f>
        <v>685250.17440667865</v>
      </c>
      <c r="V609" s="333">
        <f>SUM('2006'!$S$18)*1055.05585262</f>
        <v>666981.92834024399</v>
      </c>
      <c r="W609" s="333">
        <f>SUM('2007'!$S$18)*1055.05585262</f>
        <v>601148.12625438231</v>
      </c>
      <c r="X609" s="333">
        <f>SUM('2008'!$S$18)*1055.05585262</f>
        <v>482435.0687033633</v>
      </c>
      <c r="Y609" s="333">
        <f>SUM('2009'!$S$18)*1055.05585262</f>
        <v>492435.94836855528</v>
      </c>
      <c r="Z609" s="333">
        <f>SUM('2010'!$S$18)*1055.05585262</f>
        <v>430170.07767658692</v>
      </c>
      <c r="AA609" s="333">
        <f>SUM('2011'!$S$18)*1055.05585262</f>
        <v>423867.94477800757</v>
      </c>
      <c r="AB609" s="333">
        <f>SUM('2012'!$S$18)*1055.05585262</f>
        <v>391567.90373471536</v>
      </c>
      <c r="AC609" s="333">
        <f>SUM('2013'!$S$18)*1055.05585262</f>
        <v>316267.03861000325</v>
      </c>
      <c r="AD609" s="333">
        <f>SUM('2014'!$S$18)*1055.05585262</f>
        <v>315455.33264118078</v>
      </c>
      <c r="AE609" s="333">
        <f>SUM('2015'!$S$18)*1055.05585262</f>
        <v>322529.57968202094</v>
      </c>
      <c r="AF609" s="333">
        <f>SUM('2016'!$S$18)*1055.05585262</f>
        <v>284449.63995835092</v>
      </c>
      <c r="AG609" s="333">
        <f>SUM('2017'!$S$18)*1055.05585262</f>
        <v>308425.31582341442</v>
      </c>
      <c r="AH609" s="333">
        <f>SUM('2018'!$S$18)*1055.05585262</f>
        <v>293327.62050565821</v>
      </c>
      <c r="AI609" s="333">
        <f>SUM('2019'!$S$18)*1055.05585262</f>
        <v>254007.20204169975</v>
      </c>
      <c r="AJ609" s="333">
        <f>SUM('2020'!$S$18)*1055.05585262</f>
        <v>254287.14134535118</v>
      </c>
      <c r="AK609" s="333">
        <f>SUM('2021'!$S$18)*1055.05585262</f>
        <v>246729.24166450137</v>
      </c>
      <c r="AL609" s="333">
        <f>SUM('2022'!$S$18)*1055.05585262</f>
        <v>246713.45038069136</v>
      </c>
      <c r="AM609" s="315"/>
      <c r="AN609" s="315"/>
    </row>
    <row r="610" spans="1:40" ht="12.6">
      <c r="A610" s="990" t="s">
        <v>731</v>
      </c>
      <c r="B610" s="991" t="s">
        <v>124</v>
      </c>
      <c r="C610" s="991"/>
      <c r="D610" s="315"/>
      <c r="E610" s="315" t="s">
        <v>125</v>
      </c>
      <c r="F610" s="794" t="s">
        <v>126</v>
      </c>
      <c r="G610" s="794" t="s">
        <v>126</v>
      </c>
      <c r="H610" s="794" t="s">
        <v>126</v>
      </c>
      <c r="I610" s="794" t="s">
        <v>126</v>
      </c>
      <c r="J610" s="794" t="s">
        <v>126</v>
      </c>
      <c r="K610" s="794" t="s">
        <v>126</v>
      </c>
      <c r="L610" s="794" t="s">
        <v>126</v>
      </c>
      <c r="M610" s="794" t="s">
        <v>126</v>
      </c>
      <c r="N610" s="794" t="s">
        <v>126</v>
      </c>
      <c r="O610" s="794" t="s">
        <v>126</v>
      </c>
      <c r="P610" s="794" t="s">
        <v>126</v>
      </c>
      <c r="Q610" s="794" t="s">
        <v>126</v>
      </c>
      <c r="R610" s="794" t="s">
        <v>126</v>
      </c>
      <c r="S610" s="794" t="s">
        <v>126</v>
      </c>
      <c r="T610" s="794" t="s">
        <v>126</v>
      </c>
      <c r="U610" s="794" t="s">
        <v>126</v>
      </c>
      <c r="V610" s="794" t="s">
        <v>126</v>
      </c>
      <c r="W610" s="794" t="s">
        <v>126</v>
      </c>
      <c r="X610" s="794" t="s">
        <v>126</v>
      </c>
      <c r="Y610" s="794" t="s">
        <v>126</v>
      </c>
      <c r="Z610" s="794" t="s">
        <v>126</v>
      </c>
      <c r="AA610" s="794" t="s">
        <v>126</v>
      </c>
      <c r="AB610" s="794" t="s">
        <v>126</v>
      </c>
      <c r="AC610" s="794" t="s">
        <v>126</v>
      </c>
      <c r="AD610" s="794" t="s">
        <v>126</v>
      </c>
      <c r="AE610" s="794" t="s">
        <v>126</v>
      </c>
      <c r="AF610" s="794" t="s">
        <v>126</v>
      </c>
      <c r="AG610" s="794" t="s">
        <v>126</v>
      </c>
      <c r="AH610" s="794" t="s">
        <v>126</v>
      </c>
      <c r="AI610" s="794" t="s">
        <v>126</v>
      </c>
      <c r="AJ610" s="794" t="s">
        <v>126</v>
      </c>
      <c r="AK610" s="794" t="s">
        <v>126</v>
      </c>
      <c r="AL610" s="794" t="s">
        <v>126</v>
      </c>
      <c r="AM610" s="315"/>
      <c r="AN610" s="315"/>
    </row>
    <row r="611" spans="1:40" ht="12.6">
      <c r="A611" s="990" t="s">
        <v>732</v>
      </c>
      <c r="B611" s="991" t="s">
        <v>128</v>
      </c>
      <c r="C611" s="991"/>
      <c r="D611" s="991" t="s">
        <v>129</v>
      </c>
      <c r="E611" s="991" t="s">
        <v>130</v>
      </c>
      <c r="F611" s="334">
        <f>('Summary Table'!C27+'Summary Table'!C41)*1000</f>
        <v>22863.807040568638</v>
      </c>
      <c r="G611" s="334">
        <f>('Summary Table'!D27+'Summary Table'!D41)*1000</f>
        <v>22970.102635170784</v>
      </c>
      <c r="H611" s="334">
        <f>('Summary Table'!E27+'Summary Table'!E41)*1000</f>
        <v>23900.906114672034</v>
      </c>
      <c r="I611" s="334">
        <f>('Summary Table'!F27+'Summary Table'!F41)*1000</f>
        <v>24774.323988570017</v>
      </c>
      <c r="J611" s="334">
        <f>('Summary Table'!G27+'Summary Table'!G41)*1000</f>
        <v>26317.12534983462</v>
      </c>
      <c r="K611" s="334">
        <f>('Summary Table'!H27+'Summary Table'!H41)*1000</f>
        <v>24779.701588791875</v>
      </c>
      <c r="L611" s="334">
        <f>('Summary Table'!I27+'Summary Table'!I41)*1000</f>
        <v>24139.037263800292</v>
      </c>
      <c r="M611" s="334">
        <f>('Summary Table'!J27+'Summary Table'!J41)*1000</f>
        <v>24744.622196302906</v>
      </c>
      <c r="N611" s="334">
        <f>('Summary Table'!K27+'Summary Table'!K41)*1000</f>
        <v>24048.533693020701</v>
      </c>
      <c r="O611" s="334">
        <f>('Summary Table'!L27+'Summary Table'!L41)*1000</f>
        <v>23978.829474829363</v>
      </c>
      <c r="P611" s="334">
        <f>('Summary Table'!M27+'Summary Table'!M41)*1000</f>
        <v>45180.785668846147</v>
      </c>
      <c r="Q611" s="334">
        <f>('Summary Table'!N27+'Summary Table'!N41)*1000</f>
        <v>53488.326025072849</v>
      </c>
      <c r="R611" s="334">
        <f>('Summary Table'!O27+'Summary Table'!O41)*1000</f>
        <v>51178.047023907304</v>
      </c>
      <c r="S611" s="334">
        <f>('Summary Table'!P27+'Summary Table'!P41)*1000</f>
        <v>54243.16351296896</v>
      </c>
      <c r="T611" s="334">
        <f>('Summary Table'!Q27+'Summary Table'!Q41)*1000</f>
        <v>56152.867955831905</v>
      </c>
      <c r="U611" s="334">
        <f>('Summary Table'!R27+'Summary Table'!R41)*1000</f>
        <v>55143.826582018468</v>
      </c>
      <c r="V611" s="334">
        <f>('Summary Table'!S27+'Summary Table'!S41)*1000</f>
        <v>52989.081013925919</v>
      </c>
      <c r="W611" s="334">
        <f>('Summary Table'!T27+'Summary Table'!T41)*1000</f>
        <v>49160.485554990693</v>
      </c>
      <c r="X611" s="334">
        <f>('Summary Table'!U27+'Summary Table'!U41)*1000</f>
        <v>38631.514041399743</v>
      </c>
      <c r="Y611" s="334">
        <f>('Summary Table'!V27+'Summary Table'!V41)*1000</f>
        <v>36759.536210034021</v>
      </c>
      <c r="Z611" s="334">
        <f>('Summary Table'!W27+'Summary Table'!W41)*1000</f>
        <v>31641.956161466213</v>
      </c>
      <c r="AA611" s="334">
        <f>('Summary Table'!X27+'Summary Table'!X41)*1000</f>
        <v>30151.979958412019</v>
      </c>
      <c r="AB611" s="334">
        <f>('Summary Table'!Y27+'Summary Table'!Y41)*1000</f>
        <v>28220.570635391272</v>
      </c>
      <c r="AC611" s="334">
        <f>('Summary Table'!Z27+'Summary Table'!Z41)*1000</f>
        <v>22461.282468211019</v>
      </c>
      <c r="AD611" s="334">
        <f>('Summary Table'!AA27+'Summary Table'!AA41)*1000</f>
        <v>22331.045237424252</v>
      </c>
      <c r="AE611" s="334">
        <f>('Summary Table'!AB27+'Summary Table'!AB41)*1000</f>
        <v>22870.61298947399</v>
      </c>
      <c r="AF611" s="334">
        <f>('Summary Table'!AC27+'Summary Table'!AC41)*1000</f>
        <v>20224.16767233143</v>
      </c>
      <c r="AG611" s="334">
        <f>('Summary Table'!AD27+'Summary Table'!AD41)*1000</f>
        <v>21331.377686906304</v>
      </c>
      <c r="AH611" s="334">
        <f>('Summary Table'!AE27+'Summary Table'!AE41)*1000</f>
        <v>20298.914462586581</v>
      </c>
      <c r="AI611" s="334">
        <f>('Summary Table'!AF27+'Summary Table'!AF41)*1000</f>
        <v>17720.977077899308</v>
      </c>
      <c r="AJ611" s="334">
        <f>('Summary Table'!AG27+'Summary Table'!AG41)*1000</f>
        <v>17618.928647465942</v>
      </c>
      <c r="AK611" s="334">
        <f>('Summary Table'!AH27+'Summary Table'!AH41)*1000</f>
        <v>17030.800578974908</v>
      </c>
      <c r="AL611" s="334">
        <f>('Summary Table'!AI27+'Summary Table'!AI41)*1000</f>
        <v>17028.638225980718</v>
      </c>
      <c r="AM611" s="315"/>
      <c r="AN611" s="315"/>
    </row>
    <row r="612" spans="1:40" ht="12.6">
      <c r="A612" s="990" t="s">
        <v>733</v>
      </c>
      <c r="B612" s="991" t="s">
        <v>132</v>
      </c>
      <c r="C612" s="991"/>
      <c r="D612" s="991" t="s">
        <v>129</v>
      </c>
      <c r="E612" s="991" t="s">
        <v>130</v>
      </c>
      <c r="F612" s="332" t="s">
        <v>106</v>
      </c>
      <c r="G612" s="332" t="s">
        <v>106</v>
      </c>
      <c r="H612" s="332" t="s">
        <v>106</v>
      </c>
      <c r="I612" s="332" t="s">
        <v>106</v>
      </c>
      <c r="J612" s="332" t="s">
        <v>106</v>
      </c>
      <c r="K612" s="332" t="s">
        <v>106</v>
      </c>
      <c r="L612" s="332" t="s">
        <v>106</v>
      </c>
      <c r="M612" s="332" t="s">
        <v>106</v>
      </c>
      <c r="N612" s="332" t="s">
        <v>106</v>
      </c>
      <c r="O612" s="332" t="s">
        <v>106</v>
      </c>
      <c r="P612" s="332" t="s">
        <v>106</v>
      </c>
      <c r="Q612" s="332" t="s">
        <v>106</v>
      </c>
      <c r="R612" s="332" t="s">
        <v>106</v>
      </c>
      <c r="S612" s="332" t="s">
        <v>106</v>
      </c>
      <c r="T612" s="332" t="s">
        <v>106</v>
      </c>
      <c r="U612" s="332" t="s">
        <v>106</v>
      </c>
      <c r="V612" s="332" t="s">
        <v>106</v>
      </c>
      <c r="W612" s="332" t="s">
        <v>106</v>
      </c>
      <c r="X612" s="332" t="s">
        <v>106</v>
      </c>
      <c r="Y612" s="332" t="s">
        <v>106</v>
      </c>
      <c r="Z612" s="332" t="s">
        <v>106</v>
      </c>
      <c r="AA612" s="332" t="s">
        <v>106</v>
      </c>
      <c r="AB612" s="332" t="s">
        <v>106</v>
      </c>
      <c r="AC612" s="332" t="s">
        <v>106</v>
      </c>
      <c r="AD612" s="332" t="s">
        <v>106</v>
      </c>
      <c r="AE612" s="332" t="s">
        <v>106</v>
      </c>
      <c r="AF612" s="332" t="s">
        <v>106</v>
      </c>
      <c r="AG612" s="332" t="s">
        <v>106</v>
      </c>
      <c r="AH612" s="332" t="s">
        <v>106</v>
      </c>
      <c r="AI612" s="332" t="s">
        <v>106</v>
      </c>
      <c r="AJ612" s="332" t="s">
        <v>106</v>
      </c>
      <c r="AK612" s="332" t="s">
        <v>106</v>
      </c>
      <c r="AL612" s="332" t="s">
        <v>106</v>
      </c>
      <c r="AM612" s="315"/>
      <c r="AN612" s="315"/>
    </row>
    <row r="613" spans="1:40" ht="12.6">
      <c r="A613" s="990" t="s">
        <v>734</v>
      </c>
      <c r="B613" s="991" t="s">
        <v>134</v>
      </c>
      <c r="D613" s="315"/>
      <c r="E613" s="315"/>
      <c r="F613" s="802" t="s">
        <v>735</v>
      </c>
      <c r="G613" s="802" t="s">
        <v>735</v>
      </c>
      <c r="H613" s="802" t="s">
        <v>735</v>
      </c>
      <c r="I613" s="802" t="s">
        <v>735</v>
      </c>
      <c r="J613" s="802" t="s">
        <v>735</v>
      </c>
      <c r="K613" s="802" t="s">
        <v>735</v>
      </c>
      <c r="L613" s="802" t="s">
        <v>735</v>
      </c>
      <c r="M613" s="802" t="s">
        <v>735</v>
      </c>
      <c r="N613" s="802" t="s">
        <v>735</v>
      </c>
      <c r="O613" s="802" t="s">
        <v>735</v>
      </c>
      <c r="P613" s="802" t="s">
        <v>735</v>
      </c>
      <c r="Q613" s="802" t="s">
        <v>735</v>
      </c>
      <c r="R613" s="802" t="s">
        <v>735</v>
      </c>
      <c r="S613" s="802" t="s">
        <v>735</v>
      </c>
      <c r="T613" s="802" t="s">
        <v>735</v>
      </c>
      <c r="U613" s="802" t="s">
        <v>735</v>
      </c>
      <c r="V613" s="802" t="s">
        <v>735</v>
      </c>
      <c r="W613" s="802" t="s">
        <v>735</v>
      </c>
      <c r="X613" s="802" t="s">
        <v>735</v>
      </c>
      <c r="Y613" s="802" t="s">
        <v>735</v>
      </c>
      <c r="Z613" s="802" t="s">
        <v>735</v>
      </c>
      <c r="AA613" s="802" t="s">
        <v>735</v>
      </c>
      <c r="AB613" s="802" t="s">
        <v>735</v>
      </c>
      <c r="AC613" s="802" t="s">
        <v>735</v>
      </c>
      <c r="AD613" s="802" t="s">
        <v>735</v>
      </c>
      <c r="AE613" s="802" t="s">
        <v>735</v>
      </c>
      <c r="AF613" s="802" t="s">
        <v>735</v>
      </c>
      <c r="AG613" s="802" t="s">
        <v>735</v>
      </c>
      <c r="AH613" s="802" t="s">
        <v>735</v>
      </c>
      <c r="AI613" s="802" t="s">
        <v>735</v>
      </c>
      <c r="AJ613" s="802" t="s">
        <v>735</v>
      </c>
      <c r="AK613" s="802" t="s">
        <v>735</v>
      </c>
      <c r="AL613" s="802" t="s">
        <v>735</v>
      </c>
      <c r="AM613" s="315"/>
      <c r="AN613" s="315"/>
    </row>
    <row r="614" spans="1:40" s="797" customFormat="1" ht="12.95">
      <c r="A614" s="989" t="s">
        <v>736</v>
      </c>
      <c r="B614" s="796"/>
      <c r="C614" s="796"/>
      <c r="D614" s="796"/>
      <c r="E614" s="796"/>
      <c r="F614" s="795"/>
      <c r="G614" s="795"/>
      <c r="H614" s="795"/>
      <c r="I614" s="795"/>
      <c r="J614" s="795"/>
      <c r="K614" s="795"/>
      <c r="L614" s="795"/>
      <c r="M614" s="795"/>
      <c r="N614" s="795"/>
      <c r="O614" s="795"/>
      <c r="P614" s="795"/>
      <c r="Q614" s="795"/>
      <c r="R614" s="795"/>
      <c r="S614" s="795"/>
      <c r="T614" s="795"/>
      <c r="U614" s="795"/>
      <c r="V614" s="795"/>
      <c r="W614" s="795"/>
      <c r="X614" s="795"/>
      <c r="Y614" s="795"/>
      <c r="Z614" s="795"/>
      <c r="AA614" s="795"/>
      <c r="AB614" s="795"/>
      <c r="AC614" s="795"/>
      <c r="AD614" s="795"/>
      <c r="AE614" s="795"/>
      <c r="AF614" s="795"/>
      <c r="AG614" s="795"/>
      <c r="AH614" s="795"/>
      <c r="AI614" s="795"/>
      <c r="AJ614" s="795"/>
      <c r="AK614" s="795"/>
      <c r="AL614" s="795"/>
      <c r="AM614" s="796"/>
      <c r="AN614" s="796"/>
    </row>
    <row r="615" spans="1:40" ht="12.6">
      <c r="A615" s="990" t="s">
        <v>737</v>
      </c>
      <c r="B615" s="991" t="s">
        <v>121</v>
      </c>
      <c r="C615" s="991"/>
      <c r="D615" s="315"/>
      <c r="E615" s="991" t="s">
        <v>122</v>
      </c>
      <c r="F615" s="333">
        <f>'1990'!$S$8*1055.05585262</f>
        <v>5713.4587335897404</v>
      </c>
      <c r="G615" s="333">
        <f>'1991'!$S$8*1055.05585262</f>
        <v>5299.1089487175059</v>
      </c>
      <c r="H615" s="333">
        <f>'1992'!$S$8*1055.05585262</f>
        <v>4525.6402674832398</v>
      </c>
      <c r="I615" s="333">
        <f>'1993'!$S$8*1055.05585262</f>
        <v>4746.0869611776679</v>
      </c>
      <c r="J615" s="333">
        <f>'1994'!$S$8*1055.05585262</f>
        <v>4836.8590502822544</v>
      </c>
      <c r="K615" s="333">
        <f>'1995'!$S$8*1055.05585262</f>
        <v>4927.6311158593071</v>
      </c>
      <c r="L615" s="333">
        <f>'1996'!$S$8*1055.05585262</f>
        <v>5057.3056969211448</v>
      </c>
      <c r="M615" s="333">
        <f>'1997'!$S$8*1055.05585262</f>
        <v>5140.2975135008128</v>
      </c>
      <c r="N615" s="333">
        <f>'1998'!$S$8*1055.05585262</f>
        <v>5197.3542491737007</v>
      </c>
      <c r="O615" s="333">
        <f>'1999'!$S$8*1055.05585262</f>
        <v>4810.9242281809111</v>
      </c>
      <c r="P615" s="333">
        <f>'2000'!$S$8*1055.05585262</f>
        <v>5436.7067804141934</v>
      </c>
      <c r="Q615" s="333">
        <f>'2001'!$S$8*1055.05585262</f>
        <v>6831.0691601136878</v>
      </c>
      <c r="R615" s="333">
        <f>'2002'!$S$8*1055.05585262</f>
        <v>23158.689297302306</v>
      </c>
      <c r="S615" s="333">
        <f>'2003'!$S$8*1055.05585262</f>
        <v>30489.887455940712</v>
      </c>
      <c r="T615" s="333">
        <f>'2004'!$S$8*1055.05585262</f>
        <v>33715.371548086499</v>
      </c>
      <c r="U615" s="333">
        <f>'2005'!$S$8*1055.05585262</f>
        <v>34493.418563901811</v>
      </c>
      <c r="V615" s="333">
        <f>'2006'!$S$8*1055.05585262</f>
        <v>38902.35173195706</v>
      </c>
      <c r="W615" s="333">
        <f>'2007'!$S$8*1055.05585262</f>
        <v>38942.192638499211</v>
      </c>
      <c r="X615" s="333">
        <f>'2008'!$S$8*1055.05585262</f>
        <v>39297.53586728446</v>
      </c>
      <c r="Y615" s="333">
        <f>'2009'!$S$8*1055.05585262</f>
        <v>39024.718595262573</v>
      </c>
      <c r="Z615" s="333">
        <f>'2010'!$S$8*1055.05585262</f>
        <v>36576.868424301865</v>
      </c>
      <c r="AA615" s="333">
        <f>'2011'!$S$8*1055.05585262</f>
        <v>39353.212978120791</v>
      </c>
      <c r="AB615" s="333">
        <f>'2012'!$S$8*1055.05585262</f>
        <v>37631.391407191259</v>
      </c>
      <c r="AC615" s="333">
        <f>'2013'!$S$8*1055.05585262</f>
        <v>37490.642872277444</v>
      </c>
      <c r="AD615" s="333">
        <f>'2014'!$S$8*1055.05585262</f>
        <v>39399.811998718491</v>
      </c>
      <c r="AE615" s="333">
        <f>'2015'!$S$8*1055.05585262</f>
        <v>37885.829071937464</v>
      </c>
      <c r="AF615" s="333">
        <f>'2016'!$S$8*1055.05585262</f>
        <v>37434.994323101644</v>
      </c>
      <c r="AG615" s="333">
        <f>'2017'!$S$8*1055.05585262</f>
        <v>26330.417614476333</v>
      </c>
      <c r="AH615" s="333">
        <f>'2018'!$S$8*1055.05585262</f>
        <v>29263.880452835805</v>
      </c>
      <c r="AI615" s="333">
        <f>'2019'!$S$8*1055.05585262</f>
        <v>40751.77275467632</v>
      </c>
      <c r="AJ615" s="333">
        <f>'2020'!$S$8*1055.05585262</f>
        <v>35282.096291550959</v>
      </c>
      <c r="AK615" s="333">
        <f>'2021'!$S$8*1055.05585262</f>
        <v>33061.419040985769</v>
      </c>
      <c r="AL615" s="333">
        <f>'2022'!$S$8*1055.05585262</f>
        <v>33061.419040985769</v>
      </c>
      <c r="AM615" s="315"/>
      <c r="AN615" s="315"/>
    </row>
    <row r="616" spans="1:40" ht="12.6">
      <c r="A616" s="990" t="s">
        <v>738</v>
      </c>
      <c r="B616" s="991" t="s">
        <v>124</v>
      </c>
      <c r="C616" s="991"/>
      <c r="D616" s="315"/>
      <c r="E616" s="315" t="s">
        <v>125</v>
      </c>
      <c r="F616" s="794" t="s">
        <v>126</v>
      </c>
      <c r="G616" s="794" t="s">
        <v>126</v>
      </c>
      <c r="H616" s="794" t="s">
        <v>126</v>
      </c>
      <c r="I616" s="794" t="s">
        <v>126</v>
      </c>
      <c r="J616" s="794" t="s">
        <v>126</v>
      </c>
      <c r="K616" s="794" t="s">
        <v>126</v>
      </c>
      <c r="L616" s="794" t="s">
        <v>126</v>
      </c>
      <c r="M616" s="794" t="s">
        <v>126</v>
      </c>
      <c r="N616" s="794" t="s">
        <v>126</v>
      </c>
      <c r="O616" s="794" t="s">
        <v>126</v>
      </c>
      <c r="P616" s="794" t="s">
        <v>126</v>
      </c>
      <c r="Q616" s="794" t="s">
        <v>126</v>
      </c>
      <c r="R616" s="794" t="s">
        <v>126</v>
      </c>
      <c r="S616" s="794" t="s">
        <v>126</v>
      </c>
      <c r="T616" s="794" t="s">
        <v>126</v>
      </c>
      <c r="U616" s="794" t="s">
        <v>126</v>
      </c>
      <c r="V616" s="794" t="s">
        <v>126</v>
      </c>
      <c r="W616" s="794" t="s">
        <v>126</v>
      </c>
      <c r="X616" s="794" t="s">
        <v>126</v>
      </c>
      <c r="Y616" s="794" t="s">
        <v>126</v>
      </c>
      <c r="Z616" s="794" t="s">
        <v>126</v>
      </c>
      <c r="AA616" s="794" t="s">
        <v>126</v>
      </c>
      <c r="AB616" s="794" t="s">
        <v>126</v>
      </c>
      <c r="AC616" s="794" t="s">
        <v>126</v>
      </c>
      <c r="AD616" s="794" t="s">
        <v>126</v>
      </c>
      <c r="AE616" s="794" t="s">
        <v>126</v>
      </c>
      <c r="AF616" s="794" t="s">
        <v>126</v>
      </c>
      <c r="AG616" s="794" t="s">
        <v>126</v>
      </c>
      <c r="AH616" s="794" t="s">
        <v>126</v>
      </c>
      <c r="AI616" s="794" t="s">
        <v>126</v>
      </c>
      <c r="AJ616" s="794" t="s">
        <v>126</v>
      </c>
      <c r="AK616" s="794" t="s">
        <v>126</v>
      </c>
      <c r="AL616" s="794" t="s">
        <v>126</v>
      </c>
      <c r="AM616" s="315"/>
      <c r="AN616" s="315"/>
    </row>
    <row r="617" spans="1:40" ht="12.6">
      <c r="A617" s="990" t="s">
        <v>739</v>
      </c>
      <c r="B617" s="991" t="s">
        <v>128</v>
      </c>
      <c r="C617" s="991"/>
      <c r="D617" s="991" t="s">
        <v>129</v>
      </c>
      <c r="E617" s="991" t="s">
        <v>130</v>
      </c>
      <c r="F617" s="335">
        <f>'Summary Table'!C13*1000</f>
        <v>499.18364487950197</v>
      </c>
      <c r="G617" s="335">
        <f>'Summary Table'!D13*1000</f>
        <v>462.98199444111594</v>
      </c>
      <c r="H617" s="335">
        <f>'Summary Table'!E13*1000</f>
        <v>395.40420426145789</v>
      </c>
      <c r="I617" s="335">
        <f>'Summary Table'!F13*1000</f>
        <v>414.66458386533401</v>
      </c>
      <c r="J617" s="335">
        <f>'Summary Table'!G13*1000</f>
        <v>422.59532151574581</v>
      </c>
      <c r="K617" s="335">
        <f>'Summary Table'!H13*1000</f>
        <v>430.52605711056214</v>
      </c>
      <c r="L617" s="335">
        <f>'Summary Table'!I13*1000</f>
        <v>441.85569700838988</v>
      </c>
      <c r="M617" s="335">
        <f>'Summary Table'!J13*1000</f>
        <v>449.10667394322815</v>
      </c>
      <c r="N617" s="335">
        <f>'Summary Table'!K13*1000</f>
        <v>454.09170850918593</v>
      </c>
      <c r="O617" s="335">
        <f>'Summary Table'!L13*1000</f>
        <v>420.32940175863996</v>
      </c>
      <c r="P617" s="335">
        <f>'Summary Table'!M13*1000</f>
        <v>475.00388702083404</v>
      </c>
      <c r="Q617" s="335">
        <f>'Summary Table'!N13*1000</f>
        <v>596.82902437400605</v>
      </c>
      <c r="R617" s="335">
        <f>'Summary Table'!O13*1000</f>
        <v>2023.3696387959919</v>
      </c>
      <c r="S617" s="335">
        <f>'Summary Table'!P13*1000</f>
        <v>2663.8948248182414</v>
      </c>
      <c r="T617" s="335">
        <f>'Summary Table'!Q13*1000</f>
        <v>2945.7046672788624</v>
      </c>
      <c r="U617" s="335">
        <f>'Summary Table'!R13*1000</f>
        <v>3013.6824655534788</v>
      </c>
      <c r="V617" s="335">
        <f>'Summary Table'!S13*1000</f>
        <v>3398.8899959624982</v>
      </c>
      <c r="W617" s="335">
        <f>'Summary Table'!T13*1000</f>
        <v>3402.3708872877637</v>
      </c>
      <c r="X617" s="335">
        <f>'Summary Table'!U13*1000</f>
        <v>3433.4171477753794</v>
      </c>
      <c r="Y617" s="335">
        <f>'Summary Table'!V13*1000</f>
        <v>3409.5811621519388</v>
      </c>
      <c r="Z617" s="335">
        <f>'Summary Table'!W13*1000</f>
        <v>3195.713025978082</v>
      </c>
      <c r="AA617" s="335">
        <f>'Summary Table'!X13*1000</f>
        <v>3438.2816448199178</v>
      </c>
      <c r="AB617" s="335">
        <f>'Summary Table'!Y13*1000</f>
        <v>3287.8464692658049</v>
      </c>
      <c r="AC617" s="335">
        <f>'Summary Table'!Z13*1000</f>
        <v>3275.5493004323848</v>
      </c>
      <c r="AD617" s="335">
        <f>'Summary Table'!AA13*1000</f>
        <v>3442.3529910979646</v>
      </c>
      <c r="AE617" s="335">
        <f>'Summary Table'!AB13*1000</f>
        <v>3310.0766326055582</v>
      </c>
      <c r="AF617" s="335">
        <f>'Summary Table'!AC13*1000</f>
        <v>3270.6872988139057</v>
      </c>
      <c r="AG617" s="335">
        <f>'Summary Table'!AD13*1000</f>
        <v>2300.4828509080003</v>
      </c>
      <c r="AH617" s="335">
        <f>'Summary Table'!AE13*1000</f>
        <v>2556.7788600420004</v>
      </c>
      <c r="AI617" s="335">
        <f>'Summary Table'!AF13*1000</f>
        <v>3560.4735078220006</v>
      </c>
      <c r="AJ617" s="335">
        <f>'Summary Table'!AG13*1000</f>
        <v>3082.5890668051215</v>
      </c>
      <c r="AK617" s="335">
        <f>'Summary Table'!AH13*1000</f>
        <v>2888.5689791967102</v>
      </c>
      <c r="AL617" s="335">
        <f>'Summary Table'!AI13*1000</f>
        <v>2888.5689791967102</v>
      </c>
      <c r="AM617" s="315"/>
      <c r="AN617" s="315"/>
    </row>
    <row r="618" spans="1:40" ht="12.6">
      <c r="A618" s="990" t="s">
        <v>740</v>
      </c>
      <c r="B618" s="991" t="s">
        <v>132</v>
      </c>
      <c r="C618" s="991"/>
      <c r="D618" s="991" t="s">
        <v>129</v>
      </c>
      <c r="E618" s="991" t="s">
        <v>130</v>
      </c>
      <c r="F618" s="332" t="s">
        <v>106</v>
      </c>
      <c r="G618" s="332" t="s">
        <v>106</v>
      </c>
      <c r="H618" s="332" t="s">
        <v>106</v>
      </c>
      <c r="I618" s="332" t="s">
        <v>106</v>
      </c>
      <c r="J618" s="332" t="s">
        <v>106</v>
      </c>
      <c r="K618" s="332" t="s">
        <v>106</v>
      </c>
      <c r="L618" s="332" t="s">
        <v>106</v>
      </c>
      <c r="M618" s="332" t="s">
        <v>106</v>
      </c>
      <c r="N618" s="332" t="s">
        <v>106</v>
      </c>
      <c r="O618" s="332" t="s">
        <v>106</v>
      </c>
      <c r="P618" s="332" t="s">
        <v>106</v>
      </c>
      <c r="Q618" s="332" t="s">
        <v>106</v>
      </c>
      <c r="R618" s="332" t="s">
        <v>106</v>
      </c>
      <c r="S618" s="332" t="s">
        <v>106</v>
      </c>
      <c r="T618" s="332" t="s">
        <v>106</v>
      </c>
      <c r="U618" s="332" t="s">
        <v>106</v>
      </c>
      <c r="V618" s="332" t="s">
        <v>106</v>
      </c>
      <c r="W618" s="332" t="s">
        <v>106</v>
      </c>
      <c r="X618" s="332" t="s">
        <v>106</v>
      </c>
      <c r="Y618" s="332" t="s">
        <v>106</v>
      </c>
      <c r="Z618" s="332" t="s">
        <v>106</v>
      </c>
      <c r="AA618" s="332" t="s">
        <v>106</v>
      </c>
      <c r="AB618" s="332" t="s">
        <v>106</v>
      </c>
      <c r="AC618" s="332" t="s">
        <v>106</v>
      </c>
      <c r="AD618" s="332" t="s">
        <v>106</v>
      </c>
      <c r="AE618" s="332" t="s">
        <v>106</v>
      </c>
      <c r="AF618" s="332" t="s">
        <v>106</v>
      </c>
      <c r="AG618" s="332" t="s">
        <v>106</v>
      </c>
      <c r="AH618" s="332" t="s">
        <v>106</v>
      </c>
      <c r="AI618" s="332" t="s">
        <v>106</v>
      </c>
      <c r="AJ618" s="332" t="s">
        <v>106</v>
      </c>
      <c r="AK618" s="332" t="s">
        <v>106</v>
      </c>
      <c r="AL618" s="332" t="s">
        <v>106</v>
      </c>
      <c r="AM618" s="315"/>
      <c r="AN618" s="315"/>
    </row>
    <row r="619" spans="1:40" ht="12.6">
      <c r="A619" s="990" t="s">
        <v>741</v>
      </c>
      <c r="B619" s="991" t="s">
        <v>134</v>
      </c>
      <c r="D619" s="315"/>
      <c r="E619" s="315"/>
      <c r="F619" s="802" t="s">
        <v>735</v>
      </c>
      <c r="G619" s="802" t="s">
        <v>735</v>
      </c>
      <c r="H619" s="802" t="s">
        <v>735</v>
      </c>
      <c r="I619" s="802" t="s">
        <v>735</v>
      </c>
      <c r="J619" s="802" t="s">
        <v>735</v>
      </c>
      <c r="K619" s="802" t="s">
        <v>735</v>
      </c>
      <c r="L619" s="802" t="s">
        <v>735</v>
      </c>
      <c r="M619" s="802" t="s">
        <v>735</v>
      </c>
      <c r="N619" s="802" t="s">
        <v>735</v>
      </c>
      <c r="O619" s="802" t="s">
        <v>735</v>
      </c>
      <c r="P619" s="802" t="s">
        <v>735</v>
      </c>
      <c r="Q619" s="802" t="s">
        <v>735</v>
      </c>
      <c r="R619" s="802" t="s">
        <v>735</v>
      </c>
      <c r="S619" s="802" t="s">
        <v>735</v>
      </c>
      <c r="T619" s="802" t="s">
        <v>735</v>
      </c>
      <c r="U619" s="802" t="s">
        <v>735</v>
      </c>
      <c r="V619" s="802" t="s">
        <v>735</v>
      </c>
      <c r="W619" s="802" t="s">
        <v>735</v>
      </c>
      <c r="X619" s="802" t="s">
        <v>735</v>
      </c>
      <c r="Y619" s="802" t="s">
        <v>735</v>
      </c>
      <c r="Z619" s="802" t="s">
        <v>735</v>
      </c>
      <c r="AA619" s="802" t="s">
        <v>735</v>
      </c>
      <c r="AB619" s="802" t="s">
        <v>735</v>
      </c>
      <c r="AC619" s="802" t="s">
        <v>735</v>
      </c>
      <c r="AD619" s="802" t="s">
        <v>735</v>
      </c>
      <c r="AE619" s="802" t="s">
        <v>735</v>
      </c>
      <c r="AF619" s="802" t="s">
        <v>735</v>
      </c>
      <c r="AG619" s="802" t="s">
        <v>735</v>
      </c>
      <c r="AH619" s="802" t="s">
        <v>735</v>
      </c>
      <c r="AI619" s="802" t="s">
        <v>735</v>
      </c>
      <c r="AJ619" s="802" t="s">
        <v>735</v>
      </c>
      <c r="AK619" s="802" t="s">
        <v>735</v>
      </c>
      <c r="AL619" s="802" t="s">
        <v>735</v>
      </c>
      <c r="AM619" s="315"/>
      <c r="AN619" s="315"/>
    </row>
    <row r="620" spans="1:40" s="797" customFormat="1" ht="12.95">
      <c r="A620" s="989" t="s">
        <v>742</v>
      </c>
      <c r="B620" s="796"/>
      <c r="C620" s="796"/>
      <c r="D620" s="796"/>
      <c r="E620" s="796"/>
      <c r="F620" s="795"/>
      <c r="G620" s="795"/>
      <c r="H620" s="795"/>
      <c r="I620" s="795"/>
      <c r="J620" s="795"/>
      <c r="K620" s="795"/>
      <c r="L620" s="795"/>
      <c r="M620" s="795"/>
      <c r="N620" s="795"/>
      <c r="O620" s="795"/>
      <c r="P620" s="795"/>
      <c r="Q620" s="795"/>
      <c r="R620" s="795"/>
      <c r="S620" s="795"/>
      <c r="T620" s="795"/>
      <c r="U620" s="795"/>
      <c r="V620" s="795"/>
      <c r="W620" s="795"/>
      <c r="X620" s="795"/>
      <c r="Y620" s="795"/>
      <c r="Z620" s="795"/>
      <c r="AA620" s="795"/>
      <c r="AB620" s="795"/>
      <c r="AC620" s="795"/>
      <c r="AD620" s="795"/>
      <c r="AE620" s="795"/>
      <c r="AF620" s="795"/>
      <c r="AG620" s="795"/>
      <c r="AH620" s="795"/>
      <c r="AI620" s="795"/>
      <c r="AJ620" s="795"/>
      <c r="AK620" s="795"/>
      <c r="AL620" s="795"/>
      <c r="AM620" s="796"/>
      <c r="AN620" s="796"/>
    </row>
    <row r="621" spans="1:40" ht="12.6">
      <c r="A621" s="990" t="s">
        <v>743</v>
      </c>
      <c r="B621" s="991" t="s">
        <v>121</v>
      </c>
      <c r="C621" s="991"/>
      <c r="D621" s="315"/>
      <c r="E621" s="991" t="s">
        <v>122</v>
      </c>
      <c r="F621" s="336" t="s">
        <v>108</v>
      </c>
      <c r="G621" s="336" t="s">
        <v>108</v>
      </c>
      <c r="H621" s="336" t="s">
        <v>108</v>
      </c>
      <c r="I621" s="336" t="s">
        <v>108</v>
      </c>
      <c r="J621" s="336" t="s">
        <v>108</v>
      </c>
      <c r="K621" s="336" t="s">
        <v>108</v>
      </c>
      <c r="L621" s="336" t="s">
        <v>108</v>
      </c>
      <c r="M621" s="336" t="s">
        <v>108</v>
      </c>
      <c r="N621" s="336" t="s">
        <v>108</v>
      </c>
      <c r="O621" s="336" t="s">
        <v>108</v>
      </c>
      <c r="P621" s="337">
        <f>'2000'!$S$17*1055.05585262</f>
        <v>13366.772954905015</v>
      </c>
      <c r="Q621" s="337">
        <f>'2001'!$S$17*1055.05585262</f>
        <v>24130.611390981692</v>
      </c>
      <c r="R621" s="337">
        <f>'2002'!$S$17*1055.05585262</f>
        <v>24036.7179614448</v>
      </c>
      <c r="S621" s="337">
        <f>'2003'!$S$17*1055.05585262</f>
        <v>28343.892744962624</v>
      </c>
      <c r="T621" s="337">
        <f>'2004'!$S$17*1055.05585262</f>
        <v>25995.06663464287</v>
      </c>
      <c r="U621" s="337">
        <f>'2005'!$S$17*1055.05585262</f>
        <v>25662.713701520213</v>
      </c>
      <c r="V621" s="337">
        <f>'2006'!$S$17*1055.05585262</f>
        <v>27577.841589693366</v>
      </c>
      <c r="W621" s="337">
        <f>'2007'!$S$17*1055.05585262</f>
        <v>28172.10137665924</v>
      </c>
      <c r="X621" s="337">
        <f>'2008'!$S$17*1055.05585262</f>
        <v>30865.787685212119</v>
      </c>
      <c r="Y621" s="337">
        <f>'2009'!$S$17*1055.05585262</f>
        <v>28899.113988303368</v>
      </c>
      <c r="Z621" s="337">
        <f>'2010'!$S$17*1055.05585262</f>
        <v>29350.006877702461</v>
      </c>
      <c r="AA621" s="337">
        <f>'2011'!$S$17*1055.05585262</f>
        <v>28559.251484138516</v>
      </c>
      <c r="AB621" s="337">
        <f>'2012'!$S$17*1055.05585262</f>
        <v>51888.78798026179</v>
      </c>
      <c r="AC621" s="337">
        <f>'2013'!$S$17*1055.05585262</f>
        <v>61444.359713346843</v>
      </c>
      <c r="AD621" s="337">
        <f>'2014'!$S$17*1055.05585262</f>
        <v>63928.003786184265</v>
      </c>
      <c r="AE621" s="337">
        <f>'2015'!$S$17*1055.05585262</f>
        <v>60583.67657889329</v>
      </c>
      <c r="AF621" s="337">
        <f>'2016'!$S$17*1055.05585262</f>
        <v>67106.138868829978</v>
      </c>
      <c r="AG621" s="337">
        <f>'2017'!$S$17*1055.05585262</f>
        <v>50752.867523745772</v>
      </c>
      <c r="AH621" s="337">
        <f>'2018'!$S$17*1055.05585262</f>
        <v>65876.066167025871</v>
      </c>
      <c r="AI621" s="337">
        <f>'2019'!$S$17*1055.05585262</f>
        <v>75260.303557736595</v>
      </c>
      <c r="AJ621" s="337">
        <f>'2020'!$S$17*1055.05585262</f>
        <v>52799.209835392183</v>
      </c>
      <c r="AK621" s="337">
        <f>'2021'!$S$17*1055.05585262</f>
        <v>78227.013522914771</v>
      </c>
      <c r="AL621" s="337">
        <f>'2022'!$S$17*1055.05585262</f>
        <v>78151.577637164621</v>
      </c>
      <c r="AM621" s="315"/>
      <c r="AN621" s="315"/>
    </row>
    <row r="622" spans="1:40" ht="12.6">
      <c r="A622" s="990" t="s">
        <v>744</v>
      </c>
      <c r="B622" s="991" t="s">
        <v>124</v>
      </c>
      <c r="C622" s="991"/>
      <c r="D622" s="315"/>
      <c r="E622" s="315" t="s">
        <v>125</v>
      </c>
      <c r="F622" s="799" t="s">
        <v>126</v>
      </c>
      <c r="G622" s="799" t="s">
        <v>126</v>
      </c>
      <c r="H622" s="799" t="s">
        <v>126</v>
      </c>
      <c r="I622" s="799" t="s">
        <v>126</v>
      </c>
      <c r="J622" s="799" t="s">
        <v>126</v>
      </c>
      <c r="K622" s="799" t="s">
        <v>126</v>
      </c>
      <c r="L622" s="799" t="s">
        <v>126</v>
      </c>
      <c r="M622" s="799" t="s">
        <v>126</v>
      </c>
      <c r="N622" s="799" t="s">
        <v>126</v>
      </c>
      <c r="O622" s="799" t="s">
        <v>126</v>
      </c>
      <c r="P622" s="799" t="s">
        <v>126</v>
      </c>
      <c r="Q622" s="799" t="s">
        <v>126</v>
      </c>
      <c r="R622" s="799" t="s">
        <v>126</v>
      </c>
      <c r="S622" s="799" t="s">
        <v>126</v>
      </c>
      <c r="T622" s="799" t="s">
        <v>126</v>
      </c>
      <c r="U622" s="799" t="s">
        <v>126</v>
      </c>
      <c r="V622" s="799" t="s">
        <v>126</v>
      </c>
      <c r="W622" s="799" t="s">
        <v>126</v>
      </c>
      <c r="X622" s="799" t="s">
        <v>126</v>
      </c>
      <c r="Y622" s="799" t="s">
        <v>126</v>
      </c>
      <c r="Z622" s="799" t="s">
        <v>126</v>
      </c>
      <c r="AA622" s="799" t="s">
        <v>126</v>
      </c>
      <c r="AB622" s="799" t="s">
        <v>126</v>
      </c>
      <c r="AC622" s="799" t="s">
        <v>126</v>
      </c>
      <c r="AD622" s="799" t="s">
        <v>126</v>
      </c>
      <c r="AE622" s="799" t="s">
        <v>126</v>
      </c>
      <c r="AF622" s="799" t="s">
        <v>126</v>
      </c>
      <c r="AG622" s="799" t="s">
        <v>126</v>
      </c>
      <c r="AH622" s="799" t="s">
        <v>126</v>
      </c>
      <c r="AI622" s="799" t="s">
        <v>126</v>
      </c>
      <c r="AJ622" s="799" t="s">
        <v>126</v>
      </c>
      <c r="AK622" s="799" t="s">
        <v>126</v>
      </c>
      <c r="AL622" s="799" t="s">
        <v>126</v>
      </c>
      <c r="AM622" s="315"/>
      <c r="AN622" s="315"/>
    </row>
    <row r="623" spans="1:40" ht="12.6">
      <c r="A623" s="990" t="s">
        <v>745</v>
      </c>
      <c r="B623" s="991" t="s">
        <v>128</v>
      </c>
      <c r="C623" s="991"/>
      <c r="D623" s="991" t="s">
        <v>129</v>
      </c>
      <c r="E623" s="991" t="s">
        <v>130</v>
      </c>
      <c r="F623" s="336" t="str">
        <f>IFERROR('Summary Table'!C20*1000,"NO")</f>
        <v>NO</v>
      </c>
      <c r="G623" s="336" t="str">
        <f>IFERROR('Summary Table'!D20*1000,"NO")</f>
        <v>NO</v>
      </c>
      <c r="H623" s="336" t="str">
        <f>IFERROR('Summary Table'!E20*1000,"NO")</f>
        <v>NO</v>
      </c>
      <c r="I623" s="336" t="str">
        <f>IFERROR('Summary Table'!F20*1000,"NO")</f>
        <v>NO</v>
      </c>
      <c r="J623" s="336" t="str">
        <f>IFERROR('Summary Table'!G20*1000,"NO")</f>
        <v>NO</v>
      </c>
      <c r="K623" s="336" t="str">
        <f>IFERROR('Summary Table'!H20*1000,"NO")</f>
        <v>NO</v>
      </c>
      <c r="L623" s="336" t="str">
        <f>IFERROR('Summary Table'!I20*1000,"NO")</f>
        <v>NO</v>
      </c>
      <c r="M623" s="336" t="str">
        <f>IFERROR('Summary Table'!J20*1000,"NO")</f>
        <v>NO</v>
      </c>
      <c r="N623" s="336" t="str">
        <f>IFERROR('Summary Table'!K20*1000,"NO")</f>
        <v>NO</v>
      </c>
      <c r="O623" s="336" t="str">
        <f>IFERROR('Summary Table'!L20*1000,"NO")</f>
        <v>NO</v>
      </c>
      <c r="P623" s="336">
        <f>IFERROR('Summary Table'!M20*1000,"NO")</f>
        <v>672.12201477417796</v>
      </c>
      <c r="Q623" s="336">
        <f>IFERROR('Summary Table'!N20*1000,"NO")</f>
        <v>1212.5167466946648</v>
      </c>
      <c r="R623" s="336">
        <f>IFERROR('Summary Table'!O20*1000,"NO")</f>
        <v>1208.9205865598053</v>
      </c>
      <c r="S623" s="336">
        <f>IFERROR('Summary Table'!P20*1000,"NO")</f>
        <v>1424.2260199270665</v>
      </c>
      <c r="T623" s="336">
        <f>IFERROR('Summary Table'!Q20*1000,"NO")</f>
        <v>1306.8074496928887</v>
      </c>
      <c r="U623" s="336">
        <f>IFERROR('Summary Table'!R20*1000,"NO")</f>
        <v>1289.5019369609929</v>
      </c>
      <c r="V623" s="336">
        <f>IFERROR('Summary Table'!S20*1000,"NO")</f>
        <v>1385.7334247939027</v>
      </c>
      <c r="W623" s="336">
        <f>IFERROR('Summary Table'!T20*1000,"NO")</f>
        <v>1415.921575354</v>
      </c>
      <c r="X623" s="336">
        <f>IFERROR('Summary Table'!U20*1000,"NO")</f>
        <v>1551.3054613666941</v>
      </c>
      <c r="Y623" s="336">
        <f>IFERROR('Summary Table'!V20*1000,"NO")</f>
        <v>1453.1353816314686</v>
      </c>
      <c r="Z623" s="336">
        <f>IFERROR('Summary Table'!W20*1000,"NO")</f>
        <v>1476.4952126860062</v>
      </c>
      <c r="AA623" s="336">
        <f>IFERROR('Summary Table'!X20*1000,"NO")</f>
        <v>1437.0506029671137</v>
      </c>
      <c r="AB623" s="336">
        <f>IFERROR('Summary Table'!Y20*1000,"NO")</f>
        <v>2609.7333297164046</v>
      </c>
      <c r="AC623" s="336">
        <f>IFERROR('Summary Table'!Z20*1000,"NO")</f>
        <v>3088.1755478141317</v>
      </c>
      <c r="AD623" s="336">
        <f>IFERROR('Summary Table'!AA20*1000,"NO")</f>
        <v>3209.2986456579756</v>
      </c>
      <c r="AE623" s="336">
        <f>IFERROR('Summary Table'!AB20*1000,"NO")</f>
        <v>3037.9310176521799</v>
      </c>
      <c r="AF623" s="336">
        <f>IFERROR('Summary Table'!AC20*1000,"NO")</f>
        <v>3364.995857902707</v>
      </c>
      <c r="AG623" s="336">
        <f>IFERROR('Summary Table'!AD20*1000,"NO")</f>
        <v>2545.5513992585311</v>
      </c>
      <c r="AH623" s="336">
        <f>IFERROR('Summary Table'!AE20*1000,"NO")</f>
        <v>3304.0677421953083</v>
      </c>
      <c r="AI623" s="336">
        <f>IFERROR('Summary Table'!AF20*1000,"NO")</f>
        <v>3773.022660515549</v>
      </c>
      <c r="AJ623" s="336">
        <f>IFERROR('Summary Table'!AG20*1000,"NO")</f>
        <v>2647.5837440731639</v>
      </c>
      <c r="AK623" s="336">
        <f>IFERROR('Summary Table'!AH20*1000,"NO")</f>
        <v>3922.6452440549542</v>
      </c>
      <c r="AL623" s="336">
        <f>IFERROR('Summary Table'!AI20*1000,"NO")</f>
        <v>3919.7560160609351</v>
      </c>
      <c r="AM623" s="315"/>
      <c r="AN623" s="315"/>
    </row>
    <row r="624" spans="1:40" ht="12.6">
      <c r="A624" s="990" t="s">
        <v>746</v>
      </c>
      <c r="B624" s="991" t="s">
        <v>132</v>
      </c>
      <c r="C624" s="991"/>
      <c r="D624" s="991" t="s">
        <v>129</v>
      </c>
      <c r="E624" s="991" t="s">
        <v>130</v>
      </c>
      <c r="F624" s="332" t="s">
        <v>106</v>
      </c>
      <c r="G624" s="332" t="s">
        <v>106</v>
      </c>
      <c r="H624" s="332" t="s">
        <v>106</v>
      </c>
      <c r="I624" s="332" t="s">
        <v>106</v>
      </c>
      <c r="J624" s="332" t="s">
        <v>106</v>
      </c>
      <c r="K624" s="332" t="s">
        <v>106</v>
      </c>
      <c r="L624" s="332" t="s">
        <v>106</v>
      </c>
      <c r="M624" s="332" t="s">
        <v>106</v>
      </c>
      <c r="N624" s="332" t="s">
        <v>106</v>
      </c>
      <c r="O624" s="332" t="s">
        <v>106</v>
      </c>
      <c r="P624" s="332" t="s">
        <v>106</v>
      </c>
      <c r="Q624" s="332" t="s">
        <v>106</v>
      </c>
      <c r="R624" s="332" t="s">
        <v>106</v>
      </c>
      <c r="S624" s="332" t="s">
        <v>106</v>
      </c>
      <c r="T624" s="332" t="s">
        <v>106</v>
      </c>
      <c r="U624" s="332" t="s">
        <v>106</v>
      </c>
      <c r="V624" s="332" t="s">
        <v>106</v>
      </c>
      <c r="W624" s="332" t="s">
        <v>106</v>
      </c>
      <c r="X624" s="332" t="s">
        <v>106</v>
      </c>
      <c r="Y624" s="332" t="s">
        <v>106</v>
      </c>
      <c r="Z624" s="332" t="s">
        <v>106</v>
      </c>
      <c r="AA624" s="332" t="s">
        <v>106</v>
      </c>
      <c r="AB624" s="332" t="s">
        <v>106</v>
      </c>
      <c r="AC624" s="332" t="s">
        <v>106</v>
      </c>
      <c r="AD624" s="332" t="s">
        <v>106</v>
      </c>
      <c r="AE624" s="332" t="s">
        <v>106</v>
      </c>
      <c r="AF624" s="332" t="s">
        <v>106</v>
      </c>
      <c r="AG624" s="332" t="s">
        <v>106</v>
      </c>
      <c r="AH624" s="332" t="s">
        <v>106</v>
      </c>
      <c r="AI624" s="332" t="s">
        <v>106</v>
      </c>
      <c r="AJ624" s="332" t="s">
        <v>106</v>
      </c>
      <c r="AK624" s="332" t="s">
        <v>106</v>
      </c>
      <c r="AL624" s="332" t="s">
        <v>106</v>
      </c>
      <c r="AM624" s="315"/>
      <c r="AN624" s="315"/>
    </row>
    <row r="625" spans="1:40" ht="12.6">
      <c r="A625" s="990" t="s">
        <v>747</v>
      </c>
      <c r="B625" s="991" t="s">
        <v>134</v>
      </c>
      <c r="D625" s="315"/>
      <c r="E625" s="315"/>
      <c r="F625" s="802" t="s">
        <v>735</v>
      </c>
      <c r="G625" s="802" t="s">
        <v>735</v>
      </c>
      <c r="H625" s="802" t="s">
        <v>735</v>
      </c>
      <c r="I625" s="802" t="s">
        <v>735</v>
      </c>
      <c r="J625" s="802" t="s">
        <v>735</v>
      </c>
      <c r="K625" s="802" t="s">
        <v>735</v>
      </c>
      <c r="L625" s="802" t="s">
        <v>735</v>
      </c>
      <c r="M625" s="802" t="s">
        <v>735</v>
      </c>
      <c r="N625" s="802" t="s">
        <v>735</v>
      </c>
      <c r="O625" s="802" t="s">
        <v>735</v>
      </c>
      <c r="P625" s="802" t="s">
        <v>735</v>
      </c>
      <c r="Q625" s="802" t="s">
        <v>735</v>
      </c>
      <c r="R625" s="802" t="s">
        <v>735</v>
      </c>
      <c r="S625" s="802" t="s">
        <v>735</v>
      </c>
      <c r="T625" s="802" t="s">
        <v>735</v>
      </c>
      <c r="U625" s="802" t="s">
        <v>735</v>
      </c>
      <c r="V625" s="802" t="s">
        <v>735</v>
      </c>
      <c r="W625" s="802" t="s">
        <v>735</v>
      </c>
      <c r="X625" s="802" t="s">
        <v>735</v>
      </c>
      <c r="Y625" s="802" t="s">
        <v>735</v>
      </c>
      <c r="Z625" s="802" t="s">
        <v>735</v>
      </c>
      <c r="AA625" s="802" t="s">
        <v>735</v>
      </c>
      <c r="AB625" s="802" t="s">
        <v>735</v>
      </c>
      <c r="AC625" s="802" t="s">
        <v>735</v>
      </c>
      <c r="AD625" s="802" t="s">
        <v>735</v>
      </c>
      <c r="AE625" s="802" t="s">
        <v>735</v>
      </c>
      <c r="AF625" s="802" t="s">
        <v>735</v>
      </c>
      <c r="AG625" s="802" t="s">
        <v>735</v>
      </c>
      <c r="AH625" s="802" t="s">
        <v>735</v>
      </c>
      <c r="AI625" s="802" t="s">
        <v>735</v>
      </c>
      <c r="AJ625" s="802" t="s">
        <v>735</v>
      </c>
      <c r="AK625" s="802" t="s">
        <v>735</v>
      </c>
      <c r="AL625" s="802" t="s">
        <v>735</v>
      </c>
      <c r="AM625" s="315"/>
      <c r="AN625" s="315"/>
    </row>
    <row r="626" spans="1:40" s="797" customFormat="1" ht="12.95">
      <c r="A626" s="989" t="s">
        <v>748</v>
      </c>
      <c r="B626" s="796"/>
      <c r="C626" s="796"/>
      <c r="D626" s="796"/>
      <c r="E626" s="796"/>
      <c r="F626" s="795"/>
      <c r="G626" s="795"/>
      <c r="H626" s="795"/>
      <c r="I626" s="795"/>
      <c r="J626" s="795"/>
      <c r="K626" s="795"/>
      <c r="L626" s="795"/>
      <c r="M626" s="795"/>
      <c r="N626" s="795"/>
      <c r="O626" s="795"/>
      <c r="P626" s="795"/>
      <c r="Q626" s="795"/>
      <c r="R626" s="795"/>
      <c r="S626" s="795"/>
      <c r="T626" s="795"/>
      <c r="U626" s="795"/>
      <c r="V626" s="795"/>
      <c r="W626" s="795"/>
      <c r="X626" s="795"/>
      <c r="Y626" s="795"/>
      <c r="Z626" s="795"/>
      <c r="AA626" s="795"/>
      <c r="AB626" s="795"/>
      <c r="AC626" s="795"/>
      <c r="AD626" s="795"/>
      <c r="AE626" s="795"/>
      <c r="AF626" s="795"/>
      <c r="AG626" s="795"/>
      <c r="AH626" s="795"/>
      <c r="AI626" s="795"/>
      <c r="AJ626" s="795"/>
      <c r="AK626" s="795"/>
      <c r="AL626" s="795"/>
      <c r="AM626" s="796"/>
      <c r="AN626" s="796"/>
    </row>
    <row r="627" spans="1:40" ht="12.6">
      <c r="A627" s="990" t="s">
        <v>749</v>
      </c>
      <c r="B627" s="991" t="s">
        <v>121</v>
      </c>
      <c r="C627" s="991"/>
      <c r="D627" s="315"/>
      <c r="E627" s="991" t="s">
        <v>122</v>
      </c>
      <c r="F627" s="332" t="s">
        <v>108</v>
      </c>
      <c r="G627" s="332" t="s">
        <v>108</v>
      </c>
      <c r="H627" s="332" t="s">
        <v>108</v>
      </c>
      <c r="I627" s="332" t="s">
        <v>108</v>
      </c>
      <c r="J627" s="332" t="s">
        <v>108</v>
      </c>
      <c r="K627" s="332" t="s">
        <v>108</v>
      </c>
      <c r="L627" s="332" t="s">
        <v>108</v>
      </c>
      <c r="M627" s="332" t="s">
        <v>108</v>
      </c>
      <c r="N627" s="332" t="s">
        <v>108</v>
      </c>
      <c r="O627" s="332" t="s">
        <v>108</v>
      </c>
      <c r="P627" s="332" t="s">
        <v>108</v>
      </c>
      <c r="Q627" s="332" t="s">
        <v>108</v>
      </c>
      <c r="R627" s="332" t="s">
        <v>108</v>
      </c>
      <c r="S627" s="332" t="s">
        <v>108</v>
      </c>
      <c r="T627" s="332" t="s">
        <v>108</v>
      </c>
      <c r="U627" s="332" t="s">
        <v>108</v>
      </c>
      <c r="V627" s="332" t="s">
        <v>108</v>
      </c>
      <c r="W627" s="332" t="s">
        <v>108</v>
      </c>
      <c r="X627" s="332" t="s">
        <v>108</v>
      </c>
      <c r="Y627" s="332" t="s">
        <v>108</v>
      </c>
      <c r="Z627" s="332" t="s">
        <v>108</v>
      </c>
      <c r="AA627" s="332" t="s">
        <v>108</v>
      </c>
      <c r="AB627" s="332" t="s">
        <v>108</v>
      </c>
      <c r="AC627" s="332" t="s">
        <v>108</v>
      </c>
      <c r="AD627" s="332" t="s">
        <v>108</v>
      </c>
      <c r="AE627" s="332" t="s">
        <v>108</v>
      </c>
      <c r="AF627" s="332" t="s">
        <v>108</v>
      </c>
      <c r="AG627" s="332" t="s">
        <v>108</v>
      </c>
      <c r="AH627" s="332" t="s">
        <v>108</v>
      </c>
      <c r="AI627" s="332" t="s">
        <v>108</v>
      </c>
      <c r="AJ627" s="332" t="s">
        <v>108</v>
      </c>
      <c r="AK627" s="332" t="s">
        <v>108</v>
      </c>
      <c r="AL627" s="332" t="s">
        <v>108</v>
      </c>
      <c r="AM627" s="315"/>
      <c r="AN627" s="315"/>
    </row>
    <row r="628" spans="1:40" ht="12.6">
      <c r="A628" s="990" t="s">
        <v>750</v>
      </c>
      <c r="B628" s="991" t="s">
        <v>124</v>
      </c>
      <c r="C628" s="991"/>
      <c r="D628" s="315"/>
      <c r="E628" s="315" t="s">
        <v>125</v>
      </c>
      <c r="F628" s="799" t="s">
        <v>126</v>
      </c>
      <c r="G628" s="799" t="s">
        <v>126</v>
      </c>
      <c r="H628" s="799" t="s">
        <v>126</v>
      </c>
      <c r="I628" s="799" t="s">
        <v>126</v>
      </c>
      <c r="J628" s="799" t="s">
        <v>126</v>
      </c>
      <c r="K628" s="799" t="s">
        <v>126</v>
      </c>
      <c r="L628" s="799" t="s">
        <v>126</v>
      </c>
      <c r="M628" s="799" t="s">
        <v>126</v>
      </c>
      <c r="N628" s="799" t="s">
        <v>126</v>
      </c>
      <c r="O628" s="799" t="s">
        <v>126</v>
      </c>
      <c r="P628" s="799" t="s">
        <v>126</v>
      </c>
      <c r="Q628" s="799" t="s">
        <v>126</v>
      </c>
      <c r="R628" s="799" t="s">
        <v>126</v>
      </c>
      <c r="S628" s="799" t="s">
        <v>126</v>
      </c>
      <c r="T628" s="799" t="s">
        <v>126</v>
      </c>
      <c r="U628" s="799" t="s">
        <v>126</v>
      </c>
      <c r="V628" s="799" t="s">
        <v>126</v>
      </c>
      <c r="W628" s="799" t="s">
        <v>126</v>
      </c>
      <c r="X628" s="799" t="s">
        <v>126</v>
      </c>
      <c r="Y628" s="799" t="s">
        <v>126</v>
      </c>
      <c r="Z628" s="799" t="s">
        <v>126</v>
      </c>
      <c r="AA628" s="799" t="s">
        <v>126</v>
      </c>
      <c r="AB628" s="799" t="s">
        <v>126</v>
      </c>
      <c r="AC628" s="799" t="s">
        <v>126</v>
      </c>
      <c r="AD628" s="799" t="s">
        <v>126</v>
      </c>
      <c r="AE628" s="799" t="s">
        <v>126</v>
      </c>
      <c r="AF628" s="799" t="s">
        <v>126</v>
      </c>
      <c r="AG628" s="799" t="s">
        <v>126</v>
      </c>
      <c r="AH628" s="799" t="s">
        <v>126</v>
      </c>
      <c r="AI628" s="799" t="s">
        <v>126</v>
      </c>
      <c r="AJ628" s="799" t="s">
        <v>126</v>
      </c>
      <c r="AK628" s="799" t="s">
        <v>126</v>
      </c>
      <c r="AL628" s="799" t="s">
        <v>126</v>
      </c>
      <c r="AM628" s="315"/>
      <c r="AN628" s="315"/>
    </row>
    <row r="629" spans="1:40" ht="12.6">
      <c r="A629" s="990" t="s">
        <v>751</v>
      </c>
      <c r="B629" s="991" t="s">
        <v>128</v>
      </c>
      <c r="C629" s="991"/>
      <c r="D629" s="991" t="s">
        <v>129</v>
      </c>
      <c r="E629" s="991" t="s">
        <v>130</v>
      </c>
      <c r="F629" s="332" t="s">
        <v>108</v>
      </c>
      <c r="G629" s="332" t="s">
        <v>108</v>
      </c>
      <c r="H629" s="332" t="s">
        <v>108</v>
      </c>
      <c r="I629" s="332" t="s">
        <v>108</v>
      </c>
      <c r="J629" s="332" t="s">
        <v>108</v>
      </c>
      <c r="K629" s="332" t="s">
        <v>108</v>
      </c>
      <c r="L629" s="332" t="s">
        <v>108</v>
      </c>
      <c r="M629" s="332" t="s">
        <v>108</v>
      </c>
      <c r="N629" s="332" t="s">
        <v>108</v>
      </c>
      <c r="O629" s="332" t="s">
        <v>108</v>
      </c>
      <c r="P629" s="332" t="s">
        <v>108</v>
      </c>
      <c r="Q629" s="332" t="s">
        <v>108</v>
      </c>
      <c r="R629" s="332" t="s">
        <v>108</v>
      </c>
      <c r="S629" s="332" t="s">
        <v>108</v>
      </c>
      <c r="T629" s="332" t="s">
        <v>108</v>
      </c>
      <c r="U629" s="332" t="s">
        <v>108</v>
      </c>
      <c r="V629" s="332" t="s">
        <v>108</v>
      </c>
      <c r="W629" s="332" t="s">
        <v>108</v>
      </c>
      <c r="X629" s="332" t="s">
        <v>108</v>
      </c>
      <c r="Y629" s="332" t="s">
        <v>108</v>
      </c>
      <c r="Z629" s="332" t="s">
        <v>108</v>
      </c>
      <c r="AA629" s="332" t="s">
        <v>108</v>
      </c>
      <c r="AB629" s="332" t="s">
        <v>108</v>
      </c>
      <c r="AC629" s="332" t="s">
        <v>108</v>
      </c>
      <c r="AD629" s="332" t="s">
        <v>108</v>
      </c>
      <c r="AE629" s="332" t="s">
        <v>108</v>
      </c>
      <c r="AF629" s="332" t="s">
        <v>108</v>
      </c>
      <c r="AG629" s="332" t="s">
        <v>108</v>
      </c>
      <c r="AH629" s="332" t="s">
        <v>108</v>
      </c>
      <c r="AI629" s="332" t="s">
        <v>108</v>
      </c>
      <c r="AJ629" s="332" t="s">
        <v>108</v>
      </c>
      <c r="AK629" s="332" t="s">
        <v>108</v>
      </c>
      <c r="AL629" s="332" t="s">
        <v>108</v>
      </c>
      <c r="AM629" s="315"/>
      <c r="AN629" s="315"/>
    </row>
    <row r="630" spans="1:40" ht="12.6">
      <c r="A630" s="990" t="s">
        <v>752</v>
      </c>
      <c r="B630" s="991" t="s">
        <v>132</v>
      </c>
      <c r="C630" s="991"/>
      <c r="D630" s="991" t="s">
        <v>129</v>
      </c>
      <c r="E630" s="991" t="s">
        <v>130</v>
      </c>
      <c r="F630" s="794" t="s">
        <v>108</v>
      </c>
      <c r="G630" s="794" t="s">
        <v>108</v>
      </c>
      <c r="H630" s="794" t="s">
        <v>108</v>
      </c>
      <c r="I630" s="794" t="s">
        <v>108</v>
      </c>
      <c r="J630" s="794" t="s">
        <v>108</v>
      </c>
      <c r="K630" s="794" t="s">
        <v>108</v>
      </c>
      <c r="L630" s="794" t="s">
        <v>108</v>
      </c>
      <c r="M630" s="794" t="s">
        <v>108</v>
      </c>
      <c r="N630" s="794" t="s">
        <v>108</v>
      </c>
      <c r="O630" s="794" t="s">
        <v>108</v>
      </c>
      <c r="P630" s="794" t="s">
        <v>108</v>
      </c>
      <c r="Q630" s="794" t="s">
        <v>108</v>
      </c>
      <c r="R630" s="794" t="s">
        <v>108</v>
      </c>
      <c r="S630" s="794" t="s">
        <v>108</v>
      </c>
      <c r="T630" s="794" t="s">
        <v>108</v>
      </c>
      <c r="U630" s="794" t="s">
        <v>108</v>
      </c>
      <c r="V630" s="794" t="s">
        <v>108</v>
      </c>
      <c r="W630" s="794" t="s">
        <v>108</v>
      </c>
      <c r="X630" s="794" t="s">
        <v>108</v>
      </c>
      <c r="Y630" s="794" t="s">
        <v>108</v>
      </c>
      <c r="Z630" s="794" t="s">
        <v>108</v>
      </c>
      <c r="AA630" s="794" t="s">
        <v>108</v>
      </c>
      <c r="AB630" s="794" t="s">
        <v>108</v>
      </c>
      <c r="AC630" s="794" t="s">
        <v>108</v>
      </c>
      <c r="AD630" s="794" t="s">
        <v>108</v>
      </c>
      <c r="AE630" s="794" t="s">
        <v>108</v>
      </c>
      <c r="AF630" s="794" t="s">
        <v>108</v>
      </c>
      <c r="AG630" s="794" t="s">
        <v>108</v>
      </c>
      <c r="AH630" s="794" t="s">
        <v>108</v>
      </c>
      <c r="AI630" s="794" t="s">
        <v>108</v>
      </c>
      <c r="AJ630" s="794" t="s">
        <v>108</v>
      </c>
      <c r="AK630" s="794" t="s">
        <v>108</v>
      </c>
      <c r="AL630" s="794" t="s">
        <v>108</v>
      </c>
      <c r="AM630" s="315"/>
      <c r="AN630" s="315"/>
    </row>
    <row r="631" spans="1:40" ht="12.6">
      <c r="A631" s="990" t="s">
        <v>753</v>
      </c>
      <c r="B631" s="991" t="s">
        <v>134</v>
      </c>
      <c r="D631" s="315"/>
      <c r="E631" s="315"/>
      <c r="F631" s="332"/>
      <c r="G631" s="332"/>
      <c r="H631" s="332"/>
      <c r="I631" s="332"/>
      <c r="J631" s="332"/>
      <c r="K631" s="332"/>
      <c r="L631" s="332"/>
      <c r="M631" s="332"/>
      <c r="N631" s="332"/>
      <c r="O631" s="332"/>
      <c r="P631" s="332"/>
      <c r="Q631" s="332"/>
      <c r="R631" s="332"/>
      <c r="S631" s="332"/>
      <c r="T631" s="332"/>
      <c r="U631" s="332"/>
      <c r="V631" s="332"/>
      <c r="W631" s="332"/>
      <c r="X631" s="332"/>
      <c r="Y631" s="332"/>
      <c r="Z631" s="332"/>
      <c r="AA631" s="332"/>
      <c r="AB631" s="332"/>
      <c r="AC631" s="332"/>
      <c r="AD631" s="332"/>
      <c r="AE631" s="332"/>
      <c r="AF631" s="332"/>
      <c r="AG631" s="332"/>
      <c r="AH631" s="332"/>
      <c r="AI631" s="332"/>
      <c r="AJ631" s="332"/>
      <c r="AK631" s="332"/>
      <c r="AL631" s="332"/>
      <c r="AM631" s="315"/>
      <c r="AN631" s="315"/>
    </row>
    <row r="632" spans="1:40" s="797" customFormat="1" ht="12.95">
      <c r="A632" s="989" t="s">
        <v>754</v>
      </c>
      <c r="B632" s="796"/>
      <c r="C632" s="796"/>
      <c r="D632" s="796"/>
      <c r="E632" s="796"/>
      <c r="F632" s="795"/>
      <c r="G632" s="795"/>
      <c r="H632" s="795"/>
      <c r="I632" s="795"/>
      <c r="J632" s="795"/>
      <c r="K632" s="795"/>
      <c r="L632" s="795"/>
      <c r="M632" s="795"/>
      <c r="N632" s="795"/>
      <c r="O632" s="795"/>
      <c r="P632" s="795"/>
      <c r="Q632" s="795"/>
      <c r="R632" s="795"/>
      <c r="S632" s="795"/>
      <c r="T632" s="795"/>
      <c r="U632" s="795"/>
      <c r="V632" s="795"/>
      <c r="W632" s="795"/>
      <c r="X632" s="795"/>
      <c r="Y632" s="795"/>
      <c r="Z632" s="795"/>
      <c r="AA632" s="795"/>
      <c r="AB632" s="795"/>
      <c r="AC632" s="795"/>
      <c r="AD632" s="795"/>
      <c r="AE632" s="795"/>
      <c r="AF632" s="795"/>
      <c r="AG632" s="795"/>
      <c r="AH632" s="795"/>
      <c r="AI632" s="795"/>
      <c r="AJ632" s="795"/>
      <c r="AK632" s="795"/>
      <c r="AL632" s="795"/>
      <c r="AM632" s="796"/>
      <c r="AN632" s="796"/>
    </row>
    <row r="633" spans="1:40" ht="12.6">
      <c r="A633" s="990" t="s">
        <v>755</v>
      </c>
      <c r="B633" s="991" t="s">
        <v>121</v>
      </c>
      <c r="C633" s="991"/>
      <c r="D633" s="315"/>
      <c r="E633" s="991" t="s">
        <v>122</v>
      </c>
      <c r="F633" s="794" t="s">
        <v>108</v>
      </c>
      <c r="G633" s="794" t="s">
        <v>108</v>
      </c>
      <c r="H633" s="794" t="s">
        <v>108</v>
      </c>
      <c r="I633" s="794" t="s">
        <v>108</v>
      </c>
      <c r="J633" s="794" t="s">
        <v>108</v>
      </c>
      <c r="K633" s="794" t="s">
        <v>108</v>
      </c>
      <c r="L633" s="794" t="s">
        <v>108</v>
      </c>
      <c r="M633" s="794" t="s">
        <v>108</v>
      </c>
      <c r="N633" s="794" t="s">
        <v>108</v>
      </c>
      <c r="O633" s="794" t="s">
        <v>108</v>
      </c>
      <c r="P633" s="794" t="s">
        <v>108</v>
      </c>
      <c r="Q633" s="794" t="s">
        <v>108</v>
      </c>
      <c r="R633" s="794" t="s">
        <v>108</v>
      </c>
      <c r="S633" s="794" t="s">
        <v>108</v>
      </c>
      <c r="T633" s="794" t="s">
        <v>108</v>
      </c>
      <c r="U633" s="794" t="s">
        <v>108</v>
      </c>
      <c r="V633" s="794" t="s">
        <v>108</v>
      </c>
      <c r="W633" s="794" t="s">
        <v>108</v>
      </c>
      <c r="X633" s="794" t="s">
        <v>108</v>
      </c>
      <c r="Y633" s="794" t="s">
        <v>108</v>
      </c>
      <c r="Z633" s="794" t="s">
        <v>108</v>
      </c>
      <c r="AA633" s="794" t="s">
        <v>108</v>
      </c>
      <c r="AB633" s="794" t="s">
        <v>108</v>
      </c>
      <c r="AC633" s="794" t="s">
        <v>108</v>
      </c>
      <c r="AD633" s="794" t="s">
        <v>108</v>
      </c>
      <c r="AE633" s="794" t="s">
        <v>108</v>
      </c>
      <c r="AF633" s="794" t="s">
        <v>108</v>
      </c>
      <c r="AG633" s="794" t="s">
        <v>108</v>
      </c>
      <c r="AH633" s="794" t="s">
        <v>108</v>
      </c>
      <c r="AI633" s="794" t="s">
        <v>108</v>
      </c>
      <c r="AJ633" s="794" t="s">
        <v>108</v>
      </c>
      <c r="AK633" s="794" t="s">
        <v>108</v>
      </c>
      <c r="AL633" s="794" t="s">
        <v>108</v>
      </c>
      <c r="AM633" s="315"/>
      <c r="AN633" s="315"/>
    </row>
    <row r="634" spans="1:40" ht="12.6">
      <c r="A634" s="990" t="s">
        <v>756</v>
      </c>
      <c r="B634" s="991" t="s">
        <v>124</v>
      </c>
      <c r="C634" s="991"/>
      <c r="D634" s="315"/>
      <c r="E634" s="315" t="s">
        <v>125</v>
      </c>
      <c r="F634" s="799" t="s">
        <v>126</v>
      </c>
      <c r="G634" s="799" t="s">
        <v>126</v>
      </c>
      <c r="H634" s="799" t="s">
        <v>126</v>
      </c>
      <c r="I634" s="799" t="s">
        <v>126</v>
      </c>
      <c r="J634" s="799" t="s">
        <v>126</v>
      </c>
      <c r="K634" s="799" t="s">
        <v>126</v>
      </c>
      <c r="L634" s="799" t="s">
        <v>126</v>
      </c>
      <c r="M634" s="799" t="s">
        <v>126</v>
      </c>
      <c r="N634" s="799" t="s">
        <v>126</v>
      </c>
      <c r="O634" s="799" t="s">
        <v>126</v>
      </c>
      <c r="P634" s="799" t="s">
        <v>126</v>
      </c>
      <c r="Q634" s="799" t="s">
        <v>126</v>
      </c>
      <c r="R634" s="799" t="s">
        <v>126</v>
      </c>
      <c r="S634" s="799" t="s">
        <v>126</v>
      </c>
      <c r="T634" s="799" t="s">
        <v>126</v>
      </c>
      <c r="U634" s="799" t="s">
        <v>126</v>
      </c>
      <c r="V634" s="799" t="s">
        <v>126</v>
      </c>
      <c r="W634" s="799" t="s">
        <v>126</v>
      </c>
      <c r="X634" s="799" t="s">
        <v>126</v>
      </c>
      <c r="Y634" s="799" t="s">
        <v>126</v>
      </c>
      <c r="Z634" s="799" t="s">
        <v>126</v>
      </c>
      <c r="AA634" s="799" t="s">
        <v>126</v>
      </c>
      <c r="AB634" s="799" t="s">
        <v>126</v>
      </c>
      <c r="AC634" s="799" t="s">
        <v>126</v>
      </c>
      <c r="AD634" s="799" t="s">
        <v>126</v>
      </c>
      <c r="AE634" s="799" t="s">
        <v>126</v>
      </c>
      <c r="AF634" s="799" t="s">
        <v>126</v>
      </c>
      <c r="AG634" s="799" t="s">
        <v>126</v>
      </c>
      <c r="AH634" s="799" t="s">
        <v>126</v>
      </c>
      <c r="AI634" s="799" t="s">
        <v>126</v>
      </c>
      <c r="AJ634" s="799" t="s">
        <v>126</v>
      </c>
      <c r="AK634" s="799" t="s">
        <v>126</v>
      </c>
      <c r="AL634" s="799" t="s">
        <v>126</v>
      </c>
      <c r="AM634" s="315"/>
      <c r="AN634" s="315"/>
    </row>
    <row r="635" spans="1:40" ht="12.6">
      <c r="A635" s="990" t="s">
        <v>757</v>
      </c>
      <c r="B635" s="991" t="s">
        <v>128</v>
      </c>
      <c r="C635" s="991"/>
      <c r="D635" s="991" t="s">
        <v>129</v>
      </c>
      <c r="E635" s="991" t="s">
        <v>130</v>
      </c>
      <c r="F635" s="794" t="s">
        <v>108</v>
      </c>
      <c r="G635" s="794" t="s">
        <v>108</v>
      </c>
      <c r="H635" s="794" t="s">
        <v>108</v>
      </c>
      <c r="I635" s="794" t="s">
        <v>108</v>
      </c>
      <c r="J635" s="794" t="s">
        <v>108</v>
      </c>
      <c r="K635" s="794" t="s">
        <v>108</v>
      </c>
      <c r="L635" s="794" t="s">
        <v>108</v>
      </c>
      <c r="M635" s="794" t="s">
        <v>108</v>
      </c>
      <c r="N635" s="794" t="s">
        <v>108</v>
      </c>
      <c r="O635" s="794" t="s">
        <v>108</v>
      </c>
      <c r="P635" s="794" t="s">
        <v>108</v>
      </c>
      <c r="Q635" s="794" t="s">
        <v>108</v>
      </c>
      <c r="R635" s="794" t="s">
        <v>108</v>
      </c>
      <c r="S635" s="794" t="s">
        <v>108</v>
      </c>
      <c r="T635" s="794" t="s">
        <v>108</v>
      </c>
      <c r="U635" s="794" t="s">
        <v>108</v>
      </c>
      <c r="V635" s="794" t="s">
        <v>108</v>
      </c>
      <c r="W635" s="794" t="s">
        <v>108</v>
      </c>
      <c r="X635" s="794" t="s">
        <v>108</v>
      </c>
      <c r="Y635" s="794" t="s">
        <v>108</v>
      </c>
      <c r="Z635" s="794" t="s">
        <v>108</v>
      </c>
      <c r="AA635" s="794" t="s">
        <v>108</v>
      </c>
      <c r="AB635" s="794" t="s">
        <v>108</v>
      </c>
      <c r="AC635" s="794" t="s">
        <v>108</v>
      </c>
      <c r="AD635" s="794" t="s">
        <v>108</v>
      </c>
      <c r="AE635" s="794" t="s">
        <v>108</v>
      </c>
      <c r="AF635" s="794" t="s">
        <v>108</v>
      </c>
      <c r="AG635" s="794" t="s">
        <v>108</v>
      </c>
      <c r="AH635" s="794" t="s">
        <v>108</v>
      </c>
      <c r="AI635" s="794" t="s">
        <v>108</v>
      </c>
      <c r="AJ635" s="794" t="s">
        <v>108</v>
      </c>
      <c r="AK635" s="794" t="s">
        <v>108</v>
      </c>
      <c r="AL635" s="794" t="s">
        <v>108</v>
      </c>
      <c r="AM635" s="315"/>
      <c r="AN635" s="315"/>
    </row>
    <row r="636" spans="1:40" ht="12.6">
      <c r="A636" s="990" t="s">
        <v>758</v>
      </c>
      <c r="B636" s="991" t="s">
        <v>132</v>
      </c>
      <c r="C636" s="991"/>
      <c r="D636" s="991" t="s">
        <v>129</v>
      </c>
      <c r="E636" s="991" t="s">
        <v>130</v>
      </c>
      <c r="F636" s="794" t="s">
        <v>108</v>
      </c>
      <c r="G636" s="794" t="s">
        <v>108</v>
      </c>
      <c r="H636" s="794" t="s">
        <v>108</v>
      </c>
      <c r="I636" s="794" t="s">
        <v>108</v>
      </c>
      <c r="J636" s="794" t="s">
        <v>108</v>
      </c>
      <c r="K636" s="794" t="s">
        <v>108</v>
      </c>
      <c r="L636" s="794" t="s">
        <v>108</v>
      </c>
      <c r="M636" s="794" t="s">
        <v>108</v>
      </c>
      <c r="N636" s="794" t="s">
        <v>108</v>
      </c>
      <c r="O636" s="794" t="s">
        <v>108</v>
      </c>
      <c r="P636" s="794" t="s">
        <v>108</v>
      </c>
      <c r="Q636" s="794" t="s">
        <v>108</v>
      </c>
      <c r="R636" s="794" t="s">
        <v>108</v>
      </c>
      <c r="S636" s="794" t="s">
        <v>108</v>
      </c>
      <c r="T636" s="794" t="s">
        <v>108</v>
      </c>
      <c r="U636" s="794" t="s">
        <v>108</v>
      </c>
      <c r="V636" s="794" t="s">
        <v>108</v>
      </c>
      <c r="W636" s="794" t="s">
        <v>108</v>
      </c>
      <c r="X636" s="794" t="s">
        <v>108</v>
      </c>
      <c r="Y636" s="794" t="s">
        <v>108</v>
      </c>
      <c r="Z636" s="794" t="s">
        <v>108</v>
      </c>
      <c r="AA636" s="794" t="s">
        <v>108</v>
      </c>
      <c r="AB636" s="794" t="s">
        <v>108</v>
      </c>
      <c r="AC636" s="794" t="s">
        <v>108</v>
      </c>
      <c r="AD636" s="794" t="s">
        <v>108</v>
      </c>
      <c r="AE636" s="794" t="s">
        <v>108</v>
      </c>
      <c r="AF636" s="794" t="s">
        <v>108</v>
      </c>
      <c r="AG636" s="794" t="s">
        <v>108</v>
      </c>
      <c r="AH636" s="794" t="s">
        <v>108</v>
      </c>
      <c r="AI636" s="794" t="s">
        <v>108</v>
      </c>
      <c r="AJ636" s="794" t="s">
        <v>108</v>
      </c>
      <c r="AK636" s="794" t="s">
        <v>108</v>
      </c>
      <c r="AL636" s="794" t="s">
        <v>108</v>
      </c>
      <c r="AM636" s="315"/>
      <c r="AN636" s="315"/>
    </row>
    <row r="637" spans="1:40" ht="12.6">
      <c r="A637" s="990" t="s">
        <v>759</v>
      </c>
      <c r="B637" s="991" t="s">
        <v>134</v>
      </c>
      <c r="D637" s="315"/>
      <c r="E637" s="315"/>
      <c r="F637" s="332"/>
      <c r="G637" s="332"/>
      <c r="H637" s="332"/>
      <c r="I637" s="332"/>
      <c r="J637" s="332"/>
      <c r="K637" s="332"/>
      <c r="L637" s="332"/>
      <c r="M637" s="332"/>
      <c r="N637" s="332"/>
      <c r="O637" s="332"/>
      <c r="P637" s="332"/>
      <c r="Q637" s="332"/>
      <c r="R637" s="332"/>
      <c r="S637" s="332"/>
      <c r="T637" s="332"/>
      <c r="U637" s="332"/>
      <c r="V637" s="332"/>
      <c r="W637" s="332"/>
      <c r="X637" s="332"/>
      <c r="Y637" s="332"/>
      <c r="Z637" s="332"/>
      <c r="AA637" s="332"/>
      <c r="AB637" s="332"/>
      <c r="AC637" s="332"/>
      <c r="AD637" s="332"/>
      <c r="AE637" s="332"/>
      <c r="AF637" s="332"/>
      <c r="AG637" s="332"/>
      <c r="AH637" s="332"/>
      <c r="AI637" s="332"/>
      <c r="AJ637" s="332"/>
      <c r="AK637" s="332"/>
      <c r="AL637" s="332"/>
      <c r="AM637" s="315"/>
      <c r="AN637" s="315"/>
    </row>
    <row r="638" spans="1:40" s="797" customFormat="1" ht="12.95">
      <c r="A638" s="992" t="s">
        <v>760</v>
      </c>
      <c r="B638" s="796"/>
      <c r="C638" s="796"/>
      <c r="D638" s="796"/>
      <c r="E638" s="796"/>
      <c r="F638" s="795"/>
      <c r="G638" s="795"/>
      <c r="H638" s="795"/>
      <c r="I638" s="795"/>
      <c r="J638" s="795"/>
      <c r="K638" s="795"/>
      <c r="L638" s="795"/>
      <c r="M638" s="795"/>
      <c r="N638" s="795"/>
      <c r="O638" s="795"/>
      <c r="P638" s="795"/>
      <c r="Q638" s="795"/>
      <c r="R638" s="795"/>
      <c r="S638" s="795"/>
      <c r="T638" s="795"/>
      <c r="U638" s="795"/>
      <c r="V638" s="795"/>
      <c r="W638" s="795"/>
      <c r="X638" s="795"/>
      <c r="Y638" s="795"/>
      <c r="Z638" s="795"/>
      <c r="AA638" s="795"/>
      <c r="AB638" s="795"/>
      <c r="AC638" s="795"/>
      <c r="AD638" s="795"/>
      <c r="AE638" s="795"/>
      <c r="AF638" s="795"/>
      <c r="AG638" s="795"/>
      <c r="AH638" s="795"/>
      <c r="AI638" s="795"/>
      <c r="AJ638" s="795"/>
      <c r="AK638" s="795"/>
      <c r="AL638" s="795"/>
      <c r="AM638" s="796"/>
      <c r="AN638" s="796"/>
    </row>
    <row r="639" spans="1:40" s="797" customFormat="1" ht="12.95">
      <c r="A639" s="989" t="s">
        <v>729</v>
      </c>
      <c r="B639" s="796"/>
      <c r="C639" s="796"/>
      <c r="D639" s="796"/>
      <c r="E639" s="796"/>
      <c r="F639" s="795"/>
      <c r="G639" s="795"/>
      <c r="H639" s="795"/>
      <c r="I639" s="795"/>
      <c r="J639" s="795"/>
      <c r="K639" s="795"/>
      <c r="L639" s="795"/>
      <c r="M639" s="795"/>
      <c r="N639" s="795"/>
      <c r="O639" s="795"/>
      <c r="P639" s="795"/>
      <c r="Q639" s="795"/>
      <c r="R639" s="795"/>
      <c r="S639" s="795"/>
      <c r="T639" s="795"/>
      <c r="U639" s="795"/>
      <c r="V639" s="795"/>
      <c r="W639" s="795"/>
      <c r="X639" s="795"/>
      <c r="Y639" s="795"/>
      <c r="Z639" s="795"/>
      <c r="AA639" s="795"/>
      <c r="AB639" s="795"/>
      <c r="AC639" s="795"/>
      <c r="AD639" s="795"/>
      <c r="AE639" s="795"/>
      <c r="AF639" s="795"/>
      <c r="AG639" s="795"/>
      <c r="AH639" s="795"/>
      <c r="AI639" s="795"/>
      <c r="AJ639" s="795"/>
      <c r="AK639" s="795"/>
      <c r="AL639" s="795"/>
      <c r="AM639" s="796"/>
      <c r="AN639" s="796"/>
    </row>
    <row r="640" spans="1:40" ht="12.6">
      <c r="A640" s="990" t="s">
        <v>761</v>
      </c>
      <c r="B640" s="991" t="s">
        <v>121</v>
      </c>
      <c r="C640" s="991"/>
      <c r="D640" s="315"/>
      <c r="E640" s="991" t="s">
        <v>122</v>
      </c>
      <c r="F640" s="295">
        <f>SUM('Non-Energy Use'!E78:E83,'Non-Energy Use'!E86,'Non-Energy Use'!E88:E90,'Non-Energy Use'!E92,'Non-Energy Use'!E94:E95,'Non-Energy Use'!E84)*1055.05585262</f>
        <v>4326285.3576973453</v>
      </c>
      <c r="G640" s="295">
        <f>SUM('Non-Energy Use'!F78:F83,'Non-Energy Use'!F86,'Non-Energy Use'!F88:F90,'Non-Energy Use'!F92,'Non-Energy Use'!F94:F95,'Non-Energy Use'!F84)*1055.05585262</f>
        <v>4364290.0122199971</v>
      </c>
      <c r="H640" s="295">
        <f>SUM('Non-Energy Use'!G78:G83,'Non-Energy Use'!G86,'Non-Energy Use'!G88:G90,'Non-Energy Use'!G92,'Non-Energy Use'!G94:G95,'Non-Energy Use'!G84)*1055.05585262</f>
        <v>4423339.4837088175</v>
      </c>
      <c r="I640" s="295">
        <f>SUM('Non-Energy Use'!H78:H83,'Non-Energy Use'!H86,'Non-Energy Use'!H88:H90,'Non-Energy Use'!H92,'Non-Energy Use'!H94:H95,'Non-Energy Use'!H84)*1055.05585262</f>
        <v>4379444.0754151223</v>
      </c>
      <c r="J640" s="295">
        <f>SUM('Non-Energy Use'!I78:I83,'Non-Energy Use'!I86,'Non-Energy Use'!I88:I90,'Non-Energy Use'!I92,'Non-Energy Use'!I94:I95,'Non-Energy Use'!I84)*1055.05585262</f>
        <v>4663490.244531285</v>
      </c>
      <c r="K640" s="295">
        <f>SUM('Non-Energy Use'!J78:J83,'Non-Energy Use'!J86,'Non-Energy Use'!J88:J90,'Non-Energy Use'!J92,'Non-Energy Use'!J94:J95,'Non-Energy Use'!J84)*1055.05585262</f>
        <v>4595332.5651426911</v>
      </c>
      <c r="L640" s="295">
        <f>SUM('Non-Energy Use'!K78:K83,'Non-Energy Use'!K86,'Non-Energy Use'!K88:K90,'Non-Energy Use'!K92,'Non-Energy Use'!K94:K95,'Non-Energy Use'!K84)*1055.05585262</f>
        <v>4678623.4566955687</v>
      </c>
      <c r="M640" s="295">
        <f>SUM('Non-Energy Use'!L78:L83,'Non-Energy Use'!L86,'Non-Energy Use'!L88:L90,'Non-Energy Use'!L92,'Non-Energy Use'!L94:L95,'Non-Energy Use'!L84)*1055.05585262</f>
        <v>4994849.8998654997</v>
      </c>
      <c r="N640" s="295">
        <f>SUM('Non-Energy Use'!M78:M83,'Non-Energy Use'!M86,'Non-Energy Use'!M88:M90,'Non-Energy Use'!M92,'Non-Energy Use'!M94:M95,'Non-Energy Use'!M84)*1055.05585262</f>
        <v>5090749.4768773206</v>
      </c>
      <c r="O640" s="295">
        <f>SUM('Non-Energy Use'!N78:N83,'Non-Energy Use'!N86,'Non-Energy Use'!N88:N90,'Non-Energy Use'!N92,'Non-Energy Use'!N94:N95,'Non-Energy Use'!N84)*1055.05585262</f>
        <v>5501228.1322123958</v>
      </c>
      <c r="P640" s="295">
        <f>SUM('Non-Energy Use'!O78:O83,'Non-Energy Use'!O86,'Non-Energy Use'!O88:O90,'Non-Energy Use'!O92,'Non-Energy Use'!O94:O95,'Non-Energy Use'!O84)*1055.05585262</f>
        <v>5149277.1282414887</v>
      </c>
      <c r="Q640" s="295">
        <f>SUM('Non-Energy Use'!P78:P83,'Non-Energy Use'!P86,'Non-Energy Use'!P88:P90,'Non-Energy Use'!P92,'Non-Energy Use'!P94:P95,'Non-Energy Use'!P84)*1055.05585262</f>
        <v>4858481.8258120706</v>
      </c>
      <c r="R640" s="295">
        <f>SUM('Non-Energy Use'!Q78:Q83,'Non-Energy Use'!Q86,'Non-Energy Use'!Q88:Q90,'Non-Energy Use'!Q92,'Non-Energy Use'!Q94:Q95,'Non-Energy Use'!Q84)*1055.05585262</f>
        <v>5025460.583593023</v>
      </c>
      <c r="S640" s="295">
        <f>SUM('Non-Energy Use'!R78:R83,'Non-Energy Use'!R86,'Non-Energy Use'!R88:R90,'Non-Energy Use'!R92,'Non-Energy Use'!R94:R95,'Non-Energy Use'!R84)*1055.05585262</f>
        <v>4849681.4320335835</v>
      </c>
      <c r="T640" s="295">
        <f>SUM('Non-Energy Use'!S78:S83,'Non-Energy Use'!S86,'Non-Energy Use'!S88:S90,'Non-Energy Use'!S92,'Non-Energy Use'!S94:S95,'Non-Energy Use'!S84)*1055.05585262</f>
        <v>5095161.456235352</v>
      </c>
      <c r="U640" s="295">
        <f>SUM('Non-Energy Use'!T78:T83,'Non-Energy Use'!T86,'Non-Energy Use'!T88:T90,'Non-Energy Use'!T92,'Non-Energy Use'!T94:T95,'Non-Energy Use'!T84)*1055.05585262</f>
        <v>5093084.8597393706</v>
      </c>
      <c r="V640" s="295">
        <f>SUM('Non-Energy Use'!U78:U83,'Non-Energy Use'!U86,'Non-Energy Use'!U88:U90,'Non-Energy Use'!U92,'Non-Energy Use'!U94:U95,'Non-Energy Use'!U84)*1055.05585262</f>
        <v>5132722.3749092519</v>
      </c>
      <c r="W640" s="295">
        <f>SUM('Non-Energy Use'!V78:V83,'Non-Energy Use'!V86,'Non-Energy Use'!V88:V90,'Non-Energy Use'!V92,'Non-Energy Use'!V94:V95,'Non-Energy Use'!V84)*1055.05585262</f>
        <v>5044590.6584883854</v>
      </c>
      <c r="X640" s="295">
        <f>SUM('Non-Energy Use'!W78:W83,'Non-Energy Use'!W86,'Non-Energy Use'!W88:W90,'Non-Energy Use'!W92,'Non-Energy Use'!W94:W95,'Non-Energy Use'!W84)*1055.05585262</f>
        <v>4549595.8449029354</v>
      </c>
      <c r="Y640" s="295">
        <f>SUM('Non-Energy Use'!X78:X83,'Non-Energy Use'!X86,'Non-Energy Use'!X88:X90,'Non-Energy Use'!X92,'Non-Energy Use'!X94:X95,'Non-Energy Use'!X84)*1055.05585262</f>
        <v>4257691.4761190722</v>
      </c>
      <c r="Z640" s="295">
        <f>SUM('Non-Energy Use'!Y78:Y83,'Non-Energy Use'!Y86,'Non-Energy Use'!Y88:Y90,'Non-Energy Use'!Y92,'Non-Energy Use'!Y94:Y95,'Non-Energy Use'!Y84)*1055.05585262</f>
        <v>4527028.9180126181</v>
      </c>
      <c r="AA640" s="295">
        <f>SUM('Non-Energy Use'!Z78:Z83,'Non-Energy Use'!Z86,'Non-Energy Use'!Z88:Z90,'Non-Energy Use'!Z92,'Non-Energy Use'!Z94:Z95,'Non-Energy Use'!Z84)*1055.05585262</f>
        <v>4470159.3015632303</v>
      </c>
      <c r="AB640" s="295">
        <f>SUM('Non-Energy Use'!AA78:AA83,'Non-Energy Use'!AA86,'Non-Energy Use'!AA88:AA90,'Non-Energy Use'!AA92,'Non-Energy Use'!AA94:AA95,'Non-Energy Use'!AA84)*1055.05585262</f>
        <v>4258953.6516407756</v>
      </c>
      <c r="AC640" s="295">
        <f>SUM('Non-Energy Use'!AB78:AB83,'Non-Energy Use'!AB86,'Non-Energy Use'!AB88:AB90,'Non-Energy Use'!AB92,'Non-Energy Use'!AB94:AB95,'Non-Energy Use'!AB84)*1055.05585262</f>
        <v>4534891.4261246501</v>
      </c>
      <c r="AD640" s="295">
        <f>SUM('Non-Energy Use'!AC78:AC83,'Non-Energy Use'!AC86,'Non-Energy Use'!AC88:AC90,'Non-Energy Use'!AC92,'Non-Energy Use'!AC94:AC95,'Non-Energy Use'!AC84)*1055.05585262</f>
        <v>4572445.503615384</v>
      </c>
      <c r="AE640" s="295">
        <f>SUM('Non-Energy Use'!AD78:AD83,'Non-Energy Use'!AD86,'Non-Energy Use'!AD88:AD90,'Non-Energy Use'!AD92,'Non-Energy Use'!AD94:AD95,'Non-Energy Use'!AD84)*1055.05585262</f>
        <v>4653777.586947022</v>
      </c>
      <c r="AF640" s="295">
        <f>SUM('Non-Energy Use'!AE78:AE83,'Non-Energy Use'!AE86,'Non-Energy Use'!AE88:AE90,'Non-Energy Use'!AE92,'Non-Energy Use'!AE94:AE95,'Non-Energy Use'!AE84)*1055.05585262</f>
        <v>4590752.6335255289</v>
      </c>
      <c r="AG640" s="295">
        <f>SUM('Non-Energy Use'!AF78:AF83,'Non-Energy Use'!AF86,'Non-Energy Use'!AF88:AF90,'Non-Energy Use'!AF92,'Non-Energy Use'!AF94:AF95,'Non-Energy Use'!AF84)*1055.05585262</f>
        <v>4687860.1750336848</v>
      </c>
      <c r="AH640" s="295">
        <f>SUM('Non-Energy Use'!AG78:AG83,'Non-Energy Use'!AG86,'Non-Energy Use'!AG88:AG90,'Non-Energy Use'!AG92,'Non-Energy Use'!AG94:AG95,'Non-Energy Use'!AG84)*1055.05585262</f>
        <v>4928277.0340632349</v>
      </c>
      <c r="AI640" s="295">
        <f>SUM('Non-Energy Use'!AH78:AH83,'Non-Energy Use'!AH86,'Non-Energy Use'!AH88:AH90,'Non-Energy Use'!AH92,'Non-Energy Use'!AH94:AH95,'Non-Energy Use'!AH84)*1055.05585262</f>
        <v>4924824.4219468115</v>
      </c>
      <c r="AJ640" s="295">
        <f>SUM('Non-Energy Use'!AI78:AI83,'Non-Energy Use'!AI86,'Non-Energy Use'!AI88:AI90,'Non-Energy Use'!AI92,'Non-Energy Use'!AI94:AI95,'Non-Energy Use'!AI84)*1055.05585262</f>
        <v>4905858.8499275269</v>
      </c>
      <c r="AK640" s="295">
        <f>SUM('Non-Energy Use'!AJ78:AJ83,'Non-Energy Use'!AJ86,'Non-Energy Use'!AJ88:AJ90,'Non-Energy Use'!AJ92,'Non-Energy Use'!AJ94:AJ95,'Non-Energy Use'!AJ84)*1055.05585262</f>
        <v>5154419.1186119523</v>
      </c>
      <c r="AL640" s="295">
        <f>SUM('Non-Energy Use'!AK78:AK83,'Non-Energy Use'!AK86,'Non-Energy Use'!AK88:AK90,'Non-Energy Use'!AK92,'Non-Energy Use'!AK94:AK95,'Non-Energy Use'!AK84)*1055.05585262</f>
        <v>5241241.8448078949</v>
      </c>
      <c r="AM640" s="315"/>
      <c r="AN640" s="315"/>
    </row>
    <row r="641" spans="1:40" ht="12.6">
      <c r="A641" s="990" t="s">
        <v>762</v>
      </c>
      <c r="B641" s="991" t="s">
        <v>124</v>
      </c>
      <c r="C641" s="991"/>
      <c r="D641" s="315"/>
      <c r="E641" s="315" t="s">
        <v>125</v>
      </c>
      <c r="F641" s="794" t="s">
        <v>126</v>
      </c>
      <c r="G641" s="794" t="s">
        <v>126</v>
      </c>
      <c r="H641" s="794" t="s">
        <v>126</v>
      </c>
      <c r="I641" s="794" t="s">
        <v>126</v>
      </c>
      <c r="J641" s="794" t="s">
        <v>126</v>
      </c>
      <c r="K641" s="794" t="s">
        <v>126</v>
      </c>
      <c r="L641" s="794" t="s">
        <v>126</v>
      </c>
      <c r="M641" s="794" t="s">
        <v>126</v>
      </c>
      <c r="N641" s="794" t="s">
        <v>126</v>
      </c>
      <c r="O641" s="794" t="s">
        <v>126</v>
      </c>
      <c r="P641" s="794" t="s">
        <v>126</v>
      </c>
      <c r="Q641" s="794" t="s">
        <v>126</v>
      </c>
      <c r="R641" s="794" t="s">
        <v>126</v>
      </c>
      <c r="S641" s="794" t="s">
        <v>126</v>
      </c>
      <c r="T641" s="794" t="s">
        <v>126</v>
      </c>
      <c r="U641" s="794" t="s">
        <v>126</v>
      </c>
      <c r="V641" s="794" t="s">
        <v>126</v>
      </c>
      <c r="W641" s="794" t="s">
        <v>126</v>
      </c>
      <c r="X641" s="794" t="s">
        <v>126</v>
      </c>
      <c r="Y641" s="794" t="s">
        <v>126</v>
      </c>
      <c r="Z641" s="794" t="s">
        <v>126</v>
      </c>
      <c r="AA641" s="794" t="s">
        <v>126</v>
      </c>
      <c r="AB641" s="794" t="s">
        <v>126</v>
      </c>
      <c r="AC641" s="794" t="s">
        <v>126</v>
      </c>
      <c r="AD641" s="794" t="s">
        <v>126</v>
      </c>
      <c r="AE641" s="794" t="s">
        <v>126</v>
      </c>
      <c r="AF641" s="794" t="s">
        <v>126</v>
      </c>
      <c r="AG641" s="794" t="s">
        <v>126</v>
      </c>
      <c r="AH641" s="794" t="s">
        <v>126</v>
      </c>
      <c r="AI641" s="794" t="s">
        <v>126</v>
      </c>
      <c r="AJ641" s="794" t="s">
        <v>126</v>
      </c>
      <c r="AK641" s="794" t="s">
        <v>126</v>
      </c>
      <c r="AL641" s="794" t="s">
        <v>126</v>
      </c>
      <c r="AM641" s="315"/>
      <c r="AN641" s="315"/>
    </row>
    <row r="642" spans="1:40" ht="12.6">
      <c r="A642" s="990" t="s">
        <v>763</v>
      </c>
      <c r="B642" s="991" t="s">
        <v>128</v>
      </c>
      <c r="C642" s="991"/>
      <c r="D642" s="792" t="s">
        <v>129</v>
      </c>
      <c r="E642" s="792" t="s">
        <v>130</v>
      </c>
      <c r="F642" s="334">
        <f>(SUM('Non-Energy Use'!E161:E166,'Non-Energy Use'!E169:E173,'Non-Energy Use'!E174,'Non-Energy Use'!E167))*1000</f>
        <v>91521.872550580621</v>
      </c>
      <c r="G642" s="334">
        <f>(SUM('Non-Energy Use'!F161:F166,'Non-Energy Use'!F169:F173,'Non-Energy Use'!F174,'Non-Energy Use'!F167))*1000</f>
        <v>95408.823718638378</v>
      </c>
      <c r="H642" s="334">
        <f>(SUM('Non-Energy Use'!G161:G166,'Non-Energy Use'!G169:G173,'Non-Energy Use'!G174,'Non-Energy Use'!G167))*1000</f>
        <v>97733.67348876725</v>
      </c>
      <c r="I642" s="334">
        <f>(SUM('Non-Energy Use'!H161:H166,'Non-Energy Use'!H169:H173,'Non-Energy Use'!H174,'Non-Energy Use'!H167))*1000</f>
        <v>90099.607717344756</v>
      </c>
      <c r="J642" s="334">
        <f>(SUM('Non-Energy Use'!I161:I166,'Non-Energy Use'!I169:I173,'Non-Energy Use'!I174,'Non-Energy Use'!I167))*1000</f>
        <v>98289.242054418806</v>
      </c>
      <c r="K642" s="334">
        <f>(SUM('Non-Energy Use'!J161:J166,'Non-Energy Use'!J169:J173,'Non-Energy Use'!J174,'Non-Energy Use'!J167))*1000</f>
        <v>92167.322075150325</v>
      </c>
      <c r="L642" s="334">
        <f>(SUM('Non-Energy Use'!K161:K166,'Non-Energy Use'!K169:K173,'Non-Energy Use'!K174,'Non-Energy Use'!K167))*1000</f>
        <v>89187.786554323044</v>
      </c>
      <c r="M642" s="334">
        <f>(SUM('Non-Energy Use'!L161:L166,'Non-Energy Use'!L169:L173,'Non-Energy Use'!L174,'Non-Energy Use'!L167))*1000</f>
        <v>103748.93680598607</v>
      </c>
      <c r="N642" s="334">
        <f>(SUM('Non-Energy Use'!M161:M166,'Non-Energy Use'!M169:M173,'Non-Energy Use'!M174,'Non-Energy Use'!M167))*1000</f>
        <v>104475.90923936301</v>
      </c>
      <c r="O642" s="334">
        <f>(SUM('Non-Energy Use'!N161:N166,'Non-Energy Use'!N169:N173,'Non-Energy Use'!N174,'Non-Energy Use'!N167))*1000</f>
        <v>114359.83052802888</v>
      </c>
      <c r="P642" s="334">
        <f>(SUM('Non-Energy Use'!O161:O166,'Non-Energy Use'!O169:O173,'Non-Energy Use'!O174,'Non-Energy Use'!O167))*1000</f>
        <v>100377.85939355611</v>
      </c>
      <c r="Q642" s="334">
        <f>(SUM('Non-Energy Use'!P161:P166,'Non-Energy Use'!P169:P173,'Non-Energy Use'!P174,'Non-Energy Use'!P167))*1000</f>
        <v>95638.498272291894</v>
      </c>
      <c r="R642" s="334">
        <f>(SUM('Non-Energy Use'!Q161:Q166,'Non-Energy Use'!Q169:Q173,'Non-Energy Use'!Q174,'Non-Energy Use'!Q167))*1000</f>
        <v>96241.304325697114</v>
      </c>
      <c r="S642" s="334">
        <f>(SUM('Non-Energy Use'!R161:R166,'Non-Energy Use'!R169:R173,'Non-Energy Use'!R174,'Non-Energy Use'!R167))*1000</f>
        <v>93302.315092584351</v>
      </c>
      <c r="T642" s="334">
        <f>(SUM('Non-Energy Use'!S161:S166,'Non-Energy Use'!S169:S173,'Non-Energy Use'!S174,'Non-Energy Use'!S167))*1000</f>
        <v>95973.94627890359</v>
      </c>
      <c r="U642" s="334">
        <f>(SUM('Non-Energy Use'!T161:T166,'Non-Energy Use'!T169:T173,'Non-Energy Use'!T174,'Non-Energy Use'!T167))*1000</f>
        <v>98288.476868469865</v>
      </c>
      <c r="V642" s="334">
        <f>(SUM('Non-Energy Use'!U161:U166,'Non-Energy Use'!U169:U173,'Non-Energy Use'!U174,'Non-Energy Use'!U167))*1000</f>
        <v>98254.237497308102</v>
      </c>
      <c r="W642" s="334">
        <f>(SUM('Non-Energy Use'!V161:V166,'Non-Energy Use'!V169:V173,'Non-Energy Use'!V174,'Non-Energy Use'!V167))*1000</f>
        <v>92530.532055937132</v>
      </c>
      <c r="X642" s="334">
        <f>(SUM('Non-Energy Use'!W161:W166,'Non-Energy Use'!W169:W173,'Non-Energy Use'!W174,'Non-Energy Use'!W167))*1000</f>
        <v>86361.659590486772</v>
      </c>
      <c r="Y642" s="334">
        <f>(SUM('Non-Energy Use'!X161:X166,'Non-Energy Use'!X169:X173,'Non-Energy Use'!X174,'Non-Energy Use'!X167))*1000</f>
        <v>75936.693608557107</v>
      </c>
      <c r="Z642" s="334">
        <f>(SUM('Non-Energy Use'!Y161:Y166,'Non-Energy Use'!Y169:Y173,'Non-Energy Use'!Y174,'Non-Energy Use'!Y167))*1000</f>
        <v>79275.037437614665</v>
      </c>
      <c r="AA642" s="334">
        <f>(SUM('Non-Energy Use'!Z161:Z166,'Non-Energy Use'!Z169:Z173,'Non-Energy Use'!Z174,'Non-Energy Use'!Z167))*1000</f>
        <v>77730.230585091442</v>
      </c>
      <c r="AB642" s="334">
        <f>(SUM('Non-Energy Use'!AA161:AA166,'Non-Energy Use'!AA169:AA173,'Non-Energy Use'!AA174,'Non-Energy Use'!AA167))*1000</f>
        <v>71759.941247301045</v>
      </c>
      <c r="AC642" s="334">
        <f>(SUM('Non-Energy Use'!AB161:AB166,'Non-Energy Use'!AB169:AB173,'Non-Energy Use'!AB174,'Non-Energy Use'!AB167))*1000</f>
        <v>82479.695331033668</v>
      </c>
      <c r="AD642" s="334">
        <f>(SUM('Non-Energy Use'!AC161:AC166,'Non-Energy Use'!AC169:AC173,'Non-Energy Use'!AC174,'Non-Energy Use'!AC167))*1000</f>
        <v>83857.164496457408</v>
      </c>
      <c r="AE642" s="334">
        <f>(SUM('Non-Energy Use'!AD161:AD166,'Non-Energy Use'!AD169:AD173,'Non-Energy Use'!AD174,'Non-Energy Use'!AD167))*1000</f>
        <v>84577.679691220212</v>
      </c>
      <c r="AF642" s="334">
        <f>(SUM('Non-Energy Use'!AE161:AE166,'Non-Energy Use'!AE169:AE173,'Non-Energy Use'!AE174,'Non-Energy Use'!AE167))*1000</f>
        <v>79498.860442668214</v>
      </c>
      <c r="AG642" s="334">
        <f>(SUM('Non-Energy Use'!AF161:AF166,'Non-Energy Use'!AF169:AF173,'Non-Energy Use'!AF174,'Non-Energy Use'!AF167))*1000</f>
        <v>86304.354540928354</v>
      </c>
      <c r="AH642" s="334">
        <f>(SUM('Non-Energy Use'!AG161:AG166,'Non-Energy Use'!AG169:AG173,'Non-Energy Use'!AG174,'Non-Energy Use'!AG167))*1000</f>
        <v>97498.298225994673</v>
      </c>
      <c r="AI642" s="334">
        <f>(SUM('Non-Energy Use'!AH161:AH166,'Non-Energy Use'!AH169:AH173,'Non-Energy Use'!AH174,'Non-Energy Use'!AH167))*1000</f>
        <v>93393.804894299319</v>
      </c>
      <c r="AJ642" s="334">
        <f>(SUM('Non-Energy Use'!AI161:AI166,'Non-Energy Use'!AI169:AI173,'Non-Energy Use'!AI174,'Non-Energy Use'!AI167))*1000</f>
        <v>88872.328328408272</v>
      </c>
      <c r="AK642" s="334">
        <f>(SUM('Non-Energy Use'!AJ161:AJ166,'Non-Energy Use'!AJ169:AJ173,'Non-Energy Use'!AJ174,'Non-Energy Use'!AJ167))*1000</f>
        <v>100654.42443970285</v>
      </c>
      <c r="AL642" s="334">
        <f>(SUM('Non-Energy Use'!AK161:AK166,'Non-Energy Use'!AK169:AK173,'Non-Energy Use'!AK174,'Non-Energy Use'!AK167))*1000</f>
        <v>99942.618575006942</v>
      </c>
      <c r="AM642" s="315"/>
      <c r="AN642" s="315"/>
    </row>
    <row r="643" spans="1:40" ht="12.6">
      <c r="A643" s="990" t="s">
        <v>764</v>
      </c>
      <c r="B643" s="991" t="s">
        <v>132</v>
      </c>
      <c r="C643" s="991"/>
      <c r="D643" s="792" t="s">
        <v>129</v>
      </c>
      <c r="E643" s="792" t="s">
        <v>130</v>
      </c>
      <c r="F643" s="332" t="s">
        <v>106</v>
      </c>
      <c r="G643" s="332" t="s">
        <v>106</v>
      </c>
      <c r="H643" s="332" t="s">
        <v>106</v>
      </c>
      <c r="I643" s="332" t="s">
        <v>106</v>
      </c>
      <c r="J643" s="332" t="s">
        <v>106</v>
      </c>
      <c r="K643" s="332" t="s">
        <v>106</v>
      </c>
      <c r="L643" s="332" t="s">
        <v>106</v>
      </c>
      <c r="M643" s="332" t="s">
        <v>106</v>
      </c>
      <c r="N643" s="332" t="s">
        <v>106</v>
      </c>
      <c r="O643" s="332" t="s">
        <v>106</v>
      </c>
      <c r="P643" s="332" t="s">
        <v>106</v>
      </c>
      <c r="Q643" s="332" t="s">
        <v>106</v>
      </c>
      <c r="R643" s="332" t="s">
        <v>106</v>
      </c>
      <c r="S643" s="332" t="s">
        <v>106</v>
      </c>
      <c r="T643" s="332" t="s">
        <v>106</v>
      </c>
      <c r="U643" s="332" t="s">
        <v>106</v>
      </c>
      <c r="V643" s="332" t="s">
        <v>106</v>
      </c>
      <c r="W643" s="332" t="s">
        <v>106</v>
      </c>
      <c r="X643" s="332" t="s">
        <v>106</v>
      </c>
      <c r="Y643" s="332" t="s">
        <v>106</v>
      </c>
      <c r="Z643" s="332" t="s">
        <v>106</v>
      </c>
      <c r="AA643" s="332" t="s">
        <v>106</v>
      </c>
      <c r="AB643" s="332" t="s">
        <v>106</v>
      </c>
      <c r="AC643" s="332" t="s">
        <v>106</v>
      </c>
      <c r="AD643" s="332" t="s">
        <v>106</v>
      </c>
      <c r="AE643" s="332" t="s">
        <v>106</v>
      </c>
      <c r="AF643" s="332" t="s">
        <v>106</v>
      </c>
      <c r="AG643" s="332" t="s">
        <v>106</v>
      </c>
      <c r="AH643" s="332" t="s">
        <v>106</v>
      </c>
      <c r="AI643" s="332" t="s">
        <v>106</v>
      </c>
      <c r="AJ643" s="332" t="s">
        <v>106</v>
      </c>
      <c r="AK643" s="332" t="s">
        <v>106</v>
      </c>
      <c r="AL643" s="332" t="s">
        <v>106</v>
      </c>
      <c r="AM643" s="315"/>
      <c r="AN643" s="315"/>
    </row>
    <row r="644" spans="1:40" ht="12.6">
      <c r="A644" s="990" t="s">
        <v>765</v>
      </c>
      <c r="B644" s="991" t="s">
        <v>134</v>
      </c>
      <c r="D644" s="315"/>
      <c r="E644" s="315"/>
      <c r="F644" s="802" t="s">
        <v>735</v>
      </c>
      <c r="G644" s="802" t="s">
        <v>735</v>
      </c>
      <c r="H644" s="802" t="s">
        <v>735</v>
      </c>
      <c r="I644" s="802" t="s">
        <v>735</v>
      </c>
      <c r="J644" s="802" t="s">
        <v>735</v>
      </c>
      <c r="K644" s="802" t="s">
        <v>735</v>
      </c>
      <c r="L644" s="802" t="s">
        <v>735</v>
      </c>
      <c r="M644" s="802" t="s">
        <v>735</v>
      </c>
      <c r="N644" s="802" t="s">
        <v>735</v>
      </c>
      <c r="O644" s="802" t="s">
        <v>735</v>
      </c>
      <c r="P644" s="802" t="s">
        <v>735</v>
      </c>
      <c r="Q644" s="802" t="s">
        <v>735</v>
      </c>
      <c r="R644" s="802" t="s">
        <v>735</v>
      </c>
      <c r="S644" s="802" t="s">
        <v>735</v>
      </c>
      <c r="T644" s="802" t="s">
        <v>735</v>
      </c>
      <c r="U644" s="802" t="s">
        <v>735</v>
      </c>
      <c r="V644" s="802" t="s">
        <v>735</v>
      </c>
      <c r="W644" s="802" t="s">
        <v>735</v>
      </c>
      <c r="X644" s="802" t="s">
        <v>735</v>
      </c>
      <c r="Y644" s="802" t="s">
        <v>735</v>
      </c>
      <c r="Z644" s="802" t="s">
        <v>735</v>
      </c>
      <c r="AA644" s="802" t="s">
        <v>735</v>
      </c>
      <c r="AB644" s="802" t="s">
        <v>735</v>
      </c>
      <c r="AC644" s="802" t="s">
        <v>735</v>
      </c>
      <c r="AD644" s="802" t="s">
        <v>735</v>
      </c>
      <c r="AE644" s="802" t="s">
        <v>735</v>
      </c>
      <c r="AF644" s="802" t="s">
        <v>735</v>
      </c>
      <c r="AG644" s="802" t="s">
        <v>735</v>
      </c>
      <c r="AH644" s="802" t="s">
        <v>735</v>
      </c>
      <c r="AI644" s="802" t="s">
        <v>735</v>
      </c>
      <c r="AJ644" s="802" t="s">
        <v>735</v>
      </c>
      <c r="AK644" s="802" t="s">
        <v>735</v>
      </c>
      <c r="AL644" s="802" t="s">
        <v>735</v>
      </c>
      <c r="AM644" s="315"/>
      <c r="AN644" s="315"/>
    </row>
    <row r="645" spans="1:40" s="797" customFormat="1" ht="12.95">
      <c r="A645" s="989" t="s">
        <v>736</v>
      </c>
      <c r="B645" s="796"/>
      <c r="C645" s="796"/>
      <c r="D645" s="796"/>
      <c r="E645" s="796"/>
      <c r="F645" s="795"/>
      <c r="G645" s="795"/>
      <c r="H645" s="795"/>
      <c r="I645" s="795"/>
      <c r="J645" s="795"/>
      <c r="K645" s="795"/>
      <c r="L645" s="795"/>
      <c r="M645" s="795"/>
      <c r="N645" s="795"/>
      <c r="O645" s="795"/>
      <c r="P645" s="795"/>
      <c r="Q645" s="795"/>
      <c r="R645" s="795"/>
      <c r="S645" s="795"/>
      <c r="T645" s="795"/>
      <c r="U645" s="795"/>
      <c r="V645" s="795"/>
      <c r="W645" s="795"/>
      <c r="X645" s="795"/>
      <c r="Y645" s="795"/>
      <c r="Z645" s="795"/>
      <c r="AA645" s="795"/>
      <c r="AB645" s="795"/>
      <c r="AC645" s="795"/>
      <c r="AD645" s="795"/>
      <c r="AE645" s="795"/>
      <c r="AF645" s="795"/>
      <c r="AG645" s="795"/>
      <c r="AH645" s="795"/>
      <c r="AI645" s="795"/>
      <c r="AJ645" s="795"/>
      <c r="AK645" s="795"/>
      <c r="AL645" s="795"/>
      <c r="AM645" s="796"/>
      <c r="AN645" s="796"/>
    </row>
    <row r="646" spans="1:40" ht="12.6">
      <c r="A646" s="990" t="s">
        <v>766</v>
      </c>
      <c r="B646" s="991" t="s">
        <v>121</v>
      </c>
      <c r="C646" s="991"/>
      <c r="D646" s="315"/>
      <c r="E646" s="991" t="s">
        <v>122</v>
      </c>
      <c r="F646" s="334">
        <f>SUM('Non-Energy Use'!E75:E76,'Non-Energy Use'!E85)*1055.05585262</f>
        <v>38749.912311680186</v>
      </c>
      <c r="G646" s="334">
        <f>SUM('Non-Energy Use'!F75:F76,'Non-Energy Use'!F85)*1055.05585262</f>
        <v>21810.632294215404</v>
      </c>
      <c r="H646" s="334">
        <f>SUM('Non-Energy Use'!G75:G76,'Non-Energy Use'!G85)*1055.05585262</f>
        <v>91396.150711907874</v>
      </c>
      <c r="I646" s="334">
        <f>SUM('Non-Energy Use'!H75:H76,'Non-Energy Use'!H85)*1055.05585262</f>
        <v>35249.008680564992</v>
      </c>
      <c r="J646" s="334">
        <f>SUM('Non-Energy Use'!I75:I76,'Non-Energy Use'!I85)*1055.05585262</f>
        <v>66689.945167309284</v>
      </c>
      <c r="K646" s="334">
        <f>SUM('Non-Energy Use'!J75:J76,'Non-Energy Use'!J85)*1055.05585262</f>
        <v>88365.612736786556</v>
      </c>
      <c r="L646" s="334">
        <f>SUM('Non-Energy Use'!K75:K76,'Non-Energy Use'!K85)*1055.05585262</f>
        <v>67903.301137494738</v>
      </c>
      <c r="M646" s="334">
        <f>SUM('Non-Energy Use'!L75:L76,'Non-Energy Use'!L85)*1055.05585262</f>
        <v>10931.976330311332</v>
      </c>
      <c r="N646" s="334">
        <f>SUM('Non-Energy Use'!M75:M76,'Non-Energy Use'!M85)*1055.05585262</f>
        <v>82777.53860527488</v>
      </c>
      <c r="O646" s="334">
        <f>SUM('Non-Energy Use'!N75:N76,'Non-Energy Use'!N85)*1055.05585262</f>
        <v>182299.39256018738</v>
      </c>
      <c r="P646" s="334">
        <f>SUM('Non-Energy Use'!O75:O76,'Non-Energy Use'!O85)*1055.05585262</f>
        <v>77837.137965267961</v>
      </c>
      <c r="Q646" s="334">
        <f>SUM('Non-Energy Use'!P75:P76,'Non-Energy Use'!P85)*1055.05585262</f>
        <v>139004.38463959901</v>
      </c>
      <c r="R646" s="334">
        <f>SUM('Non-Energy Use'!Q75:Q76,'Non-Energy Use'!Q85)*1055.05585262</f>
        <v>123189.7679546366</v>
      </c>
      <c r="S646" s="334">
        <f>SUM('Non-Energy Use'!R75:R76,'Non-Energy Use'!R85)*1055.05585262</f>
        <v>108415.31726090162</v>
      </c>
      <c r="T646" s="334">
        <f>SUM('Non-Energy Use'!S75:S76,'Non-Energy Use'!S85)*1055.05585262</f>
        <v>331456.4693182651</v>
      </c>
      <c r="U646" s="334">
        <f>SUM('Non-Energy Use'!T75:T76,'Non-Energy Use'!T85)*1055.05585262</f>
        <v>206453.65267700859</v>
      </c>
      <c r="V646" s="334">
        <f>SUM('Non-Energy Use'!U75:U76,'Non-Energy Use'!U85)*1055.05585262</f>
        <v>219052.91699099125</v>
      </c>
      <c r="W646" s="334">
        <f>SUM('Non-Energy Use'!V75:V76,'Non-Energy Use'!V85)*1055.05585262</f>
        <v>136099.80900227479</v>
      </c>
      <c r="X646" s="334">
        <f>SUM('Non-Energy Use'!W75:W76,'Non-Energy Use'!W85)*1055.05585262</f>
        <v>188327.96298377606</v>
      </c>
      <c r="Y646" s="334">
        <f>SUM('Non-Energy Use'!X75:X76,'Non-Energy Use'!X85)*1055.05585262</f>
        <v>132825.91956198492</v>
      </c>
      <c r="Z646" s="334">
        <f>SUM('Non-Energy Use'!Y75:Y76,'Non-Energy Use'!Y85)*1055.05585262</f>
        <v>78400.957759774057</v>
      </c>
      <c r="AA646" s="334">
        <f>SUM('Non-Energy Use'!Z75:Z76,'Non-Energy Use'!Z85)*1055.05585262</f>
        <v>74261.919513755725</v>
      </c>
      <c r="AB646" s="334">
        <f>SUM('Non-Energy Use'!AA75:AA76,'Non-Energy Use'!AA85)*1055.05585262</f>
        <v>149827.09585304133</v>
      </c>
      <c r="AC646" s="334">
        <f>SUM('Non-Energy Use'!AB75:AB76,'Non-Energy Use'!AB85)*1055.05585262</f>
        <v>136562.14874399075</v>
      </c>
      <c r="AD646" s="334">
        <f>SUM('Non-Energy Use'!AC75:AC76,'Non-Energy Use'!AC85)*1055.05585262</f>
        <v>61856.367242156368</v>
      </c>
      <c r="AE646" s="334">
        <f>SUM('Non-Energy Use'!AD75:AD76,'Non-Energy Use'!AD85)*1055.05585262</f>
        <v>139111.35337133147</v>
      </c>
      <c r="AF646" s="334">
        <f>SUM('Non-Energy Use'!AE75:AE76,'Non-Energy Use'!AE85)*1055.05585262</f>
        <v>104582.28072861716</v>
      </c>
      <c r="AG646" s="334">
        <f>SUM('Non-Energy Use'!AF75:AF76,'Non-Energy Use'!AF85)*1055.05585262</f>
        <v>129227.16963142893</v>
      </c>
      <c r="AH646" s="334">
        <f>SUM('Non-Energy Use'!AG75:AG76,'Non-Energy Use'!AG85)*1055.05585262</f>
        <v>141536.16362751852</v>
      </c>
      <c r="AI646" s="334">
        <f>SUM('Non-Energy Use'!AH75:AH76,'Non-Energy Use'!AH85)*1055.05585262</f>
        <v>129048.01333132145</v>
      </c>
      <c r="AJ646" s="334">
        <f>SUM('Non-Energy Use'!AI75:AI76,'Non-Energy Use'!AI85)*1055.05585262</f>
        <v>94249.413445249302</v>
      </c>
      <c r="AK646" s="334">
        <f>SUM('Non-Energy Use'!AJ75:AJ76,'Non-Energy Use'!AJ85)*1055.05585262</f>
        <v>92155.712152817112</v>
      </c>
      <c r="AL646" s="334">
        <f>SUM('Non-Energy Use'!AK75:AK76,'Non-Energy Use'!AK85)*1055.05585262</f>
        <v>44439.43191718516</v>
      </c>
      <c r="AM646" s="315"/>
      <c r="AN646" s="315"/>
    </row>
    <row r="647" spans="1:40" ht="12.6">
      <c r="A647" s="990" t="s">
        <v>767</v>
      </c>
      <c r="B647" s="991" t="s">
        <v>124</v>
      </c>
      <c r="C647" s="991"/>
      <c r="D647" s="315"/>
      <c r="E647" s="315" t="s">
        <v>125</v>
      </c>
      <c r="F647" s="794" t="s">
        <v>126</v>
      </c>
      <c r="G647" s="794" t="s">
        <v>126</v>
      </c>
      <c r="H647" s="794" t="s">
        <v>126</v>
      </c>
      <c r="I647" s="794" t="s">
        <v>126</v>
      </c>
      <c r="J647" s="794" t="s">
        <v>126</v>
      </c>
      <c r="K647" s="794" t="s">
        <v>126</v>
      </c>
      <c r="L647" s="794" t="s">
        <v>126</v>
      </c>
      <c r="M647" s="794" t="s">
        <v>126</v>
      </c>
      <c r="N647" s="794" t="s">
        <v>126</v>
      </c>
      <c r="O647" s="794" t="s">
        <v>126</v>
      </c>
      <c r="P647" s="794" t="s">
        <v>126</v>
      </c>
      <c r="Q647" s="794" t="s">
        <v>126</v>
      </c>
      <c r="R647" s="794" t="s">
        <v>126</v>
      </c>
      <c r="S647" s="794" t="s">
        <v>126</v>
      </c>
      <c r="T647" s="794" t="s">
        <v>126</v>
      </c>
      <c r="U647" s="794" t="s">
        <v>126</v>
      </c>
      <c r="V647" s="794" t="s">
        <v>126</v>
      </c>
      <c r="W647" s="794" t="s">
        <v>126</v>
      </c>
      <c r="X647" s="794" t="s">
        <v>126</v>
      </c>
      <c r="Y647" s="794" t="s">
        <v>126</v>
      </c>
      <c r="Z647" s="794" t="s">
        <v>126</v>
      </c>
      <c r="AA647" s="794" t="s">
        <v>126</v>
      </c>
      <c r="AB647" s="794" t="s">
        <v>126</v>
      </c>
      <c r="AC647" s="794" t="s">
        <v>126</v>
      </c>
      <c r="AD647" s="794" t="s">
        <v>126</v>
      </c>
      <c r="AE647" s="794" t="s">
        <v>126</v>
      </c>
      <c r="AF647" s="794" t="s">
        <v>126</v>
      </c>
      <c r="AG647" s="794" t="s">
        <v>126</v>
      </c>
      <c r="AH647" s="794" t="s">
        <v>126</v>
      </c>
      <c r="AI647" s="794" t="s">
        <v>126</v>
      </c>
      <c r="AJ647" s="794" t="s">
        <v>126</v>
      </c>
      <c r="AK647" s="794" t="s">
        <v>126</v>
      </c>
      <c r="AL647" s="794" t="s">
        <v>126</v>
      </c>
      <c r="AM647" s="315"/>
      <c r="AN647" s="315"/>
    </row>
    <row r="648" spans="1:40" ht="12.6">
      <c r="A648" s="990" t="s">
        <v>768</v>
      </c>
      <c r="B648" s="991" t="s">
        <v>128</v>
      </c>
      <c r="C648" s="991"/>
      <c r="D648" s="991" t="s">
        <v>129</v>
      </c>
      <c r="E648" s="991" t="s">
        <v>130</v>
      </c>
      <c r="F648" s="334">
        <f>(SUM('Non-Energy Use'!E158:E159,'Non-Energy Use'!E168)*1000)</f>
        <v>2382.3351710640263</v>
      </c>
      <c r="G648" s="334">
        <f>(SUM('Non-Energy Use'!F158:F159,'Non-Energy Use'!F168)*1000)</f>
        <v>1239.9382504803211</v>
      </c>
      <c r="H648" s="334">
        <f>(SUM('Non-Energy Use'!G158:G159,'Non-Energy Use'!G168)*1000)</f>
        <v>5919.826614265181</v>
      </c>
      <c r="I648" s="334">
        <f>(SUM('Non-Energy Use'!H158:H159,'Non-Energy Use'!H168)*1000)</f>
        <v>2085.434086659337</v>
      </c>
      <c r="J648" s="334">
        <f>(SUM('Non-Energy Use'!I158:I159,'Non-Energy Use'!I168)*1000)</f>
        <v>4295.4283212875371</v>
      </c>
      <c r="K648" s="334">
        <f>(SUM('Non-Energy Use'!J158:J159,'Non-Energy Use'!J168)*1000)</f>
        <v>6106.014744176643</v>
      </c>
      <c r="L648" s="334">
        <f>(SUM('Non-Energy Use'!K158:K159,'Non-Energy Use'!K168)*1000)</f>
        <v>4513.4357799050913</v>
      </c>
      <c r="M648" s="334">
        <f>(SUM('Non-Energy Use'!L158:L159,'Non-Energy Use'!L168)*1000)</f>
        <v>392.44361929812675</v>
      </c>
      <c r="N648" s="334">
        <f>(SUM('Non-Energy Use'!M158:M159,'Non-Energy Use'!M168)*1000)</f>
        <v>5421.8760445290409</v>
      </c>
      <c r="O648" s="334">
        <f>(SUM('Non-Energy Use'!N158:N159,'Non-Energy Use'!N168)*1000)</f>
        <v>12533.303479701337</v>
      </c>
      <c r="P648" s="334">
        <f>(SUM('Non-Energy Use'!O158:O159,'Non-Energy Use'!O168)*1000)</f>
        <v>5566.0942641135753</v>
      </c>
      <c r="Q648" s="334">
        <f>(SUM('Non-Energy Use'!P158:P159,'Non-Energy Use'!P168)*1000)</f>
        <v>9376.857369972895</v>
      </c>
      <c r="R648" s="334">
        <f>(SUM('Non-Energy Use'!Q158:Q159,'Non-Energy Use'!Q168)*1000)</f>
        <v>8474.0561573386367</v>
      </c>
      <c r="S648" s="334">
        <f>(SUM('Non-Energy Use'!R158:R159,'Non-Energy Use'!R168)*1000)</f>
        <v>7631.22857167436</v>
      </c>
      <c r="T648" s="334">
        <f>(SUM('Non-Energy Use'!S158:S159,'Non-Energy Use'!S168)*1000)</f>
        <v>24252.154094652826</v>
      </c>
      <c r="U648" s="334">
        <f>(SUM('Non-Energy Use'!T158:T159,'Non-Energy Use'!T168)*1000)</f>
        <v>14652.854851026574</v>
      </c>
      <c r="V648" s="334">
        <f>(SUM('Non-Energy Use'!U158:U159,'Non-Energy Use'!U168)*1000)</f>
        <v>15267.354975221526</v>
      </c>
      <c r="W648" s="334">
        <f>(SUM('Non-Energy Use'!V158:V159,'Non-Energy Use'!V168)*1000)</f>
        <v>8830.661814053341</v>
      </c>
      <c r="X648" s="334">
        <f>(SUM('Non-Energy Use'!W158:W159,'Non-Energy Use'!W168)*1000)</f>
        <v>12724.763610529339</v>
      </c>
      <c r="Y648" s="334">
        <f>(SUM('Non-Energy Use'!X158:X159,'Non-Energy Use'!X168)*1000)</f>
        <v>8636.879330091977</v>
      </c>
      <c r="Z648" s="334">
        <f>(SUM('Non-Energy Use'!Y158:Y159,'Non-Energy Use'!Y168)*1000)</f>
        <v>5747.4886002450285</v>
      </c>
      <c r="AA648" s="334">
        <f>(SUM('Non-Energy Use'!Z158:Z159,'Non-Energy Use'!Z168)*1000)</f>
        <v>5416.1047206573339</v>
      </c>
      <c r="AB648" s="334">
        <f>(SUM('Non-Energy Use'!AA158:AA159,'Non-Energy Use'!AA168)*1000)</f>
        <v>11455.003256978593</v>
      </c>
      <c r="AC648" s="334">
        <f>(SUM('Non-Energy Use'!AB158:AB159,'Non-Energy Use'!AB168)*1000)</f>
        <v>10415.70292824261</v>
      </c>
      <c r="AD648" s="334">
        <f>(SUM('Non-Energy Use'!AC158:AC159,'Non-Energy Use'!AC168)*1000)</f>
        <v>4439.8576339486335</v>
      </c>
      <c r="AE648" s="334">
        <f>(SUM('Non-Energy Use'!AD158:AD159,'Non-Energy Use'!AD168)*1000)</f>
        <v>10616.325084145377</v>
      </c>
      <c r="AF648" s="334">
        <f>(SUM('Non-Energy Use'!AE158:AE159,'Non-Energy Use'!AE168)*1000)</f>
        <v>7843.3220644989042</v>
      </c>
      <c r="AG648" s="334">
        <f>(SUM('Non-Energy Use'!AF158:AF159,'Non-Energy Use'!AF168)*1000)</f>
        <v>9841.0301914799093</v>
      </c>
      <c r="AH648" s="334">
        <f>(SUM('Non-Energy Use'!AG158:AG159,'Non-Energy Use'!AG168)*1000)</f>
        <v>10862.776445144884</v>
      </c>
      <c r="AI648" s="334">
        <f>(SUM('Non-Energy Use'!AH158:AH159,'Non-Energy Use'!AH168)*1000)</f>
        <v>9851.2463556182229</v>
      </c>
      <c r="AJ648" s="334">
        <f>(SUM('Non-Energy Use'!AI158:AI159,'Non-Energy Use'!AI168)*1000)</f>
        <v>7055.7970846316121</v>
      </c>
      <c r="AK648" s="334">
        <f>(SUM('Non-Energy Use'!AJ158:AJ159,'Non-Energy Use'!AJ168)*1000)</f>
        <v>6918.1959009353523</v>
      </c>
      <c r="AL648" s="334">
        <f>(SUM('Non-Energy Use'!AK158:AK159,'Non-Energy Use'!AK168)*1000)</f>
        <v>3091.8372863033728</v>
      </c>
      <c r="AM648" s="315"/>
      <c r="AN648" s="315"/>
    </row>
    <row r="649" spans="1:40" ht="12.6">
      <c r="A649" s="990" t="s">
        <v>769</v>
      </c>
      <c r="B649" s="991" t="s">
        <v>132</v>
      </c>
      <c r="C649" s="991"/>
      <c r="D649" s="991" t="s">
        <v>129</v>
      </c>
      <c r="E649" s="991" t="s">
        <v>130</v>
      </c>
      <c r="F649" s="332" t="s">
        <v>106</v>
      </c>
      <c r="G649" s="332" t="s">
        <v>106</v>
      </c>
      <c r="H649" s="332" t="s">
        <v>106</v>
      </c>
      <c r="I649" s="332" t="s">
        <v>106</v>
      </c>
      <c r="J649" s="332" t="s">
        <v>106</v>
      </c>
      <c r="K649" s="332" t="s">
        <v>106</v>
      </c>
      <c r="L649" s="332" t="s">
        <v>106</v>
      </c>
      <c r="M649" s="332" t="s">
        <v>106</v>
      </c>
      <c r="N649" s="332" t="s">
        <v>106</v>
      </c>
      <c r="O649" s="332" t="s">
        <v>106</v>
      </c>
      <c r="P649" s="332" t="s">
        <v>106</v>
      </c>
      <c r="Q649" s="332" t="s">
        <v>106</v>
      </c>
      <c r="R649" s="332" t="s">
        <v>106</v>
      </c>
      <c r="S649" s="332" t="s">
        <v>106</v>
      </c>
      <c r="T649" s="332" t="s">
        <v>106</v>
      </c>
      <c r="U649" s="332" t="s">
        <v>106</v>
      </c>
      <c r="V649" s="332" t="s">
        <v>106</v>
      </c>
      <c r="W649" s="332" t="s">
        <v>106</v>
      </c>
      <c r="X649" s="332" t="s">
        <v>106</v>
      </c>
      <c r="Y649" s="332" t="s">
        <v>106</v>
      </c>
      <c r="Z649" s="332" t="s">
        <v>106</v>
      </c>
      <c r="AA649" s="332" t="s">
        <v>106</v>
      </c>
      <c r="AB649" s="332" t="s">
        <v>106</v>
      </c>
      <c r="AC649" s="332" t="s">
        <v>106</v>
      </c>
      <c r="AD649" s="332" t="s">
        <v>106</v>
      </c>
      <c r="AE649" s="332" t="s">
        <v>106</v>
      </c>
      <c r="AF649" s="332" t="s">
        <v>106</v>
      </c>
      <c r="AG649" s="332" t="s">
        <v>106</v>
      </c>
      <c r="AH649" s="332" t="s">
        <v>106</v>
      </c>
      <c r="AI649" s="332" t="s">
        <v>106</v>
      </c>
      <c r="AJ649" s="332" t="s">
        <v>106</v>
      </c>
      <c r="AK649" s="332" t="s">
        <v>106</v>
      </c>
      <c r="AL649" s="332" t="s">
        <v>106</v>
      </c>
      <c r="AM649" s="315"/>
      <c r="AN649" s="315"/>
    </row>
    <row r="650" spans="1:40" ht="12.6">
      <c r="A650" s="990" t="s">
        <v>770</v>
      </c>
      <c r="B650" s="991" t="s">
        <v>134</v>
      </c>
      <c r="D650" s="315"/>
      <c r="E650" s="315"/>
      <c r="F650" s="802" t="s">
        <v>735</v>
      </c>
      <c r="G650" s="802" t="s">
        <v>735</v>
      </c>
      <c r="H650" s="802" t="s">
        <v>735</v>
      </c>
      <c r="I650" s="802" t="s">
        <v>735</v>
      </c>
      <c r="J650" s="802" t="s">
        <v>735</v>
      </c>
      <c r="K650" s="802" t="s">
        <v>735</v>
      </c>
      <c r="L650" s="802" t="s">
        <v>735</v>
      </c>
      <c r="M650" s="802" t="s">
        <v>735</v>
      </c>
      <c r="N650" s="802" t="s">
        <v>735</v>
      </c>
      <c r="O650" s="802" t="s">
        <v>735</v>
      </c>
      <c r="P650" s="802" t="s">
        <v>735</v>
      </c>
      <c r="Q650" s="802" t="s">
        <v>735</v>
      </c>
      <c r="R650" s="802" t="s">
        <v>735</v>
      </c>
      <c r="S650" s="802" t="s">
        <v>735</v>
      </c>
      <c r="T650" s="802" t="s">
        <v>735</v>
      </c>
      <c r="U650" s="802" t="s">
        <v>735</v>
      </c>
      <c r="V650" s="802" t="s">
        <v>735</v>
      </c>
      <c r="W650" s="802" t="s">
        <v>735</v>
      </c>
      <c r="X650" s="802" t="s">
        <v>735</v>
      </c>
      <c r="Y650" s="802" t="s">
        <v>735</v>
      </c>
      <c r="Z650" s="802" t="s">
        <v>735</v>
      </c>
      <c r="AA650" s="802" t="s">
        <v>735</v>
      </c>
      <c r="AB650" s="802" t="s">
        <v>735</v>
      </c>
      <c r="AC650" s="802" t="s">
        <v>735</v>
      </c>
      <c r="AD650" s="802" t="s">
        <v>735</v>
      </c>
      <c r="AE650" s="802" t="s">
        <v>735</v>
      </c>
      <c r="AF650" s="802" t="s">
        <v>735</v>
      </c>
      <c r="AG650" s="802" t="s">
        <v>735</v>
      </c>
      <c r="AH650" s="802" t="s">
        <v>735</v>
      </c>
      <c r="AI650" s="802" t="s">
        <v>735</v>
      </c>
      <c r="AJ650" s="802" t="s">
        <v>735</v>
      </c>
      <c r="AK650" s="802" t="s">
        <v>735</v>
      </c>
      <c r="AL650" s="802" t="s">
        <v>735</v>
      </c>
      <c r="AM650" s="315"/>
      <c r="AN650" s="315"/>
    </row>
    <row r="651" spans="1:40" s="797" customFormat="1" ht="12.95">
      <c r="A651" s="989" t="s">
        <v>742</v>
      </c>
      <c r="B651" s="796"/>
      <c r="C651" s="796"/>
      <c r="D651" s="796"/>
      <c r="E651" s="796"/>
      <c r="F651" s="795"/>
      <c r="G651" s="795"/>
      <c r="H651" s="795"/>
      <c r="I651" s="795"/>
      <c r="J651" s="795"/>
      <c r="K651" s="795"/>
      <c r="L651" s="795"/>
      <c r="M651" s="795"/>
      <c r="N651" s="795"/>
      <c r="O651" s="795"/>
      <c r="P651" s="795"/>
      <c r="Q651" s="795"/>
      <c r="R651" s="795"/>
      <c r="S651" s="795"/>
      <c r="T651" s="795"/>
      <c r="U651" s="795"/>
      <c r="V651" s="795"/>
      <c r="W651" s="795"/>
      <c r="X651" s="795"/>
      <c r="Y651" s="795"/>
      <c r="Z651" s="795"/>
      <c r="AA651" s="795"/>
      <c r="AB651" s="795"/>
      <c r="AC651" s="795"/>
      <c r="AD651" s="795"/>
      <c r="AE651" s="795"/>
      <c r="AF651" s="795"/>
      <c r="AG651" s="795"/>
      <c r="AH651" s="795"/>
      <c r="AI651" s="795"/>
      <c r="AJ651" s="795"/>
      <c r="AK651" s="795"/>
      <c r="AL651" s="795"/>
      <c r="AM651" s="796"/>
      <c r="AN651" s="796"/>
    </row>
    <row r="652" spans="1:40" ht="12.6">
      <c r="A652" s="990" t="s">
        <v>771</v>
      </c>
      <c r="B652" s="991" t="s">
        <v>121</v>
      </c>
      <c r="C652" s="991"/>
      <c r="D652" s="315"/>
      <c r="E652" s="991" t="s">
        <v>122</v>
      </c>
      <c r="F652" s="295">
        <f>SUM('Non-Energy Use'!E77)*1055.05585262</f>
        <v>296876.39684085426</v>
      </c>
      <c r="G652" s="295">
        <f>SUM('Non-Energy Use'!F77)*1055.05585262</f>
        <v>290170.79070190026</v>
      </c>
      <c r="H652" s="295">
        <f>SUM('Non-Energy Use'!G77)*1055.05585262</f>
        <v>310692.60300451098</v>
      </c>
      <c r="I652" s="295">
        <f>SUM('Non-Energy Use'!H77)*1055.05585262</f>
        <v>321701.50965274766</v>
      </c>
      <c r="J652" s="295">
        <f>SUM('Non-Energy Use'!I77)*1055.05585262</f>
        <v>346720.85466170724</v>
      </c>
      <c r="K652" s="295">
        <f>SUM('Non-Energy Use'!J77)*1055.05585262</f>
        <v>366430.40867105155</v>
      </c>
      <c r="L652" s="295">
        <f>SUM('Non-Energy Use'!K77)*1055.05585262</f>
        <v>384379.33569495339</v>
      </c>
      <c r="M652" s="295">
        <f>SUM('Non-Energy Use'!L77)*1055.05585262</f>
        <v>399299.46551871236</v>
      </c>
      <c r="N652" s="295">
        <f>SUM('Non-Energy Use'!M77)*1055.05585262</f>
        <v>429951.51047075063</v>
      </c>
      <c r="O652" s="295">
        <f>SUM('Non-Energy Use'!N77)*1055.05585262</f>
        <v>418211.06141151977</v>
      </c>
      <c r="P652" s="295">
        <f>SUM('Non-Energy Use'!O77)*1055.05585262</f>
        <v>405366.83520536061</v>
      </c>
      <c r="Q652" s="295">
        <f>SUM('Non-Energy Use'!P77)*1055.05585262</f>
        <v>409103.64807304618</v>
      </c>
      <c r="R652" s="295">
        <f>SUM('Non-Energy Use'!Q77)*1055.05585262</f>
        <v>386135.88550320832</v>
      </c>
      <c r="S652" s="295">
        <f>SUM('Non-Energy Use'!R77)*1055.05585262</f>
        <v>335070.85290651949</v>
      </c>
      <c r="T652" s="295">
        <f>SUM('Non-Energy Use'!S77)*1055.05585262</f>
        <v>290047.25612737564</v>
      </c>
      <c r="U652" s="295">
        <f>SUM('Non-Energy Use'!T77)*1055.05585262</f>
        <v>275225.09531517146</v>
      </c>
      <c r="V652" s="295">
        <f>SUM('Non-Energy Use'!U77)*1055.05585262</f>
        <v>241011.88764926989</v>
      </c>
      <c r="W652" s="295">
        <f>SUM('Non-Energy Use'!V77)*1055.05585262</f>
        <v>254319.44295799889</v>
      </c>
      <c r="X652" s="295">
        <f>SUM('Non-Energy Use'!W77)*1055.05585262</f>
        <v>279630.18465287593</v>
      </c>
      <c r="Y652" s="295">
        <f>SUM('Non-Energy Use'!X77)*1055.05585262</f>
        <v>290080.70257012517</v>
      </c>
      <c r="Z652" s="295">
        <f>SUM('Non-Energy Use'!Y77)*1055.05585262</f>
        <v>313451.61673246505</v>
      </c>
      <c r="AA652" s="295">
        <f>SUM('Non-Energy Use'!Z77)*1055.05585262</f>
        <v>316119.7935796426</v>
      </c>
      <c r="AB652" s="295">
        <f>SUM('Non-Energy Use'!AA77)*1055.05585262</f>
        <v>316561.3523436815</v>
      </c>
      <c r="AC652" s="295">
        <f>SUM('Non-Energy Use'!AB77)*1055.05585262</f>
        <v>326733.37658519513</v>
      </c>
      <c r="AD652" s="295">
        <f>SUM('Non-Energy Use'!AC77)*1055.05585262</f>
        <v>341762.69540594117</v>
      </c>
      <c r="AE652" s="295">
        <f>SUM('Non-Energy Use'!AD77)*1055.05585262</f>
        <v>442427.34006334667</v>
      </c>
      <c r="AF652" s="295">
        <f>SUM('Non-Energy Use'!AE77)*1055.05585262</f>
        <v>524179.92602504528</v>
      </c>
      <c r="AG652" s="295">
        <f>SUM('Non-Energy Use'!AF77)*1055.05585262</f>
        <v>620556.11711261515</v>
      </c>
      <c r="AH652" s="295">
        <f>SUM('Non-Energy Use'!AG77)*1055.05585262</f>
        <v>713421.77248020377</v>
      </c>
      <c r="AI652" s="295">
        <f>SUM('Non-Energy Use'!AH77)*1055.05585262</f>
        <v>703030.14172396413</v>
      </c>
      <c r="AJ652" s="295">
        <f>SUM('Non-Energy Use'!AI77)*1055.05585262</f>
        <v>700208.17933360825</v>
      </c>
      <c r="AK652" s="295">
        <f>SUM('Non-Energy Use'!AJ77)*1055.05585262</f>
        <v>703148.94128277956</v>
      </c>
      <c r="AL652" s="295">
        <f>SUM('Non-Energy Use'!AK77)*1055.05585262</f>
        <v>701666.30636984552</v>
      </c>
      <c r="AM652" s="315"/>
      <c r="AN652" s="315"/>
    </row>
    <row r="653" spans="1:40" ht="12.6">
      <c r="A653" s="990" t="s">
        <v>772</v>
      </c>
      <c r="B653" s="991" t="s">
        <v>124</v>
      </c>
      <c r="C653" s="991"/>
      <c r="D653" s="315"/>
      <c r="E653" s="315" t="s">
        <v>125</v>
      </c>
      <c r="F653" s="794" t="s">
        <v>126</v>
      </c>
      <c r="G653" s="794" t="s">
        <v>126</v>
      </c>
      <c r="H653" s="794" t="s">
        <v>126</v>
      </c>
      <c r="I653" s="794" t="s">
        <v>126</v>
      </c>
      <c r="J653" s="794" t="s">
        <v>126</v>
      </c>
      <c r="K653" s="794" t="s">
        <v>126</v>
      </c>
      <c r="L653" s="794" t="s">
        <v>126</v>
      </c>
      <c r="M653" s="794" t="s">
        <v>126</v>
      </c>
      <c r="N653" s="794" t="s">
        <v>126</v>
      </c>
      <c r="O653" s="794" t="s">
        <v>126</v>
      </c>
      <c r="P653" s="794" t="s">
        <v>126</v>
      </c>
      <c r="Q653" s="794" t="s">
        <v>126</v>
      </c>
      <c r="R653" s="794" t="s">
        <v>126</v>
      </c>
      <c r="S653" s="794" t="s">
        <v>126</v>
      </c>
      <c r="T653" s="794" t="s">
        <v>126</v>
      </c>
      <c r="U653" s="794" t="s">
        <v>126</v>
      </c>
      <c r="V653" s="794" t="s">
        <v>126</v>
      </c>
      <c r="W653" s="794" t="s">
        <v>126</v>
      </c>
      <c r="X653" s="794" t="s">
        <v>126</v>
      </c>
      <c r="Y653" s="794" t="s">
        <v>126</v>
      </c>
      <c r="Z653" s="794" t="s">
        <v>126</v>
      </c>
      <c r="AA653" s="794" t="s">
        <v>126</v>
      </c>
      <c r="AB653" s="794" t="s">
        <v>126</v>
      </c>
      <c r="AC653" s="794" t="s">
        <v>126</v>
      </c>
      <c r="AD653" s="794" t="s">
        <v>126</v>
      </c>
      <c r="AE653" s="794" t="s">
        <v>126</v>
      </c>
      <c r="AF653" s="794" t="s">
        <v>126</v>
      </c>
      <c r="AG653" s="794" t="s">
        <v>126</v>
      </c>
      <c r="AH653" s="794" t="s">
        <v>126</v>
      </c>
      <c r="AI653" s="794" t="s">
        <v>126</v>
      </c>
      <c r="AJ653" s="794" t="s">
        <v>126</v>
      </c>
      <c r="AK653" s="794" t="s">
        <v>126</v>
      </c>
      <c r="AL653" s="794" t="s">
        <v>126</v>
      </c>
      <c r="AM653" s="315"/>
      <c r="AN653" s="315"/>
    </row>
    <row r="654" spans="1:40" ht="12.6">
      <c r="A654" s="990" t="s">
        <v>773</v>
      </c>
      <c r="B654" s="991" t="s">
        <v>128</v>
      </c>
      <c r="C654" s="991"/>
      <c r="D654" s="991" t="s">
        <v>129</v>
      </c>
      <c r="E654" s="991" t="s">
        <v>130</v>
      </c>
      <c r="F654" s="338">
        <f>('Non-Energy Use'!E160)*1000</f>
        <v>6237.2329707057715</v>
      </c>
      <c r="G654" s="338">
        <f>('Non-Energy Use'!F160)*1000</f>
        <v>6329.7461398623254</v>
      </c>
      <c r="H654" s="338">
        <f>('Non-Energy Use'!G160)*1000</f>
        <v>6692.482012945552</v>
      </c>
      <c r="I654" s="338">
        <f>('Non-Energy Use'!H160)*1000</f>
        <v>6406.8837936123746</v>
      </c>
      <c r="J654" s="338">
        <f>('Non-Energy Use'!I160)*1000</f>
        <v>7043.2311401546522</v>
      </c>
      <c r="K654" s="338">
        <f>('Non-Energy Use'!J160)*1000</f>
        <v>7091.8507086378504</v>
      </c>
      <c r="L654" s="338">
        <f>('Non-Energy Use'!K160)*1000</f>
        <v>6987.9655166009952</v>
      </c>
      <c r="M654" s="338">
        <f>('Non-Energy Use'!L160)*1000</f>
        <v>8053.3328285165007</v>
      </c>
      <c r="N654" s="338">
        <f>('Non-Energy Use'!M160)*1000</f>
        <v>8564.8938080914468</v>
      </c>
      <c r="O654" s="338">
        <f>('Non-Energy Use'!N160)*1000</f>
        <v>8610.5566665476108</v>
      </c>
      <c r="P654" s="338">
        <f>('Non-Energy Use'!O160)*1000</f>
        <v>7772.5110205793226</v>
      </c>
      <c r="Q654" s="338">
        <f>('Non-Energy Use'!P160)*1000</f>
        <v>8051.3225536441623</v>
      </c>
      <c r="R654" s="338">
        <f>('Non-Energy Use'!Q160)*1000</f>
        <v>7414.0550966455594</v>
      </c>
      <c r="S654" s="338">
        <f>('Non-Energy Use'!R160)*1000</f>
        <v>6500.329414792669</v>
      </c>
      <c r="T654" s="338">
        <f>('Non-Energy Use'!S160)*1000</f>
        <v>5487.1332372906609</v>
      </c>
      <c r="U654" s="338">
        <f>('Non-Energy Use'!T160)*1000</f>
        <v>5415.9168004060421</v>
      </c>
      <c r="V654" s="338">
        <f>('Non-Energy Use'!U160)*1000</f>
        <v>4614.4474269886086</v>
      </c>
      <c r="W654" s="338">
        <f>('Non-Energy Use'!V160)*1000</f>
        <v>4511.9894926735578</v>
      </c>
      <c r="X654" s="338">
        <f>('Non-Energy Use'!W160)*1000</f>
        <v>5045.4575337999759</v>
      </c>
      <c r="Y654" s="338">
        <f>('Non-Energy Use'!X160)*1000</f>
        <v>4786.5298624585394</v>
      </c>
      <c r="Z654" s="338">
        <f>('Non-Energy Use'!Y160)*1000</f>
        <v>4890.7465072543591</v>
      </c>
      <c r="AA654" s="338">
        <f>('Non-Energy Use'!Z160)*1000</f>
        <v>4940.8807421264228</v>
      </c>
      <c r="AB654" s="338">
        <f>('Non-Energy Use'!AA160)*1000</f>
        <v>4835.4639183687414</v>
      </c>
      <c r="AC654" s="338">
        <f>('Non-Energy Use'!AB160)*1000</f>
        <v>5333.1659783924315</v>
      </c>
      <c r="AD654" s="338">
        <f>('Non-Energy Use'!AC160)*1000</f>
        <v>5624.9261794315589</v>
      </c>
      <c r="AE654" s="338">
        <f>('Non-Energy Use'!AD160)*1000</f>
        <v>7165.1681229533515</v>
      </c>
      <c r="AF654" s="338">
        <f>('Non-Energy Use'!AE160)*1000</f>
        <v>8141.4157202849356</v>
      </c>
      <c r="AG654" s="338">
        <f>('Non-Energy Use'!AF160)*1000</f>
        <v>10579.676460163417</v>
      </c>
      <c r="AH654" s="338">
        <f>('Non-Energy Use'!AG160)*1000</f>
        <v>13124.735650002798</v>
      </c>
      <c r="AI654" s="338">
        <f>('Non-Energy Use'!AH160)*1000</f>
        <v>12487.250893597411</v>
      </c>
      <c r="AJ654" s="338">
        <f>('Non-Energy Use'!AI160)*1000</f>
        <v>11923.28015213421</v>
      </c>
      <c r="AK654" s="338">
        <f>('Non-Energy Use'!AJ160)*1000</f>
        <v>13212.945008917126</v>
      </c>
      <c r="AL654" s="338">
        <f>('Non-Energy Use'!AK160)*1000</f>
        <v>12922.546795544684</v>
      </c>
      <c r="AM654" s="315"/>
      <c r="AN654" s="315"/>
    </row>
    <row r="655" spans="1:40" ht="12.6">
      <c r="A655" s="990" t="s">
        <v>774</v>
      </c>
      <c r="B655" s="991" t="s">
        <v>132</v>
      </c>
      <c r="C655" s="991"/>
      <c r="D655" s="991" t="s">
        <v>129</v>
      </c>
      <c r="E655" s="991" t="s">
        <v>130</v>
      </c>
      <c r="F655" s="332" t="s">
        <v>106</v>
      </c>
      <c r="G655" s="332" t="s">
        <v>106</v>
      </c>
      <c r="H655" s="332" t="s">
        <v>106</v>
      </c>
      <c r="I655" s="332" t="s">
        <v>106</v>
      </c>
      <c r="J655" s="332" t="s">
        <v>106</v>
      </c>
      <c r="K655" s="332" t="s">
        <v>106</v>
      </c>
      <c r="L655" s="332" t="s">
        <v>106</v>
      </c>
      <c r="M655" s="332" t="s">
        <v>106</v>
      </c>
      <c r="N655" s="332" t="s">
        <v>106</v>
      </c>
      <c r="O655" s="332" t="s">
        <v>106</v>
      </c>
      <c r="P655" s="332" t="s">
        <v>106</v>
      </c>
      <c r="Q655" s="332" t="s">
        <v>106</v>
      </c>
      <c r="R655" s="332" t="s">
        <v>106</v>
      </c>
      <c r="S655" s="332" t="s">
        <v>106</v>
      </c>
      <c r="T655" s="332" t="s">
        <v>106</v>
      </c>
      <c r="U655" s="332" t="s">
        <v>106</v>
      </c>
      <c r="V655" s="332" t="s">
        <v>106</v>
      </c>
      <c r="W655" s="332" t="s">
        <v>106</v>
      </c>
      <c r="X655" s="332" t="s">
        <v>106</v>
      </c>
      <c r="Y655" s="332" t="s">
        <v>106</v>
      </c>
      <c r="Z655" s="332" t="s">
        <v>106</v>
      </c>
      <c r="AA655" s="332" t="s">
        <v>106</v>
      </c>
      <c r="AB655" s="332" t="s">
        <v>106</v>
      </c>
      <c r="AC655" s="332" t="s">
        <v>106</v>
      </c>
      <c r="AD655" s="332" t="s">
        <v>106</v>
      </c>
      <c r="AE655" s="332" t="s">
        <v>106</v>
      </c>
      <c r="AF655" s="332" t="s">
        <v>106</v>
      </c>
      <c r="AG655" s="332" t="s">
        <v>106</v>
      </c>
      <c r="AH655" s="332" t="s">
        <v>106</v>
      </c>
      <c r="AI655" s="332" t="s">
        <v>106</v>
      </c>
      <c r="AJ655" s="332" t="s">
        <v>106</v>
      </c>
      <c r="AK655" s="332" t="s">
        <v>106</v>
      </c>
      <c r="AL655" s="332" t="s">
        <v>106</v>
      </c>
      <c r="AM655" s="315"/>
      <c r="AN655" s="315"/>
    </row>
    <row r="656" spans="1:40" ht="12.6">
      <c r="A656" s="990" t="s">
        <v>775</v>
      </c>
      <c r="B656" s="991" t="s">
        <v>134</v>
      </c>
      <c r="D656" s="315"/>
      <c r="E656" s="315"/>
      <c r="F656" s="802" t="s">
        <v>776</v>
      </c>
      <c r="G656" s="802" t="s">
        <v>776</v>
      </c>
      <c r="H656" s="802" t="s">
        <v>776</v>
      </c>
      <c r="I656" s="802" t="s">
        <v>776</v>
      </c>
      <c r="J656" s="802" t="s">
        <v>776</v>
      </c>
      <c r="K656" s="802" t="s">
        <v>776</v>
      </c>
      <c r="L656" s="802" t="s">
        <v>776</v>
      </c>
      <c r="M656" s="802" t="s">
        <v>776</v>
      </c>
      <c r="N656" s="802" t="s">
        <v>776</v>
      </c>
      <c r="O656" s="802" t="s">
        <v>776</v>
      </c>
      <c r="P656" s="802" t="s">
        <v>776</v>
      </c>
      <c r="Q656" s="802" t="s">
        <v>776</v>
      </c>
      <c r="R656" s="802" t="s">
        <v>776</v>
      </c>
      <c r="S656" s="802" t="s">
        <v>776</v>
      </c>
      <c r="T656" s="802" t="s">
        <v>776</v>
      </c>
      <c r="U656" s="802" t="s">
        <v>776</v>
      </c>
      <c r="V656" s="802" t="s">
        <v>776</v>
      </c>
      <c r="W656" s="802" t="s">
        <v>776</v>
      </c>
      <c r="X656" s="802" t="s">
        <v>776</v>
      </c>
      <c r="Y656" s="802" t="s">
        <v>776</v>
      </c>
      <c r="Z656" s="802" t="s">
        <v>776</v>
      </c>
      <c r="AA656" s="802" t="s">
        <v>776</v>
      </c>
      <c r="AB656" s="802" t="s">
        <v>776</v>
      </c>
      <c r="AC656" s="802" t="s">
        <v>776</v>
      </c>
      <c r="AD656" s="802" t="s">
        <v>776</v>
      </c>
      <c r="AE656" s="802" t="s">
        <v>776</v>
      </c>
      <c r="AF656" s="802" t="s">
        <v>776</v>
      </c>
      <c r="AG656" s="802" t="s">
        <v>776</v>
      </c>
      <c r="AH656" s="802" t="s">
        <v>776</v>
      </c>
      <c r="AI656" s="802" t="s">
        <v>776</v>
      </c>
      <c r="AJ656" s="802" t="s">
        <v>776</v>
      </c>
      <c r="AK656" s="802" t="s">
        <v>776</v>
      </c>
      <c r="AL656" s="802" t="s">
        <v>776</v>
      </c>
      <c r="AM656" s="315"/>
      <c r="AN656" s="315"/>
    </row>
    <row r="657" spans="1:40" s="797" customFormat="1" ht="12.95">
      <c r="A657" s="989" t="s">
        <v>748</v>
      </c>
      <c r="B657" s="796"/>
      <c r="C657" s="796"/>
      <c r="D657" s="796"/>
      <c r="E657" s="796"/>
      <c r="F657" s="795"/>
      <c r="G657" s="795"/>
      <c r="H657" s="795"/>
      <c r="I657" s="795"/>
      <c r="J657" s="795"/>
      <c r="K657" s="795"/>
      <c r="L657" s="795"/>
      <c r="M657" s="795"/>
      <c r="N657" s="795"/>
      <c r="O657" s="795"/>
      <c r="P657" s="795"/>
      <c r="Q657" s="795"/>
      <c r="R657" s="795"/>
      <c r="S657" s="795"/>
      <c r="T657" s="795"/>
      <c r="U657" s="795"/>
      <c r="V657" s="795"/>
      <c r="W657" s="795"/>
      <c r="X657" s="795"/>
      <c r="Y657" s="795"/>
      <c r="Z657" s="795"/>
      <c r="AA657" s="795"/>
      <c r="AB657" s="795"/>
      <c r="AC657" s="795"/>
      <c r="AD657" s="795"/>
      <c r="AE657" s="795"/>
      <c r="AF657" s="795"/>
      <c r="AG657" s="795"/>
      <c r="AH657" s="795"/>
      <c r="AI657" s="795"/>
      <c r="AJ657" s="795"/>
      <c r="AK657" s="795"/>
      <c r="AL657" s="795"/>
      <c r="AM657" s="796"/>
      <c r="AN657" s="796"/>
    </row>
    <row r="658" spans="1:40" ht="12.6">
      <c r="A658" s="990" t="s">
        <v>777</v>
      </c>
      <c r="B658" s="991" t="s">
        <v>121</v>
      </c>
      <c r="C658" s="991"/>
      <c r="D658" s="315"/>
      <c r="E658" s="991" t="s">
        <v>122</v>
      </c>
      <c r="F658" s="332" t="s">
        <v>108</v>
      </c>
      <c r="G658" s="332" t="s">
        <v>108</v>
      </c>
      <c r="H658" s="332" t="s">
        <v>108</v>
      </c>
      <c r="I658" s="332" t="s">
        <v>108</v>
      </c>
      <c r="J658" s="332" t="s">
        <v>108</v>
      </c>
      <c r="K658" s="332" t="s">
        <v>108</v>
      </c>
      <c r="L658" s="332" t="s">
        <v>108</v>
      </c>
      <c r="M658" s="332" t="s">
        <v>108</v>
      </c>
      <c r="N658" s="332" t="s">
        <v>108</v>
      </c>
      <c r="O658" s="332" t="s">
        <v>108</v>
      </c>
      <c r="P658" s="332" t="s">
        <v>108</v>
      </c>
      <c r="Q658" s="332" t="s">
        <v>108</v>
      </c>
      <c r="R658" s="332" t="s">
        <v>108</v>
      </c>
      <c r="S658" s="332" t="s">
        <v>108</v>
      </c>
      <c r="T658" s="332" t="s">
        <v>108</v>
      </c>
      <c r="U658" s="332" t="s">
        <v>108</v>
      </c>
      <c r="V658" s="332" t="s">
        <v>108</v>
      </c>
      <c r="W658" s="332" t="s">
        <v>108</v>
      </c>
      <c r="X658" s="332" t="s">
        <v>108</v>
      </c>
      <c r="Y658" s="332" t="s">
        <v>108</v>
      </c>
      <c r="Z658" s="332" t="s">
        <v>108</v>
      </c>
      <c r="AA658" s="332" t="s">
        <v>108</v>
      </c>
      <c r="AB658" s="332" t="s">
        <v>108</v>
      </c>
      <c r="AC658" s="332" t="s">
        <v>108</v>
      </c>
      <c r="AD658" s="332" t="s">
        <v>108</v>
      </c>
      <c r="AE658" s="332" t="s">
        <v>108</v>
      </c>
      <c r="AF658" s="332" t="s">
        <v>108</v>
      </c>
      <c r="AG658" s="332" t="s">
        <v>108</v>
      </c>
      <c r="AH658" s="332" t="s">
        <v>108</v>
      </c>
      <c r="AI658" s="332" t="s">
        <v>108</v>
      </c>
      <c r="AJ658" s="332" t="s">
        <v>108</v>
      </c>
      <c r="AK658" s="332" t="s">
        <v>108</v>
      </c>
      <c r="AL658" s="332" t="s">
        <v>108</v>
      </c>
      <c r="AM658" s="315"/>
      <c r="AN658" s="315"/>
    </row>
    <row r="659" spans="1:40" ht="12.6">
      <c r="A659" s="990" t="s">
        <v>778</v>
      </c>
      <c r="B659" s="991" t="s">
        <v>124</v>
      </c>
      <c r="C659" s="991"/>
      <c r="D659" s="315"/>
      <c r="E659" s="315" t="s">
        <v>125</v>
      </c>
      <c r="F659" s="799" t="s">
        <v>126</v>
      </c>
      <c r="G659" s="799" t="s">
        <v>126</v>
      </c>
      <c r="H659" s="799" t="s">
        <v>126</v>
      </c>
      <c r="I659" s="799" t="s">
        <v>126</v>
      </c>
      <c r="J659" s="799" t="s">
        <v>126</v>
      </c>
      <c r="K659" s="799" t="s">
        <v>126</v>
      </c>
      <c r="L659" s="799" t="s">
        <v>126</v>
      </c>
      <c r="M659" s="799" t="s">
        <v>126</v>
      </c>
      <c r="N659" s="799" t="s">
        <v>126</v>
      </c>
      <c r="O659" s="799" t="s">
        <v>126</v>
      </c>
      <c r="P659" s="799" t="s">
        <v>126</v>
      </c>
      <c r="Q659" s="799" t="s">
        <v>126</v>
      </c>
      <c r="R659" s="799" t="s">
        <v>126</v>
      </c>
      <c r="S659" s="799" t="s">
        <v>126</v>
      </c>
      <c r="T659" s="799" t="s">
        <v>126</v>
      </c>
      <c r="U659" s="799" t="s">
        <v>126</v>
      </c>
      <c r="V659" s="799" t="s">
        <v>126</v>
      </c>
      <c r="W659" s="799" t="s">
        <v>126</v>
      </c>
      <c r="X659" s="799" t="s">
        <v>126</v>
      </c>
      <c r="Y659" s="799" t="s">
        <v>126</v>
      </c>
      <c r="Z659" s="799" t="s">
        <v>126</v>
      </c>
      <c r="AA659" s="799" t="s">
        <v>126</v>
      </c>
      <c r="AB659" s="799" t="s">
        <v>126</v>
      </c>
      <c r="AC659" s="799" t="s">
        <v>126</v>
      </c>
      <c r="AD659" s="799" t="s">
        <v>126</v>
      </c>
      <c r="AE659" s="799" t="s">
        <v>126</v>
      </c>
      <c r="AF659" s="799" t="s">
        <v>126</v>
      </c>
      <c r="AG659" s="799" t="s">
        <v>126</v>
      </c>
      <c r="AH659" s="799" t="s">
        <v>126</v>
      </c>
      <c r="AI659" s="799" t="s">
        <v>126</v>
      </c>
      <c r="AJ659" s="799" t="s">
        <v>126</v>
      </c>
      <c r="AK659" s="799" t="s">
        <v>126</v>
      </c>
      <c r="AL659" s="799" t="s">
        <v>126</v>
      </c>
      <c r="AM659" s="315"/>
      <c r="AN659" s="315"/>
    </row>
    <row r="660" spans="1:40" ht="12.6">
      <c r="A660" s="990" t="s">
        <v>779</v>
      </c>
      <c r="B660" s="991" t="s">
        <v>128</v>
      </c>
      <c r="C660" s="991"/>
      <c r="D660" s="991" t="s">
        <v>129</v>
      </c>
      <c r="E660" s="991" t="s">
        <v>130</v>
      </c>
      <c r="F660" s="332" t="s">
        <v>108</v>
      </c>
      <c r="G660" s="332" t="s">
        <v>108</v>
      </c>
      <c r="H660" s="332" t="s">
        <v>108</v>
      </c>
      <c r="I660" s="332" t="s">
        <v>108</v>
      </c>
      <c r="J660" s="332" t="s">
        <v>108</v>
      </c>
      <c r="K660" s="332" t="s">
        <v>108</v>
      </c>
      <c r="L660" s="332" t="s">
        <v>108</v>
      </c>
      <c r="M660" s="332" t="s">
        <v>108</v>
      </c>
      <c r="N660" s="332" t="s">
        <v>108</v>
      </c>
      <c r="O660" s="332" t="s">
        <v>108</v>
      </c>
      <c r="P660" s="332" t="s">
        <v>108</v>
      </c>
      <c r="Q660" s="332" t="s">
        <v>108</v>
      </c>
      <c r="R660" s="332" t="s">
        <v>108</v>
      </c>
      <c r="S660" s="332" t="s">
        <v>108</v>
      </c>
      <c r="T660" s="332" t="s">
        <v>108</v>
      </c>
      <c r="U660" s="332" t="s">
        <v>108</v>
      </c>
      <c r="V660" s="332" t="s">
        <v>108</v>
      </c>
      <c r="W660" s="332" t="s">
        <v>108</v>
      </c>
      <c r="X660" s="332" t="s">
        <v>108</v>
      </c>
      <c r="Y660" s="332" t="s">
        <v>108</v>
      </c>
      <c r="Z660" s="332" t="s">
        <v>108</v>
      </c>
      <c r="AA660" s="332" t="s">
        <v>108</v>
      </c>
      <c r="AB660" s="332" t="s">
        <v>108</v>
      </c>
      <c r="AC660" s="332" t="s">
        <v>108</v>
      </c>
      <c r="AD660" s="332" t="s">
        <v>108</v>
      </c>
      <c r="AE660" s="332" t="s">
        <v>108</v>
      </c>
      <c r="AF660" s="332" t="s">
        <v>108</v>
      </c>
      <c r="AG660" s="332" t="s">
        <v>108</v>
      </c>
      <c r="AH660" s="332" t="s">
        <v>108</v>
      </c>
      <c r="AI660" s="332" t="s">
        <v>108</v>
      </c>
      <c r="AJ660" s="332" t="s">
        <v>108</v>
      </c>
      <c r="AK660" s="332" t="s">
        <v>108</v>
      </c>
      <c r="AL660" s="332" t="s">
        <v>108</v>
      </c>
      <c r="AM660" s="315"/>
      <c r="AN660" s="315"/>
    </row>
    <row r="661" spans="1:40" ht="12.6">
      <c r="A661" s="990" t="s">
        <v>780</v>
      </c>
      <c r="B661" s="991" t="s">
        <v>132</v>
      </c>
      <c r="C661" s="991"/>
      <c r="D661" s="991" t="s">
        <v>129</v>
      </c>
      <c r="E661" s="991" t="s">
        <v>130</v>
      </c>
      <c r="F661" s="794" t="s">
        <v>108</v>
      </c>
      <c r="G661" s="794" t="s">
        <v>108</v>
      </c>
      <c r="H661" s="794" t="s">
        <v>108</v>
      </c>
      <c r="I661" s="794" t="s">
        <v>108</v>
      </c>
      <c r="J661" s="794" t="s">
        <v>108</v>
      </c>
      <c r="K661" s="794" t="s">
        <v>108</v>
      </c>
      <c r="L661" s="794" t="s">
        <v>108</v>
      </c>
      <c r="M661" s="794" t="s">
        <v>108</v>
      </c>
      <c r="N661" s="794" t="s">
        <v>108</v>
      </c>
      <c r="O661" s="794" t="s">
        <v>108</v>
      </c>
      <c r="P661" s="794" t="s">
        <v>108</v>
      </c>
      <c r="Q661" s="794" t="s">
        <v>108</v>
      </c>
      <c r="R661" s="794" t="s">
        <v>108</v>
      </c>
      <c r="S661" s="794" t="s">
        <v>108</v>
      </c>
      <c r="T661" s="794" t="s">
        <v>108</v>
      </c>
      <c r="U661" s="794" t="s">
        <v>108</v>
      </c>
      <c r="V661" s="794" t="s">
        <v>108</v>
      </c>
      <c r="W661" s="794" t="s">
        <v>108</v>
      </c>
      <c r="X661" s="794" t="s">
        <v>108</v>
      </c>
      <c r="Y661" s="794" t="s">
        <v>108</v>
      </c>
      <c r="Z661" s="794" t="s">
        <v>108</v>
      </c>
      <c r="AA661" s="794" t="s">
        <v>108</v>
      </c>
      <c r="AB661" s="794" t="s">
        <v>108</v>
      </c>
      <c r="AC661" s="794" t="s">
        <v>108</v>
      </c>
      <c r="AD661" s="794" t="s">
        <v>108</v>
      </c>
      <c r="AE661" s="794" t="s">
        <v>108</v>
      </c>
      <c r="AF661" s="794" t="s">
        <v>108</v>
      </c>
      <c r="AG661" s="794" t="s">
        <v>108</v>
      </c>
      <c r="AH661" s="794" t="s">
        <v>108</v>
      </c>
      <c r="AI661" s="794" t="s">
        <v>108</v>
      </c>
      <c r="AJ661" s="794" t="s">
        <v>108</v>
      </c>
      <c r="AK661" s="794" t="s">
        <v>108</v>
      </c>
      <c r="AL661" s="794" t="s">
        <v>108</v>
      </c>
      <c r="AM661" s="315"/>
      <c r="AN661" s="315"/>
    </row>
    <row r="662" spans="1:40" ht="12.6">
      <c r="A662" s="990" t="s">
        <v>781</v>
      </c>
      <c r="B662" s="991" t="s">
        <v>134</v>
      </c>
      <c r="D662" s="315"/>
      <c r="E662" s="315"/>
      <c r="F662" s="332"/>
      <c r="G662" s="332"/>
      <c r="H662" s="332"/>
      <c r="I662" s="332"/>
      <c r="J662" s="332"/>
      <c r="K662" s="332"/>
      <c r="L662" s="332"/>
      <c r="M662" s="332"/>
      <c r="N662" s="332"/>
      <c r="O662" s="332"/>
      <c r="P662" s="332"/>
      <c r="Q662" s="332"/>
      <c r="R662" s="332"/>
      <c r="S662" s="332"/>
      <c r="T662" s="332"/>
      <c r="U662" s="332"/>
      <c r="V662" s="332"/>
      <c r="W662" s="332"/>
      <c r="X662" s="332"/>
      <c r="Y662" s="332"/>
      <c r="Z662" s="332"/>
      <c r="AA662" s="332"/>
      <c r="AB662" s="332"/>
      <c r="AC662" s="332"/>
      <c r="AD662" s="332"/>
      <c r="AE662" s="332"/>
      <c r="AF662" s="332"/>
      <c r="AG662" s="332"/>
      <c r="AH662" s="332"/>
      <c r="AI662" s="332"/>
      <c r="AJ662" s="332"/>
      <c r="AK662" s="332"/>
      <c r="AL662" s="332"/>
      <c r="AM662" s="315"/>
      <c r="AN662" s="315"/>
    </row>
    <row r="663" spans="1:40" s="797" customFormat="1" ht="12.95">
      <c r="A663" s="989" t="s">
        <v>754</v>
      </c>
      <c r="B663" s="796"/>
      <c r="C663" s="796"/>
      <c r="D663" s="796"/>
      <c r="E663" s="796"/>
      <c r="F663" s="795"/>
      <c r="G663" s="795"/>
      <c r="H663" s="795"/>
      <c r="I663" s="795"/>
      <c r="J663" s="795"/>
      <c r="K663" s="795"/>
      <c r="L663" s="795"/>
      <c r="M663" s="795"/>
      <c r="N663" s="795"/>
      <c r="O663" s="795"/>
      <c r="P663" s="795"/>
      <c r="Q663" s="795"/>
      <c r="R663" s="795"/>
      <c r="S663" s="795"/>
      <c r="T663" s="795"/>
      <c r="U663" s="795"/>
      <c r="V663" s="795"/>
      <c r="W663" s="795"/>
      <c r="X663" s="795"/>
      <c r="Y663" s="795"/>
      <c r="Z663" s="795"/>
      <c r="AA663" s="795"/>
      <c r="AB663" s="795"/>
      <c r="AC663" s="795"/>
      <c r="AD663" s="795"/>
      <c r="AE663" s="795"/>
      <c r="AF663" s="795"/>
      <c r="AG663" s="795"/>
      <c r="AH663" s="795"/>
      <c r="AI663" s="795"/>
      <c r="AJ663" s="795"/>
      <c r="AK663" s="795"/>
      <c r="AL663" s="795"/>
      <c r="AM663" s="796"/>
      <c r="AN663" s="796"/>
    </row>
    <row r="664" spans="1:40" ht="12.6">
      <c r="A664" s="990" t="s">
        <v>782</v>
      </c>
      <c r="B664" s="991" t="s">
        <v>121</v>
      </c>
      <c r="C664" s="991"/>
      <c r="D664" s="315"/>
      <c r="E664" s="991" t="s">
        <v>122</v>
      </c>
      <c r="F664" s="794" t="s">
        <v>108</v>
      </c>
      <c r="G664" s="794" t="s">
        <v>108</v>
      </c>
      <c r="H664" s="794" t="s">
        <v>108</v>
      </c>
      <c r="I664" s="794" t="s">
        <v>108</v>
      </c>
      <c r="J664" s="794" t="s">
        <v>108</v>
      </c>
      <c r="K664" s="794" t="s">
        <v>108</v>
      </c>
      <c r="L664" s="794" t="s">
        <v>108</v>
      </c>
      <c r="M664" s="794" t="s">
        <v>108</v>
      </c>
      <c r="N664" s="794" t="s">
        <v>108</v>
      </c>
      <c r="O664" s="794" t="s">
        <v>108</v>
      </c>
      <c r="P664" s="794" t="s">
        <v>108</v>
      </c>
      <c r="Q664" s="794" t="s">
        <v>108</v>
      </c>
      <c r="R664" s="794" t="s">
        <v>108</v>
      </c>
      <c r="S664" s="794" t="s">
        <v>108</v>
      </c>
      <c r="T664" s="794" t="s">
        <v>108</v>
      </c>
      <c r="U664" s="794" t="s">
        <v>108</v>
      </c>
      <c r="V664" s="794" t="s">
        <v>108</v>
      </c>
      <c r="W664" s="794" t="s">
        <v>108</v>
      </c>
      <c r="X664" s="794" t="s">
        <v>108</v>
      </c>
      <c r="Y664" s="794" t="s">
        <v>108</v>
      </c>
      <c r="Z664" s="794" t="s">
        <v>108</v>
      </c>
      <c r="AA664" s="794" t="s">
        <v>108</v>
      </c>
      <c r="AB664" s="794" t="s">
        <v>108</v>
      </c>
      <c r="AC664" s="794" t="s">
        <v>108</v>
      </c>
      <c r="AD664" s="794" t="s">
        <v>108</v>
      </c>
      <c r="AE664" s="794" t="s">
        <v>108</v>
      </c>
      <c r="AF664" s="794" t="s">
        <v>108</v>
      </c>
      <c r="AG664" s="794" t="s">
        <v>108</v>
      </c>
      <c r="AH664" s="794" t="s">
        <v>108</v>
      </c>
      <c r="AI664" s="794" t="s">
        <v>108</v>
      </c>
      <c r="AJ664" s="794" t="s">
        <v>108</v>
      </c>
      <c r="AK664" s="794" t="s">
        <v>108</v>
      </c>
      <c r="AL664" s="794" t="s">
        <v>108</v>
      </c>
      <c r="AM664" s="315"/>
      <c r="AN664" s="315"/>
    </row>
    <row r="665" spans="1:40" ht="12.6">
      <c r="A665" s="990" t="s">
        <v>783</v>
      </c>
      <c r="B665" s="991" t="s">
        <v>124</v>
      </c>
      <c r="C665" s="991"/>
      <c r="D665" s="315"/>
      <c r="E665" s="315" t="s">
        <v>125</v>
      </c>
      <c r="F665" s="799" t="s">
        <v>126</v>
      </c>
      <c r="G665" s="799" t="s">
        <v>126</v>
      </c>
      <c r="H665" s="799" t="s">
        <v>126</v>
      </c>
      <c r="I665" s="799" t="s">
        <v>126</v>
      </c>
      <c r="J665" s="799" t="s">
        <v>126</v>
      </c>
      <c r="K665" s="799" t="s">
        <v>126</v>
      </c>
      <c r="L665" s="799" t="s">
        <v>126</v>
      </c>
      <c r="M665" s="799" t="s">
        <v>126</v>
      </c>
      <c r="N665" s="799" t="s">
        <v>126</v>
      </c>
      <c r="O665" s="799" t="s">
        <v>126</v>
      </c>
      <c r="P665" s="799" t="s">
        <v>126</v>
      </c>
      <c r="Q665" s="799" t="s">
        <v>126</v>
      </c>
      <c r="R665" s="799" t="s">
        <v>126</v>
      </c>
      <c r="S665" s="799" t="s">
        <v>126</v>
      </c>
      <c r="T665" s="799" t="s">
        <v>126</v>
      </c>
      <c r="U665" s="799" t="s">
        <v>126</v>
      </c>
      <c r="V665" s="799" t="s">
        <v>126</v>
      </c>
      <c r="W665" s="799" t="s">
        <v>126</v>
      </c>
      <c r="X665" s="799" t="s">
        <v>126</v>
      </c>
      <c r="Y665" s="799" t="s">
        <v>126</v>
      </c>
      <c r="Z665" s="799" t="s">
        <v>126</v>
      </c>
      <c r="AA665" s="799" t="s">
        <v>126</v>
      </c>
      <c r="AB665" s="799" t="s">
        <v>126</v>
      </c>
      <c r="AC665" s="799" t="s">
        <v>126</v>
      </c>
      <c r="AD665" s="799" t="s">
        <v>126</v>
      </c>
      <c r="AE665" s="799" t="s">
        <v>126</v>
      </c>
      <c r="AF665" s="799" t="s">
        <v>126</v>
      </c>
      <c r="AG665" s="799" t="s">
        <v>126</v>
      </c>
      <c r="AH665" s="799" t="s">
        <v>126</v>
      </c>
      <c r="AI665" s="799" t="s">
        <v>126</v>
      </c>
      <c r="AJ665" s="799" t="s">
        <v>126</v>
      </c>
      <c r="AK665" s="799" t="s">
        <v>126</v>
      </c>
      <c r="AL665" s="799" t="s">
        <v>126</v>
      </c>
      <c r="AM665" s="315"/>
      <c r="AN665" s="315"/>
    </row>
    <row r="666" spans="1:40" ht="12.6">
      <c r="A666" s="990" t="s">
        <v>784</v>
      </c>
      <c r="B666" s="991" t="s">
        <v>128</v>
      </c>
      <c r="C666" s="991"/>
      <c r="D666" s="991" t="s">
        <v>129</v>
      </c>
      <c r="E666" s="991" t="s">
        <v>130</v>
      </c>
      <c r="F666" s="794" t="s">
        <v>108</v>
      </c>
      <c r="G666" s="794" t="s">
        <v>108</v>
      </c>
      <c r="H666" s="794" t="s">
        <v>108</v>
      </c>
      <c r="I666" s="794" t="s">
        <v>108</v>
      </c>
      <c r="J666" s="794" t="s">
        <v>108</v>
      </c>
      <c r="K666" s="794" t="s">
        <v>108</v>
      </c>
      <c r="L666" s="794" t="s">
        <v>108</v>
      </c>
      <c r="M666" s="794" t="s">
        <v>108</v>
      </c>
      <c r="N666" s="794" t="s">
        <v>108</v>
      </c>
      <c r="O666" s="794" t="s">
        <v>108</v>
      </c>
      <c r="P666" s="794" t="s">
        <v>108</v>
      </c>
      <c r="Q666" s="794" t="s">
        <v>108</v>
      </c>
      <c r="R666" s="794" t="s">
        <v>108</v>
      </c>
      <c r="S666" s="794" t="s">
        <v>108</v>
      </c>
      <c r="T666" s="794" t="s">
        <v>108</v>
      </c>
      <c r="U666" s="794" t="s">
        <v>108</v>
      </c>
      <c r="V666" s="794" t="s">
        <v>108</v>
      </c>
      <c r="W666" s="794" t="s">
        <v>108</v>
      </c>
      <c r="X666" s="794" t="s">
        <v>108</v>
      </c>
      <c r="Y666" s="794" t="s">
        <v>108</v>
      </c>
      <c r="Z666" s="794" t="s">
        <v>108</v>
      </c>
      <c r="AA666" s="794" t="s">
        <v>108</v>
      </c>
      <c r="AB666" s="794" t="s">
        <v>108</v>
      </c>
      <c r="AC666" s="794" t="s">
        <v>108</v>
      </c>
      <c r="AD666" s="794" t="s">
        <v>108</v>
      </c>
      <c r="AE666" s="794" t="s">
        <v>108</v>
      </c>
      <c r="AF666" s="794" t="s">
        <v>108</v>
      </c>
      <c r="AG666" s="794" t="s">
        <v>108</v>
      </c>
      <c r="AH666" s="794" t="s">
        <v>108</v>
      </c>
      <c r="AI666" s="794" t="s">
        <v>108</v>
      </c>
      <c r="AJ666" s="794" t="s">
        <v>108</v>
      </c>
      <c r="AK666" s="794" t="s">
        <v>108</v>
      </c>
      <c r="AL666" s="794" t="s">
        <v>108</v>
      </c>
      <c r="AM666" s="315"/>
      <c r="AN666" s="315"/>
    </row>
    <row r="667" spans="1:40" ht="12.6">
      <c r="A667" s="990" t="s">
        <v>785</v>
      </c>
      <c r="B667" s="991" t="s">
        <v>132</v>
      </c>
      <c r="C667" s="991"/>
      <c r="D667" s="991" t="s">
        <v>129</v>
      </c>
      <c r="E667" s="991" t="s">
        <v>130</v>
      </c>
      <c r="F667" s="794" t="s">
        <v>108</v>
      </c>
      <c r="G667" s="794" t="s">
        <v>108</v>
      </c>
      <c r="H667" s="794" t="s">
        <v>108</v>
      </c>
      <c r="I667" s="794" t="s">
        <v>108</v>
      </c>
      <c r="J667" s="794" t="s">
        <v>108</v>
      </c>
      <c r="K667" s="794" t="s">
        <v>108</v>
      </c>
      <c r="L667" s="794" t="s">
        <v>108</v>
      </c>
      <c r="M667" s="794" t="s">
        <v>108</v>
      </c>
      <c r="N667" s="794" t="s">
        <v>108</v>
      </c>
      <c r="O667" s="794" t="s">
        <v>108</v>
      </c>
      <c r="P667" s="794" t="s">
        <v>108</v>
      </c>
      <c r="Q667" s="794" t="s">
        <v>108</v>
      </c>
      <c r="R667" s="794" t="s">
        <v>108</v>
      </c>
      <c r="S667" s="794" t="s">
        <v>108</v>
      </c>
      <c r="T667" s="794" t="s">
        <v>108</v>
      </c>
      <c r="U667" s="794" t="s">
        <v>108</v>
      </c>
      <c r="V667" s="794" t="s">
        <v>108</v>
      </c>
      <c r="W667" s="794" t="s">
        <v>108</v>
      </c>
      <c r="X667" s="794" t="s">
        <v>108</v>
      </c>
      <c r="Y667" s="794" t="s">
        <v>108</v>
      </c>
      <c r="Z667" s="794" t="s">
        <v>108</v>
      </c>
      <c r="AA667" s="794" t="s">
        <v>108</v>
      </c>
      <c r="AB667" s="794" t="s">
        <v>108</v>
      </c>
      <c r="AC667" s="794" t="s">
        <v>108</v>
      </c>
      <c r="AD667" s="794" t="s">
        <v>108</v>
      </c>
      <c r="AE667" s="794" t="s">
        <v>108</v>
      </c>
      <c r="AF667" s="794" t="s">
        <v>108</v>
      </c>
      <c r="AG667" s="794" t="s">
        <v>108</v>
      </c>
      <c r="AH667" s="794" t="s">
        <v>108</v>
      </c>
      <c r="AI667" s="794" t="s">
        <v>108</v>
      </c>
      <c r="AJ667" s="794" t="s">
        <v>108</v>
      </c>
      <c r="AK667" s="794" t="s">
        <v>108</v>
      </c>
      <c r="AL667" s="794" t="s">
        <v>108</v>
      </c>
      <c r="AM667" s="315"/>
      <c r="AN667" s="315"/>
    </row>
    <row r="668" spans="1:40" ht="12.6">
      <c r="A668" s="990" t="s">
        <v>786</v>
      </c>
      <c r="B668" s="991" t="s">
        <v>134</v>
      </c>
      <c r="D668" s="315"/>
      <c r="E668" s="315"/>
      <c r="F668" s="332"/>
      <c r="G668" s="332"/>
      <c r="H668" s="332"/>
      <c r="I668" s="332"/>
      <c r="J668" s="332"/>
      <c r="K668" s="332"/>
      <c r="L668" s="332"/>
      <c r="M668" s="332"/>
      <c r="N668" s="332"/>
      <c r="O668" s="332"/>
      <c r="P668" s="332"/>
      <c r="Q668" s="332"/>
      <c r="R668" s="332"/>
      <c r="S668" s="332"/>
      <c r="T668" s="332"/>
      <c r="U668" s="332"/>
      <c r="V668" s="332"/>
      <c r="W668" s="332"/>
      <c r="X668" s="332"/>
      <c r="Y668" s="332"/>
      <c r="Z668" s="332"/>
      <c r="AA668" s="332"/>
      <c r="AB668" s="332"/>
      <c r="AC668" s="332"/>
      <c r="AD668" s="332"/>
      <c r="AE668" s="332"/>
      <c r="AF668" s="332"/>
      <c r="AG668" s="332"/>
      <c r="AH668" s="332"/>
      <c r="AI668" s="332"/>
      <c r="AJ668" s="332"/>
      <c r="AK668" s="332"/>
      <c r="AL668" s="332"/>
      <c r="AM668" s="315"/>
      <c r="AN668" s="315"/>
    </row>
    <row r="669" spans="1:40" s="797" customFormat="1" ht="12.95">
      <c r="A669" s="992" t="s">
        <v>787</v>
      </c>
      <c r="B669" s="796"/>
      <c r="C669" s="796"/>
      <c r="D669" s="796"/>
      <c r="E669" s="796"/>
      <c r="F669" s="795"/>
      <c r="G669" s="795"/>
      <c r="H669" s="795"/>
      <c r="I669" s="795"/>
      <c r="J669" s="795"/>
      <c r="K669" s="795"/>
      <c r="L669" s="795"/>
      <c r="M669" s="795"/>
      <c r="N669" s="795"/>
      <c r="O669" s="795"/>
      <c r="P669" s="795"/>
      <c r="Q669" s="795"/>
      <c r="R669" s="795"/>
      <c r="S669" s="795"/>
      <c r="T669" s="795"/>
      <c r="U669" s="795"/>
      <c r="V669" s="795"/>
      <c r="W669" s="795"/>
      <c r="X669" s="795"/>
      <c r="Y669" s="795"/>
      <c r="Z669" s="795"/>
      <c r="AA669" s="795"/>
      <c r="AB669" s="795"/>
      <c r="AC669" s="795"/>
      <c r="AD669" s="795"/>
      <c r="AE669" s="795"/>
      <c r="AF669" s="795"/>
      <c r="AG669" s="795"/>
      <c r="AH669" s="795"/>
      <c r="AI669" s="795"/>
      <c r="AJ669" s="795"/>
      <c r="AK669" s="795"/>
      <c r="AL669" s="795"/>
      <c r="AM669" s="796"/>
      <c r="AN669" s="796"/>
    </row>
    <row r="670" spans="1:40" s="797" customFormat="1" ht="12.95">
      <c r="A670" s="989" t="s">
        <v>729</v>
      </c>
      <c r="B670" s="796"/>
      <c r="C670" s="796"/>
      <c r="D670" s="796"/>
      <c r="E670" s="796"/>
      <c r="F670" s="795"/>
      <c r="G670" s="795"/>
      <c r="H670" s="795"/>
      <c r="I670" s="795"/>
      <c r="J670" s="795"/>
      <c r="K670" s="795"/>
      <c r="L670" s="795"/>
      <c r="M670" s="795"/>
      <c r="N670" s="795"/>
      <c r="O670" s="795"/>
      <c r="P670" s="795"/>
      <c r="Q670" s="795"/>
      <c r="R670" s="795"/>
      <c r="S670" s="795"/>
      <c r="T670" s="795"/>
      <c r="U670" s="795"/>
      <c r="V670" s="795"/>
      <c r="W670" s="795"/>
      <c r="X670" s="795"/>
      <c r="Y670" s="795"/>
      <c r="Z670" s="795"/>
      <c r="AA670" s="795"/>
      <c r="AB670" s="795"/>
      <c r="AC670" s="795"/>
      <c r="AD670" s="795"/>
      <c r="AE670" s="795"/>
      <c r="AF670" s="795"/>
      <c r="AG670" s="795"/>
      <c r="AH670" s="795"/>
      <c r="AI670" s="795"/>
      <c r="AJ670" s="795"/>
      <c r="AK670" s="795"/>
      <c r="AL670" s="795"/>
      <c r="AM670" s="796"/>
      <c r="AN670" s="796"/>
    </row>
    <row r="671" spans="1:40" ht="12.6">
      <c r="A671" s="990" t="s">
        <v>788</v>
      </c>
      <c r="B671" s="991" t="s">
        <v>121</v>
      </c>
      <c r="C671" s="991"/>
      <c r="D671" s="315"/>
      <c r="E671" s="991" t="s">
        <v>122</v>
      </c>
      <c r="F671" s="332" t="s">
        <v>106</v>
      </c>
      <c r="G671" s="332" t="s">
        <v>106</v>
      </c>
      <c r="H671" s="332" t="s">
        <v>106</v>
      </c>
      <c r="I671" s="332" t="s">
        <v>106</v>
      </c>
      <c r="J671" s="332" t="s">
        <v>106</v>
      </c>
      <c r="K671" s="332" t="s">
        <v>106</v>
      </c>
      <c r="L671" s="332" t="s">
        <v>106</v>
      </c>
      <c r="M671" s="332" t="s">
        <v>106</v>
      </c>
      <c r="N671" s="332" t="s">
        <v>106</v>
      </c>
      <c r="O671" s="332" t="s">
        <v>106</v>
      </c>
      <c r="P671" s="332" t="s">
        <v>106</v>
      </c>
      <c r="Q671" s="332" t="s">
        <v>106</v>
      </c>
      <c r="R671" s="332" t="s">
        <v>106</v>
      </c>
      <c r="S671" s="332" t="s">
        <v>106</v>
      </c>
      <c r="T671" s="332" t="s">
        <v>106</v>
      </c>
      <c r="U671" s="332" t="s">
        <v>106</v>
      </c>
      <c r="V671" s="332" t="s">
        <v>106</v>
      </c>
      <c r="W671" s="332" t="s">
        <v>106</v>
      </c>
      <c r="X671" s="332" t="s">
        <v>106</v>
      </c>
      <c r="Y671" s="332" t="s">
        <v>106</v>
      </c>
      <c r="Z671" s="332" t="s">
        <v>106</v>
      </c>
      <c r="AA671" s="332" t="s">
        <v>106</v>
      </c>
      <c r="AB671" s="332" t="s">
        <v>106</v>
      </c>
      <c r="AC671" s="332" t="s">
        <v>106</v>
      </c>
      <c r="AD671" s="332" t="s">
        <v>106</v>
      </c>
      <c r="AE671" s="332" t="s">
        <v>106</v>
      </c>
      <c r="AF671" s="332" t="s">
        <v>106</v>
      </c>
      <c r="AG671" s="332" t="s">
        <v>106</v>
      </c>
      <c r="AH671" s="332" t="s">
        <v>106</v>
      </c>
      <c r="AI671" s="332" t="s">
        <v>106</v>
      </c>
      <c r="AJ671" s="332" t="s">
        <v>106</v>
      </c>
      <c r="AK671" s="332" t="s">
        <v>106</v>
      </c>
      <c r="AL671" s="332" t="s">
        <v>106</v>
      </c>
      <c r="AM671" s="315"/>
      <c r="AN671" s="315"/>
    </row>
    <row r="672" spans="1:40" ht="12.6">
      <c r="A672" s="990" t="s">
        <v>789</v>
      </c>
      <c r="B672" s="991" t="s">
        <v>124</v>
      </c>
      <c r="C672" s="991"/>
      <c r="D672" s="315"/>
      <c r="E672" s="315" t="s">
        <v>125</v>
      </c>
      <c r="F672" s="799" t="s">
        <v>126</v>
      </c>
      <c r="G672" s="799" t="s">
        <v>126</v>
      </c>
      <c r="H672" s="799" t="s">
        <v>126</v>
      </c>
      <c r="I672" s="799" t="s">
        <v>126</v>
      </c>
      <c r="J672" s="799" t="s">
        <v>126</v>
      </c>
      <c r="K672" s="799" t="s">
        <v>126</v>
      </c>
      <c r="L672" s="799" t="s">
        <v>126</v>
      </c>
      <c r="M672" s="799" t="s">
        <v>126</v>
      </c>
      <c r="N672" s="799" t="s">
        <v>126</v>
      </c>
      <c r="O672" s="799" t="s">
        <v>126</v>
      </c>
      <c r="P672" s="799" t="s">
        <v>126</v>
      </c>
      <c r="Q672" s="799" t="s">
        <v>126</v>
      </c>
      <c r="R672" s="799" t="s">
        <v>126</v>
      </c>
      <c r="S672" s="799" t="s">
        <v>126</v>
      </c>
      <c r="T672" s="799" t="s">
        <v>126</v>
      </c>
      <c r="U672" s="799" t="s">
        <v>126</v>
      </c>
      <c r="V672" s="799" t="s">
        <v>126</v>
      </c>
      <c r="W672" s="799" t="s">
        <v>126</v>
      </c>
      <c r="X672" s="799" t="s">
        <v>126</v>
      </c>
      <c r="Y672" s="799" t="s">
        <v>126</v>
      </c>
      <c r="Z672" s="799" t="s">
        <v>126</v>
      </c>
      <c r="AA672" s="799" t="s">
        <v>126</v>
      </c>
      <c r="AB672" s="799" t="s">
        <v>126</v>
      </c>
      <c r="AC672" s="799" t="s">
        <v>126</v>
      </c>
      <c r="AD672" s="799" t="s">
        <v>126</v>
      </c>
      <c r="AE672" s="799" t="s">
        <v>126</v>
      </c>
      <c r="AF672" s="799" t="s">
        <v>126</v>
      </c>
      <c r="AG672" s="799" t="s">
        <v>126</v>
      </c>
      <c r="AH672" s="799" t="s">
        <v>126</v>
      </c>
      <c r="AI672" s="799" t="s">
        <v>126</v>
      </c>
      <c r="AJ672" s="799" t="s">
        <v>126</v>
      </c>
      <c r="AK672" s="799" t="s">
        <v>126</v>
      </c>
      <c r="AL672" s="799" t="s">
        <v>126</v>
      </c>
      <c r="AM672" s="315"/>
      <c r="AN672" s="315"/>
    </row>
    <row r="673" spans="1:40" ht="12.6">
      <c r="A673" s="990" t="s">
        <v>790</v>
      </c>
      <c r="B673" s="991" t="s">
        <v>128</v>
      </c>
      <c r="C673" s="991"/>
      <c r="D673" s="991" t="s">
        <v>129</v>
      </c>
      <c r="E673" s="991" t="s">
        <v>130</v>
      </c>
      <c r="F673" s="332" t="s">
        <v>106</v>
      </c>
      <c r="G673" s="332" t="s">
        <v>106</v>
      </c>
      <c r="H673" s="332" t="s">
        <v>106</v>
      </c>
      <c r="I673" s="332" t="s">
        <v>106</v>
      </c>
      <c r="J673" s="332" t="s">
        <v>106</v>
      </c>
      <c r="K673" s="332" t="s">
        <v>106</v>
      </c>
      <c r="L673" s="332" t="s">
        <v>106</v>
      </c>
      <c r="M673" s="332" t="s">
        <v>106</v>
      </c>
      <c r="N673" s="332" t="s">
        <v>106</v>
      </c>
      <c r="O673" s="332" t="s">
        <v>106</v>
      </c>
      <c r="P673" s="332" t="s">
        <v>106</v>
      </c>
      <c r="Q673" s="332" t="s">
        <v>106</v>
      </c>
      <c r="R673" s="332" t="s">
        <v>106</v>
      </c>
      <c r="S673" s="332" t="s">
        <v>106</v>
      </c>
      <c r="T673" s="332" t="s">
        <v>106</v>
      </c>
      <c r="U673" s="332" t="s">
        <v>106</v>
      </c>
      <c r="V673" s="332" t="s">
        <v>106</v>
      </c>
      <c r="W673" s="332" t="s">
        <v>106</v>
      </c>
      <c r="X673" s="332" t="s">
        <v>106</v>
      </c>
      <c r="Y673" s="332" t="s">
        <v>106</v>
      </c>
      <c r="Z673" s="332" t="s">
        <v>106</v>
      </c>
      <c r="AA673" s="332" t="s">
        <v>106</v>
      </c>
      <c r="AB673" s="332" t="s">
        <v>106</v>
      </c>
      <c r="AC673" s="332" t="s">
        <v>106</v>
      </c>
      <c r="AD673" s="332" t="s">
        <v>106</v>
      </c>
      <c r="AE673" s="332" t="s">
        <v>106</v>
      </c>
      <c r="AF673" s="332" t="s">
        <v>106</v>
      </c>
      <c r="AG673" s="332" t="s">
        <v>106</v>
      </c>
      <c r="AH673" s="332" t="s">
        <v>106</v>
      </c>
      <c r="AI673" s="332" t="s">
        <v>106</v>
      </c>
      <c r="AJ673" s="332" t="s">
        <v>106</v>
      </c>
      <c r="AK673" s="332" t="s">
        <v>106</v>
      </c>
      <c r="AL673" s="332" t="s">
        <v>106</v>
      </c>
      <c r="AM673" s="315"/>
      <c r="AN673" s="315"/>
    </row>
    <row r="674" spans="1:40" ht="12.6">
      <c r="A674" s="990" t="s">
        <v>791</v>
      </c>
      <c r="B674" s="991" t="s">
        <v>132</v>
      </c>
      <c r="C674" s="991"/>
      <c r="D674" s="991" t="s">
        <v>129</v>
      </c>
      <c r="E674" s="991" t="s">
        <v>130</v>
      </c>
      <c r="F674" s="332" t="s">
        <v>106</v>
      </c>
      <c r="G674" s="332" t="s">
        <v>106</v>
      </c>
      <c r="H674" s="332" t="s">
        <v>106</v>
      </c>
      <c r="I674" s="332" t="s">
        <v>106</v>
      </c>
      <c r="J674" s="332" t="s">
        <v>106</v>
      </c>
      <c r="K674" s="332" t="s">
        <v>106</v>
      </c>
      <c r="L674" s="332" t="s">
        <v>106</v>
      </c>
      <c r="M674" s="332" t="s">
        <v>106</v>
      </c>
      <c r="N674" s="332" t="s">
        <v>106</v>
      </c>
      <c r="O674" s="332" t="s">
        <v>106</v>
      </c>
      <c r="P674" s="332" t="s">
        <v>106</v>
      </c>
      <c r="Q674" s="332" t="s">
        <v>106</v>
      </c>
      <c r="R674" s="332" t="s">
        <v>106</v>
      </c>
      <c r="S674" s="332" t="s">
        <v>106</v>
      </c>
      <c r="T674" s="332" t="s">
        <v>106</v>
      </c>
      <c r="U674" s="332" t="s">
        <v>106</v>
      </c>
      <c r="V674" s="332" t="s">
        <v>106</v>
      </c>
      <c r="W674" s="332" t="s">
        <v>106</v>
      </c>
      <c r="X674" s="332" t="s">
        <v>106</v>
      </c>
      <c r="Y674" s="332" t="s">
        <v>106</v>
      </c>
      <c r="Z674" s="332" t="s">
        <v>106</v>
      </c>
      <c r="AA674" s="332" t="s">
        <v>106</v>
      </c>
      <c r="AB674" s="332" t="s">
        <v>106</v>
      </c>
      <c r="AC674" s="332" t="s">
        <v>106</v>
      </c>
      <c r="AD674" s="332" t="s">
        <v>106</v>
      </c>
      <c r="AE674" s="332" t="s">
        <v>106</v>
      </c>
      <c r="AF674" s="332" t="s">
        <v>106</v>
      </c>
      <c r="AG674" s="332" t="s">
        <v>106</v>
      </c>
      <c r="AH674" s="332" t="s">
        <v>106</v>
      </c>
      <c r="AI674" s="332" t="s">
        <v>106</v>
      </c>
      <c r="AJ674" s="332" t="s">
        <v>106</v>
      </c>
      <c r="AK674" s="332" t="s">
        <v>106</v>
      </c>
      <c r="AL674" s="332" t="s">
        <v>106</v>
      </c>
      <c r="AM674" s="315"/>
      <c r="AN674" s="315"/>
    </row>
    <row r="675" spans="1:40" ht="12.6">
      <c r="A675" s="990" t="s">
        <v>792</v>
      </c>
      <c r="B675" s="991" t="s">
        <v>134</v>
      </c>
      <c r="D675" s="315"/>
      <c r="E675" s="315"/>
      <c r="F675" s="332"/>
      <c r="G675" s="332"/>
      <c r="H675" s="332"/>
      <c r="I675" s="332"/>
      <c r="J675" s="332"/>
      <c r="K675" s="332"/>
      <c r="L675" s="332"/>
      <c r="M675" s="332"/>
      <c r="N675" s="332"/>
      <c r="O675" s="332"/>
      <c r="P675" s="332"/>
      <c r="Q675" s="332"/>
      <c r="R675" s="332"/>
      <c r="S675" s="332"/>
      <c r="T675" s="332"/>
      <c r="U675" s="332"/>
      <c r="V675" s="332"/>
      <c r="W675" s="332"/>
      <c r="X675" s="332"/>
      <c r="Y675" s="332"/>
      <c r="Z675" s="332"/>
      <c r="AA675" s="332"/>
      <c r="AB675" s="332"/>
      <c r="AC675" s="332"/>
      <c r="AD675" s="332"/>
      <c r="AE675" s="332"/>
      <c r="AF675" s="332"/>
      <c r="AG675" s="332"/>
      <c r="AH675" s="332"/>
      <c r="AI675" s="332"/>
      <c r="AJ675" s="332"/>
      <c r="AK675" s="332"/>
      <c r="AL675" s="332"/>
      <c r="AM675" s="315"/>
      <c r="AN675" s="315"/>
    </row>
    <row r="676" spans="1:40" s="797" customFormat="1" ht="12.95">
      <c r="A676" s="989" t="s">
        <v>736</v>
      </c>
      <c r="B676" s="796"/>
      <c r="C676" s="796"/>
      <c r="D676" s="796"/>
      <c r="E676" s="796"/>
      <c r="F676" s="795"/>
      <c r="G676" s="795"/>
      <c r="H676" s="795"/>
      <c r="I676" s="795"/>
      <c r="J676" s="795"/>
      <c r="K676" s="795"/>
      <c r="L676" s="795"/>
      <c r="M676" s="795"/>
      <c r="N676" s="795"/>
      <c r="O676" s="795"/>
      <c r="P676" s="795"/>
      <c r="Q676" s="795"/>
      <c r="R676" s="795"/>
      <c r="S676" s="795"/>
      <c r="T676" s="795"/>
      <c r="U676" s="795"/>
      <c r="V676" s="795"/>
      <c r="W676" s="795"/>
      <c r="X676" s="795"/>
      <c r="Y676" s="795"/>
      <c r="Z676" s="795"/>
      <c r="AA676" s="795"/>
      <c r="AB676" s="795"/>
      <c r="AC676" s="795"/>
      <c r="AD676" s="795"/>
      <c r="AE676" s="795"/>
      <c r="AF676" s="795"/>
      <c r="AG676" s="795"/>
      <c r="AH676" s="795"/>
      <c r="AI676" s="795"/>
      <c r="AJ676" s="795"/>
      <c r="AK676" s="795"/>
      <c r="AL676" s="795"/>
      <c r="AM676" s="796"/>
      <c r="AN676" s="796"/>
    </row>
    <row r="677" spans="1:40" ht="12.6">
      <c r="A677" s="990" t="s">
        <v>793</v>
      </c>
      <c r="B677" s="991" t="s">
        <v>121</v>
      </c>
      <c r="C677" s="991"/>
      <c r="D677" s="315"/>
      <c r="E677" s="991" t="s">
        <v>122</v>
      </c>
      <c r="F677" s="332" t="s">
        <v>106</v>
      </c>
      <c r="G677" s="332" t="s">
        <v>106</v>
      </c>
      <c r="H677" s="332" t="s">
        <v>106</v>
      </c>
      <c r="I677" s="332" t="s">
        <v>106</v>
      </c>
      <c r="J677" s="332" t="s">
        <v>106</v>
      </c>
      <c r="K677" s="332" t="s">
        <v>106</v>
      </c>
      <c r="L677" s="332" t="s">
        <v>106</v>
      </c>
      <c r="M677" s="332" t="s">
        <v>106</v>
      </c>
      <c r="N677" s="332" t="s">
        <v>106</v>
      </c>
      <c r="O677" s="332" t="s">
        <v>106</v>
      </c>
      <c r="P677" s="332" t="s">
        <v>106</v>
      </c>
      <c r="Q677" s="332" t="s">
        <v>106</v>
      </c>
      <c r="R677" s="332" t="s">
        <v>106</v>
      </c>
      <c r="S677" s="332" t="s">
        <v>106</v>
      </c>
      <c r="T677" s="332" t="s">
        <v>106</v>
      </c>
      <c r="U677" s="332" t="s">
        <v>106</v>
      </c>
      <c r="V677" s="332" t="s">
        <v>106</v>
      </c>
      <c r="W677" s="332" t="s">
        <v>106</v>
      </c>
      <c r="X677" s="332" t="s">
        <v>106</v>
      </c>
      <c r="Y677" s="332" t="s">
        <v>106</v>
      </c>
      <c r="Z677" s="332" t="s">
        <v>106</v>
      </c>
      <c r="AA677" s="332" t="s">
        <v>106</v>
      </c>
      <c r="AB677" s="332" t="s">
        <v>106</v>
      </c>
      <c r="AC677" s="332" t="s">
        <v>106</v>
      </c>
      <c r="AD677" s="332" t="s">
        <v>106</v>
      </c>
      <c r="AE677" s="332" t="s">
        <v>106</v>
      </c>
      <c r="AF677" s="332" t="s">
        <v>106</v>
      </c>
      <c r="AG677" s="332" t="s">
        <v>106</v>
      </c>
      <c r="AH677" s="332" t="s">
        <v>106</v>
      </c>
      <c r="AI677" s="332" t="s">
        <v>106</v>
      </c>
      <c r="AJ677" s="332" t="s">
        <v>106</v>
      </c>
      <c r="AK677" s="332" t="s">
        <v>106</v>
      </c>
      <c r="AL677" s="332" t="s">
        <v>106</v>
      </c>
      <c r="AM677" s="315"/>
      <c r="AN677" s="315"/>
    </row>
    <row r="678" spans="1:40" ht="12.6">
      <c r="A678" s="990" t="s">
        <v>794</v>
      </c>
      <c r="B678" s="991" t="s">
        <v>124</v>
      </c>
      <c r="C678" s="991"/>
      <c r="D678" s="315"/>
      <c r="E678" s="315" t="s">
        <v>125</v>
      </c>
      <c r="F678" s="799" t="s">
        <v>126</v>
      </c>
      <c r="G678" s="799" t="s">
        <v>126</v>
      </c>
      <c r="H678" s="799" t="s">
        <v>126</v>
      </c>
      <c r="I678" s="799" t="s">
        <v>126</v>
      </c>
      <c r="J678" s="799" t="s">
        <v>126</v>
      </c>
      <c r="K678" s="799" t="s">
        <v>126</v>
      </c>
      <c r="L678" s="799" t="s">
        <v>126</v>
      </c>
      <c r="M678" s="799" t="s">
        <v>126</v>
      </c>
      <c r="N678" s="799" t="s">
        <v>126</v>
      </c>
      <c r="O678" s="799" t="s">
        <v>126</v>
      </c>
      <c r="P678" s="799" t="s">
        <v>126</v>
      </c>
      <c r="Q678" s="799" t="s">
        <v>126</v>
      </c>
      <c r="R678" s="799" t="s">
        <v>126</v>
      </c>
      <c r="S678" s="799" t="s">
        <v>126</v>
      </c>
      <c r="T678" s="799" t="s">
        <v>126</v>
      </c>
      <c r="U678" s="799" t="s">
        <v>126</v>
      </c>
      <c r="V678" s="799" t="s">
        <v>126</v>
      </c>
      <c r="W678" s="799" t="s">
        <v>126</v>
      </c>
      <c r="X678" s="799" t="s">
        <v>126</v>
      </c>
      <c r="Y678" s="799" t="s">
        <v>126</v>
      </c>
      <c r="Z678" s="799" t="s">
        <v>126</v>
      </c>
      <c r="AA678" s="799" t="s">
        <v>126</v>
      </c>
      <c r="AB678" s="799" t="s">
        <v>126</v>
      </c>
      <c r="AC678" s="799" t="s">
        <v>126</v>
      </c>
      <c r="AD678" s="799" t="s">
        <v>126</v>
      </c>
      <c r="AE678" s="799" t="s">
        <v>126</v>
      </c>
      <c r="AF678" s="799" t="s">
        <v>126</v>
      </c>
      <c r="AG678" s="799" t="s">
        <v>126</v>
      </c>
      <c r="AH678" s="799" t="s">
        <v>126</v>
      </c>
      <c r="AI678" s="799" t="s">
        <v>126</v>
      </c>
      <c r="AJ678" s="799" t="s">
        <v>126</v>
      </c>
      <c r="AK678" s="799" t="s">
        <v>126</v>
      </c>
      <c r="AL678" s="799" t="s">
        <v>126</v>
      </c>
      <c r="AM678" s="315"/>
      <c r="AN678" s="315"/>
    </row>
    <row r="679" spans="1:40" ht="12.6">
      <c r="A679" s="990" t="s">
        <v>795</v>
      </c>
      <c r="B679" s="991" t="s">
        <v>128</v>
      </c>
      <c r="C679" s="991"/>
      <c r="D679" s="991" t="s">
        <v>129</v>
      </c>
      <c r="E679" s="991" t="s">
        <v>130</v>
      </c>
      <c r="F679" s="332" t="s">
        <v>106</v>
      </c>
      <c r="G679" s="332" t="s">
        <v>106</v>
      </c>
      <c r="H679" s="332" t="s">
        <v>106</v>
      </c>
      <c r="I679" s="332" t="s">
        <v>106</v>
      </c>
      <c r="J679" s="332" t="s">
        <v>106</v>
      </c>
      <c r="K679" s="332" t="s">
        <v>106</v>
      </c>
      <c r="L679" s="332" t="s">
        <v>106</v>
      </c>
      <c r="M679" s="332" t="s">
        <v>106</v>
      </c>
      <c r="N679" s="332" t="s">
        <v>106</v>
      </c>
      <c r="O679" s="332" t="s">
        <v>106</v>
      </c>
      <c r="P679" s="332" t="s">
        <v>106</v>
      </c>
      <c r="Q679" s="332" t="s">
        <v>106</v>
      </c>
      <c r="R679" s="332" t="s">
        <v>106</v>
      </c>
      <c r="S679" s="332" t="s">
        <v>106</v>
      </c>
      <c r="T679" s="332" t="s">
        <v>106</v>
      </c>
      <c r="U679" s="332" t="s">
        <v>106</v>
      </c>
      <c r="V679" s="332" t="s">
        <v>106</v>
      </c>
      <c r="W679" s="332" t="s">
        <v>106</v>
      </c>
      <c r="X679" s="332" t="s">
        <v>106</v>
      </c>
      <c r="Y679" s="332" t="s">
        <v>106</v>
      </c>
      <c r="Z679" s="332" t="s">
        <v>106</v>
      </c>
      <c r="AA679" s="332" t="s">
        <v>106</v>
      </c>
      <c r="AB679" s="332" t="s">
        <v>106</v>
      </c>
      <c r="AC679" s="332" t="s">
        <v>106</v>
      </c>
      <c r="AD679" s="332" t="s">
        <v>106</v>
      </c>
      <c r="AE679" s="332" t="s">
        <v>106</v>
      </c>
      <c r="AF679" s="332" t="s">
        <v>106</v>
      </c>
      <c r="AG679" s="332" t="s">
        <v>106</v>
      </c>
      <c r="AH679" s="332" t="s">
        <v>106</v>
      </c>
      <c r="AI679" s="332" t="s">
        <v>106</v>
      </c>
      <c r="AJ679" s="332" t="s">
        <v>106</v>
      </c>
      <c r="AK679" s="332" t="s">
        <v>106</v>
      </c>
      <c r="AL679" s="332" t="s">
        <v>106</v>
      </c>
      <c r="AM679" s="315"/>
      <c r="AN679" s="315"/>
    </row>
    <row r="680" spans="1:40" ht="12.6">
      <c r="A680" s="990" t="s">
        <v>796</v>
      </c>
      <c r="B680" s="991" t="s">
        <v>132</v>
      </c>
      <c r="C680" s="991"/>
      <c r="D680" s="991" t="s">
        <v>129</v>
      </c>
      <c r="E680" s="991" t="s">
        <v>130</v>
      </c>
      <c r="F680" s="332" t="s">
        <v>106</v>
      </c>
      <c r="G680" s="332" t="s">
        <v>106</v>
      </c>
      <c r="H680" s="332" t="s">
        <v>106</v>
      </c>
      <c r="I680" s="332" t="s">
        <v>106</v>
      </c>
      <c r="J680" s="332" t="s">
        <v>106</v>
      </c>
      <c r="K680" s="332" t="s">
        <v>106</v>
      </c>
      <c r="L680" s="332" t="s">
        <v>106</v>
      </c>
      <c r="M680" s="332" t="s">
        <v>106</v>
      </c>
      <c r="N680" s="332" t="s">
        <v>106</v>
      </c>
      <c r="O680" s="332" t="s">
        <v>106</v>
      </c>
      <c r="P680" s="332" t="s">
        <v>106</v>
      </c>
      <c r="Q680" s="332" t="s">
        <v>106</v>
      </c>
      <c r="R680" s="332" t="s">
        <v>106</v>
      </c>
      <c r="S680" s="332" t="s">
        <v>106</v>
      </c>
      <c r="T680" s="332" t="s">
        <v>106</v>
      </c>
      <c r="U680" s="332" t="s">
        <v>106</v>
      </c>
      <c r="V680" s="332" t="s">
        <v>106</v>
      </c>
      <c r="W680" s="332" t="s">
        <v>106</v>
      </c>
      <c r="X680" s="332" t="s">
        <v>106</v>
      </c>
      <c r="Y680" s="332" t="s">
        <v>106</v>
      </c>
      <c r="Z680" s="332" t="s">
        <v>106</v>
      </c>
      <c r="AA680" s="332" t="s">
        <v>106</v>
      </c>
      <c r="AB680" s="332" t="s">
        <v>106</v>
      </c>
      <c r="AC680" s="332" t="s">
        <v>106</v>
      </c>
      <c r="AD680" s="332" t="s">
        <v>106</v>
      </c>
      <c r="AE680" s="332" t="s">
        <v>106</v>
      </c>
      <c r="AF680" s="332" t="s">
        <v>106</v>
      </c>
      <c r="AG680" s="332" t="s">
        <v>106</v>
      </c>
      <c r="AH680" s="332" t="s">
        <v>106</v>
      </c>
      <c r="AI680" s="332" t="s">
        <v>106</v>
      </c>
      <c r="AJ680" s="332" t="s">
        <v>106</v>
      </c>
      <c r="AK680" s="332" t="s">
        <v>106</v>
      </c>
      <c r="AL680" s="332" t="s">
        <v>106</v>
      </c>
      <c r="AM680" s="315"/>
      <c r="AN680" s="315"/>
    </row>
    <row r="681" spans="1:40" ht="12.6">
      <c r="A681" s="990" t="s">
        <v>797</v>
      </c>
      <c r="B681" s="991" t="s">
        <v>134</v>
      </c>
      <c r="D681" s="315"/>
      <c r="E681" s="315"/>
      <c r="F681" s="332"/>
      <c r="G681" s="332"/>
      <c r="H681" s="332"/>
      <c r="I681" s="332"/>
      <c r="J681" s="332"/>
      <c r="K681" s="332"/>
      <c r="L681" s="332"/>
      <c r="M681" s="332"/>
      <c r="N681" s="332"/>
      <c r="O681" s="332"/>
      <c r="P681" s="332"/>
      <c r="Q681" s="332"/>
      <c r="R681" s="332"/>
      <c r="S681" s="332"/>
      <c r="T681" s="332"/>
      <c r="U681" s="332"/>
      <c r="V681" s="332"/>
      <c r="W681" s="332"/>
      <c r="X681" s="332"/>
      <c r="Y681" s="332"/>
      <c r="Z681" s="332"/>
      <c r="AA681" s="332"/>
      <c r="AB681" s="332"/>
      <c r="AC681" s="332"/>
      <c r="AD681" s="332"/>
      <c r="AE681" s="332"/>
      <c r="AF681" s="332"/>
      <c r="AG681" s="332"/>
      <c r="AH681" s="332"/>
      <c r="AI681" s="332"/>
      <c r="AJ681" s="332"/>
      <c r="AK681" s="332"/>
      <c r="AL681" s="332"/>
      <c r="AM681" s="315"/>
      <c r="AN681" s="315"/>
    </row>
    <row r="682" spans="1:40" s="797" customFormat="1" ht="12.95">
      <c r="A682" s="989" t="s">
        <v>742</v>
      </c>
      <c r="B682" s="796"/>
      <c r="C682" s="796"/>
      <c r="D682" s="796"/>
      <c r="E682" s="796"/>
      <c r="F682" s="795"/>
      <c r="G682" s="795"/>
      <c r="H682" s="795"/>
      <c r="I682" s="795"/>
      <c r="J682" s="795"/>
      <c r="K682" s="795"/>
      <c r="L682" s="795"/>
      <c r="M682" s="795"/>
      <c r="N682" s="795"/>
      <c r="O682" s="795"/>
      <c r="P682" s="795"/>
      <c r="Q682" s="795"/>
      <c r="R682" s="795"/>
      <c r="S682" s="795"/>
      <c r="T682" s="795"/>
      <c r="U682" s="795"/>
      <c r="V682" s="795"/>
      <c r="W682" s="795"/>
      <c r="X682" s="795"/>
      <c r="Y682" s="795"/>
      <c r="Z682" s="795"/>
      <c r="AA682" s="795"/>
      <c r="AB682" s="795"/>
      <c r="AC682" s="795"/>
      <c r="AD682" s="795"/>
      <c r="AE682" s="795"/>
      <c r="AF682" s="795"/>
      <c r="AG682" s="795"/>
      <c r="AH682" s="795"/>
      <c r="AI682" s="795"/>
      <c r="AJ682" s="795"/>
      <c r="AK682" s="795"/>
      <c r="AL682" s="795"/>
      <c r="AM682" s="796"/>
      <c r="AN682" s="796"/>
    </row>
    <row r="683" spans="1:40" ht="12.6">
      <c r="A683" s="990" t="s">
        <v>798</v>
      </c>
      <c r="B683" s="991" t="s">
        <v>121</v>
      </c>
      <c r="C683" s="991"/>
      <c r="D683" s="315"/>
      <c r="E683" s="991" t="s">
        <v>122</v>
      </c>
      <c r="F683" s="332" t="s">
        <v>106</v>
      </c>
      <c r="G683" s="332" t="s">
        <v>106</v>
      </c>
      <c r="H683" s="332" t="s">
        <v>106</v>
      </c>
      <c r="I683" s="332" t="s">
        <v>106</v>
      </c>
      <c r="J683" s="332" t="s">
        <v>106</v>
      </c>
      <c r="K683" s="332" t="s">
        <v>106</v>
      </c>
      <c r="L683" s="332" t="s">
        <v>106</v>
      </c>
      <c r="M683" s="332" t="s">
        <v>106</v>
      </c>
      <c r="N683" s="332" t="s">
        <v>106</v>
      </c>
      <c r="O683" s="332" t="s">
        <v>106</v>
      </c>
      <c r="P683" s="332" t="s">
        <v>106</v>
      </c>
      <c r="Q683" s="332" t="s">
        <v>106</v>
      </c>
      <c r="R683" s="332" t="s">
        <v>106</v>
      </c>
      <c r="S683" s="332" t="s">
        <v>106</v>
      </c>
      <c r="T683" s="332" t="s">
        <v>106</v>
      </c>
      <c r="U683" s="332" t="s">
        <v>106</v>
      </c>
      <c r="V683" s="332" t="s">
        <v>106</v>
      </c>
      <c r="W683" s="332" t="s">
        <v>106</v>
      </c>
      <c r="X683" s="332" t="s">
        <v>106</v>
      </c>
      <c r="Y683" s="332" t="s">
        <v>106</v>
      </c>
      <c r="Z683" s="332" t="s">
        <v>106</v>
      </c>
      <c r="AA683" s="332" t="s">
        <v>106</v>
      </c>
      <c r="AB683" s="332" t="s">
        <v>106</v>
      </c>
      <c r="AC683" s="332" t="s">
        <v>106</v>
      </c>
      <c r="AD683" s="332" t="s">
        <v>106</v>
      </c>
      <c r="AE683" s="332" t="s">
        <v>106</v>
      </c>
      <c r="AF683" s="332" t="s">
        <v>106</v>
      </c>
      <c r="AG683" s="332" t="s">
        <v>106</v>
      </c>
      <c r="AH683" s="332" t="s">
        <v>106</v>
      </c>
      <c r="AI683" s="332" t="s">
        <v>106</v>
      </c>
      <c r="AJ683" s="332" t="s">
        <v>106</v>
      </c>
      <c r="AK683" s="332" t="s">
        <v>106</v>
      </c>
      <c r="AL683" s="332" t="s">
        <v>106</v>
      </c>
      <c r="AM683" s="315"/>
      <c r="AN683" s="315"/>
    </row>
    <row r="684" spans="1:40" ht="12.6">
      <c r="A684" s="990" t="s">
        <v>799</v>
      </c>
      <c r="B684" s="991" t="s">
        <v>124</v>
      </c>
      <c r="C684" s="991"/>
      <c r="D684" s="315"/>
      <c r="E684" s="315" t="s">
        <v>125</v>
      </c>
      <c r="F684" s="799" t="s">
        <v>126</v>
      </c>
      <c r="G684" s="799" t="s">
        <v>126</v>
      </c>
      <c r="H684" s="799" t="s">
        <v>126</v>
      </c>
      <c r="I684" s="799" t="s">
        <v>126</v>
      </c>
      <c r="J684" s="799" t="s">
        <v>126</v>
      </c>
      <c r="K684" s="799" t="s">
        <v>126</v>
      </c>
      <c r="L684" s="799" t="s">
        <v>126</v>
      </c>
      <c r="M684" s="799" t="s">
        <v>126</v>
      </c>
      <c r="N684" s="799" t="s">
        <v>126</v>
      </c>
      <c r="O684" s="799" t="s">
        <v>126</v>
      </c>
      <c r="P684" s="799" t="s">
        <v>126</v>
      </c>
      <c r="Q684" s="799" t="s">
        <v>126</v>
      </c>
      <c r="R684" s="799" t="s">
        <v>126</v>
      </c>
      <c r="S684" s="799" t="s">
        <v>126</v>
      </c>
      <c r="T684" s="799" t="s">
        <v>126</v>
      </c>
      <c r="U684" s="799" t="s">
        <v>126</v>
      </c>
      <c r="V684" s="799" t="s">
        <v>126</v>
      </c>
      <c r="W684" s="799" t="s">
        <v>126</v>
      </c>
      <c r="X684" s="799" t="s">
        <v>126</v>
      </c>
      <c r="Y684" s="799" t="s">
        <v>126</v>
      </c>
      <c r="Z684" s="799" t="s">
        <v>126</v>
      </c>
      <c r="AA684" s="799" t="s">
        <v>126</v>
      </c>
      <c r="AB684" s="799" t="s">
        <v>126</v>
      </c>
      <c r="AC684" s="799" t="s">
        <v>126</v>
      </c>
      <c r="AD684" s="799" t="s">
        <v>126</v>
      </c>
      <c r="AE684" s="799" t="s">
        <v>126</v>
      </c>
      <c r="AF684" s="799" t="s">
        <v>126</v>
      </c>
      <c r="AG684" s="799" t="s">
        <v>126</v>
      </c>
      <c r="AH684" s="799" t="s">
        <v>126</v>
      </c>
      <c r="AI684" s="799" t="s">
        <v>126</v>
      </c>
      <c r="AJ684" s="799" t="s">
        <v>126</v>
      </c>
      <c r="AK684" s="799" t="s">
        <v>126</v>
      </c>
      <c r="AL684" s="799" t="s">
        <v>126</v>
      </c>
      <c r="AM684" s="315"/>
      <c r="AN684" s="315"/>
    </row>
    <row r="685" spans="1:40" ht="12.6">
      <c r="A685" s="990" t="s">
        <v>800</v>
      </c>
      <c r="B685" s="991" t="s">
        <v>128</v>
      </c>
      <c r="C685" s="991"/>
      <c r="D685" s="991" t="s">
        <v>129</v>
      </c>
      <c r="E685" s="991" t="s">
        <v>130</v>
      </c>
      <c r="F685" s="332" t="s">
        <v>106</v>
      </c>
      <c r="G685" s="332" t="s">
        <v>106</v>
      </c>
      <c r="H685" s="332" t="s">
        <v>106</v>
      </c>
      <c r="I685" s="332" t="s">
        <v>106</v>
      </c>
      <c r="J685" s="332" t="s">
        <v>106</v>
      </c>
      <c r="K685" s="332" t="s">
        <v>106</v>
      </c>
      <c r="L685" s="332" t="s">
        <v>106</v>
      </c>
      <c r="M685" s="332" t="s">
        <v>106</v>
      </c>
      <c r="N685" s="332" t="s">
        <v>106</v>
      </c>
      <c r="O685" s="332" t="s">
        <v>106</v>
      </c>
      <c r="P685" s="332" t="s">
        <v>106</v>
      </c>
      <c r="Q685" s="332" t="s">
        <v>106</v>
      </c>
      <c r="R685" s="332" t="s">
        <v>106</v>
      </c>
      <c r="S685" s="332" t="s">
        <v>106</v>
      </c>
      <c r="T685" s="332" t="s">
        <v>106</v>
      </c>
      <c r="U685" s="332" t="s">
        <v>106</v>
      </c>
      <c r="V685" s="332" t="s">
        <v>106</v>
      </c>
      <c r="W685" s="332" t="s">
        <v>106</v>
      </c>
      <c r="X685" s="332" t="s">
        <v>106</v>
      </c>
      <c r="Y685" s="332" t="s">
        <v>106</v>
      </c>
      <c r="Z685" s="332" t="s">
        <v>106</v>
      </c>
      <c r="AA685" s="332" t="s">
        <v>106</v>
      </c>
      <c r="AB685" s="332" t="s">
        <v>106</v>
      </c>
      <c r="AC685" s="332" t="s">
        <v>106</v>
      </c>
      <c r="AD685" s="332" t="s">
        <v>106</v>
      </c>
      <c r="AE685" s="332" t="s">
        <v>106</v>
      </c>
      <c r="AF685" s="332" t="s">
        <v>106</v>
      </c>
      <c r="AG685" s="332" t="s">
        <v>106</v>
      </c>
      <c r="AH685" s="332" t="s">
        <v>106</v>
      </c>
      <c r="AI685" s="332" t="s">
        <v>106</v>
      </c>
      <c r="AJ685" s="332" t="s">
        <v>106</v>
      </c>
      <c r="AK685" s="332" t="s">
        <v>106</v>
      </c>
      <c r="AL685" s="332" t="s">
        <v>106</v>
      </c>
      <c r="AM685" s="315"/>
      <c r="AN685" s="315"/>
    </row>
    <row r="686" spans="1:40" ht="12.6">
      <c r="A686" s="990" t="s">
        <v>801</v>
      </c>
      <c r="B686" s="991" t="s">
        <v>132</v>
      </c>
      <c r="C686" s="991"/>
      <c r="D686" s="991" t="s">
        <v>129</v>
      </c>
      <c r="E686" s="991" t="s">
        <v>130</v>
      </c>
      <c r="F686" s="332" t="s">
        <v>106</v>
      </c>
      <c r="G686" s="332" t="s">
        <v>106</v>
      </c>
      <c r="H686" s="332" t="s">
        <v>106</v>
      </c>
      <c r="I686" s="332" t="s">
        <v>106</v>
      </c>
      <c r="J686" s="332" t="s">
        <v>106</v>
      </c>
      <c r="K686" s="332" t="s">
        <v>106</v>
      </c>
      <c r="L686" s="332" t="s">
        <v>106</v>
      </c>
      <c r="M686" s="332" t="s">
        <v>106</v>
      </c>
      <c r="N686" s="332" t="s">
        <v>106</v>
      </c>
      <c r="O686" s="332" t="s">
        <v>106</v>
      </c>
      <c r="P686" s="332" t="s">
        <v>106</v>
      </c>
      <c r="Q686" s="332" t="s">
        <v>106</v>
      </c>
      <c r="R686" s="332" t="s">
        <v>106</v>
      </c>
      <c r="S686" s="332" t="s">
        <v>106</v>
      </c>
      <c r="T686" s="332" t="s">
        <v>106</v>
      </c>
      <c r="U686" s="332" t="s">
        <v>106</v>
      </c>
      <c r="V686" s="332" t="s">
        <v>106</v>
      </c>
      <c r="W686" s="332" t="s">
        <v>106</v>
      </c>
      <c r="X686" s="332" t="s">
        <v>106</v>
      </c>
      <c r="Y686" s="332" t="s">
        <v>106</v>
      </c>
      <c r="Z686" s="332" t="s">
        <v>106</v>
      </c>
      <c r="AA686" s="332" t="s">
        <v>106</v>
      </c>
      <c r="AB686" s="332" t="s">
        <v>106</v>
      </c>
      <c r="AC686" s="332" t="s">
        <v>106</v>
      </c>
      <c r="AD686" s="332" t="s">
        <v>106</v>
      </c>
      <c r="AE686" s="332" t="s">
        <v>106</v>
      </c>
      <c r="AF686" s="332" t="s">
        <v>106</v>
      </c>
      <c r="AG686" s="332" t="s">
        <v>106</v>
      </c>
      <c r="AH686" s="332" t="s">
        <v>106</v>
      </c>
      <c r="AI686" s="332" t="s">
        <v>106</v>
      </c>
      <c r="AJ686" s="332" t="s">
        <v>106</v>
      </c>
      <c r="AK686" s="332" t="s">
        <v>106</v>
      </c>
      <c r="AL686" s="332" t="s">
        <v>106</v>
      </c>
      <c r="AM686" s="315"/>
      <c r="AN686" s="315"/>
    </row>
    <row r="687" spans="1:40" ht="12.6">
      <c r="A687" s="990" t="s">
        <v>802</v>
      </c>
      <c r="B687" s="991" t="s">
        <v>134</v>
      </c>
      <c r="D687" s="315"/>
      <c r="E687" s="315"/>
      <c r="F687" s="332"/>
      <c r="G687" s="332"/>
      <c r="H687" s="332"/>
      <c r="I687" s="332"/>
      <c r="J687" s="332"/>
      <c r="K687" s="332"/>
      <c r="L687" s="332"/>
      <c r="M687" s="332"/>
      <c r="N687" s="332"/>
      <c r="O687" s="332"/>
      <c r="P687" s="332"/>
      <c r="Q687" s="332"/>
      <c r="R687" s="332"/>
      <c r="S687" s="332"/>
      <c r="T687" s="332"/>
      <c r="U687" s="332"/>
      <c r="V687" s="332"/>
      <c r="W687" s="332"/>
      <c r="X687" s="332"/>
      <c r="Y687" s="332"/>
      <c r="Z687" s="332"/>
      <c r="AA687" s="332"/>
      <c r="AB687" s="332"/>
      <c r="AC687" s="332"/>
      <c r="AD687" s="332"/>
      <c r="AE687" s="332"/>
      <c r="AF687" s="332"/>
      <c r="AG687" s="332"/>
      <c r="AH687" s="332"/>
      <c r="AI687" s="332"/>
      <c r="AJ687" s="332"/>
      <c r="AK687" s="332"/>
      <c r="AL687" s="332"/>
      <c r="AM687" s="315"/>
      <c r="AN687" s="315"/>
    </row>
    <row r="688" spans="1:40" s="797" customFormat="1" ht="12.95">
      <c r="A688" s="989" t="s">
        <v>748</v>
      </c>
      <c r="B688" s="796"/>
      <c r="C688" s="796"/>
      <c r="D688" s="796"/>
      <c r="E688" s="796"/>
      <c r="F688" s="795"/>
      <c r="G688" s="795"/>
      <c r="H688" s="795"/>
      <c r="I688" s="795"/>
      <c r="J688" s="795"/>
      <c r="K688" s="795"/>
      <c r="L688" s="795"/>
      <c r="M688" s="795"/>
      <c r="N688" s="795"/>
      <c r="O688" s="795"/>
      <c r="P688" s="795"/>
      <c r="Q688" s="795"/>
      <c r="R688" s="795"/>
      <c r="S688" s="795"/>
      <c r="T688" s="795"/>
      <c r="U688" s="795"/>
      <c r="V688" s="795"/>
      <c r="W688" s="795"/>
      <c r="X688" s="795"/>
      <c r="Y688" s="795"/>
      <c r="Z688" s="795"/>
      <c r="AA688" s="795"/>
      <c r="AB688" s="795"/>
      <c r="AC688" s="795"/>
      <c r="AD688" s="795"/>
      <c r="AE688" s="795"/>
      <c r="AF688" s="795"/>
      <c r="AG688" s="795"/>
      <c r="AH688" s="795"/>
      <c r="AI688" s="795"/>
      <c r="AJ688" s="795"/>
      <c r="AK688" s="795"/>
      <c r="AL688" s="795"/>
      <c r="AM688" s="796"/>
      <c r="AN688" s="796"/>
    </row>
    <row r="689" spans="1:40" ht="12.6">
      <c r="A689" s="990" t="s">
        <v>803</v>
      </c>
      <c r="B689" s="991" t="s">
        <v>121</v>
      </c>
      <c r="C689" s="991"/>
      <c r="D689" s="315"/>
      <c r="E689" s="991" t="s">
        <v>122</v>
      </c>
      <c r="F689" s="1028">
        <f>'[6]MSW Incinerated'!$K4*[6]Assumptions!$C$29*10^6*1055.05585262/10^12</f>
        <v>354471.42163349275</v>
      </c>
      <c r="G689" s="1028">
        <f>'[6]MSW Incinerated'!$K5*[6]Assumptions!$C$29*10^6*1055.05585262/10^12</f>
        <v>294653.65831888618</v>
      </c>
      <c r="H689" s="1028">
        <f>'[6]MSW Incinerated'!$K6*[6]Assumptions!$C$29*10^6*1055.05585262/10^12</f>
        <v>336587.22795858065</v>
      </c>
      <c r="I689" s="1028">
        <f>'[6]MSW Incinerated'!$K7*[6]Assumptions!$C$29*10^6*1055.05585262/10^12</f>
        <v>322149.0674754905</v>
      </c>
      <c r="J689" s="1028">
        <f>'[6]MSW Incinerated'!$K8*[6]Assumptions!$C$29*10^6*1055.05585262/10^12</f>
        <v>338959.57439865911</v>
      </c>
      <c r="K689" s="1028">
        <f>'[6]MSW Incinerated'!$K9*[6]Assumptions!$C$29*10^6*1055.05585262/10^12</f>
        <v>342980.32263545017</v>
      </c>
      <c r="L689" s="1028">
        <f>'[6]MSW Incinerated'!$K10*[6]Assumptions!$C$29*10^6*1055.05585262/10^12</f>
        <v>343768.72522705077</v>
      </c>
      <c r="M689" s="1028">
        <f>'[6]MSW Incinerated'!$K11*[6]Assumptions!$C$29*10^6*1055.05585262/10^12</f>
        <v>321680.22513539891</v>
      </c>
      <c r="N689" s="1028">
        <f>'[6]MSW Incinerated'!$K12*[6]Assumptions!$C$29*10^6*1055.05585262/10^12</f>
        <v>294966.76227753441</v>
      </c>
      <c r="O689" s="1028">
        <f>'[6]MSW Incinerated'!$K13*[6]Assumptions!$C$29*10^6*1055.05585262/10^12</f>
        <v>281154.02235895308</v>
      </c>
      <c r="P689" s="1028">
        <f>'[6]MSW Incinerated'!$K14*[6]Assumptions!$C$29*10^6*1055.05585262/10^12</f>
        <v>300580.11524347012</v>
      </c>
      <c r="Q689" s="1028">
        <f>'[6]MSW Incinerated'!$K15*[6]Assumptions!$C$29*10^6*1055.05585262/10^12</f>
        <v>300198.92180513934</v>
      </c>
      <c r="R689" s="1028">
        <f>'[6]MSW Incinerated'!$K16*[6]Assumptions!$C$29*10^6*1055.05585262/10^12</f>
        <v>298589.04330962629</v>
      </c>
      <c r="S689" s="1028">
        <f>'[6]MSW Incinerated'!$K17*[6]Assumptions!$C$29*10^6*1055.05585262/10^12</f>
        <v>300065.91017489013</v>
      </c>
      <c r="T689" s="1028">
        <f>'[6]MSW Incinerated'!$K18*[6]Assumptions!$C$29*10^6*1055.05585262/10^12</f>
        <v>301307.35746728408</v>
      </c>
      <c r="U689" s="1028">
        <f>'[6]MSW Incinerated'!$K19*[6]Assumptions!$C$29*10^6*1055.05585262/10^12</f>
        <v>300563.24352238874</v>
      </c>
      <c r="V689" s="1028">
        <f>'[6]MSW Incinerated'!$K20*[6]Assumptions!$C$29*10^6*1055.05585262/10^12</f>
        <v>325873.17774850846</v>
      </c>
      <c r="W689" s="1028">
        <f>'[6]MSW Incinerated'!$K21*[6]Assumptions!$C$29*10^6*1055.05585262/10^12</f>
        <v>317155.69066657114</v>
      </c>
      <c r="X689" s="1028">
        <f>'[6]MSW Incinerated'!$K22*[6]Assumptions!$C$29*10^6*1055.05585262/10^12</f>
        <v>314651.91240411456</v>
      </c>
      <c r="Y689" s="1028">
        <f>'[6]MSW Incinerated'!$K23*[6]Assumptions!$C$29*10^6*1055.05585262/10^12</f>
        <v>308850.75292492786</v>
      </c>
      <c r="Z689" s="1028">
        <f>'[6]MSW Incinerated'!$K24*[6]Assumptions!$C$29*10^6*1055.05585262/10^12</f>
        <v>302511.33671113168</v>
      </c>
      <c r="AA689" s="1028">
        <f>'[6]MSW Incinerated'!$K25*[6]Assumptions!$C$29*10^6*1055.05585262/10^12</f>
        <v>318344.00951663015</v>
      </c>
      <c r="AB689" s="1028">
        <f>'[6]MSW Incinerated'!$K26*[6]Assumptions!$C$29*10^6*1055.05585262/10^12</f>
        <v>323063.11079918215</v>
      </c>
      <c r="AC689" s="1028">
        <f>'[6]MSW Incinerated'!$K27*[6]Assumptions!$C$29*10^6*1055.05585262/10^12</f>
        <v>327077.16158807912</v>
      </c>
      <c r="AD689" s="1028">
        <f>'[6]MSW Incinerated'!$K28*[6]Assumptions!$C$29*10^6*1055.05585262/10^12</f>
        <v>325920.66151234059</v>
      </c>
      <c r="AE689" s="1028">
        <f>'[6]MSW Incinerated'!$K29*[6]Assumptions!$C$29*10^6*1055.05585262/10^12</f>
        <v>325182.44712150551</v>
      </c>
      <c r="AF689" s="1028">
        <f>'[6]MSW Incinerated'!$K30*[6]Assumptions!$C$29*10^6*1055.05585262/10^12</f>
        <v>331041.18882543314</v>
      </c>
      <c r="AG689" s="1028">
        <f>'[6]MSW Incinerated'!$K31*[6]Assumptions!$C$29*10^6*1055.05585262/10^12</f>
        <v>318194.77152715198</v>
      </c>
      <c r="AH689" s="1028">
        <f>'[6]MSW Incinerated'!$K32*[6]Assumptions!$C$29*10^6*1055.05585262/10^12</f>
        <v>323898.76169555821</v>
      </c>
      <c r="AI689" s="1028">
        <f>'[6]MSW Incinerated'!$K33*[6]Assumptions!$C$29*10^6*1055.05585262/10^12</f>
        <v>313056.54015076923</v>
      </c>
      <c r="AJ689" s="1028">
        <f>'[6]MSW Incinerated'!$K34*[6]Assumptions!$C$29*10^6*1055.05585262/10^12</f>
        <v>305556.33923544554</v>
      </c>
      <c r="AK689" s="1028">
        <f>'[6]MSW Incinerated'!$K35*[6]Assumptions!$C$29*10^6*1055.05585262/10^12</f>
        <v>307180.97412428964</v>
      </c>
      <c r="AL689" s="1028">
        <f>'[6]MSW Incinerated'!$K36*[6]Assumptions!$C$29*10^6*1055.05585262/10^12</f>
        <v>291126.51734990143</v>
      </c>
      <c r="AM689" s="315"/>
      <c r="AN689" s="315"/>
    </row>
    <row r="690" spans="1:40" ht="12.6">
      <c r="A690" s="990" t="s">
        <v>804</v>
      </c>
      <c r="B690" s="991" t="s">
        <v>124</v>
      </c>
      <c r="C690" s="991"/>
      <c r="D690" s="315"/>
      <c r="E690" s="315" t="s">
        <v>125</v>
      </c>
      <c r="F690" s="794" t="s">
        <v>126</v>
      </c>
      <c r="G690" s="794" t="s">
        <v>126</v>
      </c>
      <c r="H690" s="794" t="s">
        <v>126</v>
      </c>
      <c r="I690" s="794" t="s">
        <v>126</v>
      </c>
      <c r="J690" s="794" t="s">
        <v>126</v>
      </c>
      <c r="K690" s="794" t="s">
        <v>126</v>
      </c>
      <c r="L690" s="794" t="s">
        <v>126</v>
      </c>
      <c r="M690" s="794" t="s">
        <v>126</v>
      </c>
      <c r="N690" s="794" t="s">
        <v>126</v>
      </c>
      <c r="O690" s="794" t="s">
        <v>126</v>
      </c>
      <c r="P690" s="794" t="s">
        <v>126</v>
      </c>
      <c r="Q690" s="794" t="s">
        <v>126</v>
      </c>
      <c r="R690" s="794" t="s">
        <v>126</v>
      </c>
      <c r="S690" s="794" t="s">
        <v>126</v>
      </c>
      <c r="T690" s="794" t="s">
        <v>126</v>
      </c>
      <c r="U690" s="794" t="s">
        <v>126</v>
      </c>
      <c r="V690" s="794" t="s">
        <v>126</v>
      </c>
      <c r="W690" s="794" t="s">
        <v>126</v>
      </c>
      <c r="X690" s="794" t="s">
        <v>126</v>
      </c>
      <c r="Y690" s="794" t="s">
        <v>126</v>
      </c>
      <c r="Z690" s="794" t="s">
        <v>126</v>
      </c>
      <c r="AA690" s="794" t="s">
        <v>126</v>
      </c>
      <c r="AB690" s="794" t="s">
        <v>126</v>
      </c>
      <c r="AC690" s="794" t="s">
        <v>126</v>
      </c>
      <c r="AD690" s="794" t="s">
        <v>126</v>
      </c>
      <c r="AE690" s="794" t="s">
        <v>126</v>
      </c>
      <c r="AF690" s="794" t="s">
        <v>126</v>
      </c>
      <c r="AG690" s="794" t="s">
        <v>126</v>
      </c>
      <c r="AH690" s="794" t="s">
        <v>126</v>
      </c>
      <c r="AI690" s="794" t="s">
        <v>126</v>
      </c>
      <c r="AJ690" s="794" t="s">
        <v>126</v>
      </c>
      <c r="AK690" s="794" t="s">
        <v>126</v>
      </c>
      <c r="AL690" s="794" t="s">
        <v>126</v>
      </c>
      <c r="AM690" s="315"/>
      <c r="AN690" s="315"/>
    </row>
    <row r="691" spans="1:40" ht="12.6">
      <c r="A691" s="990" t="s">
        <v>805</v>
      </c>
      <c r="B691" s="991" t="s">
        <v>128</v>
      </c>
      <c r="C691" s="991"/>
      <c r="D691" s="991" t="s">
        <v>129</v>
      </c>
      <c r="E691" s="991" t="s">
        <v>130</v>
      </c>
      <c r="F691" s="1021">
        <f>[6]Summary!B$4*1000</f>
        <v>12900.454170442999</v>
      </c>
      <c r="G691" s="1021">
        <f>[6]Summary!C$4*1000</f>
        <v>11171.01578948986</v>
      </c>
      <c r="H691" s="1021">
        <f>[6]Summary!D$4*1000</f>
        <v>12990.260470436997</v>
      </c>
      <c r="I691" s="1021">
        <f>[6]Summary!E$4*1000</f>
        <v>12969.723708115645</v>
      </c>
      <c r="J691" s="1021">
        <f>[6]Summary!F$4*1000</f>
        <v>14039.016567793931</v>
      </c>
      <c r="K691" s="1021">
        <f>[6]Summary!G$4*1000</f>
        <v>14332.929015818288</v>
      </c>
      <c r="L691" s="1021">
        <f>[6]Summary!H$4*1000</f>
        <v>14514.110063592132</v>
      </c>
      <c r="M691" s="1021">
        <f>[6]Summary!I$4*1000</f>
        <v>13732.773280637059</v>
      </c>
      <c r="N691" s="1021">
        <f>[6]Summary!J$4*1000</f>
        <v>12790.136133806165</v>
      </c>
      <c r="O691" s="1021">
        <f>[6]Summary!K$4*1000</f>
        <v>12315.72084989764</v>
      </c>
      <c r="P691" s="1021">
        <f>[6]Summary!L$4*1000</f>
        <v>13025.819448307993</v>
      </c>
      <c r="Q691" s="1021">
        <f>[6]Summary!M$4*1000</f>
        <v>12994.568069158475</v>
      </c>
      <c r="R691" s="1021">
        <f>[6]Summary!N$4*1000</f>
        <v>13029.733290425276</v>
      </c>
      <c r="S691" s="1021">
        <f>[6]Summary!O$4*1000</f>
        <v>13173.072725766702</v>
      </c>
      <c r="T691" s="1021">
        <f>[6]Summary!P$4*1000</f>
        <v>13248.225499305549</v>
      </c>
      <c r="U691" s="1021">
        <f>[6]Summary!Q$4*1000</f>
        <v>13254.275146192358</v>
      </c>
      <c r="V691" s="1021">
        <f>[6]Summary!R$4*1000</f>
        <v>14342.552747024165</v>
      </c>
      <c r="W691" s="1021">
        <f>[6]Summary!S$4*1000</f>
        <v>14242.038803330455</v>
      </c>
      <c r="X691" s="1021">
        <f>[6]Summary!T$4*1000</f>
        <v>13908.894541041023</v>
      </c>
      <c r="Y691" s="1021">
        <f>[6]Summary!U$4*1000</f>
        <v>13459.0010967819</v>
      </c>
      <c r="Z691" s="1021">
        <f>[6]Summary!V$4*1000</f>
        <v>12823.858281771429</v>
      </c>
      <c r="AA691" s="1021">
        <f>[6]Summary!W$4*1000</f>
        <v>12740.917571836741</v>
      </c>
      <c r="AB691" s="1021">
        <f>[6]Summary!X$4*1000</f>
        <v>13392.678758371969</v>
      </c>
      <c r="AC691" s="1021">
        <f>[6]Summary!Y$4*1000</f>
        <v>14135.470776521615</v>
      </c>
      <c r="AD691" s="1021">
        <f>[6]Summary!Z$4*1000</f>
        <v>14057.790010438051</v>
      </c>
      <c r="AE691" s="1021">
        <f>[6]Summary!AA$4*1000</f>
        <v>14167.439835484578</v>
      </c>
      <c r="AF691" s="1021">
        <f>[6]Summary!AB$4*1000</f>
        <v>14355.59998444532</v>
      </c>
      <c r="AG691" s="1021">
        <f>[6]Summary!AC$4*1000</f>
        <v>13160.587781433354</v>
      </c>
      <c r="AH691" s="1021">
        <f>[6]Summary!AD$4*1000</f>
        <v>13339.46829821061</v>
      </c>
      <c r="AI691" s="1021">
        <f>[6]Summary!AE$4*1000</f>
        <v>12947.739688019361</v>
      </c>
      <c r="AJ691" s="1021">
        <f>[6]Summary!AF$4*1000</f>
        <v>12921.210694610618</v>
      </c>
      <c r="AK691" s="1021">
        <f>[6]Summary!AG$4*1000</f>
        <v>12475.968789629873</v>
      </c>
      <c r="AL691" s="1021">
        <f>[6]Summary!AH$4*1000</f>
        <v>12357.485433968854</v>
      </c>
      <c r="AM691" s="315"/>
      <c r="AN691" s="315"/>
    </row>
    <row r="692" spans="1:40" ht="12.6">
      <c r="A692" s="990" t="s">
        <v>806</v>
      </c>
      <c r="B692" s="991" t="s">
        <v>132</v>
      </c>
      <c r="C692" s="991"/>
      <c r="D692" s="991" t="s">
        <v>129</v>
      </c>
      <c r="E692" s="991" t="s">
        <v>130</v>
      </c>
      <c r="F692" s="332" t="s">
        <v>106</v>
      </c>
      <c r="G692" s="332" t="s">
        <v>106</v>
      </c>
      <c r="H692" s="332" t="s">
        <v>106</v>
      </c>
      <c r="I692" s="332" t="s">
        <v>106</v>
      </c>
      <c r="J692" s="332" t="s">
        <v>106</v>
      </c>
      <c r="K692" s="332" t="s">
        <v>106</v>
      </c>
      <c r="L692" s="332" t="s">
        <v>106</v>
      </c>
      <c r="M692" s="332" t="s">
        <v>106</v>
      </c>
      <c r="N692" s="332" t="s">
        <v>106</v>
      </c>
      <c r="O692" s="332" t="s">
        <v>106</v>
      </c>
      <c r="P692" s="332" t="s">
        <v>106</v>
      </c>
      <c r="Q692" s="332" t="s">
        <v>106</v>
      </c>
      <c r="R692" s="332" t="s">
        <v>106</v>
      </c>
      <c r="S692" s="332" t="s">
        <v>106</v>
      </c>
      <c r="T692" s="332" t="s">
        <v>106</v>
      </c>
      <c r="U692" s="332" t="s">
        <v>106</v>
      </c>
      <c r="V692" s="332" t="s">
        <v>106</v>
      </c>
      <c r="W692" s="332" t="s">
        <v>106</v>
      </c>
      <c r="X692" s="332" t="s">
        <v>106</v>
      </c>
      <c r="Y692" s="332" t="s">
        <v>106</v>
      </c>
      <c r="Z692" s="332" t="s">
        <v>106</v>
      </c>
      <c r="AA692" s="332" t="s">
        <v>106</v>
      </c>
      <c r="AB692" s="332" t="s">
        <v>106</v>
      </c>
      <c r="AC692" s="332" t="s">
        <v>106</v>
      </c>
      <c r="AD692" s="332" t="s">
        <v>106</v>
      </c>
      <c r="AE692" s="332" t="s">
        <v>106</v>
      </c>
      <c r="AF692" s="332" t="s">
        <v>106</v>
      </c>
      <c r="AG692" s="332" t="s">
        <v>106</v>
      </c>
      <c r="AH692" s="332" t="s">
        <v>106</v>
      </c>
      <c r="AI692" s="332" t="s">
        <v>106</v>
      </c>
      <c r="AJ692" s="332" t="s">
        <v>106</v>
      </c>
      <c r="AK692" s="332" t="s">
        <v>106</v>
      </c>
      <c r="AL692" s="332" t="s">
        <v>106</v>
      </c>
      <c r="AM692" s="315"/>
      <c r="AN692" s="315"/>
    </row>
    <row r="693" spans="1:40" ht="12.6">
      <c r="A693" s="990" t="s">
        <v>807</v>
      </c>
      <c r="B693" s="991" t="s">
        <v>134</v>
      </c>
      <c r="D693" s="315"/>
      <c r="E693" s="315"/>
      <c r="F693" s="802" t="s">
        <v>808</v>
      </c>
      <c r="G693" s="802" t="s">
        <v>808</v>
      </c>
      <c r="H693" s="802" t="s">
        <v>808</v>
      </c>
      <c r="I693" s="802" t="s">
        <v>808</v>
      </c>
      <c r="J693" s="802" t="s">
        <v>808</v>
      </c>
      <c r="K693" s="802" t="s">
        <v>808</v>
      </c>
      <c r="L693" s="802" t="s">
        <v>808</v>
      </c>
      <c r="M693" s="802" t="s">
        <v>808</v>
      </c>
      <c r="N693" s="802" t="s">
        <v>808</v>
      </c>
      <c r="O693" s="802" t="s">
        <v>808</v>
      </c>
      <c r="P693" s="802" t="s">
        <v>808</v>
      </c>
      <c r="Q693" s="802" t="s">
        <v>808</v>
      </c>
      <c r="R693" s="802" t="s">
        <v>808</v>
      </c>
      <c r="S693" s="802" t="s">
        <v>808</v>
      </c>
      <c r="T693" s="802" t="s">
        <v>808</v>
      </c>
      <c r="U693" s="802" t="s">
        <v>808</v>
      </c>
      <c r="V693" s="802" t="s">
        <v>808</v>
      </c>
      <c r="W693" s="802" t="s">
        <v>808</v>
      </c>
      <c r="X693" s="802" t="s">
        <v>808</v>
      </c>
      <c r="Y693" s="802" t="s">
        <v>808</v>
      </c>
      <c r="Z693" s="802" t="s">
        <v>808</v>
      </c>
      <c r="AA693" s="802" t="s">
        <v>808</v>
      </c>
      <c r="AB693" s="802" t="s">
        <v>808</v>
      </c>
      <c r="AC693" s="802" t="s">
        <v>808</v>
      </c>
      <c r="AD693" s="802" t="s">
        <v>808</v>
      </c>
      <c r="AE693" s="802" t="s">
        <v>808</v>
      </c>
      <c r="AF693" s="802" t="s">
        <v>808</v>
      </c>
      <c r="AG693" s="802" t="s">
        <v>808</v>
      </c>
      <c r="AH693" s="802" t="s">
        <v>808</v>
      </c>
      <c r="AI693" s="802" t="s">
        <v>808</v>
      </c>
      <c r="AJ693" s="802" t="s">
        <v>808</v>
      </c>
      <c r="AK693" s="802" t="s">
        <v>808</v>
      </c>
      <c r="AL693" s="802" t="s">
        <v>808</v>
      </c>
      <c r="AM693" s="315"/>
      <c r="AN693" s="315"/>
    </row>
    <row r="694" spans="1:40" s="797" customFormat="1" ht="12.95">
      <c r="A694" s="989" t="s">
        <v>754</v>
      </c>
      <c r="B694" s="796"/>
      <c r="C694" s="796"/>
      <c r="D694" s="796"/>
      <c r="E694" s="796"/>
      <c r="F694" s="795"/>
      <c r="G694" s="795"/>
      <c r="H694" s="795"/>
      <c r="I694" s="795"/>
      <c r="J694" s="795"/>
      <c r="K694" s="795"/>
      <c r="L694" s="795"/>
      <c r="M694" s="795"/>
      <c r="N694" s="795"/>
      <c r="O694" s="795"/>
      <c r="P694" s="795"/>
      <c r="Q694" s="795"/>
      <c r="R694" s="795"/>
      <c r="S694" s="795"/>
      <c r="T694" s="795"/>
      <c r="U694" s="795"/>
      <c r="V694" s="795"/>
      <c r="W694" s="795"/>
      <c r="X694" s="795"/>
      <c r="Y694" s="795"/>
      <c r="Z694" s="795"/>
      <c r="AA694" s="795"/>
      <c r="AB694" s="795"/>
      <c r="AC694" s="795"/>
      <c r="AD694" s="795"/>
      <c r="AE694" s="795"/>
      <c r="AF694" s="795"/>
      <c r="AG694" s="795"/>
      <c r="AH694" s="795"/>
      <c r="AI694" s="795"/>
      <c r="AJ694" s="795"/>
      <c r="AK694" s="795"/>
      <c r="AL694" s="795"/>
      <c r="AM694" s="796"/>
      <c r="AN694" s="796"/>
    </row>
    <row r="695" spans="1:40" ht="12.6">
      <c r="A695" s="990" t="s">
        <v>809</v>
      </c>
      <c r="B695" s="991" t="s">
        <v>121</v>
      </c>
      <c r="C695" s="991"/>
      <c r="D695" s="315"/>
      <c r="E695" s="991" t="s">
        <v>122</v>
      </c>
      <c r="F695" s="794" t="s">
        <v>108</v>
      </c>
      <c r="G695" s="794" t="s">
        <v>108</v>
      </c>
      <c r="H695" s="794" t="s">
        <v>108</v>
      </c>
      <c r="I695" s="794" t="s">
        <v>108</v>
      </c>
      <c r="J695" s="794" t="s">
        <v>108</v>
      </c>
      <c r="K695" s="794" t="s">
        <v>108</v>
      </c>
      <c r="L695" s="794" t="s">
        <v>108</v>
      </c>
      <c r="M695" s="794" t="s">
        <v>108</v>
      </c>
      <c r="N695" s="794" t="s">
        <v>108</v>
      </c>
      <c r="O695" s="794" t="s">
        <v>108</v>
      </c>
      <c r="P695" s="794" t="s">
        <v>108</v>
      </c>
      <c r="Q695" s="794" t="s">
        <v>108</v>
      </c>
      <c r="R695" s="794" t="s">
        <v>108</v>
      </c>
      <c r="S695" s="794" t="s">
        <v>108</v>
      </c>
      <c r="T695" s="794" t="s">
        <v>108</v>
      </c>
      <c r="U695" s="794" t="s">
        <v>108</v>
      </c>
      <c r="V695" s="794" t="s">
        <v>108</v>
      </c>
      <c r="W695" s="794" t="s">
        <v>108</v>
      </c>
      <c r="X695" s="794" t="s">
        <v>108</v>
      </c>
      <c r="Y695" s="794" t="s">
        <v>108</v>
      </c>
      <c r="Z695" s="794" t="s">
        <v>108</v>
      </c>
      <c r="AA695" s="794" t="s">
        <v>108</v>
      </c>
      <c r="AB695" s="794" t="s">
        <v>108</v>
      </c>
      <c r="AC695" s="794" t="s">
        <v>108</v>
      </c>
      <c r="AD695" s="794" t="s">
        <v>108</v>
      </c>
      <c r="AE695" s="794" t="s">
        <v>108</v>
      </c>
      <c r="AF695" s="794" t="s">
        <v>108</v>
      </c>
      <c r="AG695" s="794" t="s">
        <v>108</v>
      </c>
      <c r="AH695" s="794" t="s">
        <v>108</v>
      </c>
      <c r="AI695" s="794" t="s">
        <v>108</v>
      </c>
      <c r="AJ695" s="794" t="s">
        <v>108</v>
      </c>
      <c r="AK695" s="794" t="s">
        <v>108</v>
      </c>
      <c r="AL695" s="794" t="s">
        <v>108</v>
      </c>
      <c r="AM695" s="315"/>
      <c r="AN695" s="315"/>
    </row>
    <row r="696" spans="1:40" ht="12.6">
      <c r="A696" s="990" t="s">
        <v>810</v>
      </c>
      <c r="B696" s="991" t="s">
        <v>124</v>
      </c>
      <c r="C696" s="991"/>
      <c r="D696" s="315"/>
      <c r="E696" s="315" t="s">
        <v>125</v>
      </c>
      <c r="F696" s="799" t="s">
        <v>126</v>
      </c>
      <c r="G696" s="799" t="s">
        <v>126</v>
      </c>
      <c r="H696" s="799" t="s">
        <v>126</v>
      </c>
      <c r="I696" s="799" t="s">
        <v>126</v>
      </c>
      <c r="J696" s="799" t="s">
        <v>126</v>
      </c>
      <c r="K696" s="799" t="s">
        <v>126</v>
      </c>
      <c r="L696" s="799" t="s">
        <v>126</v>
      </c>
      <c r="M696" s="799" t="s">
        <v>126</v>
      </c>
      <c r="N696" s="799" t="s">
        <v>126</v>
      </c>
      <c r="O696" s="799" t="s">
        <v>126</v>
      </c>
      <c r="P696" s="799" t="s">
        <v>126</v>
      </c>
      <c r="Q696" s="799" t="s">
        <v>126</v>
      </c>
      <c r="R696" s="799" t="s">
        <v>126</v>
      </c>
      <c r="S696" s="799" t="s">
        <v>126</v>
      </c>
      <c r="T696" s="799" t="s">
        <v>126</v>
      </c>
      <c r="U696" s="799" t="s">
        <v>126</v>
      </c>
      <c r="V696" s="799" t="s">
        <v>126</v>
      </c>
      <c r="W696" s="799" t="s">
        <v>126</v>
      </c>
      <c r="X696" s="799" t="s">
        <v>126</v>
      </c>
      <c r="Y696" s="799" t="s">
        <v>126</v>
      </c>
      <c r="Z696" s="799" t="s">
        <v>126</v>
      </c>
      <c r="AA696" s="799" t="s">
        <v>126</v>
      </c>
      <c r="AB696" s="799" t="s">
        <v>126</v>
      </c>
      <c r="AC696" s="799" t="s">
        <v>126</v>
      </c>
      <c r="AD696" s="799" t="s">
        <v>126</v>
      </c>
      <c r="AE696" s="799" t="s">
        <v>126</v>
      </c>
      <c r="AF696" s="799" t="s">
        <v>126</v>
      </c>
      <c r="AG696" s="799" t="s">
        <v>126</v>
      </c>
      <c r="AH696" s="799" t="s">
        <v>126</v>
      </c>
      <c r="AI696" s="799" t="s">
        <v>126</v>
      </c>
      <c r="AJ696" s="799" t="s">
        <v>126</v>
      </c>
      <c r="AK696" s="799" t="s">
        <v>126</v>
      </c>
      <c r="AL696" s="799" t="s">
        <v>126</v>
      </c>
      <c r="AM696" s="315"/>
      <c r="AN696" s="315"/>
    </row>
    <row r="697" spans="1:40" ht="12.6">
      <c r="A697" s="990" t="s">
        <v>811</v>
      </c>
      <c r="B697" s="991" t="s">
        <v>128</v>
      </c>
      <c r="C697" s="991"/>
      <c r="D697" s="991" t="s">
        <v>129</v>
      </c>
      <c r="E697" s="991" t="s">
        <v>130</v>
      </c>
      <c r="F697" s="794" t="s">
        <v>108</v>
      </c>
      <c r="G697" s="794" t="s">
        <v>108</v>
      </c>
      <c r="H697" s="794" t="s">
        <v>108</v>
      </c>
      <c r="I697" s="794" t="s">
        <v>108</v>
      </c>
      <c r="J697" s="794" t="s">
        <v>108</v>
      </c>
      <c r="K697" s="794" t="s">
        <v>108</v>
      </c>
      <c r="L697" s="794" t="s">
        <v>108</v>
      </c>
      <c r="M697" s="794" t="s">
        <v>108</v>
      </c>
      <c r="N697" s="794" t="s">
        <v>108</v>
      </c>
      <c r="O697" s="794" t="s">
        <v>108</v>
      </c>
      <c r="P697" s="794" t="s">
        <v>108</v>
      </c>
      <c r="Q697" s="794" t="s">
        <v>108</v>
      </c>
      <c r="R697" s="794" t="s">
        <v>108</v>
      </c>
      <c r="S697" s="794" t="s">
        <v>108</v>
      </c>
      <c r="T697" s="794" t="s">
        <v>108</v>
      </c>
      <c r="U697" s="794" t="s">
        <v>108</v>
      </c>
      <c r="V697" s="794" t="s">
        <v>108</v>
      </c>
      <c r="W697" s="794" t="s">
        <v>108</v>
      </c>
      <c r="X697" s="794" t="s">
        <v>108</v>
      </c>
      <c r="Y697" s="794" t="s">
        <v>108</v>
      </c>
      <c r="Z697" s="794" t="s">
        <v>108</v>
      </c>
      <c r="AA697" s="794" t="s">
        <v>108</v>
      </c>
      <c r="AB697" s="794" t="s">
        <v>108</v>
      </c>
      <c r="AC697" s="794" t="s">
        <v>108</v>
      </c>
      <c r="AD697" s="794" t="s">
        <v>108</v>
      </c>
      <c r="AE697" s="794" t="s">
        <v>108</v>
      </c>
      <c r="AF697" s="794" t="s">
        <v>108</v>
      </c>
      <c r="AG697" s="794" t="s">
        <v>108</v>
      </c>
      <c r="AH697" s="794" t="s">
        <v>108</v>
      </c>
      <c r="AI697" s="794" t="s">
        <v>108</v>
      </c>
      <c r="AJ697" s="794" t="s">
        <v>108</v>
      </c>
      <c r="AK697" s="794" t="s">
        <v>108</v>
      </c>
      <c r="AL697" s="794" t="s">
        <v>108</v>
      </c>
      <c r="AM697" s="315"/>
      <c r="AN697" s="315"/>
    </row>
    <row r="698" spans="1:40" ht="12.6">
      <c r="A698" s="990" t="s">
        <v>812</v>
      </c>
      <c r="B698" s="991" t="s">
        <v>132</v>
      </c>
      <c r="C698" s="991"/>
      <c r="D698" s="991" t="s">
        <v>129</v>
      </c>
      <c r="E698" s="991" t="s">
        <v>130</v>
      </c>
      <c r="F698" s="794" t="s">
        <v>108</v>
      </c>
      <c r="G698" s="794" t="s">
        <v>108</v>
      </c>
      <c r="H698" s="794" t="s">
        <v>108</v>
      </c>
      <c r="I698" s="794" t="s">
        <v>108</v>
      </c>
      <c r="J698" s="794" t="s">
        <v>108</v>
      </c>
      <c r="K698" s="794" t="s">
        <v>108</v>
      </c>
      <c r="L698" s="794" t="s">
        <v>108</v>
      </c>
      <c r="M698" s="794" t="s">
        <v>108</v>
      </c>
      <c r="N698" s="794" t="s">
        <v>108</v>
      </c>
      <c r="O698" s="794" t="s">
        <v>108</v>
      </c>
      <c r="P698" s="794" t="s">
        <v>108</v>
      </c>
      <c r="Q698" s="794" t="s">
        <v>108</v>
      </c>
      <c r="R698" s="794" t="s">
        <v>108</v>
      </c>
      <c r="S698" s="794" t="s">
        <v>108</v>
      </c>
      <c r="T698" s="794" t="s">
        <v>108</v>
      </c>
      <c r="U698" s="794" t="s">
        <v>108</v>
      </c>
      <c r="V698" s="794" t="s">
        <v>108</v>
      </c>
      <c r="W698" s="794" t="s">
        <v>108</v>
      </c>
      <c r="X698" s="794" t="s">
        <v>108</v>
      </c>
      <c r="Y698" s="794" t="s">
        <v>108</v>
      </c>
      <c r="Z698" s="794" t="s">
        <v>108</v>
      </c>
      <c r="AA698" s="794" t="s">
        <v>108</v>
      </c>
      <c r="AB698" s="794" t="s">
        <v>108</v>
      </c>
      <c r="AC698" s="794" t="s">
        <v>108</v>
      </c>
      <c r="AD698" s="794" t="s">
        <v>108</v>
      </c>
      <c r="AE698" s="794" t="s">
        <v>108</v>
      </c>
      <c r="AF698" s="794" t="s">
        <v>108</v>
      </c>
      <c r="AG698" s="794" t="s">
        <v>108</v>
      </c>
      <c r="AH698" s="794" t="s">
        <v>108</v>
      </c>
      <c r="AI698" s="794" t="s">
        <v>108</v>
      </c>
      <c r="AJ698" s="794" t="s">
        <v>108</v>
      </c>
      <c r="AK698" s="794" t="s">
        <v>108</v>
      </c>
      <c r="AL698" s="794" t="s">
        <v>108</v>
      </c>
      <c r="AM698" s="315"/>
      <c r="AN698" s="315"/>
    </row>
    <row r="699" spans="1:40" ht="12.6">
      <c r="A699" s="990" t="s">
        <v>813</v>
      </c>
      <c r="B699" s="991" t="s">
        <v>134</v>
      </c>
      <c r="D699" s="315"/>
      <c r="E699" s="315"/>
      <c r="F699" s="332"/>
      <c r="G699" s="332"/>
      <c r="H699" s="332"/>
      <c r="I699" s="332"/>
      <c r="J699" s="332"/>
      <c r="K699" s="332"/>
      <c r="L699" s="332"/>
      <c r="M699" s="332"/>
      <c r="N699" s="332"/>
      <c r="O699" s="332"/>
      <c r="P699" s="332"/>
      <c r="Q699" s="332"/>
      <c r="R699" s="332"/>
      <c r="S699" s="332"/>
      <c r="T699" s="332"/>
      <c r="U699" s="332"/>
      <c r="V699" s="332"/>
      <c r="W699" s="332"/>
      <c r="X699" s="332"/>
      <c r="Y699" s="332"/>
      <c r="Z699" s="332"/>
      <c r="AA699" s="332"/>
      <c r="AB699" s="332"/>
      <c r="AC699" s="332"/>
      <c r="AD699" s="332"/>
      <c r="AE699" s="332"/>
      <c r="AF699" s="332"/>
      <c r="AG699" s="332"/>
      <c r="AH699" s="332"/>
      <c r="AI699" s="332"/>
      <c r="AJ699" s="332"/>
      <c r="AK699" s="332"/>
      <c r="AL699" s="332"/>
      <c r="AM699" s="315"/>
      <c r="AN699" s="315"/>
    </row>
    <row r="700" spans="1:40" s="797" customFormat="1" ht="12.95">
      <c r="A700" s="796" t="s">
        <v>814</v>
      </c>
      <c r="B700" s="796"/>
      <c r="C700" s="796"/>
      <c r="D700" s="796"/>
      <c r="E700" s="796"/>
      <c r="F700" s="795"/>
      <c r="G700" s="795"/>
      <c r="H700" s="795"/>
      <c r="I700" s="795"/>
      <c r="J700" s="795"/>
      <c r="K700" s="795"/>
      <c r="L700" s="795"/>
      <c r="M700" s="795"/>
      <c r="N700" s="795"/>
      <c r="O700" s="795"/>
      <c r="P700" s="795"/>
      <c r="Q700" s="795"/>
      <c r="R700" s="795"/>
      <c r="S700" s="795"/>
      <c r="T700" s="795"/>
      <c r="U700" s="795"/>
      <c r="V700" s="795"/>
      <c r="W700" s="795"/>
      <c r="X700" s="795"/>
      <c r="Y700" s="795"/>
      <c r="Z700" s="795"/>
      <c r="AA700" s="795"/>
      <c r="AB700" s="795"/>
      <c r="AC700" s="795"/>
      <c r="AD700" s="795"/>
      <c r="AE700" s="795"/>
      <c r="AF700" s="795"/>
      <c r="AG700" s="795"/>
      <c r="AH700" s="795"/>
      <c r="AI700" s="795"/>
      <c r="AJ700" s="795"/>
      <c r="AK700" s="795"/>
      <c r="AL700" s="795"/>
      <c r="AM700" s="796"/>
      <c r="AN700" s="796"/>
    </row>
    <row r="701" spans="1:40" s="797" customFormat="1" ht="12.95">
      <c r="A701" s="992" t="s">
        <v>815</v>
      </c>
      <c r="B701" s="796"/>
      <c r="C701" s="796"/>
      <c r="D701" s="796"/>
      <c r="E701" s="796"/>
      <c r="F701" s="795"/>
      <c r="G701" s="795"/>
      <c r="H701" s="795"/>
      <c r="I701" s="795"/>
      <c r="J701" s="795"/>
      <c r="K701" s="795"/>
      <c r="L701" s="795"/>
      <c r="M701" s="795"/>
      <c r="N701" s="795"/>
      <c r="O701" s="795"/>
      <c r="P701" s="795"/>
      <c r="Q701" s="795"/>
      <c r="R701" s="795"/>
      <c r="S701" s="795"/>
      <c r="T701" s="795"/>
      <c r="U701" s="795"/>
      <c r="V701" s="795"/>
      <c r="W701" s="795"/>
      <c r="X701" s="795"/>
      <c r="Y701" s="795"/>
      <c r="Z701" s="795"/>
      <c r="AA701" s="795"/>
      <c r="AB701" s="795"/>
      <c r="AC701" s="795"/>
      <c r="AD701" s="795"/>
      <c r="AE701" s="795"/>
      <c r="AF701" s="795"/>
      <c r="AG701" s="795"/>
      <c r="AH701" s="795"/>
      <c r="AI701" s="795"/>
      <c r="AJ701" s="795"/>
      <c r="AK701" s="795"/>
      <c r="AL701" s="795"/>
      <c r="AM701" s="796"/>
      <c r="AN701" s="796"/>
    </row>
    <row r="702" spans="1:40" s="797" customFormat="1" ht="12.95">
      <c r="A702" s="989" t="s">
        <v>816</v>
      </c>
      <c r="B702" s="796"/>
      <c r="C702" s="796"/>
      <c r="D702" s="796"/>
      <c r="E702" s="796"/>
      <c r="F702" s="795"/>
      <c r="G702" s="795"/>
      <c r="H702" s="795"/>
      <c r="I702" s="795"/>
      <c r="J702" s="795"/>
      <c r="K702" s="795"/>
      <c r="L702" s="795"/>
      <c r="M702" s="795"/>
      <c r="N702" s="795"/>
      <c r="O702" s="795"/>
      <c r="P702" s="795"/>
      <c r="Q702" s="795"/>
      <c r="R702" s="795"/>
      <c r="S702" s="795"/>
      <c r="T702" s="795"/>
      <c r="U702" s="795"/>
      <c r="V702" s="795"/>
      <c r="W702" s="795"/>
      <c r="X702" s="795"/>
      <c r="Y702" s="795"/>
      <c r="Z702" s="795"/>
      <c r="AA702" s="795"/>
      <c r="AB702" s="795"/>
      <c r="AC702" s="795"/>
      <c r="AD702" s="795"/>
      <c r="AE702" s="795"/>
      <c r="AF702" s="795"/>
      <c r="AG702" s="795"/>
      <c r="AH702" s="795"/>
      <c r="AI702" s="795"/>
      <c r="AJ702" s="795"/>
      <c r="AK702" s="795"/>
      <c r="AL702" s="795"/>
      <c r="AM702" s="796"/>
      <c r="AN702" s="796"/>
    </row>
    <row r="703" spans="1:40" ht="12.6">
      <c r="A703" s="990" t="s">
        <v>817</v>
      </c>
      <c r="B703" s="991" t="s">
        <v>128</v>
      </c>
      <c r="C703" s="991"/>
      <c r="D703" s="991" t="s">
        <v>129</v>
      </c>
      <c r="E703" s="991" t="s">
        <v>130</v>
      </c>
      <c r="F703" s="808" t="s">
        <v>99</v>
      </c>
      <c r="G703" s="808" t="s">
        <v>99</v>
      </c>
      <c r="H703" s="808" t="s">
        <v>99</v>
      </c>
      <c r="I703" s="808" t="s">
        <v>99</v>
      </c>
      <c r="J703" s="808" t="s">
        <v>99</v>
      </c>
      <c r="K703" s="808" t="s">
        <v>99</v>
      </c>
      <c r="L703" s="808" t="s">
        <v>99</v>
      </c>
      <c r="M703" s="808" t="s">
        <v>99</v>
      </c>
      <c r="N703" s="808" t="s">
        <v>99</v>
      </c>
      <c r="O703" s="808" t="s">
        <v>99</v>
      </c>
      <c r="P703" s="808" t="s">
        <v>99</v>
      </c>
      <c r="Q703" s="808" t="s">
        <v>99</v>
      </c>
      <c r="R703" s="808" t="s">
        <v>99</v>
      </c>
      <c r="S703" s="808" t="s">
        <v>99</v>
      </c>
      <c r="T703" s="808" t="s">
        <v>99</v>
      </c>
      <c r="U703" s="808" t="s">
        <v>99</v>
      </c>
      <c r="V703" s="808" t="s">
        <v>99</v>
      </c>
      <c r="W703" s="808" t="s">
        <v>99</v>
      </c>
      <c r="X703" s="808" t="s">
        <v>99</v>
      </c>
      <c r="Y703" s="808" t="s">
        <v>99</v>
      </c>
      <c r="Z703" s="808" t="s">
        <v>99</v>
      </c>
      <c r="AA703" s="808" t="s">
        <v>99</v>
      </c>
      <c r="AB703" s="808" t="s">
        <v>99</v>
      </c>
      <c r="AC703" s="808" t="s">
        <v>99</v>
      </c>
      <c r="AD703" s="808" t="s">
        <v>99</v>
      </c>
      <c r="AE703" s="808" t="s">
        <v>99</v>
      </c>
      <c r="AF703" s="808" t="s">
        <v>99</v>
      </c>
      <c r="AG703" s="808" t="s">
        <v>99</v>
      </c>
      <c r="AH703" s="808" t="s">
        <v>99</v>
      </c>
      <c r="AI703" s="808" t="s">
        <v>99</v>
      </c>
      <c r="AJ703" s="808" t="s">
        <v>99</v>
      </c>
      <c r="AK703" s="808" t="s">
        <v>99</v>
      </c>
      <c r="AL703" s="808" t="s">
        <v>99</v>
      </c>
      <c r="AM703" s="344" t="s">
        <v>818</v>
      </c>
      <c r="AN703" s="807"/>
    </row>
    <row r="704" spans="1:40" ht="12.6">
      <c r="A704" s="990" t="s">
        <v>819</v>
      </c>
      <c r="B704" s="991" t="s">
        <v>820</v>
      </c>
      <c r="C704" s="991"/>
      <c r="D704" s="991" t="s">
        <v>109</v>
      </c>
      <c r="E704" s="991" t="s">
        <v>130</v>
      </c>
      <c r="F704" s="808" t="s">
        <v>99</v>
      </c>
      <c r="G704" s="808" t="s">
        <v>99</v>
      </c>
      <c r="H704" s="808" t="s">
        <v>99</v>
      </c>
      <c r="I704" s="808" t="s">
        <v>99</v>
      </c>
      <c r="J704" s="808" t="s">
        <v>99</v>
      </c>
      <c r="K704" s="808" t="s">
        <v>99</v>
      </c>
      <c r="L704" s="808" t="s">
        <v>99</v>
      </c>
      <c r="M704" s="808" t="s">
        <v>99</v>
      </c>
      <c r="N704" s="808" t="s">
        <v>99</v>
      </c>
      <c r="O704" s="808" t="s">
        <v>99</v>
      </c>
      <c r="P704" s="808" t="s">
        <v>99</v>
      </c>
      <c r="Q704" s="808" t="s">
        <v>99</v>
      </c>
      <c r="R704" s="808" t="s">
        <v>99</v>
      </c>
      <c r="S704" s="808" t="s">
        <v>99</v>
      </c>
      <c r="T704" s="808" t="s">
        <v>99</v>
      </c>
      <c r="U704" s="808" t="s">
        <v>99</v>
      </c>
      <c r="V704" s="808" t="s">
        <v>99</v>
      </c>
      <c r="W704" s="808" t="s">
        <v>99</v>
      </c>
      <c r="X704" s="808" t="s">
        <v>99</v>
      </c>
      <c r="Y704" s="808" t="s">
        <v>99</v>
      </c>
      <c r="Z704" s="808" t="s">
        <v>99</v>
      </c>
      <c r="AA704" s="808" t="s">
        <v>99</v>
      </c>
      <c r="AB704" s="808" t="s">
        <v>99</v>
      </c>
      <c r="AC704" s="808" t="s">
        <v>99</v>
      </c>
      <c r="AD704" s="808" t="s">
        <v>99</v>
      </c>
      <c r="AE704" s="808" t="s">
        <v>99</v>
      </c>
      <c r="AF704" s="808" t="s">
        <v>99</v>
      </c>
      <c r="AG704" s="808" t="s">
        <v>99</v>
      </c>
      <c r="AH704" s="808" t="s">
        <v>99</v>
      </c>
      <c r="AI704" s="808" t="s">
        <v>99</v>
      </c>
      <c r="AJ704" s="808" t="s">
        <v>99</v>
      </c>
      <c r="AK704" s="808" t="s">
        <v>99</v>
      </c>
      <c r="AL704" s="808" t="s">
        <v>99</v>
      </c>
      <c r="AM704" s="344" t="s">
        <v>821</v>
      </c>
      <c r="AN704" s="807"/>
    </row>
    <row r="705" spans="1:40" ht="12.6">
      <c r="A705" s="990" t="s">
        <v>822</v>
      </c>
      <c r="B705" s="991" t="s">
        <v>823</v>
      </c>
      <c r="C705" s="991"/>
      <c r="D705" s="315"/>
      <c r="E705" s="991" t="s">
        <v>122</v>
      </c>
      <c r="F705" s="808" t="s">
        <v>99</v>
      </c>
      <c r="G705" s="808" t="s">
        <v>99</v>
      </c>
      <c r="H705" s="808" t="s">
        <v>99</v>
      </c>
      <c r="I705" s="808" t="s">
        <v>99</v>
      </c>
      <c r="J705" s="808" t="s">
        <v>99</v>
      </c>
      <c r="K705" s="808" t="s">
        <v>99</v>
      </c>
      <c r="L705" s="808" t="s">
        <v>99</v>
      </c>
      <c r="M705" s="808" t="s">
        <v>99</v>
      </c>
      <c r="N705" s="808" t="s">
        <v>99</v>
      </c>
      <c r="O705" s="808" t="s">
        <v>99</v>
      </c>
      <c r="P705" s="808" t="s">
        <v>99</v>
      </c>
      <c r="Q705" s="808" t="s">
        <v>99</v>
      </c>
      <c r="R705" s="808" t="s">
        <v>99</v>
      </c>
      <c r="S705" s="808" t="s">
        <v>99</v>
      </c>
      <c r="T705" s="808" t="s">
        <v>99</v>
      </c>
      <c r="U705" s="808" t="s">
        <v>99</v>
      </c>
      <c r="V705" s="808" t="s">
        <v>99</v>
      </c>
      <c r="W705" s="808" t="s">
        <v>99</v>
      </c>
      <c r="X705" s="808" t="s">
        <v>99</v>
      </c>
      <c r="Y705" s="808" t="s">
        <v>99</v>
      </c>
      <c r="Z705" s="808" t="s">
        <v>99</v>
      </c>
      <c r="AA705" s="808" t="s">
        <v>99</v>
      </c>
      <c r="AB705" s="808" t="s">
        <v>99</v>
      </c>
      <c r="AC705" s="808" t="s">
        <v>99</v>
      </c>
      <c r="AD705" s="808" t="s">
        <v>99</v>
      </c>
      <c r="AE705" s="808" t="s">
        <v>99</v>
      </c>
      <c r="AF705" s="808" t="s">
        <v>99</v>
      </c>
      <c r="AG705" s="808" t="s">
        <v>99</v>
      </c>
      <c r="AH705" s="808" t="s">
        <v>99</v>
      </c>
      <c r="AI705" s="808" t="s">
        <v>99</v>
      </c>
      <c r="AJ705" s="808" t="s">
        <v>99</v>
      </c>
      <c r="AK705" s="808" t="s">
        <v>99</v>
      </c>
      <c r="AL705" s="808" t="s">
        <v>99</v>
      </c>
      <c r="AM705" s="344" t="s">
        <v>821</v>
      </c>
      <c r="AN705" s="807"/>
    </row>
    <row r="706" spans="1:40" ht="12.6">
      <c r="A706" s="990" t="s">
        <v>824</v>
      </c>
      <c r="B706" s="991" t="s">
        <v>825</v>
      </c>
      <c r="C706" s="991"/>
      <c r="D706" s="315"/>
      <c r="E706" s="315"/>
      <c r="F706" s="809" t="s">
        <v>826</v>
      </c>
      <c r="G706" s="809" t="s">
        <v>826</v>
      </c>
      <c r="H706" s="809" t="s">
        <v>826</v>
      </c>
      <c r="I706" s="809" t="s">
        <v>826</v>
      </c>
      <c r="J706" s="809" t="s">
        <v>826</v>
      </c>
      <c r="K706" s="809" t="s">
        <v>826</v>
      </c>
      <c r="L706" s="809" t="s">
        <v>826</v>
      </c>
      <c r="M706" s="809" t="s">
        <v>826</v>
      </c>
      <c r="N706" s="809" t="s">
        <v>826</v>
      </c>
      <c r="O706" s="809" t="s">
        <v>826</v>
      </c>
      <c r="P706" s="809" t="s">
        <v>826</v>
      </c>
      <c r="Q706" s="809" t="s">
        <v>826</v>
      </c>
      <c r="R706" s="809" t="s">
        <v>826</v>
      </c>
      <c r="S706" s="809" t="s">
        <v>826</v>
      </c>
      <c r="T706" s="809" t="s">
        <v>826</v>
      </c>
      <c r="U706" s="809" t="s">
        <v>826</v>
      </c>
      <c r="V706" s="809" t="s">
        <v>826</v>
      </c>
      <c r="W706" s="809" t="s">
        <v>826</v>
      </c>
      <c r="X706" s="809" t="s">
        <v>826</v>
      </c>
      <c r="Y706" s="809" t="s">
        <v>826</v>
      </c>
      <c r="Z706" s="809" t="s">
        <v>826</v>
      </c>
      <c r="AA706" s="809" t="s">
        <v>826</v>
      </c>
      <c r="AB706" s="809" t="s">
        <v>826</v>
      </c>
      <c r="AC706" s="809" t="s">
        <v>826</v>
      </c>
      <c r="AD706" s="809" t="s">
        <v>826</v>
      </c>
      <c r="AE706" s="809" t="s">
        <v>826</v>
      </c>
      <c r="AF706" s="809" t="s">
        <v>826</v>
      </c>
      <c r="AG706" s="809" t="s">
        <v>826</v>
      </c>
      <c r="AH706" s="809" t="s">
        <v>826</v>
      </c>
      <c r="AI706" s="809" t="s">
        <v>826</v>
      </c>
      <c r="AJ706" s="809" t="s">
        <v>826</v>
      </c>
      <c r="AK706" s="809" t="s">
        <v>826</v>
      </c>
      <c r="AL706" s="809" t="s">
        <v>826</v>
      </c>
      <c r="AM706" s="315"/>
      <c r="AN706" s="315"/>
    </row>
    <row r="707" spans="1:40" ht="12.6">
      <c r="A707" s="990" t="s">
        <v>827</v>
      </c>
      <c r="B707" s="991" t="s">
        <v>134</v>
      </c>
      <c r="D707" s="315"/>
      <c r="E707" s="315"/>
      <c r="F707" s="809" t="s">
        <v>828</v>
      </c>
      <c r="G707" s="809" t="s">
        <v>828</v>
      </c>
      <c r="H707" s="809" t="s">
        <v>828</v>
      </c>
      <c r="I707" s="809" t="s">
        <v>828</v>
      </c>
      <c r="J707" s="809" t="s">
        <v>828</v>
      </c>
      <c r="K707" s="809" t="s">
        <v>828</v>
      </c>
      <c r="L707" s="809" t="s">
        <v>828</v>
      </c>
      <c r="M707" s="809" t="s">
        <v>828</v>
      </c>
      <c r="N707" s="809" t="s">
        <v>828</v>
      </c>
      <c r="O707" s="809" t="s">
        <v>828</v>
      </c>
      <c r="P707" s="809" t="s">
        <v>828</v>
      </c>
      <c r="Q707" s="809" t="s">
        <v>828</v>
      </c>
      <c r="R707" s="809" t="s">
        <v>828</v>
      </c>
      <c r="S707" s="809" t="s">
        <v>828</v>
      </c>
      <c r="T707" s="809" t="s">
        <v>828</v>
      </c>
      <c r="U707" s="809" t="s">
        <v>828</v>
      </c>
      <c r="V707" s="809" t="s">
        <v>828</v>
      </c>
      <c r="W707" s="809" t="s">
        <v>828</v>
      </c>
      <c r="X707" s="809" t="s">
        <v>828</v>
      </c>
      <c r="Y707" s="809" t="s">
        <v>828</v>
      </c>
      <c r="Z707" s="809" t="s">
        <v>828</v>
      </c>
      <c r="AA707" s="809" t="s">
        <v>828</v>
      </c>
      <c r="AB707" s="809" t="s">
        <v>828</v>
      </c>
      <c r="AC707" s="809" t="s">
        <v>828</v>
      </c>
      <c r="AD707" s="809" t="s">
        <v>828</v>
      </c>
      <c r="AE707" s="809" t="s">
        <v>828</v>
      </c>
      <c r="AF707" s="809" t="s">
        <v>828</v>
      </c>
      <c r="AG707" s="809" t="s">
        <v>828</v>
      </c>
      <c r="AH707" s="809" t="s">
        <v>828</v>
      </c>
      <c r="AI707" s="809" t="s">
        <v>828</v>
      </c>
      <c r="AJ707" s="809" t="s">
        <v>828</v>
      </c>
      <c r="AK707" s="809" t="s">
        <v>828</v>
      </c>
      <c r="AL707" s="809" t="s">
        <v>828</v>
      </c>
      <c r="AM707" s="315"/>
      <c r="AN707" s="315"/>
    </row>
    <row r="708" spans="1:40" s="797" customFormat="1" ht="12.95">
      <c r="A708" s="989" t="s">
        <v>829</v>
      </c>
      <c r="B708" s="796"/>
      <c r="C708" s="796"/>
      <c r="D708" s="796"/>
      <c r="E708" s="796"/>
      <c r="F708" s="795"/>
      <c r="G708" s="795"/>
      <c r="H708" s="795"/>
      <c r="I708" s="795"/>
      <c r="J708" s="795"/>
      <c r="K708" s="795"/>
      <c r="L708" s="795"/>
      <c r="M708" s="795"/>
      <c r="N708" s="795"/>
      <c r="O708" s="795"/>
      <c r="P708" s="795"/>
      <c r="Q708" s="795"/>
      <c r="R708" s="795"/>
      <c r="S708" s="795"/>
      <c r="T708" s="795"/>
      <c r="U708" s="795"/>
      <c r="V708" s="795"/>
      <c r="W708" s="795"/>
      <c r="X708" s="795"/>
      <c r="Y708" s="795"/>
      <c r="Z708" s="795"/>
      <c r="AA708" s="795"/>
      <c r="AB708" s="795"/>
      <c r="AC708" s="795"/>
      <c r="AD708" s="795"/>
      <c r="AE708" s="795"/>
      <c r="AF708" s="795"/>
      <c r="AG708" s="795"/>
      <c r="AH708" s="795"/>
      <c r="AI708" s="795"/>
      <c r="AJ708" s="795"/>
      <c r="AK708" s="795"/>
      <c r="AL708" s="795"/>
      <c r="AM708" s="796"/>
      <c r="AN708" s="796"/>
    </row>
    <row r="709" spans="1:40" ht="12.6">
      <c r="A709" s="990" t="s">
        <v>830</v>
      </c>
      <c r="B709" s="991" t="s">
        <v>128</v>
      </c>
      <c r="C709" s="991"/>
      <c r="D709" s="991" t="s">
        <v>129</v>
      </c>
      <c r="E709" s="991" t="s">
        <v>130</v>
      </c>
      <c r="F709" s="808" t="s">
        <v>108</v>
      </c>
      <c r="G709" s="808" t="s">
        <v>108</v>
      </c>
      <c r="H709" s="808" t="s">
        <v>108</v>
      </c>
      <c r="I709" s="808" t="s">
        <v>108</v>
      </c>
      <c r="J709" s="808" t="s">
        <v>108</v>
      </c>
      <c r="K709" s="808" t="s">
        <v>108</v>
      </c>
      <c r="L709" s="808" t="s">
        <v>108</v>
      </c>
      <c r="M709" s="808" t="s">
        <v>108</v>
      </c>
      <c r="N709" s="808" t="s">
        <v>108</v>
      </c>
      <c r="O709" s="808" t="s">
        <v>108</v>
      </c>
      <c r="P709" s="808" t="s">
        <v>108</v>
      </c>
      <c r="Q709" s="808" t="s">
        <v>108</v>
      </c>
      <c r="R709" s="808" t="s">
        <v>108</v>
      </c>
      <c r="S709" s="808" t="s">
        <v>108</v>
      </c>
      <c r="T709" s="808" t="s">
        <v>108</v>
      </c>
      <c r="U709" s="808" t="s">
        <v>108</v>
      </c>
      <c r="V709" s="808" t="s">
        <v>108</v>
      </c>
      <c r="W709" s="808" t="s">
        <v>108</v>
      </c>
      <c r="X709" s="808" t="s">
        <v>108</v>
      </c>
      <c r="Y709" s="808" t="s">
        <v>108</v>
      </c>
      <c r="Z709" s="808" t="s">
        <v>108</v>
      </c>
      <c r="AA709" s="808" t="s">
        <v>108</v>
      </c>
      <c r="AB709" s="808" t="s">
        <v>108</v>
      </c>
      <c r="AC709" s="808" t="s">
        <v>108</v>
      </c>
      <c r="AD709" s="808" t="s">
        <v>108</v>
      </c>
      <c r="AE709" s="808" t="s">
        <v>108</v>
      </c>
      <c r="AF709" s="808" t="s">
        <v>108</v>
      </c>
      <c r="AG709" s="808" t="s">
        <v>108</v>
      </c>
      <c r="AH709" s="808" t="s">
        <v>108</v>
      </c>
      <c r="AI709" s="808" t="s">
        <v>108</v>
      </c>
      <c r="AJ709" s="808" t="s">
        <v>108</v>
      </c>
      <c r="AK709" s="808" t="s">
        <v>108</v>
      </c>
      <c r="AL709" s="808" t="s">
        <v>108</v>
      </c>
      <c r="AM709" s="315"/>
      <c r="AN709" s="315"/>
    </row>
    <row r="710" spans="1:40" ht="12.6">
      <c r="A710" s="990" t="s">
        <v>831</v>
      </c>
      <c r="B710" s="991" t="s">
        <v>820</v>
      </c>
      <c r="C710" s="991"/>
      <c r="D710" s="991" t="s">
        <v>109</v>
      </c>
      <c r="E710" s="991" t="s">
        <v>130</v>
      </c>
      <c r="F710" s="808" t="s">
        <v>108</v>
      </c>
      <c r="G710" s="808" t="s">
        <v>108</v>
      </c>
      <c r="H710" s="808" t="s">
        <v>108</v>
      </c>
      <c r="I710" s="808" t="s">
        <v>108</v>
      </c>
      <c r="J710" s="808" t="s">
        <v>108</v>
      </c>
      <c r="K710" s="808" t="s">
        <v>108</v>
      </c>
      <c r="L710" s="808" t="s">
        <v>108</v>
      </c>
      <c r="M710" s="808" t="s">
        <v>108</v>
      </c>
      <c r="N710" s="808" t="s">
        <v>108</v>
      </c>
      <c r="O710" s="808" t="s">
        <v>108</v>
      </c>
      <c r="P710" s="808" t="s">
        <v>108</v>
      </c>
      <c r="Q710" s="808" t="s">
        <v>108</v>
      </c>
      <c r="R710" s="808" t="s">
        <v>108</v>
      </c>
      <c r="S710" s="808" t="s">
        <v>108</v>
      </c>
      <c r="T710" s="808" t="s">
        <v>108</v>
      </c>
      <c r="U710" s="808" t="s">
        <v>108</v>
      </c>
      <c r="V710" s="808" t="s">
        <v>108</v>
      </c>
      <c r="W710" s="808" t="s">
        <v>108</v>
      </c>
      <c r="X710" s="808" t="s">
        <v>108</v>
      </c>
      <c r="Y710" s="808" t="s">
        <v>108</v>
      </c>
      <c r="Z710" s="808" t="s">
        <v>108</v>
      </c>
      <c r="AA710" s="808" t="s">
        <v>108</v>
      </c>
      <c r="AB710" s="808" t="s">
        <v>108</v>
      </c>
      <c r="AC710" s="808" t="s">
        <v>108</v>
      </c>
      <c r="AD710" s="808" t="s">
        <v>108</v>
      </c>
      <c r="AE710" s="808" t="s">
        <v>108</v>
      </c>
      <c r="AF710" s="808" t="s">
        <v>108</v>
      </c>
      <c r="AG710" s="808" t="s">
        <v>108</v>
      </c>
      <c r="AH710" s="808" t="s">
        <v>108</v>
      </c>
      <c r="AI710" s="808" t="s">
        <v>108</v>
      </c>
      <c r="AJ710" s="808" t="s">
        <v>108</v>
      </c>
      <c r="AK710" s="808" t="s">
        <v>108</v>
      </c>
      <c r="AL710" s="808" t="s">
        <v>108</v>
      </c>
      <c r="AM710" s="315"/>
      <c r="AN710" s="315"/>
    </row>
    <row r="711" spans="1:40" ht="12.6">
      <c r="A711" s="990" t="s">
        <v>832</v>
      </c>
      <c r="B711" s="991" t="s">
        <v>823</v>
      </c>
      <c r="C711" s="991"/>
      <c r="D711" s="315"/>
      <c r="E711" s="991" t="s">
        <v>122</v>
      </c>
      <c r="F711" s="808" t="s">
        <v>108</v>
      </c>
      <c r="G711" s="808" t="s">
        <v>108</v>
      </c>
      <c r="H711" s="808" t="s">
        <v>108</v>
      </c>
      <c r="I711" s="808" t="s">
        <v>108</v>
      </c>
      <c r="J711" s="808" t="s">
        <v>108</v>
      </c>
      <c r="K711" s="808" t="s">
        <v>108</v>
      </c>
      <c r="L711" s="808" t="s">
        <v>108</v>
      </c>
      <c r="M711" s="808" t="s">
        <v>108</v>
      </c>
      <c r="N711" s="808" t="s">
        <v>108</v>
      </c>
      <c r="O711" s="808" t="s">
        <v>108</v>
      </c>
      <c r="P711" s="808" t="s">
        <v>108</v>
      </c>
      <c r="Q711" s="808" t="s">
        <v>108</v>
      </c>
      <c r="R711" s="808" t="s">
        <v>108</v>
      </c>
      <c r="S711" s="808" t="s">
        <v>108</v>
      </c>
      <c r="T711" s="808" t="s">
        <v>108</v>
      </c>
      <c r="U711" s="808" t="s">
        <v>108</v>
      </c>
      <c r="V711" s="808" t="s">
        <v>108</v>
      </c>
      <c r="W711" s="808" t="s">
        <v>108</v>
      </c>
      <c r="X711" s="808" t="s">
        <v>108</v>
      </c>
      <c r="Y711" s="808" t="s">
        <v>108</v>
      </c>
      <c r="Z711" s="808" t="s">
        <v>108</v>
      </c>
      <c r="AA711" s="808" t="s">
        <v>108</v>
      </c>
      <c r="AB711" s="808" t="s">
        <v>108</v>
      </c>
      <c r="AC711" s="808" t="s">
        <v>108</v>
      </c>
      <c r="AD711" s="808" t="s">
        <v>108</v>
      </c>
      <c r="AE711" s="808" t="s">
        <v>108</v>
      </c>
      <c r="AF711" s="808" t="s">
        <v>108</v>
      </c>
      <c r="AG711" s="808" t="s">
        <v>108</v>
      </c>
      <c r="AH711" s="808" t="s">
        <v>108</v>
      </c>
      <c r="AI711" s="808" t="s">
        <v>108</v>
      </c>
      <c r="AJ711" s="808" t="s">
        <v>108</v>
      </c>
      <c r="AK711" s="808" t="s">
        <v>108</v>
      </c>
      <c r="AL711" s="808" t="s">
        <v>108</v>
      </c>
      <c r="AM711" s="315"/>
      <c r="AN711" s="315"/>
    </row>
    <row r="712" spans="1:40" ht="12.6">
      <c r="A712" s="990" t="s">
        <v>833</v>
      </c>
      <c r="B712" s="991" t="s">
        <v>825</v>
      </c>
      <c r="C712" s="991"/>
      <c r="D712" s="315"/>
      <c r="E712" s="315"/>
      <c r="F712" s="809" t="s">
        <v>826</v>
      </c>
      <c r="G712" s="809" t="s">
        <v>826</v>
      </c>
      <c r="H712" s="809" t="s">
        <v>826</v>
      </c>
      <c r="I712" s="809" t="s">
        <v>826</v>
      </c>
      <c r="J712" s="809" t="s">
        <v>826</v>
      </c>
      <c r="K712" s="809" t="s">
        <v>826</v>
      </c>
      <c r="L712" s="809" t="s">
        <v>826</v>
      </c>
      <c r="M712" s="809" t="s">
        <v>826</v>
      </c>
      <c r="N712" s="809" t="s">
        <v>826</v>
      </c>
      <c r="O712" s="809" t="s">
        <v>826</v>
      </c>
      <c r="P712" s="809" t="s">
        <v>826</v>
      </c>
      <c r="Q712" s="809" t="s">
        <v>826</v>
      </c>
      <c r="R712" s="809" t="s">
        <v>826</v>
      </c>
      <c r="S712" s="809" t="s">
        <v>826</v>
      </c>
      <c r="T712" s="809" t="s">
        <v>826</v>
      </c>
      <c r="U712" s="809" t="s">
        <v>826</v>
      </c>
      <c r="V712" s="809" t="s">
        <v>826</v>
      </c>
      <c r="W712" s="809" t="s">
        <v>826</v>
      </c>
      <c r="X712" s="809" t="s">
        <v>826</v>
      </c>
      <c r="Y712" s="809" t="s">
        <v>826</v>
      </c>
      <c r="Z712" s="809" t="s">
        <v>826</v>
      </c>
      <c r="AA712" s="809" t="s">
        <v>826</v>
      </c>
      <c r="AB712" s="809" t="s">
        <v>826</v>
      </c>
      <c r="AC712" s="809" t="s">
        <v>826</v>
      </c>
      <c r="AD712" s="809" t="s">
        <v>826</v>
      </c>
      <c r="AE712" s="809" t="s">
        <v>826</v>
      </c>
      <c r="AF712" s="809" t="s">
        <v>826</v>
      </c>
      <c r="AG712" s="809" t="s">
        <v>826</v>
      </c>
      <c r="AH712" s="809" t="s">
        <v>826</v>
      </c>
      <c r="AI712" s="809" t="s">
        <v>826</v>
      </c>
      <c r="AJ712" s="809" t="s">
        <v>826</v>
      </c>
      <c r="AK712" s="809" t="s">
        <v>826</v>
      </c>
      <c r="AL712" s="809" t="s">
        <v>826</v>
      </c>
      <c r="AM712" s="315"/>
      <c r="AN712" s="315"/>
    </row>
    <row r="713" spans="1:40" ht="12.6">
      <c r="A713" s="990" t="s">
        <v>834</v>
      </c>
      <c r="B713" s="991" t="s">
        <v>134</v>
      </c>
      <c r="D713" s="315"/>
      <c r="E713" s="315"/>
      <c r="F713" s="809" t="s">
        <v>828</v>
      </c>
      <c r="G713" s="809" t="s">
        <v>828</v>
      </c>
      <c r="H713" s="809" t="s">
        <v>828</v>
      </c>
      <c r="I713" s="809" t="s">
        <v>828</v>
      </c>
      <c r="J713" s="809" t="s">
        <v>828</v>
      </c>
      <c r="K713" s="809" t="s">
        <v>828</v>
      </c>
      <c r="L713" s="809" t="s">
        <v>828</v>
      </c>
      <c r="M713" s="809" t="s">
        <v>828</v>
      </c>
      <c r="N713" s="809" t="s">
        <v>828</v>
      </c>
      <c r="O713" s="809" t="s">
        <v>828</v>
      </c>
      <c r="P713" s="809" t="s">
        <v>828</v>
      </c>
      <c r="Q713" s="809" t="s">
        <v>828</v>
      </c>
      <c r="R713" s="809" t="s">
        <v>828</v>
      </c>
      <c r="S713" s="809" t="s">
        <v>828</v>
      </c>
      <c r="T713" s="809" t="s">
        <v>828</v>
      </c>
      <c r="U713" s="809" t="s">
        <v>828</v>
      </c>
      <c r="V713" s="809" t="s">
        <v>828</v>
      </c>
      <c r="W713" s="809" t="s">
        <v>828</v>
      </c>
      <c r="X713" s="809" t="s">
        <v>828</v>
      </c>
      <c r="Y713" s="809" t="s">
        <v>828</v>
      </c>
      <c r="Z713" s="809" t="s">
        <v>828</v>
      </c>
      <c r="AA713" s="809" t="s">
        <v>828</v>
      </c>
      <c r="AB713" s="809" t="s">
        <v>828</v>
      </c>
      <c r="AC713" s="809" t="s">
        <v>828</v>
      </c>
      <c r="AD713" s="809" t="s">
        <v>828</v>
      </c>
      <c r="AE713" s="809" t="s">
        <v>828</v>
      </c>
      <c r="AF713" s="809" t="s">
        <v>828</v>
      </c>
      <c r="AG713" s="809" t="s">
        <v>828</v>
      </c>
      <c r="AH713" s="809" t="s">
        <v>828</v>
      </c>
      <c r="AI713" s="809" t="s">
        <v>828</v>
      </c>
      <c r="AJ713" s="809" t="s">
        <v>828</v>
      </c>
      <c r="AK713" s="809" t="s">
        <v>828</v>
      </c>
      <c r="AL713" s="809" t="s">
        <v>828</v>
      </c>
      <c r="AM713" s="315"/>
      <c r="AN713" s="315"/>
    </row>
    <row r="714" spans="1:40" s="797" customFormat="1" ht="12.95">
      <c r="A714" s="989" t="s">
        <v>835</v>
      </c>
      <c r="B714" s="796"/>
      <c r="C714" s="796"/>
      <c r="D714" s="796"/>
      <c r="E714" s="796"/>
      <c r="F714" s="795"/>
      <c r="G714" s="795"/>
      <c r="H714" s="795"/>
      <c r="I714" s="795"/>
      <c r="J714" s="795"/>
      <c r="K714" s="795"/>
      <c r="L714" s="795"/>
      <c r="M714" s="795"/>
      <c r="N714" s="795"/>
      <c r="O714" s="795"/>
      <c r="P714" s="795"/>
      <c r="Q714" s="795"/>
      <c r="R714" s="795"/>
      <c r="S714" s="795"/>
      <c r="T714" s="795"/>
      <c r="U714" s="795"/>
      <c r="V714" s="795"/>
      <c r="W714" s="795"/>
      <c r="X714" s="795"/>
      <c r="Y714" s="795"/>
      <c r="Z714" s="795"/>
      <c r="AA714" s="795"/>
      <c r="AB714" s="795"/>
      <c r="AC714" s="795"/>
      <c r="AD714" s="795"/>
      <c r="AE714" s="795"/>
      <c r="AF714" s="795"/>
      <c r="AG714" s="795"/>
      <c r="AH714" s="795"/>
      <c r="AI714" s="795"/>
      <c r="AJ714" s="795"/>
      <c r="AK714" s="795"/>
      <c r="AL714" s="795"/>
      <c r="AM714" s="796"/>
      <c r="AN714" s="796"/>
    </row>
    <row r="715" spans="1:40" ht="12.6">
      <c r="A715" s="990" t="s">
        <v>836</v>
      </c>
      <c r="B715" s="991" t="s">
        <v>128</v>
      </c>
      <c r="C715" s="991"/>
      <c r="D715" s="991" t="s">
        <v>129</v>
      </c>
      <c r="E715" s="991" t="s">
        <v>130</v>
      </c>
      <c r="F715" s="808" t="s">
        <v>99</v>
      </c>
      <c r="G715" s="808" t="s">
        <v>99</v>
      </c>
      <c r="H715" s="808" t="s">
        <v>99</v>
      </c>
      <c r="I715" s="808" t="s">
        <v>99</v>
      </c>
      <c r="J715" s="808" t="s">
        <v>99</v>
      </c>
      <c r="K715" s="808" t="s">
        <v>99</v>
      </c>
      <c r="L715" s="808" t="s">
        <v>99</v>
      </c>
      <c r="M715" s="808" t="s">
        <v>99</v>
      </c>
      <c r="N715" s="808" t="s">
        <v>99</v>
      </c>
      <c r="O715" s="808" t="s">
        <v>99</v>
      </c>
      <c r="P715" s="808" t="s">
        <v>99</v>
      </c>
      <c r="Q715" s="808" t="s">
        <v>99</v>
      </c>
      <c r="R715" s="808" t="s">
        <v>99</v>
      </c>
      <c r="S715" s="808" t="s">
        <v>99</v>
      </c>
      <c r="T715" s="808" t="s">
        <v>99</v>
      </c>
      <c r="U715" s="808" t="s">
        <v>99</v>
      </c>
      <c r="V715" s="808" t="s">
        <v>99</v>
      </c>
      <c r="W715" s="808" t="s">
        <v>99</v>
      </c>
      <c r="X715" s="808" t="s">
        <v>99</v>
      </c>
      <c r="Y715" s="808" t="s">
        <v>99</v>
      </c>
      <c r="Z715" s="808" t="s">
        <v>99</v>
      </c>
      <c r="AA715" s="808" t="s">
        <v>99</v>
      </c>
      <c r="AB715" s="808" t="s">
        <v>99</v>
      </c>
      <c r="AC715" s="808" t="s">
        <v>99</v>
      </c>
      <c r="AD715" s="808" t="s">
        <v>99</v>
      </c>
      <c r="AE715" s="808" t="s">
        <v>99</v>
      </c>
      <c r="AF715" s="808" t="s">
        <v>99</v>
      </c>
      <c r="AG715" s="808" t="s">
        <v>99</v>
      </c>
      <c r="AH715" s="808" t="s">
        <v>99</v>
      </c>
      <c r="AI715" s="808" t="s">
        <v>99</v>
      </c>
      <c r="AJ715" s="808" t="s">
        <v>99</v>
      </c>
      <c r="AK715" s="808" t="s">
        <v>99</v>
      </c>
      <c r="AL715" s="808" t="s">
        <v>99</v>
      </c>
      <c r="AM715" s="344" t="s">
        <v>818</v>
      </c>
      <c r="AN715" s="807"/>
    </row>
    <row r="716" spans="1:40" ht="12.6">
      <c r="A716" s="990" t="s">
        <v>837</v>
      </c>
      <c r="B716" s="991" t="s">
        <v>820</v>
      </c>
      <c r="C716" s="991"/>
      <c r="D716" s="991" t="s">
        <v>109</v>
      </c>
      <c r="E716" s="991" t="s">
        <v>130</v>
      </c>
      <c r="F716" s="808" t="s">
        <v>99</v>
      </c>
      <c r="G716" s="808" t="s">
        <v>99</v>
      </c>
      <c r="H716" s="808" t="s">
        <v>99</v>
      </c>
      <c r="I716" s="808" t="s">
        <v>99</v>
      </c>
      <c r="J716" s="808" t="s">
        <v>99</v>
      </c>
      <c r="K716" s="808" t="s">
        <v>99</v>
      </c>
      <c r="L716" s="808" t="s">
        <v>99</v>
      </c>
      <c r="M716" s="808" t="s">
        <v>99</v>
      </c>
      <c r="N716" s="808" t="s">
        <v>99</v>
      </c>
      <c r="O716" s="808" t="s">
        <v>99</v>
      </c>
      <c r="P716" s="808" t="s">
        <v>99</v>
      </c>
      <c r="Q716" s="808" t="s">
        <v>99</v>
      </c>
      <c r="R716" s="808" t="s">
        <v>99</v>
      </c>
      <c r="S716" s="808" t="s">
        <v>99</v>
      </c>
      <c r="T716" s="808" t="s">
        <v>99</v>
      </c>
      <c r="U716" s="808" t="s">
        <v>99</v>
      </c>
      <c r="V716" s="808" t="s">
        <v>99</v>
      </c>
      <c r="W716" s="808" t="s">
        <v>99</v>
      </c>
      <c r="X716" s="808" t="s">
        <v>99</v>
      </c>
      <c r="Y716" s="808" t="s">
        <v>99</v>
      </c>
      <c r="Z716" s="808" t="s">
        <v>99</v>
      </c>
      <c r="AA716" s="808" t="s">
        <v>99</v>
      </c>
      <c r="AB716" s="808" t="s">
        <v>99</v>
      </c>
      <c r="AC716" s="808" t="s">
        <v>99</v>
      </c>
      <c r="AD716" s="808" t="s">
        <v>99</v>
      </c>
      <c r="AE716" s="808" t="s">
        <v>99</v>
      </c>
      <c r="AF716" s="808" t="s">
        <v>99</v>
      </c>
      <c r="AG716" s="808" t="s">
        <v>99</v>
      </c>
      <c r="AH716" s="808" t="s">
        <v>99</v>
      </c>
      <c r="AI716" s="808" t="s">
        <v>99</v>
      </c>
      <c r="AJ716" s="808" t="s">
        <v>99</v>
      </c>
      <c r="AK716" s="808" t="s">
        <v>99</v>
      </c>
      <c r="AL716" s="808" t="s">
        <v>99</v>
      </c>
      <c r="AM716" s="344" t="s">
        <v>838</v>
      </c>
      <c r="AN716" s="807"/>
    </row>
    <row r="717" spans="1:40" ht="12.6">
      <c r="A717" s="990" t="s">
        <v>839</v>
      </c>
      <c r="B717" s="991" t="s">
        <v>823</v>
      </c>
      <c r="C717" s="991"/>
      <c r="D717" s="315"/>
      <c r="E717" s="991" t="s">
        <v>122</v>
      </c>
      <c r="F717" s="808" t="s">
        <v>99</v>
      </c>
      <c r="G717" s="808" t="s">
        <v>99</v>
      </c>
      <c r="H717" s="808" t="s">
        <v>99</v>
      </c>
      <c r="I717" s="808" t="s">
        <v>99</v>
      </c>
      <c r="J717" s="808" t="s">
        <v>99</v>
      </c>
      <c r="K717" s="808" t="s">
        <v>99</v>
      </c>
      <c r="L717" s="808" t="s">
        <v>99</v>
      </c>
      <c r="M717" s="808" t="s">
        <v>99</v>
      </c>
      <c r="N717" s="808" t="s">
        <v>99</v>
      </c>
      <c r="O717" s="808" t="s">
        <v>99</v>
      </c>
      <c r="P717" s="808" t="s">
        <v>99</v>
      </c>
      <c r="Q717" s="808" t="s">
        <v>99</v>
      </c>
      <c r="R717" s="808" t="s">
        <v>99</v>
      </c>
      <c r="S717" s="808" t="s">
        <v>99</v>
      </c>
      <c r="T717" s="808" t="s">
        <v>99</v>
      </c>
      <c r="U717" s="808" t="s">
        <v>99</v>
      </c>
      <c r="V717" s="808" t="s">
        <v>99</v>
      </c>
      <c r="W717" s="808" t="s">
        <v>99</v>
      </c>
      <c r="X717" s="808" t="s">
        <v>99</v>
      </c>
      <c r="Y717" s="808" t="s">
        <v>99</v>
      </c>
      <c r="Z717" s="808" t="s">
        <v>99</v>
      </c>
      <c r="AA717" s="808" t="s">
        <v>99</v>
      </c>
      <c r="AB717" s="808" t="s">
        <v>99</v>
      </c>
      <c r="AC717" s="808" t="s">
        <v>99</v>
      </c>
      <c r="AD717" s="808" t="s">
        <v>99</v>
      </c>
      <c r="AE717" s="808" t="s">
        <v>99</v>
      </c>
      <c r="AF717" s="808" t="s">
        <v>99</v>
      </c>
      <c r="AG717" s="808" t="s">
        <v>99</v>
      </c>
      <c r="AH717" s="808" t="s">
        <v>99</v>
      </c>
      <c r="AI717" s="808" t="s">
        <v>99</v>
      </c>
      <c r="AJ717" s="808" t="s">
        <v>99</v>
      </c>
      <c r="AK717" s="808" t="s">
        <v>99</v>
      </c>
      <c r="AL717" s="808" t="s">
        <v>99</v>
      </c>
      <c r="AM717" s="344" t="s">
        <v>838</v>
      </c>
      <c r="AN717" s="807"/>
    </row>
    <row r="718" spans="1:40" ht="12.6">
      <c r="A718" s="990" t="s">
        <v>840</v>
      </c>
      <c r="B718" s="991" t="s">
        <v>825</v>
      </c>
      <c r="C718" s="991"/>
      <c r="D718" s="315"/>
      <c r="E718" s="315"/>
      <c r="F718" s="809" t="s">
        <v>826</v>
      </c>
      <c r="G718" s="809" t="s">
        <v>826</v>
      </c>
      <c r="H718" s="809" t="s">
        <v>826</v>
      </c>
      <c r="I718" s="809" t="s">
        <v>826</v>
      </c>
      <c r="J718" s="809" t="s">
        <v>826</v>
      </c>
      <c r="K718" s="809" t="s">
        <v>826</v>
      </c>
      <c r="L718" s="809" t="s">
        <v>826</v>
      </c>
      <c r="M718" s="809" t="s">
        <v>826</v>
      </c>
      <c r="N718" s="809" t="s">
        <v>826</v>
      </c>
      <c r="O718" s="809" t="s">
        <v>826</v>
      </c>
      <c r="P718" s="809" t="s">
        <v>826</v>
      </c>
      <c r="Q718" s="809" t="s">
        <v>826</v>
      </c>
      <c r="R718" s="809" t="s">
        <v>826</v>
      </c>
      <c r="S718" s="809" t="s">
        <v>826</v>
      </c>
      <c r="T718" s="809" t="s">
        <v>826</v>
      </c>
      <c r="U718" s="809" t="s">
        <v>826</v>
      </c>
      <c r="V718" s="809" t="s">
        <v>826</v>
      </c>
      <c r="W718" s="809" t="s">
        <v>826</v>
      </c>
      <c r="X718" s="809" t="s">
        <v>826</v>
      </c>
      <c r="Y718" s="809" t="s">
        <v>826</v>
      </c>
      <c r="Z718" s="809" t="s">
        <v>826</v>
      </c>
      <c r="AA718" s="809" t="s">
        <v>826</v>
      </c>
      <c r="AB718" s="809" t="s">
        <v>826</v>
      </c>
      <c r="AC718" s="809" t="s">
        <v>826</v>
      </c>
      <c r="AD718" s="809" t="s">
        <v>826</v>
      </c>
      <c r="AE718" s="809" t="s">
        <v>826</v>
      </c>
      <c r="AF718" s="809" t="s">
        <v>826</v>
      </c>
      <c r="AG718" s="809" t="s">
        <v>826</v>
      </c>
      <c r="AH718" s="809" t="s">
        <v>826</v>
      </c>
      <c r="AI718" s="809" t="s">
        <v>826</v>
      </c>
      <c r="AJ718" s="809" t="s">
        <v>826</v>
      </c>
      <c r="AK718" s="809" t="s">
        <v>826</v>
      </c>
      <c r="AL718" s="809" t="s">
        <v>826</v>
      </c>
      <c r="AM718" s="315"/>
      <c r="AN718" s="315"/>
    </row>
    <row r="719" spans="1:40" ht="12.6">
      <c r="A719" s="990" t="s">
        <v>841</v>
      </c>
      <c r="B719" s="991" t="s">
        <v>134</v>
      </c>
      <c r="D719" s="315"/>
      <c r="E719" s="315"/>
      <c r="F719" s="809" t="s">
        <v>828</v>
      </c>
      <c r="G719" s="809" t="s">
        <v>828</v>
      </c>
      <c r="H719" s="809" t="s">
        <v>828</v>
      </c>
      <c r="I719" s="809" t="s">
        <v>828</v>
      </c>
      <c r="J719" s="809" t="s">
        <v>828</v>
      </c>
      <c r="K719" s="809" t="s">
        <v>828</v>
      </c>
      <c r="L719" s="809" t="s">
        <v>828</v>
      </c>
      <c r="M719" s="809" t="s">
        <v>828</v>
      </c>
      <c r="N719" s="809" t="s">
        <v>828</v>
      </c>
      <c r="O719" s="809" t="s">
        <v>828</v>
      </c>
      <c r="P719" s="809" t="s">
        <v>828</v>
      </c>
      <c r="Q719" s="809" t="s">
        <v>828</v>
      </c>
      <c r="R719" s="809" t="s">
        <v>828</v>
      </c>
      <c r="S719" s="809" t="s">
        <v>828</v>
      </c>
      <c r="T719" s="809" t="s">
        <v>828</v>
      </c>
      <c r="U719" s="809" t="s">
        <v>828</v>
      </c>
      <c r="V719" s="809" t="s">
        <v>828</v>
      </c>
      <c r="W719" s="809" t="s">
        <v>828</v>
      </c>
      <c r="X719" s="809" t="s">
        <v>828</v>
      </c>
      <c r="Y719" s="809" t="s">
        <v>828</v>
      </c>
      <c r="Z719" s="809" t="s">
        <v>828</v>
      </c>
      <c r="AA719" s="809" t="s">
        <v>828</v>
      </c>
      <c r="AB719" s="809" t="s">
        <v>828</v>
      </c>
      <c r="AC719" s="809" t="s">
        <v>828</v>
      </c>
      <c r="AD719" s="809" t="s">
        <v>828</v>
      </c>
      <c r="AE719" s="809" t="s">
        <v>828</v>
      </c>
      <c r="AF719" s="809" t="s">
        <v>828</v>
      </c>
      <c r="AG719" s="809" t="s">
        <v>828</v>
      </c>
      <c r="AH719" s="809" t="s">
        <v>828</v>
      </c>
      <c r="AI719" s="809" t="s">
        <v>828</v>
      </c>
      <c r="AJ719" s="809" t="s">
        <v>828</v>
      </c>
      <c r="AK719" s="809" t="s">
        <v>828</v>
      </c>
      <c r="AL719" s="809" t="s">
        <v>828</v>
      </c>
      <c r="AM719" s="315"/>
      <c r="AN719" s="315"/>
    </row>
    <row r="720" spans="1:40" s="797" customFormat="1" ht="12.95">
      <c r="A720" s="989" t="s">
        <v>842</v>
      </c>
      <c r="B720" s="796"/>
      <c r="C720" s="796"/>
      <c r="D720" s="796"/>
      <c r="E720" s="796"/>
      <c r="F720" s="795"/>
      <c r="G720" s="795"/>
      <c r="H720" s="795"/>
      <c r="I720" s="795"/>
      <c r="J720" s="795"/>
      <c r="K720" s="795"/>
      <c r="L720" s="795"/>
      <c r="M720" s="795"/>
      <c r="N720" s="795"/>
      <c r="O720" s="795"/>
      <c r="P720" s="795"/>
      <c r="Q720" s="795"/>
      <c r="R720" s="795"/>
      <c r="S720" s="795"/>
      <c r="T720" s="795"/>
      <c r="U720" s="795"/>
      <c r="V720" s="795"/>
      <c r="W720" s="795"/>
      <c r="X720" s="795"/>
      <c r="Y720" s="795"/>
      <c r="Z720" s="795"/>
      <c r="AA720" s="795"/>
      <c r="AB720" s="795"/>
      <c r="AC720" s="795"/>
      <c r="AD720" s="795"/>
      <c r="AE720" s="795"/>
      <c r="AF720" s="795"/>
      <c r="AG720" s="795"/>
      <c r="AH720" s="795"/>
      <c r="AI720" s="795"/>
      <c r="AJ720" s="795"/>
      <c r="AK720" s="795"/>
      <c r="AL720" s="795"/>
      <c r="AM720" s="796"/>
      <c r="AN720" s="796"/>
    </row>
    <row r="721" spans="1:40" ht="12.6">
      <c r="A721" s="990" t="s">
        <v>843</v>
      </c>
      <c r="B721" s="991" t="s">
        <v>128</v>
      </c>
      <c r="C721" s="991"/>
      <c r="D721" s="991" t="s">
        <v>129</v>
      </c>
      <c r="E721" s="991" t="s">
        <v>130</v>
      </c>
      <c r="F721" s="808" t="s">
        <v>99</v>
      </c>
      <c r="G721" s="808" t="s">
        <v>99</v>
      </c>
      <c r="H721" s="808" t="s">
        <v>99</v>
      </c>
      <c r="I721" s="808" t="s">
        <v>99</v>
      </c>
      <c r="J721" s="808" t="s">
        <v>99</v>
      </c>
      <c r="K721" s="808" t="s">
        <v>99</v>
      </c>
      <c r="L721" s="808" t="s">
        <v>99</v>
      </c>
      <c r="M721" s="808" t="s">
        <v>99</v>
      </c>
      <c r="N721" s="808" t="s">
        <v>99</v>
      </c>
      <c r="O721" s="808" t="s">
        <v>99</v>
      </c>
      <c r="P721" s="808" t="s">
        <v>99</v>
      </c>
      <c r="Q721" s="808" t="s">
        <v>99</v>
      </c>
      <c r="R721" s="808" t="s">
        <v>99</v>
      </c>
      <c r="S721" s="808" t="s">
        <v>99</v>
      </c>
      <c r="T721" s="808" t="s">
        <v>99</v>
      </c>
      <c r="U721" s="808" t="s">
        <v>99</v>
      </c>
      <c r="V721" s="808" t="s">
        <v>99</v>
      </c>
      <c r="W721" s="808" t="s">
        <v>99</v>
      </c>
      <c r="X721" s="808" t="s">
        <v>99</v>
      </c>
      <c r="Y721" s="808" t="s">
        <v>99</v>
      </c>
      <c r="Z721" s="808" t="s">
        <v>99</v>
      </c>
      <c r="AA721" s="808" t="s">
        <v>99</v>
      </c>
      <c r="AB721" s="808" t="s">
        <v>99</v>
      </c>
      <c r="AC721" s="808" t="s">
        <v>99</v>
      </c>
      <c r="AD721" s="808" t="s">
        <v>99</v>
      </c>
      <c r="AE721" s="808" t="s">
        <v>99</v>
      </c>
      <c r="AF721" s="808" t="s">
        <v>99</v>
      </c>
      <c r="AG721" s="808" t="s">
        <v>99</v>
      </c>
      <c r="AH721" s="808" t="s">
        <v>99</v>
      </c>
      <c r="AI721" s="808" t="s">
        <v>99</v>
      </c>
      <c r="AJ721" s="808" t="s">
        <v>99</v>
      </c>
      <c r="AK721" s="808" t="s">
        <v>99</v>
      </c>
      <c r="AL721" s="808" t="s">
        <v>99</v>
      </c>
      <c r="AM721" s="344" t="s">
        <v>818</v>
      </c>
      <c r="AN721" s="807"/>
    </row>
    <row r="722" spans="1:40" ht="12.6">
      <c r="A722" s="990" t="s">
        <v>844</v>
      </c>
      <c r="B722" s="991" t="s">
        <v>820</v>
      </c>
      <c r="C722" s="991"/>
      <c r="D722" s="991" t="s">
        <v>109</v>
      </c>
      <c r="E722" s="991" t="s">
        <v>130</v>
      </c>
      <c r="F722" s="808" t="s">
        <v>99</v>
      </c>
      <c r="G722" s="808" t="s">
        <v>99</v>
      </c>
      <c r="H722" s="808" t="s">
        <v>99</v>
      </c>
      <c r="I722" s="808" t="s">
        <v>99</v>
      </c>
      <c r="J722" s="808" t="s">
        <v>99</v>
      </c>
      <c r="K722" s="808" t="s">
        <v>99</v>
      </c>
      <c r="L722" s="808" t="s">
        <v>99</v>
      </c>
      <c r="M722" s="808" t="s">
        <v>99</v>
      </c>
      <c r="N722" s="808" t="s">
        <v>99</v>
      </c>
      <c r="O722" s="808" t="s">
        <v>99</v>
      </c>
      <c r="P722" s="808" t="s">
        <v>99</v>
      </c>
      <c r="Q722" s="808" t="s">
        <v>99</v>
      </c>
      <c r="R722" s="808" t="s">
        <v>99</v>
      </c>
      <c r="S722" s="808" t="s">
        <v>99</v>
      </c>
      <c r="T722" s="808" t="s">
        <v>99</v>
      </c>
      <c r="U722" s="808" t="s">
        <v>99</v>
      </c>
      <c r="V722" s="808" t="s">
        <v>99</v>
      </c>
      <c r="W722" s="808" t="s">
        <v>99</v>
      </c>
      <c r="X722" s="808" t="s">
        <v>99</v>
      </c>
      <c r="Y722" s="808" t="s">
        <v>99</v>
      </c>
      <c r="Z722" s="808" t="s">
        <v>99</v>
      </c>
      <c r="AA722" s="808" t="s">
        <v>99</v>
      </c>
      <c r="AB722" s="808" t="s">
        <v>99</v>
      </c>
      <c r="AC722" s="808" t="s">
        <v>99</v>
      </c>
      <c r="AD722" s="808" t="s">
        <v>99</v>
      </c>
      <c r="AE722" s="808" t="s">
        <v>99</v>
      </c>
      <c r="AF722" s="808" t="s">
        <v>99</v>
      </c>
      <c r="AG722" s="808" t="s">
        <v>99</v>
      </c>
      <c r="AH722" s="808" t="s">
        <v>99</v>
      </c>
      <c r="AI722" s="808" t="s">
        <v>99</v>
      </c>
      <c r="AJ722" s="808" t="s">
        <v>99</v>
      </c>
      <c r="AK722" s="808" t="s">
        <v>99</v>
      </c>
      <c r="AL722" s="808" t="s">
        <v>99</v>
      </c>
      <c r="AM722" s="344" t="s">
        <v>838</v>
      </c>
      <c r="AN722" s="807"/>
    </row>
    <row r="723" spans="1:40" ht="12.6">
      <c r="A723" s="990" t="s">
        <v>845</v>
      </c>
      <c r="B723" s="991" t="s">
        <v>823</v>
      </c>
      <c r="C723" s="991"/>
      <c r="D723" s="315"/>
      <c r="E723" s="991" t="s">
        <v>122</v>
      </c>
      <c r="F723" s="808" t="s">
        <v>99</v>
      </c>
      <c r="G723" s="808" t="s">
        <v>99</v>
      </c>
      <c r="H723" s="808" t="s">
        <v>99</v>
      </c>
      <c r="I723" s="808" t="s">
        <v>99</v>
      </c>
      <c r="J723" s="808" t="s">
        <v>99</v>
      </c>
      <c r="K723" s="808" t="s">
        <v>99</v>
      </c>
      <c r="L723" s="808" t="s">
        <v>99</v>
      </c>
      <c r="M723" s="808" t="s">
        <v>99</v>
      </c>
      <c r="N723" s="808" t="s">
        <v>99</v>
      </c>
      <c r="O723" s="808" t="s">
        <v>99</v>
      </c>
      <c r="P723" s="808" t="s">
        <v>99</v>
      </c>
      <c r="Q723" s="808" t="s">
        <v>99</v>
      </c>
      <c r="R723" s="808" t="s">
        <v>99</v>
      </c>
      <c r="S723" s="808" t="s">
        <v>99</v>
      </c>
      <c r="T723" s="808" t="s">
        <v>99</v>
      </c>
      <c r="U723" s="808" t="s">
        <v>99</v>
      </c>
      <c r="V723" s="808" t="s">
        <v>99</v>
      </c>
      <c r="W723" s="808" t="s">
        <v>99</v>
      </c>
      <c r="X723" s="808" t="s">
        <v>99</v>
      </c>
      <c r="Y723" s="808" t="s">
        <v>99</v>
      </c>
      <c r="Z723" s="808" t="s">
        <v>99</v>
      </c>
      <c r="AA723" s="808" t="s">
        <v>99</v>
      </c>
      <c r="AB723" s="808" t="s">
        <v>99</v>
      </c>
      <c r="AC723" s="808" t="s">
        <v>99</v>
      </c>
      <c r="AD723" s="808" t="s">
        <v>99</v>
      </c>
      <c r="AE723" s="808" t="s">
        <v>99</v>
      </c>
      <c r="AF723" s="808" t="s">
        <v>99</v>
      </c>
      <c r="AG723" s="808" t="s">
        <v>99</v>
      </c>
      <c r="AH723" s="808" t="s">
        <v>99</v>
      </c>
      <c r="AI723" s="808" t="s">
        <v>99</v>
      </c>
      <c r="AJ723" s="808" t="s">
        <v>99</v>
      </c>
      <c r="AK723" s="808" t="s">
        <v>99</v>
      </c>
      <c r="AL723" s="808" t="s">
        <v>99</v>
      </c>
      <c r="AM723" s="344" t="s">
        <v>838</v>
      </c>
      <c r="AN723" s="807"/>
    </row>
    <row r="724" spans="1:40" ht="12.6">
      <c r="A724" s="990" t="s">
        <v>846</v>
      </c>
      <c r="B724" s="991" t="s">
        <v>825</v>
      </c>
      <c r="C724" s="991"/>
      <c r="D724" s="315"/>
      <c r="E724" s="315"/>
      <c r="F724" s="809" t="s">
        <v>826</v>
      </c>
      <c r="G724" s="809" t="s">
        <v>826</v>
      </c>
      <c r="H724" s="809" t="s">
        <v>826</v>
      </c>
      <c r="I724" s="809" t="s">
        <v>826</v>
      </c>
      <c r="J724" s="809" t="s">
        <v>826</v>
      </c>
      <c r="K724" s="809" t="s">
        <v>826</v>
      </c>
      <c r="L724" s="809" t="s">
        <v>826</v>
      </c>
      <c r="M724" s="809" t="s">
        <v>826</v>
      </c>
      <c r="N724" s="809" t="s">
        <v>826</v>
      </c>
      <c r="O724" s="809" t="s">
        <v>826</v>
      </c>
      <c r="P724" s="809" t="s">
        <v>826</v>
      </c>
      <c r="Q724" s="809" t="s">
        <v>826</v>
      </c>
      <c r="R724" s="809" t="s">
        <v>826</v>
      </c>
      <c r="S724" s="809" t="s">
        <v>826</v>
      </c>
      <c r="T724" s="809" t="s">
        <v>826</v>
      </c>
      <c r="U724" s="809" t="s">
        <v>826</v>
      </c>
      <c r="V724" s="809" t="s">
        <v>826</v>
      </c>
      <c r="W724" s="809" t="s">
        <v>826</v>
      </c>
      <c r="X724" s="809" t="s">
        <v>826</v>
      </c>
      <c r="Y724" s="809" t="s">
        <v>826</v>
      </c>
      <c r="Z724" s="809" t="s">
        <v>826</v>
      </c>
      <c r="AA724" s="809" t="s">
        <v>826</v>
      </c>
      <c r="AB724" s="809" t="s">
        <v>826</v>
      </c>
      <c r="AC724" s="809" t="s">
        <v>826</v>
      </c>
      <c r="AD724" s="809" t="s">
        <v>826</v>
      </c>
      <c r="AE724" s="809" t="s">
        <v>826</v>
      </c>
      <c r="AF724" s="809" t="s">
        <v>826</v>
      </c>
      <c r="AG724" s="809" t="s">
        <v>826</v>
      </c>
      <c r="AH724" s="809" t="s">
        <v>826</v>
      </c>
      <c r="AI724" s="809" t="s">
        <v>826</v>
      </c>
      <c r="AJ724" s="809" t="s">
        <v>826</v>
      </c>
      <c r="AK724" s="809" t="s">
        <v>826</v>
      </c>
      <c r="AL724" s="809" t="s">
        <v>826</v>
      </c>
      <c r="AM724" s="315"/>
      <c r="AN724" s="315"/>
    </row>
    <row r="725" spans="1:40" ht="12.6">
      <c r="A725" s="990" t="s">
        <v>847</v>
      </c>
      <c r="B725" s="991" t="s">
        <v>134</v>
      </c>
      <c r="D725" s="315"/>
      <c r="E725" s="315"/>
      <c r="F725" s="809" t="s">
        <v>828</v>
      </c>
      <c r="G725" s="809" t="s">
        <v>828</v>
      </c>
      <c r="H725" s="809" t="s">
        <v>828</v>
      </c>
      <c r="I725" s="809" t="s">
        <v>828</v>
      </c>
      <c r="J725" s="809" t="s">
        <v>828</v>
      </c>
      <c r="K725" s="809" t="s">
        <v>828</v>
      </c>
      <c r="L725" s="809" t="s">
        <v>828</v>
      </c>
      <c r="M725" s="809" t="s">
        <v>828</v>
      </c>
      <c r="N725" s="809" t="s">
        <v>828</v>
      </c>
      <c r="O725" s="809" t="s">
        <v>828</v>
      </c>
      <c r="P725" s="809" t="s">
        <v>828</v>
      </c>
      <c r="Q725" s="809" t="s">
        <v>828</v>
      </c>
      <c r="R725" s="809" t="s">
        <v>828</v>
      </c>
      <c r="S725" s="809" t="s">
        <v>828</v>
      </c>
      <c r="T725" s="809" t="s">
        <v>828</v>
      </c>
      <c r="U725" s="809" t="s">
        <v>828</v>
      </c>
      <c r="V725" s="809" t="s">
        <v>828</v>
      </c>
      <c r="W725" s="809" t="s">
        <v>828</v>
      </c>
      <c r="X725" s="809" t="s">
        <v>828</v>
      </c>
      <c r="Y725" s="809" t="s">
        <v>828</v>
      </c>
      <c r="Z725" s="809" t="s">
        <v>828</v>
      </c>
      <c r="AA725" s="809" t="s">
        <v>828</v>
      </c>
      <c r="AB725" s="809" t="s">
        <v>828</v>
      </c>
      <c r="AC725" s="809" t="s">
        <v>828</v>
      </c>
      <c r="AD725" s="809" t="s">
        <v>828</v>
      </c>
      <c r="AE725" s="809" t="s">
        <v>828</v>
      </c>
      <c r="AF725" s="809" t="s">
        <v>828</v>
      </c>
      <c r="AG725" s="809" t="s">
        <v>828</v>
      </c>
      <c r="AH725" s="809" t="s">
        <v>828</v>
      </c>
      <c r="AI725" s="809" t="s">
        <v>828</v>
      </c>
      <c r="AJ725" s="809" t="s">
        <v>828</v>
      </c>
      <c r="AK725" s="809" t="s">
        <v>828</v>
      </c>
      <c r="AL725" s="809" t="s">
        <v>828</v>
      </c>
      <c r="AM725" s="315"/>
      <c r="AN725" s="315"/>
    </row>
    <row r="726" spans="1:40" s="797" customFormat="1" ht="12.95">
      <c r="A726" s="989" t="s">
        <v>848</v>
      </c>
      <c r="B726" s="796"/>
      <c r="C726" s="796"/>
      <c r="D726" s="796"/>
      <c r="E726" s="796"/>
      <c r="F726" s="795"/>
      <c r="G726" s="795"/>
      <c r="H726" s="795"/>
      <c r="I726" s="795"/>
      <c r="J726" s="795"/>
      <c r="K726" s="795"/>
      <c r="L726" s="795"/>
      <c r="M726" s="795"/>
      <c r="N726" s="795"/>
      <c r="O726" s="795"/>
      <c r="P726" s="795"/>
      <c r="Q726" s="795"/>
      <c r="R726" s="795"/>
      <c r="S726" s="795"/>
      <c r="T726" s="795"/>
      <c r="U726" s="795"/>
      <c r="V726" s="795"/>
      <c r="W726" s="795"/>
      <c r="X726" s="795"/>
      <c r="Y726" s="795"/>
      <c r="Z726" s="795"/>
      <c r="AA726" s="795"/>
      <c r="AB726" s="795"/>
      <c r="AC726" s="795"/>
      <c r="AD726" s="795"/>
      <c r="AE726" s="795"/>
      <c r="AF726" s="795"/>
      <c r="AG726" s="795"/>
      <c r="AH726" s="795"/>
      <c r="AI726" s="795"/>
      <c r="AJ726" s="795"/>
      <c r="AK726" s="795"/>
      <c r="AL726" s="795"/>
      <c r="AM726" s="796"/>
      <c r="AN726" s="796"/>
    </row>
    <row r="727" spans="1:40" ht="12.6">
      <c r="A727" s="990" t="s">
        <v>849</v>
      </c>
      <c r="B727" s="991" t="s">
        <v>128</v>
      </c>
      <c r="C727" s="991"/>
      <c r="D727" s="991" t="s">
        <v>129</v>
      </c>
      <c r="E727" s="991" t="s">
        <v>130</v>
      </c>
      <c r="F727" s="808" t="s">
        <v>99</v>
      </c>
      <c r="G727" s="808" t="s">
        <v>99</v>
      </c>
      <c r="H727" s="808" t="s">
        <v>99</v>
      </c>
      <c r="I727" s="808" t="s">
        <v>99</v>
      </c>
      <c r="J727" s="808" t="s">
        <v>99</v>
      </c>
      <c r="K727" s="808" t="s">
        <v>99</v>
      </c>
      <c r="L727" s="808" t="s">
        <v>99</v>
      </c>
      <c r="M727" s="808" t="s">
        <v>99</v>
      </c>
      <c r="N727" s="808" t="s">
        <v>99</v>
      </c>
      <c r="O727" s="808" t="s">
        <v>99</v>
      </c>
      <c r="P727" s="808" t="s">
        <v>99</v>
      </c>
      <c r="Q727" s="808" t="s">
        <v>99</v>
      </c>
      <c r="R727" s="808" t="s">
        <v>99</v>
      </c>
      <c r="S727" s="808" t="s">
        <v>99</v>
      </c>
      <c r="T727" s="808" t="s">
        <v>99</v>
      </c>
      <c r="U727" s="808" t="s">
        <v>99</v>
      </c>
      <c r="V727" s="808" t="s">
        <v>99</v>
      </c>
      <c r="W727" s="808" t="s">
        <v>99</v>
      </c>
      <c r="X727" s="808" t="s">
        <v>99</v>
      </c>
      <c r="Y727" s="808" t="s">
        <v>99</v>
      </c>
      <c r="Z727" s="808" t="s">
        <v>99</v>
      </c>
      <c r="AA727" s="808" t="s">
        <v>99</v>
      </c>
      <c r="AB727" s="808" t="s">
        <v>99</v>
      </c>
      <c r="AC727" s="808" t="s">
        <v>99</v>
      </c>
      <c r="AD727" s="808" t="s">
        <v>99</v>
      </c>
      <c r="AE727" s="808" t="s">
        <v>99</v>
      </c>
      <c r="AF727" s="808" t="s">
        <v>99</v>
      </c>
      <c r="AG727" s="808" t="s">
        <v>99</v>
      </c>
      <c r="AH727" s="808" t="s">
        <v>99</v>
      </c>
      <c r="AI727" s="808" t="s">
        <v>99</v>
      </c>
      <c r="AJ727" s="808" t="s">
        <v>99</v>
      </c>
      <c r="AK727" s="808" t="s">
        <v>99</v>
      </c>
      <c r="AL727" s="808" t="s">
        <v>99</v>
      </c>
      <c r="AM727" s="344" t="s">
        <v>818</v>
      </c>
      <c r="AN727" s="807"/>
    </row>
    <row r="728" spans="1:40" ht="12.6">
      <c r="A728" s="990" t="s">
        <v>850</v>
      </c>
      <c r="B728" s="991" t="s">
        <v>820</v>
      </c>
      <c r="C728" s="991"/>
      <c r="D728" s="991" t="s">
        <v>109</v>
      </c>
      <c r="E728" s="991" t="s">
        <v>130</v>
      </c>
      <c r="F728" s="300">
        <f>'Non-Energy Use'!E131*1000</f>
        <v>0</v>
      </c>
      <c r="G728" s="300">
        <f>'Non-Energy Use'!F131*1000</f>
        <v>0</v>
      </c>
      <c r="H728" s="300">
        <f>'Non-Energy Use'!G131*1000</f>
        <v>0</v>
      </c>
      <c r="I728" s="300">
        <f>'Non-Energy Use'!H131*1000</f>
        <v>2.5271347113147136</v>
      </c>
      <c r="J728" s="300">
        <f>'Non-Energy Use'!I131*1000</f>
        <v>22.795404745564401</v>
      </c>
      <c r="K728" s="300">
        <f>'Non-Energy Use'!J131*1000</f>
        <v>96.548780233330177</v>
      </c>
      <c r="L728" s="300">
        <f>'Non-Energy Use'!K131*1000</f>
        <v>61.541109062767234</v>
      </c>
      <c r="M728" s="300">
        <f>'Non-Energy Use'!L131*1000</f>
        <v>0</v>
      </c>
      <c r="N728" s="300">
        <f>'Non-Energy Use'!M131*1000</f>
        <v>27.950950979870075</v>
      </c>
      <c r="O728" s="300">
        <f>'Non-Energy Use'!N131*1000</f>
        <v>102.56249835322282</v>
      </c>
      <c r="P728" s="300">
        <f>'Non-Energy Use'!O131*1000</f>
        <v>137.22409423696035</v>
      </c>
      <c r="Q728" s="300">
        <f>'Non-Energy Use'!P131*1000</f>
        <v>63.470149473343689</v>
      </c>
      <c r="R728" s="300">
        <f>'Non-Energy Use'!Q131*1000</f>
        <v>103.36049793555193</v>
      </c>
      <c r="S728" s="300">
        <f>'Non-Energy Use'!R131*1000</f>
        <v>132.99959314145934</v>
      </c>
      <c r="T728" s="300">
        <f>'Non-Energy Use'!S131*1000</f>
        <v>430.06883003943676</v>
      </c>
      <c r="U728" s="300">
        <f>'Non-Energy Use'!T131*1000</f>
        <v>205.94244620198276</v>
      </c>
      <c r="V728" s="300">
        <f>'Non-Energy Use'!U131*1000</f>
        <v>160.95039125981748</v>
      </c>
      <c r="W728" s="300">
        <f>'Non-Energy Use'!V131*1000</f>
        <v>5.9433334233459885</v>
      </c>
      <c r="X728" s="300">
        <f>'Non-Energy Use'!W131*1000</f>
        <v>74.670733704888008</v>
      </c>
      <c r="Y728" s="300">
        <f>'Non-Energy Use'!X131*1000</f>
        <v>16.335094772449278</v>
      </c>
      <c r="Z728" s="300">
        <f>'Non-Energy Use'!Y131*1000</f>
        <v>165.65223745895619</v>
      </c>
      <c r="AA728" s="300">
        <f>'Non-Energy Use'!Z131*1000</f>
        <v>155.59761532323554</v>
      </c>
      <c r="AB728" s="300">
        <f>'Non-Energy Use'!AA131*1000</f>
        <v>338.78421555659071</v>
      </c>
      <c r="AC728" s="300">
        <f>'Non-Energy Use'!AB131*1000</f>
        <v>306.71220936044864</v>
      </c>
      <c r="AD728" s="300">
        <f>'Non-Energy Use'!AC131*1000</f>
        <v>125.54139351078072</v>
      </c>
      <c r="AE728" s="300">
        <f>'Non-Energy Use'!AD131*1000</f>
        <v>312.84099356572534</v>
      </c>
      <c r="AF728" s="300">
        <f>'Non-Energy Use'!AE131*1000</f>
        <v>229.17377470578549</v>
      </c>
      <c r="AG728" s="300">
        <f>'Non-Energy Use'!AF131*1000</f>
        <v>288.88205833613216</v>
      </c>
      <c r="AH728" s="300">
        <f>'Non-Energy Use'!AG131*1000</f>
        <v>319.10618999445762</v>
      </c>
      <c r="AI728" s="300">
        <f>'Non-Energy Use'!AH131*1000</f>
        <v>288.79678940745646</v>
      </c>
      <c r="AJ728" s="300">
        <f>'Non-Energy Use'!AI131*1000</f>
        <v>204.49015516355772</v>
      </c>
      <c r="AK728" s="300">
        <f>'Non-Energy Use'!AJ131*1000</f>
        <v>199.35533809953293</v>
      </c>
      <c r="AL728" s="300">
        <f>'Non-Energy Use'!AK131*1000</f>
        <v>83.608798956137178</v>
      </c>
      <c r="AM728" s="315"/>
      <c r="AN728" s="315"/>
    </row>
    <row r="729" spans="1:40" ht="12.6">
      <c r="A729" s="990" t="s">
        <v>851</v>
      </c>
      <c r="B729" s="991" t="s">
        <v>823</v>
      </c>
      <c r="C729" s="991"/>
      <c r="D729" s="315"/>
      <c r="E729" s="991" t="s">
        <v>122</v>
      </c>
      <c r="F729" s="810">
        <f>('Non-Energy Use'!E75)*1055.05585262</f>
        <v>0</v>
      </c>
      <c r="G729" s="810">
        <f>('Non-Energy Use'!F75)*1055.05585262</f>
        <v>0</v>
      </c>
      <c r="H729" s="810">
        <f>('Non-Energy Use'!G75)*1055.05585262</f>
        <v>0</v>
      </c>
      <c r="I729" s="810">
        <f>('Non-Energy Use'!H75)*1055.05585262</f>
        <v>1044.5600675322323</v>
      </c>
      <c r="J729" s="810">
        <f>('Non-Energy Use'!I75)*1055.05585262</f>
        <v>9408.2539699483186</v>
      </c>
      <c r="K729" s="810">
        <f>('Non-Energy Use'!J75)*1055.05585262</f>
        <v>39842.455449680427</v>
      </c>
      <c r="L729" s="810">
        <f>('Non-Energy Use'!K75)*1055.05585262</f>
        <v>25402.977017934649</v>
      </c>
      <c r="M729" s="810">
        <f>('Non-Energy Use'!L75)*1055.05585262</f>
        <v>0</v>
      </c>
      <c r="N729" s="810">
        <f>('Non-Energy Use'!M75)*1055.05585262</f>
        <v>11512.043456184223</v>
      </c>
      <c r="O729" s="810">
        <f>('Non-Energy Use'!N75)*1055.05585262</f>
        <v>42283.7583042845</v>
      </c>
      <c r="P729" s="810">
        <f>('Non-Energy Use'!O75)*1055.05585262</f>
        <v>56491.603621524904</v>
      </c>
      <c r="Q729" s="810">
        <f>('Non-Energy Use'!P75)*1055.05585262</f>
        <v>26127.819871331973</v>
      </c>
      <c r="R729" s="810">
        <f>('Non-Energy Use'!Q75)*1055.05585262</f>
        <v>42516.591012826524</v>
      </c>
      <c r="S729" s="810">
        <f>('Non-Energy Use'!R75)*1055.05585262</f>
        <v>54745.431951143604</v>
      </c>
      <c r="T729" s="810">
        <f>('Non-Energy Use'!S75)*1055.05585262</f>
        <v>177004.15812966149</v>
      </c>
      <c r="U729" s="810">
        <f>('Non-Energy Use'!T75)*1055.05585262</f>
        <v>84869.884897749216</v>
      </c>
      <c r="V729" s="810">
        <f>('Non-Energy Use'!U75)*1055.05585262</f>
        <v>66336.27259366319</v>
      </c>
      <c r="W729" s="810">
        <f>('Non-Energy Use'!V75)*1055.05585262</f>
        <v>2448.0618344601476</v>
      </c>
      <c r="X729" s="810">
        <f>('Non-Energy Use'!W75)*1055.05585262</f>
        <v>30765.64749881611</v>
      </c>
      <c r="Y729" s="810">
        <f>('Non-Energy Use'!X75)*1055.05585262</f>
        <v>6736.4412429127406</v>
      </c>
      <c r="Z729" s="810">
        <f>('Non-Energy Use'!Y75)*1055.05585262</f>
        <v>68322.256180120268</v>
      </c>
      <c r="AA729" s="810">
        <f>('Non-Energy Use'!Z75)*1055.05585262</f>
        <v>64190.848405253906</v>
      </c>
      <c r="AB729" s="810">
        <f>('Non-Energy Use'!AA75)*1055.05585262</f>
        <v>139776.74440311579</v>
      </c>
      <c r="AC729" s="810">
        <f>('Non-Energy Use'!AB75)*1055.05585262</f>
        <v>126507.94011186867</v>
      </c>
      <c r="AD729" s="810">
        <f>('Non-Energy Use'!AC75)*1055.05585262</f>
        <v>51809.957771485759</v>
      </c>
      <c r="AE729" s="810">
        <f>('Non-Energy Use'!AD75)*1055.05585262</f>
        <v>129087.55883201779</v>
      </c>
      <c r="AF729" s="810">
        <f>('Non-Energy Use'!AE75)*1055.05585262</f>
        <v>94570.199313872203</v>
      </c>
      <c r="AG729" s="810">
        <f>('Non-Energy Use'!AF75)*1055.05585262</f>
        <v>119224.56768909654</v>
      </c>
      <c r="AH729" s="810">
        <f>('Non-Energy Use'!AG75)*1055.05585262</f>
        <v>131541.76201171573</v>
      </c>
      <c r="AI729" s="810">
        <f>('Non-Energy Use'!AH75)*1055.05585262</f>
        <v>119049.84223539066</v>
      </c>
      <c r="AJ729" s="810">
        <f>('Non-Energy Use'!AI75)*1055.05585262</f>
        <v>84273.208707947677</v>
      </c>
      <c r="AK729" s="810">
        <f>('Non-Energy Use'!AJ75)*1055.05585262</f>
        <v>82167.24102610648</v>
      </c>
      <c r="AL729" s="810">
        <f>('Non-Energy Use'!AK75)*1055.05585262</f>
        <v>34450.960790474513</v>
      </c>
      <c r="AM729" s="315"/>
      <c r="AN729" s="315"/>
    </row>
    <row r="730" spans="1:40" ht="12.6">
      <c r="A730" s="990" t="s">
        <v>852</v>
      </c>
      <c r="B730" s="991" t="s">
        <v>825</v>
      </c>
      <c r="C730" s="991"/>
      <c r="D730" s="315"/>
      <c r="E730" s="315"/>
      <c r="F730" s="809" t="s">
        <v>826</v>
      </c>
      <c r="G730" s="809" t="s">
        <v>826</v>
      </c>
      <c r="H730" s="809" t="s">
        <v>826</v>
      </c>
      <c r="I730" s="809" t="s">
        <v>826</v>
      </c>
      <c r="J730" s="809" t="s">
        <v>826</v>
      </c>
      <c r="K730" s="809" t="s">
        <v>826</v>
      </c>
      <c r="L730" s="809" t="s">
        <v>826</v>
      </c>
      <c r="M730" s="809" t="s">
        <v>826</v>
      </c>
      <c r="N730" s="809" t="s">
        <v>826</v>
      </c>
      <c r="O730" s="809" t="s">
        <v>826</v>
      </c>
      <c r="P730" s="809" t="s">
        <v>826</v>
      </c>
      <c r="Q730" s="809" t="s">
        <v>826</v>
      </c>
      <c r="R730" s="809" t="s">
        <v>826</v>
      </c>
      <c r="S730" s="809" t="s">
        <v>826</v>
      </c>
      <c r="T730" s="809" t="s">
        <v>826</v>
      </c>
      <c r="U730" s="809" t="s">
        <v>826</v>
      </c>
      <c r="V730" s="809" t="s">
        <v>826</v>
      </c>
      <c r="W730" s="809" t="s">
        <v>826</v>
      </c>
      <c r="X730" s="809" t="s">
        <v>826</v>
      </c>
      <c r="Y730" s="809" t="s">
        <v>826</v>
      </c>
      <c r="Z730" s="809" t="s">
        <v>826</v>
      </c>
      <c r="AA730" s="809" t="s">
        <v>826</v>
      </c>
      <c r="AB730" s="809" t="s">
        <v>826</v>
      </c>
      <c r="AC730" s="809" t="s">
        <v>826</v>
      </c>
      <c r="AD730" s="809" t="s">
        <v>826</v>
      </c>
      <c r="AE730" s="809" t="s">
        <v>826</v>
      </c>
      <c r="AF730" s="809" t="s">
        <v>826</v>
      </c>
      <c r="AG730" s="809" t="s">
        <v>826</v>
      </c>
      <c r="AH730" s="809" t="s">
        <v>826</v>
      </c>
      <c r="AI730" s="809" t="s">
        <v>826</v>
      </c>
      <c r="AJ730" s="809" t="s">
        <v>826</v>
      </c>
      <c r="AK730" s="809" t="s">
        <v>826</v>
      </c>
      <c r="AL730" s="809" t="s">
        <v>826</v>
      </c>
      <c r="AM730" s="315"/>
      <c r="AN730" s="315"/>
    </row>
    <row r="731" spans="1:40" ht="12.6">
      <c r="A731" s="990" t="s">
        <v>853</v>
      </c>
      <c r="B731" s="991" t="s">
        <v>134</v>
      </c>
      <c r="D731" s="315"/>
      <c r="E731" s="315"/>
      <c r="F731" s="809" t="s">
        <v>828</v>
      </c>
      <c r="G731" s="809" t="s">
        <v>828</v>
      </c>
      <c r="H731" s="809" t="s">
        <v>828</v>
      </c>
      <c r="I731" s="809" t="s">
        <v>828</v>
      </c>
      <c r="J731" s="809" t="s">
        <v>828</v>
      </c>
      <c r="K731" s="809" t="s">
        <v>828</v>
      </c>
      <c r="L731" s="809" t="s">
        <v>828</v>
      </c>
      <c r="M731" s="809" t="s">
        <v>828</v>
      </c>
      <c r="N731" s="809" t="s">
        <v>828</v>
      </c>
      <c r="O731" s="809" t="s">
        <v>828</v>
      </c>
      <c r="P731" s="809" t="s">
        <v>828</v>
      </c>
      <c r="Q731" s="809" t="s">
        <v>828</v>
      </c>
      <c r="R731" s="809" t="s">
        <v>828</v>
      </c>
      <c r="S731" s="809" t="s">
        <v>828</v>
      </c>
      <c r="T731" s="809" t="s">
        <v>828</v>
      </c>
      <c r="U731" s="809" t="s">
        <v>828</v>
      </c>
      <c r="V731" s="809" t="s">
        <v>828</v>
      </c>
      <c r="W731" s="809" t="s">
        <v>828</v>
      </c>
      <c r="X731" s="809" t="s">
        <v>828</v>
      </c>
      <c r="Y731" s="809" t="s">
        <v>828</v>
      </c>
      <c r="Z731" s="809" t="s">
        <v>828</v>
      </c>
      <c r="AA731" s="809" t="s">
        <v>828</v>
      </c>
      <c r="AB731" s="809" t="s">
        <v>828</v>
      </c>
      <c r="AC731" s="809" t="s">
        <v>828</v>
      </c>
      <c r="AD731" s="809" t="s">
        <v>828</v>
      </c>
      <c r="AE731" s="809" t="s">
        <v>828</v>
      </c>
      <c r="AF731" s="809" t="s">
        <v>828</v>
      </c>
      <c r="AG731" s="809" t="s">
        <v>828</v>
      </c>
      <c r="AH731" s="809" t="s">
        <v>828</v>
      </c>
      <c r="AI731" s="809" t="s">
        <v>828</v>
      </c>
      <c r="AJ731" s="809" t="s">
        <v>828</v>
      </c>
      <c r="AK731" s="809" t="s">
        <v>828</v>
      </c>
      <c r="AL731" s="809" t="s">
        <v>828</v>
      </c>
      <c r="AM731" s="315"/>
      <c r="AN731" s="315"/>
    </row>
    <row r="732" spans="1:40" s="797" customFormat="1" ht="12.95">
      <c r="A732" s="989" t="s">
        <v>854</v>
      </c>
      <c r="B732" s="796"/>
      <c r="C732" s="796"/>
      <c r="D732" s="796"/>
      <c r="E732" s="796"/>
      <c r="F732" s="795"/>
      <c r="G732" s="795"/>
      <c r="H732" s="795"/>
      <c r="I732" s="795"/>
      <c r="J732" s="795"/>
      <c r="K732" s="795"/>
      <c r="L732" s="795"/>
      <c r="M732" s="795"/>
      <c r="N732" s="795"/>
      <c r="O732" s="795"/>
      <c r="P732" s="795"/>
      <c r="Q732" s="795"/>
      <c r="R732" s="795"/>
      <c r="S732" s="795"/>
      <c r="T732" s="795"/>
      <c r="U732" s="795"/>
      <c r="V732" s="795"/>
      <c r="W732" s="795"/>
      <c r="X732" s="795"/>
      <c r="Y732" s="795"/>
      <c r="Z732" s="795"/>
      <c r="AA732" s="795"/>
      <c r="AB732" s="795"/>
      <c r="AC732" s="795"/>
      <c r="AD732" s="795"/>
      <c r="AE732" s="795"/>
      <c r="AF732" s="795"/>
      <c r="AG732" s="795"/>
      <c r="AH732" s="795"/>
      <c r="AI732" s="795"/>
      <c r="AJ732" s="795"/>
      <c r="AK732" s="795"/>
      <c r="AL732" s="795"/>
      <c r="AM732" s="796"/>
      <c r="AN732" s="796"/>
    </row>
    <row r="733" spans="1:40" ht="12.6">
      <c r="A733" s="990" t="s">
        <v>855</v>
      </c>
      <c r="B733" s="991" t="s">
        <v>128</v>
      </c>
      <c r="C733" s="991"/>
      <c r="D733" s="991" t="s">
        <v>129</v>
      </c>
      <c r="E733" s="991" t="s">
        <v>130</v>
      </c>
      <c r="F733" s="808" t="s">
        <v>99</v>
      </c>
      <c r="G733" s="808" t="s">
        <v>99</v>
      </c>
      <c r="H733" s="808" t="s">
        <v>99</v>
      </c>
      <c r="I733" s="808" t="s">
        <v>99</v>
      </c>
      <c r="J733" s="808" t="s">
        <v>99</v>
      </c>
      <c r="K733" s="808" t="s">
        <v>99</v>
      </c>
      <c r="L733" s="808" t="s">
        <v>99</v>
      </c>
      <c r="M733" s="808" t="s">
        <v>99</v>
      </c>
      <c r="N733" s="808" t="s">
        <v>99</v>
      </c>
      <c r="O733" s="808" t="s">
        <v>99</v>
      </c>
      <c r="P733" s="808" t="s">
        <v>99</v>
      </c>
      <c r="Q733" s="808" t="s">
        <v>99</v>
      </c>
      <c r="R733" s="808" t="s">
        <v>99</v>
      </c>
      <c r="S733" s="808" t="s">
        <v>99</v>
      </c>
      <c r="T733" s="808" t="s">
        <v>99</v>
      </c>
      <c r="U733" s="808" t="s">
        <v>99</v>
      </c>
      <c r="V733" s="808" t="s">
        <v>99</v>
      </c>
      <c r="W733" s="808" t="s">
        <v>99</v>
      </c>
      <c r="X733" s="808" t="s">
        <v>99</v>
      </c>
      <c r="Y733" s="808" t="s">
        <v>99</v>
      </c>
      <c r="Z733" s="808" t="s">
        <v>99</v>
      </c>
      <c r="AA733" s="808" t="s">
        <v>99</v>
      </c>
      <c r="AB733" s="808" t="s">
        <v>99</v>
      </c>
      <c r="AC733" s="808" t="s">
        <v>99</v>
      </c>
      <c r="AD733" s="808" t="s">
        <v>99</v>
      </c>
      <c r="AE733" s="808" t="s">
        <v>99</v>
      </c>
      <c r="AF733" s="808" t="s">
        <v>99</v>
      </c>
      <c r="AG733" s="808" t="s">
        <v>99</v>
      </c>
      <c r="AH733" s="808" t="s">
        <v>99</v>
      </c>
      <c r="AI733" s="808" t="s">
        <v>99</v>
      </c>
      <c r="AJ733" s="808" t="s">
        <v>99</v>
      </c>
      <c r="AK733" s="808" t="s">
        <v>99</v>
      </c>
      <c r="AL733" s="808" t="s">
        <v>99</v>
      </c>
      <c r="AM733" s="344" t="s">
        <v>818</v>
      </c>
      <c r="AN733" s="807"/>
    </row>
    <row r="734" spans="1:40" ht="12.6">
      <c r="A734" s="990" t="s">
        <v>856</v>
      </c>
      <c r="B734" s="991" t="s">
        <v>820</v>
      </c>
      <c r="C734" s="991"/>
      <c r="D734" s="991" t="s">
        <v>109</v>
      </c>
      <c r="E734" s="991" t="s">
        <v>130</v>
      </c>
      <c r="F734" s="808" t="s">
        <v>99</v>
      </c>
      <c r="G734" s="808" t="s">
        <v>99</v>
      </c>
      <c r="H734" s="808" t="s">
        <v>99</v>
      </c>
      <c r="I734" s="808" t="s">
        <v>99</v>
      </c>
      <c r="J734" s="808" t="s">
        <v>99</v>
      </c>
      <c r="K734" s="808" t="s">
        <v>99</v>
      </c>
      <c r="L734" s="808" t="s">
        <v>99</v>
      </c>
      <c r="M734" s="808" t="s">
        <v>99</v>
      </c>
      <c r="N734" s="808" t="s">
        <v>99</v>
      </c>
      <c r="O734" s="808" t="s">
        <v>99</v>
      </c>
      <c r="P734" s="808" t="s">
        <v>99</v>
      </c>
      <c r="Q734" s="808" t="s">
        <v>99</v>
      </c>
      <c r="R734" s="808" t="s">
        <v>99</v>
      </c>
      <c r="S734" s="808" t="s">
        <v>99</v>
      </c>
      <c r="T734" s="808" t="s">
        <v>99</v>
      </c>
      <c r="U734" s="808" t="s">
        <v>99</v>
      </c>
      <c r="V734" s="808" t="s">
        <v>99</v>
      </c>
      <c r="W734" s="808" t="s">
        <v>99</v>
      </c>
      <c r="X734" s="808" t="s">
        <v>99</v>
      </c>
      <c r="Y734" s="808" t="s">
        <v>99</v>
      </c>
      <c r="Z734" s="808" t="s">
        <v>99</v>
      </c>
      <c r="AA734" s="808" t="s">
        <v>99</v>
      </c>
      <c r="AB734" s="808" t="s">
        <v>99</v>
      </c>
      <c r="AC734" s="808" t="s">
        <v>99</v>
      </c>
      <c r="AD734" s="808" t="s">
        <v>99</v>
      </c>
      <c r="AE734" s="808" t="s">
        <v>99</v>
      </c>
      <c r="AF734" s="808" t="s">
        <v>99</v>
      </c>
      <c r="AG734" s="808" t="s">
        <v>99</v>
      </c>
      <c r="AH734" s="808" t="s">
        <v>99</v>
      </c>
      <c r="AI734" s="808" t="s">
        <v>99</v>
      </c>
      <c r="AJ734" s="808" t="s">
        <v>99</v>
      </c>
      <c r="AK734" s="808" t="s">
        <v>99</v>
      </c>
      <c r="AL734" s="808" t="s">
        <v>99</v>
      </c>
      <c r="AM734" s="344" t="s">
        <v>838</v>
      </c>
      <c r="AN734" s="807"/>
    </row>
    <row r="735" spans="1:40" ht="12.6">
      <c r="A735" s="990" t="s">
        <v>857</v>
      </c>
      <c r="B735" s="991" t="s">
        <v>823</v>
      </c>
      <c r="C735" s="991"/>
      <c r="D735" s="315"/>
      <c r="E735" s="991" t="s">
        <v>122</v>
      </c>
      <c r="F735" s="808" t="s">
        <v>99</v>
      </c>
      <c r="G735" s="808" t="s">
        <v>99</v>
      </c>
      <c r="H735" s="808" t="s">
        <v>99</v>
      </c>
      <c r="I735" s="808" t="s">
        <v>99</v>
      </c>
      <c r="J735" s="808" t="s">
        <v>99</v>
      </c>
      <c r="K735" s="808" t="s">
        <v>99</v>
      </c>
      <c r="L735" s="808" t="s">
        <v>99</v>
      </c>
      <c r="M735" s="808" t="s">
        <v>99</v>
      </c>
      <c r="N735" s="808" t="s">
        <v>99</v>
      </c>
      <c r="O735" s="808" t="s">
        <v>99</v>
      </c>
      <c r="P735" s="808" t="s">
        <v>99</v>
      </c>
      <c r="Q735" s="808" t="s">
        <v>99</v>
      </c>
      <c r="R735" s="808" t="s">
        <v>99</v>
      </c>
      <c r="S735" s="808" t="s">
        <v>99</v>
      </c>
      <c r="T735" s="808" t="s">
        <v>99</v>
      </c>
      <c r="U735" s="808" t="s">
        <v>99</v>
      </c>
      <c r="V735" s="808" t="s">
        <v>99</v>
      </c>
      <c r="W735" s="808" t="s">
        <v>99</v>
      </c>
      <c r="X735" s="808" t="s">
        <v>99</v>
      </c>
      <c r="Y735" s="808" t="s">
        <v>99</v>
      </c>
      <c r="Z735" s="808" t="s">
        <v>99</v>
      </c>
      <c r="AA735" s="808" t="s">
        <v>99</v>
      </c>
      <c r="AB735" s="808" t="s">
        <v>99</v>
      </c>
      <c r="AC735" s="808" t="s">
        <v>99</v>
      </c>
      <c r="AD735" s="808" t="s">
        <v>99</v>
      </c>
      <c r="AE735" s="808" t="s">
        <v>99</v>
      </c>
      <c r="AF735" s="808" t="s">
        <v>99</v>
      </c>
      <c r="AG735" s="808" t="s">
        <v>99</v>
      </c>
      <c r="AH735" s="808" t="s">
        <v>99</v>
      </c>
      <c r="AI735" s="808" t="s">
        <v>99</v>
      </c>
      <c r="AJ735" s="808" t="s">
        <v>99</v>
      </c>
      <c r="AK735" s="808" t="s">
        <v>99</v>
      </c>
      <c r="AL735" s="808" t="s">
        <v>99</v>
      </c>
      <c r="AM735" s="344" t="s">
        <v>838</v>
      </c>
      <c r="AN735" s="807"/>
    </row>
    <row r="736" spans="1:40" ht="12.6">
      <c r="A736" s="990" t="s">
        <v>858</v>
      </c>
      <c r="B736" s="991" t="s">
        <v>825</v>
      </c>
      <c r="C736" s="991"/>
      <c r="D736" s="315"/>
      <c r="E736" s="315"/>
      <c r="F736" s="809" t="s">
        <v>826</v>
      </c>
      <c r="G736" s="809" t="s">
        <v>826</v>
      </c>
      <c r="H736" s="809" t="s">
        <v>826</v>
      </c>
      <c r="I736" s="809" t="s">
        <v>826</v>
      </c>
      <c r="J736" s="809" t="s">
        <v>826</v>
      </c>
      <c r="K736" s="809" t="s">
        <v>826</v>
      </c>
      <c r="L736" s="809" t="s">
        <v>826</v>
      </c>
      <c r="M736" s="809" t="s">
        <v>826</v>
      </c>
      <c r="N736" s="809" t="s">
        <v>826</v>
      </c>
      <c r="O736" s="809" t="s">
        <v>826</v>
      </c>
      <c r="P736" s="809" t="s">
        <v>826</v>
      </c>
      <c r="Q736" s="809" t="s">
        <v>826</v>
      </c>
      <c r="R736" s="809" t="s">
        <v>826</v>
      </c>
      <c r="S736" s="809" t="s">
        <v>826</v>
      </c>
      <c r="T736" s="809" t="s">
        <v>826</v>
      </c>
      <c r="U736" s="809" t="s">
        <v>826</v>
      </c>
      <c r="V736" s="809" t="s">
        <v>826</v>
      </c>
      <c r="W736" s="809" t="s">
        <v>826</v>
      </c>
      <c r="X736" s="809" t="s">
        <v>826</v>
      </c>
      <c r="Y736" s="809" t="s">
        <v>826</v>
      </c>
      <c r="Z736" s="809" t="s">
        <v>826</v>
      </c>
      <c r="AA736" s="809" t="s">
        <v>826</v>
      </c>
      <c r="AB736" s="809" t="s">
        <v>826</v>
      </c>
      <c r="AC736" s="809" t="s">
        <v>826</v>
      </c>
      <c r="AD736" s="809" t="s">
        <v>826</v>
      </c>
      <c r="AE736" s="809" t="s">
        <v>826</v>
      </c>
      <c r="AF736" s="809" t="s">
        <v>826</v>
      </c>
      <c r="AG736" s="809" t="s">
        <v>826</v>
      </c>
      <c r="AH736" s="809" t="s">
        <v>826</v>
      </c>
      <c r="AI736" s="809" t="s">
        <v>826</v>
      </c>
      <c r="AJ736" s="809" t="s">
        <v>826</v>
      </c>
      <c r="AK736" s="809" t="s">
        <v>826</v>
      </c>
      <c r="AL736" s="809" t="s">
        <v>826</v>
      </c>
      <c r="AM736" s="315"/>
      <c r="AN736" s="315"/>
    </row>
    <row r="737" spans="1:40" ht="12.6">
      <c r="A737" s="990" t="s">
        <v>859</v>
      </c>
      <c r="B737" s="991" t="s">
        <v>134</v>
      </c>
      <c r="D737" s="315"/>
      <c r="E737" s="315"/>
      <c r="F737" s="809" t="s">
        <v>828</v>
      </c>
      <c r="G737" s="809" t="s">
        <v>828</v>
      </c>
      <c r="H737" s="809" t="s">
        <v>828</v>
      </c>
      <c r="I737" s="809" t="s">
        <v>828</v>
      </c>
      <c r="J737" s="809" t="s">
        <v>828</v>
      </c>
      <c r="K737" s="809" t="s">
        <v>828</v>
      </c>
      <c r="L737" s="809" t="s">
        <v>828</v>
      </c>
      <c r="M737" s="809" t="s">
        <v>828</v>
      </c>
      <c r="N737" s="809" t="s">
        <v>828</v>
      </c>
      <c r="O737" s="809" t="s">
        <v>828</v>
      </c>
      <c r="P737" s="809" t="s">
        <v>828</v>
      </c>
      <c r="Q737" s="809" t="s">
        <v>828</v>
      </c>
      <c r="R737" s="809" t="s">
        <v>828</v>
      </c>
      <c r="S737" s="809" t="s">
        <v>828</v>
      </c>
      <c r="T737" s="809" t="s">
        <v>828</v>
      </c>
      <c r="U737" s="809" t="s">
        <v>828</v>
      </c>
      <c r="V737" s="809" t="s">
        <v>828</v>
      </c>
      <c r="W737" s="809" t="s">
        <v>828</v>
      </c>
      <c r="X737" s="809" t="s">
        <v>828</v>
      </c>
      <c r="Y737" s="809" t="s">
        <v>828</v>
      </c>
      <c r="Z737" s="809" t="s">
        <v>828</v>
      </c>
      <c r="AA737" s="809" t="s">
        <v>828</v>
      </c>
      <c r="AB737" s="809" t="s">
        <v>828</v>
      </c>
      <c r="AC737" s="809" t="s">
        <v>828</v>
      </c>
      <c r="AD737" s="809" t="s">
        <v>828</v>
      </c>
      <c r="AE737" s="809" t="s">
        <v>828</v>
      </c>
      <c r="AF737" s="809" t="s">
        <v>828</v>
      </c>
      <c r="AG737" s="809" t="s">
        <v>828</v>
      </c>
      <c r="AH737" s="809" t="s">
        <v>828</v>
      </c>
      <c r="AI737" s="809" t="s">
        <v>828</v>
      </c>
      <c r="AJ737" s="809" t="s">
        <v>828</v>
      </c>
      <c r="AK737" s="809" t="s">
        <v>828</v>
      </c>
      <c r="AL737" s="809" t="s">
        <v>828</v>
      </c>
      <c r="AM737" s="315"/>
      <c r="AN737" s="315"/>
    </row>
    <row r="738" spans="1:40" s="797" customFormat="1" ht="12.95">
      <c r="A738" s="989" t="s">
        <v>860</v>
      </c>
      <c r="B738" s="796"/>
      <c r="C738" s="796"/>
      <c r="D738" s="796"/>
      <c r="E738" s="796"/>
      <c r="F738" s="795"/>
      <c r="G738" s="795"/>
      <c r="H738" s="795"/>
      <c r="I738" s="795"/>
      <c r="J738" s="795"/>
      <c r="K738" s="795"/>
      <c r="L738" s="795"/>
      <c r="M738" s="795"/>
      <c r="N738" s="795"/>
      <c r="O738" s="795"/>
      <c r="P738" s="795"/>
      <c r="Q738" s="795"/>
      <c r="R738" s="795"/>
      <c r="S738" s="795"/>
      <c r="T738" s="795"/>
      <c r="U738" s="795"/>
      <c r="V738" s="795"/>
      <c r="W738" s="795"/>
      <c r="X738" s="795"/>
      <c r="Y738" s="795"/>
      <c r="Z738" s="795"/>
      <c r="AA738" s="795"/>
      <c r="AB738" s="795"/>
      <c r="AC738" s="795"/>
      <c r="AD738" s="795"/>
      <c r="AE738" s="795"/>
      <c r="AF738" s="795"/>
      <c r="AG738" s="795"/>
      <c r="AH738" s="795"/>
      <c r="AI738" s="795"/>
      <c r="AJ738" s="795"/>
      <c r="AK738" s="795"/>
      <c r="AL738" s="795"/>
      <c r="AM738" s="796"/>
      <c r="AN738" s="796"/>
    </row>
    <row r="739" spans="1:40" ht="12.6">
      <c r="A739" s="990" t="s">
        <v>861</v>
      </c>
      <c r="B739" s="991" t="s">
        <v>128</v>
      </c>
      <c r="C739" s="991"/>
      <c r="D739" s="991" t="s">
        <v>129</v>
      </c>
      <c r="E739" s="991" t="s">
        <v>130</v>
      </c>
      <c r="F739" s="808" t="s">
        <v>108</v>
      </c>
      <c r="G739" s="808" t="s">
        <v>108</v>
      </c>
      <c r="H739" s="808" t="s">
        <v>108</v>
      </c>
      <c r="I739" s="808" t="s">
        <v>108</v>
      </c>
      <c r="J739" s="808" t="s">
        <v>108</v>
      </c>
      <c r="K739" s="808" t="s">
        <v>108</v>
      </c>
      <c r="L739" s="808" t="s">
        <v>108</v>
      </c>
      <c r="M739" s="808" t="s">
        <v>108</v>
      </c>
      <c r="N739" s="808" t="s">
        <v>108</v>
      </c>
      <c r="O739" s="808" t="s">
        <v>108</v>
      </c>
      <c r="P739" s="808" t="s">
        <v>108</v>
      </c>
      <c r="Q739" s="808" t="s">
        <v>108</v>
      </c>
      <c r="R739" s="808" t="s">
        <v>108</v>
      </c>
      <c r="S739" s="808" t="s">
        <v>108</v>
      </c>
      <c r="T739" s="808" t="s">
        <v>108</v>
      </c>
      <c r="U739" s="808" t="s">
        <v>108</v>
      </c>
      <c r="V739" s="808" t="s">
        <v>108</v>
      </c>
      <c r="W739" s="808" t="s">
        <v>108</v>
      </c>
      <c r="X739" s="808" t="s">
        <v>108</v>
      </c>
      <c r="Y739" s="808" t="s">
        <v>108</v>
      </c>
      <c r="Z739" s="808" t="s">
        <v>108</v>
      </c>
      <c r="AA739" s="808" t="s">
        <v>108</v>
      </c>
      <c r="AB739" s="808" t="s">
        <v>108</v>
      </c>
      <c r="AC739" s="808" t="s">
        <v>108</v>
      </c>
      <c r="AD739" s="808" t="s">
        <v>108</v>
      </c>
      <c r="AE739" s="808" t="s">
        <v>108</v>
      </c>
      <c r="AF739" s="808" t="s">
        <v>108</v>
      </c>
      <c r="AG739" s="808" t="s">
        <v>108</v>
      </c>
      <c r="AH739" s="808" t="s">
        <v>108</v>
      </c>
      <c r="AI739" s="808" t="s">
        <v>108</v>
      </c>
      <c r="AJ739" s="808" t="s">
        <v>108</v>
      </c>
      <c r="AK739" s="808" t="s">
        <v>108</v>
      </c>
      <c r="AL739" s="808" t="s">
        <v>108</v>
      </c>
      <c r="AM739" s="315"/>
      <c r="AN739" s="315"/>
    </row>
    <row r="740" spans="1:40" ht="12.6">
      <c r="A740" s="990" t="s">
        <v>862</v>
      </c>
      <c r="B740" s="991" t="s">
        <v>820</v>
      </c>
      <c r="C740" s="991"/>
      <c r="D740" s="991" t="s">
        <v>109</v>
      </c>
      <c r="E740" s="991" t="s">
        <v>130</v>
      </c>
      <c r="F740" s="808" t="s">
        <v>108</v>
      </c>
      <c r="G740" s="808" t="s">
        <v>108</v>
      </c>
      <c r="H740" s="808" t="s">
        <v>108</v>
      </c>
      <c r="I740" s="808" t="s">
        <v>108</v>
      </c>
      <c r="J740" s="808" t="s">
        <v>108</v>
      </c>
      <c r="K740" s="808" t="s">
        <v>108</v>
      </c>
      <c r="L740" s="808" t="s">
        <v>108</v>
      </c>
      <c r="M740" s="808" t="s">
        <v>108</v>
      </c>
      <c r="N740" s="808" t="s">
        <v>108</v>
      </c>
      <c r="O740" s="808" t="s">
        <v>108</v>
      </c>
      <c r="P740" s="808" t="s">
        <v>108</v>
      </c>
      <c r="Q740" s="808" t="s">
        <v>108</v>
      </c>
      <c r="R740" s="808" t="s">
        <v>108</v>
      </c>
      <c r="S740" s="808" t="s">
        <v>108</v>
      </c>
      <c r="T740" s="808" t="s">
        <v>108</v>
      </c>
      <c r="U740" s="808" t="s">
        <v>108</v>
      </c>
      <c r="V740" s="808" t="s">
        <v>108</v>
      </c>
      <c r="W740" s="808" t="s">
        <v>108</v>
      </c>
      <c r="X740" s="808" t="s">
        <v>108</v>
      </c>
      <c r="Y740" s="808" t="s">
        <v>108</v>
      </c>
      <c r="Z740" s="808" t="s">
        <v>108</v>
      </c>
      <c r="AA740" s="808" t="s">
        <v>108</v>
      </c>
      <c r="AB740" s="808" t="s">
        <v>108</v>
      </c>
      <c r="AC740" s="808" t="s">
        <v>108</v>
      </c>
      <c r="AD740" s="808" t="s">
        <v>108</v>
      </c>
      <c r="AE740" s="808" t="s">
        <v>108</v>
      </c>
      <c r="AF740" s="808" t="s">
        <v>108</v>
      </c>
      <c r="AG740" s="808" t="s">
        <v>108</v>
      </c>
      <c r="AH740" s="808" t="s">
        <v>108</v>
      </c>
      <c r="AI740" s="808" t="s">
        <v>108</v>
      </c>
      <c r="AJ740" s="808" t="s">
        <v>108</v>
      </c>
      <c r="AK740" s="808" t="s">
        <v>108</v>
      </c>
      <c r="AL740" s="808" t="s">
        <v>108</v>
      </c>
      <c r="AM740" s="315"/>
      <c r="AN740" s="315"/>
    </row>
    <row r="741" spans="1:40" ht="12.6">
      <c r="A741" s="990" t="s">
        <v>863</v>
      </c>
      <c r="B741" s="991" t="s">
        <v>823</v>
      </c>
      <c r="C741" s="991"/>
      <c r="D741" s="315"/>
      <c r="E741" s="991" t="s">
        <v>122</v>
      </c>
      <c r="F741" s="808" t="s">
        <v>108</v>
      </c>
      <c r="G741" s="808" t="s">
        <v>108</v>
      </c>
      <c r="H741" s="808" t="s">
        <v>108</v>
      </c>
      <c r="I741" s="808" t="s">
        <v>108</v>
      </c>
      <c r="J741" s="808" t="s">
        <v>108</v>
      </c>
      <c r="K741" s="808" t="s">
        <v>108</v>
      </c>
      <c r="L741" s="808" t="s">
        <v>108</v>
      </c>
      <c r="M741" s="808" t="s">
        <v>108</v>
      </c>
      <c r="N741" s="808" t="s">
        <v>108</v>
      </c>
      <c r="O741" s="808" t="s">
        <v>108</v>
      </c>
      <c r="P741" s="808" t="s">
        <v>108</v>
      </c>
      <c r="Q741" s="808" t="s">
        <v>108</v>
      </c>
      <c r="R741" s="808" t="s">
        <v>108</v>
      </c>
      <c r="S741" s="808" t="s">
        <v>108</v>
      </c>
      <c r="T741" s="808" t="s">
        <v>108</v>
      </c>
      <c r="U741" s="808" t="s">
        <v>108</v>
      </c>
      <c r="V741" s="808" t="s">
        <v>108</v>
      </c>
      <c r="W741" s="808" t="s">
        <v>108</v>
      </c>
      <c r="X741" s="808" t="s">
        <v>108</v>
      </c>
      <c r="Y741" s="808" t="s">
        <v>108</v>
      </c>
      <c r="Z741" s="808" t="s">
        <v>108</v>
      </c>
      <c r="AA741" s="808" t="s">
        <v>108</v>
      </c>
      <c r="AB741" s="808" t="s">
        <v>108</v>
      </c>
      <c r="AC741" s="808" t="s">
        <v>108</v>
      </c>
      <c r="AD741" s="808" t="s">
        <v>108</v>
      </c>
      <c r="AE741" s="808" t="s">
        <v>108</v>
      </c>
      <c r="AF741" s="808" t="s">
        <v>108</v>
      </c>
      <c r="AG741" s="808" t="s">
        <v>108</v>
      </c>
      <c r="AH741" s="808" t="s">
        <v>108</v>
      </c>
      <c r="AI741" s="808" t="s">
        <v>108</v>
      </c>
      <c r="AJ741" s="808" t="s">
        <v>108</v>
      </c>
      <c r="AK741" s="808" t="s">
        <v>108</v>
      </c>
      <c r="AL741" s="808" t="s">
        <v>108</v>
      </c>
      <c r="AM741" s="315"/>
      <c r="AN741" s="315"/>
    </row>
    <row r="742" spans="1:40" ht="12.6">
      <c r="A742" s="990" t="s">
        <v>864</v>
      </c>
      <c r="B742" s="991" t="s">
        <v>825</v>
      </c>
      <c r="C742" s="991"/>
      <c r="D742" s="315"/>
      <c r="E742" s="315"/>
      <c r="F742" s="809" t="s">
        <v>826</v>
      </c>
      <c r="G742" s="809" t="s">
        <v>826</v>
      </c>
      <c r="H742" s="809" t="s">
        <v>826</v>
      </c>
      <c r="I742" s="809" t="s">
        <v>826</v>
      </c>
      <c r="J742" s="809" t="s">
        <v>826</v>
      </c>
      <c r="K742" s="809" t="s">
        <v>826</v>
      </c>
      <c r="L742" s="809" t="s">
        <v>826</v>
      </c>
      <c r="M742" s="809" t="s">
        <v>826</v>
      </c>
      <c r="N742" s="809" t="s">
        <v>826</v>
      </c>
      <c r="O742" s="809" t="s">
        <v>826</v>
      </c>
      <c r="P742" s="809" t="s">
        <v>826</v>
      </c>
      <c r="Q742" s="809" t="s">
        <v>826</v>
      </c>
      <c r="R742" s="809" t="s">
        <v>826</v>
      </c>
      <c r="S742" s="809" t="s">
        <v>826</v>
      </c>
      <c r="T742" s="809" t="s">
        <v>826</v>
      </c>
      <c r="U742" s="809" t="s">
        <v>826</v>
      </c>
      <c r="V742" s="809" t="s">
        <v>826</v>
      </c>
      <c r="W742" s="809" t="s">
        <v>826</v>
      </c>
      <c r="X742" s="809" t="s">
        <v>826</v>
      </c>
      <c r="Y742" s="809" t="s">
        <v>826</v>
      </c>
      <c r="Z742" s="809" t="s">
        <v>826</v>
      </c>
      <c r="AA742" s="809" t="s">
        <v>826</v>
      </c>
      <c r="AB742" s="809" t="s">
        <v>826</v>
      </c>
      <c r="AC742" s="809" t="s">
        <v>826</v>
      </c>
      <c r="AD742" s="809" t="s">
        <v>826</v>
      </c>
      <c r="AE742" s="809" t="s">
        <v>826</v>
      </c>
      <c r="AF742" s="809" t="s">
        <v>826</v>
      </c>
      <c r="AG742" s="809" t="s">
        <v>826</v>
      </c>
      <c r="AH742" s="809" t="s">
        <v>826</v>
      </c>
      <c r="AI742" s="809" t="s">
        <v>826</v>
      </c>
      <c r="AJ742" s="809" t="s">
        <v>826</v>
      </c>
      <c r="AK742" s="809" t="s">
        <v>826</v>
      </c>
      <c r="AL742" s="809" t="s">
        <v>826</v>
      </c>
      <c r="AM742" s="315"/>
      <c r="AN742" s="315"/>
    </row>
    <row r="743" spans="1:40" ht="12.6">
      <c r="A743" s="990" t="s">
        <v>865</v>
      </c>
      <c r="B743" s="991" t="s">
        <v>134</v>
      </c>
      <c r="D743" s="315"/>
      <c r="E743" s="315"/>
      <c r="F743" s="809" t="s">
        <v>828</v>
      </c>
      <c r="G743" s="809" t="s">
        <v>828</v>
      </c>
      <c r="H743" s="809" t="s">
        <v>828</v>
      </c>
      <c r="I743" s="809" t="s">
        <v>828</v>
      </c>
      <c r="J743" s="809" t="s">
        <v>828</v>
      </c>
      <c r="K743" s="809" t="s">
        <v>828</v>
      </c>
      <c r="L743" s="809" t="s">
        <v>828</v>
      </c>
      <c r="M743" s="809" t="s">
        <v>828</v>
      </c>
      <c r="N743" s="809" t="s">
        <v>828</v>
      </c>
      <c r="O743" s="809" t="s">
        <v>828</v>
      </c>
      <c r="P743" s="809" t="s">
        <v>828</v>
      </c>
      <c r="Q743" s="809" t="s">
        <v>828</v>
      </c>
      <c r="R743" s="809" t="s">
        <v>828</v>
      </c>
      <c r="S743" s="809" t="s">
        <v>828</v>
      </c>
      <c r="T743" s="809" t="s">
        <v>828</v>
      </c>
      <c r="U743" s="809" t="s">
        <v>828</v>
      </c>
      <c r="V743" s="809" t="s">
        <v>828</v>
      </c>
      <c r="W743" s="809" t="s">
        <v>828</v>
      </c>
      <c r="X743" s="809" t="s">
        <v>828</v>
      </c>
      <c r="Y743" s="809" t="s">
        <v>828</v>
      </c>
      <c r="Z743" s="809" t="s">
        <v>828</v>
      </c>
      <c r="AA743" s="809" t="s">
        <v>828</v>
      </c>
      <c r="AB743" s="809" t="s">
        <v>828</v>
      </c>
      <c r="AC743" s="809" t="s">
        <v>828</v>
      </c>
      <c r="AD743" s="809" t="s">
        <v>828</v>
      </c>
      <c r="AE743" s="809" t="s">
        <v>828</v>
      </c>
      <c r="AF743" s="809" t="s">
        <v>828</v>
      </c>
      <c r="AG743" s="809" t="s">
        <v>828</v>
      </c>
      <c r="AH743" s="809" t="s">
        <v>828</v>
      </c>
      <c r="AI743" s="809" t="s">
        <v>828</v>
      </c>
      <c r="AJ743" s="809" t="s">
        <v>828</v>
      </c>
      <c r="AK743" s="809" t="s">
        <v>828</v>
      </c>
      <c r="AL743" s="809" t="s">
        <v>828</v>
      </c>
      <c r="AM743" s="315"/>
      <c r="AN743" s="315"/>
    </row>
    <row r="744" spans="1:40" s="797" customFormat="1" ht="12.95">
      <c r="A744" s="989" t="s">
        <v>866</v>
      </c>
      <c r="B744" s="796"/>
      <c r="C744" s="796"/>
      <c r="D744" s="796"/>
      <c r="E744" s="796"/>
      <c r="F744" s="795"/>
      <c r="G744" s="795"/>
      <c r="H744" s="795"/>
      <c r="I744" s="795"/>
      <c r="J744" s="795"/>
      <c r="K744" s="795"/>
      <c r="L744" s="795"/>
      <c r="M744" s="795"/>
      <c r="N744" s="795"/>
      <c r="O744" s="795"/>
      <c r="P744" s="795"/>
      <c r="Q744" s="795"/>
      <c r="R744" s="795"/>
      <c r="S744" s="795"/>
      <c r="T744" s="795"/>
      <c r="U744" s="795"/>
      <c r="V744" s="795"/>
      <c r="W744" s="795"/>
      <c r="X744" s="795"/>
      <c r="Y744" s="795"/>
      <c r="Z744" s="795"/>
      <c r="AA744" s="795"/>
      <c r="AB744" s="795"/>
      <c r="AC744" s="795"/>
      <c r="AD744" s="795"/>
      <c r="AE744" s="795"/>
      <c r="AF744" s="795"/>
      <c r="AG744" s="795"/>
      <c r="AH744" s="795"/>
      <c r="AI744" s="795"/>
      <c r="AJ744" s="795"/>
      <c r="AK744" s="795"/>
      <c r="AL744" s="795"/>
      <c r="AM744" s="796"/>
      <c r="AN744" s="796"/>
    </row>
    <row r="745" spans="1:40" ht="12.6">
      <c r="A745" s="990" t="s">
        <v>867</v>
      </c>
      <c r="B745" s="991" t="s">
        <v>128</v>
      </c>
      <c r="C745" s="991"/>
      <c r="D745" s="991" t="s">
        <v>129</v>
      </c>
      <c r="E745" s="991" t="s">
        <v>130</v>
      </c>
      <c r="F745" s="808" t="s">
        <v>99</v>
      </c>
      <c r="G745" s="808" t="s">
        <v>99</v>
      </c>
      <c r="H745" s="808" t="s">
        <v>99</v>
      </c>
      <c r="I745" s="808" t="s">
        <v>99</v>
      </c>
      <c r="J745" s="808" t="s">
        <v>99</v>
      </c>
      <c r="K745" s="808" t="s">
        <v>99</v>
      </c>
      <c r="L745" s="808" t="s">
        <v>99</v>
      </c>
      <c r="M745" s="808" t="s">
        <v>99</v>
      </c>
      <c r="N745" s="808" t="s">
        <v>99</v>
      </c>
      <c r="O745" s="808" t="s">
        <v>99</v>
      </c>
      <c r="P745" s="808" t="s">
        <v>99</v>
      </c>
      <c r="Q745" s="808" t="s">
        <v>99</v>
      </c>
      <c r="R745" s="808" t="s">
        <v>99</v>
      </c>
      <c r="S745" s="808" t="s">
        <v>99</v>
      </c>
      <c r="T745" s="808" t="s">
        <v>99</v>
      </c>
      <c r="U745" s="808" t="s">
        <v>99</v>
      </c>
      <c r="V745" s="808" t="s">
        <v>99</v>
      </c>
      <c r="W745" s="808" t="s">
        <v>99</v>
      </c>
      <c r="X745" s="808" t="s">
        <v>99</v>
      </c>
      <c r="Y745" s="808" t="s">
        <v>99</v>
      </c>
      <c r="Z745" s="808" t="s">
        <v>99</v>
      </c>
      <c r="AA745" s="808" t="s">
        <v>99</v>
      </c>
      <c r="AB745" s="808" t="s">
        <v>99</v>
      </c>
      <c r="AC745" s="808" t="s">
        <v>99</v>
      </c>
      <c r="AD745" s="808" t="s">
        <v>99</v>
      </c>
      <c r="AE745" s="808" t="s">
        <v>99</v>
      </c>
      <c r="AF745" s="808" t="s">
        <v>99</v>
      </c>
      <c r="AG745" s="808" t="s">
        <v>99</v>
      </c>
      <c r="AH745" s="808" t="s">
        <v>99</v>
      </c>
      <c r="AI745" s="808" t="s">
        <v>99</v>
      </c>
      <c r="AJ745" s="808" t="s">
        <v>99</v>
      </c>
      <c r="AK745" s="808" t="s">
        <v>99</v>
      </c>
      <c r="AL745" s="808" t="s">
        <v>99</v>
      </c>
      <c r="AM745" s="344" t="s">
        <v>818</v>
      </c>
      <c r="AN745" s="807"/>
    </row>
    <row r="746" spans="1:40" ht="12.6">
      <c r="A746" s="990" t="s">
        <v>868</v>
      </c>
      <c r="B746" s="991" t="s">
        <v>820</v>
      </c>
      <c r="C746" s="991"/>
      <c r="D746" s="991" t="s">
        <v>109</v>
      </c>
      <c r="E746" s="991" t="s">
        <v>130</v>
      </c>
      <c r="F746" s="808" t="s">
        <v>99</v>
      </c>
      <c r="G746" s="808" t="s">
        <v>99</v>
      </c>
      <c r="H746" s="808" t="s">
        <v>99</v>
      </c>
      <c r="I746" s="808" t="s">
        <v>99</v>
      </c>
      <c r="J746" s="808" t="s">
        <v>99</v>
      </c>
      <c r="K746" s="808" t="s">
        <v>99</v>
      </c>
      <c r="L746" s="808" t="s">
        <v>99</v>
      </c>
      <c r="M746" s="808" t="s">
        <v>99</v>
      </c>
      <c r="N746" s="808" t="s">
        <v>99</v>
      </c>
      <c r="O746" s="808" t="s">
        <v>99</v>
      </c>
      <c r="P746" s="808" t="s">
        <v>99</v>
      </c>
      <c r="Q746" s="808" t="s">
        <v>99</v>
      </c>
      <c r="R746" s="808" t="s">
        <v>99</v>
      </c>
      <c r="S746" s="808" t="s">
        <v>99</v>
      </c>
      <c r="T746" s="808" t="s">
        <v>99</v>
      </c>
      <c r="U746" s="808" t="s">
        <v>99</v>
      </c>
      <c r="V746" s="808" t="s">
        <v>99</v>
      </c>
      <c r="W746" s="808" t="s">
        <v>99</v>
      </c>
      <c r="X746" s="808" t="s">
        <v>99</v>
      </c>
      <c r="Y746" s="808" t="s">
        <v>99</v>
      </c>
      <c r="Z746" s="808" t="s">
        <v>99</v>
      </c>
      <c r="AA746" s="808" t="s">
        <v>99</v>
      </c>
      <c r="AB746" s="808" t="s">
        <v>99</v>
      </c>
      <c r="AC746" s="808" t="s">
        <v>99</v>
      </c>
      <c r="AD746" s="808" t="s">
        <v>99</v>
      </c>
      <c r="AE746" s="808" t="s">
        <v>99</v>
      </c>
      <c r="AF746" s="808" t="s">
        <v>99</v>
      </c>
      <c r="AG746" s="808" t="s">
        <v>99</v>
      </c>
      <c r="AH746" s="808" t="s">
        <v>99</v>
      </c>
      <c r="AI746" s="808" t="s">
        <v>99</v>
      </c>
      <c r="AJ746" s="808" t="s">
        <v>99</v>
      </c>
      <c r="AK746" s="808" t="s">
        <v>99</v>
      </c>
      <c r="AL746" s="808" t="s">
        <v>99</v>
      </c>
      <c r="AM746" s="344" t="s">
        <v>821</v>
      </c>
      <c r="AN746" s="807"/>
    </row>
    <row r="747" spans="1:40" ht="12.6">
      <c r="A747" s="990" t="s">
        <v>869</v>
      </c>
      <c r="B747" s="991" t="s">
        <v>823</v>
      </c>
      <c r="C747" s="991"/>
      <c r="D747" s="315"/>
      <c r="E747" s="991" t="s">
        <v>122</v>
      </c>
      <c r="F747" s="808" t="s">
        <v>99</v>
      </c>
      <c r="G747" s="808" t="s">
        <v>99</v>
      </c>
      <c r="H747" s="808" t="s">
        <v>99</v>
      </c>
      <c r="I747" s="808" t="s">
        <v>99</v>
      </c>
      <c r="J747" s="808" t="s">
        <v>99</v>
      </c>
      <c r="K747" s="808" t="s">
        <v>99</v>
      </c>
      <c r="L747" s="808" t="s">
        <v>99</v>
      </c>
      <c r="M747" s="808" t="s">
        <v>99</v>
      </c>
      <c r="N747" s="808" t="s">
        <v>99</v>
      </c>
      <c r="O747" s="808" t="s">
        <v>99</v>
      </c>
      <c r="P747" s="808" t="s">
        <v>99</v>
      </c>
      <c r="Q747" s="808" t="s">
        <v>99</v>
      </c>
      <c r="R747" s="808" t="s">
        <v>99</v>
      </c>
      <c r="S747" s="808" t="s">
        <v>99</v>
      </c>
      <c r="T747" s="808" t="s">
        <v>99</v>
      </c>
      <c r="U747" s="808" t="s">
        <v>99</v>
      </c>
      <c r="V747" s="808" t="s">
        <v>99</v>
      </c>
      <c r="W747" s="808" t="s">
        <v>99</v>
      </c>
      <c r="X747" s="808" t="s">
        <v>99</v>
      </c>
      <c r="Y747" s="808" t="s">
        <v>99</v>
      </c>
      <c r="Z747" s="808" t="s">
        <v>99</v>
      </c>
      <c r="AA747" s="808" t="s">
        <v>99</v>
      </c>
      <c r="AB747" s="808" t="s">
        <v>99</v>
      </c>
      <c r="AC747" s="808" t="s">
        <v>99</v>
      </c>
      <c r="AD747" s="808" t="s">
        <v>99</v>
      </c>
      <c r="AE747" s="808" t="s">
        <v>99</v>
      </c>
      <c r="AF747" s="808" t="s">
        <v>99</v>
      </c>
      <c r="AG747" s="808" t="s">
        <v>99</v>
      </c>
      <c r="AH747" s="808" t="s">
        <v>99</v>
      </c>
      <c r="AI747" s="808" t="s">
        <v>99</v>
      </c>
      <c r="AJ747" s="808" t="s">
        <v>99</v>
      </c>
      <c r="AK747" s="808" t="s">
        <v>99</v>
      </c>
      <c r="AL747" s="808" t="s">
        <v>99</v>
      </c>
      <c r="AM747" s="344" t="s">
        <v>821</v>
      </c>
      <c r="AN747" s="807"/>
    </row>
    <row r="748" spans="1:40" ht="12.6">
      <c r="A748" s="990" t="s">
        <v>870</v>
      </c>
      <c r="B748" s="991" t="s">
        <v>825</v>
      </c>
      <c r="C748" s="991"/>
      <c r="D748" s="315"/>
      <c r="E748" s="315"/>
      <c r="F748" s="809" t="s">
        <v>826</v>
      </c>
      <c r="G748" s="809" t="s">
        <v>826</v>
      </c>
      <c r="H748" s="809" t="s">
        <v>826</v>
      </c>
      <c r="I748" s="809" t="s">
        <v>826</v>
      </c>
      <c r="J748" s="809" t="s">
        <v>826</v>
      </c>
      <c r="K748" s="809" t="s">
        <v>826</v>
      </c>
      <c r="L748" s="809" t="s">
        <v>826</v>
      </c>
      <c r="M748" s="809" t="s">
        <v>826</v>
      </c>
      <c r="N748" s="809" t="s">
        <v>826</v>
      </c>
      <c r="O748" s="809" t="s">
        <v>826</v>
      </c>
      <c r="P748" s="809" t="s">
        <v>826</v>
      </c>
      <c r="Q748" s="809" t="s">
        <v>826</v>
      </c>
      <c r="R748" s="809" t="s">
        <v>826</v>
      </c>
      <c r="S748" s="809" t="s">
        <v>826</v>
      </c>
      <c r="T748" s="809" t="s">
        <v>826</v>
      </c>
      <c r="U748" s="809" t="s">
        <v>826</v>
      </c>
      <c r="V748" s="809" t="s">
        <v>826</v>
      </c>
      <c r="W748" s="809" t="s">
        <v>826</v>
      </c>
      <c r="X748" s="809" t="s">
        <v>826</v>
      </c>
      <c r="Y748" s="809" t="s">
        <v>826</v>
      </c>
      <c r="Z748" s="809" t="s">
        <v>826</v>
      </c>
      <c r="AA748" s="809" t="s">
        <v>826</v>
      </c>
      <c r="AB748" s="809" t="s">
        <v>826</v>
      </c>
      <c r="AC748" s="809" t="s">
        <v>826</v>
      </c>
      <c r="AD748" s="809" t="s">
        <v>826</v>
      </c>
      <c r="AE748" s="809" t="s">
        <v>826</v>
      </c>
      <c r="AF748" s="809" t="s">
        <v>826</v>
      </c>
      <c r="AG748" s="809" t="s">
        <v>826</v>
      </c>
      <c r="AH748" s="809" t="s">
        <v>826</v>
      </c>
      <c r="AI748" s="809" t="s">
        <v>826</v>
      </c>
      <c r="AJ748" s="809" t="s">
        <v>826</v>
      </c>
      <c r="AK748" s="809" t="s">
        <v>826</v>
      </c>
      <c r="AL748" s="809" t="s">
        <v>826</v>
      </c>
      <c r="AM748" s="315"/>
      <c r="AN748" s="315"/>
    </row>
    <row r="749" spans="1:40" ht="12.6">
      <c r="A749" s="990" t="s">
        <v>871</v>
      </c>
      <c r="B749" s="991" t="s">
        <v>134</v>
      </c>
      <c r="D749" s="315"/>
      <c r="E749" s="315"/>
      <c r="F749" s="809" t="s">
        <v>828</v>
      </c>
      <c r="G749" s="809" t="s">
        <v>828</v>
      </c>
      <c r="H749" s="809" t="s">
        <v>828</v>
      </c>
      <c r="I749" s="809" t="s">
        <v>828</v>
      </c>
      <c r="J749" s="809" t="s">
        <v>828</v>
      </c>
      <c r="K749" s="809" t="s">
        <v>828</v>
      </c>
      <c r="L749" s="809" t="s">
        <v>828</v>
      </c>
      <c r="M749" s="809" t="s">
        <v>828</v>
      </c>
      <c r="N749" s="809" t="s">
        <v>828</v>
      </c>
      <c r="O749" s="809" t="s">
        <v>828</v>
      </c>
      <c r="P749" s="809" t="s">
        <v>828</v>
      </c>
      <c r="Q749" s="809" t="s">
        <v>828</v>
      </c>
      <c r="R749" s="809" t="s">
        <v>828</v>
      </c>
      <c r="S749" s="809" t="s">
        <v>828</v>
      </c>
      <c r="T749" s="809" t="s">
        <v>828</v>
      </c>
      <c r="U749" s="809" t="s">
        <v>828</v>
      </c>
      <c r="V749" s="809" t="s">
        <v>828</v>
      </c>
      <c r="W749" s="809" t="s">
        <v>828</v>
      </c>
      <c r="X749" s="809" t="s">
        <v>828</v>
      </c>
      <c r="Y749" s="809" t="s">
        <v>828</v>
      </c>
      <c r="Z749" s="809" t="s">
        <v>828</v>
      </c>
      <c r="AA749" s="809" t="s">
        <v>828</v>
      </c>
      <c r="AB749" s="809" t="s">
        <v>828</v>
      </c>
      <c r="AC749" s="809" t="s">
        <v>828</v>
      </c>
      <c r="AD749" s="809" t="s">
        <v>828</v>
      </c>
      <c r="AE749" s="809" t="s">
        <v>828</v>
      </c>
      <c r="AF749" s="809" t="s">
        <v>828</v>
      </c>
      <c r="AG749" s="809" t="s">
        <v>828</v>
      </c>
      <c r="AH749" s="809" t="s">
        <v>828</v>
      </c>
      <c r="AI749" s="809" t="s">
        <v>828</v>
      </c>
      <c r="AJ749" s="809" t="s">
        <v>828</v>
      </c>
      <c r="AK749" s="809" t="s">
        <v>828</v>
      </c>
      <c r="AL749" s="809" t="s">
        <v>828</v>
      </c>
      <c r="AM749" s="315"/>
      <c r="AN749" s="315"/>
    </row>
    <row r="750" spans="1:40" s="797" customFormat="1" ht="12.95">
      <c r="A750" s="989" t="s">
        <v>872</v>
      </c>
      <c r="B750" s="796"/>
      <c r="C750" s="796"/>
      <c r="D750" s="796"/>
      <c r="E750" s="796"/>
      <c r="F750" s="795"/>
      <c r="G750" s="795"/>
      <c r="H750" s="795"/>
      <c r="I750" s="795"/>
      <c r="J750" s="795"/>
      <c r="K750" s="795"/>
      <c r="L750" s="795"/>
      <c r="M750" s="795"/>
      <c r="N750" s="795"/>
      <c r="O750" s="795"/>
      <c r="P750" s="795"/>
      <c r="Q750" s="795"/>
      <c r="R750" s="795"/>
      <c r="S750" s="795"/>
      <c r="T750" s="795"/>
      <c r="U750" s="795"/>
      <c r="V750" s="795"/>
      <c r="W750" s="795"/>
      <c r="X750" s="795"/>
      <c r="Y750" s="795"/>
      <c r="Z750" s="795"/>
      <c r="AA750" s="795"/>
      <c r="AB750" s="795"/>
      <c r="AC750" s="795"/>
      <c r="AD750" s="795"/>
      <c r="AE750" s="795"/>
      <c r="AF750" s="795"/>
      <c r="AG750" s="795"/>
      <c r="AH750" s="795"/>
      <c r="AI750" s="795"/>
      <c r="AJ750" s="795"/>
      <c r="AK750" s="795"/>
      <c r="AL750" s="795"/>
      <c r="AM750" s="796"/>
      <c r="AN750" s="796"/>
    </row>
    <row r="751" spans="1:40" ht="12.6">
      <c r="A751" s="990" t="s">
        <v>873</v>
      </c>
      <c r="B751" s="991" t="s">
        <v>128</v>
      </c>
      <c r="C751" s="991"/>
      <c r="D751" s="991" t="s">
        <v>129</v>
      </c>
      <c r="E751" s="991" t="s">
        <v>130</v>
      </c>
      <c r="F751" s="300" t="s">
        <v>99</v>
      </c>
      <c r="G751" s="300" t="s">
        <v>99</v>
      </c>
      <c r="H751" s="300" t="s">
        <v>99</v>
      </c>
      <c r="I751" s="300" t="s">
        <v>99</v>
      </c>
      <c r="J751" s="300" t="s">
        <v>99</v>
      </c>
      <c r="K751" s="300" t="s">
        <v>99</v>
      </c>
      <c r="L751" s="300" t="s">
        <v>99</v>
      </c>
      <c r="M751" s="300" t="s">
        <v>99</v>
      </c>
      <c r="N751" s="300" t="s">
        <v>99</v>
      </c>
      <c r="O751" s="300" t="s">
        <v>99</v>
      </c>
      <c r="P751" s="300" t="s">
        <v>99</v>
      </c>
      <c r="Q751" s="300" t="s">
        <v>99</v>
      </c>
      <c r="R751" s="300" t="s">
        <v>99</v>
      </c>
      <c r="S751" s="300" t="s">
        <v>99</v>
      </c>
      <c r="T751" s="300" t="s">
        <v>99</v>
      </c>
      <c r="U751" s="300" t="s">
        <v>99</v>
      </c>
      <c r="V751" s="300" t="s">
        <v>99</v>
      </c>
      <c r="W751" s="300" t="s">
        <v>99</v>
      </c>
      <c r="X751" s="300" t="s">
        <v>99</v>
      </c>
      <c r="Y751" s="300" t="s">
        <v>99</v>
      </c>
      <c r="Z751" s="300" t="s">
        <v>99</v>
      </c>
      <c r="AA751" s="300" t="s">
        <v>99</v>
      </c>
      <c r="AB751" s="300" t="s">
        <v>99</v>
      </c>
      <c r="AC751" s="300" t="s">
        <v>99</v>
      </c>
      <c r="AD751" s="300" t="s">
        <v>99</v>
      </c>
      <c r="AE751" s="300" t="s">
        <v>99</v>
      </c>
      <c r="AF751" s="300" t="s">
        <v>99</v>
      </c>
      <c r="AG751" s="300" t="s">
        <v>99</v>
      </c>
      <c r="AH751" s="300" t="s">
        <v>99</v>
      </c>
      <c r="AI751" s="300" t="s">
        <v>99</v>
      </c>
      <c r="AJ751" s="300" t="s">
        <v>99</v>
      </c>
      <c r="AK751" s="300" t="s">
        <v>99</v>
      </c>
      <c r="AL751" s="300" t="s">
        <v>99</v>
      </c>
      <c r="AM751" s="344" t="s">
        <v>818</v>
      </c>
      <c r="AN751" s="807"/>
    </row>
    <row r="752" spans="1:40" ht="12.6">
      <c r="A752" s="990" t="s">
        <v>874</v>
      </c>
      <c r="B752" s="991" t="s">
        <v>820</v>
      </c>
      <c r="C752" s="991"/>
      <c r="D752" s="991" t="s">
        <v>109</v>
      </c>
      <c r="E752" s="991" t="s">
        <v>130</v>
      </c>
      <c r="F752" s="300" t="s">
        <v>99</v>
      </c>
      <c r="G752" s="300" t="s">
        <v>99</v>
      </c>
      <c r="H752" s="300" t="s">
        <v>99</v>
      </c>
      <c r="I752" s="300" t="s">
        <v>99</v>
      </c>
      <c r="J752" s="300" t="s">
        <v>99</v>
      </c>
      <c r="K752" s="300" t="s">
        <v>99</v>
      </c>
      <c r="L752" s="300" t="s">
        <v>99</v>
      </c>
      <c r="M752" s="300" t="s">
        <v>99</v>
      </c>
      <c r="N752" s="300" t="s">
        <v>99</v>
      </c>
      <c r="O752" s="300" t="s">
        <v>99</v>
      </c>
      <c r="P752" s="300" t="s">
        <v>99</v>
      </c>
      <c r="Q752" s="300" t="s">
        <v>99</v>
      </c>
      <c r="R752" s="300" t="s">
        <v>99</v>
      </c>
      <c r="S752" s="300" t="s">
        <v>99</v>
      </c>
      <c r="T752" s="300" t="s">
        <v>99</v>
      </c>
      <c r="U752" s="300" t="s">
        <v>99</v>
      </c>
      <c r="V752" s="300" t="s">
        <v>99</v>
      </c>
      <c r="W752" s="300" t="s">
        <v>99</v>
      </c>
      <c r="X752" s="300" t="s">
        <v>99</v>
      </c>
      <c r="Y752" s="300" t="s">
        <v>99</v>
      </c>
      <c r="Z752" s="300" t="s">
        <v>99</v>
      </c>
      <c r="AA752" s="300" t="s">
        <v>99</v>
      </c>
      <c r="AB752" s="300" t="s">
        <v>99</v>
      </c>
      <c r="AC752" s="300" t="s">
        <v>99</v>
      </c>
      <c r="AD752" s="300" t="s">
        <v>99</v>
      </c>
      <c r="AE752" s="300" t="s">
        <v>99</v>
      </c>
      <c r="AF752" s="300" t="s">
        <v>99</v>
      </c>
      <c r="AG752" s="300" t="s">
        <v>99</v>
      </c>
      <c r="AH752" s="300" t="s">
        <v>99</v>
      </c>
      <c r="AI752" s="300" t="s">
        <v>99</v>
      </c>
      <c r="AJ752" s="300" t="s">
        <v>99</v>
      </c>
      <c r="AK752" s="300" t="s">
        <v>99</v>
      </c>
      <c r="AL752" s="300" t="s">
        <v>99</v>
      </c>
      <c r="AM752" s="344" t="s">
        <v>821</v>
      </c>
      <c r="AN752" s="807"/>
    </row>
    <row r="753" spans="1:40" ht="12.6">
      <c r="A753" s="990" t="s">
        <v>875</v>
      </c>
      <c r="B753" s="991" t="s">
        <v>823</v>
      </c>
      <c r="C753" s="991"/>
      <c r="D753" s="315"/>
      <c r="E753" s="991" t="s">
        <v>122</v>
      </c>
      <c r="F753" s="300" t="s">
        <v>99</v>
      </c>
      <c r="G753" s="300" t="s">
        <v>99</v>
      </c>
      <c r="H753" s="300" t="s">
        <v>99</v>
      </c>
      <c r="I753" s="300" t="s">
        <v>99</v>
      </c>
      <c r="J753" s="300" t="s">
        <v>99</v>
      </c>
      <c r="K753" s="300" t="s">
        <v>99</v>
      </c>
      <c r="L753" s="300" t="s">
        <v>99</v>
      </c>
      <c r="M753" s="300" t="s">
        <v>99</v>
      </c>
      <c r="N753" s="300" t="s">
        <v>99</v>
      </c>
      <c r="O753" s="300" t="s">
        <v>99</v>
      </c>
      <c r="P753" s="300" t="s">
        <v>99</v>
      </c>
      <c r="Q753" s="300" t="s">
        <v>99</v>
      </c>
      <c r="R753" s="300" t="s">
        <v>99</v>
      </c>
      <c r="S753" s="300" t="s">
        <v>99</v>
      </c>
      <c r="T753" s="300" t="s">
        <v>99</v>
      </c>
      <c r="U753" s="300" t="s">
        <v>99</v>
      </c>
      <c r="V753" s="300" t="s">
        <v>99</v>
      </c>
      <c r="W753" s="300" t="s">
        <v>99</v>
      </c>
      <c r="X753" s="300" t="s">
        <v>99</v>
      </c>
      <c r="Y753" s="300" t="s">
        <v>99</v>
      </c>
      <c r="Z753" s="300" t="s">
        <v>99</v>
      </c>
      <c r="AA753" s="300" t="s">
        <v>99</v>
      </c>
      <c r="AB753" s="300" t="s">
        <v>99</v>
      </c>
      <c r="AC753" s="300" t="s">
        <v>99</v>
      </c>
      <c r="AD753" s="300" t="s">
        <v>99</v>
      </c>
      <c r="AE753" s="300" t="s">
        <v>99</v>
      </c>
      <c r="AF753" s="300" t="s">
        <v>99</v>
      </c>
      <c r="AG753" s="300" t="s">
        <v>99</v>
      </c>
      <c r="AH753" s="300" t="s">
        <v>99</v>
      </c>
      <c r="AI753" s="300" t="s">
        <v>99</v>
      </c>
      <c r="AJ753" s="300" t="s">
        <v>99</v>
      </c>
      <c r="AK753" s="300" t="s">
        <v>99</v>
      </c>
      <c r="AL753" s="300" t="s">
        <v>99</v>
      </c>
      <c r="AM753" s="344" t="s">
        <v>821</v>
      </c>
      <c r="AN753" s="807"/>
    </row>
    <row r="754" spans="1:40" ht="12.6">
      <c r="A754" s="990" t="s">
        <v>876</v>
      </c>
      <c r="B754" s="991" t="s">
        <v>825</v>
      </c>
      <c r="C754" s="991"/>
      <c r="D754" s="315"/>
      <c r="E754" s="315"/>
      <c r="F754" s="809" t="s">
        <v>826</v>
      </c>
      <c r="G754" s="809" t="s">
        <v>826</v>
      </c>
      <c r="H754" s="809" t="s">
        <v>826</v>
      </c>
      <c r="I754" s="809" t="s">
        <v>826</v>
      </c>
      <c r="J754" s="809" t="s">
        <v>826</v>
      </c>
      <c r="K754" s="809" t="s">
        <v>826</v>
      </c>
      <c r="L754" s="809" t="s">
        <v>826</v>
      </c>
      <c r="M754" s="809" t="s">
        <v>826</v>
      </c>
      <c r="N754" s="809" t="s">
        <v>826</v>
      </c>
      <c r="O754" s="809" t="s">
        <v>826</v>
      </c>
      <c r="P754" s="809" t="s">
        <v>826</v>
      </c>
      <c r="Q754" s="809" t="s">
        <v>826</v>
      </c>
      <c r="R754" s="809" t="s">
        <v>826</v>
      </c>
      <c r="S754" s="809" t="s">
        <v>826</v>
      </c>
      <c r="T754" s="809" t="s">
        <v>826</v>
      </c>
      <c r="U754" s="809" t="s">
        <v>826</v>
      </c>
      <c r="V754" s="809" t="s">
        <v>826</v>
      </c>
      <c r="W754" s="809" t="s">
        <v>826</v>
      </c>
      <c r="X754" s="809" t="s">
        <v>826</v>
      </c>
      <c r="Y754" s="809" t="s">
        <v>826</v>
      </c>
      <c r="Z754" s="809" t="s">
        <v>826</v>
      </c>
      <c r="AA754" s="809" t="s">
        <v>826</v>
      </c>
      <c r="AB754" s="809" t="s">
        <v>826</v>
      </c>
      <c r="AC754" s="809" t="s">
        <v>826</v>
      </c>
      <c r="AD754" s="809" t="s">
        <v>826</v>
      </c>
      <c r="AE754" s="809" t="s">
        <v>826</v>
      </c>
      <c r="AF754" s="809" t="s">
        <v>826</v>
      </c>
      <c r="AG754" s="809" t="s">
        <v>826</v>
      </c>
      <c r="AH754" s="809" t="s">
        <v>826</v>
      </c>
      <c r="AI754" s="809" t="s">
        <v>826</v>
      </c>
      <c r="AJ754" s="809" t="s">
        <v>826</v>
      </c>
      <c r="AK754" s="809" t="s">
        <v>826</v>
      </c>
      <c r="AL754" s="809" t="s">
        <v>826</v>
      </c>
      <c r="AM754" s="315"/>
      <c r="AN754" s="315"/>
    </row>
    <row r="755" spans="1:40" ht="12.6">
      <c r="A755" s="990" t="s">
        <v>877</v>
      </c>
      <c r="B755" s="991" t="s">
        <v>134</v>
      </c>
      <c r="D755" s="315"/>
      <c r="E755" s="315"/>
      <c r="F755" s="809" t="s">
        <v>828</v>
      </c>
      <c r="G755" s="809" t="s">
        <v>828</v>
      </c>
      <c r="H755" s="809" t="s">
        <v>828</v>
      </c>
      <c r="I755" s="809" t="s">
        <v>828</v>
      </c>
      <c r="J755" s="809" t="s">
        <v>828</v>
      </c>
      <c r="K755" s="809" t="s">
        <v>828</v>
      </c>
      <c r="L755" s="809" t="s">
        <v>828</v>
      </c>
      <c r="M755" s="809" t="s">
        <v>828</v>
      </c>
      <c r="N755" s="809" t="s">
        <v>828</v>
      </c>
      <c r="O755" s="809" t="s">
        <v>828</v>
      </c>
      <c r="P755" s="809" t="s">
        <v>828</v>
      </c>
      <c r="Q755" s="809" t="s">
        <v>828</v>
      </c>
      <c r="R755" s="809" t="s">
        <v>828</v>
      </c>
      <c r="S755" s="809" t="s">
        <v>828</v>
      </c>
      <c r="T755" s="809" t="s">
        <v>828</v>
      </c>
      <c r="U755" s="809" t="s">
        <v>828</v>
      </c>
      <c r="V755" s="809" t="s">
        <v>828</v>
      </c>
      <c r="W755" s="809" t="s">
        <v>828</v>
      </c>
      <c r="X755" s="809" t="s">
        <v>828</v>
      </c>
      <c r="Y755" s="809" t="s">
        <v>828</v>
      </c>
      <c r="Z755" s="809" t="s">
        <v>828</v>
      </c>
      <c r="AA755" s="809" t="s">
        <v>828</v>
      </c>
      <c r="AB755" s="809" t="s">
        <v>828</v>
      </c>
      <c r="AC755" s="809" t="s">
        <v>828</v>
      </c>
      <c r="AD755" s="809" t="s">
        <v>828</v>
      </c>
      <c r="AE755" s="809" t="s">
        <v>828</v>
      </c>
      <c r="AF755" s="809" t="s">
        <v>828</v>
      </c>
      <c r="AG755" s="809" t="s">
        <v>828</v>
      </c>
      <c r="AH755" s="809" t="s">
        <v>828</v>
      </c>
      <c r="AI755" s="809" t="s">
        <v>828</v>
      </c>
      <c r="AJ755" s="809" t="s">
        <v>828</v>
      </c>
      <c r="AK755" s="809" t="s">
        <v>828</v>
      </c>
      <c r="AL755" s="809" t="s">
        <v>828</v>
      </c>
      <c r="AM755" s="315"/>
      <c r="AN755" s="315"/>
    </row>
    <row r="756" spans="1:40" s="797" customFormat="1" ht="12.95">
      <c r="A756" s="989" t="s">
        <v>878</v>
      </c>
      <c r="B756" s="796"/>
      <c r="C756" s="796"/>
      <c r="D756" s="796"/>
      <c r="E756" s="796"/>
      <c r="F756" s="795"/>
      <c r="G756" s="795"/>
      <c r="H756" s="795"/>
      <c r="I756" s="795"/>
      <c r="J756" s="795"/>
      <c r="K756" s="795"/>
      <c r="L756" s="795"/>
      <c r="M756" s="795"/>
      <c r="N756" s="795"/>
      <c r="O756" s="795"/>
      <c r="P756" s="795"/>
      <c r="Q756" s="795"/>
      <c r="R756" s="795"/>
      <c r="S756" s="795"/>
      <c r="T756" s="795"/>
      <c r="U756" s="795"/>
      <c r="V756" s="795"/>
      <c r="W756" s="795"/>
      <c r="X756" s="795"/>
      <c r="Y756" s="795"/>
      <c r="Z756" s="795"/>
      <c r="AA756" s="795"/>
      <c r="AB756" s="795"/>
      <c r="AC756" s="795"/>
      <c r="AD756" s="795"/>
      <c r="AE756" s="795"/>
      <c r="AF756" s="795"/>
      <c r="AG756" s="795"/>
      <c r="AH756" s="795"/>
      <c r="AI756" s="795"/>
      <c r="AJ756" s="795"/>
      <c r="AK756" s="795"/>
      <c r="AL756" s="795"/>
      <c r="AM756" s="796"/>
      <c r="AN756" s="796"/>
    </row>
    <row r="757" spans="1:40" ht="12.6">
      <c r="A757" s="990" t="s">
        <v>879</v>
      </c>
      <c r="B757" s="991" t="s">
        <v>128</v>
      </c>
      <c r="C757" s="991"/>
      <c r="D757" s="991" t="s">
        <v>129</v>
      </c>
      <c r="E757" s="991" t="s">
        <v>130</v>
      </c>
      <c r="F757" s="300" t="s">
        <v>99</v>
      </c>
      <c r="G757" s="300" t="s">
        <v>99</v>
      </c>
      <c r="H757" s="300" t="s">
        <v>99</v>
      </c>
      <c r="I757" s="300" t="s">
        <v>99</v>
      </c>
      <c r="J757" s="300" t="s">
        <v>99</v>
      </c>
      <c r="K757" s="300" t="s">
        <v>99</v>
      </c>
      <c r="L757" s="300" t="s">
        <v>99</v>
      </c>
      <c r="M757" s="300" t="s">
        <v>99</v>
      </c>
      <c r="N757" s="300" t="s">
        <v>99</v>
      </c>
      <c r="O757" s="300" t="s">
        <v>99</v>
      </c>
      <c r="P757" s="300" t="s">
        <v>99</v>
      </c>
      <c r="Q757" s="300" t="s">
        <v>99</v>
      </c>
      <c r="R757" s="300" t="s">
        <v>99</v>
      </c>
      <c r="S757" s="300" t="s">
        <v>99</v>
      </c>
      <c r="T757" s="300" t="s">
        <v>99</v>
      </c>
      <c r="U757" s="300" t="s">
        <v>99</v>
      </c>
      <c r="V757" s="300" t="s">
        <v>99</v>
      </c>
      <c r="W757" s="300" t="s">
        <v>99</v>
      </c>
      <c r="X757" s="300" t="s">
        <v>99</v>
      </c>
      <c r="Y757" s="300" t="s">
        <v>99</v>
      </c>
      <c r="Z757" s="300" t="s">
        <v>99</v>
      </c>
      <c r="AA757" s="300" t="s">
        <v>99</v>
      </c>
      <c r="AB757" s="300" t="s">
        <v>99</v>
      </c>
      <c r="AC757" s="300" t="s">
        <v>99</v>
      </c>
      <c r="AD757" s="300" t="s">
        <v>99</v>
      </c>
      <c r="AE757" s="300" t="s">
        <v>99</v>
      </c>
      <c r="AF757" s="300" t="s">
        <v>99</v>
      </c>
      <c r="AG757" s="300" t="s">
        <v>99</v>
      </c>
      <c r="AH757" s="300" t="s">
        <v>99</v>
      </c>
      <c r="AI757" s="300" t="s">
        <v>99</v>
      </c>
      <c r="AJ757" s="300" t="s">
        <v>99</v>
      </c>
      <c r="AK757" s="300" t="s">
        <v>99</v>
      </c>
      <c r="AL757" s="300" t="s">
        <v>99</v>
      </c>
      <c r="AM757" s="344" t="s">
        <v>818</v>
      </c>
      <c r="AN757" s="807"/>
    </row>
    <row r="758" spans="1:40" ht="12.6">
      <c r="A758" s="990" t="s">
        <v>880</v>
      </c>
      <c r="B758" s="991" t="s">
        <v>820</v>
      </c>
      <c r="C758" s="991"/>
      <c r="D758" s="991" t="s">
        <v>109</v>
      </c>
      <c r="E758" s="991" t="s">
        <v>130</v>
      </c>
      <c r="F758" s="300">
        <f>'Non-Energy Use'!E132*1000</f>
        <v>114.26307656389261</v>
      </c>
      <c r="G758" s="300">
        <f>'Non-Energy Use'!F132*1000</f>
        <v>114.88119892160739</v>
      </c>
      <c r="H758" s="300">
        <f>'Non-Energy Use'!G132*1000</f>
        <v>130.29058710886264</v>
      </c>
      <c r="I758" s="300">
        <f>'Non-Energy Use'!H132*1000</f>
        <v>143.9604004985741</v>
      </c>
      <c r="J758" s="300">
        <f>'Non-Energy Use'!I132*1000</f>
        <v>155.55155944674752</v>
      </c>
      <c r="K758" s="300">
        <f>'Non-Energy Use'!J132*1000</f>
        <v>166.09273105468904</v>
      </c>
      <c r="L758" s="300">
        <f>'Non-Energy Use'!K132*1000</f>
        <v>174.57005458264857</v>
      </c>
      <c r="M758" s="300">
        <f>'Non-Energy Use'!L132*1000</f>
        <v>159.74766212993686</v>
      </c>
      <c r="N758" s="300">
        <f>'Non-Energy Use'!M132*1000</f>
        <v>150.4128787973564</v>
      </c>
      <c r="O758" s="300">
        <f>'Non-Energy Use'!N132*1000</f>
        <v>156.68868933463742</v>
      </c>
      <c r="P758" s="300">
        <f>'Non-Energy Use'!O132*1000</f>
        <v>183.2092452511948</v>
      </c>
      <c r="Q758" s="300">
        <f>'Non-Energy Use'!P132*1000</f>
        <v>164.2896395525722</v>
      </c>
      <c r="R758" s="300">
        <f>'Non-Energy Use'!Q132*1000</f>
        <v>178.03413560143062</v>
      </c>
      <c r="S758" s="300">
        <f>'Non-Energy Use'!R132*1000</f>
        <v>174.77257951855282</v>
      </c>
      <c r="T758" s="300">
        <f>'Non-Energy Use'!S132*1000</f>
        <v>177.55189864623631</v>
      </c>
      <c r="U758" s="300">
        <f>'Non-Energy Use'!T132*1000</f>
        <v>173.19601953695064</v>
      </c>
      <c r="V758" s="300">
        <f>'Non-Energy Use'!U132*1000</f>
        <v>176.21007515082866</v>
      </c>
      <c r="W758" s="300">
        <f>'Non-Energy Use'!V132*1000</f>
        <v>184.19184576746898</v>
      </c>
      <c r="X758" s="300">
        <f>'Non-Energy Use'!W132*1000</f>
        <v>182.48182645821336</v>
      </c>
      <c r="Y758" s="300">
        <f>'Non-Energy Use'!X132*1000</f>
        <v>191.26310040994869</v>
      </c>
      <c r="Z758" s="300">
        <f>'Non-Energy Use'!Y132*1000</f>
        <v>170.43164609620553</v>
      </c>
      <c r="AA758" s="300">
        <f>'Non-Energy Use'!Z132*1000</f>
        <v>170.31746858045474</v>
      </c>
      <c r="AB758" s="300">
        <f>'Non-Energy Use'!AA132*1000</f>
        <v>172.0245425930344</v>
      </c>
      <c r="AC758" s="300">
        <f>'Non-Energy Use'!AB132*1000</f>
        <v>166.82203102847842</v>
      </c>
      <c r="AD758" s="300">
        <f>'Non-Energy Use'!AC132*1000</f>
        <v>166.06067773436999</v>
      </c>
      <c r="AE758" s="300">
        <f>'Non-Energy Use'!AD132*1000</f>
        <v>167.2659554479421</v>
      </c>
      <c r="AF758" s="300">
        <f>'Non-Energy Use'!AE132*1000</f>
        <v>170.53453652115732</v>
      </c>
      <c r="AG758" s="300">
        <f>'Non-Energy Use'!AF132*1000</f>
        <v>163.07960001764059</v>
      </c>
      <c r="AH758" s="300">
        <f>'Non-Energy Use'!AG132*1000</f>
        <v>156.43871576121231</v>
      </c>
      <c r="AI758" s="300">
        <f>'Non-Energy Use'!AH132*1000</f>
        <v>159.52595307638219</v>
      </c>
      <c r="AJ758" s="300">
        <f>'Non-Energy Use'!AI132*1000</f>
        <v>163.16150060491449</v>
      </c>
      <c r="AK758" s="300">
        <f>'Non-Energy Use'!AJ132*1000</f>
        <v>154.4757425822169</v>
      </c>
      <c r="AL758" s="300">
        <f>'Non-Energy Use'!AK132*1000</f>
        <v>156.39275593428212</v>
      </c>
      <c r="AM758" s="315"/>
      <c r="AN758" s="315"/>
    </row>
    <row r="759" spans="1:40" ht="12.6">
      <c r="A759" s="990" t="s">
        <v>881</v>
      </c>
      <c r="B759" s="991" t="s">
        <v>823</v>
      </c>
      <c r="C759" s="991"/>
      <c r="D759" s="315"/>
      <c r="E759" s="991" t="s">
        <v>122</v>
      </c>
      <c r="F759" s="300">
        <f>'Non-Energy Use'!E76*1055.05585262</f>
        <v>8029.7581395582883</v>
      </c>
      <c r="G759" s="300">
        <f>'Non-Energy Use'!F76*1055.05585262</f>
        <v>8281.8731417534727</v>
      </c>
      <c r="H759" s="300">
        <f>'Non-Energy Use'!G76*1055.05585262</f>
        <v>9308.9820655987987</v>
      </c>
      <c r="I759" s="300">
        <f>'Non-Energy Use'!H76*1055.05585262</f>
        <v>9766.1796225241178</v>
      </c>
      <c r="J759" s="300">
        <f>'Non-Energy Use'!I76*1055.05585262</f>
        <v>10693.996959137419</v>
      </c>
      <c r="K759" s="300">
        <f>'Non-Energy Use'!J76*1055.05585262</f>
        <v>11049.68720346159</v>
      </c>
      <c r="L759" s="300">
        <f>'Non-Energy Use'!K76*1055.05585262</f>
        <v>11207.423213904673</v>
      </c>
      <c r="M759" s="300">
        <f>'Non-Energy Use'!L76*1055.05585262</f>
        <v>10931.976330311332</v>
      </c>
      <c r="N759" s="300">
        <f>'Non-Energy Use'!M76*1055.05585262</f>
        <v>10201.818732068694</v>
      </c>
      <c r="O759" s="300">
        <f>'Non-Energy Use'!N76*1055.05585262</f>
        <v>10855.627407645828</v>
      </c>
      <c r="P759" s="300">
        <f>'Non-Energy Use'!O76*1055.05585262</f>
        <v>12139.728983590532</v>
      </c>
      <c r="Q759" s="300">
        <f>'Non-Energy Use'!P76*1055.05585262</f>
        <v>11106.617204555721</v>
      </c>
      <c r="R759" s="300">
        <f>'Non-Energy Use'!Q76*1055.05585262</f>
        <v>11885.890730218232</v>
      </c>
      <c r="S759" s="300">
        <f>'Non-Energy Use'!R76*1055.05585262</f>
        <v>11759.866196577683</v>
      </c>
      <c r="T759" s="300">
        <f>'Non-Energy Use'!S76*1055.05585262</f>
        <v>11756.469508653852</v>
      </c>
      <c r="U759" s="300">
        <f>'Non-Energy Use'!T76*1055.05585262</f>
        <v>11644.128556102407</v>
      </c>
      <c r="V759" s="300">
        <f>'Non-Energy Use'!U76*1055.05585262</f>
        <v>11626.960063602024</v>
      </c>
      <c r="W759" s="300">
        <f>'Non-Energy Use'!V76*1055.05585262</f>
        <v>11636.173002732236</v>
      </c>
      <c r="X759" s="300">
        <f>'Non-Energy Use'!W76*1055.05585262</f>
        <v>11636.419624422959</v>
      </c>
      <c r="Y759" s="300">
        <f>'Non-Energy Use'!X76*1055.05585262</f>
        <v>11613.582266149149</v>
      </c>
      <c r="Z759" s="300">
        <f>'Non-Energy Use'!Y76*1055.05585262</f>
        <v>10078.701579653794</v>
      </c>
      <c r="AA759" s="300">
        <f>'Non-Energy Use'!Z76*1055.05585262</f>
        <v>10071.071108501827</v>
      </c>
      <c r="AB759" s="300">
        <f>'Non-Energy Use'!AA76*1055.05585262</f>
        <v>10050.351449925551</v>
      </c>
      <c r="AC759" s="300">
        <f>'Non-Energy Use'!AB76*1055.05585262</f>
        <v>10054.208632122107</v>
      </c>
      <c r="AD759" s="300">
        <f>'Non-Energy Use'!AC76*1055.05585262</f>
        <v>10046.409470670615</v>
      </c>
      <c r="AE759" s="300">
        <f>'Non-Energy Use'!AD76*1055.05585262</f>
        <v>10023.794539313685</v>
      </c>
      <c r="AF759" s="300">
        <f>'Non-Energy Use'!AE76*1055.05585262</f>
        <v>10012.081414744955</v>
      </c>
      <c r="AG759" s="300">
        <f>'Non-Energy Use'!AF76*1055.05585262</f>
        <v>10002.601942332396</v>
      </c>
      <c r="AH759" s="300">
        <f>'Non-Energy Use'!AG76*1055.05585262</f>
        <v>9994.4016158027589</v>
      </c>
      <c r="AI759" s="300">
        <f>'Non-Energy Use'!AH76*1055.05585262</f>
        <v>9998.1710959307784</v>
      </c>
      <c r="AJ759" s="300">
        <f>'Non-Energy Use'!AI76*1055.05585262</f>
        <v>9976.204737301623</v>
      </c>
      <c r="AK759" s="300">
        <f>'Non-Energy Use'!AJ76*1055.05585262</f>
        <v>9988.4711267106395</v>
      </c>
      <c r="AL759" s="300">
        <f>'Non-Energy Use'!AK76*1055.05585262</f>
        <v>9988.4711267106395</v>
      </c>
      <c r="AM759" s="315"/>
      <c r="AN759" s="315"/>
    </row>
    <row r="760" spans="1:40" ht="12.6">
      <c r="A760" s="990" t="s">
        <v>882</v>
      </c>
      <c r="B760" s="991" t="s">
        <v>825</v>
      </c>
      <c r="C760" s="991"/>
      <c r="D760" s="315"/>
      <c r="E760" s="315"/>
      <c r="F760" s="809" t="s">
        <v>826</v>
      </c>
      <c r="G760" s="809" t="s">
        <v>826</v>
      </c>
      <c r="H760" s="809" t="s">
        <v>826</v>
      </c>
      <c r="I760" s="809" t="s">
        <v>826</v>
      </c>
      <c r="J760" s="809" t="s">
        <v>826</v>
      </c>
      <c r="K760" s="809" t="s">
        <v>826</v>
      </c>
      <c r="L760" s="809" t="s">
        <v>826</v>
      </c>
      <c r="M760" s="809" t="s">
        <v>826</v>
      </c>
      <c r="N760" s="809" t="s">
        <v>826</v>
      </c>
      <c r="O760" s="809" t="s">
        <v>826</v>
      </c>
      <c r="P760" s="809" t="s">
        <v>826</v>
      </c>
      <c r="Q760" s="809" t="s">
        <v>826</v>
      </c>
      <c r="R760" s="809" t="s">
        <v>826</v>
      </c>
      <c r="S760" s="809" t="s">
        <v>826</v>
      </c>
      <c r="T760" s="809" t="s">
        <v>826</v>
      </c>
      <c r="U760" s="809" t="s">
        <v>826</v>
      </c>
      <c r="V760" s="809" t="s">
        <v>826</v>
      </c>
      <c r="W760" s="809" t="s">
        <v>826</v>
      </c>
      <c r="X760" s="809" t="s">
        <v>826</v>
      </c>
      <c r="Y760" s="809" t="s">
        <v>826</v>
      </c>
      <c r="Z760" s="809" t="s">
        <v>826</v>
      </c>
      <c r="AA760" s="809" t="s">
        <v>826</v>
      </c>
      <c r="AB760" s="809" t="s">
        <v>826</v>
      </c>
      <c r="AC760" s="809" t="s">
        <v>826</v>
      </c>
      <c r="AD760" s="809" t="s">
        <v>826</v>
      </c>
      <c r="AE760" s="809" t="s">
        <v>826</v>
      </c>
      <c r="AF760" s="809" t="s">
        <v>826</v>
      </c>
      <c r="AG760" s="809" t="s">
        <v>826</v>
      </c>
      <c r="AH760" s="809" t="s">
        <v>826</v>
      </c>
      <c r="AI760" s="809" t="s">
        <v>826</v>
      </c>
      <c r="AJ760" s="809" t="s">
        <v>826</v>
      </c>
      <c r="AK760" s="809" t="s">
        <v>826</v>
      </c>
      <c r="AL760" s="809" t="s">
        <v>826</v>
      </c>
      <c r="AM760" s="315"/>
      <c r="AN760" s="315"/>
    </row>
    <row r="761" spans="1:40" ht="12.6">
      <c r="A761" s="990" t="s">
        <v>883</v>
      </c>
      <c r="B761" s="991" t="s">
        <v>134</v>
      </c>
      <c r="D761" s="315"/>
      <c r="E761" s="315"/>
      <c r="F761" s="809" t="s">
        <v>828</v>
      </c>
      <c r="G761" s="809" t="s">
        <v>828</v>
      </c>
      <c r="H761" s="809" t="s">
        <v>828</v>
      </c>
      <c r="I761" s="809" t="s">
        <v>828</v>
      </c>
      <c r="J761" s="809" t="s">
        <v>828</v>
      </c>
      <c r="K761" s="809" t="s">
        <v>828</v>
      </c>
      <c r="L761" s="809" t="s">
        <v>828</v>
      </c>
      <c r="M761" s="809" t="s">
        <v>828</v>
      </c>
      <c r="N761" s="809" t="s">
        <v>828</v>
      </c>
      <c r="O761" s="809" t="s">
        <v>828</v>
      </c>
      <c r="P761" s="809" t="s">
        <v>828</v>
      </c>
      <c r="Q761" s="809" t="s">
        <v>828</v>
      </c>
      <c r="R761" s="809" t="s">
        <v>828</v>
      </c>
      <c r="S761" s="809" t="s">
        <v>828</v>
      </c>
      <c r="T761" s="809" t="s">
        <v>828</v>
      </c>
      <c r="U761" s="809" t="s">
        <v>828</v>
      </c>
      <c r="V761" s="809" t="s">
        <v>828</v>
      </c>
      <c r="W761" s="809" t="s">
        <v>828</v>
      </c>
      <c r="X761" s="809" t="s">
        <v>828</v>
      </c>
      <c r="Y761" s="809" t="s">
        <v>828</v>
      </c>
      <c r="Z761" s="809" t="s">
        <v>828</v>
      </c>
      <c r="AA761" s="809" t="s">
        <v>828</v>
      </c>
      <c r="AB761" s="809" t="s">
        <v>828</v>
      </c>
      <c r="AC761" s="809" t="s">
        <v>828</v>
      </c>
      <c r="AD761" s="809" t="s">
        <v>828</v>
      </c>
      <c r="AE761" s="809" t="s">
        <v>828</v>
      </c>
      <c r="AF761" s="809" t="s">
        <v>828</v>
      </c>
      <c r="AG761" s="809" t="s">
        <v>828</v>
      </c>
      <c r="AH761" s="809" t="s">
        <v>828</v>
      </c>
      <c r="AI761" s="809" t="s">
        <v>828</v>
      </c>
      <c r="AJ761" s="809" t="s">
        <v>828</v>
      </c>
      <c r="AK761" s="809" t="s">
        <v>828</v>
      </c>
      <c r="AL761" s="809" t="s">
        <v>828</v>
      </c>
      <c r="AM761" s="315"/>
      <c r="AN761" s="315"/>
    </row>
    <row r="762" spans="1:40" s="797" customFormat="1" ht="12.95">
      <c r="A762" s="992" t="s">
        <v>884</v>
      </c>
      <c r="B762" s="796"/>
      <c r="C762" s="796"/>
      <c r="D762" s="796"/>
      <c r="E762" s="796"/>
      <c r="F762" s="795"/>
      <c r="G762" s="795"/>
      <c r="H762" s="795"/>
      <c r="I762" s="795"/>
      <c r="J762" s="795"/>
      <c r="K762" s="795"/>
      <c r="L762" s="795"/>
      <c r="M762" s="795"/>
      <c r="N762" s="795"/>
      <c r="O762" s="795"/>
      <c r="P762" s="795"/>
      <c r="Q762" s="795"/>
      <c r="R762" s="795"/>
      <c r="S762" s="795"/>
      <c r="T762" s="795"/>
      <c r="U762" s="795"/>
      <c r="V762" s="795"/>
      <c r="W762" s="795"/>
      <c r="X762" s="795"/>
      <c r="Y762" s="795"/>
      <c r="Z762" s="795"/>
      <c r="AA762" s="795"/>
      <c r="AB762" s="795"/>
      <c r="AC762" s="795"/>
      <c r="AD762" s="795"/>
      <c r="AE762" s="795"/>
      <c r="AF762" s="795"/>
      <c r="AG762" s="795"/>
      <c r="AH762" s="795"/>
      <c r="AI762" s="795"/>
      <c r="AJ762" s="795"/>
      <c r="AK762" s="795"/>
      <c r="AL762" s="795"/>
      <c r="AM762" s="796"/>
      <c r="AN762" s="796"/>
    </row>
    <row r="763" spans="1:40" s="797" customFormat="1" ht="12.95">
      <c r="A763" s="989" t="s">
        <v>885</v>
      </c>
      <c r="B763" s="796"/>
      <c r="C763" s="796"/>
      <c r="D763" s="796"/>
      <c r="E763" s="796"/>
      <c r="F763" s="795"/>
      <c r="G763" s="795"/>
      <c r="H763" s="795"/>
      <c r="I763" s="795"/>
      <c r="J763" s="795"/>
      <c r="K763" s="795"/>
      <c r="L763" s="795"/>
      <c r="M763" s="795"/>
      <c r="N763" s="795"/>
      <c r="O763" s="795"/>
      <c r="P763" s="795"/>
      <c r="Q763" s="795"/>
      <c r="R763" s="795"/>
      <c r="S763" s="795"/>
      <c r="T763" s="795"/>
      <c r="U763" s="795"/>
      <c r="V763" s="795"/>
      <c r="W763" s="795"/>
      <c r="X763" s="795"/>
      <c r="Y763" s="795"/>
      <c r="Z763" s="795"/>
      <c r="AA763" s="795"/>
      <c r="AB763" s="795"/>
      <c r="AC763" s="795"/>
      <c r="AD763" s="795"/>
      <c r="AE763" s="795"/>
      <c r="AF763" s="795"/>
      <c r="AG763" s="795"/>
      <c r="AH763" s="795"/>
      <c r="AI763" s="795"/>
      <c r="AJ763" s="795"/>
      <c r="AK763" s="795"/>
      <c r="AL763" s="795"/>
      <c r="AM763" s="796"/>
      <c r="AN763" s="796"/>
    </row>
    <row r="764" spans="1:40" ht="12.6">
      <c r="A764" s="990" t="s">
        <v>886</v>
      </c>
      <c r="B764" s="991" t="s">
        <v>128</v>
      </c>
      <c r="C764" s="991"/>
      <c r="D764" s="991" t="s">
        <v>129</v>
      </c>
      <c r="E764" s="991" t="s">
        <v>130</v>
      </c>
      <c r="F764" s="808" t="s">
        <v>99</v>
      </c>
      <c r="G764" s="808" t="s">
        <v>99</v>
      </c>
      <c r="H764" s="808" t="s">
        <v>99</v>
      </c>
      <c r="I764" s="808" t="s">
        <v>99</v>
      </c>
      <c r="J764" s="808" t="s">
        <v>99</v>
      </c>
      <c r="K764" s="808" t="s">
        <v>99</v>
      </c>
      <c r="L764" s="808" t="s">
        <v>99</v>
      </c>
      <c r="M764" s="808" t="s">
        <v>99</v>
      </c>
      <c r="N764" s="808" t="s">
        <v>99</v>
      </c>
      <c r="O764" s="808" t="s">
        <v>99</v>
      </c>
      <c r="P764" s="808" t="s">
        <v>99</v>
      </c>
      <c r="Q764" s="808" t="s">
        <v>99</v>
      </c>
      <c r="R764" s="808" t="s">
        <v>99</v>
      </c>
      <c r="S764" s="808" t="s">
        <v>99</v>
      </c>
      <c r="T764" s="808" t="s">
        <v>99</v>
      </c>
      <c r="U764" s="808" t="s">
        <v>99</v>
      </c>
      <c r="V764" s="808" t="s">
        <v>99</v>
      </c>
      <c r="W764" s="808" t="s">
        <v>99</v>
      </c>
      <c r="X764" s="808" t="s">
        <v>99</v>
      </c>
      <c r="Y764" s="808" t="s">
        <v>99</v>
      </c>
      <c r="Z764" s="808" t="s">
        <v>99</v>
      </c>
      <c r="AA764" s="808" t="s">
        <v>99</v>
      </c>
      <c r="AB764" s="808" t="s">
        <v>99</v>
      </c>
      <c r="AC764" s="808" t="s">
        <v>99</v>
      </c>
      <c r="AD764" s="808" t="s">
        <v>99</v>
      </c>
      <c r="AE764" s="808" t="s">
        <v>99</v>
      </c>
      <c r="AF764" s="808" t="s">
        <v>99</v>
      </c>
      <c r="AG764" s="808" t="s">
        <v>99</v>
      </c>
      <c r="AH764" s="808" t="s">
        <v>99</v>
      </c>
      <c r="AI764" s="808" t="s">
        <v>99</v>
      </c>
      <c r="AJ764" s="808" t="s">
        <v>99</v>
      </c>
      <c r="AK764" s="808" t="s">
        <v>99</v>
      </c>
      <c r="AL764" s="808" t="s">
        <v>99</v>
      </c>
      <c r="AM764" s="344" t="s">
        <v>818</v>
      </c>
      <c r="AN764" s="807"/>
    </row>
    <row r="765" spans="1:40" ht="12.6">
      <c r="A765" s="990" t="s">
        <v>887</v>
      </c>
      <c r="B765" s="991" t="s">
        <v>820</v>
      </c>
      <c r="C765" s="991"/>
      <c r="D765" s="991" t="s">
        <v>109</v>
      </c>
      <c r="E765" s="991" t="s">
        <v>130</v>
      </c>
      <c r="F765" s="808" t="s">
        <v>99</v>
      </c>
      <c r="G765" s="808" t="s">
        <v>99</v>
      </c>
      <c r="H765" s="808" t="s">
        <v>99</v>
      </c>
      <c r="I765" s="808" t="s">
        <v>99</v>
      </c>
      <c r="J765" s="808" t="s">
        <v>99</v>
      </c>
      <c r="K765" s="808" t="s">
        <v>99</v>
      </c>
      <c r="L765" s="808" t="s">
        <v>99</v>
      </c>
      <c r="M765" s="808" t="s">
        <v>99</v>
      </c>
      <c r="N765" s="808" t="s">
        <v>99</v>
      </c>
      <c r="O765" s="808" t="s">
        <v>99</v>
      </c>
      <c r="P765" s="808" t="s">
        <v>99</v>
      </c>
      <c r="Q765" s="808" t="s">
        <v>99</v>
      </c>
      <c r="R765" s="808" t="s">
        <v>99</v>
      </c>
      <c r="S765" s="808" t="s">
        <v>99</v>
      </c>
      <c r="T765" s="808" t="s">
        <v>99</v>
      </c>
      <c r="U765" s="808" t="s">
        <v>99</v>
      </c>
      <c r="V765" s="808" t="s">
        <v>99</v>
      </c>
      <c r="W765" s="808" t="s">
        <v>99</v>
      </c>
      <c r="X765" s="808" t="s">
        <v>99</v>
      </c>
      <c r="Y765" s="808" t="s">
        <v>99</v>
      </c>
      <c r="Z765" s="808" t="s">
        <v>99</v>
      </c>
      <c r="AA765" s="808" t="s">
        <v>99</v>
      </c>
      <c r="AB765" s="808" t="s">
        <v>99</v>
      </c>
      <c r="AC765" s="808" t="s">
        <v>99</v>
      </c>
      <c r="AD765" s="808" t="s">
        <v>99</v>
      </c>
      <c r="AE765" s="808" t="s">
        <v>99</v>
      </c>
      <c r="AF765" s="808" t="s">
        <v>99</v>
      </c>
      <c r="AG765" s="808" t="s">
        <v>99</v>
      </c>
      <c r="AH765" s="808" t="s">
        <v>99</v>
      </c>
      <c r="AI765" s="808" t="s">
        <v>99</v>
      </c>
      <c r="AJ765" s="808" t="s">
        <v>99</v>
      </c>
      <c r="AK765" s="808" t="s">
        <v>99</v>
      </c>
      <c r="AL765" s="808" t="s">
        <v>99</v>
      </c>
      <c r="AM765" s="344" t="s">
        <v>888</v>
      </c>
      <c r="AN765" s="807"/>
    </row>
    <row r="766" spans="1:40" ht="12.6">
      <c r="A766" s="990" t="s">
        <v>889</v>
      </c>
      <c r="B766" s="991" t="s">
        <v>823</v>
      </c>
      <c r="C766" s="991"/>
      <c r="D766" s="315"/>
      <c r="E766" s="991" t="s">
        <v>122</v>
      </c>
      <c r="F766" s="808" t="s">
        <v>99</v>
      </c>
      <c r="G766" s="808" t="s">
        <v>99</v>
      </c>
      <c r="H766" s="808" t="s">
        <v>99</v>
      </c>
      <c r="I766" s="808" t="s">
        <v>99</v>
      </c>
      <c r="J766" s="808" t="s">
        <v>99</v>
      </c>
      <c r="K766" s="808" t="s">
        <v>99</v>
      </c>
      <c r="L766" s="808" t="s">
        <v>99</v>
      </c>
      <c r="M766" s="808" t="s">
        <v>99</v>
      </c>
      <c r="N766" s="808" t="s">
        <v>99</v>
      </c>
      <c r="O766" s="808" t="s">
        <v>99</v>
      </c>
      <c r="P766" s="808" t="s">
        <v>99</v>
      </c>
      <c r="Q766" s="808" t="s">
        <v>99</v>
      </c>
      <c r="R766" s="808" t="s">
        <v>99</v>
      </c>
      <c r="S766" s="808" t="s">
        <v>99</v>
      </c>
      <c r="T766" s="808" t="s">
        <v>99</v>
      </c>
      <c r="U766" s="808" t="s">
        <v>99</v>
      </c>
      <c r="V766" s="808" t="s">
        <v>99</v>
      </c>
      <c r="W766" s="808" t="s">
        <v>99</v>
      </c>
      <c r="X766" s="808" t="s">
        <v>99</v>
      </c>
      <c r="Y766" s="808" t="s">
        <v>99</v>
      </c>
      <c r="Z766" s="808" t="s">
        <v>99</v>
      </c>
      <c r="AA766" s="808" t="s">
        <v>99</v>
      </c>
      <c r="AB766" s="808" t="s">
        <v>99</v>
      </c>
      <c r="AC766" s="808" t="s">
        <v>99</v>
      </c>
      <c r="AD766" s="808" t="s">
        <v>99</v>
      </c>
      <c r="AE766" s="808" t="s">
        <v>99</v>
      </c>
      <c r="AF766" s="808" t="s">
        <v>99</v>
      </c>
      <c r="AG766" s="808" t="s">
        <v>99</v>
      </c>
      <c r="AH766" s="808" t="s">
        <v>99</v>
      </c>
      <c r="AI766" s="808" t="s">
        <v>99</v>
      </c>
      <c r="AJ766" s="808" t="s">
        <v>99</v>
      </c>
      <c r="AK766" s="808" t="s">
        <v>99</v>
      </c>
      <c r="AL766" s="808" t="s">
        <v>99</v>
      </c>
      <c r="AM766" s="344" t="s">
        <v>888</v>
      </c>
      <c r="AN766" s="807"/>
    </row>
    <row r="767" spans="1:40" ht="12.6">
      <c r="A767" s="990" t="s">
        <v>890</v>
      </c>
      <c r="B767" s="991" t="s">
        <v>825</v>
      </c>
      <c r="C767" s="991"/>
      <c r="D767" s="315"/>
      <c r="E767" s="315"/>
      <c r="F767" s="809" t="s">
        <v>826</v>
      </c>
      <c r="G767" s="809" t="s">
        <v>826</v>
      </c>
      <c r="H767" s="809" t="s">
        <v>826</v>
      </c>
      <c r="I767" s="809" t="s">
        <v>826</v>
      </c>
      <c r="J767" s="809" t="s">
        <v>826</v>
      </c>
      <c r="K767" s="809" t="s">
        <v>826</v>
      </c>
      <c r="L767" s="809" t="s">
        <v>826</v>
      </c>
      <c r="M767" s="809" t="s">
        <v>826</v>
      </c>
      <c r="N767" s="809" t="s">
        <v>826</v>
      </c>
      <c r="O767" s="809" t="s">
        <v>826</v>
      </c>
      <c r="P767" s="809" t="s">
        <v>826</v>
      </c>
      <c r="Q767" s="809" t="s">
        <v>826</v>
      </c>
      <c r="R767" s="809" t="s">
        <v>826</v>
      </c>
      <c r="S767" s="809" t="s">
        <v>826</v>
      </c>
      <c r="T767" s="809" t="s">
        <v>826</v>
      </c>
      <c r="U767" s="809" t="s">
        <v>826</v>
      </c>
      <c r="V767" s="809" t="s">
        <v>826</v>
      </c>
      <c r="W767" s="809" t="s">
        <v>826</v>
      </c>
      <c r="X767" s="809" t="s">
        <v>826</v>
      </c>
      <c r="Y767" s="809" t="s">
        <v>826</v>
      </c>
      <c r="Z767" s="809" t="s">
        <v>826</v>
      </c>
      <c r="AA767" s="809" t="s">
        <v>826</v>
      </c>
      <c r="AB767" s="809" t="s">
        <v>826</v>
      </c>
      <c r="AC767" s="809" t="s">
        <v>826</v>
      </c>
      <c r="AD767" s="809" t="s">
        <v>826</v>
      </c>
      <c r="AE767" s="809" t="s">
        <v>826</v>
      </c>
      <c r="AF767" s="809" t="s">
        <v>826</v>
      </c>
      <c r="AG767" s="809" t="s">
        <v>826</v>
      </c>
      <c r="AH767" s="809" t="s">
        <v>826</v>
      </c>
      <c r="AI767" s="809" t="s">
        <v>826</v>
      </c>
      <c r="AJ767" s="809" t="s">
        <v>826</v>
      </c>
      <c r="AK767" s="809" t="s">
        <v>826</v>
      </c>
      <c r="AL767" s="809" t="s">
        <v>826</v>
      </c>
      <c r="AM767" s="315"/>
      <c r="AN767" s="315"/>
    </row>
    <row r="768" spans="1:40" ht="12.6">
      <c r="A768" s="990" t="s">
        <v>891</v>
      </c>
      <c r="B768" s="991" t="s">
        <v>134</v>
      </c>
      <c r="D768" s="315"/>
      <c r="E768" s="315"/>
      <c r="F768" s="809" t="s">
        <v>828</v>
      </c>
      <c r="G768" s="809" t="s">
        <v>828</v>
      </c>
      <c r="H768" s="809" t="s">
        <v>828</v>
      </c>
      <c r="I768" s="809" t="s">
        <v>828</v>
      </c>
      <c r="J768" s="809" t="s">
        <v>828</v>
      </c>
      <c r="K768" s="809" t="s">
        <v>828</v>
      </c>
      <c r="L768" s="809" t="s">
        <v>828</v>
      </c>
      <c r="M768" s="809" t="s">
        <v>828</v>
      </c>
      <c r="N768" s="809" t="s">
        <v>828</v>
      </c>
      <c r="O768" s="809" t="s">
        <v>828</v>
      </c>
      <c r="P768" s="809" t="s">
        <v>828</v>
      </c>
      <c r="Q768" s="809" t="s">
        <v>828</v>
      </c>
      <c r="R768" s="809" t="s">
        <v>828</v>
      </c>
      <c r="S768" s="809" t="s">
        <v>828</v>
      </c>
      <c r="T768" s="809" t="s">
        <v>828</v>
      </c>
      <c r="U768" s="809" t="s">
        <v>828</v>
      </c>
      <c r="V768" s="809" t="s">
        <v>828</v>
      </c>
      <c r="W768" s="809" t="s">
        <v>828</v>
      </c>
      <c r="X768" s="809" t="s">
        <v>828</v>
      </c>
      <c r="Y768" s="809" t="s">
        <v>828</v>
      </c>
      <c r="Z768" s="809" t="s">
        <v>828</v>
      </c>
      <c r="AA768" s="809" t="s">
        <v>828</v>
      </c>
      <c r="AB768" s="809" t="s">
        <v>828</v>
      </c>
      <c r="AC768" s="809" t="s">
        <v>828</v>
      </c>
      <c r="AD768" s="809" t="s">
        <v>828</v>
      </c>
      <c r="AE768" s="809" t="s">
        <v>828</v>
      </c>
      <c r="AF768" s="809" t="s">
        <v>828</v>
      </c>
      <c r="AG768" s="809" t="s">
        <v>828</v>
      </c>
      <c r="AH768" s="809" t="s">
        <v>828</v>
      </c>
      <c r="AI768" s="809" t="s">
        <v>828</v>
      </c>
      <c r="AJ768" s="809" t="s">
        <v>828</v>
      </c>
      <c r="AK768" s="809" t="s">
        <v>828</v>
      </c>
      <c r="AL768" s="809" t="s">
        <v>828</v>
      </c>
      <c r="AM768" s="315"/>
      <c r="AN768" s="315"/>
    </row>
    <row r="769" spans="1:40" s="797" customFormat="1" ht="12.95">
      <c r="A769" s="989" t="s">
        <v>892</v>
      </c>
      <c r="B769" s="796"/>
      <c r="C769" s="796"/>
      <c r="D769" s="796"/>
      <c r="E769" s="796"/>
      <c r="F769" s="795"/>
      <c r="G769" s="795"/>
      <c r="H769" s="795"/>
      <c r="I769" s="795"/>
      <c r="J769" s="795"/>
      <c r="K769" s="795"/>
      <c r="L769" s="795"/>
      <c r="M769" s="795"/>
      <c r="N769" s="795"/>
      <c r="O769" s="795"/>
      <c r="P769" s="795"/>
      <c r="Q769" s="795"/>
      <c r="R769" s="795"/>
      <c r="S769" s="795"/>
      <c r="T769" s="795"/>
      <c r="U769" s="795"/>
      <c r="V769" s="795"/>
      <c r="W769" s="795"/>
      <c r="X769" s="795"/>
      <c r="Y769" s="795"/>
      <c r="Z769" s="795"/>
      <c r="AA769" s="795"/>
      <c r="AB769" s="795"/>
      <c r="AC769" s="795"/>
      <c r="AD769" s="795"/>
      <c r="AE769" s="795"/>
      <c r="AF769" s="795"/>
      <c r="AG769" s="795"/>
      <c r="AH769" s="795"/>
      <c r="AI769" s="795"/>
      <c r="AJ769" s="795"/>
      <c r="AK769" s="795"/>
      <c r="AL769" s="795"/>
      <c r="AM769" s="796"/>
      <c r="AN769" s="796"/>
    </row>
    <row r="770" spans="1:40" ht="12.6">
      <c r="A770" s="990" t="s">
        <v>893</v>
      </c>
      <c r="B770" s="991" t="s">
        <v>128</v>
      </c>
      <c r="C770" s="991"/>
      <c r="D770" s="991" t="s">
        <v>129</v>
      </c>
      <c r="E770" s="991" t="s">
        <v>130</v>
      </c>
      <c r="F770" s="808" t="s">
        <v>108</v>
      </c>
      <c r="G770" s="808" t="s">
        <v>108</v>
      </c>
      <c r="H770" s="808" t="s">
        <v>108</v>
      </c>
      <c r="I770" s="808" t="s">
        <v>108</v>
      </c>
      <c r="J770" s="808" t="s">
        <v>108</v>
      </c>
      <c r="K770" s="808" t="s">
        <v>108</v>
      </c>
      <c r="L770" s="808" t="s">
        <v>108</v>
      </c>
      <c r="M770" s="808" t="s">
        <v>108</v>
      </c>
      <c r="N770" s="808" t="s">
        <v>108</v>
      </c>
      <c r="O770" s="808" t="s">
        <v>108</v>
      </c>
      <c r="P770" s="808" t="s">
        <v>108</v>
      </c>
      <c r="Q770" s="808" t="s">
        <v>108</v>
      </c>
      <c r="R770" s="808" t="s">
        <v>108</v>
      </c>
      <c r="S770" s="808" t="s">
        <v>108</v>
      </c>
      <c r="T770" s="808" t="s">
        <v>108</v>
      </c>
      <c r="U770" s="808" t="s">
        <v>108</v>
      </c>
      <c r="V770" s="808" t="s">
        <v>108</v>
      </c>
      <c r="W770" s="808" t="s">
        <v>108</v>
      </c>
      <c r="X770" s="808" t="s">
        <v>108</v>
      </c>
      <c r="Y770" s="808" t="s">
        <v>108</v>
      </c>
      <c r="Z770" s="808" t="s">
        <v>108</v>
      </c>
      <c r="AA770" s="808" t="s">
        <v>108</v>
      </c>
      <c r="AB770" s="808" t="s">
        <v>108</v>
      </c>
      <c r="AC770" s="808" t="s">
        <v>108</v>
      </c>
      <c r="AD770" s="808" t="s">
        <v>108</v>
      </c>
      <c r="AE770" s="808" t="s">
        <v>108</v>
      </c>
      <c r="AF770" s="808" t="s">
        <v>108</v>
      </c>
      <c r="AG770" s="808" t="s">
        <v>108</v>
      </c>
      <c r="AH770" s="808" t="s">
        <v>108</v>
      </c>
      <c r="AI770" s="808" t="s">
        <v>108</v>
      </c>
      <c r="AJ770" s="808" t="s">
        <v>108</v>
      </c>
      <c r="AK770" s="808" t="s">
        <v>108</v>
      </c>
      <c r="AL770" s="808" t="s">
        <v>108</v>
      </c>
      <c r="AM770" s="315"/>
      <c r="AN770" s="315"/>
    </row>
    <row r="771" spans="1:40" ht="12.6">
      <c r="A771" s="990" t="s">
        <v>894</v>
      </c>
      <c r="B771" s="991" t="s">
        <v>820</v>
      </c>
      <c r="C771" s="991"/>
      <c r="D771" s="991" t="s">
        <v>109</v>
      </c>
      <c r="E771" s="991" t="s">
        <v>130</v>
      </c>
      <c r="F771" s="808" t="s">
        <v>108</v>
      </c>
      <c r="G771" s="808" t="s">
        <v>108</v>
      </c>
      <c r="H771" s="808" t="s">
        <v>108</v>
      </c>
      <c r="I771" s="808" t="s">
        <v>108</v>
      </c>
      <c r="J771" s="808" t="s">
        <v>108</v>
      </c>
      <c r="K771" s="808" t="s">
        <v>108</v>
      </c>
      <c r="L771" s="808" t="s">
        <v>108</v>
      </c>
      <c r="M771" s="808" t="s">
        <v>108</v>
      </c>
      <c r="N771" s="808" t="s">
        <v>108</v>
      </c>
      <c r="O771" s="808" t="s">
        <v>108</v>
      </c>
      <c r="P771" s="808" t="s">
        <v>108</v>
      </c>
      <c r="Q771" s="808" t="s">
        <v>108</v>
      </c>
      <c r="R771" s="808" t="s">
        <v>108</v>
      </c>
      <c r="S771" s="808" t="s">
        <v>108</v>
      </c>
      <c r="T771" s="808" t="s">
        <v>108</v>
      </c>
      <c r="U771" s="808" t="s">
        <v>108</v>
      </c>
      <c r="V771" s="808" t="s">
        <v>108</v>
      </c>
      <c r="W771" s="808" t="s">
        <v>108</v>
      </c>
      <c r="X771" s="808" t="s">
        <v>108</v>
      </c>
      <c r="Y771" s="808" t="s">
        <v>108</v>
      </c>
      <c r="Z771" s="808" t="s">
        <v>108</v>
      </c>
      <c r="AA771" s="808" t="s">
        <v>108</v>
      </c>
      <c r="AB771" s="808" t="s">
        <v>108</v>
      </c>
      <c r="AC771" s="808" t="s">
        <v>108</v>
      </c>
      <c r="AD771" s="808" t="s">
        <v>108</v>
      </c>
      <c r="AE771" s="808" t="s">
        <v>108</v>
      </c>
      <c r="AF771" s="808" t="s">
        <v>108</v>
      </c>
      <c r="AG771" s="808" t="s">
        <v>108</v>
      </c>
      <c r="AH771" s="808" t="s">
        <v>108</v>
      </c>
      <c r="AI771" s="808" t="s">
        <v>108</v>
      </c>
      <c r="AJ771" s="808" t="s">
        <v>108</v>
      </c>
      <c r="AK771" s="808" t="s">
        <v>108</v>
      </c>
      <c r="AL771" s="808" t="s">
        <v>108</v>
      </c>
      <c r="AM771" s="315"/>
      <c r="AN771" s="315"/>
    </row>
    <row r="772" spans="1:40" ht="12.6">
      <c r="A772" s="990" t="s">
        <v>895</v>
      </c>
      <c r="B772" s="991" t="s">
        <v>823</v>
      </c>
      <c r="C772" s="991"/>
      <c r="D772" s="315"/>
      <c r="E772" s="991" t="s">
        <v>122</v>
      </c>
      <c r="F772" s="808" t="s">
        <v>108</v>
      </c>
      <c r="G772" s="808" t="s">
        <v>108</v>
      </c>
      <c r="H772" s="808" t="s">
        <v>108</v>
      </c>
      <c r="I772" s="808" t="s">
        <v>108</v>
      </c>
      <c r="J772" s="808" t="s">
        <v>108</v>
      </c>
      <c r="K772" s="808" t="s">
        <v>108</v>
      </c>
      <c r="L772" s="808" t="s">
        <v>108</v>
      </c>
      <c r="M772" s="808" t="s">
        <v>108</v>
      </c>
      <c r="N772" s="808" t="s">
        <v>108</v>
      </c>
      <c r="O772" s="808" t="s">
        <v>108</v>
      </c>
      <c r="P772" s="808" t="s">
        <v>108</v>
      </c>
      <c r="Q772" s="808" t="s">
        <v>108</v>
      </c>
      <c r="R772" s="808" t="s">
        <v>108</v>
      </c>
      <c r="S772" s="808" t="s">
        <v>108</v>
      </c>
      <c r="T772" s="808" t="s">
        <v>108</v>
      </c>
      <c r="U772" s="808" t="s">
        <v>108</v>
      </c>
      <c r="V772" s="808" t="s">
        <v>108</v>
      </c>
      <c r="W772" s="808" t="s">
        <v>108</v>
      </c>
      <c r="X772" s="808" t="s">
        <v>108</v>
      </c>
      <c r="Y772" s="808" t="s">
        <v>108</v>
      </c>
      <c r="Z772" s="808" t="s">
        <v>108</v>
      </c>
      <c r="AA772" s="808" t="s">
        <v>108</v>
      </c>
      <c r="AB772" s="808" t="s">
        <v>108</v>
      </c>
      <c r="AC772" s="808" t="s">
        <v>108</v>
      </c>
      <c r="AD772" s="808" t="s">
        <v>108</v>
      </c>
      <c r="AE772" s="808" t="s">
        <v>108</v>
      </c>
      <c r="AF772" s="808" t="s">
        <v>108</v>
      </c>
      <c r="AG772" s="808" t="s">
        <v>108</v>
      </c>
      <c r="AH772" s="808" t="s">
        <v>108</v>
      </c>
      <c r="AI772" s="808" t="s">
        <v>108</v>
      </c>
      <c r="AJ772" s="808" t="s">
        <v>108</v>
      </c>
      <c r="AK772" s="808" t="s">
        <v>108</v>
      </c>
      <c r="AL772" s="808" t="s">
        <v>108</v>
      </c>
      <c r="AM772" s="315"/>
      <c r="AN772" s="315"/>
    </row>
    <row r="773" spans="1:40" ht="12.6">
      <c r="A773" s="990" t="s">
        <v>896</v>
      </c>
      <c r="B773" s="991" t="s">
        <v>825</v>
      </c>
      <c r="C773" s="991"/>
      <c r="D773" s="315"/>
      <c r="E773" s="315"/>
      <c r="F773" s="809" t="s">
        <v>826</v>
      </c>
      <c r="G773" s="809" t="s">
        <v>826</v>
      </c>
      <c r="H773" s="809" t="s">
        <v>826</v>
      </c>
      <c r="I773" s="809" t="s">
        <v>826</v>
      </c>
      <c r="J773" s="809" t="s">
        <v>826</v>
      </c>
      <c r="K773" s="809" t="s">
        <v>826</v>
      </c>
      <c r="L773" s="809" t="s">
        <v>826</v>
      </c>
      <c r="M773" s="809" t="s">
        <v>826</v>
      </c>
      <c r="N773" s="809" t="s">
        <v>826</v>
      </c>
      <c r="O773" s="809" t="s">
        <v>826</v>
      </c>
      <c r="P773" s="809" t="s">
        <v>826</v>
      </c>
      <c r="Q773" s="809" t="s">
        <v>826</v>
      </c>
      <c r="R773" s="809" t="s">
        <v>826</v>
      </c>
      <c r="S773" s="809" t="s">
        <v>826</v>
      </c>
      <c r="T773" s="809" t="s">
        <v>826</v>
      </c>
      <c r="U773" s="809" t="s">
        <v>826</v>
      </c>
      <c r="V773" s="809" t="s">
        <v>826</v>
      </c>
      <c r="W773" s="809" t="s">
        <v>826</v>
      </c>
      <c r="X773" s="809" t="s">
        <v>826</v>
      </c>
      <c r="Y773" s="809" t="s">
        <v>826</v>
      </c>
      <c r="Z773" s="809" t="s">
        <v>826</v>
      </c>
      <c r="AA773" s="809" t="s">
        <v>826</v>
      </c>
      <c r="AB773" s="809" t="s">
        <v>826</v>
      </c>
      <c r="AC773" s="809" t="s">
        <v>826</v>
      </c>
      <c r="AD773" s="809" t="s">
        <v>826</v>
      </c>
      <c r="AE773" s="809" t="s">
        <v>826</v>
      </c>
      <c r="AF773" s="809" t="s">
        <v>826</v>
      </c>
      <c r="AG773" s="809" t="s">
        <v>826</v>
      </c>
      <c r="AH773" s="809" t="s">
        <v>826</v>
      </c>
      <c r="AI773" s="809" t="s">
        <v>826</v>
      </c>
      <c r="AJ773" s="809" t="s">
        <v>826</v>
      </c>
      <c r="AK773" s="809" t="s">
        <v>826</v>
      </c>
      <c r="AL773" s="809" t="s">
        <v>826</v>
      </c>
      <c r="AM773" s="315"/>
      <c r="AN773" s="315"/>
    </row>
    <row r="774" spans="1:40" ht="12.6">
      <c r="A774" s="990" t="s">
        <v>897</v>
      </c>
      <c r="B774" s="991" t="s">
        <v>134</v>
      </c>
      <c r="D774" s="315"/>
      <c r="E774" s="315"/>
      <c r="F774" s="809" t="s">
        <v>828</v>
      </c>
      <c r="G774" s="809" t="s">
        <v>828</v>
      </c>
      <c r="H774" s="809" t="s">
        <v>828</v>
      </c>
      <c r="I774" s="809" t="s">
        <v>828</v>
      </c>
      <c r="J774" s="809" t="s">
        <v>828</v>
      </c>
      <c r="K774" s="809" t="s">
        <v>828</v>
      </c>
      <c r="L774" s="809" t="s">
        <v>828</v>
      </c>
      <c r="M774" s="809" t="s">
        <v>828</v>
      </c>
      <c r="N774" s="809" t="s">
        <v>828</v>
      </c>
      <c r="O774" s="809" t="s">
        <v>828</v>
      </c>
      <c r="P774" s="809" t="s">
        <v>828</v>
      </c>
      <c r="Q774" s="809" t="s">
        <v>828</v>
      </c>
      <c r="R774" s="809" t="s">
        <v>828</v>
      </c>
      <c r="S774" s="809" t="s">
        <v>828</v>
      </c>
      <c r="T774" s="809" t="s">
        <v>828</v>
      </c>
      <c r="U774" s="809" t="s">
        <v>828</v>
      </c>
      <c r="V774" s="809" t="s">
        <v>828</v>
      </c>
      <c r="W774" s="809" t="s">
        <v>828</v>
      </c>
      <c r="X774" s="809" t="s">
        <v>828</v>
      </c>
      <c r="Y774" s="809" t="s">
        <v>828</v>
      </c>
      <c r="Z774" s="809" t="s">
        <v>828</v>
      </c>
      <c r="AA774" s="809" t="s">
        <v>828</v>
      </c>
      <c r="AB774" s="809" t="s">
        <v>828</v>
      </c>
      <c r="AC774" s="809" t="s">
        <v>828</v>
      </c>
      <c r="AD774" s="809" t="s">
        <v>828</v>
      </c>
      <c r="AE774" s="809" t="s">
        <v>828</v>
      </c>
      <c r="AF774" s="809" t="s">
        <v>828</v>
      </c>
      <c r="AG774" s="809" t="s">
        <v>828</v>
      </c>
      <c r="AH774" s="809" t="s">
        <v>828</v>
      </c>
      <c r="AI774" s="809" t="s">
        <v>828</v>
      </c>
      <c r="AJ774" s="809" t="s">
        <v>828</v>
      </c>
      <c r="AK774" s="809" t="s">
        <v>828</v>
      </c>
      <c r="AL774" s="809" t="s">
        <v>828</v>
      </c>
      <c r="AM774" s="315"/>
      <c r="AN774" s="315"/>
    </row>
    <row r="775" spans="1:40" s="797" customFormat="1" ht="12.95">
      <c r="A775" s="989" t="s">
        <v>898</v>
      </c>
      <c r="B775" s="796"/>
      <c r="C775" s="796"/>
      <c r="D775" s="796"/>
      <c r="E775" s="796"/>
      <c r="F775" s="795"/>
      <c r="G775" s="795"/>
      <c r="H775" s="795"/>
      <c r="I775" s="795"/>
      <c r="J775" s="795"/>
      <c r="K775" s="795"/>
      <c r="L775" s="795"/>
      <c r="M775" s="795"/>
      <c r="N775" s="795"/>
      <c r="O775" s="795"/>
      <c r="P775" s="795"/>
      <c r="Q775" s="795"/>
      <c r="R775" s="795"/>
      <c r="S775" s="795"/>
      <c r="T775" s="795"/>
      <c r="U775" s="795"/>
      <c r="V775" s="795"/>
      <c r="W775" s="795"/>
      <c r="X775" s="795"/>
      <c r="Y775" s="795"/>
      <c r="Z775" s="795"/>
      <c r="AA775" s="795"/>
      <c r="AB775" s="795"/>
      <c r="AC775" s="795"/>
      <c r="AD775" s="795"/>
      <c r="AE775" s="795"/>
      <c r="AF775" s="795"/>
      <c r="AG775" s="795"/>
      <c r="AH775" s="795"/>
      <c r="AI775" s="795"/>
      <c r="AJ775" s="795"/>
      <c r="AK775" s="795"/>
      <c r="AL775" s="795"/>
      <c r="AM775" s="796"/>
      <c r="AN775" s="796"/>
    </row>
    <row r="776" spans="1:40" ht="12.6">
      <c r="A776" s="990" t="s">
        <v>899</v>
      </c>
      <c r="B776" s="991" t="s">
        <v>128</v>
      </c>
      <c r="C776" s="991"/>
      <c r="D776" s="991" t="s">
        <v>129</v>
      </c>
      <c r="E776" s="991" t="s">
        <v>130</v>
      </c>
      <c r="F776" s="808" t="s">
        <v>99</v>
      </c>
      <c r="G776" s="808" t="s">
        <v>99</v>
      </c>
      <c r="H776" s="808" t="s">
        <v>99</v>
      </c>
      <c r="I776" s="808" t="s">
        <v>99</v>
      </c>
      <c r="J776" s="808" t="s">
        <v>99</v>
      </c>
      <c r="K776" s="808" t="s">
        <v>99</v>
      </c>
      <c r="L776" s="808" t="s">
        <v>99</v>
      </c>
      <c r="M776" s="808" t="s">
        <v>99</v>
      </c>
      <c r="N776" s="808" t="s">
        <v>99</v>
      </c>
      <c r="O776" s="808" t="s">
        <v>99</v>
      </c>
      <c r="P776" s="808" t="s">
        <v>99</v>
      </c>
      <c r="Q776" s="808" t="s">
        <v>99</v>
      </c>
      <c r="R776" s="808" t="s">
        <v>99</v>
      </c>
      <c r="S776" s="808" t="s">
        <v>99</v>
      </c>
      <c r="T776" s="808" t="s">
        <v>99</v>
      </c>
      <c r="U776" s="808" t="s">
        <v>99</v>
      </c>
      <c r="V776" s="808" t="s">
        <v>99</v>
      </c>
      <c r="W776" s="808" t="s">
        <v>99</v>
      </c>
      <c r="X776" s="808" t="s">
        <v>99</v>
      </c>
      <c r="Y776" s="808" t="s">
        <v>99</v>
      </c>
      <c r="Z776" s="808" t="s">
        <v>99</v>
      </c>
      <c r="AA776" s="808" t="s">
        <v>99</v>
      </c>
      <c r="AB776" s="808" t="s">
        <v>99</v>
      </c>
      <c r="AC776" s="808" t="s">
        <v>99</v>
      </c>
      <c r="AD776" s="808" t="s">
        <v>99</v>
      </c>
      <c r="AE776" s="808" t="s">
        <v>99</v>
      </c>
      <c r="AF776" s="808" t="s">
        <v>99</v>
      </c>
      <c r="AG776" s="808" t="s">
        <v>99</v>
      </c>
      <c r="AH776" s="808" t="s">
        <v>99</v>
      </c>
      <c r="AI776" s="808" t="s">
        <v>99</v>
      </c>
      <c r="AJ776" s="808" t="s">
        <v>99</v>
      </c>
      <c r="AK776" s="808" t="s">
        <v>99</v>
      </c>
      <c r="AL776" s="808" t="s">
        <v>99</v>
      </c>
      <c r="AM776" s="344" t="s">
        <v>818</v>
      </c>
      <c r="AN776" s="807"/>
    </row>
    <row r="777" spans="1:40" ht="12.6">
      <c r="A777" s="990" t="s">
        <v>900</v>
      </c>
      <c r="B777" s="991" t="s">
        <v>820</v>
      </c>
      <c r="C777" s="991"/>
      <c r="D777" s="991" t="s">
        <v>109</v>
      </c>
      <c r="E777" s="991" t="s">
        <v>130</v>
      </c>
      <c r="F777" s="808" t="s">
        <v>99</v>
      </c>
      <c r="G777" s="808" t="s">
        <v>99</v>
      </c>
      <c r="H777" s="808" t="s">
        <v>99</v>
      </c>
      <c r="I777" s="808" t="s">
        <v>99</v>
      </c>
      <c r="J777" s="808" t="s">
        <v>99</v>
      </c>
      <c r="K777" s="808" t="s">
        <v>99</v>
      </c>
      <c r="L777" s="808" t="s">
        <v>99</v>
      </c>
      <c r="M777" s="808" t="s">
        <v>99</v>
      </c>
      <c r="N777" s="808" t="s">
        <v>99</v>
      </c>
      <c r="O777" s="808" t="s">
        <v>99</v>
      </c>
      <c r="P777" s="808" t="s">
        <v>99</v>
      </c>
      <c r="Q777" s="808" t="s">
        <v>99</v>
      </c>
      <c r="R777" s="808" t="s">
        <v>99</v>
      </c>
      <c r="S777" s="808" t="s">
        <v>99</v>
      </c>
      <c r="T777" s="808" t="s">
        <v>99</v>
      </c>
      <c r="U777" s="808" t="s">
        <v>99</v>
      </c>
      <c r="V777" s="808" t="s">
        <v>99</v>
      </c>
      <c r="W777" s="808" t="s">
        <v>99</v>
      </c>
      <c r="X777" s="808" t="s">
        <v>99</v>
      </c>
      <c r="Y777" s="808" t="s">
        <v>99</v>
      </c>
      <c r="Z777" s="808" t="s">
        <v>99</v>
      </c>
      <c r="AA777" s="808" t="s">
        <v>99</v>
      </c>
      <c r="AB777" s="808" t="s">
        <v>99</v>
      </c>
      <c r="AC777" s="808" t="s">
        <v>99</v>
      </c>
      <c r="AD777" s="808" t="s">
        <v>99</v>
      </c>
      <c r="AE777" s="808" t="s">
        <v>99</v>
      </c>
      <c r="AF777" s="808" t="s">
        <v>99</v>
      </c>
      <c r="AG777" s="808" t="s">
        <v>99</v>
      </c>
      <c r="AH777" s="808" t="s">
        <v>99</v>
      </c>
      <c r="AI777" s="808" t="s">
        <v>99</v>
      </c>
      <c r="AJ777" s="808" t="s">
        <v>99</v>
      </c>
      <c r="AK777" s="808" t="s">
        <v>99</v>
      </c>
      <c r="AL777" s="808" t="s">
        <v>99</v>
      </c>
      <c r="AM777" s="344" t="s">
        <v>901</v>
      </c>
      <c r="AN777" s="807"/>
    </row>
    <row r="778" spans="1:40" ht="12.6">
      <c r="A778" s="990" t="s">
        <v>902</v>
      </c>
      <c r="B778" s="991" t="s">
        <v>823</v>
      </c>
      <c r="C778" s="991"/>
      <c r="D778" s="315"/>
      <c r="E778" s="991" t="s">
        <v>122</v>
      </c>
      <c r="F778" s="808" t="s">
        <v>99</v>
      </c>
      <c r="G778" s="808" t="s">
        <v>99</v>
      </c>
      <c r="H778" s="808" t="s">
        <v>99</v>
      </c>
      <c r="I778" s="808" t="s">
        <v>99</v>
      </c>
      <c r="J778" s="808" t="s">
        <v>99</v>
      </c>
      <c r="K778" s="808" t="s">
        <v>99</v>
      </c>
      <c r="L778" s="808" t="s">
        <v>99</v>
      </c>
      <c r="M778" s="808" t="s">
        <v>99</v>
      </c>
      <c r="N778" s="808" t="s">
        <v>99</v>
      </c>
      <c r="O778" s="808" t="s">
        <v>99</v>
      </c>
      <c r="P778" s="808" t="s">
        <v>99</v>
      </c>
      <c r="Q778" s="808" t="s">
        <v>99</v>
      </c>
      <c r="R778" s="808" t="s">
        <v>99</v>
      </c>
      <c r="S778" s="808" t="s">
        <v>99</v>
      </c>
      <c r="T778" s="808" t="s">
        <v>99</v>
      </c>
      <c r="U778" s="808" t="s">
        <v>99</v>
      </c>
      <c r="V778" s="808" t="s">
        <v>99</v>
      </c>
      <c r="W778" s="808" t="s">
        <v>99</v>
      </c>
      <c r="X778" s="808" t="s">
        <v>99</v>
      </c>
      <c r="Y778" s="808" t="s">
        <v>99</v>
      </c>
      <c r="Z778" s="808" t="s">
        <v>99</v>
      </c>
      <c r="AA778" s="808" t="s">
        <v>99</v>
      </c>
      <c r="AB778" s="808" t="s">
        <v>99</v>
      </c>
      <c r="AC778" s="808" t="s">
        <v>99</v>
      </c>
      <c r="AD778" s="808" t="s">
        <v>99</v>
      </c>
      <c r="AE778" s="808" t="s">
        <v>99</v>
      </c>
      <c r="AF778" s="808" t="s">
        <v>99</v>
      </c>
      <c r="AG778" s="808" t="s">
        <v>99</v>
      </c>
      <c r="AH778" s="808" t="s">
        <v>99</v>
      </c>
      <c r="AI778" s="808" t="s">
        <v>99</v>
      </c>
      <c r="AJ778" s="808" t="s">
        <v>99</v>
      </c>
      <c r="AK778" s="808" t="s">
        <v>99</v>
      </c>
      <c r="AL778" s="808" t="s">
        <v>99</v>
      </c>
      <c r="AM778" s="344" t="s">
        <v>901</v>
      </c>
      <c r="AN778" s="807"/>
    </row>
    <row r="779" spans="1:40" ht="12.6">
      <c r="A779" s="990" t="s">
        <v>903</v>
      </c>
      <c r="B779" s="991" t="s">
        <v>825</v>
      </c>
      <c r="C779" s="991"/>
      <c r="D779" s="315"/>
      <c r="E779" s="315"/>
      <c r="F779" s="809" t="s">
        <v>826</v>
      </c>
      <c r="G779" s="809" t="s">
        <v>826</v>
      </c>
      <c r="H779" s="809" t="s">
        <v>826</v>
      </c>
      <c r="I779" s="809" t="s">
        <v>826</v>
      </c>
      <c r="J779" s="809" t="s">
        <v>826</v>
      </c>
      <c r="K779" s="809" t="s">
        <v>826</v>
      </c>
      <c r="L779" s="809" t="s">
        <v>826</v>
      </c>
      <c r="M779" s="809" t="s">
        <v>826</v>
      </c>
      <c r="N779" s="809" t="s">
        <v>826</v>
      </c>
      <c r="O779" s="809" t="s">
        <v>826</v>
      </c>
      <c r="P779" s="809" t="s">
        <v>826</v>
      </c>
      <c r="Q779" s="809" t="s">
        <v>826</v>
      </c>
      <c r="R779" s="809" t="s">
        <v>826</v>
      </c>
      <c r="S779" s="809" t="s">
        <v>826</v>
      </c>
      <c r="T779" s="809" t="s">
        <v>826</v>
      </c>
      <c r="U779" s="809" t="s">
        <v>826</v>
      </c>
      <c r="V779" s="809" t="s">
        <v>826</v>
      </c>
      <c r="W779" s="809" t="s">
        <v>826</v>
      </c>
      <c r="X779" s="809" t="s">
        <v>826</v>
      </c>
      <c r="Y779" s="809" t="s">
        <v>826</v>
      </c>
      <c r="Z779" s="809" t="s">
        <v>826</v>
      </c>
      <c r="AA779" s="809" t="s">
        <v>826</v>
      </c>
      <c r="AB779" s="809" t="s">
        <v>826</v>
      </c>
      <c r="AC779" s="809" t="s">
        <v>826</v>
      </c>
      <c r="AD779" s="809" t="s">
        <v>826</v>
      </c>
      <c r="AE779" s="809" t="s">
        <v>826</v>
      </c>
      <c r="AF779" s="809" t="s">
        <v>826</v>
      </c>
      <c r="AG779" s="809" t="s">
        <v>826</v>
      </c>
      <c r="AH779" s="809" t="s">
        <v>826</v>
      </c>
      <c r="AI779" s="809" t="s">
        <v>826</v>
      </c>
      <c r="AJ779" s="809" t="s">
        <v>826</v>
      </c>
      <c r="AK779" s="809" t="s">
        <v>826</v>
      </c>
      <c r="AL779" s="809" t="s">
        <v>826</v>
      </c>
      <c r="AM779" s="315"/>
      <c r="AN779" s="315"/>
    </row>
    <row r="780" spans="1:40" ht="12.6">
      <c r="A780" s="990" t="s">
        <v>904</v>
      </c>
      <c r="B780" s="991" t="s">
        <v>134</v>
      </c>
      <c r="D780" s="315"/>
      <c r="E780" s="315"/>
      <c r="F780" s="809" t="s">
        <v>828</v>
      </c>
      <c r="G780" s="809" t="s">
        <v>828</v>
      </c>
      <c r="H780" s="809" t="s">
        <v>828</v>
      </c>
      <c r="I780" s="809" t="s">
        <v>828</v>
      </c>
      <c r="J780" s="809" t="s">
        <v>828</v>
      </c>
      <c r="K780" s="809" t="s">
        <v>828</v>
      </c>
      <c r="L780" s="809" t="s">
        <v>828</v>
      </c>
      <c r="M780" s="809" t="s">
        <v>828</v>
      </c>
      <c r="N780" s="809" t="s">
        <v>828</v>
      </c>
      <c r="O780" s="809" t="s">
        <v>828</v>
      </c>
      <c r="P780" s="809" t="s">
        <v>828</v>
      </c>
      <c r="Q780" s="809" t="s">
        <v>828</v>
      </c>
      <c r="R780" s="809" t="s">
        <v>828</v>
      </c>
      <c r="S780" s="809" t="s">
        <v>828</v>
      </c>
      <c r="T780" s="809" t="s">
        <v>828</v>
      </c>
      <c r="U780" s="809" t="s">
        <v>828</v>
      </c>
      <c r="V780" s="809" t="s">
        <v>828</v>
      </c>
      <c r="W780" s="809" t="s">
        <v>828</v>
      </c>
      <c r="X780" s="809" t="s">
        <v>828</v>
      </c>
      <c r="Y780" s="809" t="s">
        <v>828</v>
      </c>
      <c r="Z780" s="809" t="s">
        <v>828</v>
      </c>
      <c r="AA780" s="809" t="s">
        <v>828</v>
      </c>
      <c r="AB780" s="809" t="s">
        <v>828</v>
      </c>
      <c r="AC780" s="809" t="s">
        <v>828</v>
      </c>
      <c r="AD780" s="809" t="s">
        <v>828</v>
      </c>
      <c r="AE780" s="809" t="s">
        <v>828</v>
      </c>
      <c r="AF780" s="809" t="s">
        <v>828</v>
      </c>
      <c r="AG780" s="809" t="s">
        <v>828</v>
      </c>
      <c r="AH780" s="809" t="s">
        <v>828</v>
      </c>
      <c r="AI780" s="809" t="s">
        <v>828</v>
      </c>
      <c r="AJ780" s="809" t="s">
        <v>828</v>
      </c>
      <c r="AK780" s="809" t="s">
        <v>828</v>
      </c>
      <c r="AL780" s="809" t="s">
        <v>828</v>
      </c>
      <c r="AM780" s="315"/>
      <c r="AN780" s="315"/>
    </row>
    <row r="781" spans="1:40" s="797" customFormat="1" ht="12.95">
      <c r="A781" s="989" t="s">
        <v>905</v>
      </c>
      <c r="B781" s="796"/>
      <c r="C781" s="796"/>
      <c r="D781" s="796"/>
      <c r="E781" s="796"/>
      <c r="F781" s="795"/>
      <c r="G781" s="795"/>
      <c r="H781" s="795"/>
      <c r="I781" s="795"/>
      <c r="J781" s="795"/>
      <c r="K781" s="795"/>
      <c r="L781" s="795"/>
      <c r="M781" s="795"/>
      <c r="N781" s="795"/>
      <c r="O781" s="795"/>
      <c r="P781" s="795"/>
      <c r="Q781" s="795"/>
      <c r="R781" s="795"/>
      <c r="S781" s="795"/>
      <c r="T781" s="795"/>
      <c r="U781" s="795"/>
      <c r="V781" s="795"/>
      <c r="W781" s="795"/>
      <c r="X781" s="795"/>
      <c r="Y781" s="795"/>
      <c r="Z781" s="795"/>
      <c r="AA781" s="795"/>
      <c r="AB781" s="795"/>
      <c r="AC781" s="795"/>
      <c r="AD781" s="795"/>
      <c r="AE781" s="795"/>
      <c r="AF781" s="795"/>
      <c r="AG781" s="795"/>
      <c r="AH781" s="795"/>
      <c r="AI781" s="795"/>
      <c r="AJ781" s="795"/>
      <c r="AK781" s="795"/>
      <c r="AL781" s="795"/>
      <c r="AM781" s="796"/>
      <c r="AN781" s="796"/>
    </row>
    <row r="782" spans="1:40" ht="12.6">
      <c r="A782" s="990" t="s">
        <v>906</v>
      </c>
      <c r="B782" s="991" t="s">
        <v>128</v>
      </c>
      <c r="C782" s="991"/>
      <c r="D782" s="991" t="s">
        <v>129</v>
      </c>
      <c r="E782" s="991" t="s">
        <v>130</v>
      </c>
      <c r="F782" s="808" t="s">
        <v>99</v>
      </c>
      <c r="G782" s="808" t="s">
        <v>99</v>
      </c>
      <c r="H782" s="808" t="s">
        <v>99</v>
      </c>
      <c r="I782" s="808" t="s">
        <v>99</v>
      </c>
      <c r="J782" s="808" t="s">
        <v>99</v>
      </c>
      <c r="K782" s="808" t="s">
        <v>99</v>
      </c>
      <c r="L782" s="808" t="s">
        <v>99</v>
      </c>
      <c r="M782" s="808" t="s">
        <v>99</v>
      </c>
      <c r="N782" s="808" t="s">
        <v>99</v>
      </c>
      <c r="O782" s="808" t="s">
        <v>99</v>
      </c>
      <c r="P782" s="808" t="s">
        <v>99</v>
      </c>
      <c r="Q782" s="808" t="s">
        <v>99</v>
      </c>
      <c r="R782" s="808" t="s">
        <v>99</v>
      </c>
      <c r="S782" s="808" t="s">
        <v>99</v>
      </c>
      <c r="T782" s="808" t="s">
        <v>99</v>
      </c>
      <c r="U782" s="808" t="s">
        <v>99</v>
      </c>
      <c r="V782" s="808" t="s">
        <v>99</v>
      </c>
      <c r="W782" s="808" t="s">
        <v>99</v>
      </c>
      <c r="X782" s="808" t="s">
        <v>99</v>
      </c>
      <c r="Y782" s="808" t="s">
        <v>99</v>
      </c>
      <c r="Z782" s="808" t="s">
        <v>99</v>
      </c>
      <c r="AA782" s="808" t="s">
        <v>99</v>
      </c>
      <c r="AB782" s="808" t="s">
        <v>99</v>
      </c>
      <c r="AC782" s="808" t="s">
        <v>99</v>
      </c>
      <c r="AD782" s="808" t="s">
        <v>99</v>
      </c>
      <c r="AE782" s="808" t="s">
        <v>99</v>
      </c>
      <c r="AF782" s="808" t="s">
        <v>99</v>
      </c>
      <c r="AG782" s="808" t="s">
        <v>99</v>
      </c>
      <c r="AH782" s="808" t="s">
        <v>99</v>
      </c>
      <c r="AI782" s="808" t="s">
        <v>99</v>
      </c>
      <c r="AJ782" s="808" t="s">
        <v>99</v>
      </c>
      <c r="AK782" s="808" t="s">
        <v>99</v>
      </c>
      <c r="AL782" s="808" t="s">
        <v>99</v>
      </c>
      <c r="AM782" s="344" t="s">
        <v>818</v>
      </c>
      <c r="AN782" s="807"/>
    </row>
    <row r="783" spans="1:40" ht="12.6">
      <c r="A783" s="990" t="s">
        <v>907</v>
      </c>
      <c r="B783" s="991" t="s">
        <v>820</v>
      </c>
      <c r="C783" s="991"/>
      <c r="D783" s="991" t="s">
        <v>109</v>
      </c>
      <c r="E783" s="991" t="s">
        <v>130</v>
      </c>
      <c r="F783" s="300">
        <f>'Non-Energy Use'!E144*1000</f>
        <v>71.040270879315287</v>
      </c>
      <c r="G783" s="300">
        <f>'Non-Energy Use'!F144*1000</f>
        <v>71.434072</v>
      </c>
      <c r="H783" s="300">
        <f>'Non-Energy Use'!G144*1000</f>
        <v>70.631221958333327</v>
      </c>
      <c r="I783" s="300">
        <f>'Non-Energy Use'!H144*1000</f>
        <v>69.828371916666669</v>
      </c>
      <c r="J783" s="300">
        <f>'Non-Energy Use'!I144*1000</f>
        <v>69.025521874999995</v>
      </c>
      <c r="K783" s="300">
        <f>'Non-Energy Use'!J144*1000</f>
        <v>81.141703906250015</v>
      </c>
      <c r="L783" s="300">
        <f>'Non-Energy Use'!K144*1000</f>
        <v>93.257885937500021</v>
      </c>
      <c r="M783" s="300">
        <f>'Non-Energy Use'!L144*1000</f>
        <v>105.37406796875003</v>
      </c>
      <c r="N783" s="300">
        <f>'Non-Energy Use'!M144*1000</f>
        <v>117.49025000000002</v>
      </c>
      <c r="O783" s="300">
        <f>'Non-Energy Use'!N144*1000</f>
        <v>117.49025000000002</v>
      </c>
      <c r="P783" s="300">
        <f>'Non-Energy Use'!O144*1000</f>
        <v>118.77175000000001</v>
      </c>
      <c r="Q783" s="300">
        <f>'Non-Energy Use'!P144*1000</f>
        <v>118.59699999999999</v>
      </c>
      <c r="R783" s="300">
        <f>'Non-Energy Use'!Q144*1000</f>
        <v>118.59699999999999</v>
      </c>
      <c r="S783" s="300">
        <f>'Non-Energy Use'!R144*1000</f>
        <v>133.48715625</v>
      </c>
      <c r="T783" s="300">
        <f>'Non-Energy Use'!S144*1000</f>
        <v>148.4646875</v>
      </c>
      <c r="U783" s="300">
        <f>'Non-Energy Use'!T144*1000</f>
        <v>163.15096874999998</v>
      </c>
      <c r="V783" s="300">
        <f>'Non-Energy Use'!U144*1000</f>
        <v>177.633375</v>
      </c>
      <c r="W783" s="300">
        <f>'Non-Energy Use'!V144*1000</f>
        <v>147.4453125</v>
      </c>
      <c r="X783" s="300">
        <f>'Non-Energy Use'!W144*1000</f>
        <v>117.95625</v>
      </c>
      <c r="Y783" s="300">
        <f>'Non-Energy Use'!X144*1000</f>
        <v>88.379812500000014</v>
      </c>
      <c r="Z783" s="300">
        <f>'Non-Energy Use'!Y144*1000</f>
        <v>58.948999999999998</v>
      </c>
      <c r="AA783" s="300">
        <f>'Non-Energy Use'!Z144*1000</f>
        <v>58.890749999999997</v>
      </c>
      <c r="AB783" s="300">
        <f>'Non-Energy Use'!AA144*1000</f>
        <v>58.890749999999997</v>
      </c>
      <c r="AC783" s="300">
        <f>'Non-Energy Use'!AB144*1000</f>
        <v>58.919875000000005</v>
      </c>
      <c r="AD783" s="300">
        <f>'Non-Energy Use'!AC144*1000</f>
        <v>58.919875000000005</v>
      </c>
      <c r="AE783" s="300">
        <f>'Non-Energy Use'!AD144*1000</f>
        <v>58.895531457079741</v>
      </c>
      <c r="AF783" s="300">
        <f>'Non-Energy Use'!AE144*1000</f>
        <v>58.873971677228234</v>
      </c>
      <c r="AG783" s="300">
        <f>'Non-Energy Use'!AF144*1000</f>
        <v>58.851219019262921</v>
      </c>
      <c r="AH783" s="300">
        <f>'Non-Energy Use'!AG144*1000</f>
        <v>58.895757903656438</v>
      </c>
      <c r="AI783" s="300">
        <f>'Non-Energy Use'!AH144*1000</f>
        <v>58.895757903656438</v>
      </c>
      <c r="AJ783" s="300">
        <f>'Non-Energy Use'!AI144*1000</f>
        <v>58.881699392511692</v>
      </c>
      <c r="AK783" s="300">
        <f>'Non-Energy Use'!AJ144*1000</f>
        <v>58.881699392511692</v>
      </c>
      <c r="AL783" s="300">
        <f>'Non-Energy Use'!AK144*1000</f>
        <v>58.881699392511692</v>
      </c>
      <c r="AM783" s="315"/>
      <c r="AN783" s="315"/>
    </row>
    <row r="784" spans="1:40" ht="12.6">
      <c r="A784" s="990" t="s">
        <v>908</v>
      </c>
      <c r="B784" s="991" t="s">
        <v>823</v>
      </c>
      <c r="C784" s="991"/>
      <c r="D784" s="315"/>
      <c r="E784" s="991" t="s">
        <v>122</v>
      </c>
      <c r="F784" s="300">
        <f>('Non-Energy Use'!E88)*1055.05585262</f>
        <v>7431.9735808558999</v>
      </c>
      <c r="G784" s="300">
        <f>('Non-Energy Use'!F88)*1055.05585262</f>
        <v>7473.1716152779836</v>
      </c>
      <c r="H784" s="300">
        <f>('Non-Energy Use'!G88)*1055.05585262</f>
        <v>7389.1803772773264</v>
      </c>
      <c r="I784" s="300">
        <f>('Non-Energy Use'!H88)*1055.05585262</f>
        <v>7305.1891392766693</v>
      </c>
      <c r="J784" s="300">
        <f>('Non-Energy Use'!I88)*1055.05585262</f>
        <v>7221.1979012760121</v>
      </c>
      <c r="K784" s="300">
        <f>('Non-Energy Use'!J88)*1055.05585262</f>
        <v>8488.7485967127595</v>
      </c>
      <c r="L784" s="300">
        <f>('Non-Energy Use'!K88)*1055.05585262</f>
        <v>9756.2992921495079</v>
      </c>
      <c r="M784" s="300">
        <f>('Non-Energy Use'!L88)*1055.05585262</f>
        <v>11023.849987586256</v>
      </c>
      <c r="N784" s="300">
        <f>('Non-Energy Use'!M88)*1055.05585262</f>
        <v>12291.400683023001</v>
      </c>
      <c r="O784" s="300">
        <f>('Non-Energy Use'!N88)*1055.05585262</f>
        <v>12291.400683023001</v>
      </c>
      <c r="P784" s="300">
        <f>('Non-Energy Use'!O88)*1055.05585262</f>
        <v>12291.400683023001</v>
      </c>
      <c r="Q784" s="300">
        <f>('Non-Energy Use'!P88)*1055.05585262</f>
        <v>12291.400683023001</v>
      </c>
      <c r="R784" s="300">
        <f>('Non-Energy Use'!Q88)*1055.05585262</f>
        <v>12291.400683023001</v>
      </c>
      <c r="S784" s="300">
        <f>('Non-Energy Use'!R88)*1055.05585262</f>
        <v>13827.825768400875</v>
      </c>
      <c r="T784" s="300">
        <f>('Non-Energy Use'!S88)*1055.05585262</f>
        <v>15364.250853778751</v>
      </c>
      <c r="U784" s="300">
        <f>('Non-Energy Use'!T88)*1055.05585262</f>
        <v>16900.675939156623</v>
      </c>
      <c r="V784" s="300">
        <f>('Non-Energy Use'!U88)*1055.05585262</f>
        <v>18437.101024534502</v>
      </c>
      <c r="W784" s="300">
        <f>('Non-Energy Use'!V88)*1055.05585262</f>
        <v>15364.250853778751</v>
      </c>
      <c r="X784" s="300">
        <f>('Non-Energy Use'!W88)*1055.05585262</f>
        <v>12291.400683023001</v>
      </c>
      <c r="Y784" s="300">
        <f>('Non-Energy Use'!X88)*1055.05585262</f>
        <v>9218.5505122672512</v>
      </c>
      <c r="Z784" s="300">
        <f>('Non-Energy Use'!Y88)*1055.05585262</f>
        <v>6145.7003415115005</v>
      </c>
      <c r="AA784" s="300">
        <f>('Non-Energy Use'!Z88)*1055.05585262</f>
        <v>6145.7003415115005</v>
      </c>
      <c r="AB784" s="300">
        <f>('Non-Energy Use'!AA88)*1055.05585262</f>
        <v>6145.7003415115005</v>
      </c>
      <c r="AC784" s="300">
        <f>('Non-Energy Use'!AB88)*1055.05585262</f>
        <v>6145.7003415115005</v>
      </c>
      <c r="AD784" s="300">
        <f>('Non-Energy Use'!AC88)*1055.05585262</f>
        <v>6145.7003415115005</v>
      </c>
      <c r="AE784" s="300">
        <f>('Non-Energy Use'!AD88)*1055.05585262</f>
        <v>6145.7003415115005</v>
      </c>
      <c r="AF784" s="300">
        <f>('Non-Energy Use'!AE88)*1055.05585262</f>
        <v>6145.7003415115005</v>
      </c>
      <c r="AG784" s="300">
        <f>('Non-Energy Use'!AF88)*1055.05585262</f>
        <v>6145.7003415115005</v>
      </c>
      <c r="AH784" s="300">
        <f>('Non-Energy Use'!AG88)*1055.05585262</f>
        <v>6145.7003415115005</v>
      </c>
      <c r="AI784" s="300">
        <f>('Non-Energy Use'!AH88)*1055.05585262</f>
        <v>6145.7003415115005</v>
      </c>
      <c r="AJ784" s="300">
        <f>('Non-Energy Use'!AI88)*1055.05585262</f>
        <v>6145.7003415115005</v>
      </c>
      <c r="AK784" s="300">
        <f>('Non-Energy Use'!AJ88)*1055.05585262</f>
        <v>6145.7003415115005</v>
      </c>
      <c r="AL784" s="300">
        <f>('Non-Energy Use'!AK88)*1055.05585262</f>
        <v>6145.7003415115005</v>
      </c>
      <c r="AM784" s="315"/>
      <c r="AN784" s="315"/>
    </row>
    <row r="785" spans="1:40" ht="12.6">
      <c r="A785" s="990" t="s">
        <v>909</v>
      </c>
      <c r="B785" s="991" t="s">
        <v>825</v>
      </c>
      <c r="C785" s="991"/>
      <c r="D785" s="315"/>
      <c r="E785" s="315"/>
      <c r="F785" s="809" t="s">
        <v>826</v>
      </c>
      <c r="G785" s="809" t="s">
        <v>826</v>
      </c>
      <c r="H785" s="809" t="s">
        <v>826</v>
      </c>
      <c r="I785" s="809" t="s">
        <v>826</v>
      </c>
      <c r="J785" s="809" t="s">
        <v>826</v>
      </c>
      <c r="K785" s="809" t="s">
        <v>826</v>
      </c>
      <c r="L785" s="809" t="s">
        <v>826</v>
      </c>
      <c r="M785" s="809" t="s">
        <v>826</v>
      </c>
      <c r="N785" s="809" t="s">
        <v>826</v>
      </c>
      <c r="O785" s="809" t="s">
        <v>826</v>
      </c>
      <c r="P785" s="809" t="s">
        <v>826</v>
      </c>
      <c r="Q785" s="809" t="s">
        <v>826</v>
      </c>
      <c r="R785" s="809" t="s">
        <v>826</v>
      </c>
      <c r="S785" s="809" t="s">
        <v>826</v>
      </c>
      <c r="T785" s="809" t="s">
        <v>826</v>
      </c>
      <c r="U785" s="809" t="s">
        <v>826</v>
      </c>
      <c r="V785" s="809" t="s">
        <v>826</v>
      </c>
      <c r="W785" s="809" t="s">
        <v>826</v>
      </c>
      <c r="X785" s="809" t="s">
        <v>826</v>
      </c>
      <c r="Y785" s="809" t="s">
        <v>826</v>
      </c>
      <c r="Z785" s="809" t="s">
        <v>826</v>
      </c>
      <c r="AA785" s="809" t="s">
        <v>826</v>
      </c>
      <c r="AB785" s="809" t="s">
        <v>826</v>
      </c>
      <c r="AC785" s="809" t="s">
        <v>826</v>
      </c>
      <c r="AD785" s="809" t="s">
        <v>826</v>
      </c>
      <c r="AE785" s="809" t="s">
        <v>826</v>
      </c>
      <c r="AF785" s="809" t="s">
        <v>826</v>
      </c>
      <c r="AG785" s="809" t="s">
        <v>826</v>
      </c>
      <c r="AH785" s="809" t="s">
        <v>826</v>
      </c>
      <c r="AI785" s="809" t="s">
        <v>826</v>
      </c>
      <c r="AJ785" s="809" t="s">
        <v>826</v>
      </c>
      <c r="AK785" s="809" t="s">
        <v>826</v>
      </c>
      <c r="AL785" s="809" t="s">
        <v>826</v>
      </c>
      <c r="AM785" s="315"/>
      <c r="AN785" s="315"/>
    </row>
    <row r="786" spans="1:40" ht="12.6">
      <c r="A786" s="990" t="s">
        <v>910</v>
      </c>
      <c r="B786" s="991" t="s">
        <v>134</v>
      </c>
      <c r="D786" s="315"/>
      <c r="E786" s="315"/>
      <c r="F786" s="809" t="s">
        <v>828</v>
      </c>
      <c r="G786" s="809" t="s">
        <v>828</v>
      </c>
      <c r="H786" s="809" t="s">
        <v>828</v>
      </c>
      <c r="I786" s="809" t="s">
        <v>828</v>
      </c>
      <c r="J786" s="809" t="s">
        <v>828</v>
      </c>
      <c r="K786" s="809" t="s">
        <v>828</v>
      </c>
      <c r="L786" s="809" t="s">
        <v>828</v>
      </c>
      <c r="M786" s="809" t="s">
        <v>828</v>
      </c>
      <c r="N786" s="809" t="s">
        <v>828</v>
      </c>
      <c r="O786" s="809" t="s">
        <v>828</v>
      </c>
      <c r="P786" s="809" t="s">
        <v>828</v>
      </c>
      <c r="Q786" s="809" t="s">
        <v>828</v>
      </c>
      <c r="R786" s="809" t="s">
        <v>828</v>
      </c>
      <c r="S786" s="809" t="s">
        <v>828</v>
      </c>
      <c r="T786" s="809" t="s">
        <v>828</v>
      </c>
      <c r="U786" s="809" t="s">
        <v>828</v>
      </c>
      <c r="V786" s="809" t="s">
        <v>828</v>
      </c>
      <c r="W786" s="809" t="s">
        <v>828</v>
      </c>
      <c r="X786" s="809" t="s">
        <v>828</v>
      </c>
      <c r="Y786" s="809" t="s">
        <v>828</v>
      </c>
      <c r="Z786" s="809" t="s">
        <v>828</v>
      </c>
      <c r="AA786" s="809" t="s">
        <v>828</v>
      </c>
      <c r="AB786" s="809" t="s">
        <v>828</v>
      </c>
      <c r="AC786" s="809" t="s">
        <v>828</v>
      </c>
      <c r="AD786" s="809" t="s">
        <v>828</v>
      </c>
      <c r="AE786" s="809" t="s">
        <v>828</v>
      </c>
      <c r="AF786" s="809" t="s">
        <v>828</v>
      </c>
      <c r="AG786" s="809" t="s">
        <v>828</v>
      </c>
      <c r="AH786" s="809" t="s">
        <v>828</v>
      </c>
      <c r="AI786" s="809" t="s">
        <v>828</v>
      </c>
      <c r="AJ786" s="809" t="s">
        <v>828</v>
      </c>
      <c r="AK786" s="809" t="s">
        <v>828</v>
      </c>
      <c r="AL786" s="809" t="s">
        <v>828</v>
      </c>
      <c r="AM786" s="315"/>
      <c r="AN786" s="315"/>
    </row>
    <row r="787" spans="1:40" s="797" customFormat="1" ht="12.95">
      <c r="A787" s="989" t="s">
        <v>911</v>
      </c>
      <c r="B787" s="796"/>
      <c r="C787" s="796"/>
      <c r="D787" s="796"/>
      <c r="E787" s="796"/>
      <c r="F787" s="795"/>
      <c r="G787" s="795"/>
      <c r="H787" s="795"/>
      <c r="I787" s="795"/>
      <c r="J787" s="795"/>
      <c r="K787" s="795"/>
      <c r="L787" s="795"/>
      <c r="M787" s="795"/>
      <c r="N787" s="795"/>
      <c r="O787" s="795"/>
      <c r="P787" s="795"/>
      <c r="Q787" s="795"/>
      <c r="R787" s="795"/>
      <c r="S787" s="795"/>
      <c r="T787" s="795"/>
      <c r="U787" s="795"/>
      <c r="V787" s="795"/>
      <c r="W787" s="795"/>
      <c r="X787" s="795"/>
      <c r="Y787" s="795"/>
      <c r="Z787" s="795"/>
      <c r="AA787" s="795"/>
      <c r="AB787" s="795"/>
      <c r="AC787" s="795"/>
      <c r="AD787" s="795"/>
      <c r="AE787" s="795"/>
      <c r="AF787" s="795"/>
      <c r="AG787" s="795"/>
      <c r="AH787" s="795"/>
      <c r="AI787" s="795"/>
      <c r="AJ787" s="795"/>
      <c r="AK787" s="795"/>
      <c r="AL787" s="795"/>
      <c r="AM787" s="796"/>
      <c r="AN787" s="796"/>
    </row>
    <row r="788" spans="1:40" ht="12.6">
      <c r="A788" s="990" t="s">
        <v>912</v>
      </c>
      <c r="B788" s="991" t="s">
        <v>128</v>
      </c>
      <c r="C788" s="991"/>
      <c r="D788" s="991" t="s">
        <v>129</v>
      </c>
      <c r="E788" s="991" t="s">
        <v>130</v>
      </c>
      <c r="F788" s="808" t="s">
        <v>108</v>
      </c>
      <c r="G788" s="808" t="s">
        <v>108</v>
      </c>
      <c r="H788" s="808" t="s">
        <v>108</v>
      </c>
      <c r="I788" s="808" t="s">
        <v>108</v>
      </c>
      <c r="J788" s="808" t="s">
        <v>108</v>
      </c>
      <c r="K788" s="808" t="s">
        <v>108</v>
      </c>
      <c r="L788" s="808" t="s">
        <v>108</v>
      </c>
      <c r="M788" s="808" t="s">
        <v>108</v>
      </c>
      <c r="N788" s="808" t="s">
        <v>108</v>
      </c>
      <c r="O788" s="808" t="s">
        <v>108</v>
      </c>
      <c r="P788" s="808" t="s">
        <v>108</v>
      </c>
      <c r="Q788" s="808" t="s">
        <v>108</v>
      </c>
      <c r="R788" s="808" t="s">
        <v>108</v>
      </c>
      <c r="S788" s="808" t="s">
        <v>108</v>
      </c>
      <c r="T788" s="808" t="s">
        <v>108</v>
      </c>
      <c r="U788" s="808" t="s">
        <v>108</v>
      </c>
      <c r="V788" s="808" t="s">
        <v>108</v>
      </c>
      <c r="W788" s="808" t="s">
        <v>108</v>
      </c>
      <c r="X788" s="808" t="s">
        <v>108</v>
      </c>
      <c r="Y788" s="808" t="s">
        <v>108</v>
      </c>
      <c r="Z788" s="808" t="s">
        <v>108</v>
      </c>
      <c r="AA788" s="808" t="s">
        <v>108</v>
      </c>
      <c r="AB788" s="808" t="s">
        <v>108</v>
      </c>
      <c r="AC788" s="808" t="s">
        <v>108</v>
      </c>
      <c r="AD788" s="808" t="s">
        <v>108</v>
      </c>
      <c r="AE788" s="808" t="s">
        <v>108</v>
      </c>
      <c r="AF788" s="808" t="s">
        <v>108</v>
      </c>
      <c r="AG788" s="808" t="s">
        <v>108</v>
      </c>
      <c r="AH788" s="808" t="s">
        <v>108</v>
      </c>
      <c r="AI788" s="808" t="s">
        <v>108</v>
      </c>
      <c r="AJ788" s="808" t="s">
        <v>108</v>
      </c>
      <c r="AK788" s="808" t="s">
        <v>108</v>
      </c>
      <c r="AL788" s="808" t="s">
        <v>108</v>
      </c>
      <c r="AM788" s="344" t="s">
        <v>818</v>
      </c>
      <c r="AN788" s="807"/>
    </row>
    <row r="789" spans="1:40" ht="12.6">
      <c r="A789" s="990" t="s">
        <v>913</v>
      </c>
      <c r="B789" s="991" t="s">
        <v>820</v>
      </c>
      <c r="C789" s="991"/>
      <c r="D789" s="991" t="s">
        <v>109</v>
      </c>
      <c r="E789" s="991" t="s">
        <v>130</v>
      </c>
      <c r="F789" s="808" t="s">
        <v>108</v>
      </c>
      <c r="G789" s="808" t="s">
        <v>108</v>
      </c>
      <c r="H789" s="808" t="s">
        <v>108</v>
      </c>
      <c r="I789" s="808" t="s">
        <v>108</v>
      </c>
      <c r="J789" s="808" t="s">
        <v>108</v>
      </c>
      <c r="K789" s="808" t="s">
        <v>108</v>
      </c>
      <c r="L789" s="808" t="s">
        <v>108</v>
      </c>
      <c r="M789" s="808" t="s">
        <v>108</v>
      </c>
      <c r="N789" s="808" t="s">
        <v>108</v>
      </c>
      <c r="O789" s="808" t="s">
        <v>108</v>
      </c>
      <c r="P789" s="808" t="s">
        <v>108</v>
      </c>
      <c r="Q789" s="808" t="s">
        <v>108</v>
      </c>
      <c r="R789" s="808" t="s">
        <v>108</v>
      </c>
      <c r="S789" s="808" t="s">
        <v>108</v>
      </c>
      <c r="T789" s="808" t="s">
        <v>108</v>
      </c>
      <c r="U789" s="808" t="s">
        <v>108</v>
      </c>
      <c r="V789" s="808" t="s">
        <v>108</v>
      </c>
      <c r="W789" s="808" t="s">
        <v>108</v>
      </c>
      <c r="X789" s="808" t="s">
        <v>108</v>
      </c>
      <c r="Y789" s="808" t="s">
        <v>108</v>
      </c>
      <c r="Z789" s="808" t="s">
        <v>108</v>
      </c>
      <c r="AA789" s="808" t="s">
        <v>108</v>
      </c>
      <c r="AB789" s="808" t="s">
        <v>108</v>
      </c>
      <c r="AC789" s="808" t="s">
        <v>108</v>
      </c>
      <c r="AD789" s="808" t="s">
        <v>108</v>
      </c>
      <c r="AE789" s="808" t="s">
        <v>108</v>
      </c>
      <c r="AF789" s="808" t="s">
        <v>108</v>
      </c>
      <c r="AG789" s="808" t="s">
        <v>108</v>
      </c>
      <c r="AH789" s="808" t="s">
        <v>108</v>
      </c>
      <c r="AI789" s="808" t="s">
        <v>108</v>
      </c>
      <c r="AJ789" s="808" t="s">
        <v>108</v>
      </c>
      <c r="AK789" s="808" t="s">
        <v>108</v>
      </c>
      <c r="AL789" s="808" t="s">
        <v>108</v>
      </c>
      <c r="AM789" s="344" t="s">
        <v>914</v>
      </c>
      <c r="AN789" s="807"/>
    </row>
    <row r="790" spans="1:40" ht="12.6">
      <c r="A790" s="990" t="s">
        <v>915</v>
      </c>
      <c r="B790" s="991" t="s">
        <v>823</v>
      </c>
      <c r="C790" s="991"/>
      <c r="D790" s="315"/>
      <c r="E790" s="991" t="s">
        <v>122</v>
      </c>
      <c r="F790" s="808" t="s">
        <v>108</v>
      </c>
      <c r="G790" s="808" t="s">
        <v>108</v>
      </c>
      <c r="H790" s="808" t="s">
        <v>108</v>
      </c>
      <c r="I790" s="808" t="s">
        <v>108</v>
      </c>
      <c r="J790" s="808" t="s">
        <v>108</v>
      </c>
      <c r="K790" s="808" t="s">
        <v>108</v>
      </c>
      <c r="L790" s="808" t="s">
        <v>108</v>
      </c>
      <c r="M790" s="808" t="s">
        <v>108</v>
      </c>
      <c r="N790" s="808" t="s">
        <v>108</v>
      </c>
      <c r="O790" s="808" t="s">
        <v>108</v>
      </c>
      <c r="P790" s="808" t="s">
        <v>108</v>
      </c>
      <c r="Q790" s="808" t="s">
        <v>108</v>
      </c>
      <c r="R790" s="808" t="s">
        <v>108</v>
      </c>
      <c r="S790" s="808" t="s">
        <v>108</v>
      </c>
      <c r="T790" s="808" t="s">
        <v>108</v>
      </c>
      <c r="U790" s="808" t="s">
        <v>108</v>
      </c>
      <c r="V790" s="808" t="s">
        <v>108</v>
      </c>
      <c r="W790" s="808" t="s">
        <v>108</v>
      </c>
      <c r="X790" s="808" t="s">
        <v>108</v>
      </c>
      <c r="Y790" s="808" t="s">
        <v>108</v>
      </c>
      <c r="Z790" s="808" t="s">
        <v>108</v>
      </c>
      <c r="AA790" s="808" t="s">
        <v>108</v>
      </c>
      <c r="AB790" s="808" t="s">
        <v>108</v>
      </c>
      <c r="AC790" s="808" t="s">
        <v>108</v>
      </c>
      <c r="AD790" s="808" t="s">
        <v>108</v>
      </c>
      <c r="AE790" s="808" t="s">
        <v>108</v>
      </c>
      <c r="AF790" s="808" t="s">
        <v>108</v>
      </c>
      <c r="AG790" s="808" t="s">
        <v>108</v>
      </c>
      <c r="AH790" s="808" t="s">
        <v>108</v>
      </c>
      <c r="AI790" s="808" t="s">
        <v>108</v>
      </c>
      <c r="AJ790" s="808" t="s">
        <v>108</v>
      </c>
      <c r="AK790" s="808" t="s">
        <v>108</v>
      </c>
      <c r="AL790" s="808" t="s">
        <v>108</v>
      </c>
      <c r="AM790" s="344" t="s">
        <v>914</v>
      </c>
      <c r="AN790" s="807"/>
    </row>
    <row r="791" spans="1:40" ht="12.6">
      <c r="A791" s="990" t="s">
        <v>916</v>
      </c>
      <c r="B791" s="991" t="s">
        <v>825</v>
      </c>
      <c r="C791" s="991"/>
      <c r="D791" s="315"/>
      <c r="E791" s="315"/>
      <c r="F791" s="809" t="s">
        <v>826</v>
      </c>
      <c r="G791" s="809" t="s">
        <v>826</v>
      </c>
      <c r="H791" s="809" t="s">
        <v>826</v>
      </c>
      <c r="I791" s="809" t="s">
        <v>826</v>
      </c>
      <c r="J791" s="809" t="s">
        <v>826</v>
      </c>
      <c r="K791" s="809" t="s">
        <v>826</v>
      </c>
      <c r="L791" s="809" t="s">
        <v>826</v>
      </c>
      <c r="M791" s="809" t="s">
        <v>826</v>
      </c>
      <c r="N791" s="809" t="s">
        <v>826</v>
      </c>
      <c r="O791" s="809" t="s">
        <v>826</v>
      </c>
      <c r="P791" s="809" t="s">
        <v>826</v>
      </c>
      <c r="Q791" s="809" t="s">
        <v>826</v>
      </c>
      <c r="R791" s="809" t="s">
        <v>826</v>
      </c>
      <c r="S791" s="809" t="s">
        <v>826</v>
      </c>
      <c r="T791" s="809" t="s">
        <v>826</v>
      </c>
      <c r="U791" s="809" t="s">
        <v>826</v>
      </c>
      <c r="V791" s="809" t="s">
        <v>826</v>
      </c>
      <c r="W791" s="809" t="s">
        <v>826</v>
      </c>
      <c r="X791" s="809" t="s">
        <v>826</v>
      </c>
      <c r="Y791" s="809" t="s">
        <v>826</v>
      </c>
      <c r="Z791" s="809" t="s">
        <v>826</v>
      </c>
      <c r="AA791" s="809" t="s">
        <v>826</v>
      </c>
      <c r="AB791" s="809" t="s">
        <v>826</v>
      </c>
      <c r="AC791" s="809" t="s">
        <v>826</v>
      </c>
      <c r="AD791" s="809" t="s">
        <v>826</v>
      </c>
      <c r="AE791" s="809" t="s">
        <v>826</v>
      </c>
      <c r="AF791" s="809" t="s">
        <v>826</v>
      </c>
      <c r="AG791" s="809" t="s">
        <v>826</v>
      </c>
      <c r="AH791" s="809" t="s">
        <v>826</v>
      </c>
      <c r="AI791" s="809" t="s">
        <v>826</v>
      </c>
      <c r="AJ791" s="809" t="s">
        <v>826</v>
      </c>
      <c r="AK791" s="809" t="s">
        <v>826</v>
      </c>
      <c r="AL791" s="809" t="s">
        <v>826</v>
      </c>
      <c r="AM791" s="315"/>
      <c r="AN791" s="315"/>
    </row>
    <row r="792" spans="1:40" ht="12.6">
      <c r="A792" s="990" t="s">
        <v>917</v>
      </c>
      <c r="B792" s="991" t="s">
        <v>134</v>
      </c>
      <c r="D792" s="315"/>
      <c r="E792" s="315"/>
      <c r="F792" s="809" t="s">
        <v>828</v>
      </c>
      <c r="G792" s="809" t="s">
        <v>828</v>
      </c>
      <c r="H792" s="809" t="s">
        <v>828</v>
      </c>
      <c r="I792" s="809" t="s">
        <v>828</v>
      </c>
      <c r="J792" s="809" t="s">
        <v>828</v>
      </c>
      <c r="K792" s="809" t="s">
        <v>828</v>
      </c>
      <c r="L792" s="809" t="s">
        <v>828</v>
      </c>
      <c r="M792" s="809" t="s">
        <v>828</v>
      </c>
      <c r="N792" s="809" t="s">
        <v>828</v>
      </c>
      <c r="O792" s="809" t="s">
        <v>828</v>
      </c>
      <c r="P792" s="809" t="s">
        <v>828</v>
      </c>
      <c r="Q792" s="809" t="s">
        <v>828</v>
      </c>
      <c r="R792" s="809" t="s">
        <v>828</v>
      </c>
      <c r="S792" s="809" t="s">
        <v>828</v>
      </c>
      <c r="T792" s="809" t="s">
        <v>828</v>
      </c>
      <c r="U792" s="809" t="s">
        <v>828</v>
      </c>
      <c r="V792" s="809" t="s">
        <v>828</v>
      </c>
      <c r="W792" s="809" t="s">
        <v>828</v>
      </c>
      <c r="X792" s="809" t="s">
        <v>828</v>
      </c>
      <c r="Y792" s="809" t="s">
        <v>828</v>
      </c>
      <c r="Z792" s="809" t="s">
        <v>828</v>
      </c>
      <c r="AA792" s="809" t="s">
        <v>828</v>
      </c>
      <c r="AB792" s="809" t="s">
        <v>828</v>
      </c>
      <c r="AC792" s="809" t="s">
        <v>828</v>
      </c>
      <c r="AD792" s="809" t="s">
        <v>828</v>
      </c>
      <c r="AE792" s="809" t="s">
        <v>828</v>
      </c>
      <c r="AF792" s="809" t="s">
        <v>828</v>
      </c>
      <c r="AG792" s="809" t="s">
        <v>828</v>
      </c>
      <c r="AH792" s="809" t="s">
        <v>828</v>
      </c>
      <c r="AI792" s="809" t="s">
        <v>828</v>
      </c>
      <c r="AJ792" s="809" t="s">
        <v>828</v>
      </c>
      <c r="AK792" s="809" t="s">
        <v>828</v>
      </c>
      <c r="AL792" s="809" t="s">
        <v>828</v>
      </c>
      <c r="AM792" s="315"/>
      <c r="AN792" s="315"/>
    </row>
    <row r="793" spans="1:40" s="797" customFormat="1" ht="12.95">
      <c r="A793" s="989" t="s">
        <v>918</v>
      </c>
      <c r="B793" s="796"/>
      <c r="C793" s="796"/>
      <c r="D793" s="796"/>
      <c r="E793" s="796"/>
      <c r="F793" s="795"/>
      <c r="G793" s="795"/>
      <c r="H793" s="795"/>
      <c r="I793" s="795"/>
      <c r="J793" s="795"/>
      <c r="K793" s="795"/>
      <c r="L793" s="795"/>
      <c r="M793" s="795"/>
      <c r="N793" s="795"/>
      <c r="O793" s="795"/>
      <c r="P793" s="795"/>
      <c r="Q793" s="795"/>
      <c r="R793" s="795"/>
      <c r="S793" s="795"/>
      <c r="T793" s="795"/>
      <c r="U793" s="795"/>
      <c r="V793" s="795"/>
      <c r="W793" s="795"/>
      <c r="X793" s="795"/>
      <c r="Y793" s="795"/>
      <c r="Z793" s="795"/>
      <c r="AA793" s="795"/>
      <c r="AB793" s="795"/>
      <c r="AC793" s="795"/>
      <c r="AD793" s="795"/>
      <c r="AE793" s="795"/>
      <c r="AF793" s="795"/>
      <c r="AG793" s="795"/>
      <c r="AH793" s="795"/>
      <c r="AI793" s="795"/>
      <c r="AJ793" s="795"/>
      <c r="AK793" s="795"/>
      <c r="AL793" s="795"/>
      <c r="AM793" s="796"/>
      <c r="AN793" s="796"/>
    </row>
    <row r="794" spans="1:40" ht="12.6">
      <c r="A794" s="990" t="s">
        <v>919</v>
      </c>
      <c r="B794" s="991" t="s">
        <v>128</v>
      </c>
      <c r="C794" s="991"/>
      <c r="D794" s="991" t="s">
        <v>129</v>
      </c>
      <c r="E794" s="991" t="s">
        <v>130</v>
      </c>
      <c r="F794" s="808" t="s">
        <v>108</v>
      </c>
      <c r="G794" s="808" t="s">
        <v>108</v>
      </c>
      <c r="H794" s="808" t="s">
        <v>108</v>
      </c>
      <c r="I794" s="808" t="s">
        <v>108</v>
      </c>
      <c r="J794" s="808" t="s">
        <v>108</v>
      </c>
      <c r="K794" s="808" t="s">
        <v>108</v>
      </c>
      <c r="L794" s="808" t="s">
        <v>108</v>
      </c>
      <c r="M794" s="808" t="s">
        <v>108</v>
      </c>
      <c r="N794" s="808" t="s">
        <v>108</v>
      </c>
      <c r="O794" s="808" t="s">
        <v>108</v>
      </c>
      <c r="P794" s="808" t="s">
        <v>108</v>
      </c>
      <c r="Q794" s="808" t="s">
        <v>108</v>
      </c>
      <c r="R794" s="808" t="s">
        <v>108</v>
      </c>
      <c r="S794" s="808" t="s">
        <v>108</v>
      </c>
      <c r="T794" s="808" t="s">
        <v>108</v>
      </c>
      <c r="U794" s="808" t="s">
        <v>108</v>
      </c>
      <c r="V794" s="808" t="s">
        <v>108</v>
      </c>
      <c r="W794" s="808" t="s">
        <v>108</v>
      </c>
      <c r="X794" s="808" t="s">
        <v>108</v>
      </c>
      <c r="Y794" s="808" t="s">
        <v>108</v>
      </c>
      <c r="Z794" s="808" t="s">
        <v>108</v>
      </c>
      <c r="AA794" s="808" t="s">
        <v>108</v>
      </c>
      <c r="AB794" s="808" t="s">
        <v>108</v>
      </c>
      <c r="AC794" s="808" t="s">
        <v>108</v>
      </c>
      <c r="AD794" s="808" t="s">
        <v>108</v>
      </c>
      <c r="AE794" s="808" t="s">
        <v>108</v>
      </c>
      <c r="AF794" s="808" t="s">
        <v>108</v>
      </c>
      <c r="AG794" s="808" t="s">
        <v>108</v>
      </c>
      <c r="AH794" s="808" t="s">
        <v>108</v>
      </c>
      <c r="AI794" s="808" t="s">
        <v>108</v>
      </c>
      <c r="AJ794" s="808" t="s">
        <v>108</v>
      </c>
      <c r="AK794" s="808" t="s">
        <v>108</v>
      </c>
      <c r="AL794" s="808" t="s">
        <v>108</v>
      </c>
      <c r="AM794" s="315"/>
      <c r="AN794" s="315"/>
    </row>
    <row r="795" spans="1:40" ht="12.6">
      <c r="A795" s="990" t="s">
        <v>920</v>
      </c>
      <c r="B795" s="991" t="s">
        <v>820</v>
      </c>
      <c r="C795" s="991"/>
      <c r="D795" s="991" t="s">
        <v>109</v>
      </c>
      <c r="E795" s="991" t="s">
        <v>130</v>
      </c>
      <c r="F795" s="808" t="s">
        <v>108</v>
      </c>
      <c r="G795" s="808" t="s">
        <v>108</v>
      </c>
      <c r="H795" s="808" t="s">
        <v>108</v>
      </c>
      <c r="I795" s="808" t="s">
        <v>108</v>
      </c>
      <c r="J795" s="808" t="s">
        <v>108</v>
      </c>
      <c r="K795" s="808" t="s">
        <v>108</v>
      </c>
      <c r="L795" s="808" t="s">
        <v>108</v>
      </c>
      <c r="M795" s="808" t="s">
        <v>108</v>
      </c>
      <c r="N795" s="808" t="s">
        <v>108</v>
      </c>
      <c r="O795" s="808" t="s">
        <v>108</v>
      </c>
      <c r="P795" s="808" t="s">
        <v>108</v>
      </c>
      <c r="Q795" s="808" t="s">
        <v>108</v>
      </c>
      <c r="R795" s="808" t="s">
        <v>108</v>
      </c>
      <c r="S795" s="808" t="s">
        <v>108</v>
      </c>
      <c r="T795" s="808" t="s">
        <v>108</v>
      </c>
      <c r="U795" s="808" t="s">
        <v>108</v>
      </c>
      <c r="V795" s="808" t="s">
        <v>108</v>
      </c>
      <c r="W795" s="808" t="s">
        <v>108</v>
      </c>
      <c r="X795" s="808" t="s">
        <v>108</v>
      </c>
      <c r="Y795" s="808" t="s">
        <v>108</v>
      </c>
      <c r="Z795" s="808" t="s">
        <v>108</v>
      </c>
      <c r="AA795" s="808" t="s">
        <v>108</v>
      </c>
      <c r="AB795" s="808" t="s">
        <v>108</v>
      </c>
      <c r="AC795" s="808" t="s">
        <v>108</v>
      </c>
      <c r="AD795" s="808" t="s">
        <v>108</v>
      </c>
      <c r="AE795" s="808" t="s">
        <v>108</v>
      </c>
      <c r="AF795" s="808" t="s">
        <v>108</v>
      </c>
      <c r="AG795" s="808" t="s">
        <v>108</v>
      </c>
      <c r="AH795" s="808" t="s">
        <v>108</v>
      </c>
      <c r="AI795" s="808" t="s">
        <v>108</v>
      </c>
      <c r="AJ795" s="808" t="s">
        <v>108</v>
      </c>
      <c r="AK795" s="808" t="s">
        <v>108</v>
      </c>
      <c r="AL795" s="808" t="s">
        <v>108</v>
      </c>
      <c r="AM795" s="315"/>
      <c r="AN795" s="315"/>
    </row>
    <row r="796" spans="1:40" ht="12.6">
      <c r="A796" s="990" t="s">
        <v>921</v>
      </c>
      <c r="B796" s="991" t="s">
        <v>823</v>
      </c>
      <c r="C796" s="991"/>
      <c r="D796" s="315"/>
      <c r="E796" s="991" t="s">
        <v>122</v>
      </c>
      <c r="F796" s="808" t="s">
        <v>108</v>
      </c>
      <c r="G796" s="808" t="s">
        <v>108</v>
      </c>
      <c r="H796" s="808" t="s">
        <v>108</v>
      </c>
      <c r="I796" s="808" t="s">
        <v>108</v>
      </c>
      <c r="J796" s="808" t="s">
        <v>108</v>
      </c>
      <c r="K796" s="808" t="s">
        <v>108</v>
      </c>
      <c r="L796" s="808" t="s">
        <v>108</v>
      </c>
      <c r="M796" s="808" t="s">
        <v>108</v>
      </c>
      <c r="N796" s="808" t="s">
        <v>108</v>
      </c>
      <c r="O796" s="808" t="s">
        <v>108</v>
      </c>
      <c r="P796" s="808" t="s">
        <v>108</v>
      </c>
      <c r="Q796" s="808" t="s">
        <v>108</v>
      </c>
      <c r="R796" s="808" t="s">
        <v>108</v>
      </c>
      <c r="S796" s="808" t="s">
        <v>108</v>
      </c>
      <c r="T796" s="808" t="s">
        <v>108</v>
      </c>
      <c r="U796" s="808" t="s">
        <v>108</v>
      </c>
      <c r="V796" s="808" t="s">
        <v>108</v>
      </c>
      <c r="W796" s="808" t="s">
        <v>108</v>
      </c>
      <c r="X796" s="808" t="s">
        <v>108</v>
      </c>
      <c r="Y796" s="808" t="s">
        <v>108</v>
      </c>
      <c r="Z796" s="808" t="s">
        <v>108</v>
      </c>
      <c r="AA796" s="808" t="s">
        <v>108</v>
      </c>
      <c r="AB796" s="808" t="s">
        <v>108</v>
      </c>
      <c r="AC796" s="808" t="s">
        <v>108</v>
      </c>
      <c r="AD796" s="808" t="s">
        <v>108</v>
      </c>
      <c r="AE796" s="808" t="s">
        <v>108</v>
      </c>
      <c r="AF796" s="808" t="s">
        <v>108</v>
      </c>
      <c r="AG796" s="808" t="s">
        <v>108</v>
      </c>
      <c r="AH796" s="808" t="s">
        <v>108</v>
      </c>
      <c r="AI796" s="808" t="s">
        <v>108</v>
      </c>
      <c r="AJ796" s="808" t="s">
        <v>108</v>
      </c>
      <c r="AK796" s="808" t="s">
        <v>108</v>
      </c>
      <c r="AL796" s="808" t="s">
        <v>108</v>
      </c>
      <c r="AM796" s="315"/>
      <c r="AN796" s="315"/>
    </row>
    <row r="797" spans="1:40" ht="12.6">
      <c r="A797" s="990" t="s">
        <v>922</v>
      </c>
      <c r="B797" s="991" t="s">
        <v>825</v>
      </c>
      <c r="C797" s="991"/>
      <c r="D797" s="315"/>
      <c r="E797" s="315"/>
      <c r="F797" s="809" t="s">
        <v>826</v>
      </c>
      <c r="G797" s="809" t="s">
        <v>826</v>
      </c>
      <c r="H797" s="809" t="s">
        <v>826</v>
      </c>
      <c r="I797" s="809" t="s">
        <v>826</v>
      </c>
      <c r="J797" s="809" t="s">
        <v>826</v>
      </c>
      <c r="K797" s="809" t="s">
        <v>826</v>
      </c>
      <c r="L797" s="809" t="s">
        <v>826</v>
      </c>
      <c r="M797" s="809" t="s">
        <v>826</v>
      </c>
      <c r="N797" s="809" t="s">
        <v>826</v>
      </c>
      <c r="O797" s="809" t="s">
        <v>826</v>
      </c>
      <c r="P797" s="809" t="s">
        <v>826</v>
      </c>
      <c r="Q797" s="809" t="s">
        <v>826</v>
      </c>
      <c r="R797" s="809" t="s">
        <v>826</v>
      </c>
      <c r="S797" s="809" t="s">
        <v>826</v>
      </c>
      <c r="T797" s="809" t="s">
        <v>826</v>
      </c>
      <c r="U797" s="809" t="s">
        <v>826</v>
      </c>
      <c r="V797" s="809" t="s">
        <v>826</v>
      </c>
      <c r="W797" s="809" t="s">
        <v>826</v>
      </c>
      <c r="X797" s="809" t="s">
        <v>826</v>
      </c>
      <c r="Y797" s="809" t="s">
        <v>826</v>
      </c>
      <c r="Z797" s="809" t="s">
        <v>826</v>
      </c>
      <c r="AA797" s="809" t="s">
        <v>826</v>
      </c>
      <c r="AB797" s="809" t="s">
        <v>826</v>
      </c>
      <c r="AC797" s="809" t="s">
        <v>826</v>
      </c>
      <c r="AD797" s="809" t="s">
        <v>826</v>
      </c>
      <c r="AE797" s="809" t="s">
        <v>826</v>
      </c>
      <c r="AF797" s="809" t="s">
        <v>826</v>
      </c>
      <c r="AG797" s="809" t="s">
        <v>826</v>
      </c>
      <c r="AH797" s="809" t="s">
        <v>826</v>
      </c>
      <c r="AI797" s="809" t="s">
        <v>826</v>
      </c>
      <c r="AJ797" s="809" t="s">
        <v>826</v>
      </c>
      <c r="AK797" s="809" t="s">
        <v>826</v>
      </c>
      <c r="AL797" s="809" t="s">
        <v>826</v>
      </c>
      <c r="AM797" s="315"/>
      <c r="AN797" s="315"/>
    </row>
    <row r="798" spans="1:40" ht="12.6">
      <c r="A798" s="990" t="s">
        <v>923</v>
      </c>
      <c r="B798" s="991" t="s">
        <v>134</v>
      </c>
      <c r="D798" s="315"/>
      <c r="E798" s="315"/>
      <c r="F798" s="809" t="s">
        <v>828</v>
      </c>
      <c r="G798" s="809" t="s">
        <v>828</v>
      </c>
      <c r="H798" s="809" t="s">
        <v>828</v>
      </c>
      <c r="I798" s="809" t="s">
        <v>828</v>
      </c>
      <c r="J798" s="809" t="s">
        <v>828</v>
      </c>
      <c r="K798" s="809" t="s">
        <v>828</v>
      </c>
      <c r="L798" s="809" t="s">
        <v>828</v>
      </c>
      <c r="M798" s="809" t="s">
        <v>828</v>
      </c>
      <c r="N798" s="809" t="s">
        <v>828</v>
      </c>
      <c r="O798" s="809" t="s">
        <v>828</v>
      </c>
      <c r="P798" s="809" t="s">
        <v>828</v>
      </c>
      <c r="Q798" s="809" t="s">
        <v>828</v>
      </c>
      <c r="R798" s="809" t="s">
        <v>828</v>
      </c>
      <c r="S798" s="809" t="s">
        <v>828</v>
      </c>
      <c r="T798" s="809" t="s">
        <v>828</v>
      </c>
      <c r="U798" s="809" t="s">
        <v>828</v>
      </c>
      <c r="V798" s="809" t="s">
        <v>828</v>
      </c>
      <c r="W798" s="809" t="s">
        <v>828</v>
      </c>
      <c r="X798" s="809" t="s">
        <v>828</v>
      </c>
      <c r="Y798" s="809" t="s">
        <v>828</v>
      </c>
      <c r="Z798" s="809" t="s">
        <v>828</v>
      </c>
      <c r="AA798" s="809" t="s">
        <v>828</v>
      </c>
      <c r="AB798" s="809" t="s">
        <v>828</v>
      </c>
      <c r="AC798" s="809" t="s">
        <v>828</v>
      </c>
      <c r="AD798" s="809" t="s">
        <v>828</v>
      </c>
      <c r="AE798" s="809" t="s">
        <v>828</v>
      </c>
      <c r="AF798" s="809" t="s">
        <v>828</v>
      </c>
      <c r="AG798" s="809" t="s">
        <v>828</v>
      </c>
      <c r="AH798" s="809" t="s">
        <v>828</v>
      </c>
      <c r="AI798" s="809" t="s">
        <v>828</v>
      </c>
      <c r="AJ798" s="809" t="s">
        <v>828</v>
      </c>
      <c r="AK798" s="809" t="s">
        <v>828</v>
      </c>
      <c r="AL798" s="809" t="s">
        <v>828</v>
      </c>
      <c r="AM798" s="315"/>
      <c r="AN798" s="315"/>
    </row>
    <row r="799" spans="1:40" s="797" customFormat="1" ht="12.95">
      <c r="A799" s="989" t="s">
        <v>924</v>
      </c>
      <c r="B799" s="796"/>
      <c r="C799" s="796"/>
      <c r="D799" s="796"/>
      <c r="E799" s="796"/>
      <c r="F799" s="795"/>
      <c r="G799" s="795"/>
      <c r="H799" s="795"/>
      <c r="I799" s="795"/>
      <c r="J799" s="795"/>
      <c r="K799" s="795"/>
      <c r="L799" s="795"/>
      <c r="M799" s="795"/>
      <c r="N799" s="795"/>
      <c r="O799" s="795"/>
      <c r="P799" s="795"/>
      <c r="Q799" s="795"/>
      <c r="R799" s="795"/>
      <c r="S799" s="795"/>
      <c r="T799" s="795"/>
      <c r="U799" s="795"/>
      <c r="V799" s="795"/>
      <c r="W799" s="795"/>
      <c r="X799" s="795"/>
      <c r="Y799" s="795"/>
      <c r="Z799" s="795"/>
      <c r="AA799" s="795"/>
      <c r="AB799" s="795"/>
      <c r="AC799" s="795"/>
      <c r="AD799" s="795"/>
      <c r="AE799" s="795"/>
      <c r="AF799" s="795"/>
      <c r="AG799" s="795"/>
      <c r="AH799" s="795"/>
      <c r="AI799" s="795"/>
      <c r="AJ799" s="795"/>
      <c r="AK799" s="795"/>
      <c r="AL799" s="795"/>
      <c r="AM799" s="796"/>
      <c r="AN799" s="796"/>
    </row>
    <row r="800" spans="1:40" ht="12.6">
      <c r="A800" s="990" t="s">
        <v>925</v>
      </c>
      <c r="B800" s="991" t="s">
        <v>128</v>
      </c>
      <c r="C800" s="991"/>
      <c r="D800" s="991" t="s">
        <v>129</v>
      </c>
      <c r="E800" s="991" t="s">
        <v>130</v>
      </c>
      <c r="F800" s="808" t="s">
        <v>99</v>
      </c>
      <c r="G800" s="808" t="s">
        <v>99</v>
      </c>
      <c r="H800" s="808" t="s">
        <v>99</v>
      </c>
      <c r="I800" s="808" t="s">
        <v>99</v>
      </c>
      <c r="J800" s="808" t="s">
        <v>99</v>
      </c>
      <c r="K800" s="808" t="s">
        <v>99</v>
      </c>
      <c r="L800" s="808" t="s">
        <v>99</v>
      </c>
      <c r="M800" s="808" t="s">
        <v>99</v>
      </c>
      <c r="N800" s="808" t="s">
        <v>99</v>
      </c>
      <c r="O800" s="808" t="s">
        <v>99</v>
      </c>
      <c r="P800" s="808" t="s">
        <v>99</v>
      </c>
      <c r="Q800" s="808" t="s">
        <v>99</v>
      </c>
      <c r="R800" s="808" t="s">
        <v>99</v>
      </c>
      <c r="S800" s="808" t="s">
        <v>99</v>
      </c>
      <c r="T800" s="808" t="s">
        <v>99</v>
      </c>
      <c r="U800" s="808" t="s">
        <v>99</v>
      </c>
      <c r="V800" s="808" t="s">
        <v>99</v>
      </c>
      <c r="W800" s="808" t="s">
        <v>99</v>
      </c>
      <c r="X800" s="808" t="s">
        <v>99</v>
      </c>
      <c r="Y800" s="808" t="s">
        <v>99</v>
      </c>
      <c r="Z800" s="808" t="s">
        <v>99</v>
      </c>
      <c r="AA800" s="808" t="s">
        <v>99</v>
      </c>
      <c r="AB800" s="808" t="s">
        <v>99</v>
      </c>
      <c r="AC800" s="808" t="s">
        <v>99</v>
      </c>
      <c r="AD800" s="808" t="s">
        <v>99</v>
      </c>
      <c r="AE800" s="808" t="s">
        <v>99</v>
      </c>
      <c r="AF800" s="808" t="s">
        <v>99</v>
      </c>
      <c r="AG800" s="808" t="s">
        <v>99</v>
      </c>
      <c r="AH800" s="808" t="s">
        <v>99</v>
      </c>
      <c r="AI800" s="808" t="s">
        <v>99</v>
      </c>
      <c r="AJ800" s="808" t="s">
        <v>99</v>
      </c>
      <c r="AK800" s="808" t="s">
        <v>99</v>
      </c>
      <c r="AL800" s="808" t="s">
        <v>99</v>
      </c>
      <c r="AM800" s="344" t="s">
        <v>818</v>
      </c>
      <c r="AN800" s="807"/>
    </row>
    <row r="801" spans="1:40" ht="12.6">
      <c r="A801" s="990" t="s">
        <v>926</v>
      </c>
      <c r="B801" s="991" t="s">
        <v>820</v>
      </c>
      <c r="C801" s="991"/>
      <c r="D801" s="991" t="s">
        <v>109</v>
      </c>
      <c r="E801" s="991" t="s">
        <v>130</v>
      </c>
      <c r="F801" s="300">
        <f>'Non-Energy Use'!E135*1000</f>
        <v>12027.467022475746</v>
      </c>
      <c r="G801" s="300">
        <f>'Non-Energy Use'!F135*1000</f>
        <v>12835.290291091838</v>
      </c>
      <c r="H801" s="300">
        <f>'Non-Energy Use'!G135*1000</f>
        <v>13888.75107869229</v>
      </c>
      <c r="I801" s="300">
        <f>'Non-Energy Use'!H135*1000</f>
        <v>13870.26485961658</v>
      </c>
      <c r="J801" s="300">
        <f>'Non-Energy Use'!I135*1000</f>
        <v>16109.276981891846</v>
      </c>
      <c r="K801" s="300">
        <f>'Non-Energy Use'!J135*1000</f>
        <v>16380.18583205534</v>
      </c>
      <c r="L801" s="300">
        <f>'Non-Energy Use'!K135*1000</f>
        <v>17958.143108395481</v>
      </c>
      <c r="M801" s="300">
        <f>'Non-Energy Use'!L135*1000</f>
        <v>17344.792067348229</v>
      </c>
      <c r="N801" s="300">
        <f>'Non-Energy Use'!M135*1000</f>
        <v>16983.437215036589</v>
      </c>
      <c r="O801" s="300">
        <f>'Non-Energy Use'!N135*1000</f>
        <v>19450.140847870083</v>
      </c>
      <c r="P801" s="300">
        <f>'Non-Energy Use'!O135*1000</f>
        <v>17811.776343892489</v>
      </c>
      <c r="Q801" s="300">
        <f>'Non-Energy Use'!P135*1000</f>
        <v>16839.130300259403</v>
      </c>
      <c r="R801" s="300">
        <f>'Non-Energy Use'!Q135*1000</f>
        <v>17961.656443475211</v>
      </c>
      <c r="S801" s="300">
        <f>'Non-Energy Use'!R135*1000</f>
        <v>16579.884136338198</v>
      </c>
      <c r="T801" s="300">
        <f>'Non-Energy Use'!S135*1000</f>
        <v>17113.403283930464</v>
      </c>
      <c r="U801" s="300">
        <f>'Non-Energy Use'!T135*1000</f>
        <v>16669.481313506705</v>
      </c>
      <c r="V801" s="300">
        <f>'Non-Energy Use'!U135*1000</f>
        <v>17928.673734409193</v>
      </c>
      <c r="W801" s="300">
        <f>'Non-Energy Use'!V135*1000</f>
        <v>18211.053747225076</v>
      </c>
      <c r="X801" s="300">
        <f>'Non-Energy Use'!W135*1000</f>
        <v>16972.200596660154</v>
      </c>
      <c r="Y801" s="300">
        <f>'Non-Energy Use'!X135*1000</f>
        <v>18907.806694506144</v>
      </c>
      <c r="Z801" s="300">
        <f>'Non-Energy Use'!Y135*1000</f>
        <v>21371.058846357249</v>
      </c>
      <c r="AA801" s="300">
        <f>'Non-Energy Use'!Z135*1000</f>
        <v>21833.672232902671</v>
      </c>
      <c r="AB801" s="300">
        <f>'Non-Energy Use'!AA135*1000</f>
        <v>22101.666858227647</v>
      </c>
      <c r="AC801" s="300">
        <f>'Non-Energy Use'!AB135*1000</f>
        <v>23609.356243253984</v>
      </c>
      <c r="AD801" s="300">
        <f>'Non-Energy Use'!AC135*1000</f>
        <v>23873.762415599736</v>
      </c>
      <c r="AE801" s="300">
        <f>'Non-Energy Use'!AD135*1000</f>
        <v>24688.909760777944</v>
      </c>
      <c r="AF801" s="300">
        <f>'Non-Energy Use'!AE135*1000</f>
        <v>24767.026657215665</v>
      </c>
      <c r="AG801" s="300">
        <f>'Non-Energy Use'!AF135*1000</f>
        <v>24344.247670656259</v>
      </c>
      <c r="AH801" s="300">
        <f>'Non-Energy Use'!AG135*1000</f>
        <v>26615.358854514558</v>
      </c>
      <c r="AI801" s="300">
        <f>'Non-Energy Use'!AH135*1000</f>
        <v>27557.817285988203</v>
      </c>
      <c r="AJ801" s="300">
        <f>'Non-Energy Use'!AI135*1000</f>
        <v>29271.858487645841</v>
      </c>
      <c r="AK801" s="300">
        <f>'Non-Energy Use'!AJ135*1000</f>
        <v>29375.68098832167</v>
      </c>
      <c r="AL801" s="300">
        <f>'Non-Energy Use'!AK135*1000</f>
        <v>31677.828133177161</v>
      </c>
      <c r="AM801" s="315"/>
      <c r="AN801" s="315"/>
    </row>
    <row r="802" spans="1:40" ht="12.6">
      <c r="A802" s="990" t="s">
        <v>927</v>
      </c>
      <c r="B802" s="991" t="s">
        <v>823</v>
      </c>
      <c r="C802" s="991"/>
      <c r="D802" s="315"/>
      <c r="E802" s="991" t="s">
        <v>122</v>
      </c>
      <c r="F802" s="300">
        <f>('Non-Energy Use'!E79)*1055.05585262</f>
        <v>1280464.631507535</v>
      </c>
      <c r="G802" s="300">
        <f>('Non-Energy Use'!F79)*1055.05585262</f>
        <v>1406729.7403421823</v>
      </c>
      <c r="H802" s="300">
        <f>('Non-Energy Use'!G79)*1055.05585262</f>
        <v>1504976.2817489677</v>
      </c>
      <c r="I802" s="300">
        <f>('Non-Energy Use'!H79)*1055.05585262</f>
        <v>1425487.2856388048</v>
      </c>
      <c r="J802" s="300">
        <f>('Non-Energy Use'!I79)*1055.05585262</f>
        <v>1670023.81319347</v>
      </c>
      <c r="K802" s="300">
        <f>('Non-Energy Use'!J79)*1055.05585262</f>
        <v>1648127.8442581685</v>
      </c>
      <c r="L802" s="300">
        <f>('Non-Energy Use'!K79)*1055.05585262</f>
        <v>1742717.8138730156</v>
      </c>
      <c r="M802" s="300">
        <f>('Non-Energy Use'!L79)*1055.05585262</f>
        <v>1791233.8057813281</v>
      </c>
      <c r="N802" s="300">
        <f>('Non-Energy Use'!M79)*1055.05585262</f>
        <v>1743181.3440184784</v>
      </c>
      <c r="O802" s="300">
        <f>('Non-Energy Use'!N79)*1055.05585262</f>
        <v>2037512.9666984451</v>
      </c>
      <c r="P802" s="300">
        <f>('Non-Energy Use'!O79)*1055.05585262</f>
        <v>1787424.1345504683</v>
      </c>
      <c r="Q802" s="300">
        <f>('Non-Energy Use'!P79)*1055.05585262</f>
        <v>1717587.8548543723</v>
      </c>
      <c r="R802" s="300">
        <f>('Non-Energy Use'!Q79)*1055.05585262</f>
        <v>1802128.57633036</v>
      </c>
      <c r="S802" s="300">
        <f>('Non-Energy Use'!R79)*1055.05585262</f>
        <v>1673013.1952566586</v>
      </c>
      <c r="T802" s="300">
        <f>('Non-Energy Use'!S79)*1055.05585262</f>
        <v>1702060.4772237283</v>
      </c>
      <c r="U802" s="300">
        <f>('Non-Energy Use'!T79)*1055.05585262</f>
        <v>1698541.9862035292</v>
      </c>
      <c r="V802" s="300">
        <f>('Non-Energy Use'!U79)*1055.05585262</f>
        <v>1797261.8370004077</v>
      </c>
      <c r="W802" s="300">
        <f>('Non-Energy Use'!V79)*1055.05585262</f>
        <v>1750529.0014777912</v>
      </c>
      <c r="X802" s="300">
        <f>('Non-Energy Use'!W79)*1055.05585262</f>
        <v>1646928.0504618001</v>
      </c>
      <c r="Y802" s="300">
        <f>('Non-Energy Use'!X79)*1055.05585262</f>
        <v>1756620.8083485693</v>
      </c>
      <c r="Z802" s="300">
        <f>('Non-Energy Use'!Y79)*1055.05585262</f>
        <v>1933187.896534927</v>
      </c>
      <c r="AA802" s="300">
        <f>('Non-Energy Use'!Z79)*1055.05585262</f>
        <v>1980921.0492340443</v>
      </c>
      <c r="AB802" s="300">
        <f>('Non-Energy Use'!AA79)*1055.05585262</f>
        <v>1984679.8259485743</v>
      </c>
      <c r="AC802" s="300">
        <f>('Non-Energy Use'!AB79)*1055.05585262</f>
        <v>2184411.6753372303</v>
      </c>
      <c r="AD802" s="300">
        <f>('Non-Energy Use'!AC79)*1055.05585262</f>
        <v>2221881.0000970084</v>
      </c>
      <c r="AE802" s="300">
        <f>('Non-Energy Use'!AD79)*1055.05585262</f>
        <v>2281034.2248930242</v>
      </c>
      <c r="AF802" s="300">
        <f>('Non-Energy Use'!AE79)*1055.05585262</f>
        <v>2246705.8200493138</v>
      </c>
      <c r="AG802" s="300">
        <f>('Non-Energy Use'!AF79)*1055.05585262</f>
        <v>2314465.137254992</v>
      </c>
      <c r="AH802" s="300">
        <f>('Non-Energy Use'!AG79)*1055.05585262</f>
        <v>2643416.7882583546</v>
      </c>
      <c r="AI802" s="300">
        <f>('Non-Energy Use'!AH79)*1055.05585262</f>
        <v>2685547.6888376828</v>
      </c>
      <c r="AJ802" s="300">
        <f>('Non-Energy Use'!AI79)*1055.05585262</f>
        <v>2799681.0833801832</v>
      </c>
      <c r="AK802" s="300">
        <f>('Non-Energy Use'!AJ79)*1055.05585262</f>
        <v>2965152.4786737314</v>
      </c>
      <c r="AL802" s="300">
        <f>('Non-Energy Use'!AK79)*1055.05585262</f>
        <v>3168472.3412563521</v>
      </c>
      <c r="AM802" s="315"/>
      <c r="AN802" s="315"/>
    </row>
    <row r="803" spans="1:40" ht="12.6">
      <c r="A803" s="990" t="s">
        <v>928</v>
      </c>
      <c r="B803" s="991" t="s">
        <v>825</v>
      </c>
      <c r="C803" s="991"/>
      <c r="D803" s="315"/>
      <c r="E803" s="315"/>
      <c r="F803" s="809" t="s">
        <v>826</v>
      </c>
      <c r="G803" s="809" t="s">
        <v>826</v>
      </c>
      <c r="H803" s="809" t="s">
        <v>826</v>
      </c>
      <c r="I803" s="809" t="s">
        <v>826</v>
      </c>
      <c r="J803" s="809" t="s">
        <v>826</v>
      </c>
      <c r="K803" s="809" t="s">
        <v>826</v>
      </c>
      <c r="L803" s="809" t="s">
        <v>826</v>
      </c>
      <c r="M803" s="809" t="s">
        <v>826</v>
      </c>
      <c r="N803" s="809" t="s">
        <v>826</v>
      </c>
      <c r="O803" s="809" t="s">
        <v>826</v>
      </c>
      <c r="P803" s="809" t="s">
        <v>826</v>
      </c>
      <c r="Q803" s="809" t="s">
        <v>826</v>
      </c>
      <c r="R803" s="809" t="s">
        <v>826</v>
      </c>
      <c r="S803" s="809" t="s">
        <v>826</v>
      </c>
      <c r="T803" s="809" t="s">
        <v>826</v>
      </c>
      <c r="U803" s="809" t="s">
        <v>826</v>
      </c>
      <c r="V803" s="809" t="s">
        <v>826</v>
      </c>
      <c r="W803" s="809" t="s">
        <v>826</v>
      </c>
      <c r="X803" s="809" t="s">
        <v>826</v>
      </c>
      <c r="Y803" s="809" t="s">
        <v>826</v>
      </c>
      <c r="Z803" s="809" t="s">
        <v>826</v>
      </c>
      <c r="AA803" s="809" t="s">
        <v>826</v>
      </c>
      <c r="AB803" s="809" t="s">
        <v>826</v>
      </c>
      <c r="AC803" s="809" t="s">
        <v>826</v>
      </c>
      <c r="AD803" s="809" t="s">
        <v>826</v>
      </c>
      <c r="AE803" s="809" t="s">
        <v>826</v>
      </c>
      <c r="AF803" s="809" t="s">
        <v>826</v>
      </c>
      <c r="AG803" s="809" t="s">
        <v>826</v>
      </c>
      <c r="AH803" s="809" t="s">
        <v>826</v>
      </c>
      <c r="AI803" s="809" t="s">
        <v>826</v>
      </c>
      <c r="AJ803" s="809" t="s">
        <v>826</v>
      </c>
      <c r="AK803" s="809" t="s">
        <v>826</v>
      </c>
      <c r="AL803" s="809" t="s">
        <v>826</v>
      </c>
      <c r="AM803" s="315"/>
      <c r="AN803" s="315"/>
    </row>
    <row r="804" spans="1:40" ht="12.6">
      <c r="A804" s="990" t="s">
        <v>929</v>
      </c>
      <c r="B804" s="991" t="s">
        <v>134</v>
      </c>
      <c r="D804" s="315"/>
      <c r="E804" s="315"/>
      <c r="F804" s="809" t="s">
        <v>828</v>
      </c>
      <c r="G804" s="809" t="s">
        <v>828</v>
      </c>
      <c r="H804" s="809" t="s">
        <v>828</v>
      </c>
      <c r="I804" s="809" t="s">
        <v>828</v>
      </c>
      <c r="J804" s="809" t="s">
        <v>828</v>
      </c>
      <c r="K804" s="809" t="s">
        <v>828</v>
      </c>
      <c r="L804" s="809" t="s">
        <v>828</v>
      </c>
      <c r="M804" s="809" t="s">
        <v>828</v>
      </c>
      <c r="N804" s="809" t="s">
        <v>828</v>
      </c>
      <c r="O804" s="809" t="s">
        <v>828</v>
      </c>
      <c r="P804" s="809" t="s">
        <v>828</v>
      </c>
      <c r="Q804" s="809" t="s">
        <v>828</v>
      </c>
      <c r="R804" s="809" t="s">
        <v>828</v>
      </c>
      <c r="S804" s="809" t="s">
        <v>828</v>
      </c>
      <c r="T804" s="809" t="s">
        <v>828</v>
      </c>
      <c r="U804" s="809" t="s">
        <v>828</v>
      </c>
      <c r="V804" s="809" t="s">
        <v>828</v>
      </c>
      <c r="W804" s="809" t="s">
        <v>828</v>
      </c>
      <c r="X804" s="809" t="s">
        <v>828</v>
      </c>
      <c r="Y804" s="809" t="s">
        <v>828</v>
      </c>
      <c r="Z804" s="809" t="s">
        <v>828</v>
      </c>
      <c r="AA804" s="809" t="s">
        <v>828</v>
      </c>
      <c r="AB804" s="809" t="s">
        <v>828</v>
      </c>
      <c r="AC804" s="809" t="s">
        <v>828</v>
      </c>
      <c r="AD804" s="809" t="s">
        <v>828</v>
      </c>
      <c r="AE804" s="809" t="s">
        <v>828</v>
      </c>
      <c r="AF804" s="809" t="s">
        <v>828</v>
      </c>
      <c r="AG804" s="809" t="s">
        <v>828</v>
      </c>
      <c r="AH804" s="809" t="s">
        <v>828</v>
      </c>
      <c r="AI804" s="809" t="s">
        <v>828</v>
      </c>
      <c r="AJ804" s="809" t="s">
        <v>828</v>
      </c>
      <c r="AK804" s="809" t="s">
        <v>828</v>
      </c>
      <c r="AL804" s="809" t="s">
        <v>828</v>
      </c>
      <c r="AM804" s="315"/>
      <c r="AN804" s="315"/>
    </row>
    <row r="805" spans="1:40" s="797" customFormat="1" ht="12.95">
      <c r="A805" s="989" t="s">
        <v>930</v>
      </c>
      <c r="B805" s="796"/>
      <c r="C805" s="796"/>
      <c r="D805" s="796"/>
      <c r="E805" s="796"/>
      <c r="F805" s="795"/>
      <c r="G805" s="795"/>
      <c r="H805" s="795"/>
      <c r="I805" s="795"/>
      <c r="J805" s="795"/>
      <c r="K805" s="795"/>
      <c r="L805" s="795"/>
      <c r="M805" s="795"/>
      <c r="N805" s="795"/>
      <c r="O805" s="795"/>
      <c r="P805" s="795"/>
      <c r="Q805" s="795"/>
      <c r="R805" s="795"/>
      <c r="S805" s="795"/>
      <c r="T805" s="795"/>
      <c r="U805" s="795"/>
      <c r="V805" s="795"/>
      <c r="W805" s="795"/>
      <c r="X805" s="795"/>
      <c r="Y805" s="795"/>
      <c r="Z805" s="795"/>
      <c r="AA805" s="795"/>
      <c r="AB805" s="795"/>
      <c r="AC805" s="795"/>
      <c r="AD805" s="795"/>
      <c r="AE805" s="795"/>
      <c r="AF805" s="795"/>
      <c r="AG805" s="795"/>
      <c r="AH805" s="795"/>
      <c r="AI805" s="795"/>
      <c r="AJ805" s="795"/>
      <c r="AK805" s="795"/>
      <c r="AL805" s="795"/>
      <c r="AM805" s="796"/>
      <c r="AN805" s="796"/>
    </row>
    <row r="806" spans="1:40" ht="12.6">
      <c r="A806" s="990" t="s">
        <v>931</v>
      </c>
      <c r="B806" s="991" t="s">
        <v>128</v>
      </c>
      <c r="C806" s="991"/>
      <c r="D806" s="991" t="s">
        <v>129</v>
      </c>
      <c r="E806" s="991" t="s">
        <v>130</v>
      </c>
      <c r="F806" s="808" t="s">
        <v>99</v>
      </c>
      <c r="G806" s="808" t="s">
        <v>99</v>
      </c>
      <c r="H806" s="808" t="s">
        <v>99</v>
      </c>
      <c r="I806" s="808" t="s">
        <v>99</v>
      </c>
      <c r="J806" s="808" t="s">
        <v>99</v>
      </c>
      <c r="K806" s="808" t="s">
        <v>99</v>
      </c>
      <c r="L806" s="808" t="s">
        <v>99</v>
      </c>
      <c r="M806" s="808" t="s">
        <v>99</v>
      </c>
      <c r="N806" s="808" t="s">
        <v>99</v>
      </c>
      <c r="O806" s="808" t="s">
        <v>99</v>
      </c>
      <c r="P806" s="808" t="s">
        <v>99</v>
      </c>
      <c r="Q806" s="808" t="s">
        <v>99</v>
      </c>
      <c r="R806" s="808" t="s">
        <v>99</v>
      </c>
      <c r="S806" s="808" t="s">
        <v>99</v>
      </c>
      <c r="T806" s="808" t="s">
        <v>99</v>
      </c>
      <c r="U806" s="808" t="s">
        <v>99</v>
      </c>
      <c r="V806" s="808" t="s">
        <v>99</v>
      </c>
      <c r="W806" s="808" t="s">
        <v>99</v>
      </c>
      <c r="X806" s="808" t="s">
        <v>99</v>
      </c>
      <c r="Y806" s="808" t="s">
        <v>99</v>
      </c>
      <c r="Z806" s="808" t="s">
        <v>99</v>
      </c>
      <c r="AA806" s="808" t="s">
        <v>99</v>
      </c>
      <c r="AB806" s="808" t="s">
        <v>99</v>
      </c>
      <c r="AC806" s="808" t="s">
        <v>99</v>
      </c>
      <c r="AD806" s="808" t="s">
        <v>99</v>
      </c>
      <c r="AE806" s="808" t="s">
        <v>99</v>
      </c>
      <c r="AF806" s="808" t="s">
        <v>99</v>
      </c>
      <c r="AG806" s="808" t="s">
        <v>99</v>
      </c>
      <c r="AH806" s="808" t="s">
        <v>99</v>
      </c>
      <c r="AI806" s="808" t="s">
        <v>99</v>
      </c>
      <c r="AJ806" s="808" t="s">
        <v>99</v>
      </c>
      <c r="AK806" s="808" t="s">
        <v>99</v>
      </c>
      <c r="AL806" s="808" t="s">
        <v>99</v>
      </c>
      <c r="AM806" s="344" t="s">
        <v>818</v>
      </c>
      <c r="AN806" s="807"/>
    </row>
    <row r="807" spans="1:40" ht="12.6">
      <c r="A807" s="990" t="s">
        <v>932</v>
      </c>
      <c r="B807" s="991" t="s">
        <v>820</v>
      </c>
      <c r="C807" s="991"/>
      <c r="D807" s="991" t="s">
        <v>109</v>
      </c>
      <c r="E807" s="991" t="s">
        <v>130</v>
      </c>
      <c r="F807" s="300">
        <f>SUM('Non-Energy Use'!E136,'Non-Energy Use'!E148,'Non-Energy Use'!E150)*1000</f>
        <v>673.2073979136818</v>
      </c>
      <c r="G807" s="300">
        <f>SUM('Non-Energy Use'!F136,'Non-Energy Use'!F148,'Non-Energy Use'!F150)*1000</f>
        <v>602.1821552352111</v>
      </c>
      <c r="H807" s="300">
        <f>SUM('Non-Energy Use'!G136,'Non-Energy Use'!G148,'Non-Energy Use'!G150)*1000</f>
        <v>615.54984756307306</v>
      </c>
      <c r="I807" s="300">
        <f>SUM('Non-Energy Use'!H136,'Non-Energy Use'!H148,'Non-Energy Use'!H150)*1000</f>
        <v>627.21406671198588</v>
      </c>
      <c r="J807" s="300">
        <f>SUM('Non-Energy Use'!I136,'Non-Energy Use'!I148,'Non-Energy Use'!I150)*1000</f>
        <v>655.71672079095492</v>
      </c>
      <c r="K807" s="300">
        <f>SUM('Non-Energy Use'!J136,'Non-Energy Use'!J148,'Non-Energy Use'!J150)*1000</f>
        <v>644.74452287022973</v>
      </c>
      <c r="L807" s="300">
        <f>SUM('Non-Energy Use'!K136,'Non-Energy Use'!K148,'Non-Energy Use'!K150)*1000</f>
        <v>624.82573863791515</v>
      </c>
      <c r="M807" s="300">
        <f>SUM('Non-Energy Use'!L136,'Non-Energy Use'!L148,'Non-Energy Use'!L150)*1000</f>
        <v>661.7591611482984</v>
      </c>
      <c r="N807" s="300">
        <f>SUM('Non-Energy Use'!M136,'Non-Energy Use'!M148,'Non-Energy Use'!M150)*1000</f>
        <v>690.32118679762686</v>
      </c>
      <c r="O807" s="300">
        <f>SUM('Non-Energy Use'!N136,'Non-Energy Use'!N148,'Non-Energy Use'!N150)*1000</f>
        <v>697.72496881168695</v>
      </c>
      <c r="P807" s="300">
        <f>SUM('Non-Energy Use'!O136,'Non-Energy Use'!O148,'Non-Energy Use'!O150)*1000</f>
        <v>690.49918453313296</v>
      </c>
      <c r="Q807" s="300">
        <f>SUM('Non-Energy Use'!P136,'Non-Energy Use'!P148,'Non-Energy Use'!P150)*1000</f>
        <v>632.03960036993215</v>
      </c>
      <c r="R807" s="300">
        <f>SUM('Non-Energy Use'!Q136,'Non-Energy Use'!Q148,'Non-Energy Use'!Q150)*1000</f>
        <v>625.55219539788698</v>
      </c>
      <c r="S807" s="300">
        <f>SUM('Non-Energy Use'!R136,'Non-Energy Use'!R148,'Non-Energy Use'!R150)*1000</f>
        <v>582.15296542408385</v>
      </c>
      <c r="T807" s="300">
        <f>SUM('Non-Energy Use'!S136,'Non-Energy Use'!S148,'Non-Energy Use'!S150)*1000</f>
        <v>590.06458709776757</v>
      </c>
      <c r="U807" s="300">
        <f>SUM('Non-Energy Use'!T136,'Non-Energy Use'!T148,'Non-Energy Use'!T150)*1000</f>
        <v>586.12263326418042</v>
      </c>
      <c r="V807" s="300">
        <f>SUM('Non-Energy Use'!U136,'Non-Energy Use'!U148,'Non-Energy Use'!U150)*1000</f>
        <v>574.24402363677814</v>
      </c>
      <c r="W807" s="300">
        <f>SUM('Non-Energy Use'!V136,'Non-Energy Use'!V148,'Non-Energy Use'!V150)*1000</f>
        <v>592.16144713927679</v>
      </c>
      <c r="X807" s="300">
        <f>SUM('Non-Energy Use'!W136,'Non-Energy Use'!W148,'Non-Energy Use'!W150)*1000</f>
        <v>544.46232071101724</v>
      </c>
      <c r="Y807" s="300">
        <f>SUM('Non-Energy Use'!X136,'Non-Energy Use'!X148,'Non-Energy Use'!X150)*1000</f>
        <v>487.01201915814028</v>
      </c>
      <c r="Z807" s="300">
        <f>SUM('Non-Energy Use'!Y136,'Non-Energy Use'!Y148,'Non-Energy Use'!Y150)*1000</f>
        <v>540.8868755280721</v>
      </c>
      <c r="AA807" s="300">
        <f>SUM('Non-Energy Use'!Z136,'Non-Energy Use'!Z148,'Non-Energy Use'!Z150)*1000</f>
        <v>513.28746194611904</v>
      </c>
      <c r="AB807" s="300">
        <f>SUM('Non-Energy Use'!AA136,'Non-Energy Use'!AA148,'Non-Energy Use'!AA150)*1000</f>
        <v>472.40569150528853</v>
      </c>
      <c r="AC807" s="300">
        <f>SUM('Non-Energy Use'!AB136,'Non-Energy Use'!AB148,'Non-Energy Use'!AB150)*1000</f>
        <v>499.72139705996153</v>
      </c>
      <c r="AD807" s="300">
        <f>SUM('Non-Energy Use'!AC136,'Non-Energy Use'!AC148,'Non-Energy Use'!AC150)*1000</f>
        <v>521.17936628667212</v>
      </c>
      <c r="AE807" s="300">
        <f>SUM('Non-Energy Use'!AD136,'Non-Energy Use'!AD148,'Non-Energy Use'!AD150)*1000</f>
        <v>567.39225161920615</v>
      </c>
      <c r="AF807" s="300">
        <f>SUM('Non-Energy Use'!AE136,'Non-Energy Use'!AE148,'Non-Energy Use'!AE150)*1000</f>
        <v>538.74886666889495</v>
      </c>
      <c r="AG807" s="300">
        <f>SUM('Non-Energy Use'!AF136,'Non-Energy Use'!AF148,'Non-Energy Use'!AF150)*1000</f>
        <v>496.8027275505558</v>
      </c>
      <c r="AH807" s="300">
        <f>SUM('Non-Energy Use'!AG136,'Non-Energy Use'!AG148,'Non-Energy Use'!AG150)*1000</f>
        <v>482.14447947441096</v>
      </c>
      <c r="AI807" s="300">
        <f>SUM('Non-Energy Use'!AH136,'Non-Energy Use'!AH148,'Non-Energy Use'!AH150)*1000</f>
        <v>464.84199841198131</v>
      </c>
      <c r="AJ807" s="300">
        <f>SUM('Non-Energy Use'!AI136,'Non-Energy Use'!AI148,'Non-Energy Use'!AI150)*1000</f>
        <v>422.30990023076265</v>
      </c>
      <c r="AK807" s="300">
        <f>SUM('Non-Energy Use'!AJ136,'Non-Energy Use'!AJ148,'Non-Energy Use'!AJ150)*1000</f>
        <v>433.11305687739377</v>
      </c>
      <c r="AL807" s="300">
        <f>SUM('Non-Energy Use'!AK136,'Non-Energy Use'!AK148,'Non-Energy Use'!AK150)*1000</f>
        <v>456.10453289208317</v>
      </c>
      <c r="AM807" s="315"/>
      <c r="AN807" s="315"/>
    </row>
    <row r="808" spans="1:40" ht="12.6">
      <c r="A808" s="990" t="s">
        <v>933</v>
      </c>
      <c r="B808" s="991" t="s">
        <v>823</v>
      </c>
      <c r="C808" s="991"/>
      <c r="D808" s="315"/>
      <c r="E808" s="991" t="s">
        <v>122</v>
      </c>
      <c r="F808" s="300">
        <f>SUM('Non-Energy Use'!E80,'Non-Energy Use'!E92,'Non-Energy Use'!E94)*1055.05585262</f>
        <v>383040.0078445375</v>
      </c>
      <c r="G808" s="300">
        <f>SUM('Non-Energy Use'!F80,'Non-Energy Use'!F92,'Non-Energy Use'!F94)*1055.05585262</f>
        <v>342628.22746744502</v>
      </c>
      <c r="H808" s="300">
        <f>SUM('Non-Energy Use'!G80,'Non-Energy Use'!G92,'Non-Energy Use'!G94)*1055.05585262</f>
        <v>350234.14652002236</v>
      </c>
      <c r="I808" s="300">
        <f>SUM('Non-Energy Use'!H80,'Non-Energy Use'!H92,'Non-Energy Use'!H94)*1055.05585262</f>
        <v>356870.82729350484</v>
      </c>
      <c r="J808" s="300">
        <f>SUM('Non-Energy Use'!I80,'Non-Energy Use'!I92,'Non-Energy Use'!I94)*1055.05585262</f>
        <v>373088.20231914043</v>
      </c>
      <c r="K808" s="300">
        <f>SUM('Non-Energy Use'!J80,'Non-Energy Use'!J92,'Non-Energy Use'!J94)*1055.05585262</f>
        <v>366845.26620368607</v>
      </c>
      <c r="L808" s="300">
        <f>SUM('Non-Energy Use'!K80,'Non-Energy Use'!K92,'Non-Energy Use'!K94)*1055.05585262</f>
        <v>355511.92184020398</v>
      </c>
      <c r="M808" s="300">
        <f>SUM('Non-Energy Use'!L80,'Non-Energy Use'!L92,'Non-Energy Use'!L94)*1055.05585262</f>
        <v>376526.21623439115</v>
      </c>
      <c r="N808" s="300">
        <f>SUM('Non-Energy Use'!M80,'Non-Energy Use'!M92,'Non-Energy Use'!M94)*1055.05585262</f>
        <v>392777.37236054154</v>
      </c>
      <c r="O808" s="300">
        <f>SUM('Non-Energy Use'!N80,'Non-Energy Use'!N92,'Non-Energy Use'!N94)*1055.05585262</f>
        <v>396989.9593427013</v>
      </c>
      <c r="P808" s="300">
        <f>SUM('Non-Energy Use'!O80,'Non-Energy Use'!O92,'Non-Energy Use'!O94)*1055.05585262</f>
        <v>392878.64910559199</v>
      </c>
      <c r="Q808" s="300">
        <f>SUM('Non-Energy Use'!P80,'Non-Energy Use'!P92,'Non-Energy Use'!P94)*1055.05585262</f>
        <v>359616.44841401256</v>
      </c>
      <c r="R808" s="300">
        <f>SUM('Non-Energy Use'!Q80,'Non-Energy Use'!Q92,'Non-Energy Use'!Q94)*1055.05585262</f>
        <v>355925.25954846549</v>
      </c>
      <c r="S808" s="300">
        <f>SUM('Non-Energy Use'!R80,'Non-Energy Use'!R92,'Non-Energy Use'!R94)*1055.05585262</f>
        <v>331232.06478986616</v>
      </c>
      <c r="T808" s="300">
        <f>SUM('Non-Energy Use'!S80,'Non-Energy Use'!S92,'Non-Energy Use'!S94)*1055.05585262</f>
        <v>335733.60122179252</v>
      </c>
      <c r="U808" s="300">
        <f>SUM('Non-Energy Use'!T80,'Non-Energy Use'!T92,'Non-Energy Use'!T94)*1055.05585262</f>
        <v>333490.71733189555</v>
      </c>
      <c r="V808" s="300">
        <f>SUM('Non-Energy Use'!U80,'Non-Energy Use'!U92,'Non-Energy Use'!U94)*1055.05585262</f>
        <v>326732.05315357092</v>
      </c>
      <c r="W808" s="300">
        <f>SUM('Non-Energy Use'!V80,'Non-Energy Use'!V92,'Non-Energy Use'!V94)*1055.05585262</f>
        <v>336926.66785955935</v>
      </c>
      <c r="X808" s="300">
        <f>SUM('Non-Energy Use'!W80,'Non-Energy Use'!W92,'Non-Energy Use'!W94)*1055.05585262</f>
        <v>309786.92783608328</v>
      </c>
      <c r="Y808" s="300">
        <f>SUM('Non-Energy Use'!X80,'Non-Energy Use'!X92,'Non-Energy Use'!X94)*1055.05585262</f>
        <v>277098.98645920231</v>
      </c>
      <c r="Z808" s="300">
        <f>SUM('Non-Energy Use'!Y80,'Non-Energy Use'!Y92,'Non-Energy Use'!Y94)*1055.05585262</f>
        <v>307752.57920122374</v>
      </c>
      <c r="AA808" s="300">
        <f>SUM('Non-Energy Use'!Z80,'Non-Energy Use'!Z92,'Non-Energy Use'!Z94)*1055.05585262</f>
        <v>292049.12789082772</v>
      </c>
      <c r="AB808" s="300">
        <f>SUM('Non-Energy Use'!AA80,'Non-Energy Use'!AA92,'Non-Energy Use'!AA94)*1055.05585262</f>
        <v>268788.31150811457</v>
      </c>
      <c r="AC808" s="300">
        <f>SUM('Non-Energy Use'!AB80,'Non-Energy Use'!AB92,'Non-Energy Use'!AB94)*1055.05585262</f>
        <v>284330.33927305974</v>
      </c>
      <c r="AD808" s="300">
        <f>SUM('Non-Energy Use'!AC80,'Non-Energy Use'!AC92,'Non-Energy Use'!AC94)*1055.05585262</f>
        <v>296539.44559957838</v>
      </c>
      <c r="AE808" s="300">
        <f>SUM('Non-Energy Use'!AD80,'Non-Energy Use'!AD92,'Non-Energy Use'!AD94)*1055.05585262</f>
        <v>322833.54755857406</v>
      </c>
      <c r="AF808" s="300">
        <f>SUM('Non-Energy Use'!AE80,'Non-Energy Use'!AE92,'Non-Energy Use'!AE94)*1055.05585262</f>
        <v>306536.0998031529</v>
      </c>
      <c r="AG808" s="300">
        <f>SUM('Non-Energy Use'!AF80,'Non-Energy Use'!AF92,'Non-Energy Use'!AF94)*1055.05585262</f>
        <v>282669.68136103585</v>
      </c>
      <c r="AH808" s="300">
        <f>SUM('Non-Energy Use'!AG80,'Non-Energy Use'!AG92,'Non-Energy Use'!AG94)*1055.05585262</f>
        <v>274329.46484607476</v>
      </c>
      <c r="AI808" s="300">
        <f>SUM('Non-Energy Use'!AH80,'Non-Energy Use'!AH92,'Non-Energy Use'!AH94)*1055.05585262</f>
        <v>264484.73868527758</v>
      </c>
      <c r="AJ808" s="300">
        <f>SUM('Non-Energy Use'!AI80,'Non-Energy Use'!AI92,'Non-Energy Use'!AI94)*1055.05585262</f>
        <v>240284.92259373263</v>
      </c>
      <c r="AK808" s="300">
        <f>SUM('Non-Energy Use'!AJ80,'Non-Energy Use'!AJ92,'Non-Energy Use'!AJ94)*1055.05585262</f>
        <v>246431.67799109675</v>
      </c>
      <c r="AL808" s="300">
        <f>SUM('Non-Energy Use'!AK80,'Non-Energy Use'!AK92,'Non-Energy Use'!AK94)*1055.05585262</f>
        <v>259513.31550773216</v>
      </c>
      <c r="AM808" s="315"/>
      <c r="AN808" s="315"/>
    </row>
    <row r="809" spans="1:40" ht="12.6">
      <c r="A809" s="990" t="s">
        <v>934</v>
      </c>
      <c r="B809" s="991" t="s">
        <v>825</v>
      </c>
      <c r="C809" s="991"/>
      <c r="D809" s="315"/>
      <c r="E809" s="315"/>
      <c r="F809" s="809" t="s">
        <v>826</v>
      </c>
      <c r="G809" s="809" t="s">
        <v>826</v>
      </c>
      <c r="H809" s="809" t="s">
        <v>826</v>
      </c>
      <c r="I809" s="809" t="s">
        <v>826</v>
      </c>
      <c r="J809" s="809" t="s">
        <v>826</v>
      </c>
      <c r="K809" s="809" t="s">
        <v>826</v>
      </c>
      <c r="L809" s="809" t="s">
        <v>826</v>
      </c>
      <c r="M809" s="809" t="s">
        <v>826</v>
      </c>
      <c r="N809" s="809" t="s">
        <v>826</v>
      </c>
      <c r="O809" s="809" t="s">
        <v>826</v>
      </c>
      <c r="P809" s="809" t="s">
        <v>826</v>
      </c>
      <c r="Q809" s="809" t="s">
        <v>826</v>
      </c>
      <c r="R809" s="809" t="s">
        <v>826</v>
      </c>
      <c r="S809" s="809" t="s">
        <v>826</v>
      </c>
      <c r="T809" s="809" t="s">
        <v>826</v>
      </c>
      <c r="U809" s="809" t="s">
        <v>826</v>
      </c>
      <c r="V809" s="809" t="s">
        <v>826</v>
      </c>
      <c r="W809" s="809" t="s">
        <v>826</v>
      </c>
      <c r="X809" s="809" t="s">
        <v>826</v>
      </c>
      <c r="Y809" s="809" t="s">
        <v>826</v>
      </c>
      <c r="Z809" s="809" t="s">
        <v>826</v>
      </c>
      <c r="AA809" s="809" t="s">
        <v>826</v>
      </c>
      <c r="AB809" s="809" t="s">
        <v>826</v>
      </c>
      <c r="AC809" s="809" t="s">
        <v>826</v>
      </c>
      <c r="AD809" s="809" t="s">
        <v>826</v>
      </c>
      <c r="AE809" s="809" t="s">
        <v>826</v>
      </c>
      <c r="AF809" s="809" t="s">
        <v>826</v>
      </c>
      <c r="AG809" s="809" t="s">
        <v>826</v>
      </c>
      <c r="AH809" s="809" t="s">
        <v>826</v>
      </c>
      <c r="AI809" s="809" t="s">
        <v>826</v>
      </c>
      <c r="AJ809" s="809" t="s">
        <v>826</v>
      </c>
      <c r="AK809" s="809" t="s">
        <v>826</v>
      </c>
      <c r="AL809" s="809" t="s">
        <v>826</v>
      </c>
      <c r="AM809" s="315"/>
      <c r="AN809" s="315"/>
    </row>
    <row r="810" spans="1:40" ht="12.6">
      <c r="A810" s="990" t="s">
        <v>935</v>
      </c>
      <c r="B810" s="991" t="s">
        <v>134</v>
      </c>
      <c r="D810" s="315"/>
      <c r="E810" s="315"/>
      <c r="F810" s="809" t="s">
        <v>828</v>
      </c>
      <c r="G810" s="809" t="s">
        <v>828</v>
      </c>
      <c r="H810" s="809" t="s">
        <v>828</v>
      </c>
      <c r="I810" s="809" t="s">
        <v>828</v>
      </c>
      <c r="J810" s="809" t="s">
        <v>828</v>
      </c>
      <c r="K810" s="809" t="s">
        <v>828</v>
      </c>
      <c r="L810" s="809" t="s">
        <v>828</v>
      </c>
      <c r="M810" s="809" t="s">
        <v>828</v>
      </c>
      <c r="N810" s="809" t="s">
        <v>828</v>
      </c>
      <c r="O810" s="809" t="s">
        <v>828</v>
      </c>
      <c r="P810" s="809" t="s">
        <v>828</v>
      </c>
      <c r="Q810" s="809" t="s">
        <v>828</v>
      </c>
      <c r="R810" s="809" t="s">
        <v>828</v>
      </c>
      <c r="S810" s="809" t="s">
        <v>828</v>
      </c>
      <c r="T810" s="809" t="s">
        <v>828</v>
      </c>
      <c r="U810" s="809" t="s">
        <v>828</v>
      </c>
      <c r="V810" s="809" t="s">
        <v>828</v>
      </c>
      <c r="W810" s="809" t="s">
        <v>828</v>
      </c>
      <c r="X810" s="809" t="s">
        <v>828</v>
      </c>
      <c r="Y810" s="809" t="s">
        <v>828</v>
      </c>
      <c r="Z810" s="809" t="s">
        <v>828</v>
      </c>
      <c r="AA810" s="809" t="s">
        <v>828</v>
      </c>
      <c r="AB810" s="809" t="s">
        <v>828</v>
      </c>
      <c r="AC810" s="809" t="s">
        <v>828</v>
      </c>
      <c r="AD810" s="809" t="s">
        <v>828</v>
      </c>
      <c r="AE810" s="809" t="s">
        <v>828</v>
      </c>
      <c r="AF810" s="809" t="s">
        <v>828</v>
      </c>
      <c r="AG810" s="809" t="s">
        <v>828</v>
      </c>
      <c r="AH810" s="809" t="s">
        <v>828</v>
      </c>
      <c r="AI810" s="809" t="s">
        <v>828</v>
      </c>
      <c r="AJ810" s="809" t="s">
        <v>828</v>
      </c>
      <c r="AK810" s="809" t="s">
        <v>828</v>
      </c>
      <c r="AL810" s="809" t="s">
        <v>828</v>
      </c>
      <c r="AM810" s="315"/>
      <c r="AN810" s="315"/>
    </row>
    <row r="811" spans="1:40" s="797" customFormat="1" ht="12.95">
      <c r="A811" s="989" t="s">
        <v>936</v>
      </c>
      <c r="B811" s="796"/>
      <c r="C811" s="796"/>
      <c r="D811" s="796"/>
      <c r="E811" s="796"/>
      <c r="F811" s="795"/>
      <c r="G811" s="795"/>
      <c r="H811" s="795"/>
      <c r="I811" s="795"/>
      <c r="J811" s="795"/>
      <c r="K811" s="795"/>
      <c r="L811" s="795"/>
      <c r="M811" s="795"/>
      <c r="N811" s="795"/>
      <c r="O811" s="795"/>
      <c r="P811" s="795"/>
      <c r="Q811" s="795"/>
      <c r="R811" s="795"/>
      <c r="S811" s="795"/>
      <c r="T811" s="795"/>
      <c r="U811" s="795"/>
      <c r="V811" s="795"/>
      <c r="W811" s="795"/>
      <c r="X811" s="795"/>
      <c r="Y811" s="795"/>
      <c r="Z811" s="795"/>
      <c r="AA811" s="795"/>
      <c r="AB811" s="795"/>
      <c r="AC811" s="795"/>
      <c r="AD811" s="795"/>
      <c r="AE811" s="795"/>
      <c r="AF811" s="795"/>
      <c r="AG811" s="795"/>
      <c r="AH811" s="795"/>
      <c r="AI811" s="795"/>
      <c r="AJ811" s="795"/>
      <c r="AK811" s="795"/>
      <c r="AL811" s="795"/>
      <c r="AM811" s="796"/>
      <c r="AN811" s="796"/>
    </row>
    <row r="812" spans="1:40" ht="12.6">
      <c r="A812" s="990" t="s">
        <v>937</v>
      </c>
      <c r="B812" s="991" t="s">
        <v>128</v>
      </c>
      <c r="C812" s="991"/>
      <c r="D812" s="991" t="s">
        <v>129</v>
      </c>
      <c r="E812" s="991" t="s">
        <v>130</v>
      </c>
      <c r="F812" s="808" t="s">
        <v>99</v>
      </c>
      <c r="G812" s="808" t="s">
        <v>99</v>
      </c>
      <c r="H812" s="808" t="s">
        <v>99</v>
      </c>
      <c r="I812" s="808" t="s">
        <v>99</v>
      </c>
      <c r="J812" s="808" t="s">
        <v>99</v>
      </c>
      <c r="K812" s="808" t="s">
        <v>99</v>
      </c>
      <c r="L812" s="808" t="s">
        <v>99</v>
      </c>
      <c r="M812" s="808" t="s">
        <v>99</v>
      </c>
      <c r="N812" s="808" t="s">
        <v>99</v>
      </c>
      <c r="O812" s="808" t="s">
        <v>99</v>
      </c>
      <c r="P812" s="808" t="s">
        <v>99</v>
      </c>
      <c r="Q812" s="808" t="s">
        <v>99</v>
      </c>
      <c r="R812" s="808" t="s">
        <v>99</v>
      </c>
      <c r="S812" s="808" t="s">
        <v>99</v>
      </c>
      <c r="T812" s="808" t="s">
        <v>99</v>
      </c>
      <c r="U812" s="808" t="s">
        <v>99</v>
      </c>
      <c r="V812" s="808" t="s">
        <v>99</v>
      </c>
      <c r="W812" s="808" t="s">
        <v>99</v>
      </c>
      <c r="X812" s="808" t="s">
        <v>99</v>
      </c>
      <c r="Y812" s="808" t="s">
        <v>99</v>
      </c>
      <c r="Z812" s="808" t="s">
        <v>99</v>
      </c>
      <c r="AA812" s="808" t="s">
        <v>99</v>
      </c>
      <c r="AB812" s="808" t="s">
        <v>99</v>
      </c>
      <c r="AC812" s="808" t="s">
        <v>99</v>
      </c>
      <c r="AD812" s="808" t="s">
        <v>99</v>
      </c>
      <c r="AE812" s="808" t="s">
        <v>99</v>
      </c>
      <c r="AF812" s="808" t="s">
        <v>99</v>
      </c>
      <c r="AG812" s="808" t="s">
        <v>99</v>
      </c>
      <c r="AH812" s="808" t="s">
        <v>99</v>
      </c>
      <c r="AI812" s="808" t="s">
        <v>99</v>
      </c>
      <c r="AJ812" s="808" t="s">
        <v>99</v>
      </c>
      <c r="AK812" s="808" t="s">
        <v>99</v>
      </c>
      <c r="AL812" s="808" t="s">
        <v>99</v>
      </c>
      <c r="AM812" s="344" t="s">
        <v>818</v>
      </c>
      <c r="AN812" s="807"/>
    </row>
    <row r="813" spans="1:40" ht="12.6">
      <c r="A813" s="990" t="s">
        <v>938</v>
      </c>
      <c r="B813" s="991" t="s">
        <v>820</v>
      </c>
      <c r="C813" s="991"/>
      <c r="D813" s="991" t="s">
        <v>109</v>
      </c>
      <c r="E813" s="991" t="s">
        <v>130</v>
      </c>
      <c r="F813" s="300">
        <f>'Non-Energy Use'!E138*1000</f>
        <v>3519.1509382383824</v>
      </c>
      <c r="G813" s="300">
        <f>'Non-Energy Use'!F138*1000</f>
        <v>2925.7952911017214</v>
      </c>
      <c r="H813" s="300">
        <f>'Non-Energy Use'!G138*1000</f>
        <v>3756.9478552101</v>
      </c>
      <c r="I813" s="300">
        <f>'Non-Energy Use'!H138*1000</f>
        <v>3644.9321359533392</v>
      </c>
      <c r="J813" s="300">
        <f>'Non-Energy Use'!I138*1000</f>
        <v>4156.4130016116869</v>
      </c>
      <c r="K813" s="300">
        <f>'Non-Energy Use'!J138*1000</f>
        <v>4043.1979324634913</v>
      </c>
      <c r="L813" s="300">
        <f>'Non-Energy Use'!K138*1000</f>
        <v>5398.2370167381523</v>
      </c>
      <c r="M813" s="300">
        <f>'Non-Energy Use'!L138*1000</f>
        <v>5638.4333388504529</v>
      </c>
      <c r="N813" s="300">
        <f>'Non-Energy Use'!M138*1000</f>
        <v>6307.5427370455409</v>
      </c>
      <c r="O813" s="300">
        <f>'Non-Energy Use'!N138*1000</f>
        <v>5320.8779563326434</v>
      </c>
      <c r="P813" s="300">
        <f>'Non-Energy Use'!O138*1000</f>
        <v>6802.6525876646256</v>
      </c>
      <c r="Q813" s="300">
        <f>'Non-Energy Use'!P138*1000</f>
        <v>5526.8556732223742</v>
      </c>
      <c r="R813" s="300">
        <f>'Non-Energy Use'!Q138*1000</f>
        <v>6479.3044739201505</v>
      </c>
      <c r="S813" s="300">
        <f>'Non-Energy Use'!R138*1000</f>
        <v>6544.3004368557695</v>
      </c>
      <c r="T813" s="300">
        <f>'Non-Energy Use'!S138*1000</f>
        <v>7972.6879351259677</v>
      </c>
      <c r="U813" s="300">
        <f>'Non-Energy Use'!T138*1000</f>
        <v>7668.9495811950337</v>
      </c>
      <c r="V813" s="300">
        <f>'Non-Energy Use'!U138*1000</f>
        <v>7101.9639924847561</v>
      </c>
      <c r="W813" s="300">
        <f>'Non-Energy Use'!V138*1000</f>
        <v>6509.2720520558323</v>
      </c>
      <c r="X813" s="300">
        <f>'Non-Energy Use'!W138*1000</f>
        <v>5558.3790400830903</v>
      </c>
      <c r="Y813" s="300">
        <f>'Non-Energy Use'!X138*1000</f>
        <v>5626.3879380783274</v>
      </c>
      <c r="Z813" s="300">
        <f>'Non-Energy Use'!Y138*1000</f>
        <v>6074.4173601865323</v>
      </c>
      <c r="AA813" s="300">
        <f>'Non-Energy Use'!Z138*1000</f>
        <v>6009.2238140562804</v>
      </c>
      <c r="AB813" s="300">
        <f>'Non-Energy Use'!AA138*1000</f>
        <v>5587.4314894143754</v>
      </c>
      <c r="AC813" s="300">
        <f>'Non-Energy Use'!AB138*1000</f>
        <v>6254.1789887233354</v>
      </c>
      <c r="AD813" s="300">
        <f>'Non-Energy Use'!AC138*1000</f>
        <v>5432.5725539305922</v>
      </c>
      <c r="AE813" s="300">
        <f>'Non-Energy Use'!AD138*1000</f>
        <v>5255.3976174611944</v>
      </c>
      <c r="AF813" s="300">
        <f>'Non-Energy Use'!AE138*1000</f>
        <v>5101.9664960228347</v>
      </c>
      <c r="AG813" s="300">
        <f>'Non-Energy Use'!AF138*1000</f>
        <v>5058.3405493367036</v>
      </c>
      <c r="AH813" s="300">
        <f>'Non-Energy Use'!AG138*1000</f>
        <v>4946.6178047130161</v>
      </c>
      <c r="AI813" s="300">
        <f>'Non-Energy Use'!AH138*1000</f>
        <v>4419.4849622287438</v>
      </c>
      <c r="AJ813" s="300">
        <f>'Non-Energy Use'!AI138*1000</f>
        <v>4031.2041111406406</v>
      </c>
      <c r="AK813" s="300">
        <f>'Non-Energy Use'!AJ138*1000</f>
        <v>3831.0638600119937</v>
      </c>
      <c r="AL813" s="300">
        <f>'Non-Energy Use'!AK138*1000</f>
        <v>2903.0821580333723</v>
      </c>
      <c r="AM813" s="315"/>
      <c r="AN813" s="315"/>
    </row>
    <row r="814" spans="1:40" ht="12.6">
      <c r="A814" s="990" t="s">
        <v>939</v>
      </c>
      <c r="B814" s="991" t="s">
        <v>823</v>
      </c>
      <c r="C814" s="991"/>
      <c r="D814" s="315"/>
      <c r="E814" s="991" t="s">
        <v>122</v>
      </c>
      <c r="F814" s="810">
        <f>('Non-Energy Use'!E82)*1055.05585262</f>
        <v>344025.00441962195</v>
      </c>
      <c r="G814" s="810">
        <f>('Non-Energy Use'!F82)*1055.05585262</f>
        <v>294165.98167044105</v>
      </c>
      <c r="H814" s="810">
        <f>('Non-Energy Use'!G82)*1055.05585262</f>
        <v>374132.44016365276</v>
      </c>
      <c r="I814" s="810">
        <f>('Non-Energy Use'!H82)*1055.05585262</f>
        <v>343361.50306548824</v>
      </c>
      <c r="J814" s="810">
        <f>('Non-Energy Use'!I82)*1055.05585262</f>
        <v>396813.34153197112</v>
      </c>
      <c r="K814" s="810">
        <f>('Non-Energy Use'!J82)*1055.05585262</f>
        <v>373902.08249082882</v>
      </c>
      <c r="L814" s="810">
        <f>('Non-Energy Use'!K82)*1055.05585262</f>
        <v>480948.95842015301</v>
      </c>
      <c r="M814" s="810">
        <f>('Non-Energy Use'!L82)*1055.05585262</f>
        <v>535537.47071823152</v>
      </c>
      <c r="N814" s="810">
        <f>('Non-Energy Use'!M82)*1055.05585262</f>
        <v>594644.38804467069</v>
      </c>
      <c r="O814" s="810">
        <f>('Non-Energy Use'!N82)*1055.05585262</f>
        <v>512615.82133339054</v>
      </c>
      <c r="P814" s="810">
        <f>('Non-Energy Use'!O82)*1055.05585262</f>
        <v>625359.5430238354</v>
      </c>
      <c r="Q814" s="810">
        <f>('Non-Energy Use'!P82)*1055.05585262</f>
        <v>516715.45873370627</v>
      </c>
      <c r="R814" s="810">
        <f>('Non-Energy Use'!Q82)*1055.05585262</f>
        <v>596058.98490322975</v>
      </c>
      <c r="S814" s="810">
        <f>('Non-Energy Use'!R82)*1055.05585262</f>
        <v>606274.12444629078</v>
      </c>
      <c r="T814" s="810">
        <f>('Non-Energy Use'!S82)*1055.05585262</f>
        <v>727040.40131648129</v>
      </c>
      <c r="U814" s="810">
        <f>('Non-Energy Use'!T82)*1055.05585262</f>
        <v>716930.53239736671</v>
      </c>
      <c r="V814" s="810">
        <f>('Non-Energy Use'!U82)*1055.05585262</f>
        <v>652569.58774848247</v>
      </c>
      <c r="W814" s="810">
        <f>('Non-Energy Use'!V82)*1055.05585262</f>
        <v>572191.13321404124</v>
      </c>
      <c r="X814" s="810">
        <f>('Non-Energy Use'!W82)*1055.05585262</f>
        <v>493182.48032339662</v>
      </c>
      <c r="Y814" s="810">
        <f>('Non-Energy Use'!X82)*1055.05585262</f>
        <v>476296.71076396556</v>
      </c>
      <c r="Z814" s="810">
        <f>('Non-Energy Use'!Y82)*1055.05585262</f>
        <v>500806.95144251222</v>
      </c>
      <c r="AA814" s="810">
        <f>('Non-Energy Use'!Z82)*1055.05585262</f>
        <v>495764.18023345509</v>
      </c>
      <c r="AB814" s="810">
        <f>('Non-Energy Use'!AA82)*1055.05585262</f>
        <v>456391.72168704739</v>
      </c>
      <c r="AC814" s="810">
        <f>('Non-Energy Use'!AB82)*1055.05585262</f>
        <v>526784.34591351741</v>
      </c>
      <c r="AD814" s="810">
        <f>('Non-Energy Use'!AC82)*1055.05585262</f>
        <v>459679.02569956658</v>
      </c>
      <c r="AE814" s="810">
        <f>('Non-Energy Use'!AD82)*1055.05585262</f>
        <v>441482.99815169186</v>
      </c>
      <c r="AF814" s="810">
        <f>('Non-Energy Use'!AE82)*1055.05585262</f>
        <v>420379.19685947039</v>
      </c>
      <c r="AG814" s="810">
        <f>('Non-Energy Use'!AF82)*1055.05585262</f>
        <v>435837.29049842741</v>
      </c>
      <c r="AH814" s="810">
        <f>('Non-Energy Use'!AG82)*1055.05585262</f>
        <v>444303.84668828337</v>
      </c>
      <c r="AI814" s="810">
        <f>('Non-Energy Use'!AH82)*1055.05585262</f>
        <v>389274.78324978007</v>
      </c>
      <c r="AJ814" s="810">
        <f>('Non-Energy Use'!AI82)*1055.05585262</f>
        <v>347162.69921402511</v>
      </c>
      <c r="AK814" s="810">
        <f>('Non-Energy Use'!AJ82)*1055.05585262</f>
        <v>348477.75379226275</v>
      </c>
      <c r="AL814" s="810">
        <f>('Non-Energy Use'!AK82)*1055.05585262</f>
        <v>260918.83935851848</v>
      </c>
      <c r="AM814" s="315"/>
      <c r="AN814" s="315"/>
    </row>
    <row r="815" spans="1:40" ht="12.6">
      <c r="A815" s="990" t="s">
        <v>940</v>
      </c>
      <c r="B815" s="991" t="s">
        <v>825</v>
      </c>
      <c r="C815" s="991"/>
      <c r="D815" s="315"/>
      <c r="E815" s="315"/>
      <c r="F815" s="809" t="s">
        <v>826</v>
      </c>
      <c r="G815" s="809" t="s">
        <v>826</v>
      </c>
      <c r="H815" s="809" t="s">
        <v>826</v>
      </c>
      <c r="I815" s="809" t="s">
        <v>826</v>
      </c>
      <c r="J815" s="809" t="s">
        <v>826</v>
      </c>
      <c r="K815" s="809" t="s">
        <v>826</v>
      </c>
      <c r="L815" s="809" t="s">
        <v>826</v>
      </c>
      <c r="M815" s="809" t="s">
        <v>826</v>
      </c>
      <c r="N815" s="809" t="s">
        <v>826</v>
      </c>
      <c r="O815" s="809" t="s">
        <v>826</v>
      </c>
      <c r="P815" s="809" t="s">
        <v>826</v>
      </c>
      <c r="Q815" s="809" t="s">
        <v>826</v>
      </c>
      <c r="R815" s="809" t="s">
        <v>826</v>
      </c>
      <c r="S815" s="809" t="s">
        <v>826</v>
      </c>
      <c r="T815" s="809" t="s">
        <v>826</v>
      </c>
      <c r="U815" s="809" t="s">
        <v>826</v>
      </c>
      <c r="V815" s="809" t="s">
        <v>826</v>
      </c>
      <c r="W815" s="809" t="s">
        <v>826</v>
      </c>
      <c r="X815" s="809" t="s">
        <v>826</v>
      </c>
      <c r="Y815" s="809" t="s">
        <v>826</v>
      </c>
      <c r="Z815" s="809" t="s">
        <v>826</v>
      </c>
      <c r="AA815" s="809" t="s">
        <v>826</v>
      </c>
      <c r="AB815" s="809" t="s">
        <v>826</v>
      </c>
      <c r="AC815" s="809" t="s">
        <v>826</v>
      </c>
      <c r="AD815" s="809" t="s">
        <v>826</v>
      </c>
      <c r="AE815" s="809" t="s">
        <v>826</v>
      </c>
      <c r="AF815" s="809" t="s">
        <v>826</v>
      </c>
      <c r="AG815" s="809" t="s">
        <v>826</v>
      </c>
      <c r="AH815" s="809" t="s">
        <v>826</v>
      </c>
      <c r="AI815" s="809" t="s">
        <v>826</v>
      </c>
      <c r="AJ815" s="809" t="s">
        <v>826</v>
      </c>
      <c r="AK815" s="809" t="s">
        <v>826</v>
      </c>
      <c r="AL815" s="809" t="s">
        <v>826</v>
      </c>
      <c r="AM815" s="315"/>
      <c r="AN815" s="315"/>
    </row>
    <row r="816" spans="1:40" ht="12.6">
      <c r="A816" s="990" t="s">
        <v>941</v>
      </c>
      <c r="B816" s="991" t="s">
        <v>134</v>
      </c>
      <c r="D816" s="315"/>
      <c r="E816" s="315"/>
      <c r="F816" s="809" t="s">
        <v>828</v>
      </c>
      <c r="G816" s="809" t="s">
        <v>828</v>
      </c>
      <c r="H816" s="809" t="s">
        <v>828</v>
      </c>
      <c r="I816" s="809" t="s">
        <v>828</v>
      </c>
      <c r="J816" s="809" t="s">
        <v>828</v>
      </c>
      <c r="K816" s="809" t="s">
        <v>828</v>
      </c>
      <c r="L816" s="809" t="s">
        <v>828</v>
      </c>
      <c r="M816" s="809" t="s">
        <v>828</v>
      </c>
      <c r="N816" s="809" t="s">
        <v>828</v>
      </c>
      <c r="O816" s="809" t="s">
        <v>828</v>
      </c>
      <c r="P816" s="809" t="s">
        <v>828</v>
      </c>
      <c r="Q816" s="809" t="s">
        <v>828</v>
      </c>
      <c r="R816" s="809" t="s">
        <v>828</v>
      </c>
      <c r="S816" s="809" t="s">
        <v>828</v>
      </c>
      <c r="T816" s="809" t="s">
        <v>828</v>
      </c>
      <c r="U816" s="809" t="s">
        <v>828</v>
      </c>
      <c r="V816" s="809" t="s">
        <v>828</v>
      </c>
      <c r="W816" s="809" t="s">
        <v>828</v>
      </c>
      <c r="X816" s="809" t="s">
        <v>828</v>
      </c>
      <c r="Y816" s="809" t="s">
        <v>828</v>
      </c>
      <c r="Z816" s="809" t="s">
        <v>828</v>
      </c>
      <c r="AA816" s="809" t="s">
        <v>828</v>
      </c>
      <c r="AB816" s="809" t="s">
        <v>828</v>
      </c>
      <c r="AC816" s="809" t="s">
        <v>828</v>
      </c>
      <c r="AD816" s="809" t="s">
        <v>828</v>
      </c>
      <c r="AE816" s="809" t="s">
        <v>828</v>
      </c>
      <c r="AF816" s="809" t="s">
        <v>828</v>
      </c>
      <c r="AG816" s="809" t="s">
        <v>828</v>
      </c>
      <c r="AH816" s="809" t="s">
        <v>828</v>
      </c>
      <c r="AI816" s="809" t="s">
        <v>828</v>
      </c>
      <c r="AJ816" s="809" t="s">
        <v>828</v>
      </c>
      <c r="AK816" s="809" t="s">
        <v>828</v>
      </c>
      <c r="AL816" s="809" t="s">
        <v>828</v>
      </c>
      <c r="AM816" s="315"/>
      <c r="AN816" s="315"/>
    </row>
    <row r="817" spans="1:40" s="797" customFormat="1" ht="12.95">
      <c r="A817" s="989" t="s">
        <v>942</v>
      </c>
      <c r="B817" s="796"/>
      <c r="C817" s="796"/>
      <c r="D817" s="796"/>
      <c r="E817" s="796"/>
      <c r="F817" s="795"/>
      <c r="G817" s="795"/>
      <c r="H817" s="795"/>
      <c r="I817" s="795"/>
      <c r="J817" s="795"/>
      <c r="K817" s="795"/>
      <c r="L817" s="795"/>
      <c r="M817" s="795"/>
      <c r="N817" s="795"/>
      <c r="O817" s="795"/>
      <c r="P817" s="795"/>
      <c r="Q817" s="795"/>
      <c r="R817" s="795"/>
      <c r="S817" s="795"/>
      <c r="T817" s="795"/>
      <c r="U817" s="795"/>
      <c r="V817" s="795"/>
      <c r="W817" s="795"/>
      <c r="X817" s="795"/>
      <c r="Y817" s="795"/>
      <c r="Z817" s="795"/>
      <c r="AA817" s="795"/>
      <c r="AB817" s="795"/>
      <c r="AC817" s="795"/>
      <c r="AD817" s="795"/>
      <c r="AE817" s="795"/>
      <c r="AF817" s="795"/>
      <c r="AG817" s="795"/>
      <c r="AH817" s="795"/>
      <c r="AI817" s="795"/>
      <c r="AJ817" s="795"/>
      <c r="AK817" s="795"/>
      <c r="AL817" s="795"/>
      <c r="AM817" s="796"/>
      <c r="AN817" s="796"/>
    </row>
    <row r="818" spans="1:40" ht="12.6">
      <c r="A818" s="990" t="s">
        <v>943</v>
      </c>
      <c r="B818" s="991" t="s">
        <v>128</v>
      </c>
      <c r="C818" s="991"/>
      <c r="D818" s="991" t="s">
        <v>129</v>
      </c>
      <c r="E818" s="991" t="s">
        <v>130</v>
      </c>
      <c r="F818" s="808" t="s">
        <v>108</v>
      </c>
      <c r="G818" s="808" t="s">
        <v>108</v>
      </c>
      <c r="H818" s="808" t="s">
        <v>108</v>
      </c>
      <c r="I818" s="808" t="s">
        <v>108</v>
      </c>
      <c r="J818" s="808" t="s">
        <v>108</v>
      </c>
      <c r="K818" s="808" t="s">
        <v>108</v>
      </c>
      <c r="L818" s="808" t="s">
        <v>108</v>
      </c>
      <c r="M818" s="808" t="s">
        <v>108</v>
      </c>
      <c r="N818" s="808" t="s">
        <v>108</v>
      </c>
      <c r="O818" s="808" t="s">
        <v>108</v>
      </c>
      <c r="P818" s="808" t="s">
        <v>108</v>
      </c>
      <c r="Q818" s="808" t="s">
        <v>108</v>
      </c>
      <c r="R818" s="808" t="s">
        <v>108</v>
      </c>
      <c r="S818" s="808" t="s">
        <v>108</v>
      </c>
      <c r="T818" s="808" t="s">
        <v>108</v>
      </c>
      <c r="U818" s="808" t="s">
        <v>108</v>
      </c>
      <c r="V818" s="808" t="s">
        <v>108</v>
      </c>
      <c r="W818" s="808" t="s">
        <v>108</v>
      </c>
      <c r="X818" s="808" t="s">
        <v>108</v>
      </c>
      <c r="Y818" s="808" t="s">
        <v>108</v>
      </c>
      <c r="Z818" s="808" t="s">
        <v>108</v>
      </c>
      <c r="AA818" s="808" t="s">
        <v>108</v>
      </c>
      <c r="AB818" s="808" t="s">
        <v>108</v>
      </c>
      <c r="AC818" s="808" t="s">
        <v>108</v>
      </c>
      <c r="AD818" s="808" t="s">
        <v>108</v>
      </c>
      <c r="AE818" s="808" t="s">
        <v>108</v>
      </c>
      <c r="AF818" s="808" t="s">
        <v>108</v>
      </c>
      <c r="AG818" s="808" t="s">
        <v>108</v>
      </c>
      <c r="AH818" s="808" t="s">
        <v>108</v>
      </c>
      <c r="AI818" s="808" t="s">
        <v>108</v>
      </c>
      <c r="AJ818" s="808" t="s">
        <v>108</v>
      </c>
      <c r="AK818" s="808" t="s">
        <v>108</v>
      </c>
      <c r="AL818" s="808" t="s">
        <v>108</v>
      </c>
      <c r="AM818" s="315"/>
      <c r="AN818" s="315"/>
    </row>
    <row r="819" spans="1:40" ht="12.6">
      <c r="A819" s="990" t="s">
        <v>944</v>
      </c>
      <c r="B819" s="991" t="s">
        <v>820</v>
      </c>
      <c r="C819" s="991"/>
      <c r="D819" s="991" t="s">
        <v>109</v>
      </c>
      <c r="E819" s="991" t="s">
        <v>130</v>
      </c>
      <c r="F819" s="808" t="s">
        <v>108</v>
      </c>
      <c r="G819" s="808" t="s">
        <v>108</v>
      </c>
      <c r="H819" s="808" t="s">
        <v>108</v>
      </c>
      <c r="I819" s="808" t="s">
        <v>108</v>
      </c>
      <c r="J819" s="808" t="s">
        <v>108</v>
      </c>
      <c r="K819" s="808" t="s">
        <v>108</v>
      </c>
      <c r="L819" s="808" t="s">
        <v>108</v>
      </c>
      <c r="M819" s="808" t="s">
        <v>108</v>
      </c>
      <c r="N819" s="808" t="s">
        <v>108</v>
      </c>
      <c r="O819" s="808" t="s">
        <v>108</v>
      </c>
      <c r="P819" s="808" t="s">
        <v>108</v>
      </c>
      <c r="Q819" s="808" t="s">
        <v>108</v>
      </c>
      <c r="R819" s="808" t="s">
        <v>108</v>
      </c>
      <c r="S819" s="808" t="s">
        <v>108</v>
      </c>
      <c r="T819" s="808" t="s">
        <v>108</v>
      </c>
      <c r="U819" s="808" t="s">
        <v>108</v>
      </c>
      <c r="V819" s="808" t="s">
        <v>108</v>
      </c>
      <c r="W819" s="808" t="s">
        <v>108</v>
      </c>
      <c r="X819" s="808" t="s">
        <v>108</v>
      </c>
      <c r="Y819" s="808" t="s">
        <v>108</v>
      </c>
      <c r="Z819" s="808" t="s">
        <v>108</v>
      </c>
      <c r="AA819" s="808" t="s">
        <v>108</v>
      </c>
      <c r="AB819" s="808" t="s">
        <v>108</v>
      </c>
      <c r="AC819" s="808" t="s">
        <v>108</v>
      </c>
      <c r="AD819" s="808" t="s">
        <v>108</v>
      </c>
      <c r="AE819" s="808" t="s">
        <v>108</v>
      </c>
      <c r="AF819" s="808" t="s">
        <v>108</v>
      </c>
      <c r="AG819" s="808" t="s">
        <v>108</v>
      </c>
      <c r="AH819" s="808" t="s">
        <v>108</v>
      </c>
      <c r="AI819" s="808" t="s">
        <v>108</v>
      </c>
      <c r="AJ819" s="808" t="s">
        <v>108</v>
      </c>
      <c r="AK819" s="808" t="s">
        <v>108</v>
      </c>
      <c r="AL819" s="808" t="s">
        <v>108</v>
      </c>
      <c r="AM819" s="315"/>
      <c r="AN819" s="315"/>
    </row>
    <row r="820" spans="1:40" ht="12.6">
      <c r="A820" s="990" t="s">
        <v>945</v>
      </c>
      <c r="B820" s="991" t="s">
        <v>823</v>
      </c>
      <c r="C820" s="991"/>
      <c r="D820" s="315"/>
      <c r="E820" s="991" t="s">
        <v>122</v>
      </c>
      <c r="F820" s="808" t="s">
        <v>108</v>
      </c>
      <c r="G820" s="808" t="s">
        <v>108</v>
      </c>
      <c r="H820" s="808" t="s">
        <v>108</v>
      </c>
      <c r="I820" s="808" t="s">
        <v>108</v>
      </c>
      <c r="J820" s="808" t="s">
        <v>108</v>
      </c>
      <c r="K820" s="808" t="s">
        <v>108</v>
      </c>
      <c r="L820" s="808" t="s">
        <v>108</v>
      </c>
      <c r="M820" s="808" t="s">
        <v>108</v>
      </c>
      <c r="N820" s="808" t="s">
        <v>108</v>
      </c>
      <c r="O820" s="808" t="s">
        <v>108</v>
      </c>
      <c r="P820" s="808" t="s">
        <v>108</v>
      </c>
      <c r="Q820" s="808" t="s">
        <v>108</v>
      </c>
      <c r="R820" s="808" t="s">
        <v>108</v>
      </c>
      <c r="S820" s="808" t="s">
        <v>108</v>
      </c>
      <c r="T820" s="808" t="s">
        <v>108</v>
      </c>
      <c r="U820" s="808" t="s">
        <v>108</v>
      </c>
      <c r="V820" s="808" t="s">
        <v>108</v>
      </c>
      <c r="W820" s="808" t="s">
        <v>108</v>
      </c>
      <c r="X820" s="808" t="s">
        <v>108</v>
      </c>
      <c r="Y820" s="808" t="s">
        <v>108</v>
      </c>
      <c r="Z820" s="808" t="s">
        <v>108</v>
      </c>
      <c r="AA820" s="808" t="s">
        <v>108</v>
      </c>
      <c r="AB820" s="808" t="s">
        <v>108</v>
      </c>
      <c r="AC820" s="808" t="s">
        <v>108</v>
      </c>
      <c r="AD820" s="808" t="s">
        <v>108</v>
      </c>
      <c r="AE820" s="808" t="s">
        <v>108</v>
      </c>
      <c r="AF820" s="808" t="s">
        <v>108</v>
      </c>
      <c r="AG820" s="808" t="s">
        <v>108</v>
      </c>
      <c r="AH820" s="808" t="s">
        <v>108</v>
      </c>
      <c r="AI820" s="808" t="s">
        <v>108</v>
      </c>
      <c r="AJ820" s="808" t="s">
        <v>108</v>
      </c>
      <c r="AK820" s="808" t="s">
        <v>108</v>
      </c>
      <c r="AL820" s="808" t="s">
        <v>108</v>
      </c>
      <c r="AM820" s="315"/>
      <c r="AN820" s="315"/>
    </row>
    <row r="821" spans="1:40" ht="12.6">
      <c r="A821" s="990" t="s">
        <v>946</v>
      </c>
      <c r="B821" s="991" t="s">
        <v>825</v>
      </c>
      <c r="C821" s="991"/>
      <c r="D821" s="315"/>
      <c r="E821" s="315"/>
      <c r="F821" s="809" t="s">
        <v>826</v>
      </c>
      <c r="G821" s="809" t="s">
        <v>826</v>
      </c>
      <c r="H821" s="809" t="s">
        <v>826</v>
      </c>
      <c r="I821" s="809" t="s">
        <v>826</v>
      </c>
      <c r="J821" s="809" t="s">
        <v>826</v>
      </c>
      <c r="K821" s="809" t="s">
        <v>826</v>
      </c>
      <c r="L821" s="809" t="s">
        <v>826</v>
      </c>
      <c r="M821" s="809" t="s">
        <v>826</v>
      </c>
      <c r="N821" s="809" t="s">
        <v>826</v>
      </c>
      <c r="O821" s="809" t="s">
        <v>826</v>
      </c>
      <c r="P821" s="809" t="s">
        <v>826</v>
      </c>
      <c r="Q821" s="809" t="s">
        <v>826</v>
      </c>
      <c r="R821" s="809" t="s">
        <v>826</v>
      </c>
      <c r="S821" s="809" t="s">
        <v>826</v>
      </c>
      <c r="T821" s="809" t="s">
        <v>826</v>
      </c>
      <c r="U821" s="809" t="s">
        <v>826</v>
      </c>
      <c r="V821" s="809" t="s">
        <v>826</v>
      </c>
      <c r="W821" s="809" t="s">
        <v>826</v>
      </c>
      <c r="X821" s="809" t="s">
        <v>826</v>
      </c>
      <c r="Y821" s="809" t="s">
        <v>826</v>
      </c>
      <c r="Z821" s="809" t="s">
        <v>826</v>
      </c>
      <c r="AA821" s="809" t="s">
        <v>826</v>
      </c>
      <c r="AB821" s="809" t="s">
        <v>826</v>
      </c>
      <c r="AC821" s="809" t="s">
        <v>826</v>
      </c>
      <c r="AD821" s="809" t="s">
        <v>826</v>
      </c>
      <c r="AE821" s="809" t="s">
        <v>826</v>
      </c>
      <c r="AF821" s="809" t="s">
        <v>826</v>
      </c>
      <c r="AG821" s="809" t="s">
        <v>826</v>
      </c>
      <c r="AH821" s="809" t="s">
        <v>826</v>
      </c>
      <c r="AI821" s="809" t="s">
        <v>826</v>
      </c>
      <c r="AJ821" s="809" t="s">
        <v>826</v>
      </c>
      <c r="AK821" s="809" t="s">
        <v>826</v>
      </c>
      <c r="AL821" s="809" t="s">
        <v>826</v>
      </c>
      <c r="AM821" s="315"/>
      <c r="AN821" s="315"/>
    </row>
    <row r="822" spans="1:40" ht="12.6">
      <c r="A822" s="990" t="s">
        <v>947</v>
      </c>
      <c r="B822" s="991" t="s">
        <v>134</v>
      </c>
      <c r="D822" s="315"/>
      <c r="E822" s="315"/>
      <c r="F822" s="809" t="s">
        <v>828</v>
      </c>
      <c r="G822" s="809" t="s">
        <v>828</v>
      </c>
      <c r="H822" s="809" t="s">
        <v>828</v>
      </c>
      <c r="I822" s="809" t="s">
        <v>828</v>
      </c>
      <c r="J822" s="809" t="s">
        <v>828</v>
      </c>
      <c r="K822" s="809" t="s">
        <v>828</v>
      </c>
      <c r="L822" s="809" t="s">
        <v>828</v>
      </c>
      <c r="M822" s="809" t="s">
        <v>828</v>
      </c>
      <c r="N822" s="809" t="s">
        <v>828</v>
      </c>
      <c r="O822" s="809" t="s">
        <v>828</v>
      </c>
      <c r="P822" s="809" t="s">
        <v>828</v>
      </c>
      <c r="Q822" s="809" t="s">
        <v>828</v>
      </c>
      <c r="R822" s="809" t="s">
        <v>828</v>
      </c>
      <c r="S822" s="809" t="s">
        <v>828</v>
      </c>
      <c r="T822" s="809" t="s">
        <v>828</v>
      </c>
      <c r="U822" s="809" t="s">
        <v>828</v>
      </c>
      <c r="V822" s="809" t="s">
        <v>828</v>
      </c>
      <c r="W822" s="809" t="s">
        <v>828</v>
      </c>
      <c r="X822" s="809" t="s">
        <v>828</v>
      </c>
      <c r="Y822" s="809" t="s">
        <v>828</v>
      </c>
      <c r="Z822" s="809" t="s">
        <v>828</v>
      </c>
      <c r="AA822" s="809" t="s">
        <v>828</v>
      </c>
      <c r="AB822" s="809" t="s">
        <v>828</v>
      </c>
      <c r="AC822" s="809" t="s">
        <v>828</v>
      </c>
      <c r="AD822" s="809" t="s">
        <v>828</v>
      </c>
      <c r="AE822" s="809" t="s">
        <v>828</v>
      </c>
      <c r="AF822" s="809" t="s">
        <v>828</v>
      </c>
      <c r="AG822" s="809" t="s">
        <v>828</v>
      </c>
      <c r="AH822" s="809" t="s">
        <v>828</v>
      </c>
      <c r="AI822" s="809" t="s">
        <v>828</v>
      </c>
      <c r="AJ822" s="809" t="s">
        <v>828</v>
      </c>
      <c r="AK822" s="809" t="s">
        <v>828</v>
      </c>
      <c r="AL822" s="809" t="s">
        <v>828</v>
      </c>
      <c r="AM822" s="315"/>
      <c r="AN822" s="315"/>
    </row>
    <row r="823" spans="1:40" s="797" customFormat="1" ht="12.95">
      <c r="A823" s="989" t="s">
        <v>948</v>
      </c>
      <c r="B823" s="796"/>
      <c r="C823" s="796"/>
      <c r="D823" s="796"/>
      <c r="E823" s="796"/>
      <c r="F823" s="795"/>
      <c r="G823" s="795"/>
      <c r="H823" s="795"/>
      <c r="I823" s="795"/>
      <c r="J823" s="795"/>
      <c r="K823" s="795"/>
      <c r="L823" s="795"/>
      <c r="M823" s="795"/>
      <c r="N823" s="795"/>
      <c r="O823" s="795"/>
      <c r="P823" s="795"/>
      <c r="Q823" s="795"/>
      <c r="R823" s="795"/>
      <c r="S823" s="795"/>
      <c r="T823" s="795"/>
      <c r="U823" s="795"/>
      <c r="V823" s="795"/>
      <c r="W823" s="795"/>
      <c r="X823" s="795"/>
      <c r="Y823" s="795"/>
      <c r="Z823" s="795"/>
      <c r="AA823" s="795"/>
      <c r="AB823" s="795"/>
      <c r="AC823" s="795"/>
      <c r="AD823" s="795"/>
      <c r="AE823" s="795"/>
      <c r="AF823" s="795"/>
      <c r="AG823" s="795"/>
      <c r="AH823" s="795"/>
      <c r="AI823" s="795"/>
      <c r="AJ823" s="795"/>
      <c r="AK823" s="795"/>
      <c r="AL823" s="795"/>
      <c r="AM823" s="796"/>
      <c r="AN823" s="796"/>
    </row>
    <row r="824" spans="1:40" ht="12.6">
      <c r="A824" s="990" t="s">
        <v>949</v>
      </c>
      <c r="B824" s="991" t="s">
        <v>128</v>
      </c>
      <c r="C824" s="991"/>
      <c r="D824" s="991" t="s">
        <v>129</v>
      </c>
      <c r="E824" s="991" t="s">
        <v>130</v>
      </c>
      <c r="F824" s="808" t="s">
        <v>108</v>
      </c>
      <c r="G824" s="808" t="s">
        <v>108</v>
      </c>
      <c r="H824" s="808" t="s">
        <v>108</v>
      </c>
      <c r="I824" s="808" t="s">
        <v>108</v>
      </c>
      <c r="J824" s="808" t="s">
        <v>108</v>
      </c>
      <c r="K824" s="808" t="s">
        <v>108</v>
      </c>
      <c r="L824" s="808" t="s">
        <v>108</v>
      </c>
      <c r="M824" s="808" t="s">
        <v>108</v>
      </c>
      <c r="N824" s="808" t="s">
        <v>108</v>
      </c>
      <c r="O824" s="808" t="s">
        <v>108</v>
      </c>
      <c r="P824" s="808" t="s">
        <v>108</v>
      </c>
      <c r="Q824" s="808" t="s">
        <v>108</v>
      </c>
      <c r="R824" s="808" t="s">
        <v>108</v>
      </c>
      <c r="S824" s="808" t="s">
        <v>108</v>
      </c>
      <c r="T824" s="808" t="s">
        <v>108</v>
      </c>
      <c r="U824" s="808" t="s">
        <v>108</v>
      </c>
      <c r="V824" s="808" t="s">
        <v>108</v>
      </c>
      <c r="W824" s="808" t="s">
        <v>108</v>
      </c>
      <c r="X824" s="808" t="s">
        <v>108</v>
      </c>
      <c r="Y824" s="808" t="s">
        <v>108</v>
      </c>
      <c r="Z824" s="808" t="s">
        <v>108</v>
      </c>
      <c r="AA824" s="808" t="s">
        <v>108</v>
      </c>
      <c r="AB824" s="808" t="s">
        <v>108</v>
      </c>
      <c r="AC824" s="808" t="s">
        <v>108</v>
      </c>
      <c r="AD824" s="808" t="s">
        <v>108</v>
      </c>
      <c r="AE824" s="808" t="s">
        <v>108</v>
      </c>
      <c r="AF824" s="808" t="s">
        <v>108</v>
      </c>
      <c r="AG824" s="808" t="s">
        <v>108</v>
      </c>
      <c r="AH824" s="808" t="s">
        <v>108</v>
      </c>
      <c r="AI824" s="808" t="s">
        <v>108</v>
      </c>
      <c r="AJ824" s="808" t="s">
        <v>108</v>
      </c>
      <c r="AK824" s="808" t="s">
        <v>108</v>
      </c>
      <c r="AL824" s="808" t="s">
        <v>108</v>
      </c>
      <c r="AM824" s="315"/>
      <c r="AN824" s="315"/>
    </row>
    <row r="825" spans="1:40" ht="12.6">
      <c r="A825" s="990" t="s">
        <v>950</v>
      </c>
      <c r="B825" s="991" t="s">
        <v>820</v>
      </c>
      <c r="C825" s="991"/>
      <c r="D825" s="991" t="s">
        <v>109</v>
      </c>
      <c r="E825" s="991" t="s">
        <v>130</v>
      </c>
      <c r="F825" s="808" t="s">
        <v>108</v>
      </c>
      <c r="G825" s="808" t="s">
        <v>108</v>
      </c>
      <c r="H825" s="808" t="s">
        <v>108</v>
      </c>
      <c r="I825" s="808" t="s">
        <v>108</v>
      </c>
      <c r="J825" s="808" t="s">
        <v>108</v>
      </c>
      <c r="K825" s="808" t="s">
        <v>108</v>
      </c>
      <c r="L825" s="808" t="s">
        <v>108</v>
      </c>
      <c r="M825" s="808" t="s">
        <v>108</v>
      </c>
      <c r="N825" s="808" t="s">
        <v>108</v>
      </c>
      <c r="O825" s="808" t="s">
        <v>108</v>
      </c>
      <c r="P825" s="808" t="s">
        <v>108</v>
      </c>
      <c r="Q825" s="808" t="s">
        <v>108</v>
      </c>
      <c r="R825" s="808" t="s">
        <v>108</v>
      </c>
      <c r="S825" s="808" t="s">
        <v>108</v>
      </c>
      <c r="T825" s="808" t="s">
        <v>108</v>
      </c>
      <c r="U825" s="808" t="s">
        <v>108</v>
      </c>
      <c r="V825" s="808" t="s">
        <v>108</v>
      </c>
      <c r="W825" s="808" t="s">
        <v>108</v>
      </c>
      <c r="X825" s="808" t="s">
        <v>108</v>
      </c>
      <c r="Y825" s="808" t="s">
        <v>108</v>
      </c>
      <c r="Z825" s="808" t="s">
        <v>108</v>
      </c>
      <c r="AA825" s="808" t="s">
        <v>108</v>
      </c>
      <c r="AB825" s="808" t="s">
        <v>108</v>
      </c>
      <c r="AC825" s="808" t="s">
        <v>108</v>
      </c>
      <c r="AD825" s="808" t="s">
        <v>108</v>
      </c>
      <c r="AE825" s="808" t="s">
        <v>108</v>
      </c>
      <c r="AF825" s="808" t="s">
        <v>108</v>
      </c>
      <c r="AG825" s="808" t="s">
        <v>108</v>
      </c>
      <c r="AH825" s="808" t="s">
        <v>108</v>
      </c>
      <c r="AI825" s="808" t="s">
        <v>108</v>
      </c>
      <c r="AJ825" s="808" t="s">
        <v>108</v>
      </c>
      <c r="AK825" s="808" t="s">
        <v>108</v>
      </c>
      <c r="AL825" s="808" t="s">
        <v>108</v>
      </c>
      <c r="AM825" s="315"/>
      <c r="AN825" s="315"/>
    </row>
    <row r="826" spans="1:40" ht="12.6">
      <c r="A826" s="990" t="s">
        <v>951</v>
      </c>
      <c r="B826" s="991" t="s">
        <v>823</v>
      </c>
      <c r="C826" s="991"/>
      <c r="D826" s="315"/>
      <c r="E826" s="991" t="s">
        <v>122</v>
      </c>
      <c r="F826" s="808" t="s">
        <v>108</v>
      </c>
      <c r="G826" s="808" t="s">
        <v>108</v>
      </c>
      <c r="H826" s="808" t="s">
        <v>108</v>
      </c>
      <c r="I826" s="808" t="s">
        <v>108</v>
      </c>
      <c r="J826" s="808" t="s">
        <v>108</v>
      </c>
      <c r="K826" s="808" t="s">
        <v>108</v>
      </c>
      <c r="L826" s="808" t="s">
        <v>108</v>
      </c>
      <c r="M826" s="808" t="s">
        <v>108</v>
      </c>
      <c r="N826" s="808" t="s">
        <v>108</v>
      </c>
      <c r="O826" s="808" t="s">
        <v>108</v>
      </c>
      <c r="P826" s="808" t="s">
        <v>108</v>
      </c>
      <c r="Q826" s="808" t="s">
        <v>108</v>
      </c>
      <c r="R826" s="808" t="s">
        <v>108</v>
      </c>
      <c r="S826" s="808" t="s">
        <v>108</v>
      </c>
      <c r="T826" s="808" t="s">
        <v>108</v>
      </c>
      <c r="U826" s="808" t="s">
        <v>108</v>
      </c>
      <c r="V826" s="808" t="s">
        <v>108</v>
      </c>
      <c r="W826" s="808" t="s">
        <v>108</v>
      </c>
      <c r="X826" s="808" t="s">
        <v>108</v>
      </c>
      <c r="Y826" s="808" t="s">
        <v>108</v>
      </c>
      <c r="Z826" s="808" t="s">
        <v>108</v>
      </c>
      <c r="AA826" s="808" t="s">
        <v>108</v>
      </c>
      <c r="AB826" s="808" t="s">
        <v>108</v>
      </c>
      <c r="AC826" s="808" t="s">
        <v>108</v>
      </c>
      <c r="AD826" s="808" t="s">
        <v>108</v>
      </c>
      <c r="AE826" s="808" t="s">
        <v>108</v>
      </c>
      <c r="AF826" s="808" t="s">
        <v>108</v>
      </c>
      <c r="AG826" s="808" t="s">
        <v>108</v>
      </c>
      <c r="AH826" s="808" t="s">
        <v>108</v>
      </c>
      <c r="AI826" s="808" t="s">
        <v>108</v>
      </c>
      <c r="AJ826" s="808" t="s">
        <v>108</v>
      </c>
      <c r="AK826" s="808" t="s">
        <v>108</v>
      </c>
      <c r="AL826" s="808" t="s">
        <v>108</v>
      </c>
      <c r="AM826" s="315"/>
      <c r="AN826" s="315"/>
    </row>
    <row r="827" spans="1:40" ht="12.6">
      <c r="A827" s="990" t="s">
        <v>952</v>
      </c>
      <c r="B827" s="991" t="s">
        <v>825</v>
      </c>
      <c r="C827" s="991"/>
      <c r="D827" s="315"/>
      <c r="E827" s="315"/>
      <c r="F827" s="809" t="s">
        <v>826</v>
      </c>
      <c r="G827" s="809" t="s">
        <v>826</v>
      </c>
      <c r="H827" s="809" t="s">
        <v>826</v>
      </c>
      <c r="I827" s="809" t="s">
        <v>826</v>
      </c>
      <c r="J827" s="809" t="s">
        <v>826</v>
      </c>
      <c r="K827" s="809" t="s">
        <v>826</v>
      </c>
      <c r="L827" s="809" t="s">
        <v>826</v>
      </c>
      <c r="M827" s="809" t="s">
        <v>826</v>
      </c>
      <c r="N827" s="809" t="s">
        <v>826</v>
      </c>
      <c r="O827" s="809" t="s">
        <v>826</v>
      </c>
      <c r="P827" s="809" t="s">
        <v>826</v>
      </c>
      <c r="Q827" s="809" t="s">
        <v>826</v>
      </c>
      <c r="R827" s="809" t="s">
        <v>826</v>
      </c>
      <c r="S827" s="809" t="s">
        <v>826</v>
      </c>
      <c r="T827" s="809" t="s">
        <v>826</v>
      </c>
      <c r="U827" s="809" t="s">
        <v>826</v>
      </c>
      <c r="V827" s="809" t="s">
        <v>826</v>
      </c>
      <c r="W827" s="809" t="s">
        <v>826</v>
      </c>
      <c r="X827" s="809" t="s">
        <v>826</v>
      </c>
      <c r="Y827" s="809" t="s">
        <v>826</v>
      </c>
      <c r="Z827" s="809" t="s">
        <v>826</v>
      </c>
      <c r="AA827" s="809" t="s">
        <v>826</v>
      </c>
      <c r="AB827" s="809" t="s">
        <v>826</v>
      </c>
      <c r="AC827" s="809" t="s">
        <v>826</v>
      </c>
      <c r="AD827" s="809" t="s">
        <v>826</v>
      </c>
      <c r="AE827" s="809" t="s">
        <v>826</v>
      </c>
      <c r="AF827" s="809" t="s">
        <v>826</v>
      </c>
      <c r="AG827" s="809" t="s">
        <v>826</v>
      </c>
      <c r="AH827" s="809" t="s">
        <v>826</v>
      </c>
      <c r="AI827" s="809" t="s">
        <v>826</v>
      </c>
      <c r="AJ827" s="809" t="s">
        <v>826</v>
      </c>
      <c r="AK827" s="809" t="s">
        <v>826</v>
      </c>
      <c r="AL827" s="809" t="s">
        <v>826</v>
      </c>
      <c r="AM827" s="315"/>
      <c r="AN827" s="315"/>
    </row>
    <row r="828" spans="1:40" ht="12.6">
      <c r="A828" s="990" t="s">
        <v>953</v>
      </c>
      <c r="B828" s="991" t="s">
        <v>134</v>
      </c>
      <c r="D828" s="315"/>
      <c r="E828" s="315"/>
      <c r="F828" s="809" t="s">
        <v>828</v>
      </c>
      <c r="G828" s="809" t="s">
        <v>828</v>
      </c>
      <c r="H828" s="809" t="s">
        <v>828</v>
      </c>
      <c r="I828" s="809" t="s">
        <v>828</v>
      </c>
      <c r="J828" s="809" t="s">
        <v>828</v>
      </c>
      <c r="K828" s="809" t="s">
        <v>828</v>
      </c>
      <c r="L828" s="809" t="s">
        <v>828</v>
      </c>
      <c r="M828" s="809" t="s">
        <v>828</v>
      </c>
      <c r="N828" s="809" t="s">
        <v>828</v>
      </c>
      <c r="O828" s="809" t="s">
        <v>828</v>
      </c>
      <c r="P828" s="809" t="s">
        <v>828</v>
      </c>
      <c r="Q828" s="809" t="s">
        <v>828</v>
      </c>
      <c r="R828" s="809" t="s">
        <v>828</v>
      </c>
      <c r="S828" s="809" t="s">
        <v>828</v>
      </c>
      <c r="T828" s="809" t="s">
        <v>828</v>
      </c>
      <c r="U828" s="809" t="s">
        <v>828</v>
      </c>
      <c r="V828" s="809" t="s">
        <v>828</v>
      </c>
      <c r="W828" s="809" t="s">
        <v>828</v>
      </c>
      <c r="X828" s="809" t="s">
        <v>828</v>
      </c>
      <c r="Y828" s="809" t="s">
        <v>828</v>
      </c>
      <c r="Z828" s="809" t="s">
        <v>828</v>
      </c>
      <c r="AA828" s="809" t="s">
        <v>828</v>
      </c>
      <c r="AB828" s="809" t="s">
        <v>828</v>
      </c>
      <c r="AC828" s="809" t="s">
        <v>828</v>
      </c>
      <c r="AD828" s="809" t="s">
        <v>828</v>
      </c>
      <c r="AE828" s="809" t="s">
        <v>828</v>
      </c>
      <c r="AF828" s="809" t="s">
        <v>828</v>
      </c>
      <c r="AG828" s="809" t="s">
        <v>828</v>
      </c>
      <c r="AH828" s="809" t="s">
        <v>828</v>
      </c>
      <c r="AI828" s="809" t="s">
        <v>828</v>
      </c>
      <c r="AJ828" s="809" t="s">
        <v>828</v>
      </c>
      <c r="AK828" s="809" t="s">
        <v>828</v>
      </c>
      <c r="AL828" s="809" t="s">
        <v>828</v>
      </c>
      <c r="AM828" s="315"/>
      <c r="AN828" s="315"/>
    </row>
    <row r="829" spans="1:40" s="797" customFormat="1" ht="12.95">
      <c r="A829" s="989" t="s">
        <v>954</v>
      </c>
      <c r="B829" s="796"/>
      <c r="C829" s="796"/>
      <c r="D829" s="796"/>
      <c r="E829" s="796"/>
      <c r="F829" s="795"/>
      <c r="G829" s="795"/>
      <c r="H829" s="795"/>
      <c r="I829" s="795"/>
      <c r="J829" s="795"/>
      <c r="K829" s="795"/>
      <c r="L829" s="795"/>
      <c r="M829" s="795"/>
      <c r="N829" s="795"/>
      <c r="O829" s="795"/>
      <c r="P829" s="795"/>
      <c r="Q829" s="795"/>
      <c r="R829" s="795"/>
      <c r="S829" s="795"/>
      <c r="T829" s="795"/>
      <c r="U829" s="795"/>
      <c r="V829" s="795"/>
      <c r="W829" s="795"/>
      <c r="X829" s="795"/>
      <c r="Y829" s="795"/>
      <c r="Z829" s="795"/>
      <c r="AA829" s="795"/>
      <c r="AB829" s="795"/>
      <c r="AC829" s="795"/>
      <c r="AD829" s="795"/>
      <c r="AE829" s="795"/>
      <c r="AF829" s="795"/>
      <c r="AG829" s="795"/>
      <c r="AH829" s="795"/>
      <c r="AI829" s="795"/>
      <c r="AJ829" s="795"/>
      <c r="AK829" s="795"/>
      <c r="AL829" s="795"/>
      <c r="AM829" s="796"/>
      <c r="AN829" s="796"/>
    </row>
    <row r="830" spans="1:40" ht="12.6">
      <c r="A830" s="990" t="s">
        <v>955</v>
      </c>
      <c r="B830" s="991" t="s">
        <v>128</v>
      </c>
      <c r="C830" s="991"/>
      <c r="D830" s="991" t="s">
        <v>129</v>
      </c>
      <c r="E830" s="991" t="s">
        <v>130</v>
      </c>
      <c r="F830" s="808" t="s">
        <v>108</v>
      </c>
      <c r="G830" s="808" t="s">
        <v>108</v>
      </c>
      <c r="H830" s="808" t="s">
        <v>108</v>
      </c>
      <c r="I830" s="808" t="s">
        <v>108</v>
      </c>
      <c r="J830" s="808" t="s">
        <v>108</v>
      </c>
      <c r="K830" s="808" t="s">
        <v>108</v>
      </c>
      <c r="L830" s="808" t="s">
        <v>108</v>
      </c>
      <c r="M830" s="808" t="s">
        <v>108</v>
      </c>
      <c r="N830" s="808" t="s">
        <v>108</v>
      </c>
      <c r="O830" s="808" t="s">
        <v>108</v>
      </c>
      <c r="P830" s="808" t="s">
        <v>108</v>
      </c>
      <c r="Q830" s="808" t="s">
        <v>108</v>
      </c>
      <c r="R830" s="808" t="s">
        <v>108</v>
      </c>
      <c r="S830" s="808" t="s">
        <v>108</v>
      </c>
      <c r="T830" s="808" t="s">
        <v>108</v>
      </c>
      <c r="U830" s="808" t="s">
        <v>108</v>
      </c>
      <c r="V830" s="808" t="s">
        <v>108</v>
      </c>
      <c r="W830" s="808" t="s">
        <v>108</v>
      </c>
      <c r="X830" s="808" t="s">
        <v>108</v>
      </c>
      <c r="Y830" s="808" t="s">
        <v>108</v>
      </c>
      <c r="Z830" s="808" t="s">
        <v>108</v>
      </c>
      <c r="AA830" s="808" t="s">
        <v>108</v>
      </c>
      <c r="AB830" s="808" t="s">
        <v>108</v>
      </c>
      <c r="AC830" s="808" t="s">
        <v>108</v>
      </c>
      <c r="AD830" s="808" t="s">
        <v>108</v>
      </c>
      <c r="AE830" s="808" t="s">
        <v>108</v>
      </c>
      <c r="AF830" s="808" t="s">
        <v>108</v>
      </c>
      <c r="AG830" s="808" t="s">
        <v>108</v>
      </c>
      <c r="AH830" s="808" t="s">
        <v>108</v>
      </c>
      <c r="AI830" s="808" t="s">
        <v>108</v>
      </c>
      <c r="AJ830" s="808" t="s">
        <v>108</v>
      </c>
      <c r="AK830" s="808" t="s">
        <v>108</v>
      </c>
      <c r="AL830" s="808" t="s">
        <v>108</v>
      </c>
      <c r="AM830" s="315"/>
      <c r="AN830" s="315"/>
    </row>
    <row r="831" spans="1:40" ht="12.6">
      <c r="A831" s="990" t="s">
        <v>956</v>
      </c>
      <c r="B831" s="991" t="s">
        <v>820</v>
      </c>
      <c r="C831" s="991"/>
      <c r="D831" s="991" t="s">
        <v>109</v>
      </c>
      <c r="E831" s="991" t="s">
        <v>130</v>
      </c>
      <c r="F831" s="808" t="s">
        <v>108</v>
      </c>
      <c r="G831" s="808" t="s">
        <v>108</v>
      </c>
      <c r="H831" s="808" t="s">
        <v>108</v>
      </c>
      <c r="I831" s="808" t="s">
        <v>108</v>
      </c>
      <c r="J831" s="808" t="s">
        <v>108</v>
      </c>
      <c r="K831" s="808" t="s">
        <v>108</v>
      </c>
      <c r="L831" s="808" t="s">
        <v>108</v>
      </c>
      <c r="M831" s="808" t="s">
        <v>108</v>
      </c>
      <c r="N831" s="808" t="s">
        <v>108</v>
      </c>
      <c r="O831" s="808" t="s">
        <v>108</v>
      </c>
      <c r="P831" s="808" t="s">
        <v>108</v>
      </c>
      <c r="Q831" s="808" t="s">
        <v>108</v>
      </c>
      <c r="R831" s="808" t="s">
        <v>108</v>
      </c>
      <c r="S831" s="808" t="s">
        <v>108</v>
      </c>
      <c r="T831" s="808" t="s">
        <v>108</v>
      </c>
      <c r="U831" s="808" t="s">
        <v>108</v>
      </c>
      <c r="V831" s="808" t="s">
        <v>108</v>
      </c>
      <c r="W831" s="808" t="s">
        <v>108</v>
      </c>
      <c r="X831" s="808" t="s">
        <v>108</v>
      </c>
      <c r="Y831" s="808" t="s">
        <v>108</v>
      </c>
      <c r="Z831" s="808" t="s">
        <v>108</v>
      </c>
      <c r="AA831" s="808" t="s">
        <v>108</v>
      </c>
      <c r="AB831" s="808" t="s">
        <v>108</v>
      </c>
      <c r="AC831" s="808" t="s">
        <v>108</v>
      </c>
      <c r="AD831" s="808" t="s">
        <v>108</v>
      </c>
      <c r="AE831" s="808" t="s">
        <v>108</v>
      </c>
      <c r="AF831" s="808" t="s">
        <v>108</v>
      </c>
      <c r="AG831" s="808" t="s">
        <v>108</v>
      </c>
      <c r="AH831" s="808" t="s">
        <v>108</v>
      </c>
      <c r="AI831" s="808" t="s">
        <v>108</v>
      </c>
      <c r="AJ831" s="808" t="s">
        <v>108</v>
      </c>
      <c r="AK831" s="808" t="s">
        <v>108</v>
      </c>
      <c r="AL831" s="808" t="s">
        <v>108</v>
      </c>
      <c r="AM831" s="315"/>
      <c r="AN831" s="315"/>
    </row>
    <row r="832" spans="1:40" ht="12.6">
      <c r="A832" s="990" t="s">
        <v>957</v>
      </c>
      <c r="B832" s="991" t="s">
        <v>823</v>
      </c>
      <c r="C832" s="991"/>
      <c r="D832" s="315"/>
      <c r="E832" s="991" t="s">
        <v>122</v>
      </c>
      <c r="F832" s="808" t="s">
        <v>108</v>
      </c>
      <c r="G832" s="808" t="s">
        <v>108</v>
      </c>
      <c r="H832" s="808" t="s">
        <v>108</v>
      </c>
      <c r="I832" s="808" t="s">
        <v>108</v>
      </c>
      <c r="J832" s="808" t="s">
        <v>108</v>
      </c>
      <c r="K832" s="808" t="s">
        <v>108</v>
      </c>
      <c r="L832" s="808" t="s">
        <v>108</v>
      </c>
      <c r="M832" s="808" t="s">
        <v>108</v>
      </c>
      <c r="N832" s="808" t="s">
        <v>108</v>
      </c>
      <c r="O832" s="808" t="s">
        <v>108</v>
      </c>
      <c r="P832" s="808" t="s">
        <v>108</v>
      </c>
      <c r="Q832" s="808" t="s">
        <v>108</v>
      </c>
      <c r="R832" s="808" t="s">
        <v>108</v>
      </c>
      <c r="S832" s="808" t="s">
        <v>108</v>
      </c>
      <c r="T832" s="808" t="s">
        <v>108</v>
      </c>
      <c r="U832" s="808" t="s">
        <v>108</v>
      </c>
      <c r="V832" s="808" t="s">
        <v>108</v>
      </c>
      <c r="W832" s="808" t="s">
        <v>108</v>
      </c>
      <c r="X832" s="808" t="s">
        <v>108</v>
      </c>
      <c r="Y832" s="808" t="s">
        <v>108</v>
      </c>
      <c r="Z832" s="808" t="s">
        <v>108</v>
      </c>
      <c r="AA832" s="808" t="s">
        <v>108</v>
      </c>
      <c r="AB832" s="808" t="s">
        <v>108</v>
      </c>
      <c r="AC832" s="808" t="s">
        <v>108</v>
      </c>
      <c r="AD832" s="808" t="s">
        <v>108</v>
      </c>
      <c r="AE832" s="808" t="s">
        <v>108</v>
      </c>
      <c r="AF832" s="808" t="s">
        <v>108</v>
      </c>
      <c r="AG832" s="808" t="s">
        <v>108</v>
      </c>
      <c r="AH832" s="808" t="s">
        <v>108</v>
      </c>
      <c r="AI832" s="808" t="s">
        <v>108</v>
      </c>
      <c r="AJ832" s="808" t="s">
        <v>108</v>
      </c>
      <c r="AK832" s="808" t="s">
        <v>108</v>
      </c>
      <c r="AL832" s="808" t="s">
        <v>108</v>
      </c>
      <c r="AM832" s="315"/>
      <c r="AN832" s="315"/>
    </row>
    <row r="833" spans="1:40" ht="12.6">
      <c r="A833" s="990" t="s">
        <v>958</v>
      </c>
      <c r="B833" s="991" t="s">
        <v>825</v>
      </c>
      <c r="C833" s="991"/>
      <c r="D833" s="315"/>
      <c r="E833" s="315"/>
      <c r="F833" s="809" t="s">
        <v>826</v>
      </c>
      <c r="G833" s="809" t="s">
        <v>826</v>
      </c>
      <c r="H833" s="809" t="s">
        <v>826</v>
      </c>
      <c r="I833" s="809" t="s">
        <v>826</v>
      </c>
      <c r="J833" s="809" t="s">
        <v>826</v>
      </c>
      <c r="K833" s="809" t="s">
        <v>826</v>
      </c>
      <c r="L833" s="809" t="s">
        <v>826</v>
      </c>
      <c r="M833" s="809" t="s">
        <v>826</v>
      </c>
      <c r="N833" s="809" t="s">
        <v>826</v>
      </c>
      <c r="O833" s="809" t="s">
        <v>826</v>
      </c>
      <c r="P833" s="809" t="s">
        <v>826</v>
      </c>
      <c r="Q833" s="809" t="s">
        <v>826</v>
      </c>
      <c r="R833" s="809" t="s">
        <v>826</v>
      </c>
      <c r="S833" s="809" t="s">
        <v>826</v>
      </c>
      <c r="T833" s="809" t="s">
        <v>826</v>
      </c>
      <c r="U833" s="809" t="s">
        <v>826</v>
      </c>
      <c r="V833" s="809" t="s">
        <v>826</v>
      </c>
      <c r="W833" s="809" t="s">
        <v>826</v>
      </c>
      <c r="X833" s="809" t="s">
        <v>826</v>
      </c>
      <c r="Y833" s="809" t="s">
        <v>826</v>
      </c>
      <c r="Z833" s="809" t="s">
        <v>826</v>
      </c>
      <c r="AA833" s="809" t="s">
        <v>826</v>
      </c>
      <c r="AB833" s="809" t="s">
        <v>826</v>
      </c>
      <c r="AC833" s="809" t="s">
        <v>826</v>
      </c>
      <c r="AD833" s="809" t="s">
        <v>826</v>
      </c>
      <c r="AE833" s="809" t="s">
        <v>826</v>
      </c>
      <c r="AF833" s="809" t="s">
        <v>826</v>
      </c>
      <c r="AG833" s="809" t="s">
        <v>826</v>
      </c>
      <c r="AH833" s="809" t="s">
        <v>826</v>
      </c>
      <c r="AI833" s="809" t="s">
        <v>826</v>
      </c>
      <c r="AJ833" s="809" t="s">
        <v>826</v>
      </c>
      <c r="AK833" s="809" t="s">
        <v>826</v>
      </c>
      <c r="AL833" s="809" t="s">
        <v>826</v>
      </c>
      <c r="AM833" s="315"/>
      <c r="AN833" s="315"/>
    </row>
    <row r="834" spans="1:40" ht="12.6">
      <c r="A834" s="990" t="s">
        <v>959</v>
      </c>
      <c r="B834" s="991" t="s">
        <v>134</v>
      </c>
      <c r="D834" s="315"/>
      <c r="E834" s="315"/>
      <c r="F834" s="809" t="s">
        <v>828</v>
      </c>
      <c r="G834" s="809" t="s">
        <v>828</v>
      </c>
      <c r="H834" s="809" t="s">
        <v>828</v>
      </c>
      <c r="I834" s="809" t="s">
        <v>828</v>
      </c>
      <c r="J834" s="809" t="s">
        <v>828</v>
      </c>
      <c r="K834" s="809" t="s">
        <v>828</v>
      </c>
      <c r="L834" s="809" t="s">
        <v>828</v>
      </c>
      <c r="M834" s="809" t="s">
        <v>828</v>
      </c>
      <c r="N834" s="809" t="s">
        <v>828</v>
      </c>
      <c r="O834" s="809" t="s">
        <v>828</v>
      </c>
      <c r="P834" s="809" t="s">
        <v>828</v>
      </c>
      <c r="Q834" s="809" t="s">
        <v>828</v>
      </c>
      <c r="R834" s="809" t="s">
        <v>828</v>
      </c>
      <c r="S834" s="809" t="s">
        <v>828</v>
      </c>
      <c r="T834" s="809" t="s">
        <v>828</v>
      </c>
      <c r="U834" s="809" t="s">
        <v>828</v>
      </c>
      <c r="V834" s="809" t="s">
        <v>828</v>
      </c>
      <c r="W834" s="809" t="s">
        <v>828</v>
      </c>
      <c r="X834" s="809" t="s">
        <v>828</v>
      </c>
      <c r="Y834" s="809" t="s">
        <v>828</v>
      </c>
      <c r="Z834" s="809" t="s">
        <v>828</v>
      </c>
      <c r="AA834" s="809" t="s">
        <v>828</v>
      </c>
      <c r="AB834" s="809" t="s">
        <v>828</v>
      </c>
      <c r="AC834" s="809" t="s">
        <v>828</v>
      </c>
      <c r="AD834" s="809" t="s">
        <v>828</v>
      </c>
      <c r="AE834" s="809" t="s">
        <v>828</v>
      </c>
      <c r="AF834" s="809" t="s">
        <v>828</v>
      </c>
      <c r="AG834" s="809" t="s">
        <v>828</v>
      </c>
      <c r="AH834" s="809" t="s">
        <v>828</v>
      </c>
      <c r="AI834" s="809" t="s">
        <v>828</v>
      </c>
      <c r="AJ834" s="809" t="s">
        <v>828</v>
      </c>
      <c r="AK834" s="809" t="s">
        <v>828</v>
      </c>
      <c r="AL834" s="809" t="s">
        <v>828</v>
      </c>
      <c r="AM834" s="315"/>
      <c r="AN834" s="315"/>
    </row>
    <row r="835" spans="1:40" s="797" customFormat="1" ht="12.95">
      <c r="A835" s="989" t="s">
        <v>960</v>
      </c>
      <c r="B835" s="796"/>
      <c r="C835" s="796"/>
      <c r="D835" s="796"/>
      <c r="E835" s="796"/>
      <c r="F835" s="795"/>
      <c r="G835" s="795"/>
      <c r="H835" s="795"/>
      <c r="I835" s="795"/>
      <c r="J835" s="795"/>
      <c r="K835" s="795"/>
      <c r="L835" s="795"/>
      <c r="M835" s="795"/>
      <c r="N835" s="795"/>
      <c r="O835" s="795"/>
      <c r="P835" s="795"/>
      <c r="Q835" s="795"/>
      <c r="R835" s="795"/>
      <c r="S835" s="795"/>
      <c r="T835" s="795"/>
      <c r="U835" s="795"/>
      <c r="V835" s="795"/>
      <c r="W835" s="795"/>
      <c r="X835" s="795"/>
      <c r="Y835" s="795"/>
      <c r="Z835" s="795"/>
      <c r="AA835" s="795"/>
      <c r="AB835" s="795"/>
      <c r="AC835" s="795"/>
      <c r="AD835" s="795"/>
      <c r="AE835" s="795"/>
      <c r="AF835" s="795"/>
      <c r="AG835" s="795"/>
      <c r="AH835" s="795"/>
      <c r="AI835" s="795"/>
      <c r="AJ835" s="795"/>
      <c r="AK835" s="795"/>
      <c r="AL835" s="795"/>
      <c r="AM835" s="796"/>
      <c r="AN835" s="796"/>
    </row>
    <row r="836" spans="1:40" ht="12.6">
      <c r="A836" s="990" t="s">
        <v>961</v>
      </c>
      <c r="B836" s="991" t="s">
        <v>128</v>
      </c>
      <c r="C836" s="991"/>
      <c r="D836" s="991" t="s">
        <v>129</v>
      </c>
      <c r="E836" s="991" t="s">
        <v>130</v>
      </c>
      <c r="F836" s="808" t="s">
        <v>99</v>
      </c>
      <c r="G836" s="808" t="s">
        <v>99</v>
      </c>
      <c r="H836" s="808" t="s">
        <v>99</v>
      </c>
      <c r="I836" s="808" t="s">
        <v>99</v>
      </c>
      <c r="J836" s="808" t="s">
        <v>99</v>
      </c>
      <c r="K836" s="808" t="s">
        <v>99</v>
      </c>
      <c r="L836" s="808" t="s">
        <v>99</v>
      </c>
      <c r="M836" s="808" t="s">
        <v>99</v>
      </c>
      <c r="N836" s="808" t="s">
        <v>99</v>
      </c>
      <c r="O836" s="808" t="s">
        <v>99</v>
      </c>
      <c r="P836" s="808" t="s">
        <v>99</v>
      </c>
      <c r="Q836" s="808" t="s">
        <v>99</v>
      </c>
      <c r="R836" s="808" t="s">
        <v>99</v>
      </c>
      <c r="S836" s="808" t="s">
        <v>99</v>
      </c>
      <c r="T836" s="808" t="s">
        <v>99</v>
      </c>
      <c r="U836" s="808" t="s">
        <v>99</v>
      </c>
      <c r="V836" s="808" t="s">
        <v>99</v>
      </c>
      <c r="W836" s="808" t="s">
        <v>99</v>
      </c>
      <c r="X836" s="808" t="s">
        <v>99</v>
      </c>
      <c r="Y836" s="808" t="s">
        <v>99</v>
      </c>
      <c r="Z836" s="808" t="s">
        <v>99</v>
      </c>
      <c r="AA836" s="808" t="s">
        <v>99</v>
      </c>
      <c r="AB836" s="808" t="s">
        <v>99</v>
      </c>
      <c r="AC836" s="808" t="s">
        <v>99</v>
      </c>
      <c r="AD836" s="808" t="s">
        <v>99</v>
      </c>
      <c r="AE836" s="808" t="s">
        <v>99</v>
      </c>
      <c r="AF836" s="808" t="s">
        <v>99</v>
      </c>
      <c r="AG836" s="808" t="s">
        <v>99</v>
      </c>
      <c r="AH836" s="808" t="s">
        <v>99</v>
      </c>
      <c r="AI836" s="808" t="s">
        <v>99</v>
      </c>
      <c r="AJ836" s="808" t="s">
        <v>99</v>
      </c>
      <c r="AK836" s="808" t="s">
        <v>99</v>
      </c>
      <c r="AL836" s="808" t="s">
        <v>99</v>
      </c>
      <c r="AM836" s="344" t="s">
        <v>818</v>
      </c>
      <c r="AN836" s="807"/>
    </row>
    <row r="837" spans="1:40" ht="12.6">
      <c r="A837" s="990" t="s">
        <v>962</v>
      </c>
      <c r="B837" s="991" t="s">
        <v>820</v>
      </c>
      <c r="C837" s="991"/>
      <c r="D837" s="991" t="s">
        <v>109</v>
      </c>
      <c r="E837" s="991" t="s">
        <v>130</v>
      </c>
      <c r="F837" s="808" t="s">
        <v>99</v>
      </c>
      <c r="G837" s="808" t="s">
        <v>99</v>
      </c>
      <c r="H837" s="808" t="s">
        <v>99</v>
      </c>
      <c r="I837" s="808" t="s">
        <v>99</v>
      </c>
      <c r="J837" s="808" t="s">
        <v>99</v>
      </c>
      <c r="K837" s="808" t="s">
        <v>99</v>
      </c>
      <c r="L837" s="808" t="s">
        <v>99</v>
      </c>
      <c r="M837" s="808" t="s">
        <v>99</v>
      </c>
      <c r="N837" s="808" t="s">
        <v>99</v>
      </c>
      <c r="O837" s="808" t="s">
        <v>99</v>
      </c>
      <c r="P837" s="808" t="s">
        <v>99</v>
      </c>
      <c r="Q837" s="808" t="s">
        <v>99</v>
      </c>
      <c r="R837" s="808" t="s">
        <v>99</v>
      </c>
      <c r="S837" s="808" t="s">
        <v>99</v>
      </c>
      <c r="T837" s="808" t="s">
        <v>99</v>
      </c>
      <c r="U837" s="808" t="s">
        <v>99</v>
      </c>
      <c r="V837" s="808" t="s">
        <v>99</v>
      </c>
      <c r="W837" s="808" t="s">
        <v>99</v>
      </c>
      <c r="X837" s="808" t="s">
        <v>99</v>
      </c>
      <c r="Y837" s="808" t="s">
        <v>99</v>
      </c>
      <c r="Z837" s="808" t="s">
        <v>99</v>
      </c>
      <c r="AA837" s="808" t="s">
        <v>99</v>
      </c>
      <c r="AB837" s="808" t="s">
        <v>99</v>
      </c>
      <c r="AC837" s="808" t="s">
        <v>99</v>
      </c>
      <c r="AD837" s="808" t="s">
        <v>99</v>
      </c>
      <c r="AE837" s="808" t="s">
        <v>99</v>
      </c>
      <c r="AF837" s="808" t="s">
        <v>99</v>
      </c>
      <c r="AG837" s="808" t="s">
        <v>99</v>
      </c>
      <c r="AH837" s="808" t="s">
        <v>99</v>
      </c>
      <c r="AI837" s="808" t="s">
        <v>99</v>
      </c>
      <c r="AJ837" s="808" t="s">
        <v>99</v>
      </c>
      <c r="AK837" s="808" t="s">
        <v>99</v>
      </c>
      <c r="AL837" s="808" t="s">
        <v>99</v>
      </c>
      <c r="AM837" s="344" t="s">
        <v>963</v>
      </c>
      <c r="AN837" s="807"/>
    </row>
    <row r="838" spans="1:40" ht="12.6">
      <c r="A838" s="990" t="s">
        <v>964</v>
      </c>
      <c r="B838" s="991" t="s">
        <v>823</v>
      </c>
      <c r="C838" s="991"/>
      <c r="D838" s="315"/>
      <c r="E838" s="991" t="s">
        <v>122</v>
      </c>
      <c r="F838" s="808" t="s">
        <v>99</v>
      </c>
      <c r="G838" s="808" t="s">
        <v>99</v>
      </c>
      <c r="H838" s="808" t="s">
        <v>99</v>
      </c>
      <c r="I838" s="808" t="s">
        <v>99</v>
      </c>
      <c r="J838" s="808" t="s">
        <v>99</v>
      </c>
      <c r="K838" s="808" t="s">
        <v>99</v>
      </c>
      <c r="L838" s="808" t="s">
        <v>99</v>
      </c>
      <c r="M838" s="808" t="s">
        <v>99</v>
      </c>
      <c r="N838" s="808" t="s">
        <v>99</v>
      </c>
      <c r="O838" s="808" t="s">
        <v>99</v>
      </c>
      <c r="P838" s="808" t="s">
        <v>99</v>
      </c>
      <c r="Q838" s="808" t="s">
        <v>99</v>
      </c>
      <c r="R838" s="808" t="s">
        <v>99</v>
      </c>
      <c r="S838" s="808" t="s">
        <v>99</v>
      </c>
      <c r="T838" s="808" t="s">
        <v>99</v>
      </c>
      <c r="U838" s="808" t="s">
        <v>99</v>
      </c>
      <c r="V838" s="808" t="s">
        <v>99</v>
      </c>
      <c r="W838" s="808" t="s">
        <v>99</v>
      </c>
      <c r="X838" s="808" t="s">
        <v>99</v>
      </c>
      <c r="Y838" s="808" t="s">
        <v>99</v>
      </c>
      <c r="Z838" s="808" t="s">
        <v>99</v>
      </c>
      <c r="AA838" s="808" t="s">
        <v>99</v>
      </c>
      <c r="AB838" s="808" t="s">
        <v>99</v>
      </c>
      <c r="AC838" s="808" t="s">
        <v>99</v>
      </c>
      <c r="AD838" s="808" t="s">
        <v>99</v>
      </c>
      <c r="AE838" s="808" t="s">
        <v>99</v>
      </c>
      <c r="AF838" s="808" t="s">
        <v>99</v>
      </c>
      <c r="AG838" s="808" t="s">
        <v>99</v>
      </c>
      <c r="AH838" s="808" t="s">
        <v>99</v>
      </c>
      <c r="AI838" s="808" t="s">
        <v>99</v>
      </c>
      <c r="AJ838" s="808" t="s">
        <v>99</v>
      </c>
      <c r="AK838" s="808" t="s">
        <v>99</v>
      </c>
      <c r="AL838" s="808" t="s">
        <v>99</v>
      </c>
      <c r="AM838" s="344" t="s">
        <v>963</v>
      </c>
      <c r="AN838" s="807"/>
    </row>
    <row r="839" spans="1:40" ht="12.6">
      <c r="A839" s="990" t="s">
        <v>965</v>
      </c>
      <c r="B839" s="991" t="s">
        <v>825</v>
      </c>
      <c r="C839" s="991"/>
      <c r="D839" s="315"/>
      <c r="E839" s="315"/>
      <c r="F839" s="809" t="s">
        <v>826</v>
      </c>
      <c r="G839" s="809" t="s">
        <v>826</v>
      </c>
      <c r="H839" s="809" t="s">
        <v>826</v>
      </c>
      <c r="I839" s="809" t="s">
        <v>826</v>
      </c>
      <c r="J839" s="809" t="s">
        <v>826</v>
      </c>
      <c r="K839" s="809" t="s">
        <v>826</v>
      </c>
      <c r="L839" s="809" t="s">
        <v>826</v>
      </c>
      <c r="M839" s="809" t="s">
        <v>826</v>
      </c>
      <c r="N839" s="809" t="s">
        <v>826</v>
      </c>
      <c r="O839" s="809" t="s">
        <v>826</v>
      </c>
      <c r="P839" s="809" t="s">
        <v>826</v>
      </c>
      <c r="Q839" s="809" t="s">
        <v>826</v>
      </c>
      <c r="R839" s="809" t="s">
        <v>826</v>
      </c>
      <c r="S839" s="809" t="s">
        <v>826</v>
      </c>
      <c r="T839" s="809" t="s">
        <v>826</v>
      </c>
      <c r="U839" s="809" t="s">
        <v>826</v>
      </c>
      <c r="V839" s="809" t="s">
        <v>826</v>
      </c>
      <c r="W839" s="809" t="s">
        <v>826</v>
      </c>
      <c r="X839" s="809" t="s">
        <v>826</v>
      </c>
      <c r="Y839" s="809" t="s">
        <v>826</v>
      </c>
      <c r="Z839" s="809" t="s">
        <v>826</v>
      </c>
      <c r="AA839" s="809" t="s">
        <v>826</v>
      </c>
      <c r="AB839" s="809" t="s">
        <v>826</v>
      </c>
      <c r="AC839" s="809" t="s">
        <v>826</v>
      </c>
      <c r="AD839" s="809" t="s">
        <v>826</v>
      </c>
      <c r="AE839" s="809" t="s">
        <v>826</v>
      </c>
      <c r="AF839" s="809" t="s">
        <v>826</v>
      </c>
      <c r="AG839" s="809" t="s">
        <v>826</v>
      </c>
      <c r="AH839" s="809" t="s">
        <v>826</v>
      </c>
      <c r="AI839" s="809" t="s">
        <v>826</v>
      </c>
      <c r="AJ839" s="809" t="s">
        <v>826</v>
      </c>
      <c r="AK839" s="809" t="s">
        <v>826</v>
      </c>
      <c r="AL839" s="809" t="s">
        <v>826</v>
      </c>
      <c r="AM839" s="315"/>
      <c r="AN839" s="315"/>
    </row>
    <row r="840" spans="1:40" ht="12.6">
      <c r="A840" s="990" t="s">
        <v>966</v>
      </c>
      <c r="B840" s="991" t="s">
        <v>134</v>
      </c>
      <c r="D840" s="315"/>
      <c r="E840" s="315"/>
      <c r="F840" s="809" t="s">
        <v>828</v>
      </c>
      <c r="G840" s="809" t="s">
        <v>828</v>
      </c>
      <c r="H840" s="809" t="s">
        <v>828</v>
      </c>
      <c r="I840" s="809" t="s">
        <v>828</v>
      </c>
      <c r="J840" s="809" t="s">
        <v>828</v>
      </c>
      <c r="K840" s="809" t="s">
        <v>828</v>
      </c>
      <c r="L840" s="809" t="s">
        <v>828</v>
      </c>
      <c r="M840" s="809" t="s">
        <v>828</v>
      </c>
      <c r="N840" s="809" t="s">
        <v>828</v>
      </c>
      <c r="O840" s="809" t="s">
        <v>828</v>
      </c>
      <c r="P840" s="809" t="s">
        <v>828</v>
      </c>
      <c r="Q840" s="809" t="s">
        <v>828</v>
      </c>
      <c r="R840" s="809" t="s">
        <v>828</v>
      </c>
      <c r="S840" s="809" t="s">
        <v>828</v>
      </c>
      <c r="T840" s="809" t="s">
        <v>828</v>
      </c>
      <c r="U840" s="809" t="s">
        <v>828</v>
      </c>
      <c r="V840" s="809" t="s">
        <v>828</v>
      </c>
      <c r="W840" s="809" t="s">
        <v>828</v>
      </c>
      <c r="X840" s="809" t="s">
        <v>828</v>
      </c>
      <c r="Y840" s="809" t="s">
        <v>828</v>
      </c>
      <c r="Z840" s="809" t="s">
        <v>828</v>
      </c>
      <c r="AA840" s="809" t="s">
        <v>828</v>
      </c>
      <c r="AB840" s="809" t="s">
        <v>828</v>
      </c>
      <c r="AC840" s="809" t="s">
        <v>828</v>
      </c>
      <c r="AD840" s="809" t="s">
        <v>828</v>
      </c>
      <c r="AE840" s="809" t="s">
        <v>828</v>
      </c>
      <c r="AF840" s="809" t="s">
        <v>828</v>
      </c>
      <c r="AG840" s="809" t="s">
        <v>828</v>
      </c>
      <c r="AH840" s="809" t="s">
        <v>828</v>
      </c>
      <c r="AI840" s="809" t="s">
        <v>828</v>
      </c>
      <c r="AJ840" s="809" t="s">
        <v>828</v>
      </c>
      <c r="AK840" s="809" t="s">
        <v>828</v>
      </c>
      <c r="AL840" s="809" t="s">
        <v>828</v>
      </c>
      <c r="AM840" s="315"/>
      <c r="AN840" s="315"/>
    </row>
    <row r="841" spans="1:40" s="797" customFormat="1" ht="12.95">
      <c r="A841" s="989" t="s">
        <v>967</v>
      </c>
      <c r="B841" s="796"/>
      <c r="C841" s="796"/>
      <c r="D841" s="796"/>
      <c r="E841" s="796"/>
      <c r="F841" s="795"/>
      <c r="G841" s="795"/>
      <c r="H841" s="795"/>
      <c r="I841" s="795"/>
      <c r="J841" s="795"/>
      <c r="K841" s="795"/>
      <c r="L841" s="795"/>
      <c r="M841" s="795"/>
      <c r="N841" s="795"/>
      <c r="O841" s="795"/>
      <c r="P841" s="795"/>
      <c r="Q841" s="795"/>
      <c r="R841" s="795"/>
      <c r="S841" s="795"/>
      <c r="T841" s="795"/>
      <c r="U841" s="795"/>
      <c r="V841" s="795"/>
      <c r="W841" s="795"/>
      <c r="X841" s="795"/>
      <c r="Y841" s="795"/>
      <c r="Z841" s="795"/>
      <c r="AA841" s="795"/>
      <c r="AB841" s="795"/>
      <c r="AC841" s="795"/>
      <c r="AD841" s="795"/>
      <c r="AE841" s="795"/>
      <c r="AF841" s="795"/>
      <c r="AG841" s="795"/>
      <c r="AH841" s="795"/>
      <c r="AI841" s="795"/>
      <c r="AJ841" s="795"/>
      <c r="AK841" s="795"/>
      <c r="AL841" s="795"/>
      <c r="AM841" s="796"/>
      <c r="AN841" s="796"/>
    </row>
    <row r="842" spans="1:40" ht="12.6">
      <c r="A842" s="990" t="s">
        <v>968</v>
      </c>
      <c r="B842" s="991" t="s">
        <v>128</v>
      </c>
      <c r="C842" s="991"/>
      <c r="D842" s="991" t="s">
        <v>129</v>
      </c>
      <c r="E842" s="991" t="s">
        <v>130</v>
      </c>
      <c r="F842" s="808" t="s">
        <v>99</v>
      </c>
      <c r="G842" s="808" t="s">
        <v>99</v>
      </c>
      <c r="H842" s="808" t="s">
        <v>99</v>
      </c>
      <c r="I842" s="808" t="s">
        <v>99</v>
      </c>
      <c r="J842" s="808" t="s">
        <v>99</v>
      </c>
      <c r="K842" s="808" t="s">
        <v>99</v>
      </c>
      <c r="L842" s="808" t="s">
        <v>99</v>
      </c>
      <c r="M842" s="808" t="s">
        <v>99</v>
      </c>
      <c r="N842" s="808" t="s">
        <v>99</v>
      </c>
      <c r="O842" s="808" t="s">
        <v>99</v>
      </c>
      <c r="P842" s="808" t="s">
        <v>99</v>
      </c>
      <c r="Q842" s="808" t="s">
        <v>99</v>
      </c>
      <c r="R842" s="808" t="s">
        <v>99</v>
      </c>
      <c r="S842" s="808" t="s">
        <v>99</v>
      </c>
      <c r="T842" s="808" t="s">
        <v>99</v>
      </c>
      <c r="U842" s="808" t="s">
        <v>99</v>
      </c>
      <c r="V842" s="808" t="s">
        <v>99</v>
      </c>
      <c r="W842" s="808" t="s">
        <v>99</v>
      </c>
      <c r="X842" s="808" t="s">
        <v>99</v>
      </c>
      <c r="Y842" s="808" t="s">
        <v>99</v>
      </c>
      <c r="Z842" s="808" t="s">
        <v>99</v>
      </c>
      <c r="AA842" s="808" t="s">
        <v>99</v>
      </c>
      <c r="AB842" s="808" t="s">
        <v>99</v>
      </c>
      <c r="AC842" s="808" t="s">
        <v>99</v>
      </c>
      <c r="AD842" s="808" t="s">
        <v>99</v>
      </c>
      <c r="AE842" s="808" t="s">
        <v>99</v>
      </c>
      <c r="AF842" s="808" t="s">
        <v>99</v>
      </c>
      <c r="AG842" s="808" t="s">
        <v>99</v>
      </c>
      <c r="AH842" s="808" t="s">
        <v>99</v>
      </c>
      <c r="AI842" s="808" t="s">
        <v>99</v>
      </c>
      <c r="AJ842" s="808" t="s">
        <v>99</v>
      </c>
      <c r="AK842" s="808" t="s">
        <v>99</v>
      </c>
      <c r="AL842" s="808" t="s">
        <v>99</v>
      </c>
      <c r="AM842" s="344" t="s">
        <v>818</v>
      </c>
      <c r="AN842" s="344"/>
    </row>
    <row r="843" spans="1:40" ht="12.6">
      <c r="A843" s="990" t="s">
        <v>969</v>
      </c>
      <c r="B843" s="991" t="s">
        <v>820</v>
      </c>
      <c r="C843" s="991"/>
      <c r="D843" s="991" t="s">
        <v>109</v>
      </c>
      <c r="E843" s="991" t="s">
        <v>130</v>
      </c>
      <c r="F843" s="810">
        <f>'Non-Energy Use'!E141*1000</f>
        <v>243.25318092474222</v>
      </c>
      <c r="G843" s="810">
        <f>'Non-Energy Use'!F141*1000</f>
        <v>107.12555931075183</v>
      </c>
      <c r="H843" s="810">
        <f>'Non-Energy Use'!G141*1000</f>
        <v>649.99559489324088</v>
      </c>
      <c r="I843" s="810">
        <f>'Non-Energy Use'!H141*1000</f>
        <v>193.51096465623971</v>
      </c>
      <c r="J843" s="810">
        <f>'Non-Energy Use'!I141*1000</f>
        <v>368.89804497404964</v>
      </c>
      <c r="K843" s="810">
        <f>'Non-Energy Use'!J141*1000</f>
        <v>296.72835452131045</v>
      </c>
      <c r="L843" s="810">
        <f>'Non-Energy Use'!K141*1000</f>
        <v>247.78839464846487</v>
      </c>
      <c r="M843" s="810">
        <f>'Non-Energy Use'!L141*1000</f>
        <v>0</v>
      </c>
      <c r="N843" s="810">
        <f>'Non-Energy Use'!M141*1000</f>
        <v>483.52405538639806</v>
      </c>
      <c r="O843" s="810">
        <f>'Non-Energy Use'!N141*1000</f>
        <v>1022.7351834911016</v>
      </c>
      <c r="P843" s="810">
        <f>'Non-Energy Use'!O141*1000</f>
        <v>72.894863231621102</v>
      </c>
      <c r="Q843" s="810">
        <f>'Non-Energy Use'!P141*1000</f>
        <v>805.85088631757537</v>
      </c>
      <c r="R843" s="810">
        <f>'Non-Energy Use'!Q141*1000</f>
        <v>544.6823633891488</v>
      </c>
      <c r="S843" s="810">
        <f>'Non-Energy Use'!R141*1000</f>
        <v>331.85853836467544</v>
      </c>
      <c r="T843" s="810">
        <f>'Non-Energy Use'!S141*1000</f>
        <v>1129.9167705636423</v>
      </c>
      <c r="U843" s="810">
        <f>'Non-Energy Use'!T141*1000</f>
        <v>870.54143025820247</v>
      </c>
      <c r="V843" s="810">
        <f>'Non-Energy Use'!U141*1000</f>
        <v>1117.1986415677561</v>
      </c>
      <c r="W843" s="810">
        <f>'Non-Energy Use'!V141*1000</f>
        <v>966.1630072465548</v>
      </c>
      <c r="X843" s="810">
        <f>'Non-Energy Use'!W141*1000</f>
        <v>1155.4934961746144</v>
      </c>
      <c r="Y843" s="810">
        <f>'Non-Energy Use'!X141*1000</f>
        <v>906.46113616689081</v>
      </c>
      <c r="Z843" s="810">
        <f>'Non-Energy Use'!Y141*1000</f>
        <v>0</v>
      </c>
      <c r="AA843" s="810">
        <f>'Non-Energy Use'!Z141*1000</f>
        <v>0</v>
      </c>
      <c r="AB843" s="810">
        <f>'Non-Energy Use'!AA141*1000</f>
        <v>0</v>
      </c>
      <c r="AC843" s="810">
        <f>'Non-Energy Use'!AB141*1000</f>
        <v>0</v>
      </c>
      <c r="AD843" s="810">
        <f>'Non-Energy Use'!AC141*1000</f>
        <v>0</v>
      </c>
      <c r="AE843" s="810">
        <f>'Non-Energy Use'!AD141*1000</f>
        <v>0</v>
      </c>
      <c r="AF843" s="810">
        <f>'Non-Energy Use'!AE141*1000</f>
        <v>0</v>
      </c>
      <c r="AG843" s="810">
        <f>'Non-Energy Use'!AF141*1000</f>
        <v>0</v>
      </c>
      <c r="AH843" s="810">
        <f>'Non-Energy Use'!AG141*1000</f>
        <v>0</v>
      </c>
      <c r="AI843" s="810">
        <f>'Non-Energy Use'!AH141*1000</f>
        <v>0</v>
      </c>
      <c r="AJ843" s="810">
        <f>'Non-Energy Use'!AI141*1000</f>
        <v>0</v>
      </c>
      <c r="AK843" s="810">
        <f>'Non-Energy Use'!AJ141*1000</f>
        <v>0</v>
      </c>
      <c r="AL843" s="810">
        <f>'Non-Energy Use'!AK141*1000</f>
        <v>0</v>
      </c>
      <c r="AM843" s="315"/>
      <c r="AN843" s="315"/>
    </row>
    <row r="844" spans="1:40" ht="12.6">
      <c r="A844" s="990" t="s">
        <v>970</v>
      </c>
      <c r="B844" s="991" t="s">
        <v>823</v>
      </c>
      <c r="C844" s="991"/>
      <c r="D844" s="315"/>
      <c r="E844" s="991" t="s">
        <v>122</v>
      </c>
      <c r="F844" s="810">
        <f>'Non-Energy Use'!E85*1055.05585262</f>
        <v>30720.1541721219</v>
      </c>
      <c r="G844" s="810">
        <f>'Non-Energy Use'!F85*1055.05585262</f>
        <v>13528.759152461933</v>
      </c>
      <c r="H844" s="810">
        <f>'Non-Energy Use'!G85*1055.05585262</f>
        <v>82087.168646309074</v>
      </c>
      <c r="I844" s="810">
        <f>'Non-Energy Use'!H85*1055.05585262</f>
        <v>24438.268990508644</v>
      </c>
      <c r="J844" s="810">
        <f>'Non-Energy Use'!I85*1055.05585262</f>
        <v>46587.694238223543</v>
      </c>
      <c r="K844" s="810">
        <f>'Non-Energy Use'!J85*1055.05585262</f>
        <v>37473.470083644548</v>
      </c>
      <c r="L844" s="810">
        <f>'Non-Energy Use'!K85*1055.05585262</f>
        <v>31292.900905655417</v>
      </c>
      <c r="M844" s="810">
        <f>'Non-Energy Use'!L85*1055.05585262</f>
        <v>0</v>
      </c>
      <c r="N844" s="810">
        <f>'Non-Energy Use'!M85*1055.05585262</f>
        <v>61063.676417021961</v>
      </c>
      <c r="O844" s="810">
        <f>'Non-Energy Use'!N85*1055.05585262</f>
        <v>129160.00684825708</v>
      </c>
      <c r="P844" s="810">
        <f>'Non-Energy Use'!O85*1055.05585262</f>
        <v>9205.8053601525116</v>
      </c>
      <c r="Q844" s="810">
        <f>'Non-Energy Use'!P85*1055.05585262</f>
        <v>101769.94756371131</v>
      </c>
      <c r="R844" s="810">
        <f>'Non-Energy Use'!Q85*1055.05585262</f>
        <v>68787.286211591854</v>
      </c>
      <c r="S844" s="810">
        <f>'Non-Energy Use'!R85*1055.05585262</f>
        <v>41910.019113180329</v>
      </c>
      <c r="T844" s="810">
        <f>'Non-Energy Use'!S85*1055.05585262</f>
        <v>142695.84167994975</v>
      </c>
      <c r="U844" s="810">
        <f>'Non-Energy Use'!T85*1055.05585262</f>
        <v>109939.63922315698</v>
      </c>
      <c r="V844" s="810">
        <f>'Non-Energy Use'!U85*1055.05585262</f>
        <v>141089.68433372604</v>
      </c>
      <c r="W844" s="810">
        <f>'Non-Energy Use'!V85*1055.05585262</f>
        <v>122015.57416508242</v>
      </c>
      <c r="X844" s="810">
        <f>'Non-Energy Use'!W85*1055.05585262</f>
        <v>145925.89586053701</v>
      </c>
      <c r="Y844" s="810">
        <f>'Non-Energy Use'!X85*1055.05585262</f>
        <v>114475.89605292302</v>
      </c>
      <c r="Z844" s="810">
        <f>'Non-Energy Use'!Y85*1055.05585262</f>
        <v>0</v>
      </c>
      <c r="AA844" s="810">
        <f>'Non-Energy Use'!Z85*1055.05585262</f>
        <v>0</v>
      </c>
      <c r="AB844" s="810">
        <f>'Non-Energy Use'!AA85*1055.05585262</f>
        <v>0</v>
      </c>
      <c r="AC844" s="810">
        <f>'Non-Energy Use'!AB85*1055.05585262</f>
        <v>0</v>
      </c>
      <c r="AD844" s="810">
        <f>'Non-Energy Use'!AC85*1055.05585262</f>
        <v>0</v>
      </c>
      <c r="AE844" s="810">
        <f>'Non-Energy Use'!AD85*1055.05585262</f>
        <v>0</v>
      </c>
      <c r="AF844" s="810">
        <f>'Non-Energy Use'!AE85*1055.05585262</f>
        <v>0</v>
      </c>
      <c r="AG844" s="810">
        <f>'Non-Energy Use'!AF85*1055.05585262</f>
        <v>0</v>
      </c>
      <c r="AH844" s="810">
        <f>'Non-Energy Use'!AG85*1055.05585262</f>
        <v>0</v>
      </c>
      <c r="AI844" s="810">
        <f>'Non-Energy Use'!AH85*1055.05585262</f>
        <v>0</v>
      </c>
      <c r="AJ844" s="810">
        <f>'Non-Energy Use'!AI85*1055.05585262</f>
        <v>0</v>
      </c>
      <c r="AK844" s="810">
        <f>'Non-Energy Use'!AJ85*1055.05585262</f>
        <v>0</v>
      </c>
      <c r="AL844" s="810">
        <f>'Non-Energy Use'!AK85*1055.05585262</f>
        <v>0</v>
      </c>
      <c r="AM844" s="315"/>
      <c r="AN844" s="315"/>
    </row>
    <row r="845" spans="1:40" ht="12.6">
      <c r="A845" s="990" t="s">
        <v>971</v>
      </c>
      <c r="B845" s="991" t="s">
        <v>825</v>
      </c>
      <c r="C845" s="991"/>
      <c r="D845" s="315"/>
      <c r="E845" s="315"/>
      <c r="F845" s="809" t="s">
        <v>826</v>
      </c>
      <c r="G845" s="809" t="s">
        <v>826</v>
      </c>
      <c r="H845" s="809" t="s">
        <v>826</v>
      </c>
      <c r="I845" s="809" t="s">
        <v>826</v>
      </c>
      <c r="J845" s="809" t="s">
        <v>826</v>
      </c>
      <c r="K845" s="809" t="s">
        <v>826</v>
      </c>
      <c r="L845" s="809" t="s">
        <v>826</v>
      </c>
      <c r="M845" s="809" t="s">
        <v>826</v>
      </c>
      <c r="N845" s="809" t="s">
        <v>826</v>
      </c>
      <c r="O845" s="809" t="s">
        <v>826</v>
      </c>
      <c r="P845" s="809" t="s">
        <v>826</v>
      </c>
      <c r="Q845" s="809" t="s">
        <v>826</v>
      </c>
      <c r="R845" s="809" t="s">
        <v>826</v>
      </c>
      <c r="S845" s="809" t="s">
        <v>826</v>
      </c>
      <c r="T845" s="809" t="s">
        <v>826</v>
      </c>
      <c r="U845" s="809" t="s">
        <v>826</v>
      </c>
      <c r="V845" s="809" t="s">
        <v>826</v>
      </c>
      <c r="W845" s="809" t="s">
        <v>826</v>
      </c>
      <c r="X845" s="809" t="s">
        <v>826</v>
      </c>
      <c r="Y845" s="809" t="s">
        <v>826</v>
      </c>
      <c r="Z845" s="809" t="s">
        <v>826</v>
      </c>
      <c r="AA845" s="809" t="s">
        <v>826</v>
      </c>
      <c r="AB845" s="809" t="s">
        <v>826</v>
      </c>
      <c r="AC845" s="809" t="s">
        <v>826</v>
      </c>
      <c r="AD845" s="809" t="s">
        <v>826</v>
      </c>
      <c r="AE845" s="809" t="s">
        <v>826</v>
      </c>
      <c r="AF845" s="809" t="s">
        <v>826</v>
      </c>
      <c r="AG845" s="809" t="s">
        <v>826</v>
      </c>
      <c r="AH845" s="809" t="s">
        <v>826</v>
      </c>
      <c r="AI845" s="809" t="s">
        <v>826</v>
      </c>
      <c r="AJ845" s="809" t="s">
        <v>826</v>
      </c>
      <c r="AK845" s="809" t="s">
        <v>826</v>
      </c>
      <c r="AL845" s="809" t="s">
        <v>826</v>
      </c>
      <c r="AM845" s="315"/>
      <c r="AN845" s="315"/>
    </row>
    <row r="846" spans="1:40" ht="12.6">
      <c r="A846" s="990" t="s">
        <v>972</v>
      </c>
      <c r="B846" s="991" t="s">
        <v>134</v>
      </c>
      <c r="D846" s="315"/>
      <c r="E846" s="315"/>
      <c r="F846" s="809" t="s">
        <v>828</v>
      </c>
      <c r="G846" s="809" t="s">
        <v>828</v>
      </c>
      <c r="H846" s="809" t="s">
        <v>828</v>
      </c>
      <c r="I846" s="809" t="s">
        <v>828</v>
      </c>
      <c r="J846" s="809" t="s">
        <v>828</v>
      </c>
      <c r="K846" s="809" t="s">
        <v>828</v>
      </c>
      <c r="L846" s="809" t="s">
        <v>828</v>
      </c>
      <c r="M846" s="809" t="s">
        <v>828</v>
      </c>
      <c r="N846" s="809" t="s">
        <v>828</v>
      </c>
      <c r="O846" s="809" t="s">
        <v>828</v>
      </c>
      <c r="P846" s="809" t="s">
        <v>828</v>
      </c>
      <c r="Q846" s="809" t="s">
        <v>828</v>
      </c>
      <c r="R846" s="809" t="s">
        <v>828</v>
      </c>
      <c r="S846" s="809" t="s">
        <v>828</v>
      </c>
      <c r="T846" s="809" t="s">
        <v>828</v>
      </c>
      <c r="U846" s="809" t="s">
        <v>828</v>
      </c>
      <c r="V846" s="809" t="s">
        <v>828</v>
      </c>
      <c r="W846" s="809" t="s">
        <v>828</v>
      </c>
      <c r="X846" s="809" t="s">
        <v>828</v>
      </c>
      <c r="Y846" s="809" t="s">
        <v>828</v>
      </c>
      <c r="Z846" s="809" t="s">
        <v>828</v>
      </c>
      <c r="AA846" s="809" t="s">
        <v>828</v>
      </c>
      <c r="AB846" s="809" t="s">
        <v>828</v>
      </c>
      <c r="AC846" s="809" t="s">
        <v>828</v>
      </c>
      <c r="AD846" s="809" t="s">
        <v>828</v>
      </c>
      <c r="AE846" s="809" t="s">
        <v>828</v>
      </c>
      <c r="AF846" s="809" t="s">
        <v>828</v>
      </c>
      <c r="AG846" s="809" t="s">
        <v>828</v>
      </c>
      <c r="AH846" s="809" t="s">
        <v>828</v>
      </c>
      <c r="AI846" s="809" t="s">
        <v>828</v>
      </c>
      <c r="AJ846" s="809" t="s">
        <v>828</v>
      </c>
      <c r="AK846" s="809" t="s">
        <v>828</v>
      </c>
      <c r="AL846" s="809" t="s">
        <v>828</v>
      </c>
      <c r="AM846" s="315"/>
      <c r="AN846" s="315"/>
    </row>
    <row r="847" spans="1:40" s="797" customFormat="1" ht="12.95">
      <c r="A847" s="989" t="s">
        <v>973</v>
      </c>
      <c r="B847" s="796"/>
      <c r="C847" s="796"/>
      <c r="D847" s="796"/>
      <c r="E847" s="796"/>
      <c r="F847" s="795"/>
      <c r="G847" s="795"/>
      <c r="H847" s="795"/>
      <c r="I847" s="795"/>
      <c r="J847" s="795"/>
      <c r="K847" s="795"/>
      <c r="L847" s="795"/>
      <c r="M847" s="795"/>
      <c r="N847" s="795"/>
      <c r="O847" s="795"/>
      <c r="P847" s="795"/>
      <c r="Q847" s="795"/>
      <c r="R847" s="795"/>
      <c r="S847" s="795"/>
      <c r="T847" s="795"/>
      <c r="U847" s="795"/>
      <c r="V847" s="795"/>
      <c r="W847" s="795"/>
      <c r="X847" s="795"/>
      <c r="Y847" s="795"/>
      <c r="Z847" s="795"/>
      <c r="AA847" s="795"/>
      <c r="AB847" s="795"/>
      <c r="AC847" s="795"/>
      <c r="AD847" s="795"/>
      <c r="AE847" s="795"/>
      <c r="AF847" s="795"/>
      <c r="AG847" s="795"/>
      <c r="AH847" s="795"/>
      <c r="AI847" s="795"/>
      <c r="AJ847" s="795"/>
      <c r="AK847" s="795"/>
      <c r="AL847" s="795"/>
      <c r="AM847" s="796"/>
      <c r="AN847" s="796"/>
    </row>
    <row r="848" spans="1:40" ht="12.6">
      <c r="A848" s="990" t="s">
        <v>974</v>
      </c>
      <c r="B848" s="991" t="s">
        <v>128</v>
      </c>
      <c r="C848" s="991"/>
      <c r="D848" s="991" t="s">
        <v>129</v>
      </c>
      <c r="E848" s="991" t="s">
        <v>130</v>
      </c>
      <c r="F848" s="808" t="s">
        <v>108</v>
      </c>
      <c r="G848" s="808" t="s">
        <v>108</v>
      </c>
      <c r="H848" s="808" t="s">
        <v>108</v>
      </c>
      <c r="I848" s="808" t="s">
        <v>108</v>
      </c>
      <c r="J848" s="808" t="s">
        <v>108</v>
      </c>
      <c r="K848" s="808" t="s">
        <v>108</v>
      </c>
      <c r="L848" s="808" t="s">
        <v>108</v>
      </c>
      <c r="M848" s="808" t="s">
        <v>108</v>
      </c>
      <c r="N848" s="808" t="s">
        <v>108</v>
      </c>
      <c r="O848" s="808" t="s">
        <v>108</v>
      </c>
      <c r="P848" s="808" t="s">
        <v>108</v>
      </c>
      <c r="Q848" s="808" t="s">
        <v>108</v>
      </c>
      <c r="R848" s="808" t="s">
        <v>108</v>
      </c>
      <c r="S848" s="808" t="s">
        <v>108</v>
      </c>
      <c r="T848" s="808" t="s">
        <v>108</v>
      </c>
      <c r="U848" s="808" t="s">
        <v>108</v>
      </c>
      <c r="V848" s="808" t="s">
        <v>108</v>
      </c>
      <c r="W848" s="808" t="s">
        <v>108</v>
      </c>
      <c r="X848" s="808" t="s">
        <v>108</v>
      </c>
      <c r="Y848" s="808" t="s">
        <v>108</v>
      </c>
      <c r="Z848" s="808" t="s">
        <v>108</v>
      </c>
      <c r="AA848" s="808" t="s">
        <v>108</v>
      </c>
      <c r="AB848" s="808" t="s">
        <v>108</v>
      </c>
      <c r="AC848" s="808" t="s">
        <v>108</v>
      </c>
      <c r="AD848" s="808" t="s">
        <v>108</v>
      </c>
      <c r="AE848" s="808" t="s">
        <v>108</v>
      </c>
      <c r="AF848" s="808" t="s">
        <v>108</v>
      </c>
      <c r="AG848" s="808" t="s">
        <v>108</v>
      </c>
      <c r="AH848" s="808" t="s">
        <v>108</v>
      </c>
      <c r="AI848" s="808" t="s">
        <v>108</v>
      </c>
      <c r="AJ848" s="808" t="s">
        <v>108</v>
      </c>
      <c r="AK848" s="808" t="s">
        <v>108</v>
      </c>
      <c r="AL848" s="808" t="s">
        <v>108</v>
      </c>
      <c r="AM848" s="315"/>
      <c r="AN848" s="315"/>
    </row>
    <row r="849" spans="1:40" ht="12.6">
      <c r="A849" s="990" t="s">
        <v>975</v>
      </c>
      <c r="B849" s="991" t="s">
        <v>820</v>
      </c>
      <c r="C849" s="991"/>
      <c r="D849" s="991" t="s">
        <v>109</v>
      </c>
      <c r="E849" s="991" t="s">
        <v>130</v>
      </c>
      <c r="F849" s="808" t="s">
        <v>108</v>
      </c>
      <c r="G849" s="808" t="s">
        <v>108</v>
      </c>
      <c r="H849" s="808" t="s">
        <v>108</v>
      </c>
      <c r="I849" s="808" t="s">
        <v>108</v>
      </c>
      <c r="J849" s="808" t="s">
        <v>108</v>
      </c>
      <c r="K849" s="808" t="s">
        <v>108</v>
      </c>
      <c r="L849" s="808" t="s">
        <v>108</v>
      </c>
      <c r="M849" s="808" t="s">
        <v>108</v>
      </c>
      <c r="N849" s="808" t="s">
        <v>108</v>
      </c>
      <c r="O849" s="808" t="s">
        <v>108</v>
      </c>
      <c r="P849" s="808" t="s">
        <v>108</v>
      </c>
      <c r="Q849" s="808" t="s">
        <v>108</v>
      </c>
      <c r="R849" s="808" t="s">
        <v>108</v>
      </c>
      <c r="S849" s="808" t="s">
        <v>108</v>
      </c>
      <c r="T849" s="808" t="s">
        <v>108</v>
      </c>
      <c r="U849" s="808" t="s">
        <v>108</v>
      </c>
      <c r="V849" s="808" t="s">
        <v>108</v>
      </c>
      <c r="W849" s="808" t="s">
        <v>108</v>
      </c>
      <c r="X849" s="808" t="s">
        <v>108</v>
      </c>
      <c r="Y849" s="808" t="s">
        <v>108</v>
      </c>
      <c r="Z849" s="808" t="s">
        <v>108</v>
      </c>
      <c r="AA849" s="808" t="s">
        <v>108</v>
      </c>
      <c r="AB849" s="808" t="s">
        <v>108</v>
      </c>
      <c r="AC849" s="808" t="s">
        <v>108</v>
      </c>
      <c r="AD849" s="808" t="s">
        <v>108</v>
      </c>
      <c r="AE849" s="808" t="s">
        <v>108</v>
      </c>
      <c r="AF849" s="808" t="s">
        <v>108</v>
      </c>
      <c r="AG849" s="808" t="s">
        <v>108</v>
      </c>
      <c r="AH849" s="808" t="s">
        <v>108</v>
      </c>
      <c r="AI849" s="808" t="s">
        <v>108</v>
      </c>
      <c r="AJ849" s="808" t="s">
        <v>108</v>
      </c>
      <c r="AK849" s="808" t="s">
        <v>108</v>
      </c>
      <c r="AL849" s="808" t="s">
        <v>108</v>
      </c>
      <c r="AM849" s="315"/>
      <c r="AN849" s="315"/>
    </row>
    <row r="850" spans="1:40" ht="12.6">
      <c r="A850" s="990" t="s">
        <v>976</v>
      </c>
      <c r="B850" s="991" t="s">
        <v>823</v>
      </c>
      <c r="C850" s="991"/>
      <c r="D850" s="315"/>
      <c r="E850" s="991" t="s">
        <v>122</v>
      </c>
      <c r="F850" s="808" t="s">
        <v>108</v>
      </c>
      <c r="G850" s="808" t="s">
        <v>108</v>
      </c>
      <c r="H850" s="808" t="s">
        <v>108</v>
      </c>
      <c r="I850" s="808" t="s">
        <v>108</v>
      </c>
      <c r="J850" s="808" t="s">
        <v>108</v>
      </c>
      <c r="K850" s="808" t="s">
        <v>108</v>
      </c>
      <c r="L850" s="808" t="s">
        <v>108</v>
      </c>
      <c r="M850" s="808" t="s">
        <v>108</v>
      </c>
      <c r="N850" s="808" t="s">
        <v>108</v>
      </c>
      <c r="O850" s="808" t="s">
        <v>108</v>
      </c>
      <c r="P850" s="808" t="s">
        <v>108</v>
      </c>
      <c r="Q850" s="808" t="s">
        <v>108</v>
      </c>
      <c r="R850" s="808" t="s">
        <v>108</v>
      </c>
      <c r="S850" s="808" t="s">
        <v>108</v>
      </c>
      <c r="T850" s="808" t="s">
        <v>108</v>
      </c>
      <c r="U850" s="808" t="s">
        <v>108</v>
      </c>
      <c r="V850" s="808" t="s">
        <v>108</v>
      </c>
      <c r="W850" s="808" t="s">
        <v>108</v>
      </c>
      <c r="X850" s="808" t="s">
        <v>108</v>
      </c>
      <c r="Y850" s="808" t="s">
        <v>108</v>
      </c>
      <c r="Z850" s="808" t="s">
        <v>108</v>
      </c>
      <c r="AA850" s="808" t="s">
        <v>108</v>
      </c>
      <c r="AB850" s="808" t="s">
        <v>108</v>
      </c>
      <c r="AC850" s="808" t="s">
        <v>108</v>
      </c>
      <c r="AD850" s="808" t="s">
        <v>108</v>
      </c>
      <c r="AE850" s="808" t="s">
        <v>108</v>
      </c>
      <c r="AF850" s="808" t="s">
        <v>108</v>
      </c>
      <c r="AG850" s="808" t="s">
        <v>108</v>
      </c>
      <c r="AH850" s="808" t="s">
        <v>108</v>
      </c>
      <c r="AI850" s="808" t="s">
        <v>108</v>
      </c>
      <c r="AJ850" s="808" t="s">
        <v>108</v>
      </c>
      <c r="AK850" s="808" t="s">
        <v>108</v>
      </c>
      <c r="AL850" s="808" t="s">
        <v>108</v>
      </c>
      <c r="AM850" s="315"/>
      <c r="AN850" s="315"/>
    </row>
    <row r="851" spans="1:40" ht="12.6">
      <c r="A851" s="990" t="s">
        <v>977</v>
      </c>
      <c r="B851" s="991" t="s">
        <v>825</v>
      </c>
      <c r="C851" s="991"/>
      <c r="D851" s="315"/>
      <c r="E851" s="315"/>
      <c r="F851" s="809" t="s">
        <v>826</v>
      </c>
      <c r="G851" s="809" t="s">
        <v>826</v>
      </c>
      <c r="H851" s="809" t="s">
        <v>826</v>
      </c>
      <c r="I851" s="809" t="s">
        <v>826</v>
      </c>
      <c r="J851" s="809" t="s">
        <v>826</v>
      </c>
      <c r="K851" s="809" t="s">
        <v>826</v>
      </c>
      <c r="L851" s="809" t="s">
        <v>826</v>
      </c>
      <c r="M851" s="809" t="s">
        <v>826</v>
      </c>
      <c r="N851" s="809" t="s">
        <v>826</v>
      </c>
      <c r="O851" s="809" t="s">
        <v>826</v>
      </c>
      <c r="P851" s="809" t="s">
        <v>826</v>
      </c>
      <c r="Q851" s="809" t="s">
        <v>826</v>
      </c>
      <c r="R851" s="809" t="s">
        <v>826</v>
      </c>
      <c r="S851" s="809" t="s">
        <v>826</v>
      </c>
      <c r="T851" s="809" t="s">
        <v>826</v>
      </c>
      <c r="U851" s="809" t="s">
        <v>826</v>
      </c>
      <c r="V851" s="809" t="s">
        <v>826</v>
      </c>
      <c r="W851" s="809" t="s">
        <v>826</v>
      </c>
      <c r="X851" s="809" t="s">
        <v>826</v>
      </c>
      <c r="Y851" s="809" t="s">
        <v>826</v>
      </c>
      <c r="Z851" s="809" t="s">
        <v>826</v>
      </c>
      <c r="AA851" s="809" t="s">
        <v>826</v>
      </c>
      <c r="AB851" s="809" t="s">
        <v>826</v>
      </c>
      <c r="AC851" s="809" t="s">
        <v>826</v>
      </c>
      <c r="AD851" s="809" t="s">
        <v>826</v>
      </c>
      <c r="AE851" s="809" t="s">
        <v>826</v>
      </c>
      <c r="AF851" s="809" t="s">
        <v>826</v>
      </c>
      <c r="AG851" s="809" t="s">
        <v>826</v>
      </c>
      <c r="AH851" s="809" t="s">
        <v>826</v>
      </c>
      <c r="AI851" s="809" t="s">
        <v>826</v>
      </c>
      <c r="AJ851" s="809" t="s">
        <v>826</v>
      </c>
      <c r="AK851" s="809" t="s">
        <v>826</v>
      </c>
      <c r="AL851" s="809" t="s">
        <v>826</v>
      </c>
      <c r="AM851" s="315"/>
      <c r="AN851" s="315"/>
    </row>
    <row r="852" spans="1:40" ht="12.6">
      <c r="A852" s="990" t="s">
        <v>978</v>
      </c>
      <c r="B852" s="991" t="s">
        <v>134</v>
      </c>
      <c r="D852" s="315"/>
      <c r="E852" s="315"/>
      <c r="F852" s="809" t="s">
        <v>828</v>
      </c>
      <c r="G852" s="809" t="s">
        <v>828</v>
      </c>
      <c r="H852" s="809" t="s">
        <v>828</v>
      </c>
      <c r="I852" s="809" t="s">
        <v>828</v>
      </c>
      <c r="J852" s="809" t="s">
        <v>828</v>
      </c>
      <c r="K852" s="809" t="s">
        <v>828</v>
      </c>
      <c r="L852" s="809" t="s">
        <v>828</v>
      </c>
      <c r="M852" s="809" t="s">
        <v>828</v>
      </c>
      <c r="N852" s="809" t="s">
        <v>828</v>
      </c>
      <c r="O852" s="809" t="s">
        <v>828</v>
      </c>
      <c r="P852" s="809" t="s">
        <v>828</v>
      </c>
      <c r="Q852" s="809" t="s">
        <v>828</v>
      </c>
      <c r="R852" s="809" t="s">
        <v>828</v>
      </c>
      <c r="S852" s="809" t="s">
        <v>828</v>
      </c>
      <c r="T852" s="809" t="s">
        <v>828</v>
      </c>
      <c r="U852" s="809" t="s">
        <v>828</v>
      </c>
      <c r="V852" s="809" t="s">
        <v>828</v>
      </c>
      <c r="W852" s="809" t="s">
        <v>828</v>
      </c>
      <c r="X852" s="809" t="s">
        <v>828</v>
      </c>
      <c r="Y852" s="809" t="s">
        <v>828</v>
      </c>
      <c r="Z852" s="809" t="s">
        <v>828</v>
      </c>
      <c r="AA852" s="809" t="s">
        <v>828</v>
      </c>
      <c r="AB852" s="809" t="s">
        <v>828</v>
      </c>
      <c r="AC852" s="809" t="s">
        <v>828</v>
      </c>
      <c r="AD852" s="809" t="s">
        <v>828</v>
      </c>
      <c r="AE852" s="809" t="s">
        <v>828</v>
      </c>
      <c r="AF852" s="809" t="s">
        <v>828</v>
      </c>
      <c r="AG852" s="809" t="s">
        <v>828</v>
      </c>
      <c r="AH852" s="809" t="s">
        <v>828</v>
      </c>
      <c r="AI852" s="809" t="s">
        <v>828</v>
      </c>
      <c r="AJ852" s="809" t="s">
        <v>828</v>
      </c>
      <c r="AK852" s="809" t="s">
        <v>828</v>
      </c>
      <c r="AL852" s="809" t="s">
        <v>828</v>
      </c>
      <c r="AM852" s="315"/>
      <c r="AN852" s="315"/>
    </row>
    <row r="853" spans="1:40" s="797" customFormat="1" ht="12.95">
      <c r="A853" s="989" t="s">
        <v>979</v>
      </c>
      <c r="B853" s="796"/>
      <c r="C853" s="796"/>
      <c r="D853" s="796"/>
      <c r="E853" s="796"/>
      <c r="F853" s="795"/>
      <c r="G853" s="795"/>
      <c r="H853" s="795"/>
      <c r="I853" s="795"/>
      <c r="J853" s="795"/>
      <c r="K853" s="795"/>
      <c r="L853" s="795"/>
      <c r="M853" s="795"/>
      <c r="N853" s="795"/>
      <c r="O853" s="795"/>
      <c r="P853" s="795"/>
      <c r="Q853" s="795"/>
      <c r="R853" s="795"/>
      <c r="S853" s="795"/>
      <c r="T853" s="795"/>
      <c r="U853" s="795"/>
      <c r="V853" s="795"/>
      <c r="W853" s="795"/>
      <c r="X853" s="795"/>
      <c r="Y853" s="795"/>
      <c r="Z853" s="795"/>
      <c r="AA853" s="795"/>
      <c r="AB853" s="795"/>
      <c r="AC853" s="795"/>
      <c r="AD853" s="795"/>
      <c r="AE853" s="795"/>
      <c r="AF853" s="795"/>
      <c r="AG853" s="795"/>
      <c r="AH853" s="795"/>
      <c r="AI853" s="795"/>
      <c r="AJ853" s="795"/>
      <c r="AK853" s="795"/>
      <c r="AL853" s="795"/>
      <c r="AM853" s="796"/>
      <c r="AN853" s="796"/>
    </row>
    <row r="854" spans="1:40" ht="12.6">
      <c r="A854" s="990" t="s">
        <v>980</v>
      </c>
      <c r="B854" s="991" t="s">
        <v>128</v>
      </c>
      <c r="C854" s="991"/>
      <c r="D854" s="991" t="s">
        <v>129</v>
      </c>
      <c r="E854" s="991" t="s">
        <v>130</v>
      </c>
      <c r="F854" s="808" t="s">
        <v>99</v>
      </c>
      <c r="G854" s="808" t="s">
        <v>99</v>
      </c>
      <c r="H854" s="808" t="s">
        <v>99</v>
      </c>
      <c r="I854" s="808" t="s">
        <v>99</v>
      </c>
      <c r="J854" s="808" t="s">
        <v>99</v>
      </c>
      <c r="K854" s="808" t="s">
        <v>99</v>
      </c>
      <c r="L854" s="808" t="s">
        <v>99</v>
      </c>
      <c r="M854" s="808" t="s">
        <v>99</v>
      </c>
      <c r="N854" s="808" t="s">
        <v>99</v>
      </c>
      <c r="O854" s="808" t="s">
        <v>99</v>
      </c>
      <c r="P854" s="808" t="s">
        <v>99</v>
      </c>
      <c r="Q854" s="808" t="s">
        <v>99</v>
      </c>
      <c r="R854" s="808" t="s">
        <v>99</v>
      </c>
      <c r="S854" s="808" t="s">
        <v>99</v>
      </c>
      <c r="T854" s="808" t="s">
        <v>99</v>
      </c>
      <c r="U854" s="808" t="s">
        <v>99</v>
      </c>
      <c r="V854" s="808" t="s">
        <v>99</v>
      </c>
      <c r="W854" s="808" t="s">
        <v>99</v>
      </c>
      <c r="X854" s="808" t="s">
        <v>99</v>
      </c>
      <c r="Y854" s="808" t="s">
        <v>99</v>
      </c>
      <c r="Z854" s="808" t="s">
        <v>99</v>
      </c>
      <c r="AA854" s="808" t="s">
        <v>99</v>
      </c>
      <c r="AB854" s="808" t="s">
        <v>99</v>
      </c>
      <c r="AC854" s="808" t="s">
        <v>99</v>
      </c>
      <c r="AD854" s="808" t="s">
        <v>99</v>
      </c>
      <c r="AE854" s="808" t="s">
        <v>99</v>
      </c>
      <c r="AF854" s="808" t="s">
        <v>99</v>
      </c>
      <c r="AG854" s="808" t="s">
        <v>99</v>
      </c>
      <c r="AH854" s="808" t="s">
        <v>99</v>
      </c>
      <c r="AI854" s="808" t="s">
        <v>99</v>
      </c>
      <c r="AJ854" s="808" t="s">
        <v>99</v>
      </c>
      <c r="AK854" s="808" t="s">
        <v>99</v>
      </c>
      <c r="AL854" s="808" t="s">
        <v>99</v>
      </c>
      <c r="AM854" s="344" t="s">
        <v>818</v>
      </c>
      <c r="AN854" s="344"/>
    </row>
    <row r="855" spans="1:40" ht="12.6">
      <c r="A855" s="990" t="s">
        <v>981</v>
      </c>
      <c r="B855" s="991" t="s">
        <v>820</v>
      </c>
      <c r="C855" s="991"/>
      <c r="D855" s="991" t="s">
        <v>109</v>
      </c>
      <c r="E855" s="991" t="s">
        <v>130</v>
      </c>
      <c r="F855" s="808" t="s">
        <v>99</v>
      </c>
      <c r="G855" s="808" t="s">
        <v>99</v>
      </c>
      <c r="H855" s="808" t="s">
        <v>99</v>
      </c>
      <c r="I855" s="808" t="s">
        <v>99</v>
      </c>
      <c r="J855" s="808" t="s">
        <v>99</v>
      </c>
      <c r="K855" s="808" t="s">
        <v>99</v>
      </c>
      <c r="L855" s="808" t="s">
        <v>99</v>
      </c>
      <c r="M855" s="808" t="s">
        <v>99</v>
      </c>
      <c r="N855" s="808" t="s">
        <v>99</v>
      </c>
      <c r="O855" s="808" t="s">
        <v>99</v>
      </c>
      <c r="P855" s="808" t="s">
        <v>99</v>
      </c>
      <c r="Q855" s="808" t="s">
        <v>99</v>
      </c>
      <c r="R855" s="808" t="s">
        <v>99</v>
      </c>
      <c r="S855" s="808" t="s">
        <v>99</v>
      </c>
      <c r="T855" s="808" t="s">
        <v>99</v>
      </c>
      <c r="U855" s="808" t="s">
        <v>99</v>
      </c>
      <c r="V855" s="808" t="s">
        <v>99</v>
      </c>
      <c r="W855" s="808" t="s">
        <v>99</v>
      </c>
      <c r="X855" s="808" t="s">
        <v>99</v>
      </c>
      <c r="Y855" s="808" t="s">
        <v>99</v>
      </c>
      <c r="Z855" s="808" t="s">
        <v>99</v>
      </c>
      <c r="AA855" s="808" t="s">
        <v>99</v>
      </c>
      <c r="AB855" s="808" t="s">
        <v>99</v>
      </c>
      <c r="AC855" s="808" t="s">
        <v>99</v>
      </c>
      <c r="AD855" s="808" t="s">
        <v>99</v>
      </c>
      <c r="AE855" s="808" t="s">
        <v>99</v>
      </c>
      <c r="AF855" s="808" t="s">
        <v>99</v>
      </c>
      <c r="AG855" s="808" t="s">
        <v>99</v>
      </c>
      <c r="AH855" s="808" t="s">
        <v>99</v>
      </c>
      <c r="AI855" s="808" t="s">
        <v>99</v>
      </c>
      <c r="AJ855" s="808" t="s">
        <v>99</v>
      </c>
      <c r="AK855" s="808" t="s">
        <v>99</v>
      </c>
      <c r="AL855" s="808" t="s">
        <v>99</v>
      </c>
      <c r="AM855" s="344" t="s">
        <v>982</v>
      </c>
      <c r="AN855" s="344"/>
    </row>
    <row r="856" spans="1:40" ht="12.6">
      <c r="A856" s="990" t="s">
        <v>983</v>
      </c>
      <c r="B856" s="991" t="s">
        <v>823</v>
      </c>
      <c r="C856" s="991"/>
      <c r="D856" s="315"/>
      <c r="E856" s="991" t="s">
        <v>122</v>
      </c>
      <c r="F856" s="808" t="s">
        <v>99</v>
      </c>
      <c r="G856" s="808" t="s">
        <v>99</v>
      </c>
      <c r="H856" s="808" t="s">
        <v>99</v>
      </c>
      <c r="I856" s="808" t="s">
        <v>99</v>
      </c>
      <c r="J856" s="808" t="s">
        <v>99</v>
      </c>
      <c r="K856" s="808" t="s">
        <v>99</v>
      </c>
      <c r="L856" s="808" t="s">
        <v>99</v>
      </c>
      <c r="M856" s="808" t="s">
        <v>99</v>
      </c>
      <c r="N856" s="808" t="s">
        <v>99</v>
      </c>
      <c r="O856" s="808" t="s">
        <v>99</v>
      </c>
      <c r="P856" s="808" t="s">
        <v>99</v>
      </c>
      <c r="Q856" s="808" t="s">
        <v>99</v>
      </c>
      <c r="R856" s="808" t="s">
        <v>99</v>
      </c>
      <c r="S856" s="808" t="s">
        <v>99</v>
      </c>
      <c r="T856" s="808" t="s">
        <v>99</v>
      </c>
      <c r="U856" s="808" t="s">
        <v>99</v>
      </c>
      <c r="V856" s="808" t="s">
        <v>99</v>
      </c>
      <c r="W856" s="808" t="s">
        <v>99</v>
      </c>
      <c r="X856" s="808" t="s">
        <v>99</v>
      </c>
      <c r="Y856" s="808" t="s">
        <v>99</v>
      </c>
      <c r="Z856" s="808" t="s">
        <v>99</v>
      </c>
      <c r="AA856" s="808" t="s">
        <v>99</v>
      </c>
      <c r="AB856" s="808" t="s">
        <v>99</v>
      </c>
      <c r="AC856" s="808" t="s">
        <v>99</v>
      </c>
      <c r="AD856" s="808" t="s">
        <v>99</v>
      </c>
      <c r="AE856" s="808" t="s">
        <v>99</v>
      </c>
      <c r="AF856" s="808" t="s">
        <v>99</v>
      </c>
      <c r="AG856" s="808" t="s">
        <v>99</v>
      </c>
      <c r="AH856" s="808" t="s">
        <v>99</v>
      </c>
      <c r="AI856" s="808" t="s">
        <v>99</v>
      </c>
      <c r="AJ856" s="808" t="s">
        <v>99</v>
      </c>
      <c r="AK856" s="808" t="s">
        <v>99</v>
      </c>
      <c r="AL856" s="808" t="s">
        <v>99</v>
      </c>
      <c r="AM856" s="344" t="s">
        <v>982</v>
      </c>
      <c r="AN856" s="344"/>
    </row>
    <row r="857" spans="1:40" ht="12.6">
      <c r="A857" s="990" t="s">
        <v>984</v>
      </c>
      <c r="B857" s="991" t="s">
        <v>825</v>
      </c>
      <c r="C857" s="991"/>
      <c r="D857" s="315"/>
      <c r="E857" s="315"/>
      <c r="F857" s="809" t="s">
        <v>826</v>
      </c>
      <c r="G857" s="809" t="s">
        <v>826</v>
      </c>
      <c r="H857" s="809" t="s">
        <v>826</v>
      </c>
      <c r="I857" s="809" t="s">
        <v>826</v>
      </c>
      <c r="J857" s="809" t="s">
        <v>826</v>
      </c>
      <c r="K857" s="809" t="s">
        <v>826</v>
      </c>
      <c r="L857" s="809" t="s">
        <v>826</v>
      </c>
      <c r="M857" s="809" t="s">
        <v>826</v>
      </c>
      <c r="N857" s="809" t="s">
        <v>826</v>
      </c>
      <c r="O857" s="809" t="s">
        <v>826</v>
      </c>
      <c r="P857" s="809" t="s">
        <v>826</v>
      </c>
      <c r="Q857" s="809" t="s">
        <v>826</v>
      </c>
      <c r="R857" s="809" t="s">
        <v>826</v>
      </c>
      <c r="S857" s="809" t="s">
        <v>826</v>
      </c>
      <c r="T857" s="809" t="s">
        <v>826</v>
      </c>
      <c r="U857" s="809" t="s">
        <v>826</v>
      </c>
      <c r="V857" s="809" t="s">
        <v>826</v>
      </c>
      <c r="W857" s="809" t="s">
        <v>826</v>
      </c>
      <c r="X857" s="809" t="s">
        <v>826</v>
      </c>
      <c r="Y857" s="809" t="s">
        <v>826</v>
      </c>
      <c r="Z857" s="809" t="s">
        <v>826</v>
      </c>
      <c r="AA857" s="809" t="s">
        <v>826</v>
      </c>
      <c r="AB857" s="809" t="s">
        <v>826</v>
      </c>
      <c r="AC857" s="809" t="s">
        <v>826</v>
      </c>
      <c r="AD857" s="809" t="s">
        <v>826</v>
      </c>
      <c r="AE857" s="809" t="s">
        <v>826</v>
      </c>
      <c r="AF857" s="809" t="s">
        <v>826</v>
      </c>
      <c r="AG857" s="809" t="s">
        <v>826</v>
      </c>
      <c r="AH857" s="809" t="s">
        <v>826</v>
      </c>
      <c r="AI857" s="809" t="s">
        <v>826</v>
      </c>
      <c r="AJ857" s="809" t="s">
        <v>826</v>
      </c>
      <c r="AK857" s="809" t="s">
        <v>826</v>
      </c>
      <c r="AL857" s="809" t="s">
        <v>826</v>
      </c>
      <c r="AM857" s="315"/>
      <c r="AN857" s="315"/>
    </row>
    <row r="858" spans="1:40" ht="12.6">
      <c r="A858" s="990" t="s">
        <v>985</v>
      </c>
      <c r="B858" s="991" t="s">
        <v>134</v>
      </c>
      <c r="D858" s="315"/>
      <c r="E858" s="315"/>
      <c r="F858" s="809" t="s">
        <v>828</v>
      </c>
      <c r="G858" s="809" t="s">
        <v>828</v>
      </c>
      <c r="H858" s="809" t="s">
        <v>828</v>
      </c>
      <c r="I858" s="809" t="s">
        <v>828</v>
      </c>
      <c r="J858" s="809" t="s">
        <v>828</v>
      </c>
      <c r="K858" s="809" t="s">
        <v>828</v>
      </c>
      <c r="L858" s="809" t="s">
        <v>828</v>
      </c>
      <c r="M858" s="809" t="s">
        <v>828</v>
      </c>
      <c r="N858" s="809" t="s">
        <v>828</v>
      </c>
      <c r="O858" s="809" t="s">
        <v>828</v>
      </c>
      <c r="P858" s="809" t="s">
        <v>828</v>
      </c>
      <c r="Q858" s="809" t="s">
        <v>828</v>
      </c>
      <c r="R858" s="809" t="s">
        <v>828</v>
      </c>
      <c r="S858" s="809" t="s">
        <v>828</v>
      </c>
      <c r="T858" s="809" t="s">
        <v>828</v>
      </c>
      <c r="U858" s="809" t="s">
        <v>828</v>
      </c>
      <c r="V858" s="809" t="s">
        <v>828</v>
      </c>
      <c r="W858" s="809" t="s">
        <v>828</v>
      </c>
      <c r="X858" s="809" t="s">
        <v>828</v>
      </c>
      <c r="Y858" s="809" t="s">
        <v>828</v>
      </c>
      <c r="Z858" s="809" t="s">
        <v>828</v>
      </c>
      <c r="AA858" s="809" t="s">
        <v>828</v>
      </c>
      <c r="AB858" s="809" t="s">
        <v>828</v>
      </c>
      <c r="AC858" s="809" t="s">
        <v>828</v>
      </c>
      <c r="AD858" s="809" t="s">
        <v>828</v>
      </c>
      <c r="AE858" s="809" t="s">
        <v>828</v>
      </c>
      <c r="AF858" s="809" t="s">
        <v>828</v>
      </c>
      <c r="AG858" s="809" t="s">
        <v>828</v>
      </c>
      <c r="AH858" s="809" t="s">
        <v>828</v>
      </c>
      <c r="AI858" s="809" t="s">
        <v>828</v>
      </c>
      <c r="AJ858" s="809" t="s">
        <v>828</v>
      </c>
      <c r="AK858" s="809" t="s">
        <v>828</v>
      </c>
      <c r="AL858" s="809" t="s">
        <v>828</v>
      </c>
      <c r="AM858" s="315"/>
      <c r="AN858" s="315"/>
    </row>
    <row r="859" spans="1:40" s="797" customFormat="1" ht="12.95">
      <c r="A859" s="989" t="s">
        <v>986</v>
      </c>
      <c r="B859" s="796"/>
      <c r="C859" s="796"/>
      <c r="D859" s="796"/>
      <c r="E859" s="796"/>
      <c r="F859" s="795"/>
      <c r="G859" s="795"/>
      <c r="H859" s="795"/>
      <c r="I859" s="795"/>
      <c r="J859" s="795"/>
      <c r="K859" s="795"/>
      <c r="L859" s="795"/>
      <c r="M859" s="795"/>
      <c r="N859" s="795"/>
      <c r="O859" s="795"/>
      <c r="P859" s="795"/>
      <c r="Q859" s="795"/>
      <c r="R859" s="795"/>
      <c r="S859" s="795"/>
      <c r="T859" s="795"/>
      <c r="U859" s="795"/>
      <c r="V859" s="795"/>
      <c r="W859" s="795"/>
      <c r="X859" s="795"/>
      <c r="Y859" s="795"/>
      <c r="Z859" s="795"/>
      <c r="AA859" s="795"/>
      <c r="AB859" s="795"/>
      <c r="AC859" s="795"/>
      <c r="AD859" s="795"/>
      <c r="AE859" s="795"/>
      <c r="AF859" s="795"/>
      <c r="AG859" s="795"/>
      <c r="AH859" s="795"/>
      <c r="AI859" s="795"/>
      <c r="AJ859" s="795"/>
      <c r="AK859" s="795"/>
      <c r="AL859" s="795"/>
      <c r="AM859" s="796"/>
      <c r="AN859" s="796"/>
    </row>
    <row r="860" spans="1:40" ht="12.6">
      <c r="A860" s="990" t="s">
        <v>987</v>
      </c>
      <c r="B860" s="991" t="s">
        <v>128</v>
      </c>
      <c r="C860" s="991"/>
      <c r="D860" s="991" t="s">
        <v>129</v>
      </c>
      <c r="E860" s="991" t="s">
        <v>130</v>
      </c>
      <c r="F860" s="808" t="s">
        <v>108</v>
      </c>
      <c r="G860" s="808" t="s">
        <v>108</v>
      </c>
      <c r="H860" s="808" t="s">
        <v>108</v>
      </c>
      <c r="I860" s="808" t="s">
        <v>108</v>
      </c>
      <c r="J860" s="808" t="s">
        <v>108</v>
      </c>
      <c r="K860" s="808" t="s">
        <v>108</v>
      </c>
      <c r="L860" s="808" t="s">
        <v>108</v>
      </c>
      <c r="M860" s="808" t="s">
        <v>108</v>
      </c>
      <c r="N860" s="808" t="s">
        <v>108</v>
      </c>
      <c r="O860" s="808" t="s">
        <v>108</v>
      </c>
      <c r="P860" s="808" t="s">
        <v>108</v>
      </c>
      <c r="Q860" s="808" t="s">
        <v>108</v>
      </c>
      <c r="R860" s="808" t="s">
        <v>108</v>
      </c>
      <c r="S860" s="808" t="s">
        <v>108</v>
      </c>
      <c r="T860" s="808" t="s">
        <v>108</v>
      </c>
      <c r="U860" s="808" t="s">
        <v>108</v>
      </c>
      <c r="V860" s="808" t="s">
        <v>108</v>
      </c>
      <c r="W860" s="808" t="s">
        <v>108</v>
      </c>
      <c r="X860" s="808" t="s">
        <v>108</v>
      </c>
      <c r="Y860" s="808" t="s">
        <v>108</v>
      </c>
      <c r="Z860" s="808" t="s">
        <v>108</v>
      </c>
      <c r="AA860" s="808" t="s">
        <v>108</v>
      </c>
      <c r="AB860" s="808" t="s">
        <v>108</v>
      </c>
      <c r="AC860" s="808" t="s">
        <v>108</v>
      </c>
      <c r="AD860" s="808" t="s">
        <v>108</v>
      </c>
      <c r="AE860" s="808" t="s">
        <v>108</v>
      </c>
      <c r="AF860" s="808" t="s">
        <v>108</v>
      </c>
      <c r="AG860" s="808" t="s">
        <v>108</v>
      </c>
      <c r="AH860" s="808" t="s">
        <v>108</v>
      </c>
      <c r="AI860" s="808" t="s">
        <v>108</v>
      </c>
      <c r="AJ860" s="808" t="s">
        <v>108</v>
      </c>
      <c r="AK860" s="808" t="s">
        <v>108</v>
      </c>
      <c r="AL860" s="808" t="s">
        <v>108</v>
      </c>
      <c r="AM860" s="315"/>
      <c r="AN860" s="315"/>
    </row>
    <row r="861" spans="1:40" ht="12.6">
      <c r="A861" s="990" t="s">
        <v>988</v>
      </c>
      <c r="B861" s="991" t="s">
        <v>820</v>
      </c>
      <c r="C861" s="991"/>
      <c r="D861" s="991" t="s">
        <v>109</v>
      </c>
      <c r="E861" s="991" t="s">
        <v>130</v>
      </c>
      <c r="F861" s="808" t="s">
        <v>108</v>
      </c>
      <c r="G861" s="808" t="s">
        <v>108</v>
      </c>
      <c r="H861" s="808" t="s">
        <v>108</v>
      </c>
      <c r="I861" s="808" t="s">
        <v>108</v>
      </c>
      <c r="J861" s="808" t="s">
        <v>108</v>
      </c>
      <c r="K861" s="808" t="s">
        <v>108</v>
      </c>
      <c r="L861" s="808" t="s">
        <v>108</v>
      </c>
      <c r="M861" s="808" t="s">
        <v>108</v>
      </c>
      <c r="N861" s="808" t="s">
        <v>108</v>
      </c>
      <c r="O861" s="808" t="s">
        <v>108</v>
      </c>
      <c r="P861" s="808" t="s">
        <v>108</v>
      </c>
      <c r="Q861" s="808" t="s">
        <v>108</v>
      </c>
      <c r="R861" s="808" t="s">
        <v>108</v>
      </c>
      <c r="S861" s="808" t="s">
        <v>108</v>
      </c>
      <c r="T861" s="808" t="s">
        <v>108</v>
      </c>
      <c r="U861" s="808" t="s">
        <v>108</v>
      </c>
      <c r="V861" s="808" t="s">
        <v>108</v>
      </c>
      <c r="W861" s="808" t="s">
        <v>108</v>
      </c>
      <c r="X861" s="808" t="s">
        <v>108</v>
      </c>
      <c r="Y861" s="808" t="s">
        <v>108</v>
      </c>
      <c r="Z861" s="808" t="s">
        <v>108</v>
      </c>
      <c r="AA861" s="808" t="s">
        <v>108</v>
      </c>
      <c r="AB861" s="808" t="s">
        <v>108</v>
      </c>
      <c r="AC861" s="808" t="s">
        <v>108</v>
      </c>
      <c r="AD861" s="808" t="s">
        <v>108</v>
      </c>
      <c r="AE861" s="808" t="s">
        <v>108</v>
      </c>
      <c r="AF861" s="808" t="s">
        <v>108</v>
      </c>
      <c r="AG861" s="808" t="s">
        <v>108</v>
      </c>
      <c r="AH861" s="808" t="s">
        <v>108</v>
      </c>
      <c r="AI861" s="808" t="s">
        <v>108</v>
      </c>
      <c r="AJ861" s="808" t="s">
        <v>108</v>
      </c>
      <c r="AK861" s="808" t="s">
        <v>108</v>
      </c>
      <c r="AL861" s="808" t="s">
        <v>108</v>
      </c>
      <c r="AM861" s="315"/>
      <c r="AN861" s="315"/>
    </row>
    <row r="862" spans="1:40" ht="12.6">
      <c r="A862" s="990" t="s">
        <v>989</v>
      </c>
      <c r="B862" s="991" t="s">
        <v>823</v>
      </c>
      <c r="C862" s="991"/>
      <c r="D862" s="315"/>
      <c r="E862" s="991" t="s">
        <v>122</v>
      </c>
      <c r="F862" s="808" t="s">
        <v>108</v>
      </c>
      <c r="G862" s="808" t="s">
        <v>108</v>
      </c>
      <c r="H862" s="808" t="s">
        <v>108</v>
      </c>
      <c r="I862" s="808" t="s">
        <v>108</v>
      </c>
      <c r="J862" s="808" t="s">
        <v>108</v>
      </c>
      <c r="K862" s="808" t="s">
        <v>108</v>
      </c>
      <c r="L862" s="808" t="s">
        <v>108</v>
      </c>
      <c r="M862" s="808" t="s">
        <v>108</v>
      </c>
      <c r="N862" s="808" t="s">
        <v>108</v>
      </c>
      <c r="O862" s="808" t="s">
        <v>108</v>
      </c>
      <c r="P862" s="808" t="s">
        <v>108</v>
      </c>
      <c r="Q862" s="808" t="s">
        <v>108</v>
      </c>
      <c r="R862" s="808" t="s">
        <v>108</v>
      </c>
      <c r="S862" s="808" t="s">
        <v>108</v>
      </c>
      <c r="T862" s="808" t="s">
        <v>108</v>
      </c>
      <c r="U862" s="808" t="s">
        <v>108</v>
      </c>
      <c r="V862" s="808" t="s">
        <v>108</v>
      </c>
      <c r="W862" s="808" t="s">
        <v>108</v>
      </c>
      <c r="X862" s="808" t="s">
        <v>108</v>
      </c>
      <c r="Y862" s="808" t="s">
        <v>108</v>
      </c>
      <c r="Z862" s="808" t="s">
        <v>108</v>
      </c>
      <c r="AA862" s="808" t="s">
        <v>108</v>
      </c>
      <c r="AB862" s="808" t="s">
        <v>108</v>
      </c>
      <c r="AC862" s="808" t="s">
        <v>108</v>
      </c>
      <c r="AD862" s="808" t="s">
        <v>108</v>
      </c>
      <c r="AE862" s="808" t="s">
        <v>108</v>
      </c>
      <c r="AF862" s="808" t="s">
        <v>108</v>
      </c>
      <c r="AG862" s="808" t="s">
        <v>108</v>
      </c>
      <c r="AH862" s="808" t="s">
        <v>108</v>
      </c>
      <c r="AI862" s="808" t="s">
        <v>108</v>
      </c>
      <c r="AJ862" s="808" t="s">
        <v>108</v>
      </c>
      <c r="AK862" s="808" t="s">
        <v>108</v>
      </c>
      <c r="AL862" s="808" t="s">
        <v>108</v>
      </c>
      <c r="AM862" s="315"/>
      <c r="AN862" s="315"/>
    </row>
    <row r="863" spans="1:40" ht="12.6">
      <c r="A863" s="990" t="s">
        <v>990</v>
      </c>
      <c r="B863" s="991" t="s">
        <v>825</v>
      </c>
      <c r="C863" s="991"/>
      <c r="D863" s="315"/>
      <c r="E863" s="315"/>
      <c r="F863" s="809" t="s">
        <v>826</v>
      </c>
      <c r="G863" s="809" t="s">
        <v>826</v>
      </c>
      <c r="H863" s="809" t="s">
        <v>826</v>
      </c>
      <c r="I863" s="809" t="s">
        <v>826</v>
      </c>
      <c r="J863" s="809" t="s">
        <v>826</v>
      </c>
      <c r="K863" s="809" t="s">
        <v>826</v>
      </c>
      <c r="L863" s="809" t="s">
        <v>826</v>
      </c>
      <c r="M863" s="809" t="s">
        <v>826</v>
      </c>
      <c r="N863" s="809" t="s">
        <v>826</v>
      </c>
      <c r="O863" s="809" t="s">
        <v>826</v>
      </c>
      <c r="P863" s="809" t="s">
        <v>826</v>
      </c>
      <c r="Q863" s="809" t="s">
        <v>826</v>
      </c>
      <c r="R863" s="809" t="s">
        <v>826</v>
      </c>
      <c r="S863" s="809" t="s">
        <v>826</v>
      </c>
      <c r="T863" s="809" t="s">
        <v>826</v>
      </c>
      <c r="U863" s="809" t="s">
        <v>826</v>
      </c>
      <c r="V863" s="809" t="s">
        <v>826</v>
      </c>
      <c r="W863" s="809" t="s">
        <v>826</v>
      </c>
      <c r="X863" s="809" t="s">
        <v>826</v>
      </c>
      <c r="Y863" s="809" t="s">
        <v>826</v>
      </c>
      <c r="Z863" s="809" t="s">
        <v>826</v>
      </c>
      <c r="AA863" s="809" t="s">
        <v>826</v>
      </c>
      <c r="AB863" s="809" t="s">
        <v>826</v>
      </c>
      <c r="AC863" s="809" t="s">
        <v>826</v>
      </c>
      <c r="AD863" s="809" t="s">
        <v>826</v>
      </c>
      <c r="AE863" s="809" t="s">
        <v>826</v>
      </c>
      <c r="AF863" s="809" t="s">
        <v>826</v>
      </c>
      <c r="AG863" s="809" t="s">
        <v>826</v>
      </c>
      <c r="AH863" s="809" t="s">
        <v>826</v>
      </c>
      <c r="AI863" s="809" t="s">
        <v>826</v>
      </c>
      <c r="AJ863" s="809" t="s">
        <v>826</v>
      </c>
      <c r="AK863" s="809" t="s">
        <v>826</v>
      </c>
      <c r="AL863" s="809" t="s">
        <v>826</v>
      </c>
      <c r="AM863" s="315"/>
      <c r="AN863" s="315"/>
    </row>
    <row r="864" spans="1:40" ht="12.6">
      <c r="A864" s="990" t="s">
        <v>991</v>
      </c>
      <c r="B864" s="991" t="s">
        <v>134</v>
      </c>
      <c r="D864" s="315"/>
      <c r="E864" s="315"/>
      <c r="F864" s="809" t="s">
        <v>828</v>
      </c>
      <c r="G864" s="809" t="s">
        <v>828</v>
      </c>
      <c r="H864" s="809" t="s">
        <v>828</v>
      </c>
      <c r="I864" s="809" t="s">
        <v>828</v>
      </c>
      <c r="J864" s="809" t="s">
        <v>828</v>
      </c>
      <c r="K864" s="809" t="s">
        <v>828</v>
      </c>
      <c r="L864" s="809" t="s">
        <v>828</v>
      </c>
      <c r="M864" s="809" t="s">
        <v>828</v>
      </c>
      <c r="N864" s="809" t="s">
        <v>828</v>
      </c>
      <c r="O864" s="809" t="s">
        <v>828</v>
      </c>
      <c r="P864" s="809" t="s">
        <v>828</v>
      </c>
      <c r="Q864" s="809" t="s">
        <v>828</v>
      </c>
      <c r="R864" s="809" t="s">
        <v>828</v>
      </c>
      <c r="S864" s="809" t="s">
        <v>828</v>
      </c>
      <c r="T864" s="809" t="s">
        <v>828</v>
      </c>
      <c r="U864" s="809" t="s">
        <v>828</v>
      </c>
      <c r="V864" s="809" t="s">
        <v>828</v>
      </c>
      <c r="W864" s="809" t="s">
        <v>828</v>
      </c>
      <c r="X864" s="809" t="s">
        <v>828</v>
      </c>
      <c r="Y864" s="809" t="s">
        <v>828</v>
      </c>
      <c r="Z864" s="809" t="s">
        <v>828</v>
      </c>
      <c r="AA864" s="809" t="s">
        <v>828</v>
      </c>
      <c r="AB864" s="809" t="s">
        <v>828</v>
      </c>
      <c r="AC864" s="809" t="s">
        <v>828</v>
      </c>
      <c r="AD864" s="809" t="s">
        <v>828</v>
      </c>
      <c r="AE864" s="809" t="s">
        <v>828</v>
      </c>
      <c r="AF864" s="809" t="s">
        <v>828</v>
      </c>
      <c r="AG864" s="809" t="s">
        <v>828</v>
      </c>
      <c r="AH864" s="809" t="s">
        <v>828</v>
      </c>
      <c r="AI864" s="809" t="s">
        <v>828</v>
      </c>
      <c r="AJ864" s="809" t="s">
        <v>828</v>
      </c>
      <c r="AK864" s="809" t="s">
        <v>828</v>
      </c>
      <c r="AL864" s="809" t="s">
        <v>828</v>
      </c>
      <c r="AM864" s="315"/>
      <c r="AN864" s="315"/>
    </row>
    <row r="865" spans="1:40" s="797" customFormat="1" ht="12.95">
      <c r="A865" s="989" t="s">
        <v>992</v>
      </c>
      <c r="B865" s="796"/>
      <c r="C865" s="796"/>
      <c r="D865" s="796"/>
      <c r="E865" s="796"/>
      <c r="F865" s="795"/>
      <c r="G865" s="795"/>
      <c r="H865" s="795"/>
      <c r="I865" s="795"/>
      <c r="J865" s="795"/>
      <c r="K865" s="795"/>
      <c r="L865" s="795"/>
      <c r="M865" s="795"/>
      <c r="N865" s="795"/>
      <c r="O865" s="795"/>
      <c r="P865" s="795"/>
      <c r="Q865" s="795"/>
      <c r="R865" s="795"/>
      <c r="S865" s="795"/>
      <c r="T865" s="795"/>
      <c r="U865" s="795"/>
      <c r="V865" s="795"/>
      <c r="W865" s="795"/>
      <c r="X865" s="795"/>
      <c r="Y865" s="795"/>
      <c r="Z865" s="795"/>
      <c r="AA865" s="795"/>
      <c r="AB865" s="795"/>
      <c r="AC865" s="795"/>
      <c r="AD865" s="795"/>
      <c r="AE865" s="795"/>
      <c r="AF865" s="795"/>
      <c r="AG865" s="795"/>
      <c r="AH865" s="795"/>
      <c r="AI865" s="795"/>
      <c r="AJ865" s="795"/>
      <c r="AK865" s="795"/>
      <c r="AL865" s="795"/>
      <c r="AM865" s="796"/>
      <c r="AN865" s="796"/>
    </row>
    <row r="866" spans="1:40" ht="12.6">
      <c r="A866" s="990" t="s">
        <v>993</v>
      </c>
      <c r="B866" s="991" t="s">
        <v>128</v>
      </c>
      <c r="C866" s="991"/>
      <c r="D866" s="991" t="s">
        <v>129</v>
      </c>
      <c r="E866" s="991" t="s">
        <v>130</v>
      </c>
      <c r="F866" s="300" t="s">
        <v>99</v>
      </c>
      <c r="G866" s="300" t="s">
        <v>99</v>
      </c>
      <c r="H866" s="300" t="s">
        <v>99</v>
      </c>
      <c r="I866" s="300" t="s">
        <v>99</v>
      </c>
      <c r="J866" s="300" t="s">
        <v>99</v>
      </c>
      <c r="K866" s="300" t="s">
        <v>99</v>
      </c>
      <c r="L866" s="300" t="s">
        <v>99</v>
      </c>
      <c r="M866" s="300" t="s">
        <v>99</v>
      </c>
      <c r="N866" s="300" t="s">
        <v>99</v>
      </c>
      <c r="O866" s="300" t="s">
        <v>99</v>
      </c>
      <c r="P866" s="300" t="s">
        <v>99</v>
      </c>
      <c r="Q866" s="300" t="s">
        <v>99</v>
      </c>
      <c r="R866" s="300" t="s">
        <v>99</v>
      </c>
      <c r="S866" s="300" t="s">
        <v>99</v>
      </c>
      <c r="T866" s="300" t="s">
        <v>99</v>
      </c>
      <c r="U866" s="300" t="s">
        <v>99</v>
      </c>
      <c r="V866" s="300" t="s">
        <v>99</v>
      </c>
      <c r="W866" s="300" t="s">
        <v>99</v>
      </c>
      <c r="X866" s="300" t="s">
        <v>99</v>
      </c>
      <c r="Y866" s="300" t="s">
        <v>99</v>
      </c>
      <c r="Z866" s="300" t="s">
        <v>99</v>
      </c>
      <c r="AA866" s="300" t="s">
        <v>99</v>
      </c>
      <c r="AB866" s="300" t="s">
        <v>99</v>
      </c>
      <c r="AC866" s="300" t="s">
        <v>99</v>
      </c>
      <c r="AD866" s="300" t="s">
        <v>99</v>
      </c>
      <c r="AE866" s="300" t="s">
        <v>99</v>
      </c>
      <c r="AF866" s="300" t="s">
        <v>99</v>
      </c>
      <c r="AG866" s="300" t="s">
        <v>99</v>
      </c>
      <c r="AH866" s="300" t="s">
        <v>99</v>
      </c>
      <c r="AI866" s="300" t="s">
        <v>99</v>
      </c>
      <c r="AJ866" s="300" t="s">
        <v>99</v>
      </c>
      <c r="AK866" s="300" t="s">
        <v>99</v>
      </c>
      <c r="AL866" s="300" t="s">
        <v>99</v>
      </c>
      <c r="AM866" s="344" t="s">
        <v>818</v>
      </c>
      <c r="AN866" s="344"/>
    </row>
    <row r="867" spans="1:40" ht="12.6">
      <c r="A867" s="990" t="s">
        <v>994</v>
      </c>
      <c r="B867" s="991" t="s">
        <v>820</v>
      </c>
      <c r="C867" s="991"/>
      <c r="D867" s="991" t="s">
        <v>109</v>
      </c>
      <c r="E867" s="991" t="s">
        <v>130</v>
      </c>
      <c r="F867" s="300">
        <f>'Non-Energy Use'!E146*1000</f>
        <v>0</v>
      </c>
      <c r="G867" s="300">
        <f>'Non-Energy Use'!F146*1000</f>
        <v>0</v>
      </c>
      <c r="H867" s="300">
        <f>'Non-Energy Use'!G146*1000</f>
        <v>0</v>
      </c>
      <c r="I867" s="300">
        <f>'Non-Energy Use'!H146*1000</f>
        <v>0</v>
      </c>
      <c r="J867" s="300">
        <f>'Non-Energy Use'!I146*1000</f>
        <v>0</v>
      </c>
      <c r="K867" s="300">
        <f>'Non-Energy Use'!J146*1000</f>
        <v>0</v>
      </c>
      <c r="L867" s="300">
        <f>'Non-Energy Use'!K146*1000</f>
        <v>0</v>
      </c>
      <c r="M867" s="300">
        <f>'Non-Energy Use'!L146*1000</f>
        <v>0</v>
      </c>
      <c r="N867" s="300">
        <f>'Non-Energy Use'!M146*1000</f>
        <v>0</v>
      </c>
      <c r="O867" s="300">
        <f>'Non-Energy Use'!N146*1000</f>
        <v>0</v>
      </c>
      <c r="P867" s="300">
        <f>'Non-Energy Use'!O146*1000</f>
        <v>0</v>
      </c>
      <c r="Q867" s="300">
        <f>'Non-Energy Use'!P146*1000</f>
        <v>0</v>
      </c>
      <c r="R867" s="300">
        <f>'Non-Energy Use'!Q146*1000</f>
        <v>0</v>
      </c>
      <c r="S867" s="300">
        <f>'Non-Energy Use'!R146*1000</f>
        <v>0</v>
      </c>
      <c r="T867" s="300">
        <f>'Non-Energy Use'!S146*1000</f>
        <v>0</v>
      </c>
      <c r="U867" s="300">
        <f>'Non-Energy Use'!T146*1000</f>
        <v>0</v>
      </c>
      <c r="V867" s="300">
        <f>'Non-Energy Use'!U146*1000</f>
        <v>0</v>
      </c>
      <c r="W867" s="300">
        <f>'Non-Energy Use'!V146*1000</f>
        <v>0</v>
      </c>
      <c r="X867" s="300">
        <f>'Non-Energy Use'!W146*1000</f>
        <v>0</v>
      </c>
      <c r="Y867" s="300">
        <f>'Non-Energy Use'!X146*1000</f>
        <v>0</v>
      </c>
      <c r="Z867" s="300">
        <f>'Non-Energy Use'!Y146*1000</f>
        <v>0</v>
      </c>
      <c r="AA867" s="300">
        <f>'Non-Energy Use'!Z146*1000</f>
        <v>0</v>
      </c>
      <c r="AB867" s="300">
        <f>'Non-Energy Use'!AA146*1000</f>
        <v>0</v>
      </c>
      <c r="AC867" s="300">
        <f>'Non-Energy Use'!AB146*1000</f>
        <v>0</v>
      </c>
      <c r="AD867" s="300">
        <f>'Non-Energy Use'!AC146*1000</f>
        <v>0</v>
      </c>
      <c r="AE867" s="300">
        <f>'Non-Energy Use'!AD146*1000</f>
        <v>0</v>
      </c>
      <c r="AF867" s="300">
        <f>'Non-Energy Use'!AE146*1000</f>
        <v>0</v>
      </c>
      <c r="AG867" s="300">
        <f>'Non-Energy Use'!AF146*1000</f>
        <v>0</v>
      </c>
      <c r="AH867" s="300">
        <f>'Non-Energy Use'!AG146*1000</f>
        <v>0</v>
      </c>
      <c r="AI867" s="300">
        <f>'Non-Energy Use'!AH146*1000</f>
        <v>0</v>
      </c>
      <c r="AJ867" s="300">
        <f>'Non-Energy Use'!AI146*1000</f>
        <v>0</v>
      </c>
      <c r="AK867" s="300">
        <f>'Non-Energy Use'!AJ146*1000</f>
        <v>0</v>
      </c>
      <c r="AL867" s="300">
        <f>'Non-Energy Use'!AK146*1000</f>
        <v>0</v>
      </c>
      <c r="AM867" s="315"/>
      <c r="AN867" s="315"/>
    </row>
    <row r="868" spans="1:40" ht="12.6">
      <c r="A868" s="990" t="s">
        <v>995</v>
      </c>
      <c r="B868" s="991" t="s">
        <v>823</v>
      </c>
      <c r="C868" s="991"/>
      <c r="D868" s="315"/>
      <c r="E868" s="991" t="s">
        <v>122</v>
      </c>
      <c r="F868" s="300">
        <f>'Non-Energy Use'!E90*1055.05585262</f>
        <v>145423.28160778142</v>
      </c>
      <c r="G868" s="300">
        <f>'Non-Energy Use'!F90*1055.05585262</f>
        <v>161029.0263057781</v>
      </c>
      <c r="H868" s="300">
        <f>'Non-Energy Use'!G90*1055.05585262</f>
        <v>105571.15065290523</v>
      </c>
      <c r="I868" s="300">
        <f>'Non-Energy Use'!H90*1055.05585262</f>
        <v>99933.025021418973</v>
      </c>
      <c r="J868" s="300">
        <f>'Non-Energy Use'!I90*1055.05585262</f>
        <v>111680.13927096895</v>
      </c>
      <c r="K868" s="300">
        <f>'Non-Energy Use'!J90*1055.05585262</f>
        <v>102470.79306595995</v>
      </c>
      <c r="L868" s="300">
        <f>'Non-Energy Use'!K90*1055.05585262</f>
        <v>93934.108270347366</v>
      </c>
      <c r="M868" s="300">
        <f>'Non-Energy Use'!L90*1055.05585262</f>
        <v>103131.2242679128</v>
      </c>
      <c r="N868" s="300">
        <f>'Non-Energy Use'!M90*1055.05585262</f>
        <v>125536.96430453495</v>
      </c>
      <c r="O868" s="300">
        <f>'Non-Energy Use'!N90*1055.05585262</f>
        <v>118070.42266023481</v>
      </c>
      <c r="P868" s="300">
        <f>'Non-Energy Use'!O90*1055.05585262</f>
        <v>125769.33824596278</v>
      </c>
      <c r="Q868" s="300">
        <f>'Non-Energy Use'!P90*1055.05585262</f>
        <v>131780.48520447797</v>
      </c>
      <c r="R868" s="300">
        <f>'Non-Energy Use'!Q90*1055.05585262</f>
        <v>141564.65115933478</v>
      </c>
      <c r="S868" s="300">
        <f>'Non-Energy Use'!R90*1055.05585262</f>
        <v>132899.54918556471</v>
      </c>
      <c r="T868" s="300">
        <f>'Non-Energy Use'!S90*1055.05585262</f>
        <v>119666.46473162084</v>
      </c>
      <c r="U868" s="300">
        <f>'Non-Energy Use'!T90*1055.05585262</f>
        <v>119001.09864096451</v>
      </c>
      <c r="V868" s="300">
        <f>'Non-Energy Use'!U90*1055.05585262</f>
        <v>143522.27931379</v>
      </c>
      <c r="W868" s="300">
        <f>'Non-Energy Use'!V90*1055.05585262</f>
        <v>140822.33871854725</v>
      </c>
      <c r="X868" s="300">
        <f>'Non-Energy Use'!W90*1055.05585262</f>
        <v>149848.43972542923</v>
      </c>
      <c r="Y868" s="300">
        <f>'Non-Energy Use'!X90*1055.05585262</f>
        <v>160184.52436669578</v>
      </c>
      <c r="Z868" s="300">
        <f>'Non-Energy Use'!Y90*1055.05585262</f>
        <v>167437.28809998601</v>
      </c>
      <c r="AA868" s="300">
        <f>'Non-Energy Use'!Z90*1055.05585262</f>
        <v>173811.54991750079</v>
      </c>
      <c r="AB868" s="300">
        <f>'Non-Energy Use'!AA90*1055.05585262</f>
        <v>170478.50651883788</v>
      </c>
      <c r="AC868" s="300">
        <f>'Non-Energy Use'!AB90*1055.05585262</f>
        <v>180584.97513045513</v>
      </c>
      <c r="AD868" s="300">
        <f>'Non-Energy Use'!AC90*1055.05585262</f>
        <v>192801.36855471868</v>
      </c>
      <c r="AE868" s="300">
        <f>'Non-Energy Use'!AD90*1055.05585262</f>
        <v>199327.59681482354</v>
      </c>
      <c r="AF868" s="300">
        <f>'Non-Energy Use'!AE90*1055.05585262</f>
        <v>201875.77276589902</v>
      </c>
      <c r="AG868" s="300">
        <f>'Non-Energy Use'!AF90*1055.05585262</f>
        <v>209755.99506187419</v>
      </c>
      <c r="AH868" s="300">
        <f>'Non-Energy Use'!AG90*1055.05585262</f>
        <v>208867.07300935686</v>
      </c>
      <c r="AI868" s="300">
        <f>'Non-Energy Use'!AH90*1055.05585262</f>
        <v>190072.91323082126</v>
      </c>
      <c r="AJ868" s="300">
        <f>'Non-Energy Use'!AI90*1055.05585262</f>
        <v>180061.62620863359</v>
      </c>
      <c r="AK868" s="300">
        <f>'Non-Energy Use'!AJ90*1055.05585262</f>
        <v>180208.02790683685</v>
      </c>
      <c r="AL868" s="300">
        <f>'Non-Energy Use'!AK90*1055.05585262</f>
        <v>193485.11053205896</v>
      </c>
      <c r="AM868" s="315"/>
      <c r="AN868" s="315"/>
    </row>
    <row r="869" spans="1:40" ht="12.6">
      <c r="A869" s="990" t="s">
        <v>996</v>
      </c>
      <c r="B869" s="991" t="s">
        <v>825</v>
      </c>
      <c r="C869" s="991"/>
      <c r="D869" s="315"/>
      <c r="E869" s="315"/>
      <c r="F869" s="809" t="s">
        <v>826</v>
      </c>
      <c r="G869" s="809" t="s">
        <v>826</v>
      </c>
      <c r="H869" s="809" t="s">
        <v>826</v>
      </c>
      <c r="I869" s="809" t="s">
        <v>826</v>
      </c>
      <c r="J869" s="809" t="s">
        <v>826</v>
      </c>
      <c r="K869" s="809" t="s">
        <v>826</v>
      </c>
      <c r="L869" s="809" t="s">
        <v>826</v>
      </c>
      <c r="M869" s="809" t="s">
        <v>826</v>
      </c>
      <c r="N869" s="809" t="s">
        <v>826</v>
      </c>
      <c r="O869" s="809" t="s">
        <v>826</v>
      </c>
      <c r="P869" s="809" t="s">
        <v>826</v>
      </c>
      <c r="Q869" s="809" t="s">
        <v>826</v>
      </c>
      <c r="R869" s="809" t="s">
        <v>826</v>
      </c>
      <c r="S869" s="809" t="s">
        <v>826</v>
      </c>
      <c r="T869" s="809" t="s">
        <v>826</v>
      </c>
      <c r="U869" s="809" t="s">
        <v>826</v>
      </c>
      <c r="V869" s="809" t="s">
        <v>826</v>
      </c>
      <c r="W869" s="809" t="s">
        <v>826</v>
      </c>
      <c r="X869" s="809" t="s">
        <v>826</v>
      </c>
      <c r="Y869" s="809" t="s">
        <v>826</v>
      </c>
      <c r="Z869" s="809" t="s">
        <v>826</v>
      </c>
      <c r="AA869" s="809" t="s">
        <v>826</v>
      </c>
      <c r="AB869" s="809" t="s">
        <v>826</v>
      </c>
      <c r="AC869" s="809" t="s">
        <v>826</v>
      </c>
      <c r="AD869" s="809" t="s">
        <v>826</v>
      </c>
      <c r="AE869" s="809" t="s">
        <v>826</v>
      </c>
      <c r="AF869" s="809" t="s">
        <v>826</v>
      </c>
      <c r="AG869" s="809" t="s">
        <v>826</v>
      </c>
      <c r="AH869" s="809" t="s">
        <v>826</v>
      </c>
      <c r="AI869" s="809" t="s">
        <v>826</v>
      </c>
      <c r="AJ869" s="809" t="s">
        <v>826</v>
      </c>
      <c r="AK869" s="809" t="s">
        <v>826</v>
      </c>
      <c r="AL869" s="809" t="s">
        <v>826</v>
      </c>
      <c r="AM869" s="315"/>
      <c r="AN869" s="315"/>
    </row>
    <row r="870" spans="1:40" ht="12.6">
      <c r="A870" s="990" t="s">
        <v>997</v>
      </c>
      <c r="B870" s="991" t="s">
        <v>134</v>
      </c>
      <c r="D870" s="315"/>
      <c r="E870" s="315"/>
      <c r="F870" s="809" t="s">
        <v>828</v>
      </c>
      <c r="G870" s="809" t="s">
        <v>828</v>
      </c>
      <c r="H870" s="809" t="s">
        <v>828</v>
      </c>
      <c r="I870" s="809" t="s">
        <v>828</v>
      </c>
      <c r="J870" s="809" t="s">
        <v>828</v>
      </c>
      <c r="K870" s="809" t="s">
        <v>828</v>
      </c>
      <c r="L870" s="809" t="s">
        <v>828</v>
      </c>
      <c r="M870" s="809" t="s">
        <v>828</v>
      </c>
      <c r="N870" s="809" t="s">
        <v>828</v>
      </c>
      <c r="O870" s="809" t="s">
        <v>828</v>
      </c>
      <c r="P870" s="809" t="s">
        <v>828</v>
      </c>
      <c r="Q870" s="809" t="s">
        <v>828</v>
      </c>
      <c r="R870" s="809" t="s">
        <v>828</v>
      </c>
      <c r="S870" s="809" t="s">
        <v>828</v>
      </c>
      <c r="T870" s="809" t="s">
        <v>828</v>
      </c>
      <c r="U870" s="809" t="s">
        <v>828</v>
      </c>
      <c r="V870" s="809" t="s">
        <v>828</v>
      </c>
      <c r="W870" s="809" t="s">
        <v>828</v>
      </c>
      <c r="X870" s="809" t="s">
        <v>828</v>
      </c>
      <c r="Y870" s="809" t="s">
        <v>828</v>
      </c>
      <c r="Z870" s="809" t="s">
        <v>828</v>
      </c>
      <c r="AA870" s="809" t="s">
        <v>828</v>
      </c>
      <c r="AB870" s="809" t="s">
        <v>828</v>
      </c>
      <c r="AC870" s="809" t="s">
        <v>828</v>
      </c>
      <c r="AD870" s="809" t="s">
        <v>828</v>
      </c>
      <c r="AE870" s="809" t="s">
        <v>828</v>
      </c>
      <c r="AF870" s="809" t="s">
        <v>828</v>
      </c>
      <c r="AG870" s="809" t="s">
        <v>828</v>
      </c>
      <c r="AH870" s="809" t="s">
        <v>828</v>
      </c>
      <c r="AI870" s="809" t="s">
        <v>828</v>
      </c>
      <c r="AJ870" s="809" t="s">
        <v>828</v>
      </c>
      <c r="AK870" s="809" t="s">
        <v>828</v>
      </c>
      <c r="AL870" s="809" t="s">
        <v>828</v>
      </c>
      <c r="AM870" s="315"/>
      <c r="AN870" s="315"/>
    </row>
    <row r="871" spans="1:40" s="797" customFormat="1" ht="12.95">
      <c r="A871" s="989" t="s">
        <v>998</v>
      </c>
      <c r="B871" s="796"/>
      <c r="C871" s="796"/>
      <c r="D871" s="796"/>
      <c r="E871" s="796"/>
      <c r="F871" s="795"/>
      <c r="G871" s="795"/>
      <c r="H871" s="795"/>
      <c r="I871" s="795"/>
      <c r="J871" s="795"/>
      <c r="K871" s="795"/>
      <c r="L871" s="795"/>
      <c r="M871" s="795"/>
      <c r="N871" s="795"/>
      <c r="O871" s="795"/>
      <c r="P871" s="795"/>
      <c r="Q871" s="795"/>
      <c r="R871" s="795"/>
      <c r="S871" s="795"/>
      <c r="T871" s="795"/>
      <c r="U871" s="795"/>
      <c r="V871" s="795"/>
      <c r="W871" s="795"/>
      <c r="X871" s="795"/>
      <c r="Y871" s="795"/>
      <c r="Z871" s="795"/>
      <c r="AA871" s="795"/>
      <c r="AB871" s="795"/>
      <c r="AC871" s="795"/>
      <c r="AD871" s="795"/>
      <c r="AE871" s="795"/>
      <c r="AF871" s="795"/>
      <c r="AG871" s="795"/>
      <c r="AH871" s="795"/>
      <c r="AI871" s="795"/>
      <c r="AJ871" s="795"/>
      <c r="AK871" s="795"/>
      <c r="AL871" s="795"/>
      <c r="AM871" s="796"/>
      <c r="AN871" s="796"/>
    </row>
    <row r="872" spans="1:40" ht="12.6">
      <c r="A872" s="990" t="s">
        <v>999</v>
      </c>
      <c r="B872" s="991" t="s">
        <v>128</v>
      </c>
      <c r="C872" s="991"/>
      <c r="D872" s="991" t="s">
        <v>129</v>
      </c>
      <c r="E872" s="991" t="s">
        <v>130</v>
      </c>
      <c r="F872" s="300" t="s">
        <v>99</v>
      </c>
      <c r="G872" s="300" t="s">
        <v>99</v>
      </c>
      <c r="H872" s="300" t="s">
        <v>99</v>
      </c>
      <c r="I872" s="300" t="s">
        <v>99</v>
      </c>
      <c r="J872" s="300" t="s">
        <v>99</v>
      </c>
      <c r="K872" s="300" t="s">
        <v>99</v>
      </c>
      <c r="L872" s="300" t="s">
        <v>99</v>
      </c>
      <c r="M872" s="300" t="s">
        <v>99</v>
      </c>
      <c r="N872" s="300" t="s">
        <v>99</v>
      </c>
      <c r="O872" s="300" t="s">
        <v>99</v>
      </c>
      <c r="P872" s="300" t="s">
        <v>99</v>
      </c>
      <c r="Q872" s="300" t="s">
        <v>99</v>
      </c>
      <c r="R872" s="300" t="s">
        <v>99</v>
      </c>
      <c r="S872" s="300" t="s">
        <v>99</v>
      </c>
      <c r="T872" s="300" t="s">
        <v>99</v>
      </c>
      <c r="U872" s="300" t="s">
        <v>99</v>
      </c>
      <c r="V872" s="300" t="s">
        <v>99</v>
      </c>
      <c r="W872" s="300" t="s">
        <v>99</v>
      </c>
      <c r="X872" s="300" t="s">
        <v>99</v>
      </c>
      <c r="Y872" s="300" t="s">
        <v>99</v>
      </c>
      <c r="Z872" s="300" t="s">
        <v>99</v>
      </c>
      <c r="AA872" s="300" t="s">
        <v>99</v>
      </c>
      <c r="AB872" s="300" t="s">
        <v>99</v>
      </c>
      <c r="AC872" s="300" t="s">
        <v>99</v>
      </c>
      <c r="AD872" s="300" t="s">
        <v>99</v>
      </c>
      <c r="AE872" s="300" t="s">
        <v>99</v>
      </c>
      <c r="AF872" s="300" t="s">
        <v>99</v>
      </c>
      <c r="AG872" s="300" t="s">
        <v>99</v>
      </c>
      <c r="AH872" s="300" t="s">
        <v>99</v>
      </c>
      <c r="AI872" s="300" t="s">
        <v>99</v>
      </c>
      <c r="AJ872" s="300" t="s">
        <v>99</v>
      </c>
      <c r="AK872" s="300" t="s">
        <v>99</v>
      </c>
      <c r="AL872" s="300" t="s">
        <v>99</v>
      </c>
      <c r="AM872" s="344" t="s">
        <v>818</v>
      </c>
      <c r="AN872" s="344"/>
    </row>
    <row r="873" spans="1:40" ht="12.6">
      <c r="A873" s="990" t="s">
        <v>1000</v>
      </c>
      <c r="B873" s="991" t="s">
        <v>820</v>
      </c>
      <c r="C873" s="991"/>
      <c r="D873" s="991" t="s">
        <v>109</v>
      </c>
      <c r="E873" s="991" t="s">
        <v>130</v>
      </c>
      <c r="F873" s="300">
        <f>'Non-Energy Use'!E151*1000</f>
        <v>100.21709927677627</v>
      </c>
      <c r="G873" s="300">
        <f>'Non-Energy Use'!F151*1000</f>
        <v>127.59262186884621</v>
      </c>
      <c r="H873" s="300">
        <f>'Non-Energy Use'!G151*1000</f>
        <v>68.227612159513555</v>
      </c>
      <c r="I873" s="300">
        <f>'Non-Energy Use'!H151*1000</f>
        <v>74.2012002585316</v>
      </c>
      <c r="J873" s="300">
        <f>'Non-Energy Use'!I151*1000</f>
        <v>56.995158076255883</v>
      </c>
      <c r="K873" s="300">
        <f>'Non-Energy Use'!J151*1000</f>
        <v>106.863262587992</v>
      </c>
      <c r="L873" s="300">
        <f>'Non-Energy Use'!K151*1000</f>
        <v>142.5444598174019</v>
      </c>
      <c r="M873" s="300">
        <f>'Non-Energy Use'!L151*1000</f>
        <v>149.86863535478184</v>
      </c>
      <c r="N873" s="300">
        <f>'Non-Energy Use'!M151*1000</f>
        <v>150.670495801671</v>
      </c>
      <c r="O873" s="300">
        <f>'Non-Energy Use'!N151*1000</f>
        <v>267.73273509923223</v>
      </c>
      <c r="P873" s="300">
        <f>'Non-Energy Use'!O151*1000</f>
        <v>275.44052171311483</v>
      </c>
      <c r="Q873" s="300">
        <f>'Non-Energy Use'!P151*1000</f>
        <v>165.99750510000032</v>
      </c>
      <c r="R873" s="300">
        <f>'Non-Energy Use'!Q151*1000</f>
        <v>274.41339056934243</v>
      </c>
      <c r="S873" s="300">
        <f>'Non-Energy Use'!R151*1000</f>
        <v>231.53330760243659</v>
      </c>
      <c r="T873" s="300">
        <f>'Non-Energy Use'!S151*1000</f>
        <v>216.64284356516427</v>
      </c>
      <c r="U873" s="300">
        <f>'Non-Energy Use'!T151*1000</f>
        <v>220.69494966041103</v>
      </c>
      <c r="V873" s="300">
        <f>'Non-Energy Use'!U151*1000</f>
        <v>184.73780713767093</v>
      </c>
      <c r="W873" s="300">
        <f>'Non-Energy Use'!V151*1000</f>
        <v>210.08756289986314</v>
      </c>
      <c r="X873" s="300">
        <f>'Non-Energy Use'!W151*1000</f>
        <v>150.72321434672136</v>
      </c>
      <c r="Y873" s="300">
        <f>'Non-Energy Use'!X151*1000</f>
        <v>78.612133090224859</v>
      </c>
      <c r="Z873" s="300">
        <f>'Non-Energy Use'!Y151*1000</f>
        <v>52.752405653835574</v>
      </c>
      <c r="AA873" s="300">
        <f>'Non-Energy Use'!Z151*1000</f>
        <v>27.117715464657536</v>
      </c>
      <c r="AB873" s="300">
        <f>'Non-Energy Use'!AA151*1000</f>
        <v>33.158063627231577</v>
      </c>
      <c r="AC873" s="300">
        <f>'Non-Energy Use'!AB151*1000</f>
        <v>18.987878516617091</v>
      </c>
      <c r="AD873" s="300">
        <f>'Non-Energy Use'!AC151*1000</f>
        <v>19.224579707671221</v>
      </c>
      <c r="AE873" s="300">
        <f>'Non-Energy Use'!AD151*1000</f>
        <v>18.615162584383565</v>
      </c>
      <c r="AF873" s="300">
        <f>'Non-Energy Use'!AE151*1000</f>
        <v>18.942249340907658</v>
      </c>
      <c r="AG873" s="300">
        <f>'Non-Energy Use'!AF151*1000</f>
        <v>4.899794926851115</v>
      </c>
      <c r="AH873" s="300">
        <f>'Non-Energy Use'!AG151*1000</f>
        <v>5.0669493378078139</v>
      </c>
      <c r="AI873" s="300">
        <f>'Non-Energy Use'!AH151*1000</f>
        <v>5.2028129207076095</v>
      </c>
      <c r="AJ873" s="300">
        <f>'Non-Energy Use'!AI151*1000</f>
        <v>7.2450989999999996E-3</v>
      </c>
      <c r="AK873" s="300">
        <f>'Non-Energy Use'!AJ151*1000</f>
        <v>8.3890619999999992E-3</v>
      </c>
      <c r="AL873" s="300">
        <f>'Non-Energy Use'!AK151*1000</f>
        <v>8.3890619999999992E-3</v>
      </c>
      <c r="AM873" s="315"/>
      <c r="AN873" s="315"/>
    </row>
    <row r="874" spans="1:40" ht="12.6">
      <c r="A874" s="990" t="s">
        <v>1001</v>
      </c>
      <c r="B874" s="991" t="s">
        <v>823</v>
      </c>
      <c r="C874" s="991"/>
      <c r="D874" s="315"/>
      <c r="E874" s="991" t="s">
        <v>122</v>
      </c>
      <c r="F874" s="300">
        <f>'Non-Energy Use'!E95*1055.05585262</f>
        <v>52867.318562281194</v>
      </c>
      <c r="G874" s="300">
        <f>'Non-Energy Use'!F95*1055.05585262</f>
        <v>67308.671226928403</v>
      </c>
      <c r="H874" s="300">
        <f>'Non-Energy Use'!G95*1055.05585262</f>
        <v>35991.970759591117</v>
      </c>
      <c r="I874" s="300">
        <f>'Non-Energy Use'!H95*1055.05585262</f>
        <v>39143.205302096212</v>
      </c>
      <c r="J874" s="300">
        <f>'Non-Energy Use'!I95*1055.05585262</f>
        <v>30066.537549677916</v>
      </c>
      <c r="K874" s="300">
        <f>'Non-Energy Use'!J95*1055.05585262</f>
        <v>56373.355311764419</v>
      </c>
      <c r="L874" s="300">
        <f>'Non-Energy Use'!K95*1055.05585262</f>
        <v>75196.183294453149</v>
      </c>
      <c r="M874" s="300">
        <f>'Non-Energy Use'!L95*1055.05585262</f>
        <v>79059.890427617604</v>
      </c>
      <c r="N874" s="300">
        <f>'Non-Energy Use'!M95*1055.05585262</f>
        <v>79482.894206355049</v>
      </c>
      <c r="O874" s="300">
        <f>'Non-Energy Use'!N95*1055.05585262</f>
        <v>141236.49455220252</v>
      </c>
      <c r="P874" s="300">
        <f>'Non-Energy Use'!O95*1055.05585262</f>
        <v>145302.56724106398</v>
      </c>
      <c r="Q874" s="300">
        <f>'Non-Energy Use'!P95*1055.05585262</f>
        <v>87568.319638036817</v>
      </c>
      <c r="R874" s="300">
        <f>'Non-Energy Use'!Q95*1055.05585262</f>
        <v>144760.72687874132</v>
      </c>
      <c r="S874" s="300">
        <f>'Non-Energy Use'!R95*1055.05585262</f>
        <v>122140.28563120872</v>
      </c>
      <c r="T874" s="300">
        <f>'Non-Energy Use'!S95*1055.05585262</f>
        <v>114285.1500158328</v>
      </c>
      <c r="U874" s="300">
        <f>'Non-Energy Use'!T95*1055.05585262</f>
        <v>116422.74914144646</v>
      </c>
      <c r="V874" s="300">
        <f>'Non-Energy Use'!U95*1055.05585262</f>
        <v>97454.352310392263</v>
      </c>
      <c r="W874" s="300">
        <f>'Non-Energy Use'!V95*1055.05585262</f>
        <v>110827.0564000865</v>
      </c>
      <c r="X874" s="300">
        <f>'Non-Energy Use'!W95*1055.05585262</f>
        <v>79510.704711103564</v>
      </c>
      <c r="Y874" s="300">
        <f>'Non-Energy Use'!X95*1055.05585262</f>
        <v>41470.095551892053</v>
      </c>
      <c r="Z874" s="300">
        <f>'Non-Energy Use'!Y95*1055.05585262</f>
        <v>27828.367162431798</v>
      </c>
      <c r="AA874" s="300">
        <f>'Non-Energy Use'!Z95*1055.05585262</f>
        <v>14305.352205335406</v>
      </c>
      <c r="AB874" s="300">
        <f>'Non-Energy Use'!AA95*1055.05585262</f>
        <v>17491.804545728508</v>
      </c>
      <c r="AC874" s="300">
        <f>'Non-Energy Use'!AB95*1055.05585262</f>
        <v>10016.636178897212</v>
      </c>
      <c r="AD874" s="300">
        <f>'Non-Energy Use'!AC95*1055.05585262</f>
        <v>10141.502667369105</v>
      </c>
      <c r="AE874" s="300">
        <f>'Non-Energy Use'!AD95*1055.05585262</f>
        <v>9820.018116063362</v>
      </c>
      <c r="AF874" s="300">
        <f>'Non-Energy Use'!AE95*1055.05585262</f>
        <v>9992.5655144559787</v>
      </c>
      <c r="AG874" s="300">
        <f>'Non-Energy Use'!AF95*1055.05585262</f>
        <v>2584.7786571060265</v>
      </c>
      <c r="AH874" s="300">
        <f>'Non-Energy Use'!AG95*1055.05585262</f>
        <v>2672.9572768915832</v>
      </c>
      <c r="AI874" s="300">
        <f>'Non-Energy Use'!AH95*1055.05585262</f>
        <v>2744.6291110397597</v>
      </c>
      <c r="AJ874" s="300">
        <f>'Non-Energy Use'!AI95*1055.05585262</f>
        <v>3.8219920513806547</v>
      </c>
      <c r="AK874" s="300">
        <f>'Non-Energy Use'!AJ95*1055.05585262</f>
        <v>4.4254644805460206</v>
      </c>
      <c r="AL874" s="300">
        <f>'Non-Energy Use'!AK95*1055.05585262</f>
        <v>4.4254644805460206</v>
      </c>
      <c r="AM874" s="315"/>
      <c r="AN874" s="315"/>
    </row>
    <row r="875" spans="1:40" ht="12.6">
      <c r="A875" s="990" t="s">
        <v>1002</v>
      </c>
      <c r="B875" s="991" t="s">
        <v>825</v>
      </c>
      <c r="C875" s="991"/>
      <c r="D875" s="315"/>
      <c r="E875" s="315"/>
      <c r="F875" s="809" t="s">
        <v>826</v>
      </c>
      <c r="G875" s="809" t="s">
        <v>826</v>
      </c>
      <c r="H875" s="809" t="s">
        <v>826</v>
      </c>
      <c r="I875" s="809" t="s">
        <v>826</v>
      </c>
      <c r="J875" s="809" t="s">
        <v>826</v>
      </c>
      <c r="K875" s="809" t="s">
        <v>826</v>
      </c>
      <c r="L875" s="809" t="s">
        <v>826</v>
      </c>
      <c r="M875" s="809" t="s">
        <v>826</v>
      </c>
      <c r="N875" s="809" t="s">
        <v>826</v>
      </c>
      <c r="O875" s="809" t="s">
        <v>826</v>
      </c>
      <c r="P875" s="809" t="s">
        <v>826</v>
      </c>
      <c r="Q875" s="809" t="s">
        <v>826</v>
      </c>
      <c r="R875" s="809" t="s">
        <v>826</v>
      </c>
      <c r="S875" s="809" t="s">
        <v>826</v>
      </c>
      <c r="T875" s="809" t="s">
        <v>826</v>
      </c>
      <c r="U875" s="809" t="s">
        <v>826</v>
      </c>
      <c r="V875" s="809" t="s">
        <v>826</v>
      </c>
      <c r="W875" s="809" t="s">
        <v>826</v>
      </c>
      <c r="X875" s="809" t="s">
        <v>826</v>
      </c>
      <c r="Y875" s="809" t="s">
        <v>826</v>
      </c>
      <c r="Z875" s="809" t="s">
        <v>826</v>
      </c>
      <c r="AA875" s="809" t="s">
        <v>826</v>
      </c>
      <c r="AB875" s="809" t="s">
        <v>826</v>
      </c>
      <c r="AC875" s="809" t="s">
        <v>826</v>
      </c>
      <c r="AD875" s="809" t="s">
        <v>826</v>
      </c>
      <c r="AE875" s="809" t="s">
        <v>826</v>
      </c>
      <c r="AF875" s="809" t="s">
        <v>826</v>
      </c>
      <c r="AG875" s="809" t="s">
        <v>826</v>
      </c>
      <c r="AH875" s="809" t="s">
        <v>826</v>
      </c>
      <c r="AI875" s="809" t="s">
        <v>826</v>
      </c>
      <c r="AJ875" s="809" t="s">
        <v>826</v>
      </c>
      <c r="AK875" s="809" t="s">
        <v>826</v>
      </c>
      <c r="AL875" s="809" t="s">
        <v>826</v>
      </c>
      <c r="AM875" s="315"/>
      <c r="AN875" s="315"/>
    </row>
    <row r="876" spans="1:40" ht="12.6">
      <c r="A876" s="990" t="s">
        <v>1003</v>
      </c>
      <c r="B876" s="991" t="s">
        <v>134</v>
      </c>
      <c r="D876" s="315"/>
      <c r="E876" s="315"/>
      <c r="F876" s="809" t="s">
        <v>828</v>
      </c>
      <c r="G876" s="809" t="s">
        <v>828</v>
      </c>
      <c r="H876" s="809" t="s">
        <v>828</v>
      </c>
      <c r="I876" s="809" t="s">
        <v>828</v>
      </c>
      <c r="J876" s="809" t="s">
        <v>828</v>
      </c>
      <c r="K876" s="809" t="s">
        <v>828</v>
      </c>
      <c r="L876" s="809" t="s">
        <v>828</v>
      </c>
      <c r="M876" s="809" t="s">
        <v>828</v>
      </c>
      <c r="N876" s="809" t="s">
        <v>828</v>
      </c>
      <c r="O876" s="809" t="s">
        <v>828</v>
      </c>
      <c r="P876" s="809" t="s">
        <v>828</v>
      </c>
      <c r="Q876" s="809" t="s">
        <v>828</v>
      </c>
      <c r="R876" s="809" t="s">
        <v>828</v>
      </c>
      <c r="S876" s="809" t="s">
        <v>828</v>
      </c>
      <c r="T876" s="809" t="s">
        <v>828</v>
      </c>
      <c r="U876" s="809" t="s">
        <v>828</v>
      </c>
      <c r="V876" s="809" t="s">
        <v>828</v>
      </c>
      <c r="W876" s="809" t="s">
        <v>828</v>
      </c>
      <c r="X876" s="809" t="s">
        <v>828</v>
      </c>
      <c r="Y876" s="809" t="s">
        <v>828</v>
      </c>
      <c r="Z876" s="809" t="s">
        <v>828</v>
      </c>
      <c r="AA876" s="809" t="s">
        <v>828</v>
      </c>
      <c r="AB876" s="809" t="s">
        <v>828</v>
      </c>
      <c r="AC876" s="809" t="s">
        <v>828</v>
      </c>
      <c r="AD876" s="809" t="s">
        <v>828</v>
      </c>
      <c r="AE876" s="809" t="s">
        <v>828</v>
      </c>
      <c r="AF876" s="809" t="s">
        <v>828</v>
      </c>
      <c r="AG876" s="809" t="s">
        <v>828</v>
      </c>
      <c r="AH876" s="809" t="s">
        <v>828</v>
      </c>
      <c r="AI876" s="809" t="s">
        <v>828</v>
      </c>
      <c r="AJ876" s="809" t="s">
        <v>828</v>
      </c>
      <c r="AK876" s="809" t="s">
        <v>828</v>
      </c>
      <c r="AL876" s="809" t="s">
        <v>828</v>
      </c>
      <c r="AM876" s="315"/>
      <c r="AN876" s="315"/>
    </row>
    <row r="877" spans="1:40" s="797" customFormat="1" ht="12.95">
      <c r="A877" s="989" t="s">
        <v>1004</v>
      </c>
      <c r="B877" s="796"/>
      <c r="C877" s="796"/>
      <c r="D877" s="796"/>
      <c r="E877" s="796"/>
      <c r="F877" s="795"/>
      <c r="G877" s="795"/>
      <c r="H877" s="795"/>
      <c r="I877" s="795"/>
      <c r="J877" s="795"/>
      <c r="K877" s="795"/>
      <c r="L877" s="795"/>
      <c r="M877" s="795"/>
      <c r="N877" s="795"/>
      <c r="O877" s="795"/>
      <c r="P877" s="795"/>
      <c r="Q877" s="795"/>
      <c r="R877" s="795"/>
      <c r="S877" s="795"/>
      <c r="T877" s="795"/>
      <c r="U877" s="795"/>
      <c r="V877" s="795"/>
      <c r="W877" s="795"/>
      <c r="X877" s="795"/>
      <c r="Y877" s="795"/>
      <c r="Z877" s="795"/>
      <c r="AA877" s="795"/>
      <c r="AB877" s="795"/>
      <c r="AC877" s="795"/>
      <c r="AD877" s="795"/>
      <c r="AE877" s="795"/>
      <c r="AF877" s="795"/>
      <c r="AG877" s="795"/>
      <c r="AH877" s="795"/>
      <c r="AI877" s="795"/>
      <c r="AJ877" s="795"/>
      <c r="AK877" s="795"/>
      <c r="AL877" s="795"/>
      <c r="AM877" s="796"/>
      <c r="AN877" s="796"/>
    </row>
    <row r="878" spans="1:40" ht="12.6">
      <c r="A878" s="990" t="s">
        <v>1005</v>
      </c>
      <c r="B878" s="991" t="s">
        <v>128</v>
      </c>
      <c r="C878" s="991"/>
      <c r="D878" s="991" t="s">
        <v>129</v>
      </c>
      <c r="E878" s="991" t="s">
        <v>130</v>
      </c>
      <c r="F878" s="300" t="s">
        <v>99</v>
      </c>
      <c r="G878" s="300" t="s">
        <v>99</v>
      </c>
      <c r="H878" s="300" t="s">
        <v>99</v>
      </c>
      <c r="I878" s="300" t="s">
        <v>99</v>
      </c>
      <c r="J878" s="300" t="s">
        <v>99</v>
      </c>
      <c r="K878" s="300" t="s">
        <v>99</v>
      </c>
      <c r="L878" s="300" t="s">
        <v>99</v>
      </c>
      <c r="M878" s="300" t="s">
        <v>99</v>
      </c>
      <c r="N878" s="300" t="s">
        <v>99</v>
      </c>
      <c r="O878" s="300" t="s">
        <v>99</v>
      </c>
      <c r="P878" s="300" t="s">
        <v>99</v>
      </c>
      <c r="Q878" s="300" t="s">
        <v>99</v>
      </c>
      <c r="R878" s="300" t="s">
        <v>99</v>
      </c>
      <c r="S878" s="300" t="s">
        <v>99</v>
      </c>
      <c r="T878" s="300" t="s">
        <v>99</v>
      </c>
      <c r="U878" s="300" t="s">
        <v>99</v>
      </c>
      <c r="V878" s="300" t="s">
        <v>99</v>
      </c>
      <c r="W878" s="300" t="s">
        <v>99</v>
      </c>
      <c r="X878" s="300" t="s">
        <v>99</v>
      </c>
      <c r="Y878" s="300" t="s">
        <v>99</v>
      </c>
      <c r="Z878" s="300" t="s">
        <v>99</v>
      </c>
      <c r="AA878" s="300" t="s">
        <v>99</v>
      </c>
      <c r="AB878" s="300" t="s">
        <v>99</v>
      </c>
      <c r="AC878" s="300" t="s">
        <v>99</v>
      </c>
      <c r="AD878" s="300" t="s">
        <v>99</v>
      </c>
      <c r="AE878" s="300" t="s">
        <v>99</v>
      </c>
      <c r="AF878" s="300" t="s">
        <v>99</v>
      </c>
      <c r="AG878" s="300" t="s">
        <v>99</v>
      </c>
      <c r="AH878" s="300" t="s">
        <v>99</v>
      </c>
      <c r="AI878" s="300" t="s">
        <v>99</v>
      </c>
      <c r="AJ878" s="300" t="s">
        <v>99</v>
      </c>
      <c r="AK878" s="300" t="s">
        <v>99</v>
      </c>
      <c r="AL878" s="300" t="s">
        <v>99</v>
      </c>
      <c r="AM878" s="344" t="s">
        <v>818</v>
      </c>
      <c r="AN878" s="344"/>
    </row>
    <row r="879" spans="1:40" ht="12.6">
      <c r="A879" s="990" t="s">
        <v>1006</v>
      </c>
      <c r="B879" s="991" t="s">
        <v>820</v>
      </c>
      <c r="C879" s="991"/>
      <c r="D879" s="991" t="s">
        <v>109</v>
      </c>
      <c r="E879" s="991" t="s">
        <v>130</v>
      </c>
      <c r="F879" s="300">
        <f>'Non-Energy Use'!E139*1000</f>
        <v>7765.3775330102044</v>
      </c>
      <c r="G879" s="300">
        <f>'Non-Energy Use'!F139*1000</f>
        <v>8459.6381077619226</v>
      </c>
      <c r="H879" s="300">
        <f>'Non-Energy Use'!G139*1000</f>
        <v>7736.5734520245242</v>
      </c>
      <c r="I879" s="300">
        <f>'Non-Energy Use'!H139*1000</f>
        <v>8100.1137033403638</v>
      </c>
      <c r="J879" s="300">
        <f>'Non-Energy Use'!I139*1000</f>
        <v>7698.1602533055939</v>
      </c>
      <c r="K879" s="300">
        <f>'Non-Energy Use'!J139*1000</f>
        <v>7424.7559113277475</v>
      </c>
      <c r="L879" s="300">
        <f>'Non-Energy Use'!K139*1000</f>
        <v>6727.2030673317513</v>
      </c>
      <c r="M879" s="300">
        <f>'Non-Energy Use'!L139*1000</f>
        <v>7739.482331342746</v>
      </c>
      <c r="N879" s="300">
        <f>'Non-Energy Use'!M139*1000</f>
        <v>7497.2268416119323</v>
      </c>
      <c r="O879" s="300">
        <f>'Non-Energy Use'!N139*1000</f>
        <v>7591.4863490631578</v>
      </c>
      <c r="P879" s="300">
        <f>'Non-Energy Use'!O139*1000</f>
        <v>6647.7642495051377</v>
      </c>
      <c r="Q879" s="300">
        <f>'Non-Energy Use'!P139*1000</f>
        <v>6214.5299834738516</v>
      </c>
      <c r="R879" s="300">
        <f>'Non-Energy Use'!Q139*1000</f>
        <v>5442.567541476762</v>
      </c>
      <c r="S879" s="300">
        <f>'Non-Energy Use'!R139*1000</f>
        <v>5970.0160636703085</v>
      </c>
      <c r="T879" s="300">
        <f>'Non-Energy Use'!S139*1000</f>
        <v>6639.0925089028806</v>
      </c>
      <c r="U879" s="300">
        <f>'Non-Energy Use'!T139*1000</f>
        <v>6128.9573470375453</v>
      </c>
      <c r="V879" s="300">
        <f>'Non-Energy Use'!U139*1000</f>
        <v>7164.1606617868574</v>
      </c>
      <c r="W879" s="300">
        <f>'Non-Energy Use'!V139*1000</f>
        <v>8728.5696996895913</v>
      </c>
      <c r="X879" s="300">
        <f>'Non-Energy Use'!W139*1000</f>
        <v>7749.39237316462</v>
      </c>
      <c r="Y879" s="300">
        <f>'Non-Energy Use'!X139*1000</f>
        <v>5327.447141638977</v>
      </c>
      <c r="Z879" s="300">
        <f>'Non-Energy Use'!Y139*1000</f>
        <v>6028.8660662705715</v>
      </c>
      <c r="AA879" s="300">
        <f>'Non-Energy Use'!Z139*1000</f>
        <v>5124.3304523324223</v>
      </c>
      <c r="AB879" s="300">
        <f>'Non-Energy Use'!AA139*1000</f>
        <v>3758.2044253927907</v>
      </c>
      <c r="AC879" s="300">
        <f>'Non-Energy Use'!AB139*1000</f>
        <v>2850.8774929306278</v>
      </c>
      <c r="AD879" s="300">
        <f>'Non-Energy Use'!AC139*1000</f>
        <v>3205.6410313969814</v>
      </c>
      <c r="AE879" s="300">
        <f>'Non-Energy Use'!AD139*1000</f>
        <v>2964.4730518680726</v>
      </c>
      <c r="AF879" s="300">
        <f>'Non-Energy Use'!AE139*1000</f>
        <v>2850.2665703268417</v>
      </c>
      <c r="AG879" s="300">
        <f>'Non-Energy Use'!AF139*1000</f>
        <v>3234.0861011724942</v>
      </c>
      <c r="AH879" s="300">
        <f>'Non-Energy Use'!AG139*1000</f>
        <v>2798.1375925711541</v>
      </c>
      <c r="AI879" s="300">
        <f>'Non-Energy Use'!AH139*1000</f>
        <v>2758.6774822162388</v>
      </c>
      <c r="AJ879" s="300">
        <f>'Non-Energy Use'!AI139*1000</f>
        <v>2602.8792575547272</v>
      </c>
      <c r="AK879" s="300">
        <f>'Non-Energy Use'!AJ139*1000</f>
        <v>2470.401869857099</v>
      </c>
      <c r="AL879" s="300">
        <f>'Non-Energy Use'!AK139*1000</f>
        <v>1435.3527497521175</v>
      </c>
      <c r="AM879" s="315"/>
      <c r="AN879" s="315"/>
    </row>
    <row r="880" spans="1:40" ht="12.6">
      <c r="A880" s="990" t="s">
        <v>1007</v>
      </c>
      <c r="B880" s="991" t="s">
        <v>823</v>
      </c>
      <c r="C880" s="991"/>
      <c r="D880" s="315"/>
      <c r="E880" s="991" t="s">
        <v>122</v>
      </c>
      <c r="F880" s="300">
        <f>'Non-Energy Use'!E83*1055.05585262</f>
        <v>698180.81002311292</v>
      </c>
      <c r="G880" s="300">
        <f>'Non-Energy Use'!F83*1055.05585262</f>
        <v>782264.30639674119</v>
      </c>
      <c r="H880" s="300">
        <f>'Non-Energy Use'!G83*1055.05585262</f>
        <v>708585.18919481139</v>
      </c>
      <c r="I880" s="300">
        <f>'Non-Energy Use'!H83*1055.05585262</f>
        <v>701788.88907870965</v>
      </c>
      <c r="J880" s="300">
        <f>'Non-Energy Use'!I83*1055.05585262</f>
        <v>675939.36051698844</v>
      </c>
      <c r="K880" s="300">
        <f>'Non-Energy Use'!J83*1055.05585262</f>
        <v>631492.62139939761</v>
      </c>
      <c r="L880" s="300">
        <f>'Non-Energy Use'!K83*1055.05585262</f>
        <v>551232.47476068826</v>
      </c>
      <c r="M880" s="300">
        <f>'Non-Energy Use'!L83*1055.05585262</f>
        <v>676077.59547184152</v>
      </c>
      <c r="N880" s="300">
        <f>'Non-Energy Use'!M83*1055.05585262</f>
        <v>650056.33101368044</v>
      </c>
      <c r="O880" s="300">
        <f>'Non-Energy Use'!N83*1055.05585262</f>
        <v>672649.37330743822</v>
      </c>
      <c r="P880" s="300">
        <f>'Non-Energy Use'!O83*1055.05585262</f>
        <v>562056.9434293136</v>
      </c>
      <c r="Q880" s="300">
        <f>'Non-Energy Use'!P83*1055.05585262</f>
        <v>534361.10201555723</v>
      </c>
      <c r="R880" s="300">
        <f>'Non-Energy Use'!Q83*1055.05585262</f>
        <v>460487.5528804466</v>
      </c>
      <c r="S880" s="300">
        <f>'Non-Energy Use'!R83*1055.05585262</f>
        <v>508668.12282583385</v>
      </c>
      <c r="T880" s="300">
        <f>'Non-Energy Use'!S83*1055.05585262</f>
        <v>556821.14364247117</v>
      </c>
      <c r="U880" s="300">
        <f>'Non-Energy Use'!T83*1055.05585262</f>
        <v>526964.07756788586</v>
      </c>
      <c r="V880" s="300">
        <f>'Non-Energy Use'!U83*1055.05585262</f>
        <v>605434.12885761179</v>
      </c>
      <c r="W880" s="300">
        <f>'Non-Energy Use'!V83*1055.05585262</f>
        <v>705675.44028685801</v>
      </c>
      <c r="X880" s="300">
        <f>'Non-Energy Use'!W83*1055.05585262</f>
        <v>632383.23870772438</v>
      </c>
      <c r="Y880" s="300">
        <f>'Non-Energy Use'!X83*1055.05585262</f>
        <v>414782.35829494509</v>
      </c>
      <c r="Z880" s="300">
        <f>'Non-Energy Use'!Y83*1055.05585262</f>
        <v>457145.63202620891</v>
      </c>
      <c r="AA880" s="300">
        <f>'Non-Energy Use'!Z83*1055.05585262</f>
        <v>388818.67132955749</v>
      </c>
      <c r="AB880" s="300">
        <f>'Non-Energy Use'!AA83*1055.05585262</f>
        <v>282331.3891632189</v>
      </c>
      <c r="AC880" s="300">
        <f>'Non-Energy Use'!AB83*1055.05585262</f>
        <v>220848.43605673703</v>
      </c>
      <c r="AD880" s="300">
        <f>'Non-Energy Use'!AC83*1055.05585262</f>
        <v>249469.38673039485</v>
      </c>
      <c r="AE880" s="300">
        <f>'Non-Energy Use'!AD83*1055.05585262</f>
        <v>229038.83623038465</v>
      </c>
      <c r="AF880" s="300">
        <f>'Non-Energy Use'!AE83*1055.05585262</f>
        <v>215994.31027295056</v>
      </c>
      <c r="AG880" s="300">
        <f>'Non-Energy Use'!AF83*1055.05585262</f>
        <v>256283.77800577803</v>
      </c>
      <c r="AH880" s="300">
        <f>'Non-Energy Use'!AG83*1055.05585262</f>
        <v>231150.05508943505</v>
      </c>
      <c r="AI880" s="300">
        <f>'Non-Energy Use'!AH83*1055.05585262</f>
        <v>223480.04963343759</v>
      </c>
      <c r="AJ880" s="300">
        <f>'Non-Energy Use'!AI83*1055.05585262</f>
        <v>206160.52370363343</v>
      </c>
      <c r="AK880" s="300">
        <f>'Non-Energy Use'!AJ83*1055.05585262</f>
        <v>206669.54956628112</v>
      </c>
      <c r="AL880" s="300">
        <f>'Non-Energy Use'!AK83*1055.05585262</f>
        <v>118647.33154349907</v>
      </c>
      <c r="AM880" s="315"/>
      <c r="AN880" s="315"/>
    </row>
    <row r="881" spans="1:40" ht="12.6">
      <c r="A881" s="990" t="s">
        <v>1008</v>
      </c>
      <c r="B881" s="991" t="s">
        <v>825</v>
      </c>
      <c r="C881" s="991"/>
      <c r="D881" s="315"/>
      <c r="E881" s="315"/>
      <c r="F881" s="809" t="s">
        <v>826</v>
      </c>
      <c r="G881" s="809" t="s">
        <v>826</v>
      </c>
      <c r="H881" s="809" t="s">
        <v>826</v>
      </c>
      <c r="I881" s="809" t="s">
        <v>826</v>
      </c>
      <c r="J881" s="809" t="s">
        <v>826</v>
      </c>
      <c r="K881" s="809" t="s">
        <v>826</v>
      </c>
      <c r="L881" s="809" t="s">
        <v>826</v>
      </c>
      <c r="M881" s="809" t="s">
        <v>826</v>
      </c>
      <c r="N881" s="809" t="s">
        <v>826</v>
      </c>
      <c r="O881" s="809" t="s">
        <v>826</v>
      </c>
      <c r="P881" s="809" t="s">
        <v>826</v>
      </c>
      <c r="Q881" s="809" t="s">
        <v>826</v>
      </c>
      <c r="R881" s="809" t="s">
        <v>826</v>
      </c>
      <c r="S881" s="809" t="s">
        <v>826</v>
      </c>
      <c r="T881" s="809" t="s">
        <v>826</v>
      </c>
      <c r="U881" s="809" t="s">
        <v>826</v>
      </c>
      <c r="V881" s="809" t="s">
        <v>826</v>
      </c>
      <c r="W881" s="809" t="s">
        <v>826</v>
      </c>
      <c r="X881" s="809" t="s">
        <v>826</v>
      </c>
      <c r="Y881" s="809" t="s">
        <v>826</v>
      </c>
      <c r="Z881" s="809" t="s">
        <v>826</v>
      </c>
      <c r="AA881" s="809" t="s">
        <v>826</v>
      </c>
      <c r="AB881" s="809" t="s">
        <v>826</v>
      </c>
      <c r="AC881" s="809" t="s">
        <v>826</v>
      </c>
      <c r="AD881" s="809" t="s">
        <v>826</v>
      </c>
      <c r="AE881" s="809" t="s">
        <v>826</v>
      </c>
      <c r="AF881" s="809" t="s">
        <v>826</v>
      </c>
      <c r="AG881" s="809" t="s">
        <v>826</v>
      </c>
      <c r="AH881" s="809" t="s">
        <v>826</v>
      </c>
      <c r="AI881" s="809" t="s">
        <v>826</v>
      </c>
      <c r="AJ881" s="809" t="s">
        <v>826</v>
      </c>
      <c r="AK881" s="809" t="s">
        <v>826</v>
      </c>
      <c r="AL881" s="809" t="s">
        <v>826</v>
      </c>
      <c r="AM881" s="315"/>
      <c r="AN881" s="315"/>
    </row>
    <row r="882" spans="1:40" ht="12.6">
      <c r="A882" s="990" t="s">
        <v>1009</v>
      </c>
      <c r="B882" s="991" t="s">
        <v>134</v>
      </c>
      <c r="D882" s="315"/>
      <c r="E882" s="315"/>
      <c r="F882" s="809" t="s">
        <v>828</v>
      </c>
      <c r="G882" s="809" t="s">
        <v>828</v>
      </c>
      <c r="H882" s="809" t="s">
        <v>828</v>
      </c>
      <c r="I882" s="809" t="s">
        <v>828</v>
      </c>
      <c r="J882" s="809" t="s">
        <v>828</v>
      </c>
      <c r="K882" s="809" t="s">
        <v>828</v>
      </c>
      <c r="L882" s="809" t="s">
        <v>828</v>
      </c>
      <c r="M882" s="809" t="s">
        <v>828</v>
      </c>
      <c r="N882" s="809" t="s">
        <v>828</v>
      </c>
      <c r="O882" s="809" t="s">
        <v>828</v>
      </c>
      <c r="P882" s="809" t="s">
        <v>828</v>
      </c>
      <c r="Q882" s="809" t="s">
        <v>828</v>
      </c>
      <c r="R882" s="809" t="s">
        <v>828</v>
      </c>
      <c r="S882" s="809" t="s">
        <v>828</v>
      </c>
      <c r="T882" s="809" t="s">
        <v>828</v>
      </c>
      <c r="U882" s="809" t="s">
        <v>828</v>
      </c>
      <c r="V882" s="809" t="s">
        <v>828</v>
      </c>
      <c r="W882" s="809" t="s">
        <v>828</v>
      </c>
      <c r="X882" s="809" t="s">
        <v>828</v>
      </c>
      <c r="Y882" s="809" t="s">
        <v>828</v>
      </c>
      <c r="Z882" s="809" t="s">
        <v>828</v>
      </c>
      <c r="AA882" s="809" t="s">
        <v>828</v>
      </c>
      <c r="AB882" s="809" t="s">
        <v>828</v>
      </c>
      <c r="AC882" s="809" t="s">
        <v>828</v>
      </c>
      <c r="AD882" s="809" t="s">
        <v>828</v>
      </c>
      <c r="AE882" s="809" t="s">
        <v>828</v>
      </c>
      <c r="AF882" s="809" t="s">
        <v>828</v>
      </c>
      <c r="AG882" s="809" t="s">
        <v>828</v>
      </c>
      <c r="AH882" s="809" t="s">
        <v>828</v>
      </c>
      <c r="AI882" s="809" t="s">
        <v>828</v>
      </c>
      <c r="AJ882" s="809" t="s">
        <v>828</v>
      </c>
      <c r="AK882" s="809" t="s">
        <v>828</v>
      </c>
      <c r="AL882" s="809" t="s">
        <v>828</v>
      </c>
      <c r="AM882" s="315"/>
      <c r="AN882" s="315"/>
    </row>
    <row r="883" spans="1:40" s="797" customFormat="1" ht="12.95">
      <c r="A883" s="989" t="s">
        <v>1010</v>
      </c>
      <c r="B883" s="796"/>
      <c r="C883" s="796"/>
      <c r="D883" s="796"/>
      <c r="E883" s="796"/>
      <c r="F883" s="795"/>
      <c r="G883" s="795"/>
      <c r="H883" s="795"/>
      <c r="I883" s="795"/>
      <c r="J883" s="795"/>
      <c r="K883" s="795"/>
      <c r="L883" s="795"/>
      <c r="M883" s="795"/>
      <c r="N883" s="795"/>
      <c r="O883" s="795"/>
      <c r="P883" s="795"/>
      <c r="Q883" s="795"/>
      <c r="R883" s="795"/>
      <c r="S883" s="795"/>
      <c r="T883" s="795"/>
      <c r="U883" s="795"/>
      <c r="V883" s="795"/>
      <c r="W883" s="795"/>
      <c r="X883" s="795"/>
      <c r="Y883" s="795"/>
      <c r="Z883" s="795"/>
      <c r="AA883" s="795"/>
      <c r="AB883" s="795"/>
      <c r="AC883" s="795"/>
      <c r="AD883" s="795"/>
      <c r="AE883" s="795"/>
      <c r="AF883" s="795"/>
      <c r="AG883" s="795"/>
      <c r="AH883" s="795"/>
      <c r="AI883" s="795"/>
      <c r="AJ883" s="795"/>
      <c r="AK883" s="795"/>
      <c r="AL883" s="795"/>
      <c r="AM883" s="796"/>
      <c r="AN883" s="796"/>
    </row>
    <row r="884" spans="1:40" ht="12.6">
      <c r="A884" s="990" t="s">
        <v>1011</v>
      </c>
      <c r="B884" s="991" t="s">
        <v>128</v>
      </c>
      <c r="C884" s="991"/>
      <c r="D884" s="991" t="s">
        <v>129</v>
      </c>
      <c r="E884" s="991" t="s">
        <v>130</v>
      </c>
      <c r="F884" s="300" t="s">
        <v>99</v>
      </c>
      <c r="G884" s="300" t="s">
        <v>99</v>
      </c>
      <c r="H884" s="300" t="s">
        <v>99</v>
      </c>
      <c r="I884" s="300" t="s">
        <v>99</v>
      </c>
      <c r="J884" s="300" t="s">
        <v>99</v>
      </c>
      <c r="K884" s="300" t="s">
        <v>99</v>
      </c>
      <c r="L884" s="300" t="s">
        <v>99</v>
      </c>
      <c r="M884" s="300" t="s">
        <v>99</v>
      </c>
      <c r="N884" s="300" t="s">
        <v>99</v>
      </c>
      <c r="O884" s="300" t="s">
        <v>99</v>
      </c>
      <c r="P884" s="300" t="s">
        <v>99</v>
      </c>
      <c r="Q884" s="300" t="s">
        <v>99</v>
      </c>
      <c r="R884" s="300" t="s">
        <v>99</v>
      </c>
      <c r="S884" s="300" t="s">
        <v>99</v>
      </c>
      <c r="T884" s="300" t="s">
        <v>99</v>
      </c>
      <c r="U884" s="300" t="s">
        <v>99</v>
      </c>
      <c r="V884" s="300" t="s">
        <v>99</v>
      </c>
      <c r="W884" s="300" t="s">
        <v>99</v>
      </c>
      <c r="X884" s="300" t="s">
        <v>99</v>
      </c>
      <c r="Y884" s="300" t="s">
        <v>99</v>
      </c>
      <c r="Z884" s="300" t="s">
        <v>99</v>
      </c>
      <c r="AA884" s="300" t="s">
        <v>99</v>
      </c>
      <c r="AB884" s="300" t="s">
        <v>99</v>
      </c>
      <c r="AC884" s="300" t="s">
        <v>99</v>
      </c>
      <c r="AD884" s="300" t="s">
        <v>99</v>
      </c>
      <c r="AE884" s="300" t="s">
        <v>99</v>
      </c>
      <c r="AF884" s="300" t="s">
        <v>99</v>
      </c>
      <c r="AG884" s="300" t="s">
        <v>99</v>
      </c>
      <c r="AH884" s="300" t="s">
        <v>99</v>
      </c>
      <c r="AI884" s="300" t="s">
        <v>99</v>
      </c>
      <c r="AJ884" s="300" t="s">
        <v>99</v>
      </c>
      <c r="AK884" s="300" t="s">
        <v>99</v>
      </c>
      <c r="AL884" s="300" t="s">
        <v>99</v>
      </c>
      <c r="AM884" s="344" t="s">
        <v>818</v>
      </c>
      <c r="AN884" s="344"/>
    </row>
    <row r="885" spans="1:40" ht="12.6">
      <c r="A885" s="990" t="s">
        <v>1012</v>
      </c>
      <c r="B885" s="991" t="s">
        <v>820</v>
      </c>
      <c r="C885" s="991"/>
      <c r="D885" s="991" t="s">
        <v>109</v>
      </c>
      <c r="E885" s="991" t="s">
        <v>130</v>
      </c>
      <c r="F885" s="300">
        <f>'Non-Energy Use'!E145*1000</f>
        <v>381.17608130454528</v>
      </c>
      <c r="G885" s="300">
        <f>'Non-Energy Use'!F145*1000</f>
        <v>402.09196205454526</v>
      </c>
      <c r="H885" s="300">
        <f>'Non-Energy Use'!G145*1000</f>
        <v>426.49382292954527</v>
      </c>
      <c r="I885" s="300">
        <f>'Non-Energy Use'!H145*1000</f>
        <v>458.1845513386362</v>
      </c>
      <c r="J885" s="300">
        <f>'Non-Energy Use'!I145*1000</f>
        <v>464.58607847727257</v>
      </c>
      <c r="K885" s="300">
        <f>'Non-Energy Use'!J145*1000</f>
        <v>464.64945993409071</v>
      </c>
      <c r="L885" s="300">
        <f>'Non-Energy Use'!K145*1000</f>
        <v>557.05962397499979</v>
      </c>
      <c r="M885" s="300">
        <f>'Non-Energy Use'!L145*1000</f>
        <v>500.71350886363621</v>
      </c>
      <c r="N885" s="300">
        <f>'Non-Energy Use'!M145*1000</f>
        <v>484.99490757272707</v>
      </c>
      <c r="O885" s="300">
        <f>'Non-Energy Use'!N145*1000</f>
        <v>428.52202954772713</v>
      </c>
      <c r="P885" s="300">
        <f>'Non-Energy Use'!O145*1000</f>
        <v>378.70420448863626</v>
      </c>
      <c r="Q885" s="300">
        <f>'Non-Energy Use'!P145*1000</f>
        <v>415.90911964090895</v>
      </c>
      <c r="R885" s="300">
        <f>'Non-Energy Use'!Q145*1000</f>
        <v>368.24626411363613</v>
      </c>
      <c r="S885" s="300">
        <f>'Non-Energy Use'!R145*1000</f>
        <v>355.3798283795453</v>
      </c>
      <c r="T885" s="300">
        <f>'Non-Energy Use'!S145*1000</f>
        <v>352.21075553863625</v>
      </c>
      <c r="U885" s="300">
        <f>'Non-Energy Use'!T145*1000</f>
        <v>359.05994590677943</v>
      </c>
      <c r="V885" s="300">
        <f>'Non-Energy Use'!U145*1000</f>
        <v>299.28742923982486</v>
      </c>
      <c r="W885" s="300">
        <f>'Non-Energy Use'!V145*1000</f>
        <v>250.53333517051357</v>
      </c>
      <c r="X885" s="300">
        <f>'Non-Energy Use'!W145*1000</f>
        <v>219.11920343897719</v>
      </c>
      <c r="Y885" s="300">
        <f>'Non-Energy Use'!X145*1000</f>
        <v>139.91158699766584</v>
      </c>
      <c r="Z885" s="300">
        <f>'Non-Energy Use'!Y145*1000</f>
        <v>195.54415366817037</v>
      </c>
      <c r="AA885" s="300">
        <f>'Non-Energy Use'!Z145*1000</f>
        <v>172.5614036113295</v>
      </c>
      <c r="AB885" s="300">
        <f>'Non-Energy Use'!AA145*1000</f>
        <v>175.03556215968402</v>
      </c>
      <c r="AC885" s="300">
        <f>'Non-Energy Use'!AB145*1000</f>
        <v>188.74535155819765</v>
      </c>
      <c r="AD885" s="300">
        <f>'Non-Energy Use'!AC145*1000</f>
        <v>169.22494034296358</v>
      </c>
      <c r="AE885" s="300">
        <f>'Non-Energy Use'!AD145*1000</f>
        <v>141.45372122350904</v>
      </c>
      <c r="AF885" s="300">
        <f>'Non-Energy Use'!AE145*1000</f>
        <v>147.0823748777045</v>
      </c>
      <c r="AG885" s="300">
        <f>'Non-Energy Use'!AF145*1000</f>
        <v>116.31923408914766</v>
      </c>
      <c r="AH885" s="300">
        <f>'Non-Energy Use'!AG145*1000</f>
        <v>142.07568345926586</v>
      </c>
      <c r="AI885" s="300">
        <f>'Non-Energy Use'!AH145*1000</f>
        <v>119.31888829598175</v>
      </c>
      <c r="AJ885" s="300">
        <f>'Non-Energy Use'!AI145*1000</f>
        <v>105.37312973373405</v>
      </c>
      <c r="AK885" s="300">
        <f>'Non-Energy Use'!AJ145*1000</f>
        <v>134.97252359365223</v>
      </c>
      <c r="AL885" s="300">
        <f>'Non-Energy Use'!AK145*1000</f>
        <v>149.24862630883629</v>
      </c>
      <c r="AM885" s="315"/>
      <c r="AN885" s="315"/>
    </row>
    <row r="886" spans="1:40" ht="12.6">
      <c r="A886" s="990" t="s">
        <v>1013</v>
      </c>
      <c r="B886" s="991" t="s">
        <v>823</v>
      </c>
      <c r="C886" s="991"/>
      <c r="D886" s="315"/>
      <c r="E886" s="991" t="s">
        <v>122</v>
      </c>
      <c r="F886" s="300">
        <f>'Non-Energy Use'!E89*1055.05585262</f>
        <v>35132.851355325038</v>
      </c>
      <c r="G886" s="300">
        <f>'Non-Energy Use'!F89*1055.05585262</f>
        <v>37060.659959790828</v>
      </c>
      <c r="H886" s="300">
        <f>'Non-Energy Use'!G89*1055.05585262</f>
        <v>39309.769998334254</v>
      </c>
      <c r="I886" s="300">
        <f>'Non-Energy Use'!H89*1055.05585262</f>
        <v>42230.692126312715</v>
      </c>
      <c r="J886" s="300">
        <f>'Non-Energy Use'!I89*1055.05585262</f>
        <v>42820.718396164368</v>
      </c>
      <c r="K886" s="300">
        <f>'Non-Energy Use'!J89*1055.05585262</f>
        <v>42826.560240420324</v>
      </c>
      <c r="L886" s="300">
        <f>'Non-Energy Use'!K89*1055.05585262</f>
        <v>51343.969165605544</v>
      </c>
      <c r="M886" s="300">
        <f>'Non-Energy Use'!L89*1055.05585262</f>
        <v>46150.569622059826</v>
      </c>
      <c r="N886" s="300">
        <f>'Non-Energy Use'!M89*1055.05585262</f>
        <v>44701.792246582503</v>
      </c>
      <c r="O886" s="300">
        <f>'Non-Energy Use'!N89*1055.05585262</f>
        <v>39496.709014524873</v>
      </c>
      <c r="P886" s="300">
        <f>'Non-Energy Use'!O89*1055.05585262</f>
        <v>34905.019429342719</v>
      </c>
      <c r="Q886" s="300">
        <f>'Non-Energy Use'!P89*1055.05585262</f>
        <v>38334.182007589436</v>
      </c>
      <c r="R886" s="300">
        <f>'Non-Energy Use'!Q89*1055.05585262</f>
        <v>33941.115127109821</v>
      </c>
      <c r="S886" s="300">
        <f>'Non-Energy Use'!R89*1055.05585262</f>
        <v>32755.220743150563</v>
      </c>
      <c r="T886" s="300">
        <f>'Non-Energy Use'!S89*1055.05585262</f>
        <v>32463.128530352715</v>
      </c>
      <c r="U886" s="300">
        <f>'Non-Energy Use'!T89*1055.05585262</f>
        <v>33094.41574618419</v>
      </c>
      <c r="V886" s="300">
        <f>'Non-Energy Use'!U89*1055.05585262</f>
        <v>27585.206102161435</v>
      </c>
      <c r="W886" s="300">
        <f>'Non-Energy Use'!V89*1055.05585262</f>
        <v>23091.560189127009</v>
      </c>
      <c r="X886" s="300">
        <f>'Non-Energy Use'!W89*1055.05585262</f>
        <v>20196.131869481535</v>
      </c>
      <c r="Y886" s="300">
        <f>'Non-Energy Use'!X89*1055.05585262</f>
        <v>12895.596628344912</v>
      </c>
      <c r="Z886" s="300">
        <f>'Non-Energy Use'!Y89*1055.05585262</f>
        <v>18023.228689257074</v>
      </c>
      <c r="AA886" s="300">
        <f>'Non-Energy Use'!Z89*1055.05585262</f>
        <v>15904.917543604526</v>
      </c>
      <c r="AB886" s="300">
        <f>'Non-Energy Use'!AA89*1055.05585262</f>
        <v>16132.959775980062</v>
      </c>
      <c r="AC886" s="300">
        <f>'Non-Energy Use'!AB89*1055.05585262</f>
        <v>17396.585739609083</v>
      </c>
      <c r="AD886" s="300">
        <f>'Non-Energy Use'!AC89*1055.05585262</f>
        <v>15597.397020126697</v>
      </c>
      <c r="AE886" s="300">
        <f>'Non-Energy Use'!AD89*1055.05585262</f>
        <v>13037.734540936603</v>
      </c>
      <c r="AF886" s="300">
        <f>'Non-Energy Use'!AE89*1055.05585262</f>
        <v>13556.525361931115</v>
      </c>
      <c r="AG886" s="300">
        <f>'Non-Energy Use'!AF89*1055.05585262</f>
        <v>10721.098624638573</v>
      </c>
      <c r="AH886" s="300">
        <f>'Non-Energy Use'!AG89*1055.05585262</f>
        <v>13095.060558620309</v>
      </c>
      <c r="AI886" s="300">
        <f>'Non-Energy Use'!AH89*1055.05585262</f>
        <v>10997.575587740248</v>
      </c>
      <c r="AJ886" s="300">
        <f>'Non-Energy Use'!AI89*1055.05585262</f>
        <v>9712.2004379462996</v>
      </c>
      <c r="AK886" s="300">
        <f>'Non-Energy Use'!AJ89*1055.05585262</f>
        <v>12440.365072855215</v>
      </c>
      <c r="AL886" s="300">
        <f>'Non-Energy Use'!AK89*1055.05585262</f>
        <v>13756.187914911212</v>
      </c>
      <c r="AM886" s="315"/>
      <c r="AN886" s="315"/>
    </row>
    <row r="887" spans="1:40" ht="12.6">
      <c r="A887" s="990" t="s">
        <v>1014</v>
      </c>
      <c r="B887" s="991" t="s">
        <v>825</v>
      </c>
      <c r="C887" s="991"/>
      <c r="D887" s="315"/>
      <c r="E887" s="315"/>
      <c r="F887" s="809" t="s">
        <v>826</v>
      </c>
      <c r="G887" s="809" t="s">
        <v>826</v>
      </c>
      <c r="H887" s="809" t="s">
        <v>826</v>
      </c>
      <c r="I887" s="809" t="s">
        <v>826</v>
      </c>
      <c r="J887" s="809" t="s">
        <v>826</v>
      </c>
      <c r="K887" s="809" t="s">
        <v>826</v>
      </c>
      <c r="L887" s="809" t="s">
        <v>826</v>
      </c>
      <c r="M887" s="809" t="s">
        <v>826</v>
      </c>
      <c r="N887" s="809" t="s">
        <v>826</v>
      </c>
      <c r="O887" s="809" t="s">
        <v>826</v>
      </c>
      <c r="P887" s="809" t="s">
        <v>826</v>
      </c>
      <c r="Q887" s="809" t="s">
        <v>826</v>
      </c>
      <c r="R887" s="809" t="s">
        <v>826</v>
      </c>
      <c r="S887" s="809" t="s">
        <v>826</v>
      </c>
      <c r="T887" s="809" t="s">
        <v>826</v>
      </c>
      <c r="U887" s="809" t="s">
        <v>826</v>
      </c>
      <c r="V887" s="809" t="s">
        <v>826</v>
      </c>
      <c r="W887" s="809" t="s">
        <v>826</v>
      </c>
      <c r="X887" s="809" t="s">
        <v>826</v>
      </c>
      <c r="Y887" s="809" t="s">
        <v>826</v>
      </c>
      <c r="Z887" s="809" t="s">
        <v>826</v>
      </c>
      <c r="AA887" s="809" t="s">
        <v>826</v>
      </c>
      <c r="AB887" s="809" t="s">
        <v>826</v>
      </c>
      <c r="AC887" s="809" t="s">
        <v>826</v>
      </c>
      <c r="AD887" s="809" t="s">
        <v>826</v>
      </c>
      <c r="AE887" s="809" t="s">
        <v>826</v>
      </c>
      <c r="AF887" s="809" t="s">
        <v>826</v>
      </c>
      <c r="AG887" s="809" t="s">
        <v>826</v>
      </c>
      <c r="AH887" s="809" t="s">
        <v>826</v>
      </c>
      <c r="AI887" s="809" t="s">
        <v>826</v>
      </c>
      <c r="AJ887" s="809" t="s">
        <v>826</v>
      </c>
      <c r="AK887" s="809" t="s">
        <v>826</v>
      </c>
      <c r="AL887" s="809" t="s">
        <v>826</v>
      </c>
      <c r="AM887" s="315"/>
      <c r="AN887" s="315"/>
    </row>
    <row r="888" spans="1:40" ht="12.6">
      <c r="A888" s="990" t="s">
        <v>1015</v>
      </c>
      <c r="B888" s="991" t="s">
        <v>134</v>
      </c>
      <c r="D888" s="315"/>
      <c r="E888" s="315"/>
      <c r="F888" s="809" t="s">
        <v>828</v>
      </c>
      <c r="G888" s="809" t="s">
        <v>828</v>
      </c>
      <c r="H888" s="809" t="s">
        <v>828</v>
      </c>
      <c r="I888" s="809" t="s">
        <v>828</v>
      </c>
      <c r="J888" s="809" t="s">
        <v>828</v>
      </c>
      <c r="K888" s="809" t="s">
        <v>828</v>
      </c>
      <c r="L888" s="809" t="s">
        <v>828</v>
      </c>
      <c r="M888" s="809" t="s">
        <v>828</v>
      </c>
      <c r="N888" s="809" t="s">
        <v>828</v>
      </c>
      <c r="O888" s="809" t="s">
        <v>828</v>
      </c>
      <c r="P888" s="809" t="s">
        <v>828</v>
      </c>
      <c r="Q888" s="809" t="s">
        <v>828</v>
      </c>
      <c r="R888" s="809" t="s">
        <v>828</v>
      </c>
      <c r="S888" s="809" t="s">
        <v>828</v>
      </c>
      <c r="T888" s="809" t="s">
        <v>828</v>
      </c>
      <c r="U888" s="809" t="s">
        <v>828</v>
      </c>
      <c r="V888" s="809" t="s">
        <v>828</v>
      </c>
      <c r="W888" s="809" t="s">
        <v>828</v>
      </c>
      <c r="X888" s="809" t="s">
        <v>828</v>
      </c>
      <c r="Y888" s="809" t="s">
        <v>828</v>
      </c>
      <c r="Z888" s="809" t="s">
        <v>828</v>
      </c>
      <c r="AA888" s="809" t="s">
        <v>828</v>
      </c>
      <c r="AB888" s="809" t="s">
        <v>828</v>
      </c>
      <c r="AC888" s="809" t="s">
        <v>828</v>
      </c>
      <c r="AD888" s="809" t="s">
        <v>828</v>
      </c>
      <c r="AE888" s="809" t="s">
        <v>828</v>
      </c>
      <c r="AF888" s="809" t="s">
        <v>828</v>
      </c>
      <c r="AG888" s="809" t="s">
        <v>828</v>
      </c>
      <c r="AH888" s="809" t="s">
        <v>828</v>
      </c>
      <c r="AI888" s="809" t="s">
        <v>828</v>
      </c>
      <c r="AJ888" s="809" t="s">
        <v>828</v>
      </c>
      <c r="AK888" s="809" t="s">
        <v>828</v>
      </c>
      <c r="AL888" s="809" t="s">
        <v>828</v>
      </c>
      <c r="AM888" s="315"/>
      <c r="AN888" s="315"/>
    </row>
    <row r="889" spans="1:40" s="797" customFormat="1" ht="12.95">
      <c r="A889" s="989" t="s">
        <v>1016</v>
      </c>
      <c r="B889" s="796"/>
      <c r="C889" s="796"/>
      <c r="D889" s="796"/>
      <c r="E889" s="796"/>
      <c r="F889" s="795"/>
      <c r="G889" s="795"/>
      <c r="H889" s="795"/>
      <c r="I889" s="795"/>
      <c r="J889" s="795"/>
      <c r="K889" s="795"/>
      <c r="L889" s="795"/>
      <c r="M889" s="795"/>
      <c r="N889" s="795"/>
      <c r="O889" s="795"/>
      <c r="P889" s="795"/>
      <c r="Q889" s="795"/>
      <c r="R889" s="795"/>
      <c r="S889" s="795"/>
      <c r="T889" s="795"/>
      <c r="U889" s="795"/>
      <c r="V889" s="795"/>
      <c r="W889" s="795"/>
      <c r="X889" s="795"/>
      <c r="Y889" s="795"/>
      <c r="Z889" s="795"/>
      <c r="AA889" s="795"/>
      <c r="AB889" s="795"/>
      <c r="AC889" s="795"/>
      <c r="AD889" s="795"/>
      <c r="AE889" s="795"/>
      <c r="AF889" s="795"/>
      <c r="AG889" s="795"/>
      <c r="AH889" s="795"/>
      <c r="AI889" s="795"/>
      <c r="AJ889" s="795"/>
      <c r="AK889" s="795"/>
      <c r="AL889" s="795"/>
      <c r="AM889" s="796"/>
      <c r="AN889" s="796"/>
    </row>
    <row r="890" spans="1:40" ht="12.6">
      <c r="A890" s="990" t="s">
        <v>1017</v>
      </c>
      <c r="B890" s="991" t="s">
        <v>128</v>
      </c>
      <c r="C890" s="991"/>
      <c r="D890" s="991" t="s">
        <v>129</v>
      </c>
      <c r="E890" s="991" t="s">
        <v>130</v>
      </c>
      <c r="F890" s="300" t="s">
        <v>99</v>
      </c>
      <c r="G890" s="300" t="s">
        <v>99</v>
      </c>
      <c r="H890" s="300" t="s">
        <v>99</v>
      </c>
      <c r="I890" s="300" t="s">
        <v>99</v>
      </c>
      <c r="J890" s="300" t="s">
        <v>99</v>
      </c>
      <c r="K890" s="300" t="s">
        <v>99</v>
      </c>
      <c r="L890" s="300" t="s">
        <v>99</v>
      </c>
      <c r="M890" s="300" t="s">
        <v>99</v>
      </c>
      <c r="N890" s="300" t="s">
        <v>99</v>
      </c>
      <c r="O890" s="300" t="s">
        <v>99</v>
      </c>
      <c r="P890" s="300" t="s">
        <v>99</v>
      </c>
      <c r="Q890" s="300" t="s">
        <v>99</v>
      </c>
      <c r="R890" s="300" t="s">
        <v>99</v>
      </c>
      <c r="S890" s="300" t="s">
        <v>99</v>
      </c>
      <c r="T890" s="300" t="s">
        <v>99</v>
      </c>
      <c r="U890" s="300" t="s">
        <v>99</v>
      </c>
      <c r="V890" s="300" t="s">
        <v>99</v>
      </c>
      <c r="W890" s="300" t="s">
        <v>99</v>
      </c>
      <c r="X890" s="300" t="s">
        <v>99</v>
      </c>
      <c r="Y890" s="300" t="s">
        <v>99</v>
      </c>
      <c r="Z890" s="300" t="s">
        <v>99</v>
      </c>
      <c r="AA890" s="300" t="s">
        <v>99</v>
      </c>
      <c r="AB890" s="300" t="s">
        <v>99</v>
      </c>
      <c r="AC890" s="300" t="s">
        <v>99</v>
      </c>
      <c r="AD890" s="300" t="s">
        <v>99</v>
      </c>
      <c r="AE890" s="300" t="s">
        <v>99</v>
      </c>
      <c r="AF890" s="300" t="s">
        <v>99</v>
      </c>
      <c r="AG890" s="300" t="s">
        <v>99</v>
      </c>
      <c r="AH890" s="300" t="s">
        <v>99</v>
      </c>
      <c r="AI890" s="300" t="s">
        <v>99</v>
      </c>
      <c r="AJ890" s="300" t="s">
        <v>99</v>
      </c>
      <c r="AK890" s="300" t="s">
        <v>99</v>
      </c>
      <c r="AL890" s="300" t="s">
        <v>99</v>
      </c>
      <c r="AM890" s="344" t="s">
        <v>818</v>
      </c>
      <c r="AN890" s="344"/>
    </row>
    <row r="891" spans="1:40" ht="12.6">
      <c r="A891" s="990" t="s">
        <v>1018</v>
      </c>
      <c r="B891" s="991" t="s">
        <v>820</v>
      </c>
      <c r="C891" s="991"/>
      <c r="D891" s="991" t="s">
        <v>109</v>
      </c>
      <c r="E891" s="991" t="s">
        <v>130</v>
      </c>
      <c r="F891" s="300">
        <f>'Non-Energy Use'!E137*1000</f>
        <v>0</v>
      </c>
      <c r="G891" s="300">
        <f>'Non-Energy Use'!F137*1000</f>
        <v>0</v>
      </c>
      <c r="H891" s="300">
        <f>'Non-Energy Use'!G137*1000</f>
        <v>0</v>
      </c>
      <c r="I891" s="300">
        <f>'Non-Energy Use'!H137*1000</f>
        <v>0</v>
      </c>
      <c r="J891" s="300">
        <f>'Non-Energy Use'!I137*1000</f>
        <v>0</v>
      </c>
      <c r="K891" s="300">
        <f>'Non-Energy Use'!J137*1000</f>
        <v>0</v>
      </c>
      <c r="L891" s="300">
        <f>'Non-Energy Use'!K137*1000</f>
        <v>0</v>
      </c>
      <c r="M891" s="300">
        <f>'Non-Energy Use'!L137*1000</f>
        <v>0</v>
      </c>
      <c r="N891" s="300">
        <f>'Non-Energy Use'!M137*1000</f>
        <v>0</v>
      </c>
      <c r="O891" s="300">
        <f>'Non-Energy Use'!N137*1000</f>
        <v>0</v>
      </c>
      <c r="P891" s="300">
        <f>'Non-Energy Use'!O137*1000</f>
        <v>0</v>
      </c>
      <c r="Q891" s="300">
        <f>'Non-Energy Use'!P137*1000</f>
        <v>0</v>
      </c>
      <c r="R891" s="300">
        <f>'Non-Energy Use'!Q137*1000</f>
        <v>0</v>
      </c>
      <c r="S891" s="300">
        <f>'Non-Energy Use'!R137*1000</f>
        <v>0</v>
      </c>
      <c r="T891" s="300">
        <f>'Non-Energy Use'!S137*1000</f>
        <v>0</v>
      </c>
      <c r="U891" s="300">
        <f>'Non-Energy Use'!T137*1000</f>
        <v>0</v>
      </c>
      <c r="V891" s="300">
        <f>'Non-Energy Use'!U137*1000</f>
        <v>0</v>
      </c>
      <c r="W891" s="300">
        <f>'Non-Energy Use'!V137*1000</f>
        <v>0</v>
      </c>
      <c r="X891" s="300">
        <f>'Non-Energy Use'!W137*1000</f>
        <v>0</v>
      </c>
      <c r="Y891" s="300">
        <f>'Non-Energy Use'!X137*1000</f>
        <v>0</v>
      </c>
      <c r="Z891" s="300">
        <f>'Non-Energy Use'!Y137*1000</f>
        <v>0</v>
      </c>
      <c r="AA891" s="300">
        <f>'Non-Energy Use'!Z137*1000</f>
        <v>0</v>
      </c>
      <c r="AB891" s="300">
        <f>'Non-Energy Use'!AA137*1000</f>
        <v>0</v>
      </c>
      <c r="AC891" s="300">
        <f>'Non-Energy Use'!AB137*1000</f>
        <v>0</v>
      </c>
      <c r="AD891" s="300">
        <f>'Non-Energy Use'!AC137*1000</f>
        <v>0</v>
      </c>
      <c r="AE891" s="300">
        <f>'Non-Energy Use'!AD137*1000</f>
        <v>0</v>
      </c>
      <c r="AF891" s="300">
        <f>'Non-Energy Use'!AE137*1000</f>
        <v>0</v>
      </c>
      <c r="AG891" s="300">
        <f>'Non-Energy Use'!AF137*1000</f>
        <v>0</v>
      </c>
      <c r="AH891" s="300">
        <f>'Non-Energy Use'!AG137*1000</f>
        <v>0</v>
      </c>
      <c r="AI891" s="300">
        <f>'Non-Energy Use'!AH137*1000</f>
        <v>0</v>
      </c>
      <c r="AJ891" s="300">
        <f>'Non-Energy Use'!AI137*1000</f>
        <v>0</v>
      </c>
      <c r="AK891" s="300">
        <f>'Non-Energy Use'!AJ137*1000</f>
        <v>0</v>
      </c>
      <c r="AL891" s="300">
        <f>'Non-Energy Use'!AK137*1000</f>
        <v>0</v>
      </c>
      <c r="AM891" s="315"/>
      <c r="AN891" s="315"/>
    </row>
    <row r="892" spans="1:40" ht="12.6">
      <c r="A892" s="990" t="s">
        <v>1019</v>
      </c>
      <c r="B892" s="991" t="s">
        <v>823</v>
      </c>
      <c r="C892" s="991"/>
      <c r="D892" s="315"/>
      <c r="E892" s="991" t="s">
        <v>122</v>
      </c>
      <c r="F892" s="300">
        <f>'Non-Energy Use'!E81*1055.05585262</f>
        <v>0</v>
      </c>
      <c r="G892" s="300">
        <f>'Non-Energy Use'!F81*1055.05585262</f>
        <v>0</v>
      </c>
      <c r="H892" s="300">
        <f>'Non-Energy Use'!G81*1055.05585262</f>
        <v>0</v>
      </c>
      <c r="I892" s="300">
        <f>'Non-Energy Use'!H81*1055.05585262</f>
        <v>0</v>
      </c>
      <c r="J892" s="300">
        <f>'Non-Energy Use'!I81*1055.05585262</f>
        <v>0</v>
      </c>
      <c r="K892" s="300">
        <f>'Non-Energy Use'!J81*1055.05585262</f>
        <v>0</v>
      </c>
      <c r="L892" s="300">
        <f>'Non-Energy Use'!K81*1055.05585262</f>
        <v>0</v>
      </c>
      <c r="M892" s="300">
        <f>'Non-Energy Use'!L81*1055.05585262</f>
        <v>0</v>
      </c>
      <c r="N892" s="300">
        <f>'Non-Energy Use'!M81*1055.05585262</f>
        <v>0</v>
      </c>
      <c r="O892" s="300">
        <f>'Non-Energy Use'!N81*1055.05585262</f>
        <v>0</v>
      </c>
      <c r="P892" s="300">
        <f>'Non-Energy Use'!O81*1055.05585262</f>
        <v>0</v>
      </c>
      <c r="Q892" s="300">
        <f>'Non-Energy Use'!P81*1055.05585262</f>
        <v>0</v>
      </c>
      <c r="R892" s="300">
        <f>'Non-Energy Use'!Q81*1055.05585262</f>
        <v>0</v>
      </c>
      <c r="S892" s="300">
        <f>'Non-Energy Use'!R81*1055.05585262</f>
        <v>0</v>
      </c>
      <c r="T892" s="300">
        <f>'Non-Energy Use'!S81*1055.05585262</f>
        <v>0</v>
      </c>
      <c r="U892" s="300">
        <f>'Non-Energy Use'!T81*1055.05585262</f>
        <v>0</v>
      </c>
      <c r="V892" s="300">
        <f>'Non-Energy Use'!U81*1055.05585262</f>
        <v>0</v>
      </c>
      <c r="W892" s="300">
        <f>'Non-Energy Use'!V81*1055.05585262</f>
        <v>0</v>
      </c>
      <c r="X892" s="300">
        <f>'Non-Energy Use'!W81*1055.05585262</f>
        <v>0</v>
      </c>
      <c r="Y892" s="300">
        <f>'Non-Energy Use'!X81*1055.05585262</f>
        <v>0</v>
      </c>
      <c r="Z892" s="300">
        <f>'Non-Energy Use'!Y81*1055.05585262</f>
        <v>0</v>
      </c>
      <c r="AA892" s="300">
        <f>'Non-Energy Use'!Z81*1055.05585262</f>
        <v>0</v>
      </c>
      <c r="AB892" s="300">
        <f>'Non-Energy Use'!AA81*1055.05585262</f>
        <v>0</v>
      </c>
      <c r="AC892" s="300">
        <f>'Non-Energy Use'!AB81*1055.05585262</f>
        <v>0</v>
      </c>
      <c r="AD892" s="300">
        <f>'Non-Energy Use'!AC81*1055.05585262</f>
        <v>0</v>
      </c>
      <c r="AE892" s="300">
        <f>'Non-Energy Use'!AD81*1055.05585262</f>
        <v>0</v>
      </c>
      <c r="AF892" s="300">
        <f>'Non-Energy Use'!AE81*1055.05585262</f>
        <v>0</v>
      </c>
      <c r="AG892" s="300">
        <f>'Non-Energy Use'!AF81*1055.05585262</f>
        <v>0</v>
      </c>
      <c r="AH892" s="300">
        <f>'Non-Energy Use'!AG81*1055.05585262</f>
        <v>0</v>
      </c>
      <c r="AI892" s="300">
        <f>'Non-Energy Use'!AH81*1055.05585262</f>
        <v>0</v>
      </c>
      <c r="AJ892" s="300">
        <f>'Non-Energy Use'!AI81*1055.05585262</f>
        <v>0</v>
      </c>
      <c r="AK892" s="300">
        <f>'Non-Energy Use'!AJ81*1055.05585262</f>
        <v>0</v>
      </c>
      <c r="AL892" s="300">
        <f>'Non-Energy Use'!AK81*1055.05585262</f>
        <v>0</v>
      </c>
      <c r="AM892" s="315"/>
      <c r="AN892" s="315"/>
    </row>
    <row r="893" spans="1:40" ht="12.6">
      <c r="A893" s="990" t="s">
        <v>1020</v>
      </c>
      <c r="B893" s="991" t="s">
        <v>825</v>
      </c>
      <c r="C893" s="991"/>
      <c r="D893" s="315"/>
      <c r="E893" s="315"/>
      <c r="F893" s="809" t="s">
        <v>826</v>
      </c>
      <c r="G893" s="809" t="s">
        <v>826</v>
      </c>
      <c r="H893" s="809" t="s">
        <v>826</v>
      </c>
      <c r="I893" s="809" t="s">
        <v>826</v>
      </c>
      <c r="J893" s="809" t="s">
        <v>826</v>
      </c>
      <c r="K893" s="809" t="s">
        <v>826</v>
      </c>
      <c r="L893" s="809" t="s">
        <v>826</v>
      </c>
      <c r="M893" s="809" t="s">
        <v>826</v>
      </c>
      <c r="N893" s="809" t="s">
        <v>826</v>
      </c>
      <c r="O893" s="809" t="s">
        <v>826</v>
      </c>
      <c r="P893" s="809" t="s">
        <v>826</v>
      </c>
      <c r="Q893" s="809" t="s">
        <v>826</v>
      </c>
      <c r="R893" s="809" t="s">
        <v>826</v>
      </c>
      <c r="S893" s="809" t="s">
        <v>826</v>
      </c>
      <c r="T893" s="809" t="s">
        <v>826</v>
      </c>
      <c r="U893" s="809" t="s">
        <v>826</v>
      </c>
      <c r="V893" s="809" t="s">
        <v>826</v>
      </c>
      <c r="W893" s="809" t="s">
        <v>826</v>
      </c>
      <c r="X893" s="809" t="s">
        <v>826</v>
      </c>
      <c r="Y893" s="809" t="s">
        <v>826</v>
      </c>
      <c r="Z893" s="809" t="s">
        <v>826</v>
      </c>
      <c r="AA893" s="809" t="s">
        <v>826</v>
      </c>
      <c r="AB893" s="809" t="s">
        <v>826</v>
      </c>
      <c r="AC893" s="809" t="s">
        <v>826</v>
      </c>
      <c r="AD893" s="809" t="s">
        <v>826</v>
      </c>
      <c r="AE893" s="809" t="s">
        <v>826</v>
      </c>
      <c r="AF893" s="809" t="s">
        <v>826</v>
      </c>
      <c r="AG893" s="809" t="s">
        <v>826</v>
      </c>
      <c r="AH893" s="809" t="s">
        <v>826</v>
      </c>
      <c r="AI893" s="809" t="s">
        <v>826</v>
      </c>
      <c r="AJ893" s="809" t="s">
        <v>826</v>
      </c>
      <c r="AK893" s="809" t="s">
        <v>826</v>
      </c>
      <c r="AL893" s="809" t="s">
        <v>826</v>
      </c>
      <c r="AM893" s="315"/>
      <c r="AN893" s="315"/>
    </row>
    <row r="894" spans="1:40" ht="12.6">
      <c r="A894" s="990" t="s">
        <v>1021</v>
      </c>
      <c r="B894" s="991" t="s">
        <v>134</v>
      </c>
      <c r="D894" s="315"/>
      <c r="E894" s="315"/>
      <c r="F894" s="809" t="s">
        <v>828</v>
      </c>
      <c r="G894" s="809" t="s">
        <v>828</v>
      </c>
      <c r="H894" s="809" t="s">
        <v>828</v>
      </c>
      <c r="I894" s="809" t="s">
        <v>828</v>
      </c>
      <c r="J894" s="809" t="s">
        <v>828</v>
      </c>
      <c r="K894" s="809" t="s">
        <v>828</v>
      </c>
      <c r="L894" s="809" t="s">
        <v>828</v>
      </c>
      <c r="M894" s="809" t="s">
        <v>828</v>
      </c>
      <c r="N894" s="809" t="s">
        <v>828</v>
      </c>
      <c r="O894" s="809" t="s">
        <v>828</v>
      </c>
      <c r="P894" s="809" t="s">
        <v>828</v>
      </c>
      <c r="Q894" s="809" t="s">
        <v>828</v>
      </c>
      <c r="R894" s="809" t="s">
        <v>828</v>
      </c>
      <c r="S894" s="809" t="s">
        <v>828</v>
      </c>
      <c r="T894" s="809" t="s">
        <v>828</v>
      </c>
      <c r="U894" s="809" t="s">
        <v>828</v>
      </c>
      <c r="V894" s="809" t="s">
        <v>828</v>
      </c>
      <c r="W894" s="809" t="s">
        <v>828</v>
      </c>
      <c r="X894" s="809" t="s">
        <v>828</v>
      </c>
      <c r="Y894" s="809" t="s">
        <v>828</v>
      </c>
      <c r="Z894" s="809" t="s">
        <v>828</v>
      </c>
      <c r="AA894" s="809" t="s">
        <v>828</v>
      </c>
      <c r="AB894" s="809" t="s">
        <v>828</v>
      </c>
      <c r="AC894" s="809" t="s">
        <v>828</v>
      </c>
      <c r="AD894" s="809" t="s">
        <v>828</v>
      </c>
      <c r="AE894" s="809" t="s">
        <v>828</v>
      </c>
      <c r="AF894" s="809" t="s">
        <v>828</v>
      </c>
      <c r="AG894" s="809" t="s">
        <v>828</v>
      </c>
      <c r="AH894" s="809" t="s">
        <v>828</v>
      </c>
      <c r="AI894" s="809" t="s">
        <v>828</v>
      </c>
      <c r="AJ894" s="809" t="s">
        <v>828</v>
      </c>
      <c r="AK894" s="809" t="s">
        <v>828</v>
      </c>
      <c r="AL894" s="809" t="s">
        <v>828</v>
      </c>
      <c r="AM894" s="315"/>
      <c r="AN894" s="315"/>
    </row>
    <row r="895" spans="1:40" s="797" customFormat="1" ht="12.95">
      <c r="A895" s="989" t="s">
        <v>1022</v>
      </c>
      <c r="B895" s="796"/>
      <c r="C895" s="796"/>
      <c r="D895" s="796"/>
      <c r="E895" s="796"/>
      <c r="F895" s="795"/>
      <c r="G895" s="795"/>
      <c r="H895" s="795"/>
      <c r="I895" s="795"/>
      <c r="J895" s="795"/>
      <c r="K895" s="795"/>
      <c r="L895" s="795"/>
      <c r="M895" s="795"/>
      <c r="N895" s="795"/>
      <c r="O895" s="795"/>
      <c r="P895" s="795"/>
      <c r="Q895" s="795"/>
      <c r="R895" s="795"/>
      <c r="S895" s="795"/>
      <c r="T895" s="795"/>
      <c r="U895" s="795"/>
      <c r="V895" s="795"/>
      <c r="W895" s="795"/>
      <c r="X895" s="795"/>
      <c r="Y895" s="795"/>
      <c r="Z895" s="795"/>
      <c r="AA895" s="795"/>
      <c r="AB895" s="795"/>
      <c r="AC895" s="795"/>
      <c r="AD895" s="795"/>
      <c r="AE895" s="795"/>
      <c r="AF895" s="795"/>
      <c r="AG895" s="795"/>
      <c r="AH895" s="795"/>
      <c r="AI895" s="795"/>
      <c r="AJ895" s="795"/>
      <c r="AK895" s="795"/>
      <c r="AL895" s="795"/>
      <c r="AM895" s="796"/>
      <c r="AN895" s="796"/>
    </row>
    <row r="896" spans="1:40" ht="12.6">
      <c r="A896" s="990" t="s">
        <v>1023</v>
      </c>
      <c r="B896" s="991" t="s">
        <v>128</v>
      </c>
      <c r="C896" s="991"/>
      <c r="D896" s="991" t="s">
        <v>129</v>
      </c>
      <c r="E896" s="991" t="s">
        <v>130</v>
      </c>
      <c r="F896" s="300" t="s">
        <v>99</v>
      </c>
      <c r="G896" s="300" t="s">
        <v>99</v>
      </c>
      <c r="H896" s="300" t="s">
        <v>99</v>
      </c>
      <c r="I896" s="300" t="s">
        <v>99</v>
      </c>
      <c r="J896" s="300" t="s">
        <v>99</v>
      </c>
      <c r="K896" s="300" t="s">
        <v>99</v>
      </c>
      <c r="L896" s="300" t="s">
        <v>99</v>
      </c>
      <c r="M896" s="300" t="s">
        <v>99</v>
      </c>
      <c r="N896" s="300" t="s">
        <v>99</v>
      </c>
      <c r="O896" s="300" t="s">
        <v>99</v>
      </c>
      <c r="P896" s="300" t="s">
        <v>99</v>
      </c>
      <c r="Q896" s="300" t="s">
        <v>99</v>
      </c>
      <c r="R896" s="300" t="s">
        <v>99</v>
      </c>
      <c r="S896" s="300" t="s">
        <v>99</v>
      </c>
      <c r="T896" s="300" t="s">
        <v>99</v>
      </c>
      <c r="U896" s="300" t="s">
        <v>99</v>
      </c>
      <c r="V896" s="300" t="s">
        <v>99</v>
      </c>
      <c r="W896" s="300" t="s">
        <v>99</v>
      </c>
      <c r="X896" s="300" t="s">
        <v>99</v>
      </c>
      <c r="Y896" s="300" t="s">
        <v>99</v>
      </c>
      <c r="Z896" s="300" t="s">
        <v>99</v>
      </c>
      <c r="AA896" s="300" t="s">
        <v>99</v>
      </c>
      <c r="AB896" s="300" t="s">
        <v>99</v>
      </c>
      <c r="AC896" s="300" t="s">
        <v>99</v>
      </c>
      <c r="AD896" s="300" t="s">
        <v>99</v>
      </c>
      <c r="AE896" s="300" t="s">
        <v>99</v>
      </c>
      <c r="AF896" s="300" t="s">
        <v>99</v>
      </c>
      <c r="AG896" s="300" t="s">
        <v>99</v>
      </c>
      <c r="AH896" s="300" t="s">
        <v>99</v>
      </c>
      <c r="AI896" s="300" t="s">
        <v>99</v>
      </c>
      <c r="AJ896" s="300" t="s">
        <v>99</v>
      </c>
      <c r="AK896" s="300" t="s">
        <v>99</v>
      </c>
      <c r="AL896" s="300" t="s">
        <v>99</v>
      </c>
      <c r="AM896" s="344" t="s">
        <v>818</v>
      </c>
      <c r="AN896" s="344"/>
    </row>
    <row r="897" spans="1:40" ht="12.6">
      <c r="A897" s="990" t="s">
        <v>1024</v>
      </c>
      <c r="B897" s="991" t="s">
        <v>820</v>
      </c>
      <c r="C897" s="991"/>
      <c r="D897" s="991" t="s">
        <v>109</v>
      </c>
      <c r="E897" s="991" t="s">
        <v>130</v>
      </c>
      <c r="F897" s="300">
        <f>'Non-Energy Use'!E142*1000</f>
        <v>1157.5140588803279</v>
      </c>
      <c r="G897" s="300">
        <f>'Non-Energy Use'!F142*1000</f>
        <v>920.20556152867016</v>
      </c>
      <c r="H897" s="300">
        <f>'Non-Energy Use'!G142*1000</f>
        <v>1112.5660415727114</v>
      </c>
      <c r="I897" s="300">
        <f>'Non-Energy Use'!H142*1000</f>
        <v>1162.2189760330755</v>
      </c>
      <c r="J897" s="300">
        <f>'Non-Energy Use'!I142*1000</f>
        <v>903.00669244118751</v>
      </c>
      <c r="K897" s="300">
        <f>'Non-Energy Use'!J142*1000</f>
        <v>819.44692025973222</v>
      </c>
      <c r="L897" s="300">
        <f>'Non-Energy Use'!K142*1000</f>
        <v>896.00811532180069</v>
      </c>
      <c r="M897" s="300">
        <f>'Non-Energy Use'!L142*1000</f>
        <v>811.00757728125348</v>
      </c>
      <c r="N897" s="300">
        <f>'Non-Energy Use'!M142*1000</f>
        <v>1235.4432949257559</v>
      </c>
      <c r="O897" s="300">
        <f>'Non-Energy Use'!N142*1000</f>
        <v>1642.7315419692077</v>
      </c>
      <c r="P897" s="300">
        <f>'Non-Energy Use'!O142*1000</f>
        <v>1151.1748200555196</v>
      </c>
      <c r="Q897" s="300">
        <f>'Non-Energy Use'!P142*1000</f>
        <v>935.30235282726153</v>
      </c>
      <c r="R897" s="300">
        <f>'Non-Energy Use'!Q142*1000</f>
        <v>1213.9097405314812</v>
      </c>
      <c r="S897" s="300">
        <f>'Non-Energy Use'!R142*1000</f>
        <v>917.92735516933612</v>
      </c>
      <c r="T897" s="300">
        <f>'Non-Energy Use'!S142*1000</f>
        <v>580.78096300205834</v>
      </c>
      <c r="U897" s="300">
        <f>'Non-Energy Use'!T142*1000</f>
        <v>731.30229541936706</v>
      </c>
      <c r="V897" s="300">
        <f>'Non-Energy Use'!U142*1000</f>
        <v>842.57356322055193</v>
      </c>
      <c r="W897" s="300">
        <f>'Non-Energy Use'!V142*1000</f>
        <v>963.04688389614091</v>
      </c>
      <c r="X897" s="300">
        <f>'Non-Energy Use'!W142*1000</f>
        <v>1053.3578706439077</v>
      </c>
      <c r="Y897" s="300">
        <f>'Non-Energy Use'!X142*1000</f>
        <v>587.32595642767376</v>
      </c>
      <c r="Z897" s="300">
        <f>'Non-Energy Use'!Y142*1000</f>
        <v>344.57764227720202</v>
      </c>
      <c r="AA897" s="300">
        <f>'Non-Energy Use'!Z142*1000</f>
        <v>297.36090464592786</v>
      </c>
      <c r="AB897" s="300">
        <f>'Non-Energy Use'!AA142*1000</f>
        <v>193.2923801947002</v>
      </c>
      <c r="AC897" s="300">
        <f>'Non-Energy Use'!AB142*1000</f>
        <v>1288.0966783951853</v>
      </c>
      <c r="AD897" s="300">
        <f>'Non-Energy Use'!AC142*1000</f>
        <v>1387.1698725477684</v>
      </c>
      <c r="AE897" s="300">
        <f>'Non-Energy Use'!AD142*1000</f>
        <v>1298.4727390514768</v>
      </c>
      <c r="AF897" s="300">
        <f>'Non-Energy Use'!AE142*1000</f>
        <v>1213.3217820481032</v>
      </c>
      <c r="AG897" s="300">
        <f>'Non-Energy Use'!AF142*1000</f>
        <v>1242.2000644560037</v>
      </c>
      <c r="AH897" s="300">
        <f>'Non-Energy Use'!AG142*1000</f>
        <v>1087.6195544393486</v>
      </c>
      <c r="AI897" s="300">
        <f>'Non-Energy Use'!AH142*1000</f>
        <v>1138.5448050879174</v>
      </c>
      <c r="AJ897" s="300">
        <f>'Non-Energy Use'!AI142*1000</f>
        <v>1051.7402812730083</v>
      </c>
      <c r="AK897" s="300">
        <f>'Non-Energy Use'!AJ142*1000</f>
        <v>937.32115069722488</v>
      </c>
      <c r="AL897" s="300">
        <f>'Non-Energy Use'!AK142*1000</f>
        <v>1041.7419125320457</v>
      </c>
      <c r="AM897" s="315"/>
      <c r="AN897" s="315"/>
    </row>
    <row r="898" spans="1:40" ht="12.6">
      <c r="A898" s="990" t="s">
        <v>1025</v>
      </c>
      <c r="B898" s="991" t="s">
        <v>823</v>
      </c>
      <c r="C898" s="991"/>
      <c r="D898" s="315"/>
      <c r="E898" s="991" t="s">
        <v>122</v>
      </c>
      <c r="F898" s="300">
        <f>'Non-Energy Use'!E86*1055.05585262</f>
        <v>106352.52420801672</v>
      </c>
      <c r="G898" s="300">
        <f>'Non-Energy Use'!F86*1055.05585262</f>
        <v>86956.645531485119</v>
      </c>
      <c r="H898" s="300">
        <f>'Non-Energy Use'!G86*1055.05585262</f>
        <v>104132.28827295985</v>
      </c>
      <c r="I898" s="300">
        <f>'Non-Energy Use'!H86*1055.05585262</f>
        <v>102900.98441702689</v>
      </c>
      <c r="J898" s="300">
        <f>'Non-Energy Use'!I86*1055.05585262</f>
        <v>81026.66285696502</v>
      </c>
      <c r="K898" s="300">
        <f>'Non-Energy Use'!J86*1055.05585262</f>
        <v>71223.46885127532</v>
      </c>
      <c r="L898" s="300">
        <f>'Non-Energy Use'!K86*1055.05585262</f>
        <v>75028.868254152068</v>
      </c>
      <c r="M898" s="300">
        <f>'Non-Energy Use'!L86*1055.05585262</f>
        <v>72397.861389050158</v>
      </c>
      <c r="N898" s="300">
        <f>'Non-Energy Use'!M86*1055.05585262</f>
        <v>109468.54665271359</v>
      </c>
      <c r="O898" s="300">
        <f>'Non-Energy Use'!N86*1055.05585262</f>
        <v>148745.80184540618</v>
      </c>
      <c r="P898" s="300">
        <f>'Non-Energy Use'!O86*1055.05585262</f>
        <v>99463.144196822861</v>
      </c>
      <c r="Q898" s="300">
        <f>'Non-Energy Use'!P86*1055.05585262</f>
        <v>82185.418422883566</v>
      </c>
      <c r="R898" s="300">
        <f>'Non-Energy Use'!Q86*1055.05585262</f>
        <v>104958.2688997645</v>
      </c>
      <c r="S898" s="300">
        <f>'Non-Energy Use'!R86*1055.05585262</f>
        <v>79925.162795898592</v>
      </c>
      <c r="T898" s="300">
        <f>'Non-Energy Use'!S86*1055.05585262</f>
        <v>49777.784700128672</v>
      </c>
      <c r="U898" s="300">
        <f>'Non-Energy Use'!T86*1055.05585262</f>
        <v>64255.091026667593</v>
      </c>
      <c r="V898" s="300">
        <f>'Non-Energy Use'!U86*1055.05585262</f>
        <v>72765.514644555238</v>
      </c>
      <c r="W898" s="300">
        <f>'Non-Energy Use'!V86*1055.05585262</f>
        <v>79565.636921347512</v>
      </c>
      <c r="X898" s="300">
        <f>'Non-Energy Use'!W86*1055.05585262</f>
        <v>87842.530625264568</v>
      </c>
      <c r="Y898" s="300">
        <f>'Non-Energy Use'!X86*1055.05585262</f>
        <v>46730.079118217494</v>
      </c>
      <c r="Z898" s="300">
        <f>'Non-Energy Use'!Y86*1055.05585262</f>
        <v>26700.674241469245</v>
      </c>
      <c r="AA898" s="300">
        <f>'Non-Energy Use'!Z86*1055.05585262</f>
        <v>23057.384801568925</v>
      </c>
      <c r="AB898" s="300">
        <f>'Non-Energy Use'!AA86*1055.05585262</f>
        <v>14839.172863279446</v>
      </c>
      <c r="AC898" s="300">
        <f>'Non-Energy Use'!AB86*1055.05585262</f>
        <v>101971.88035553417</v>
      </c>
      <c r="AD898" s="300">
        <f>'Non-Energy Use'!AC86*1055.05585262</f>
        <v>110318.46584855109</v>
      </c>
      <c r="AE898" s="300">
        <f>'Non-Energy Use'!AD86*1055.05585262</f>
        <v>102520.48506796639</v>
      </c>
      <c r="AF898" s="300">
        <f>'Non-Energy Use'!AE86*1055.05585262</f>
        <v>93961.30087281829</v>
      </c>
      <c r="AG898" s="300">
        <f>'Non-Energy Use'!AF86*1055.05585262</f>
        <v>100595.205373376</v>
      </c>
      <c r="AH898" s="300">
        <f>'Non-Energy Use'!AG86*1055.05585262</f>
        <v>91815.951010204284</v>
      </c>
      <c r="AI898" s="300">
        <f>'Non-Energy Use'!AH86*1055.05585262</f>
        <v>94254.946197827492</v>
      </c>
      <c r="AJ898" s="300">
        <f>'Non-Energy Use'!AI86*1055.05585262</f>
        <v>85128.73667523812</v>
      </c>
      <c r="AK898" s="300">
        <f>'Non-Energy Use'!AJ86*1055.05585262</f>
        <v>80133.386580012753</v>
      </c>
      <c r="AL898" s="300">
        <f>'Non-Energy Use'!AK86*1055.05585262</f>
        <v>87998.579485134105</v>
      </c>
      <c r="AM898" s="315"/>
      <c r="AN898" s="315"/>
    </row>
    <row r="899" spans="1:40" ht="12.6">
      <c r="A899" s="990" t="s">
        <v>1026</v>
      </c>
      <c r="B899" s="991" t="s">
        <v>825</v>
      </c>
      <c r="C899" s="991"/>
      <c r="D899" s="315"/>
      <c r="E899" s="315"/>
      <c r="F899" s="809" t="s">
        <v>826</v>
      </c>
      <c r="G899" s="809" t="s">
        <v>826</v>
      </c>
      <c r="H899" s="809" t="s">
        <v>826</v>
      </c>
      <c r="I899" s="809" t="s">
        <v>826</v>
      </c>
      <c r="J899" s="809" t="s">
        <v>826</v>
      </c>
      <c r="K899" s="809" t="s">
        <v>826</v>
      </c>
      <c r="L899" s="809" t="s">
        <v>826</v>
      </c>
      <c r="M899" s="809" t="s">
        <v>826</v>
      </c>
      <c r="N899" s="809" t="s">
        <v>826</v>
      </c>
      <c r="O899" s="809" t="s">
        <v>826</v>
      </c>
      <c r="P899" s="809" t="s">
        <v>826</v>
      </c>
      <c r="Q899" s="809" t="s">
        <v>826</v>
      </c>
      <c r="R899" s="809" t="s">
        <v>826</v>
      </c>
      <c r="S899" s="809" t="s">
        <v>826</v>
      </c>
      <c r="T899" s="809" t="s">
        <v>826</v>
      </c>
      <c r="U899" s="809" t="s">
        <v>826</v>
      </c>
      <c r="V899" s="809" t="s">
        <v>826</v>
      </c>
      <c r="W899" s="809" t="s">
        <v>826</v>
      </c>
      <c r="X899" s="809" t="s">
        <v>826</v>
      </c>
      <c r="Y899" s="809" t="s">
        <v>826</v>
      </c>
      <c r="Z899" s="809" t="s">
        <v>826</v>
      </c>
      <c r="AA899" s="809" t="s">
        <v>826</v>
      </c>
      <c r="AB899" s="809" t="s">
        <v>826</v>
      </c>
      <c r="AC899" s="809" t="s">
        <v>826</v>
      </c>
      <c r="AD899" s="809" t="s">
        <v>826</v>
      </c>
      <c r="AE899" s="809" t="s">
        <v>826</v>
      </c>
      <c r="AF899" s="809" t="s">
        <v>826</v>
      </c>
      <c r="AG899" s="809" t="s">
        <v>826</v>
      </c>
      <c r="AH899" s="809" t="s">
        <v>826</v>
      </c>
      <c r="AI899" s="809" t="s">
        <v>826</v>
      </c>
      <c r="AJ899" s="809" t="s">
        <v>826</v>
      </c>
      <c r="AK899" s="809" t="s">
        <v>826</v>
      </c>
      <c r="AL899" s="809" t="s">
        <v>826</v>
      </c>
      <c r="AM899" s="315"/>
      <c r="AN899" s="315"/>
    </row>
    <row r="900" spans="1:40" ht="12.6">
      <c r="A900" s="990" t="s">
        <v>1027</v>
      </c>
      <c r="B900" s="991" t="s">
        <v>134</v>
      </c>
      <c r="D900" s="315"/>
      <c r="E900" s="315"/>
      <c r="F900" s="809" t="s">
        <v>828</v>
      </c>
      <c r="G900" s="809" t="s">
        <v>828</v>
      </c>
      <c r="H900" s="809" t="s">
        <v>828</v>
      </c>
      <c r="I900" s="809" t="s">
        <v>828</v>
      </c>
      <c r="J900" s="809" t="s">
        <v>828</v>
      </c>
      <c r="K900" s="809" t="s">
        <v>828</v>
      </c>
      <c r="L900" s="809" t="s">
        <v>828</v>
      </c>
      <c r="M900" s="809" t="s">
        <v>828</v>
      </c>
      <c r="N900" s="809" t="s">
        <v>828</v>
      </c>
      <c r="O900" s="809" t="s">
        <v>828</v>
      </c>
      <c r="P900" s="809" t="s">
        <v>828</v>
      </c>
      <c r="Q900" s="809" t="s">
        <v>828</v>
      </c>
      <c r="R900" s="809" t="s">
        <v>828</v>
      </c>
      <c r="S900" s="809" t="s">
        <v>828</v>
      </c>
      <c r="T900" s="809" t="s">
        <v>828</v>
      </c>
      <c r="U900" s="809" t="s">
        <v>828</v>
      </c>
      <c r="V900" s="809" t="s">
        <v>828</v>
      </c>
      <c r="W900" s="809" t="s">
        <v>828</v>
      </c>
      <c r="X900" s="809" t="s">
        <v>828</v>
      </c>
      <c r="Y900" s="809" t="s">
        <v>828</v>
      </c>
      <c r="Z900" s="809" t="s">
        <v>828</v>
      </c>
      <c r="AA900" s="809" t="s">
        <v>828</v>
      </c>
      <c r="AB900" s="809" t="s">
        <v>828</v>
      </c>
      <c r="AC900" s="809" t="s">
        <v>828</v>
      </c>
      <c r="AD900" s="809" t="s">
        <v>828</v>
      </c>
      <c r="AE900" s="809" t="s">
        <v>828</v>
      </c>
      <c r="AF900" s="809" t="s">
        <v>828</v>
      </c>
      <c r="AG900" s="809" t="s">
        <v>828</v>
      </c>
      <c r="AH900" s="809" t="s">
        <v>828</v>
      </c>
      <c r="AI900" s="809" t="s">
        <v>828</v>
      </c>
      <c r="AJ900" s="809" t="s">
        <v>828</v>
      </c>
      <c r="AK900" s="809" t="s">
        <v>828</v>
      </c>
      <c r="AL900" s="809" t="s">
        <v>828</v>
      </c>
      <c r="AM900" s="315"/>
      <c r="AN900" s="315"/>
    </row>
    <row r="901" spans="1:40" s="797" customFormat="1" ht="12.95">
      <c r="A901" s="989" t="s">
        <v>1028</v>
      </c>
      <c r="B901" s="796"/>
      <c r="C901" s="796"/>
      <c r="D901" s="796"/>
      <c r="E901" s="796"/>
      <c r="F901" s="795"/>
      <c r="G901" s="795"/>
      <c r="H901" s="795"/>
      <c r="I901" s="795"/>
      <c r="J901" s="795"/>
      <c r="K901" s="795"/>
      <c r="L901" s="795"/>
      <c r="M901" s="795"/>
      <c r="N901" s="795"/>
      <c r="O901" s="795"/>
      <c r="P901" s="795"/>
      <c r="Q901" s="795"/>
      <c r="R901" s="795"/>
      <c r="S901" s="795"/>
      <c r="T901" s="795"/>
      <c r="U901" s="795"/>
      <c r="V901" s="795"/>
      <c r="W901" s="795"/>
      <c r="X901" s="795"/>
      <c r="Y901" s="795"/>
      <c r="Z901" s="795"/>
      <c r="AA901" s="795"/>
      <c r="AB901" s="795"/>
      <c r="AC901" s="795"/>
      <c r="AD901" s="795"/>
      <c r="AE901" s="795"/>
      <c r="AF901" s="795"/>
      <c r="AG901" s="795"/>
      <c r="AH901" s="795"/>
      <c r="AI901" s="795"/>
      <c r="AJ901" s="795"/>
      <c r="AK901" s="795"/>
      <c r="AL901" s="795"/>
      <c r="AM901" s="796"/>
      <c r="AN901" s="796"/>
    </row>
    <row r="902" spans="1:40" ht="12.6">
      <c r="A902" s="1016" t="s">
        <v>1029</v>
      </c>
      <c r="B902" s="991" t="s">
        <v>128</v>
      </c>
      <c r="C902" s="991"/>
      <c r="D902" s="991" t="s">
        <v>129</v>
      </c>
      <c r="E902" s="991" t="s">
        <v>130</v>
      </c>
      <c r="F902" s="300" t="s">
        <v>99</v>
      </c>
      <c r="G902" s="300" t="s">
        <v>99</v>
      </c>
      <c r="H902" s="300" t="s">
        <v>99</v>
      </c>
      <c r="I902" s="300" t="s">
        <v>99</v>
      </c>
      <c r="J902" s="300" t="s">
        <v>99</v>
      </c>
      <c r="K902" s="300" t="s">
        <v>99</v>
      </c>
      <c r="L902" s="300" t="s">
        <v>99</v>
      </c>
      <c r="M902" s="300" t="s">
        <v>99</v>
      </c>
      <c r="N902" s="300" t="s">
        <v>99</v>
      </c>
      <c r="O902" s="300" t="s">
        <v>99</v>
      </c>
      <c r="P902" s="300" t="s">
        <v>99</v>
      </c>
      <c r="Q902" s="300" t="s">
        <v>99</v>
      </c>
      <c r="R902" s="300" t="s">
        <v>99</v>
      </c>
      <c r="S902" s="300" t="s">
        <v>99</v>
      </c>
      <c r="T902" s="300" t="s">
        <v>99</v>
      </c>
      <c r="U902" s="300" t="s">
        <v>99</v>
      </c>
      <c r="V902" s="300" t="s">
        <v>99</v>
      </c>
      <c r="W902" s="300" t="s">
        <v>99</v>
      </c>
      <c r="X902" s="300" t="s">
        <v>99</v>
      </c>
      <c r="Y902" s="300" t="s">
        <v>99</v>
      </c>
      <c r="Z902" s="300" t="s">
        <v>99</v>
      </c>
      <c r="AA902" s="300" t="s">
        <v>99</v>
      </c>
      <c r="AB902" s="300" t="s">
        <v>99</v>
      </c>
      <c r="AC902" s="300" t="s">
        <v>99</v>
      </c>
      <c r="AD902" s="300" t="s">
        <v>99</v>
      </c>
      <c r="AE902" s="300" t="s">
        <v>99</v>
      </c>
      <c r="AF902" s="300" t="s">
        <v>99</v>
      </c>
      <c r="AG902" s="300" t="s">
        <v>99</v>
      </c>
      <c r="AH902" s="300" t="s">
        <v>99</v>
      </c>
      <c r="AI902" s="300" t="s">
        <v>99</v>
      </c>
      <c r="AJ902" s="300" t="s">
        <v>99</v>
      </c>
      <c r="AK902" s="300" t="s">
        <v>99</v>
      </c>
      <c r="AL902" s="300" t="s">
        <v>99</v>
      </c>
      <c r="AM902" s="344" t="s">
        <v>818</v>
      </c>
      <c r="AN902" s="807"/>
    </row>
    <row r="903" spans="1:40" ht="12.6">
      <c r="A903" s="1016" t="s">
        <v>1030</v>
      </c>
      <c r="B903" s="991" t="s">
        <v>820</v>
      </c>
      <c r="C903" s="991"/>
      <c r="D903" s="991" t="s">
        <v>109</v>
      </c>
      <c r="E903" s="991" t="s">
        <v>130</v>
      </c>
      <c r="F903" s="300">
        <f>'Non-Energy Use'!E134*1000</f>
        <v>23945.568272103937</v>
      </c>
      <c r="G903" s="300">
        <f>'Non-Energy Use'!F134*1000</f>
        <v>22029.051908368463</v>
      </c>
      <c r="H903" s="300">
        <f>'Non-Energy Use'!G134*1000</f>
        <v>22554.642064068412</v>
      </c>
      <c r="I903" s="300">
        <f>'Non-Energy Use'!H134*1000</f>
        <v>23512.306821193484</v>
      </c>
      <c r="J903" s="300">
        <f>'Non-Energy Use'!I134*1000</f>
        <v>24001.309272069935</v>
      </c>
      <c r="K903" s="300">
        <f>'Non-Energy Use'!J134*1000</f>
        <v>24108.903316791384</v>
      </c>
      <c r="L903" s="300">
        <f>'Non-Energy Use'!K134*1000</f>
        <v>24063.004982384726</v>
      </c>
      <c r="M903" s="300">
        <f>'Non-Energy Use'!L134*1000</f>
        <v>25037.735816591899</v>
      </c>
      <c r="N903" s="300">
        <f>'Non-Energy Use'!M134*1000</f>
        <v>25835.503299952547</v>
      </c>
      <c r="O903" s="300">
        <f>'Non-Energy Use'!N134*1000</f>
        <v>27101.360127741318</v>
      </c>
      <c r="P903" s="300">
        <f>'Non-Energy Use'!O134*1000</f>
        <v>26104.099616235108</v>
      </c>
      <c r="Q903" s="300">
        <f>'Non-Energy Use'!P134*1000</f>
        <v>25719.130661624116</v>
      </c>
      <c r="R903" s="300">
        <f>'Non-Energy Use'!Q134*1000</f>
        <v>25373.143573729449</v>
      </c>
      <c r="S903" s="300">
        <f>'Non-Energy Use'!R134*1000</f>
        <v>24955.311166128231</v>
      </c>
      <c r="T903" s="300">
        <f>'Non-Energy Use'!S134*1000</f>
        <v>26680.540133504626</v>
      </c>
      <c r="U903" s="300">
        <f>'Non-Energy Use'!T134*1000</f>
        <v>27077.316194202387</v>
      </c>
      <c r="V903" s="300">
        <f>'Non-Energy Use'!U134*1000</f>
        <v>25807.141689837688</v>
      </c>
      <c r="W903" s="300">
        <f>'Non-Energy Use'!V134*1000</f>
        <v>24494.915880432563</v>
      </c>
      <c r="X903" s="300">
        <f>'Non-Energy Use'!W134*1000</f>
        <v>20707.883801979067</v>
      </c>
      <c r="Y903" s="300">
        <f>'Non-Energy Use'!X134*1000</f>
        <v>17865.829468910957</v>
      </c>
      <c r="Z903" s="300">
        <f>'Non-Energy Use'!Y134*1000</f>
        <v>17961.698259234272</v>
      </c>
      <c r="AA903" s="300">
        <f>'Non-Energy Use'!Z134*1000</f>
        <v>17587.656505057152</v>
      </c>
      <c r="AB903" s="300">
        <f>'Non-Energy Use'!AA134*1000</f>
        <v>16916.636361560453</v>
      </c>
      <c r="AC903" s="300">
        <f>'Non-Energy Use'!AB134*1000</f>
        <v>16029.568685890108</v>
      </c>
      <c r="AD903" s="300">
        <f>'Non-Energy Use'!AC134*1000</f>
        <v>16219.648769841708</v>
      </c>
      <c r="AE903" s="300">
        <f>'Non-Energy Use'!AD134*1000</f>
        <v>17018.193844244463</v>
      </c>
      <c r="AF903" s="300">
        <f>'Non-Energy Use'!AE134*1000</f>
        <v>17462.362032666617</v>
      </c>
      <c r="AG903" s="300">
        <f>'Non-Energy Use'!AF134*1000</f>
        <v>17376.745166345867</v>
      </c>
      <c r="AH903" s="300">
        <f>'Non-Energy Use'!AG134*1000</f>
        <v>16222.247560956128</v>
      </c>
      <c r="AI903" s="300">
        <f>'Non-Energy Use'!AH134*1000</f>
        <v>17268.312141815826</v>
      </c>
      <c r="AJ903" s="300">
        <f>'Non-Energy Use'!AI134*1000</f>
        <v>17030.737615529029</v>
      </c>
      <c r="AK903" s="300">
        <f>'Non-Energy Use'!AJ134*1000</f>
        <v>18377.443448775088</v>
      </c>
      <c r="AL903" s="300">
        <f>'Non-Energy Use'!AK134*1000</f>
        <v>18746.778730855225</v>
      </c>
      <c r="AM903" s="315"/>
      <c r="AN903" s="315"/>
    </row>
    <row r="904" spans="1:40" ht="12.6">
      <c r="A904" s="1016" t="s">
        <v>1031</v>
      </c>
      <c r="B904" s="991" t="s">
        <v>823</v>
      </c>
      <c r="C904" s="991"/>
      <c r="D904" s="315"/>
      <c r="E904" s="991" t="s">
        <v>122</v>
      </c>
      <c r="F904" s="300">
        <f>('Non-Energy Use'!E78)*1055.05585262</f>
        <v>1234618.9733449556</v>
      </c>
      <c r="G904" s="300">
        <f>('Non-Energy Use'!F78)*1055.05585262</f>
        <v>1135804.5523002718</v>
      </c>
      <c r="H904" s="300">
        <f>('Non-Energy Use'!G78)*1055.05585262</f>
        <v>1162903.6618748165</v>
      </c>
      <c r="I904" s="300">
        <f>('Non-Energy Use'!H78)*1055.05585262</f>
        <v>1212280.2757774324</v>
      </c>
      <c r="J904" s="300">
        <f>('Non-Energy Use'!I78)*1055.05585262</f>
        <v>1237492.9454874925</v>
      </c>
      <c r="K904" s="300">
        <f>('Non-Energy Use'!J78)*1055.05585262</f>
        <v>1243040.4291605684</v>
      </c>
      <c r="L904" s="300">
        <f>('Non-Energy Use'!K78)*1055.05585262</f>
        <v>1240673.9388831418</v>
      </c>
      <c r="M904" s="300">
        <f>('Non-Energy Use'!L78)*1055.05585262</f>
        <v>1290930.4693668426</v>
      </c>
      <c r="N904" s="300">
        <f>('Non-Energy Use'!M78)*1055.05585262</f>
        <v>1332062.8768370862</v>
      </c>
      <c r="O904" s="300">
        <f>('Non-Energy Use'!N78)*1055.05585262</f>
        <v>1397329.686936012</v>
      </c>
      <c r="P904" s="300">
        <f>('Non-Energy Use'!O78)*1055.05585262</f>
        <v>1345911.5399585764</v>
      </c>
      <c r="Q904" s="300">
        <f>('Non-Energy Use'!P78)*1055.05585262</f>
        <v>1326062.774203236</v>
      </c>
      <c r="R904" s="300">
        <f>('Non-Energy Use'!Q78)*1055.05585262</f>
        <v>1308223.8898471375</v>
      </c>
      <c r="S904" s="300">
        <f>('Non-Energy Use'!R78)*1055.05585262</f>
        <v>1286680.7043924895</v>
      </c>
      <c r="T904" s="300">
        <f>('Non-Energy Use'!S78)*1055.05585262</f>
        <v>1375632.4633268816</v>
      </c>
      <c r="U904" s="300">
        <f>('Non-Energy Use'!T78)*1055.05585262</f>
        <v>1396089.9963091835</v>
      </c>
      <c r="V904" s="300">
        <f>('Non-Energy Use'!U78)*1055.05585262</f>
        <v>1330600.5694253549</v>
      </c>
      <c r="W904" s="300">
        <f>('Non-Energy Use'!V78)*1055.05585262</f>
        <v>1262943.0027643922</v>
      </c>
      <c r="X904" s="300">
        <f>('Non-Energy Use'!W78)*1055.05585262</f>
        <v>1067685.926231714</v>
      </c>
      <c r="Y904" s="300">
        <f>('Non-Energy Use'!X78)*1055.05585262</f>
        <v>921151.32897302741</v>
      </c>
      <c r="Z904" s="300">
        <f>('Non-Energy Use'!Y78)*1055.05585262</f>
        <v>926094.26564255217</v>
      </c>
      <c r="AA904" s="300">
        <f>('Non-Energy Use'!Z78)*1055.05585262</f>
        <v>906808.89971251122</v>
      </c>
      <c r="AB904" s="300">
        <f>('Non-Energy Use'!AA78)*1055.05585262</f>
        <v>872211.50819339615</v>
      </c>
      <c r="AC904" s="300">
        <f>('Non-Energy Use'!AB78)*1055.05585262</f>
        <v>826474.83698231913</v>
      </c>
      <c r="AD904" s="300">
        <f>('Non-Energy Use'!AC78)*1055.05585262</f>
        <v>836275.2507973063</v>
      </c>
      <c r="AE904" s="300">
        <f>('Non-Energy Use'!AD78)*1055.05585262</f>
        <v>877447.75038994919</v>
      </c>
      <c r="AF904" s="300">
        <f>('Non-Energy Use'!AE78)*1055.05585262</f>
        <v>900348.79272691894</v>
      </c>
      <c r="AG904" s="300">
        <f>('Non-Energy Use'!AF78)*1055.05585262</f>
        <v>895934.43903955689</v>
      </c>
      <c r="AH904" s="300">
        <f>('Non-Energy Use'!AG78)*1055.05585262</f>
        <v>836409.24289058906</v>
      </c>
      <c r="AI904" s="300">
        <f>('Non-Energy Use'!AH78)*1055.05585262</f>
        <v>890343.69807652349</v>
      </c>
      <c r="AJ904" s="300">
        <f>('Non-Energy Use'!AI78)*1055.05585262</f>
        <v>878094.49962760531</v>
      </c>
      <c r="AK904" s="300">
        <f>('Non-Energy Use'!AJ78)*1055.05585262</f>
        <v>947529.8354002327</v>
      </c>
      <c r="AL904" s="300">
        <f>('Non-Energy Use'!AK78)*1055.05585262</f>
        <v>966572.53848417115</v>
      </c>
      <c r="AM904" s="315"/>
      <c r="AN904" s="315"/>
    </row>
    <row r="905" spans="1:40" ht="12.6">
      <c r="A905" s="1016" t="s">
        <v>1032</v>
      </c>
      <c r="B905" s="991" t="s">
        <v>825</v>
      </c>
      <c r="C905" s="991"/>
      <c r="D905" s="315"/>
      <c r="E905" s="315"/>
      <c r="F905" s="809" t="s">
        <v>826</v>
      </c>
      <c r="G905" s="809" t="s">
        <v>826</v>
      </c>
      <c r="H905" s="809" t="s">
        <v>826</v>
      </c>
      <c r="I905" s="809" t="s">
        <v>826</v>
      </c>
      <c r="J905" s="809" t="s">
        <v>826</v>
      </c>
      <c r="K905" s="809" t="s">
        <v>826</v>
      </c>
      <c r="L905" s="809" t="s">
        <v>826</v>
      </c>
      <c r="M905" s="809" t="s">
        <v>826</v>
      </c>
      <c r="N905" s="809" t="s">
        <v>826</v>
      </c>
      <c r="O905" s="809" t="s">
        <v>826</v>
      </c>
      <c r="P905" s="809" t="s">
        <v>826</v>
      </c>
      <c r="Q905" s="809" t="s">
        <v>826</v>
      </c>
      <c r="R905" s="809" t="s">
        <v>826</v>
      </c>
      <c r="S905" s="809" t="s">
        <v>826</v>
      </c>
      <c r="T905" s="809" t="s">
        <v>826</v>
      </c>
      <c r="U905" s="809" t="s">
        <v>826</v>
      </c>
      <c r="V905" s="809" t="s">
        <v>826</v>
      </c>
      <c r="W905" s="809" t="s">
        <v>826</v>
      </c>
      <c r="X905" s="809" t="s">
        <v>826</v>
      </c>
      <c r="Y905" s="809" t="s">
        <v>826</v>
      </c>
      <c r="Z905" s="809" t="s">
        <v>826</v>
      </c>
      <c r="AA905" s="809" t="s">
        <v>826</v>
      </c>
      <c r="AB905" s="809" t="s">
        <v>826</v>
      </c>
      <c r="AC905" s="809" t="s">
        <v>826</v>
      </c>
      <c r="AD905" s="809" t="s">
        <v>826</v>
      </c>
      <c r="AE905" s="809" t="s">
        <v>826</v>
      </c>
      <c r="AF905" s="809" t="s">
        <v>826</v>
      </c>
      <c r="AG905" s="809" t="s">
        <v>826</v>
      </c>
      <c r="AH905" s="809" t="s">
        <v>826</v>
      </c>
      <c r="AI905" s="809" t="s">
        <v>826</v>
      </c>
      <c r="AJ905" s="809" t="s">
        <v>826</v>
      </c>
      <c r="AK905" s="809" t="s">
        <v>826</v>
      </c>
      <c r="AL905" s="809" t="s">
        <v>826</v>
      </c>
      <c r="AM905" s="315"/>
      <c r="AN905" s="315"/>
    </row>
    <row r="906" spans="1:40" ht="12.6">
      <c r="A906" s="1016" t="s">
        <v>1033</v>
      </c>
      <c r="B906" s="991" t="s">
        <v>134</v>
      </c>
      <c r="D906" s="315"/>
      <c r="E906" s="315"/>
      <c r="F906" s="809" t="s">
        <v>828</v>
      </c>
      <c r="G906" s="809" t="s">
        <v>828</v>
      </c>
      <c r="H906" s="809" t="s">
        <v>828</v>
      </c>
      <c r="I906" s="809" t="s">
        <v>828</v>
      </c>
      <c r="J906" s="809" t="s">
        <v>828</v>
      </c>
      <c r="K906" s="809" t="s">
        <v>828</v>
      </c>
      <c r="L906" s="809" t="s">
        <v>828</v>
      </c>
      <c r="M906" s="809" t="s">
        <v>828</v>
      </c>
      <c r="N906" s="809" t="s">
        <v>828</v>
      </c>
      <c r="O906" s="809" t="s">
        <v>828</v>
      </c>
      <c r="P906" s="809" t="s">
        <v>828</v>
      </c>
      <c r="Q906" s="809" t="s">
        <v>828</v>
      </c>
      <c r="R906" s="809" t="s">
        <v>828</v>
      </c>
      <c r="S906" s="809" t="s">
        <v>828</v>
      </c>
      <c r="T906" s="809" t="s">
        <v>828</v>
      </c>
      <c r="U906" s="809" t="s">
        <v>828</v>
      </c>
      <c r="V906" s="809" t="s">
        <v>828</v>
      </c>
      <c r="W906" s="809" t="s">
        <v>828</v>
      </c>
      <c r="X906" s="809" t="s">
        <v>828</v>
      </c>
      <c r="Y906" s="809" t="s">
        <v>828</v>
      </c>
      <c r="Z906" s="809" t="s">
        <v>828</v>
      </c>
      <c r="AA906" s="809" t="s">
        <v>828</v>
      </c>
      <c r="AB906" s="809" t="s">
        <v>828</v>
      </c>
      <c r="AC906" s="809" t="s">
        <v>828</v>
      </c>
      <c r="AD906" s="809" t="s">
        <v>828</v>
      </c>
      <c r="AE906" s="809" t="s">
        <v>828</v>
      </c>
      <c r="AF906" s="809" t="s">
        <v>828</v>
      </c>
      <c r="AG906" s="809" t="s">
        <v>828</v>
      </c>
      <c r="AH906" s="809" t="s">
        <v>828</v>
      </c>
      <c r="AI906" s="809" t="s">
        <v>828</v>
      </c>
      <c r="AJ906" s="809" t="s">
        <v>828</v>
      </c>
      <c r="AK906" s="809" t="s">
        <v>828</v>
      </c>
      <c r="AL906" s="809" t="s">
        <v>828</v>
      </c>
      <c r="AM906" s="315"/>
      <c r="AN906" s="315"/>
    </row>
    <row r="907" spans="1:40" s="797" customFormat="1" ht="12.95">
      <c r="A907" s="992" t="s">
        <v>1034</v>
      </c>
      <c r="B907" s="791"/>
      <c r="C907" s="796"/>
      <c r="D907" s="796"/>
      <c r="E907" s="796"/>
      <c r="F907" s="795"/>
      <c r="G907" s="795"/>
      <c r="H907" s="795"/>
      <c r="I907" s="795"/>
      <c r="J907" s="795"/>
      <c r="K907" s="795"/>
      <c r="L907" s="795"/>
      <c r="M907" s="795"/>
      <c r="N907" s="795"/>
      <c r="O907" s="795"/>
      <c r="P907" s="795"/>
      <c r="Q907" s="795"/>
      <c r="R907" s="795"/>
      <c r="S907" s="795"/>
      <c r="T907" s="795"/>
      <c r="U907" s="795"/>
      <c r="V907" s="795"/>
      <c r="W907" s="795"/>
      <c r="X907" s="795"/>
      <c r="Y907" s="795"/>
      <c r="Z907" s="795"/>
      <c r="AA907" s="795"/>
      <c r="AB907" s="795"/>
      <c r="AC907" s="795"/>
      <c r="AD907" s="795"/>
      <c r="AE907" s="795"/>
      <c r="AF907" s="795"/>
      <c r="AG907" s="795"/>
      <c r="AH907" s="795"/>
      <c r="AI907" s="795"/>
      <c r="AJ907" s="795"/>
      <c r="AK907" s="795"/>
      <c r="AL907" s="795"/>
      <c r="AM907" s="796"/>
      <c r="AN907" s="796"/>
    </row>
    <row r="908" spans="1:40" s="797" customFormat="1" ht="12.95">
      <c r="A908" s="989" t="s">
        <v>1035</v>
      </c>
      <c r="B908" s="796"/>
      <c r="C908" s="796"/>
      <c r="D908" s="796"/>
      <c r="E908" s="796"/>
      <c r="F908" s="795"/>
      <c r="G908" s="795"/>
      <c r="H908" s="795"/>
      <c r="I908" s="795"/>
      <c r="J908" s="795"/>
      <c r="K908" s="795"/>
      <c r="L908" s="795"/>
      <c r="M908" s="795"/>
      <c r="N908" s="795"/>
      <c r="O908" s="795"/>
      <c r="P908" s="795"/>
      <c r="Q908" s="795"/>
      <c r="R908" s="795"/>
      <c r="S908" s="795"/>
      <c r="T908" s="795"/>
      <c r="U908" s="795"/>
      <c r="V908" s="795"/>
      <c r="W908" s="795"/>
      <c r="X908" s="795"/>
      <c r="Y908" s="795"/>
      <c r="Z908" s="795"/>
      <c r="AA908" s="795"/>
      <c r="AB908" s="795"/>
      <c r="AC908" s="795"/>
      <c r="AD908" s="795"/>
      <c r="AE908" s="795"/>
      <c r="AF908" s="795"/>
      <c r="AG908" s="795"/>
      <c r="AH908" s="795"/>
      <c r="AI908" s="795"/>
      <c r="AJ908" s="795"/>
      <c r="AK908" s="795"/>
      <c r="AL908" s="795"/>
      <c r="AM908" s="796"/>
      <c r="AN908" s="796"/>
    </row>
    <row r="909" spans="1:40" ht="12.6">
      <c r="A909" s="990" t="s">
        <v>1036</v>
      </c>
      <c r="B909" s="991" t="s">
        <v>128</v>
      </c>
      <c r="C909" s="991"/>
      <c r="D909" s="991" t="s">
        <v>129</v>
      </c>
      <c r="E909" s="991" t="s">
        <v>130</v>
      </c>
      <c r="F909" s="808" t="s">
        <v>99</v>
      </c>
      <c r="G909" s="808" t="s">
        <v>99</v>
      </c>
      <c r="H909" s="808" t="s">
        <v>99</v>
      </c>
      <c r="I909" s="808" t="s">
        <v>99</v>
      </c>
      <c r="J909" s="808" t="s">
        <v>99</v>
      </c>
      <c r="K909" s="808" t="s">
        <v>99</v>
      </c>
      <c r="L909" s="808" t="s">
        <v>99</v>
      </c>
      <c r="M909" s="808" t="s">
        <v>99</v>
      </c>
      <c r="N909" s="808" t="s">
        <v>99</v>
      </c>
      <c r="O909" s="808" t="s">
        <v>99</v>
      </c>
      <c r="P909" s="808" t="s">
        <v>99</v>
      </c>
      <c r="Q909" s="808" t="s">
        <v>99</v>
      </c>
      <c r="R909" s="808" t="s">
        <v>99</v>
      </c>
      <c r="S909" s="808" t="s">
        <v>99</v>
      </c>
      <c r="T909" s="808" t="s">
        <v>99</v>
      </c>
      <c r="U909" s="808" t="s">
        <v>99</v>
      </c>
      <c r="V909" s="808" t="s">
        <v>99</v>
      </c>
      <c r="W909" s="808" t="s">
        <v>99</v>
      </c>
      <c r="X909" s="808" t="s">
        <v>99</v>
      </c>
      <c r="Y909" s="808" t="s">
        <v>99</v>
      </c>
      <c r="Z909" s="808" t="s">
        <v>99</v>
      </c>
      <c r="AA909" s="808" t="s">
        <v>99</v>
      </c>
      <c r="AB909" s="808" t="s">
        <v>99</v>
      </c>
      <c r="AC909" s="808" t="s">
        <v>99</v>
      </c>
      <c r="AD909" s="808" t="s">
        <v>99</v>
      </c>
      <c r="AE909" s="808" t="s">
        <v>99</v>
      </c>
      <c r="AF909" s="808" t="s">
        <v>99</v>
      </c>
      <c r="AG909" s="808" t="s">
        <v>99</v>
      </c>
      <c r="AH909" s="808" t="s">
        <v>99</v>
      </c>
      <c r="AI909" s="808" t="s">
        <v>99</v>
      </c>
      <c r="AJ909" s="808" t="s">
        <v>99</v>
      </c>
      <c r="AK909" s="808" t="s">
        <v>99</v>
      </c>
      <c r="AL909" s="808" t="s">
        <v>99</v>
      </c>
      <c r="AM909" s="344" t="s">
        <v>818</v>
      </c>
      <c r="AN909" s="344"/>
    </row>
    <row r="910" spans="1:40" ht="12.6">
      <c r="A910" s="990" t="s">
        <v>1037</v>
      </c>
      <c r="B910" s="991" t="s">
        <v>820</v>
      </c>
      <c r="C910" s="991"/>
      <c r="D910" s="991" t="s">
        <v>109</v>
      </c>
      <c r="E910" s="991" t="s">
        <v>130</v>
      </c>
      <c r="F910" s="300">
        <f>'Non-Energy Use'!E133*1000</f>
        <v>2366.3965033512345</v>
      </c>
      <c r="G910" s="300">
        <f>'Non-Energy Use'!F133*1000</f>
        <v>2248.3760369800948</v>
      </c>
      <c r="H910" s="300">
        <f>'Non-Energy Use'!G133*1000</f>
        <v>2430.5495584514747</v>
      </c>
      <c r="I910" s="300">
        <f>'Non-Energy Use'!H133*1000</f>
        <v>2662.2927244320631</v>
      </c>
      <c r="J910" s="300">
        <f>'Non-Energy Use'!I133*1000</f>
        <v>2830.5883691323625</v>
      </c>
      <c r="K910" s="300">
        <f>'Non-Energy Use'!J133*1000</f>
        <v>3089.7560845664484</v>
      </c>
      <c r="L910" s="300">
        <f>'Non-Energy Use'!K133*1000</f>
        <v>3364.1748747910037</v>
      </c>
      <c r="M910" s="300">
        <f>'Non-Energy Use'!L133*1000</f>
        <v>3278.1806823885945</v>
      </c>
      <c r="N910" s="300">
        <f>'Non-Energy Use'!M133*1000</f>
        <v>3552.1075003388705</v>
      </c>
      <c r="O910" s="300">
        <f>'Non-Energy Use'!N133*1000</f>
        <v>3384.1660801972653</v>
      </c>
      <c r="P910" s="300">
        <f>'Non-Energy Use'!O133*1000</f>
        <v>3439.2455041919984</v>
      </c>
      <c r="Q910" s="300">
        <f>'Non-Energy Use'!P133*1000</f>
        <v>3410.5494070767995</v>
      </c>
      <c r="R910" s="300">
        <f>'Non-Energy Use'!Q133*1000</f>
        <v>3274.5137934603558</v>
      </c>
      <c r="S910" s="300">
        <f>'Non-Energy Use'!R133*1000</f>
        <v>2819.0006168969994</v>
      </c>
      <c r="T910" s="300">
        <f>'Non-Energy Use'!S133*1000</f>
        <v>2480.1648739694606</v>
      </c>
      <c r="U910" s="300">
        <f>'Non-Energy Use'!T133*1000</f>
        <v>2294.6220419995066</v>
      </c>
      <c r="V910" s="300">
        <f>'Non-Energy Use'!U133*1000</f>
        <v>2044.3461101037519</v>
      </c>
      <c r="W910" s="300">
        <f>'Non-Energy Use'!V133*1000</f>
        <v>2255.4630890446324</v>
      </c>
      <c r="X910" s="300">
        <f>'Non-Energy Use'!W133*1000</f>
        <v>2456.9110254585921</v>
      </c>
      <c r="Y910" s="300">
        <f>'Non-Energy Use'!X133*1000</f>
        <v>2672.6210402554061</v>
      </c>
      <c r="Z910" s="300">
        <f>'Non-Energy Use'!Y133*1000</f>
        <v>2966.6993316482831</v>
      </c>
      <c r="AA910" s="300">
        <f>'Non-Energy Use'!Z133*1000</f>
        <v>2990.6464124231347</v>
      </c>
      <c r="AB910" s="300">
        <f>'Non-Energy Use'!AA133*1000</f>
        <v>3023.4295611595239</v>
      </c>
      <c r="AC910" s="300">
        <f>'Non-Energy Use'!AB133*1000</f>
        <v>3024.0976268448303</v>
      </c>
      <c r="AD910" s="300">
        <f>'Non-Energy Use'!AC133*1000</f>
        <v>3145.1357624377088</v>
      </c>
      <c r="AE910" s="300">
        <f>'Non-Energy Use'!AD133*1000</f>
        <v>4096.384744778592</v>
      </c>
      <c r="AF910" s="300">
        <f>'Non-Energy Use'!AE133*1000</f>
        <v>4948.1625532280505</v>
      </c>
      <c r="AG910" s="300">
        <f>'Non-Energy Use'!AF133*1000</f>
        <v>5603.132977944585</v>
      </c>
      <c r="AH910" s="300">
        <f>'Non-Energy Use'!AG133*1000</f>
        <v>6179.3220806598065</v>
      </c>
      <c r="AI910" s="300">
        <f>'Non-Energy Use'!AH133*1000</f>
        <v>6206.6561542111158</v>
      </c>
      <c r="AJ910" s="300">
        <f>'Non-Energy Use'!AI133*1000</f>
        <v>6324.0616989034688</v>
      </c>
      <c r="AK910" s="300">
        <f>'Non-Energy Use'!AJ133*1000</f>
        <v>6012.5520171548951</v>
      </c>
      <c r="AL910" s="300">
        <f>'Non-Energy Use'!AK133*1000</f>
        <v>6073.6631385936607</v>
      </c>
      <c r="AM910" s="315"/>
      <c r="AN910" s="315"/>
    </row>
    <row r="911" spans="1:40" ht="12.6">
      <c r="A911" s="990" t="s">
        <v>1038</v>
      </c>
      <c r="B911" s="991" t="s">
        <v>823</v>
      </c>
      <c r="C911" s="991"/>
      <c r="D911" s="315"/>
      <c r="E911" s="991" t="s">
        <v>122</v>
      </c>
      <c r="F911" s="810">
        <f>('Non-Energy Use'!E77)*1055.05585262</f>
        <v>296876.39684085426</v>
      </c>
      <c r="G911" s="810">
        <f>('Non-Energy Use'!F77)*1055.05585262</f>
        <v>290170.79070190026</v>
      </c>
      <c r="H911" s="810">
        <f>('Non-Energy Use'!G77)*1055.05585262</f>
        <v>310692.60300451098</v>
      </c>
      <c r="I911" s="810">
        <f>('Non-Energy Use'!H77)*1055.05585262</f>
        <v>321701.50965274766</v>
      </c>
      <c r="J911" s="810">
        <f>('Non-Energy Use'!I77)*1055.05585262</f>
        <v>346720.85466170724</v>
      </c>
      <c r="K911" s="810">
        <f>('Non-Energy Use'!J77)*1055.05585262</f>
        <v>366430.40867105155</v>
      </c>
      <c r="L911" s="810">
        <f>('Non-Energy Use'!K77)*1055.05585262</f>
        <v>384379.33569495339</v>
      </c>
      <c r="M911" s="810">
        <f>('Non-Energy Use'!L77)*1055.05585262</f>
        <v>399299.46551871236</v>
      </c>
      <c r="N911" s="810">
        <f>('Non-Energy Use'!M77)*1055.05585262</f>
        <v>429951.51047075063</v>
      </c>
      <c r="O911" s="810">
        <f>('Non-Energy Use'!N77)*1055.05585262</f>
        <v>418211.06141151977</v>
      </c>
      <c r="P911" s="810">
        <f>('Non-Energy Use'!O77)*1055.05585262</f>
        <v>405366.83520536061</v>
      </c>
      <c r="Q911" s="810">
        <f>('Non-Energy Use'!P77)*1055.05585262</f>
        <v>409103.64807304618</v>
      </c>
      <c r="R911" s="810">
        <f>('Non-Energy Use'!Q77)*1055.05585262</f>
        <v>386135.88550320832</v>
      </c>
      <c r="S911" s="810">
        <f>('Non-Energy Use'!R77)*1055.05585262</f>
        <v>335070.85290651949</v>
      </c>
      <c r="T911" s="810">
        <f>('Non-Energy Use'!S77)*1055.05585262</f>
        <v>290047.25612737564</v>
      </c>
      <c r="U911" s="810">
        <f>('Non-Energy Use'!T77)*1055.05585262</f>
        <v>275225.09531517146</v>
      </c>
      <c r="V911" s="810">
        <f>('Non-Energy Use'!U77)*1055.05585262</f>
        <v>241011.88764926989</v>
      </c>
      <c r="W911" s="810">
        <f>('Non-Energy Use'!V77)*1055.05585262</f>
        <v>254319.44295799889</v>
      </c>
      <c r="X911" s="810">
        <f>('Non-Energy Use'!W77)*1055.05585262</f>
        <v>279630.18465287593</v>
      </c>
      <c r="Y911" s="810">
        <f>('Non-Energy Use'!X77)*1055.05585262</f>
        <v>290080.70257012517</v>
      </c>
      <c r="Z911" s="810">
        <f>('Non-Energy Use'!Y77)*1055.05585262</f>
        <v>313451.61673246505</v>
      </c>
      <c r="AA911" s="810">
        <f>('Non-Energy Use'!Z77)*1055.05585262</f>
        <v>316119.7935796426</v>
      </c>
      <c r="AB911" s="810">
        <f>('Non-Energy Use'!AA77)*1055.05585262</f>
        <v>316561.3523436815</v>
      </c>
      <c r="AC911" s="810">
        <f>('Non-Energy Use'!AB77)*1055.05585262</f>
        <v>326733.37658519513</v>
      </c>
      <c r="AD911" s="810">
        <f>('Non-Energy Use'!AC77)*1055.05585262</f>
        <v>341762.69540594117</v>
      </c>
      <c r="AE911" s="810">
        <f>('Non-Energy Use'!AD77)*1055.05585262</f>
        <v>442427.34006334667</v>
      </c>
      <c r="AF911" s="810">
        <f>('Non-Energy Use'!AE77)*1055.05585262</f>
        <v>524179.92602504528</v>
      </c>
      <c r="AG911" s="810">
        <f>('Non-Energy Use'!AF77)*1055.05585262</f>
        <v>620556.11711261515</v>
      </c>
      <c r="AH911" s="810">
        <f>('Non-Energy Use'!AG77)*1055.05585262</f>
        <v>713421.77248020377</v>
      </c>
      <c r="AI911" s="810">
        <f>('Non-Energy Use'!AH77)*1055.05585262</f>
        <v>703030.14172396413</v>
      </c>
      <c r="AJ911" s="810">
        <f>('Non-Energy Use'!AI77)*1055.05585262</f>
        <v>700208.17933360825</v>
      </c>
      <c r="AK911" s="810">
        <f>('Non-Energy Use'!AJ77)*1055.05585262</f>
        <v>703148.94128277956</v>
      </c>
      <c r="AL911" s="810">
        <f>('Non-Energy Use'!AK77)*1055.05585262</f>
        <v>701666.30636984552</v>
      </c>
      <c r="AM911" s="315"/>
      <c r="AN911" s="315"/>
    </row>
    <row r="912" spans="1:40" ht="12.6">
      <c r="A912" s="990" t="s">
        <v>1039</v>
      </c>
      <c r="B912" s="991" t="s">
        <v>825</v>
      </c>
      <c r="C912" s="991"/>
      <c r="D912" s="315"/>
      <c r="E912" s="315"/>
      <c r="F912" s="809" t="s">
        <v>826</v>
      </c>
      <c r="G912" s="809" t="s">
        <v>826</v>
      </c>
      <c r="H912" s="809" t="s">
        <v>826</v>
      </c>
      <c r="I912" s="809" t="s">
        <v>826</v>
      </c>
      <c r="J912" s="809" t="s">
        <v>826</v>
      </c>
      <c r="K912" s="809" t="s">
        <v>826</v>
      </c>
      <c r="L912" s="809" t="s">
        <v>826</v>
      </c>
      <c r="M912" s="809" t="s">
        <v>826</v>
      </c>
      <c r="N912" s="809" t="s">
        <v>826</v>
      </c>
      <c r="O912" s="809" t="s">
        <v>826</v>
      </c>
      <c r="P912" s="809" t="s">
        <v>826</v>
      </c>
      <c r="Q912" s="809" t="s">
        <v>826</v>
      </c>
      <c r="R912" s="809" t="s">
        <v>826</v>
      </c>
      <c r="S912" s="809" t="s">
        <v>826</v>
      </c>
      <c r="T912" s="809" t="s">
        <v>826</v>
      </c>
      <c r="U912" s="809" t="s">
        <v>826</v>
      </c>
      <c r="V912" s="809" t="s">
        <v>826</v>
      </c>
      <c r="W912" s="809" t="s">
        <v>826</v>
      </c>
      <c r="X912" s="809" t="s">
        <v>826</v>
      </c>
      <c r="Y912" s="809" t="s">
        <v>826</v>
      </c>
      <c r="Z912" s="809" t="s">
        <v>826</v>
      </c>
      <c r="AA912" s="809" t="s">
        <v>826</v>
      </c>
      <c r="AB912" s="809" t="s">
        <v>826</v>
      </c>
      <c r="AC912" s="809" t="s">
        <v>826</v>
      </c>
      <c r="AD912" s="809" t="s">
        <v>826</v>
      </c>
      <c r="AE912" s="809" t="s">
        <v>826</v>
      </c>
      <c r="AF912" s="809" t="s">
        <v>826</v>
      </c>
      <c r="AG912" s="809" t="s">
        <v>826</v>
      </c>
      <c r="AH912" s="809" t="s">
        <v>826</v>
      </c>
      <c r="AI912" s="809" t="s">
        <v>826</v>
      </c>
      <c r="AJ912" s="809" t="s">
        <v>826</v>
      </c>
      <c r="AK912" s="809" t="s">
        <v>826</v>
      </c>
      <c r="AL912" s="809" t="s">
        <v>826</v>
      </c>
      <c r="AM912" s="315"/>
      <c r="AN912" s="315"/>
    </row>
    <row r="913" spans="1:40" ht="12.6">
      <c r="A913" s="990" t="s">
        <v>1040</v>
      </c>
      <c r="B913" s="991" t="s">
        <v>134</v>
      </c>
      <c r="D913" s="315"/>
      <c r="E913" s="315"/>
      <c r="F913" s="809" t="s">
        <v>828</v>
      </c>
      <c r="G913" s="809" t="s">
        <v>828</v>
      </c>
      <c r="H913" s="809" t="s">
        <v>828</v>
      </c>
      <c r="I913" s="809" t="s">
        <v>828</v>
      </c>
      <c r="J913" s="809" t="s">
        <v>828</v>
      </c>
      <c r="K913" s="809" t="s">
        <v>828</v>
      </c>
      <c r="L913" s="809" t="s">
        <v>828</v>
      </c>
      <c r="M913" s="809" t="s">
        <v>828</v>
      </c>
      <c r="N913" s="809" t="s">
        <v>828</v>
      </c>
      <c r="O913" s="809" t="s">
        <v>828</v>
      </c>
      <c r="P913" s="809" t="s">
        <v>828</v>
      </c>
      <c r="Q913" s="809" t="s">
        <v>828</v>
      </c>
      <c r="R913" s="809" t="s">
        <v>828</v>
      </c>
      <c r="S913" s="809" t="s">
        <v>828</v>
      </c>
      <c r="T913" s="809" t="s">
        <v>828</v>
      </c>
      <c r="U913" s="809" t="s">
        <v>828</v>
      </c>
      <c r="V913" s="809" t="s">
        <v>828</v>
      </c>
      <c r="W913" s="809" t="s">
        <v>828</v>
      </c>
      <c r="X913" s="809" t="s">
        <v>828</v>
      </c>
      <c r="Y913" s="809" t="s">
        <v>828</v>
      </c>
      <c r="Z913" s="809" t="s">
        <v>828</v>
      </c>
      <c r="AA913" s="809" t="s">
        <v>828</v>
      </c>
      <c r="AB913" s="809" t="s">
        <v>828</v>
      </c>
      <c r="AC913" s="809" t="s">
        <v>828</v>
      </c>
      <c r="AD913" s="809" t="s">
        <v>828</v>
      </c>
      <c r="AE913" s="809" t="s">
        <v>828</v>
      </c>
      <c r="AF913" s="809" t="s">
        <v>828</v>
      </c>
      <c r="AG913" s="809" t="s">
        <v>828</v>
      </c>
      <c r="AH913" s="809" t="s">
        <v>828</v>
      </c>
      <c r="AI913" s="809" t="s">
        <v>828</v>
      </c>
      <c r="AJ913" s="809" t="s">
        <v>828</v>
      </c>
      <c r="AK913" s="809" t="s">
        <v>828</v>
      </c>
      <c r="AL913" s="809" t="s">
        <v>828</v>
      </c>
      <c r="AM913" s="315"/>
      <c r="AN913" s="315"/>
    </row>
    <row r="914" spans="1:40" s="797" customFormat="1" ht="12.95">
      <c r="A914" s="989" t="s">
        <v>1041</v>
      </c>
      <c r="B914" s="796"/>
      <c r="C914" s="796"/>
      <c r="D914" s="796"/>
      <c r="E914" s="796"/>
      <c r="F914" s="795"/>
      <c r="G914" s="795"/>
      <c r="H914" s="795"/>
      <c r="I914" s="795"/>
      <c r="J914" s="795"/>
      <c r="K914" s="795"/>
      <c r="L914" s="795"/>
      <c r="M914" s="795"/>
      <c r="N914" s="795"/>
      <c r="O914" s="795"/>
      <c r="P914" s="795"/>
      <c r="Q914" s="795"/>
      <c r="R914" s="795"/>
      <c r="S914" s="795"/>
      <c r="T914" s="795"/>
      <c r="U914" s="795"/>
      <c r="V914" s="795"/>
      <c r="W914" s="795"/>
      <c r="X914" s="795"/>
      <c r="Y914" s="795"/>
      <c r="Z914" s="795"/>
      <c r="AA914" s="795"/>
      <c r="AB914" s="795"/>
      <c r="AC914" s="795"/>
      <c r="AD914" s="795"/>
      <c r="AE914" s="795"/>
      <c r="AF914" s="795"/>
      <c r="AG914" s="795"/>
      <c r="AH914" s="795"/>
      <c r="AI914" s="795"/>
      <c r="AJ914" s="795"/>
      <c r="AK914" s="795"/>
      <c r="AL914" s="795"/>
      <c r="AM914" s="796"/>
      <c r="AN914" s="796"/>
    </row>
    <row r="915" spans="1:40" ht="12.6">
      <c r="A915" s="990" t="s">
        <v>1042</v>
      </c>
      <c r="B915" s="991" t="s">
        <v>128</v>
      </c>
      <c r="C915" s="991"/>
      <c r="D915" s="991" t="s">
        <v>129</v>
      </c>
      <c r="E915" s="991" t="s">
        <v>130</v>
      </c>
      <c r="F915" s="300" t="s">
        <v>99</v>
      </c>
      <c r="G915" s="300" t="s">
        <v>99</v>
      </c>
      <c r="H915" s="300" t="s">
        <v>99</v>
      </c>
      <c r="I915" s="300" t="s">
        <v>99</v>
      </c>
      <c r="J915" s="300" t="s">
        <v>99</v>
      </c>
      <c r="K915" s="300" t="s">
        <v>99</v>
      </c>
      <c r="L915" s="300" t="s">
        <v>99</v>
      </c>
      <c r="M915" s="300" t="s">
        <v>99</v>
      </c>
      <c r="N915" s="300" t="s">
        <v>99</v>
      </c>
      <c r="O915" s="300" t="s">
        <v>99</v>
      </c>
      <c r="P915" s="300" t="s">
        <v>99</v>
      </c>
      <c r="Q915" s="300" t="s">
        <v>99</v>
      </c>
      <c r="R915" s="300" t="s">
        <v>99</v>
      </c>
      <c r="S915" s="300" t="s">
        <v>99</v>
      </c>
      <c r="T915" s="300" t="s">
        <v>99</v>
      </c>
      <c r="U915" s="300" t="s">
        <v>99</v>
      </c>
      <c r="V915" s="300" t="s">
        <v>99</v>
      </c>
      <c r="W915" s="300" t="s">
        <v>99</v>
      </c>
      <c r="X915" s="300" t="s">
        <v>99</v>
      </c>
      <c r="Y915" s="300" t="s">
        <v>99</v>
      </c>
      <c r="Z915" s="300" t="s">
        <v>99</v>
      </c>
      <c r="AA915" s="300" t="s">
        <v>99</v>
      </c>
      <c r="AB915" s="300" t="s">
        <v>99</v>
      </c>
      <c r="AC915" s="300" t="s">
        <v>99</v>
      </c>
      <c r="AD915" s="300" t="s">
        <v>99</v>
      </c>
      <c r="AE915" s="300" t="s">
        <v>99</v>
      </c>
      <c r="AF915" s="300" t="s">
        <v>99</v>
      </c>
      <c r="AG915" s="300" t="s">
        <v>99</v>
      </c>
      <c r="AH915" s="300" t="s">
        <v>99</v>
      </c>
      <c r="AI915" s="300" t="s">
        <v>99</v>
      </c>
      <c r="AJ915" s="300" t="s">
        <v>99</v>
      </c>
      <c r="AK915" s="300" t="s">
        <v>99</v>
      </c>
      <c r="AL915" s="300" t="s">
        <v>99</v>
      </c>
      <c r="AM915" s="344" t="s">
        <v>818</v>
      </c>
      <c r="AN915" s="344"/>
    </row>
    <row r="916" spans="1:40" ht="12.6">
      <c r="A916" s="990" t="s">
        <v>1043</v>
      </c>
      <c r="B916" s="991" t="s">
        <v>820</v>
      </c>
      <c r="C916" s="991"/>
      <c r="D916" s="991" t="s">
        <v>109</v>
      </c>
      <c r="E916" s="991" t="s">
        <v>130</v>
      </c>
      <c r="F916" s="300">
        <f>'Non-Energy Use'!E140*1000</f>
        <v>374.13125935976547</v>
      </c>
      <c r="G916" s="300">
        <f>'Non-Energy Use'!F140*1000</f>
        <v>402.45948680594728</v>
      </c>
      <c r="H916" s="300">
        <f>'Non-Energy Use'!G140*1000</f>
        <v>285.4280715434694</v>
      </c>
      <c r="I916" s="300">
        <f>'Non-Energy Use'!H140*1000</f>
        <v>482.38166783530835</v>
      </c>
      <c r="J916" s="300">
        <f>'Non-Energy Use'!I140*1000</f>
        <v>368.95208566291666</v>
      </c>
      <c r="K916" s="300">
        <f>'Non-Energy Use'!J140*1000</f>
        <v>515.87131287537773</v>
      </c>
      <c r="L916" s="300">
        <f>'Non-Energy Use'!K140*1000</f>
        <v>24.143998320564098</v>
      </c>
      <c r="M916" s="300">
        <f>'Non-Energy Use'!L140*1000</f>
        <v>127.01606007211045</v>
      </c>
      <c r="N916" s="300">
        <f>'Non-Energy Use'!M140*1000</f>
        <v>65.535579950430545</v>
      </c>
      <c r="O916" s="300">
        <f>'Non-Energy Use'!N140*1000</f>
        <v>237.97800634893321</v>
      </c>
      <c r="P916" s="300">
        <f>'Non-Energy Use'!O140*1000</f>
        <v>183.94529213831424</v>
      </c>
      <c r="Q916" s="300">
        <f>'Non-Energy Use'!P140*1000</f>
        <v>524.77900556550298</v>
      </c>
      <c r="R916" s="300">
        <f>'Non-Energy Use'!Q140*1000</f>
        <v>668.16176633668363</v>
      </c>
      <c r="S916" s="300">
        <f>'Non-Energy Use'!R140*1000</f>
        <v>634.40478037198045</v>
      </c>
      <c r="T916" s="300">
        <f>'Non-Energy Use'!S140*1000</f>
        <v>686.42871231397567</v>
      </c>
      <c r="U916" s="300">
        <f>'Non-Energy Use'!T140*1000</f>
        <v>720.84954307680755</v>
      </c>
      <c r="V916" s="300">
        <f>'Non-Energy Use'!U140*1000</f>
        <v>620.04907562899314</v>
      </c>
      <c r="W916" s="300">
        <f>'Non-Energy Use'!V140*1000</f>
        <v>500.97092161345711</v>
      </c>
      <c r="X916" s="300">
        <f>'Non-Energy Use'!W140*1000</f>
        <v>531.27111703183459</v>
      </c>
      <c r="Y916" s="300">
        <f>'Non-Energy Use'!X140*1000</f>
        <v>1574.8685974534551</v>
      </c>
      <c r="Z916" s="300">
        <f>'Non-Energy Use'!Y140*1000</f>
        <v>1784.9459538096653</v>
      </c>
      <c r="AA916" s="300">
        <f>'Non-Energy Use'!Z140*1000</f>
        <v>1974.4301550292694</v>
      </c>
      <c r="AB916" s="300">
        <f>'Non-Energy Use'!AA140*1000</f>
        <v>1958.2842681241918</v>
      </c>
      <c r="AC916" s="300">
        <f>'Non-Energy Use'!AB140*1000</f>
        <v>1971.4898249020496</v>
      </c>
      <c r="AD916" s="300">
        <f>'Non-Energy Use'!AC140*1000</f>
        <v>1936.511110479925</v>
      </c>
      <c r="AE916" s="300">
        <f>'Non-Energy Use'!AD140*1000</f>
        <v>1922.3830990169984</v>
      </c>
      <c r="AF916" s="300">
        <f>'Non-Energy Use'!AE140*1000</f>
        <v>2007.6946953513429</v>
      </c>
      <c r="AG916" s="300">
        <f>'Non-Energy Use'!AF140*1000</f>
        <v>1893.7514630695109</v>
      </c>
      <c r="AH916" s="300">
        <f>'Non-Energy Use'!AG140*1000</f>
        <v>1850.3031253675399</v>
      </c>
      <c r="AI916" s="300">
        <f>'Non-Energy Use'!AH140*1000</f>
        <v>1794.7311642434211</v>
      </c>
      <c r="AJ916" s="300">
        <f>'Non-Energy Use'!AI140*1000</f>
        <v>1681.586969617169</v>
      </c>
      <c r="AK916" s="300">
        <f>'Non-Energy Use'!AJ140*1000</f>
        <v>1673.0395986685685</v>
      </c>
      <c r="AL916" s="300">
        <f>'Non-Energy Use'!AK140*1000</f>
        <v>1740.5056272900499</v>
      </c>
      <c r="AM916" s="315"/>
      <c r="AN916" s="315"/>
    </row>
    <row r="917" spans="1:40" ht="12.6">
      <c r="A917" s="990" t="s">
        <v>1044</v>
      </c>
      <c r="B917" s="991" t="s">
        <v>823</v>
      </c>
      <c r="C917" s="991"/>
      <c r="D917" s="315"/>
      <c r="E917" s="991" t="s">
        <v>122</v>
      </c>
      <c r="F917" s="300">
        <f>'Non-Energy Use'!E84*1055.05585262</f>
        <v>38747.981243322218</v>
      </c>
      <c r="G917" s="300">
        <f>'Non-Energy Use'!F84*1055.05585262</f>
        <v>42869.029403655848</v>
      </c>
      <c r="H917" s="300">
        <f>'Non-Energy Use'!G84*1055.05585262</f>
        <v>30113.404145480072</v>
      </c>
      <c r="I917" s="300">
        <f>'Non-Energy Use'!H84*1055.05585262</f>
        <v>48142.198555050694</v>
      </c>
      <c r="J917" s="300">
        <f>'Non-Energy Use'!I84*1055.05585262</f>
        <v>37317.325507169444</v>
      </c>
      <c r="K917" s="300">
        <f>'Non-Energy Use'!J84*1055.05585262</f>
        <v>50541.395563908271</v>
      </c>
      <c r="L917" s="300">
        <f>'Non-Energy Use'!K84*1055.05585262</f>
        <v>2278.9206416591842</v>
      </c>
      <c r="M917" s="300">
        <f>'Non-Energy Use'!L84*1055.05585262</f>
        <v>12780.946598638664</v>
      </c>
      <c r="N917" s="300">
        <f>'Non-Energy Use'!M84*1055.05585262</f>
        <v>6545.5665096543908</v>
      </c>
      <c r="O917" s="300">
        <f>'Non-Energy Use'!N84*1055.05585262</f>
        <v>24289.495839017683</v>
      </c>
      <c r="P917" s="300">
        <f>'Non-Energy Use'!O84*1055.05585262</f>
        <v>17914.84837748772</v>
      </c>
      <c r="Q917" s="300">
        <f>'Non-Energy Use'!P84*1055.05585262</f>
        <v>51978.381635176847</v>
      </c>
      <c r="R917" s="300">
        <f>'Non-Energy Use'!Q84*1055.05585262</f>
        <v>65120.157335411663</v>
      </c>
      <c r="S917" s="300">
        <f>'Non-Energy Use'!R84*1055.05585262</f>
        <v>62265.176198221816</v>
      </c>
      <c r="T917" s="300">
        <f>'Non-Energy Use'!S84*1055.05585262</f>
        <v>66316.590672282822</v>
      </c>
      <c r="U917" s="300">
        <f>'Non-Energy Use'!T84*1055.05585262</f>
        <v>71393.519435090246</v>
      </c>
      <c r="V917" s="300">
        <f>'Non-Energy Use'!U84*1055.05585262</f>
        <v>60359.745328389967</v>
      </c>
      <c r="W917" s="300">
        <f>'Non-Energy Use'!V84*1055.05585262</f>
        <v>46654.569802856349</v>
      </c>
      <c r="X917" s="300">
        <f>'Non-Energy Use'!W84*1055.05585262</f>
        <v>49940.013727915095</v>
      </c>
      <c r="Y917" s="300">
        <f>'Non-Energy Use'!X84*1055.05585262</f>
        <v>141242.43710194447</v>
      </c>
      <c r="Z917" s="300">
        <f>'Non-Energy Use'!Y84*1055.05585262</f>
        <v>155906.33463053926</v>
      </c>
      <c r="AA917" s="300">
        <f>'Non-Energy Use'!Z84*1055.05585262</f>
        <v>172572.46835331491</v>
      </c>
      <c r="AB917" s="300">
        <f>'Non-Energy Use'!AA84*1055.05585262</f>
        <v>169462.75109508703</v>
      </c>
      <c r="AC917" s="300">
        <f>'Non-Energy Use'!AB84*1055.05585262</f>
        <v>175926.01481577949</v>
      </c>
      <c r="AD917" s="300">
        <f>'Non-Energy Use'!AC84*1055.05585262</f>
        <v>173596.96025925249</v>
      </c>
      <c r="AE917" s="300">
        <f>'Non-Energy Use'!AD84*1055.05585262</f>
        <v>171088.69484209645</v>
      </c>
      <c r="AF917" s="300">
        <f>'Non-Energy Use'!AE84*1055.05585262</f>
        <v>175256.54895710794</v>
      </c>
      <c r="AG917" s="300">
        <f>'Non-Energy Use'!AF84*1055.05585262</f>
        <v>172867.07081538803</v>
      </c>
      <c r="AH917" s="300">
        <f>'Non-Energy Use'!AG84*1055.05585262</f>
        <v>176070.8940939125</v>
      </c>
      <c r="AI917" s="300">
        <f>'Non-Energy Use'!AH84*1055.05585262</f>
        <v>167477.69899516975</v>
      </c>
      <c r="AJ917" s="300">
        <f>'Non-Energy Use'!AI84*1055.05585262</f>
        <v>153423.03575296709</v>
      </c>
      <c r="AK917" s="300">
        <f>'Non-Energy Use'!AJ84*1055.05585262</f>
        <v>161225.9178226525</v>
      </c>
      <c r="AL917" s="300">
        <f>'Non-Energy Use'!AK84*1055.05585262</f>
        <v>165727.47491952486</v>
      </c>
      <c r="AM917" s="315"/>
      <c r="AN917" s="315"/>
    </row>
    <row r="918" spans="1:40" ht="12.6">
      <c r="A918" s="990" t="s">
        <v>1045</v>
      </c>
      <c r="B918" s="991" t="s">
        <v>825</v>
      </c>
      <c r="C918" s="991"/>
      <c r="D918" s="315"/>
      <c r="E918" s="315"/>
      <c r="F918" s="809" t="s">
        <v>826</v>
      </c>
      <c r="G918" s="809" t="s">
        <v>826</v>
      </c>
      <c r="H918" s="809" t="s">
        <v>826</v>
      </c>
      <c r="I918" s="809" t="s">
        <v>826</v>
      </c>
      <c r="J918" s="809" t="s">
        <v>826</v>
      </c>
      <c r="K918" s="809" t="s">
        <v>826</v>
      </c>
      <c r="L918" s="809" t="s">
        <v>826</v>
      </c>
      <c r="M918" s="809" t="s">
        <v>826</v>
      </c>
      <c r="N918" s="809" t="s">
        <v>826</v>
      </c>
      <c r="O918" s="809" t="s">
        <v>826</v>
      </c>
      <c r="P918" s="809" t="s">
        <v>826</v>
      </c>
      <c r="Q918" s="809" t="s">
        <v>826</v>
      </c>
      <c r="R918" s="809" t="s">
        <v>826</v>
      </c>
      <c r="S918" s="809" t="s">
        <v>826</v>
      </c>
      <c r="T918" s="809" t="s">
        <v>826</v>
      </c>
      <c r="U918" s="809" t="s">
        <v>826</v>
      </c>
      <c r="V918" s="809" t="s">
        <v>826</v>
      </c>
      <c r="W918" s="809" t="s">
        <v>826</v>
      </c>
      <c r="X918" s="809" t="s">
        <v>826</v>
      </c>
      <c r="Y918" s="809" t="s">
        <v>826</v>
      </c>
      <c r="Z918" s="809" t="s">
        <v>826</v>
      </c>
      <c r="AA918" s="809" t="s">
        <v>826</v>
      </c>
      <c r="AB918" s="809" t="s">
        <v>826</v>
      </c>
      <c r="AC918" s="809" t="s">
        <v>826</v>
      </c>
      <c r="AD918" s="809" t="s">
        <v>826</v>
      </c>
      <c r="AE918" s="809" t="s">
        <v>826</v>
      </c>
      <c r="AF918" s="809" t="s">
        <v>826</v>
      </c>
      <c r="AG918" s="809" t="s">
        <v>826</v>
      </c>
      <c r="AH918" s="809" t="s">
        <v>826</v>
      </c>
      <c r="AI918" s="809" t="s">
        <v>826</v>
      </c>
      <c r="AJ918" s="809" t="s">
        <v>826</v>
      </c>
      <c r="AK918" s="809" t="s">
        <v>826</v>
      </c>
      <c r="AL918" s="809" t="s">
        <v>826</v>
      </c>
      <c r="AM918" s="315"/>
      <c r="AN918" s="315"/>
    </row>
    <row r="919" spans="1:40" ht="12.6">
      <c r="A919" s="990" t="s">
        <v>1046</v>
      </c>
      <c r="B919" s="991" t="s">
        <v>134</v>
      </c>
      <c r="D919" s="315"/>
      <c r="E919" s="315"/>
      <c r="F919" s="809" t="s">
        <v>828</v>
      </c>
      <c r="G919" s="809" t="s">
        <v>828</v>
      </c>
      <c r="H919" s="809" t="s">
        <v>828</v>
      </c>
      <c r="I919" s="809" t="s">
        <v>828</v>
      </c>
      <c r="J919" s="809" t="s">
        <v>828</v>
      </c>
      <c r="K919" s="809" t="s">
        <v>828</v>
      </c>
      <c r="L919" s="809" t="s">
        <v>828</v>
      </c>
      <c r="M919" s="809" t="s">
        <v>828</v>
      </c>
      <c r="N919" s="809" t="s">
        <v>828</v>
      </c>
      <c r="O919" s="809" t="s">
        <v>828</v>
      </c>
      <c r="P919" s="809" t="s">
        <v>828</v>
      </c>
      <c r="Q919" s="809" t="s">
        <v>828</v>
      </c>
      <c r="R919" s="809" t="s">
        <v>828</v>
      </c>
      <c r="S919" s="809" t="s">
        <v>828</v>
      </c>
      <c r="T919" s="809" t="s">
        <v>828</v>
      </c>
      <c r="U919" s="809" t="s">
        <v>828</v>
      </c>
      <c r="V919" s="809" t="s">
        <v>828</v>
      </c>
      <c r="W919" s="809" t="s">
        <v>828</v>
      </c>
      <c r="X919" s="809" t="s">
        <v>828</v>
      </c>
      <c r="Y919" s="809" t="s">
        <v>828</v>
      </c>
      <c r="Z919" s="809" t="s">
        <v>828</v>
      </c>
      <c r="AA919" s="809" t="s">
        <v>828</v>
      </c>
      <c r="AB919" s="809" t="s">
        <v>828</v>
      </c>
      <c r="AC919" s="809" t="s">
        <v>828</v>
      </c>
      <c r="AD919" s="809" t="s">
        <v>828</v>
      </c>
      <c r="AE919" s="809" t="s">
        <v>828</v>
      </c>
      <c r="AF919" s="809" t="s">
        <v>828</v>
      </c>
      <c r="AG919" s="809" t="s">
        <v>828</v>
      </c>
      <c r="AH919" s="809" t="s">
        <v>828</v>
      </c>
      <c r="AI919" s="809" t="s">
        <v>828</v>
      </c>
      <c r="AJ919" s="809" t="s">
        <v>828</v>
      </c>
      <c r="AK919" s="809" t="s">
        <v>828</v>
      </c>
      <c r="AL919" s="809" t="s">
        <v>828</v>
      </c>
      <c r="AM919" s="315"/>
      <c r="AN919" s="315"/>
    </row>
    <row r="920" spans="1:40" s="797" customFormat="1" ht="12.95">
      <c r="A920" s="992" t="s">
        <v>1047</v>
      </c>
      <c r="B920" s="796"/>
      <c r="C920" s="796"/>
      <c r="D920" s="796"/>
      <c r="E920" s="796"/>
      <c r="F920" s="795"/>
      <c r="G920" s="795"/>
      <c r="H920" s="795"/>
      <c r="I920" s="795"/>
      <c r="J920" s="795"/>
      <c r="K920" s="795"/>
      <c r="L920" s="795"/>
      <c r="M920" s="795"/>
      <c r="N920" s="795"/>
      <c r="O920" s="795"/>
      <c r="P920" s="795"/>
      <c r="Q920" s="795"/>
      <c r="R920" s="795"/>
      <c r="S920" s="795"/>
      <c r="T920" s="795"/>
      <c r="U920" s="795"/>
      <c r="V920" s="795"/>
      <c r="W920" s="795"/>
      <c r="X920" s="795"/>
      <c r="Y920" s="795"/>
      <c r="Z920" s="795"/>
      <c r="AA920" s="795"/>
      <c r="AB920" s="795"/>
      <c r="AC920" s="795"/>
      <c r="AD920" s="795"/>
      <c r="AE920" s="795"/>
      <c r="AF920" s="795"/>
      <c r="AG920" s="795"/>
      <c r="AH920" s="795"/>
      <c r="AI920" s="795"/>
      <c r="AJ920" s="795"/>
      <c r="AK920" s="795"/>
      <c r="AL920" s="795"/>
      <c r="AM920" s="796"/>
      <c r="AN920" s="796"/>
    </row>
    <row r="921" spans="1:40" ht="12.6">
      <c r="A921" s="990" t="s">
        <v>1048</v>
      </c>
      <c r="B921" s="991" t="s">
        <v>823</v>
      </c>
      <c r="C921" s="991"/>
      <c r="D921" s="315" t="s">
        <v>125</v>
      </c>
      <c r="E921" s="991" t="s">
        <v>122</v>
      </c>
      <c r="F921" s="300" t="s">
        <v>108</v>
      </c>
      <c r="G921" s="300" t="s">
        <v>108</v>
      </c>
      <c r="H921" s="300" t="s">
        <v>108</v>
      </c>
      <c r="I921" s="300" t="s">
        <v>108</v>
      </c>
      <c r="J921" s="300" t="s">
        <v>108</v>
      </c>
      <c r="K921" s="300" t="s">
        <v>108</v>
      </c>
      <c r="L921" s="300" t="s">
        <v>108</v>
      </c>
      <c r="M921" s="300" t="s">
        <v>108</v>
      </c>
      <c r="N921" s="300" t="s">
        <v>108</v>
      </c>
      <c r="O921" s="300" t="s">
        <v>108</v>
      </c>
      <c r="P921" s="300" t="s">
        <v>108</v>
      </c>
      <c r="Q921" s="300" t="s">
        <v>108</v>
      </c>
      <c r="R921" s="300" t="s">
        <v>108</v>
      </c>
      <c r="S921" s="300" t="s">
        <v>108</v>
      </c>
      <c r="T921" s="300" t="s">
        <v>108</v>
      </c>
      <c r="U921" s="300" t="s">
        <v>108</v>
      </c>
      <c r="V921" s="300" t="s">
        <v>108</v>
      </c>
      <c r="W921" s="300" t="s">
        <v>108</v>
      </c>
      <c r="X921" s="300" t="s">
        <v>108</v>
      </c>
      <c r="Y921" s="300" t="s">
        <v>108</v>
      </c>
      <c r="Z921" s="300" t="s">
        <v>108</v>
      </c>
      <c r="AA921" s="300" t="s">
        <v>108</v>
      </c>
      <c r="AB921" s="300" t="s">
        <v>108</v>
      </c>
      <c r="AC921" s="300" t="s">
        <v>108</v>
      </c>
      <c r="AD921" s="300" t="s">
        <v>108</v>
      </c>
      <c r="AE921" s="300" t="s">
        <v>108</v>
      </c>
      <c r="AF921" s="300" t="s">
        <v>108</v>
      </c>
      <c r="AG921" s="300" t="s">
        <v>108</v>
      </c>
      <c r="AH921" s="300" t="s">
        <v>108</v>
      </c>
      <c r="AI921" s="300" t="s">
        <v>108</v>
      </c>
      <c r="AJ921" s="300" t="s">
        <v>108</v>
      </c>
      <c r="AK921" s="300" t="s">
        <v>108</v>
      </c>
      <c r="AL921" s="300" t="s">
        <v>108</v>
      </c>
      <c r="AM921" s="315"/>
      <c r="AN921" s="315"/>
    </row>
    <row r="922" spans="1:40" ht="12.6">
      <c r="A922" s="990" t="s">
        <v>1049</v>
      </c>
      <c r="B922" s="991" t="s">
        <v>820</v>
      </c>
      <c r="D922" s="991" t="s">
        <v>109</v>
      </c>
      <c r="E922" s="991" t="s">
        <v>130</v>
      </c>
      <c r="F922" s="300" t="s">
        <v>108</v>
      </c>
      <c r="G922" s="300" t="s">
        <v>108</v>
      </c>
      <c r="H922" s="300" t="s">
        <v>108</v>
      </c>
      <c r="I922" s="300" t="s">
        <v>108</v>
      </c>
      <c r="J922" s="300" t="s">
        <v>108</v>
      </c>
      <c r="K922" s="300" t="s">
        <v>108</v>
      </c>
      <c r="L922" s="300" t="s">
        <v>108</v>
      </c>
      <c r="M922" s="300" t="s">
        <v>108</v>
      </c>
      <c r="N922" s="300" t="s">
        <v>108</v>
      </c>
      <c r="O922" s="300" t="s">
        <v>108</v>
      </c>
      <c r="P922" s="300" t="s">
        <v>108</v>
      </c>
      <c r="Q922" s="300" t="s">
        <v>108</v>
      </c>
      <c r="R922" s="300" t="s">
        <v>108</v>
      </c>
      <c r="S922" s="300" t="s">
        <v>108</v>
      </c>
      <c r="T922" s="300" t="s">
        <v>108</v>
      </c>
      <c r="U922" s="300" t="s">
        <v>108</v>
      </c>
      <c r="V922" s="300" t="s">
        <v>108</v>
      </c>
      <c r="W922" s="300" t="s">
        <v>108</v>
      </c>
      <c r="X922" s="300" t="s">
        <v>108</v>
      </c>
      <c r="Y922" s="300" t="s">
        <v>108</v>
      </c>
      <c r="Z922" s="300" t="s">
        <v>108</v>
      </c>
      <c r="AA922" s="300" t="s">
        <v>108</v>
      </c>
      <c r="AB922" s="300" t="s">
        <v>108</v>
      </c>
      <c r="AC922" s="300" t="s">
        <v>108</v>
      </c>
      <c r="AD922" s="300" t="s">
        <v>108</v>
      </c>
      <c r="AE922" s="300" t="s">
        <v>108</v>
      </c>
      <c r="AF922" s="300" t="s">
        <v>108</v>
      </c>
      <c r="AG922" s="300" t="s">
        <v>108</v>
      </c>
      <c r="AH922" s="300" t="s">
        <v>108</v>
      </c>
      <c r="AI922" s="300" t="s">
        <v>108</v>
      </c>
      <c r="AJ922" s="300" t="s">
        <v>108</v>
      </c>
      <c r="AK922" s="300" t="s">
        <v>108</v>
      </c>
      <c r="AL922" s="300" t="s">
        <v>108</v>
      </c>
      <c r="AM922" s="315"/>
      <c r="AN922" s="315"/>
    </row>
    <row r="923" spans="1:40" ht="12.6">
      <c r="A923" s="990" t="s">
        <v>1050</v>
      </c>
      <c r="B923" s="991" t="s">
        <v>128</v>
      </c>
      <c r="D923" s="991" t="s">
        <v>129</v>
      </c>
      <c r="E923" s="991" t="s">
        <v>130</v>
      </c>
      <c r="F923" s="314" t="s">
        <v>108</v>
      </c>
      <c r="G923" s="314" t="s">
        <v>108</v>
      </c>
      <c r="H923" s="314" t="s">
        <v>108</v>
      </c>
      <c r="I923" s="314" t="s">
        <v>108</v>
      </c>
      <c r="J923" s="314" t="s">
        <v>108</v>
      </c>
      <c r="K923" s="314" t="s">
        <v>108</v>
      </c>
      <c r="L923" s="314" t="s">
        <v>108</v>
      </c>
      <c r="M923" s="314" t="s">
        <v>108</v>
      </c>
      <c r="N923" s="314" t="s">
        <v>108</v>
      </c>
      <c r="O923" s="314" t="s">
        <v>108</v>
      </c>
      <c r="P923" s="314" t="s">
        <v>108</v>
      </c>
      <c r="Q923" s="314" t="s">
        <v>108</v>
      </c>
      <c r="R923" s="314" t="s">
        <v>108</v>
      </c>
      <c r="S923" s="314" t="s">
        <v>108</v>
      </c>
      <c r="T923" s="314" t="s">
        <v>108</v>
      </c>
      <c r="U923" s="314" t="s">
        <v>108</v>
      </c>
      <c r="V923" s="314" t="s">
        <v>108</v>
      </c>
      <c r="W923" s="314" t="s">
        <v>108</v>
      </c>
      <c r="X923" s="314" t="s">
        <v>108</v>
      </c>
      <c r="Y923" s="314" t="s">
        <v>108</v>
      </c>
      <c r="Z923" s="314" t="s">
        <v>108</v>
      </c>
      <c r="AA923" s="314" t="s">
        <v>108</v>
      </c>
      <c r="AB923" s="314" t="s">
        <v>108</v>
      </c>
      <c r="AC923" s="314" t="s">
        <v>108</v>
      </c>
      <c r="AD923" s="314" t="s">
        <v>108</v>
      </c>
      <c r="AE923" s="314" t="s">
        <v>108</v>
      </c>
      <c r="AF923" s="314" t="s">
        <v>108</v>
      </c>
      <c r="AG923" s="314" t="s">
        <v>108</v>
      </c>
      <c r="AH923" s="314" t="s">
        <v>108</v>
      </c>
      <c r="AI923" s="314" t="s">
        <v>108</v>
      </c>
      <c r="AJ923" s="314" t="s">
        <v>108</v>
      </c>
      <c r="AK923" s="314" t="s">
        <v>108</v>
      </c>
      <c r="AL923" s="314" t="s">
        <v>108</v>
      </c>
      <c r="AM923" s="315"/>
      <c r="AN923" s="315"/>
    </row>
    <row r="924" spans="1:40" ht="12.6">
      <c r="A924" s="990" t="s">
        <v>1051</v>
      </c>
      <c r="B924" s="991" t="s">
        <v>825</v>
      </c>
      <c r="D924" s="315" t="s">
        <v>125</v>
      </c>
      <c r="E924" s="315"/>
      <c r="F924" s="809" t="s">
        <v>826</v>
      </c>
      <c r="G924" s="809" t="s">
        <v>826</v>
      </c>
      <c r="H924" s="809" t="s">
        <v>826</v>
      </c>
      <c r="I924" s="809" t="s">
        <v>826</v>
      </c>
      <c r="J924" s="809" t="s">
        <v>826</v>
      </c>
      <c r="K924" s="809" t="s">
        <v>826</v>
      </c>
      <c r="L924" s="809" t="s">
        <v>826</v>
      </c>
      <c r="M924" s="809" t="s">
        <v>826</v>
      </c>
      <c r="N924" s="809" t="s">
        <v>826</v>
      </c>
      <c r="O924" s="809" t="s">
        <v>826</v>
      </c>
      <c r="P924" s="809" t="s">
        <v>826</v>
      </c>
      <c r="Q924" s="809" t="s">
        <v>826</v>
      </c>
      <c r="R924" s="809" t="s">
        <v>826</v>
      </c>
      <c r="S924" s="809" t="s">
        <v>826</v>
      </c>
      <c r="T924" s="809" t="s">
        <v>826</v>
      </c>
      <c r="U924" s="809" t="s">
        <v>826</v>
      </c>
      <c r="V924" s="809" t="s">
        <v>826</v>
      </c>
      <c r="W924" s="809" t="s">
        <v>826</v>
      </c>
      <c r="X924" s="809" t="s">
        <v>826</v>
      </c>
      <c r="Y924" s="809" t="s">
        <v>826</v>
      </c>
      <c r="Z924" s="809" t="s">
        <v>826</v>
      </c>
      <c r="AA924" s="809" t="s">
        <v>826</v>
      </c>
      <c r="AB924" s="809" t="s">
        <v>826</v>
      </c>
      <c r="AC924" s="809" t="s">
        <v>826</v>
      </c>
      <c r="AD924" s="809" t="s">
        <v>826</v>
      </c>
      <c r="AE924" s="809" t="s">
        <v>826</v>
      </c>
      <c r="AF924" s="809" t="s">
        <v>826</v>
      </c>
      <c r="AG924" s="809" t="s">
        <v>826</v>
      </c>
      <c r="AH924" s="809" t="s">
        <v>826</v>
      </c>
      <c r="AI924" s="809" t="s">
        <v>826</v>
      </c>
      <c r="AJ924" s="809" t="s">
        <v>826</v>
      </c>
      <c r="AK924" s="809" t="s">
        <v>826</v>
      </c>
      <c r="AL924" s="809" t="s">
        <v>826</v>
      </c>
      <c r="AM924" s="315"/>
      <c r="AN924" s="315"/>
    </row>
    <row r="925" spans="1:40" ht="12.95" thickBot="1">
      <c r="A925" s="993" t="s">
        <v>1052</v>
      </c>
      <c r="B925" s="994" t="s">
        <v>134</v>
      </c>
      <c r="C925" s="995"/>
      <c r="D925" s="316"/>
      <c r="E925" s="316"/>
      <c r="F925" s="811" t="s">
        <v>828</v>
      </c>
      <c r="G925" s="811" t="s">
        <v>828</v>
      </c>
      <c r="H925" s="811" t="s">
        <v>828</v>
      </c>
      <c r="I925" s="811" t="s">
        <v>828</v>
      </c>
      <c r="J925" s="811" t="s">
        <v>828</v>
      </c>
      <c r="K925" s="811" t="s">
        <v>828</v>
      </c>
      <c r="L925" s="811" t="s">
        <v>828</v>
      </c>
      <c r="M925" s="811" t="s">
        <v>828</v>
      </c>
      <c r="N925" s="811" t="s">
        <v>828</v>
      </c>
      <c r="O925" s="811" t="s">
        <v>828</v>
      </c>
      <c r="P925" s="811" t="s">
        <v>828</v>
      </c>
      <c r="Q925" s="811" t="s">
        <v>828</v>
      </c>
      <c r="R925" s="811" t="s">
        <v>828</v>
      </c>
      <c r="S925" s="811" t="s">
        <v>828</v>
      </c>
      <c r="T925" s="811" t="s">
        <v>828</v>
      </c>
      <c r="U925" s="811" t="s">
        <v>828</v>
      </c>
      <c r="V925" s="811" t="s">
        <v>828</v>
      </c>
      <c r="W925" s="811" t="s">
        <v>828</v>
      </c>
      <c r="X925" s="811" t="s">
        <v>828</v>
      </c>
      <c r="Y925" s="811" t="s">
        <v>828</v>
      </c>
      <c r="Z925" s="811" t="s">
        <v>828</v>
      </c>
      <c r="AA925" s="811" t="s">
        <v>828</v>
      </c>
      <c r="AB925" s="811" t="s">
        <v>828</v>
      </c>
      <c r="AC925" s="811" t="s">
        <v>828</v>
      </c>
      <c r="AD925" s="811" t="s">
        <v>828</v>
      </c>
      <c r="AE925" s="811" t="s">
        <v>828</v>
      </c>
      <c r="AF925" s="811" t="s">
        <v>828</v>
      </c>
      <c r="AG925" s="811" t="s">
        <v>828</v>
      </c>
      <c r="AH925" s="811" t="s">
        <v>828</v>
      </c>
      <c r="AI925" s="811" t="s">
        <v>828</v>
      </c>
      <c r="AJ925" s="811" t="s">
        <v>828</v>
      </c>
      <c r="AK925" s="811" t="s">
        <v>828</v>
      </c>
      <c r="AL925" s="811" t="s">
        <v>828</v>
      </c>
      <c r="AM925" s="316"/>
      <c r="AN925" s="316"/>
    </row>
    <row r="926" spans="1:40" ht="12.6">
      <c r="C926" s="317" t="s">
        <v>1053</v>
      </c>
      <c r="D926" s="317" t="s">
        <v>129</v>
      </c>
      <c r="E926" s="317" t="s">
        <v>130</v>
      </c>
      <c r="F926" s="298">
        <f>SUM(F19,F25,F31,F37)/1000-'Summary Table'!C119</f>
        <v>0</v>
      </c>
      <c r="G926" s="298">
        <f>SUM(G19,G25,G31,G37)/1000-'Summary Table'!D119</f>
        <v>0</v>
      </c>
      <c r="H926" s="298">
        <f>SUM(H19,H25,H31,H37)/1000-'Summary Table'!E119</f>
        <v>0</v>
      </c>
      <c r="I926" s="298">
        <f>SUM(I19,I25,I31,I37)/1000-'Summary Table'!F119</f>
        <v>0</v>
      </c>
      <c r="J926" s="298">
        <f>SUM(J19,J25,J31,J37)/1000-'Summary Table'!G119</f>
        <v>0</v>
      </c>
      <c r="K926" s="298">
        <f>SUM(K19,K25,K31,K37)/1000-'Summary Table'!H119</f>
        <v>0</v>
      </c>
      <c r="L926" s="298">
        <f>SUM(L19,L25,L31,L37)/1000-'Summary Table'!I119</f>
        <v>0</v>
      </c>
      <c r="M926" s="298">
        <f>SUM(M19,M25,M31,M37)/1000-'Summary Table'!J119</f>
        <v>0</v>
      </c>
      <c r="N926" s="298">
        <f>SUM(N19,N25,N31,N37)/1000-'Summary Table'!K119</f>
        <v>0</v>
      </c>
      <c r="O926" s="298">
        <f>SUM(O19,O25,O31,O37)/1000-'Summary Table'!L119</f>
        <v>0</v>
      </c>
      <c r="P926" s="298">
        <f>SUM(P19,P25,P31,P37)/1000-'Summary Table'!M119</f>
        <v>0</v>
      </c>
      <c r="Q926" s="298">
        <f>SUM(Q19,Q25,Q31,Q37)/1000-'Summary Table'!N119</f>
        <v>0</v>
      </c>
      <c r="R926" s="298">
        <f>SUM(R19,R25,R31,R37)/1000-'Summary Table'!O119</f>
        <v>0</v>
      </c>
      <c r="S926" s="298">
        <f>SUM(S19,S25,S31,S37)/1000-'Summary Table'!P119</f>
        <v>0</v>
      </c>
      <c r="T926" s="298">
        <f>SUM(T19,T25,T31,T37)/1000-'Summary Table'!Q119</f>
        <v>0</v>
      </c>
      <c r="U926" s="298">
        <f>SUM(U19,U25,U31,U37)/1000-'Summary Table'!R119</f>
        <v>0</v>
      </c>
      <c r="V926" s="298">
        <f>SUM(V19,V25,V31,V37)/1000-'Summary Table'!S119</f>
        <v>0</v>
      </c>
      <c r="W926" s="298">
        <f>SUM(W19,W25,W31,W37)/1000-'Summary Table'!T119</f>
        <v>0</v>
      </c>
      <c r="X926" s="298">
        <f>SUM(X19,X25,X31,X37)/1000-'Summary Table'!U119</f>
        <v>0</v>
      </c>
      <c r="Y926" s="298">
        <f>SUM(Y19,Y25,Y31,Y37)/1000-'Summary Table'!V119</f>
        <v>0</v>
      </c>
      <c r="Z926" s="298">
        <f>SUM(Z19,Z25,Z31,Z37)/1000-'Summary Table'!W119</f>
        <v>0</v>
      </c>
      <c r="AA926" s="298">
        <f>SUM(AA19,AA25,AA31,AA37)/1000-'Summary Table'!X119</f>
        <v>0</v>
      </c>
      <c r="AB926" s="298">
        <f>SUM(AB19,AB25,AB31,AB37)/1000-'Summary Table'!Y119</f>
        <v>0</v>
      </c>
      <c r="AC926" s="298">
        <f>SUM(AC19,AC25,AC31,AC37)/1000-'Summary Table'!Z119</f>
        <v>0</v>
      </c>
      <c r="AD926" s="298">
        <f>SUM(AD19,AD25,AD31,AD37)/1000-'Summary Table'!AA119</f>
        <v>0</v>
      </c>
      <c r="AE926" s="298">
        <f>SUM(AE19,AE25,AE31,AE37)/1000-'Summary Table'!AB119</f>
        <v>0</v>
      </c>
      <c r="AF926" s="298">
        <f>SUM(AF19,AF25,AF31,AF37)/1000-'Summary Table'!AC119</f>
        <v>0</v>
      </c>
      <c r="AG926" s="298">
        <f>SUM(AG19,AG25,AG31,AG37)/1000-'Summary Table'!AD119</f>
        <v>0</v>
      </c>
      <c r="AH926" s="298">
        <f>SUM(AH19,AH25,AH31,AH37)/1000-'Summary Table'!AE119</f>
        <v>0</v>
      </c>
      <c r="AI926" s="298">
        <f>SUM(AI19,AI25,AI31,AI37)/1000-'Summary Table'!AF119</f>
        <v>0</v>
      </c>
      <c r="AJ926" s="298">
        <f>SUM(AJ19,AJ25,AJ31,AJ37)/1000-'Summary Table'!AG119</f>
        <v>0</v>
      </c>
      <c r="AK926" s="298">
        <f>SUM(AK19,AK25,AK31,AK37)/1000-'Summary Table'!AH119</f>
        <v>0</v>
      </c>
      <c r="AL926" s="298">
        <f>SUM(AL19,AL25,AL31,AL37)/1000-'Summary Table'!AI119</f>
        <v>0</v>
      </c>
    </row>
    <row r="927" spans="1:40" ht="12.6">
      <c r="C927" s="317" t="s">
        <v>1053</v>
      </c>
      <c r="D927" s="317" t="s">
        <v>129</v>
      </c>
      <c r="E927" s="317" t="s">
        <v>130</v>
      </c>
      <c r="F927" s="298">
        <f>SUM(F423,F429,F435,F237,F243,F249,F268,F274,F280,F299,F305,F311,F330,F336,F342,F361,F367,F373,F392,F398,F404,F517,F523,F529,F112,F118,F124,F144,F150,F156)/1000-'Summary Table'!C111</f>
        <v>-18.722370930436796</v>
      </c>
      <c r="G927" s="298">
        <f>SUM(G423,G429,G435,G237,G243,G249,G268,G274,G280,G299,G305,G311,G330,G336,G342,G361,G367,G373,G392,G398,G404,G517,G523,G529,G112,G118,G124,G144,G150,G156)/1000-'Summary Table'!D111</f>
        <v>-23.270141252844496</v>
      </c>
      <c r="H927" s="298">
        <f>SUM(H423,H429,H435,H237,H243,H249,H268,H274,H280,H299,H305,H311,H330,H336,H342,H361,H367,H373,H392,H398,H404,H517,H523,H529,H112,H118,H124,H144,H150,H156)/1000-'Summary Table'!E111</f>
        <v>-15.301459366445897</v>
      </c>
      <c r="I927" s="298">
        <f>SUM(I423,I429,I435,I237,I243,I249,I268,I274,I280,I299,I305,I311,I330,I336,I342,I361,I367,I373,I392,I398,I404,I517,I523,I529,I112,I118,I124,I144,I150,I156)/1000-'Summary Table'!F111</f>
        <v>-18.023825213819805</v>
      </c>
      <c r="J927" s="298">
        <f>SUM(J423,J429,J435,J237,J243,J249,J268,J274,J280,J299,J305,J311,J330,J336,J342,J361,J367,J373,J392,J398,J404,J517,J523,J529,J112,J118,J124,J144,J150,J156)/1000-'Summary Table'!G111</f>
        <v>-9.1682909715107144</v>
      </c>
      <c r="K927" s="298">
        <f>SUM(K423,K429,K435,K237,K243,K249,K268,K274,K280,K299,K305,K311,K330,K336,K342,K361,K367,K373,K392,K398,K404,K517,K523,K529,K112,K118,K124,K144,K150,K156)/1000-'Summary Table'!H111</f>
        <v>-12.2684951955614</v>
      </c>
      <c r="L927" s="298">
        <f>SUM(L423,L429,L435,L237,L243,L249,L268,L274,L280,L299,L305,L311,L330,L336,L342,L361,L367,L373,L392,L398,L404,L517,L523,L529,L112,L118,L124,L144,L150,L156)/1000-'Summary Table'!I111</f>
        <v>3.7017556238199631</v>
      </c>
      <c r="M927" s="298">
        <f>SUM(M423,M429,M435,M237,M243,M249,M268,M274,M280,M299,M305,M311,M330,M336,M342,M361,M367,M373,M392,M398,M404,M517,M523,M529,M112,M118,M124,M144,M150,M156)/1000-'Summary Table'!J111</f>
        <v>3.5458178402438989</v>
      </c>
      <c r="N927" s="298">
        <f>SUM(N423,N429,N435,N237,N243,N249,N268,N274,N280,N299,N305,N311,N330,N336,N342,N361,N367,N373,N392,N398,N404,N517,N523,N529,N112,N118,N124,N144,N150,N156)/1000-'Summary Table'!K111</f>
        <v>-13.287390010599779</v>
      </c>
      <c r="O927" s="298">
        <f>SUM(O423,O429,O435,O237,O243,O249,O268,O274,O280,O299,O305,O311,O330,O336,O342,O361,O367,O373,O392,O398,O404,O517,O523,O529,O112,O118,O124,O144,O150,O156)/1000-'Summary Table'!L111</f>
        <v>-8.9358704920714445</v>
      </c>
      <c r="P927" s="298">
        <f>SUM(P423,P429,P435,P237,P243,P249,P268,P274,P280,P299,P305,P311,P330,P336,P342,P361,P367,P373,P392,P398,P404,P517,P523,P529,P112,P118,P124,P144,P150,P156)/1000-'Summary Table'!M111</f>
        <v>-18.039877737092297</v>
      </c>
      <c r="Q927" s="298">
        <f>SUM(Q423,Q429,Q435,Q237,Q243,Q249,Q268,Q274,Q280,Q299,Q305,Q311,Q330,Q336,Q342,Q361,Q367,Q373,Q392,Q398,Q404,Q517,Q523,Q529,Q112,Q118,Q124,Q144,Q150,Q156)/1000-'Summary Table'!N111</f>
        <v>3.398998181500815</v>
      </c>
      <c r="R927" s="298">
        <f>SUM(R423,R429,R435,R237,R243,R249,R268,R274,R280,R299,R305,R311,R330,R336,R342,R361,R367,R373,R392,R398,R404,R517,R523,R529,R112,R118,R124,R144,R150,R156)/1000-'Summary Table'!O111</f>
        <v>-2.3997556499018629</v>
      </c>
      <c r="S927" s="298">
        <f>SUM(S423,S429,S435,S237,S243,S249,S268,S274,S280,S299,S305,S311,S330,S336,S342,S361,S367,S373,S392,S398,S404,S517,S523,S529,S112,S118,S124,S144,S150,S156)/1000-'Summary Table'!P111</f>
        <v>3.8166663383659625</v>
      </c>
      <c r="T927" s="298">
        <f>SUM(T423,T429,T435,T237,T243,T249,T268,T274,T280,T299,T305,T311,T330,T336,T342,T361,T367,T373,T392,T398,T404,T517,T523,T529,T112,T118,T124,T144,T150,T156)/1000-'Summary Table'!Q111</f>
        <v>2.0518986665442753</v>
      </c>
      <c r="U927" s="298">
        <f>SUM(U423,U429,U435,U237,U243,U249,U268,U274,U280,U299,U305,U311,U330,U336,U342,U361,U367,U373,U392,U398,U404,U517,U523,U529,U112,U118,U124,U144,U150,U156)/1000-'Summary Table'!R111</f>
        <v>7.3035851006429766</v>
      </c>
      <c r="V927" s="298">
        <f>SUM(V423,V429,V435,V237,V243,V249,V268,V274,V280,V299,V305,V311,V330,V336,V342,V361,V367,V373,V392,V398,V404,V517,V523,V529,V112,V118,V124,V144,V150,V156)/1000-'Summary Table'!S111</f>
        <v>11.31222922914128</v>
      </c>
      <c r="W927" s="298">
        <f>SUM(W423,W429,W435,W237,W243,W249,W268,W274,W280,W299,W305,W311,W330,W336,W342,W361,W367,W373,W392,W398,W404,W517,W523,W529,W112,W118,W124,W144,W150,W156)/1000-'Summary Table'!T111</f>
        <v>12.731079485356076</v>
      </c>
      <c r="X927" s="298">
        <f>SUM(X423,X429,X435,X237,X243,X249,X268,X274,X280,X299,X305,X311,X330,X336,X342,X361,X367,X373,X392,X398,X404,X517,X523,X529,X112,X118,X124,X144,X150,X156)/1000-'Summary Table'!U111</f>
        <v>2.7466835253744648</v>
      </c>
      <c r="Y927" s="298">
        <f>SUM(Y423,Y429,Y435,Y237,Y243,Y249,Y268,Y274,Y280,Y299,Y305,Y311,Y330,Y336,Y342,Y361,Y367,Y373,Y392,Y398,Y404,Y517,Y523,Y529,Y112,Y118,Y124,Y144,Y150,Y156)/1000-'Summary Table'!V111</f>
        <v>-0.56447332299387654</v>
      </c>
      <c r="Z927" s="298">
        <f>SUM(Z423,Z429,Z435,Z237,Z243,Z249,Z268,Z274,Z280,Z299,Z305,Z311,Z330,Z336,Z342,Z361,Z367,Z373,Z392,Z398,Z404,Z517,Z523,Z529,Z112,Z118,Z124,Z144,Z150,Z156)/1000-'Summary Table'!W111</f>
        <v>7.8721850026918219</v>
      </c>
      <c r="AA927" s="298">
        <f>SUM(AA423,AA429,AA435,AA237,AA243,AA249,AA268,AA274,AA280,AA299,AA305,AA311,AA330,AA336,AA342,AA361,AA367,AA373,AA392,AA398,AA404,AA517,AA523,AA529,AA112,AA118,AA124,AA144,AA150,AA156)/1000-'Summary Table'!X111</f>
        <v>5.6082128280052075</v>
      </c>
      <c r="AB927" s="298">
        <f>SUM(AB423,AB429,AB435,AB237,AB243,AB249,AB268,AB274,AB280,AB299,AB305,AB311,AB330,AB336,AB342,AB361,AB367,AB373,AB392,AB398,AB404,AB517,AB523,AB529,AB112,AB118,AB124,AB144,AB150,AB156)/1000-'Summary Table'!Y111</f>
        <v>6.9186705156433845</v>
      </c>
      <c r="AC927" s="298">
        <f>SUM(AC423,AC429,AC435,AC237,AC243,AC249,AC268,AC274,AC280,AC299,AC305,AC311,AC330,AC336,AC342,AC361,AC367,AC373,AC392,AC398,AC404,AC517,AC523,AC529,AC112,AC118,AC124,AC144,AC150,AC156)/1000-'Summary Table'!Z111</f>
        <v>4.1070916436158313</v>
      </c>
      <c r="AD927" s="298">
        <f>SUM(AD423,AD429,AD435,AD237,AD243,AD249,AD268,AD274,AD280,AD299,AD305,AD311,AD330,AD336,AD342,AD361,AD367,AD373,AD392,AD398,AD404,AD517,AD523,AD529,AD112,AD118,AD124,AD144,AD150,AD156)/1000-'Summary Table'!AA111</f>
        <v>-3.3953126087632199</v>
      </c>
      <c r="AE927" s="298">
        <f>SUM(AE423,AE429,AE435,AE237,AE243,AE249,AE268,AE274,AE280,AE299,AE305,AE311,AE330,AE336,AE342,AE361,AE367,AE373,AE392,AE398,AE404,AE517,AE523,AE529,AE112,AE118,AE124,AE144,AE150,AE156)/1000-'Summary Table'!AB111</f>
        <v>3.6136733270609511</v>
      </c>
      <c r="AF927" s="298">
        <f>SUM(AF423,AF429,AF435,AF237,AF243,AF249,AF268,AF274,AF280,AF299,AF305,AF311,AF330,AF336,AF342,AF361,AF367,AF373,AF392,AF398,AF404,AF517,AF523,AF529,AF112,AF118,AF124,AF144,AF150,AF156)/1000-'Summary Table'!AC111</f>
        <v>3.5207379524446196</v>
      </c>
      <c r="AG927" s="298">
        <f>SUM(AG423,AG429,AG435,AG237,AG243,AG249,AG268,AG274,AG280,AG299,AG305,AG311,AG330,AG336,AG342,AG361,AG367,AG373,AG392,AG398,AG404,AG517,AG523,AG529,AG112,AG118,AG124,AG144,AG150,AG156)/1000-'Summary Table'!AD111</f>
        <v>10.194022493975808</v>
      </c>
      <c r="AH927" s="298">
        <f>SUM(AH423,AH429,AH435,AH237,AH243,AH249,AH268,AH274,AH280,AH299,AH305,AH311,AH330,AH336,AH342,AH361,AH367,AH373,AH392,AH398,AH404,AH517,AH523,AH529,AH112,AH118,AH124,AH144,AH150,AH156)/1000-'Summary Table'!AE111</f>
        <v>8.3148362448407624</v>
      </c>
      <c r="AI927" s="298">
        <f>SUM(AI423,AI429,AI435,AI237,AI243,AI249,AI268,AI274,AI280,AI299,AI305,AI311,AI330,AI336,AI342,AI361,AI367,AI373,AI392,AI398,AI404,AI517,AI523,AI529,AI112,AI118,AI124,AI144,AI150,AI156)/1000-'Summary Table'!AF111</f>
        <v>17.763090983231564</v>
      </c>
      <c r="AJ927" s="298">
        <f>SUM(AJ423,AJ429,AJ435,AJ237,AJ243,AJ249,AJ268,AJ274,AJ280,AJ299,AJ305,AJ311,AJ330,AJ336,AJ342,AJ361,AJ367,AJ373,AJ392,AJ398,AJ404,AJ517,AJ523,AJ529,AJ112,AJ118,AJ124,AJ144,AJ150,AJ156)/1000-'Summary Table'!AG111</f>
        <v>18.37810368768487</v>
      </c>
      <c r="AK927" s="298">
        <f>SUM(AK423,AK429,AK435,AK237,AK243,AK249,AK268,AK274,AK280,AK299,AK305,AK311,AK330,AK336,AK342,AK361,AK367,AK373,AK392,AK398,AK404,AK517,AK523,AK529,AK112,AK118,AK124,AK144,AK150,AK156)/1000-'Summary Table'!AH111</f>
        <v>6.7645265700770096</v>
      </c>
      <c r="AL927" s="298">
        <f>SUM(AL423,AL429,AL435,AL237,AL243,AL249,AL268,AL274,AL280,AL299,AL305,AL311,AL330,AL336,AL342,AL361,AL367,AL373,AL392,AL398,AL404,AL517,AL523,AL529,AL112,AL118,AL124,AL144,AL150,AL156)/1000-'Summary Table'!AI111</f>
        <v>-0.62761175526145507</v>
      </c>
    </row>
    <row r="928" spans="1:40" ht="12.6">
      <c r="C928" s="317" t="s">
        <v>1053</v>
      </c>
      <c r="D928" s="317" t="s">
        <v>129</v>
      </c>
      <c r="E928" s="317" t="s">
        <v>130</v>
      </c>
      <c r="F928" s="298">
        <f>SUM(F454,F460,F466)/1000-'Summary Table'!C107</f>
        <v>0</v>
      </c>
      <c r="G928" s="298">
        <f>SUM(G454,G460,G466)/1000-'Summary Table'!D107</f>
        <v>0</v>
      </c>
      <c r="H928" s="298">
        <f>SUM(H454,H460,H466)/1000-'Summary Table'!E107</f>
        <v>0</v>
      </c>
      <c r="I928" s="298">
        <f>SUM(I454,I460,I466)/1000-'Summary Table'!F107</f>
        <v>0</v>
      </c>
      <c r="J928" s="298">
        <f>SUM(J454,J460,J466)/1000-'Summary Table'!G107</f>
        <v>0</v>
      </c>
      <c r="K928" s="298">
        <f>SUM(K454,K460,K466)/1000-'Summary Table'!H107</f>
        <v>0</v>
      </c>
      <c r="L928" s="298">
        <f>SUM(L454,L460,L466)/1000-'Summary Table'!I107</f>
        <v>0</v>
      </c>
      <c r="M928" s="298">
        <f>SUM(M454,M460,M466)/1000-'Summary Table'!J107</f>
        <v>0</v>
      </c>
      <c r="N928" s="298">
        <f>SUM(N454,N460,N466)/1000-'Summary Table'!K107</f>
        <v>0</v>
      </c>
      <c r="O928" s="298">
        <f>SUM(O454,O460,O466)/1000-'Summary Table'!L107</f>
        <v>0</v>
      </c>
      <c r="P928" s="298">
        <f>SUM(P454,P460,P466)/1000-'Summary Table'!M107</f>
        <v>0</v>
      </c>
      <c r="Q928" s="298">
        <f>SUM(Q454,Q460,Q466)/1000-'Summary Table'!N107</f>
        <v>0</v>
      </c>
      <c r="R928" s="298">
        <f>SUM(R454,R460,R466)/1000-'Summary Table'!O107</f>
        <v>0</v>
      </c>
      <c r="S928" s="298">
        <f>SUM(S454,S460,S466)/1000-'Summary Table'!P107</f>
        <v>0</v>
      </c>
      <c r="T928" s="298">
        <f>SUM(T454,T460,T466)/1000-'Summary Table'!Q107</f>
        <v>0</v>
      </c>
      <c r="U928" s="298">
        <f>SUM(U454,U460,U466)/1000-'Summary Table'!R107</f>
        <v>0</v>
      </c>
      <c r="V928" s="298">
        <f>SUM(V454,V460,V466)/1000-'Summary Table'!S107</f>
        <v>0</v>
      </c>
      <c r="W928" s="298">
        <f>SUM(W454,W460,W466)/1000-'Summary Table'!T107</f>
        <v>0</v>
      </c>
      <c r="X928" s="298">
        <f>SUM(X454,X460,X466)/1000-'Summary Table'!U107</f>
        <v>0</v>
      </c>
      <c r="Y928" s="298">
        <f>SUM(Y454,Y460,Y466)/1000-'Summary Table'!V107</f>
        <v>0</v>
      </c>
      <c r="Z928" s="298">
        <f>SUM(Z454,Z460,Z466)/1000-'Summary Table'!W107</f>
        <v>0</v>
      </c>
      <c r="AA928" s="298">
        <f>SUM(AA454,AA460,AA466)/1000-'Summary Table'!X107</f>
        <v>0</v>
      </c>
      <c r="AB928" s="298">
        <f>SUM(AB454,AB460,AB466)/1000-'Summary Table'!Y107</f>
        <v>0</v>
      </c>
      <c r="AC928" s="298">
        <f>SUM(AC454,AC460,AC466)/1000-'Summary Table'!Z107</f>
        <v>0</v>
      </c>
      <c r="AD928" s="298">
        <f>SUM(AD454,AD460,AD466)/1000-'Summary Table'!AA107</f>
        <v>0</v>
      </c>
      <c r="AE928" s="298">
        <f>SUM(AE454,AE460,AE466)/1000-'Summary Table'!AB107</f>
        <v>0</v>
      </c>
      <c r="AF928" s="298">
        <f>SUM(AF454,AF460,AF466)/1000-'Summary Table'!AC107</f>
        <v>0</v>
      </c>
      <c r="AG928" s="298">
        <f>SUM(AG454,AG460,AG466)/1000-'Summary Table'!AD107</f>
        <v>0</v>
      </c>
      <c r="AH928" s="298">
        <f>SUM(AH454,AH460,AH466)/1000-'Summary Table'!AE107</f>
        <v>0</v>
      </c>
      <c r="AI928" s="298">
        <f>SUM(AI454,AI460,AI466)/1000-'Summary Table'!AF107</f>
        <v>0</v>
      </c>
      <c r="AJ928" s="298">
        <f>SUM(AJ454,AJ460,AJ466)/1000-'Summary Table'!AG107</f>
        <v>0</v>
      </c>
      <c r="AK928" s="298">
        <f>SUM(AK454,AK460,AK466)/1000-'Summary Table'!AH107</f>
        <v>0</v>
      </c>
      <c r="AL928" s="298">
        <f>SUM(AL454,AL460,AL466)/1000-'Summary Table'!AI107</f>
        <v>0</v>
      </c>
    </row>
    <row r="929" spans="1:38" ht="12.6">
      <c r="C929" s="317" t="s">
        <v>1053</v>
      </c>
      <c r="D929" s="317" t="s">
        <v>129</v>
      </c>
      <c r="E929" s="317" t="s">
        <v>130</v>
      </c>
      <c r="F929" s="298">
        <f>SUM(F485,F491,F497)/1000-'Summary Table'!C103</f>
        <v>0</v>
      </c>
      <c r="G929" s="298">
        <f>SUM(G485,G491,G497)/1000-'Summary Table'!D103</f>
        <v>0</v>
      </c>
      <c r="H929" s="298">
        <f>SUM(H485,H491,H497)/1000-'Summary Table'!E103</f>
        <v>0</v>
      </c>
      <c r="I929" s="298">
        <f>SUM(I485,I491,I497)/1000-'Summary Table'!F103</f>
        <v>0</v>
      </c>
      <c r="J929" s="298">
        <f>SUM(J485,J491,J497)/1000-'Summary Table'!G103</f>
        <v>0</v>
      </c>
      <c r="K929" s="298">
        <f>SUM(K485,K491,K497)/1000-'Summary Table'!H103</f>
        <v>0</v>
      </c>
      <c r="L929" s="298">
        <f>SUM(L485,L491,L497)/1000-'Summary Table'!I103</f>
        <v>0</v>
      </c>
      <c r="M929" s="298">
        <f>SUM(M485,M491,M497)/1000-'Summary Table'!J103</f>
        <v>0</v>
      </c>
      <c r="N929" s="298">
        <f>SUM(N485,N491,N497)/1000-'Summary Table'!K103</f>
        <v>0</v>
      </c>
      <c r="O929" s="298">
        <f>SUM(O485,O491,O497)/1000-'Summary Table'!L103</f>
        <v>0</v>
      </c>
      <c r="P929" s="298">
        <f>SUM(P485,P491,P497)/1000-'Summary Table'!M103</f>
        <v>0</v>
      </c>
      <c r="Q929" s="298">
        <f>SUM(Q485,Q491,Q497)/1000-'Summary Table'!N103</f>
        <v>0</v>
      </c>
      <c r="R929" s="298">
        <f>SUM(R485,R491,R497)/1000-'Summary Table'!O103</f>
        <v>0</v>
      </c>
      <c r="S929" s="298">
        <f>SUM(S485,S491,S497)/1000-'Summary Table'!P103</f>
        <v>0</v>
      </c>
      <c r="T929" s="298">
        <f>SUM(T485,T491,T497)/1000-'Summary Table'!Q103</f>
        <v>0</v>
      </c>
      <c r="U929" s="298">
        <f>SUM(U485,U491,U497)/1000-'Summary Table'!R103</f>
        <v>0</v>
      </c>
      <c r="V929" s="298">
        <f>SUM(V485,V491,V497)/1000-'Summary Table'!S103</f>
        <v>0</v>
      </c>
      <c r="W929" s="298">
        <f>SUM(W485,W491,W497)/1000-'Summary Table'!T103</f>
        <v>0</v>
      </c>
      <c r="X929" s="298">
        <f>SUM(X485,X491,X497)/1000-'Summary Table'!U103</f>
        <v>0</v>
      </c>
      <c r="Y929" s="298">
        <f>SUM(Y485,Y491,Y497)/1000-'Summary Table'!V103</f>
        <v>0</v>
      </c>
      <c r="Z929" s="298">
        <f>SUM(Z485,Z491,Z497)/1000-'Summary Table'!W103</f>
        <v>0</v>
      </c>
      <c r="AA929" s="298">
        <f>SUM(AA485,AA491,AA497)/1000-'Summary Table'!X103</f>
        <v>0</v>
      </c>
      <c r="AB929" s="298">
        <f>SUM(AB485,AB491,AB497)/1000-'Summary Table'!Y103</f>
        <v>0</v>
      </c>
      <c r="AC929" s="298">
        <f>SUM(AC485,AC491,AC497)/1000-'Summary Table'!Z103</f>
        <v>0</v>
      </c>
      <c r="AD929" s="298">
        <f>SUM(AD485,AD491,AD497)/1000-'Summary Table'!AA103</f>
        <v>0</v>
      </c>
      <c r="AE929" s="298">
        <f>SUM(AE485,AE491,AE497)/1000-'Summary Table'!AB103</f>
        <v>0</v>
      </c>
      <c r="AF929" s="298">
        <f>SUM(AF485,AF491,AF497)/1000-'Summary Table'!AC103</f>
        <v>0</v>
      </c>
      <c r="AG929" s="298">
        <f>SUM(AG485,AG491,AG497)/1000-'Summary Table'!AD103</f>
        <v>0</v>
      </c>
      <c r="AH929" s="298">
        <f>SUM(AH485,AH491,AH497)/1000-'Summary Table'!AE103</f>
        <v>0</v>
      </c>
      <c r="AI929" s="298">
        <f>SUM(AI485,AI491,AI497)/1000-'Summary Table'!AF103</f>
        <v>0</v>
      </c>
      <c r="AJ929" s="298">
        <f>SUM(AJ485,AJ491,AJ497)/1000-'Summary Table'!AG103</f>
        <v>0</v>
      </c>
      <c r="AK929" s="298">
        <f>SUM(AK485,AK491,AK497)/1000-'Summary Table'!AH103</f>
        <v>0</v>
      </c>
      <c r="AL929" s="298">
        <f>SUM(AL485,AL491,AL497)/1000-'Summary Table'!AI103</f>
        <v>0</v>
      </c>
    </row>
    <row r="930" spans="1:38" ht="12.6">
      <c r="C930" s="317" t="s">
        <v>1053</v>
      </c>
      <c r="D930" s="317" t="s">
        <v>129</v>
      </c>
      <c r="E930" s="317" t="s">
        <v>130</v>
      </c>
      <c r="F930" s="299">
        <f>SUM(F642,F648,F654)/1000-SUM('Summary Table'!C39:C40)</f>
        <v>0</v>
      </c>
      <c r="G930" s="299">
        <f>SUM(G642,G648,G654)/1000-SUM('Summary Table'!D39:D40)</f>
        <v>0</v>
      </c>
      <c r="H930" s="299">
        <f>SUM(H642,H648,H654)/1000-SUM('Summary Table'!E39:E40)</f>
        <v>0</v>
      </c>
      <c r="I930" s="299">
        <f>SUM(I642,I648,I654)/1000-SUM('Summary Table'!F39:F40)</f>
        <v>0</v>
      </c>
      <c r="J930" s="299">
        <f>SUM(J642,J648,J654)/1000-SUM('Summary Table'!G39:G40)</f>
        <v>0</v>
      </c>
      <c r="K930" s="299">
        <f>SUM(K642,K648,K654)/1000-SUM('Summary Table'!H39:H40)</f>
        <v>0</v>
      </c>
      <c r="L930" s="299">
        <f>SUM(L642,L648,L654)/1000-SUM('Summary Table'!I39:I40)</f>
        <v>0</v>
      </c>
      <c r="M930" s="299">
        <f>SUM(M642,M648,M654)/1000-SUM('Summary Table'!J39:J40)</f>
        <v>0</v>
      </c>
      <c r="N930" s="299">
        <f>SUM(N642,N648,N654)/1000-SUM('Summary Table'!K39:K40)</f>
        <v>0</v>
      </c>
      <c r="O930" s="299">
        <f>SUM(O642,O648,O654)/1000-SUM('Summary Table'!L39:L40)</f>
        <v>0</v>
      </c>
      <c r="P930" s="299">
        <f>SUM(P642,P648,P654)/1000-SUM('Summary Table'!M39:M40)</f>
        <v>0</v>
      </c>
      <c r="Q930" s="299">
        <f>SUM(Q642,Q648,Q654)/1000-SUM('Summary Table'!N39:N40)</f>
        <v>0</v>
      </c>
      <c r="R930" s="299">
        <f>SUM(R642,R648,R654)/1000-SUM('Summary Table'!O39:O40)</f>
        <v>0</v>
      </c>
      <c r="S930" s="299">
        <f>SUM(S642,S648,S654)/1000-SUM('Summary Table'!P39:P40)</f>
        <v>0</v>
      </c>
      <c r="T930" s="299">
        <f>SUM(T642,T648,T654)/1000-SUM('Summary Table'!Q39:Q40)</f>
        <v>0</v>
      </c>
      <c r="U930" s="299">
        <f>SUM(U642,U648,U654)/1000-SUM('Summary Table'!R39:R40)</f>
        <v>0</v>
      </c>
      <c r="V930" s="299">
        <f>SUM(V642,V648,V654)/1000-SUM('Summary Table'!S39:S40)</f>
        <v>0</v>
      </c>
      <c r="W930" s="299">
        <f>SUM(W642,W648,W654)/1000-SUM('Summary Table'!T39:T40)</f>
        <v>0</v>
      </c>
      <c r="X930" s="299">
        <f>SUM(X642,X648,X654)/1000-SUM('Summary Table'!U39:U40)</f>
        <v>0</v>
      </c>
      <c r="Y930" s="299">
        <f>SUM(Y642,Y648,Y654)/1000-SUM('Summary Table'!V39:V40)</f>
        <v>0</v>
      </c>
      <c r="Z930" s="299">
        <f>SUM(Z642,Z648,Z654)/1000-SUM('Summary Table'!W39:W40)</f>
        <v>0</v>
      </c>
      <c r="AA930" s="299">
        <f>SUM(AA642,AA648,AA654)/1000-SUM('Summary Table'!X39:X40)</f>
        <v>0</v>
      </c>
      <c r="AB930" s="299">
        <f>SUM(AB642,AB648,AB654)/1000-SUM('Summary Table'!Y39:Y40)</f>
        <v>0</v>
      </c>
      <c r="AC930" s="299">
        <f>SUM(AC642,AC648,AC654)/1000-SUM('Summary Table'!Z39:Z40)</f>
        <v>0</v>
      </c>
      <c r="AD930" s="299">
        <f>SUM(AD642,AD648,AD654)/1000-SUM('Summary Table'!AA39:AA40)</f>
        <v>0</v>
      </c>
      <c r="AE930" s="299">
        <f>SUM(AE642,AE648,AE654)/1000-SUM('Summary Table'!AB39:AB40)</f>
        <v>0</v>
      </c>
      <c r="AF930" s="299">
        <f>SUM(AF642,AF648,AF654)/1000-SUM('Summary Table'!AC39:AC40)</f>
        <v>0</v>
      </c>
      <c r="AG930" s="299">
        <f>SUM(AG642,AG648,AG654)/1000-SUM('Summary Table'!AD39:AD40)</f>
        <v>0</v>
      </c>
      <c r="AH930" s="299">
        <f>SUM(AH642,AH648,AH654)/1000-SUM('Summary Table'!AE39:AE40)</f>
        <v>0</v>
      </c>
      <c r="AI930" s="299">
        <f>SUM(AI642,AI648,AI654)/1000-SUM('Summary Table'!AF39:AF40)</f>
        <v>0</v>
      </c>
      <c r="AJ930" s="299">
        <f>SUM(AJ642,AJ648,AJ654)/1000-SUM('Summary Table'!AG39:AG40)</f>
        <v>0</v>
      </c>
      <c r="AK930" s="299">
        <f>SUM(AK642,AK648,AK654)/1000-SUM('Summary Table'!AH39:AH40)</f>
        <v>0</v>
      </c>
      <c r="AL930" s="299">
        <f>SUM(AL642,AL648,AL654)/1000-SUM('Summary Table'!AI39:AI40)</f>
        <v>0</v>
      </c>
    </row>
    <row r="931" spans="1:38" ht="12.6">
      <c r="C931" s="317" t="s">
        <v>1053</v>
      </c>
      <c r="D931" s="317" t="s">
        <v>129</v>
      </c>
      <c r="E931" s="317" t="s">
        <v>130</v>
      </c>
      <c r="F931" s="298">
        <f>SUM(F611,F617,F623)/1000-SUM('Summary Table'!C124,'Summary Table'!C41)</f>
        <v>0</v>
      </c>
      <c r="G931" s="298">
        <f>SUM(G611,G617,G623)/1000-SUM('Summary Table'!D124,'Summary Table'!D41)</f>
        <v>0</v>
      </c>
      <c r="H931" s="298">
        <f>SUM(H611,H617,H623)/1000-SUM('Summary Table'!E124,'Summary Table'!E41)</f>
        <v>0</v>
      </c>
      <c r="I931" s="298">
        <f>SUM(I611,I617,I623)/1000-SUM('Summary Table'!F124,'Summary Table'!F41)</f>
        <v>0</v>
      </c>
      <c r="J931" s="298">
        <f>SUM(J611,J617,J623)/1000-SUM('Summary Table'!G124,'Summary Table'!G41)</f>
        <v>0</v>
      </c>
      <c r="K931" s="298">
        <f>SUM(K611,K617,K623)/1000-SUM('Summary Table'!H124,'Summary Table'!H41)</f>
        <v>0</v>
      </c>
      <c r="L931" s="298">
        <f>SUM(L611,L617,L623)/1000-SUM('Summary Table'!I124,'Summary Table'!I41)</f>
        <v>0</v>
      </c>
      <c r="M931" s="298">
        <f>SUM(M611,M617,M623)/1000-SUM('Summary Table'!J124,'Summary Table'!J41)</f>
        <v>0</v>
      </c>
      <c r="N931" s="298">
        <f>SUM(N611,N617,N623)/1000-SUM('Summary Table'!K124,'Summary Table'!K41)</f>
        <v>0</v>
      </c>
      <c r="O931" s="298">
        <f>SUM(O611,O617,O623)/1000-SUM('Summary Table'!L124,'Summary Table'!L41)</f>
        <v>0</v>
      </c>
      <c r="P931" s="298">
        <f>SUM(P611,P617,P623)/1000-SUM('Summary Table'!M124,'Summary Table'!M41)</f>
        <v>0</v>
      </c>
      <c r="Q931" s="298">
        <f>SUM(Q611,Q617,Q623)/1000-SUM('Summary Table'!N124,'Summary Table'!N41)</f>
        <v>0</v>
      </c>
      <c r="R931" s="298">
        <f>SUM(R611,R617,R623)/1000-SUM('Summary Table'!O124,'Summary Table'!O41)</f>
        <v>0</v>
      </c>
      <c r="S931" s="298">
        <f>SUM(S611,S617,S623)/1000-SUM('Summary Table'!P124,'Summary Table'!P41)</f>
        <v>0</v>
      </c>
      <c r="T931" s="298">
        <f>SUM(T611,T617,T623)/1000-SUM('Summary Table'!Q124,'Summary Table'!Q41)</f>
        <v>0</v>
      </c>
      <c r="U931" s="298">
        <f>SUM(U611,U617,U623)/1000-SUM('Summary Table'!R124,'Summary Table'!R41)</f>
        <v>0</v>
      </c>
      <c r="V931" s="298">
        <f>SUM(V611,V617,V623)/1000-SUM('Summary Table'!S124,'Summary Table'!S41)</f>
        <v>0</v>
      </c>
      <c r="W931" s="298">
        <f>SUM(W611,W617,W623)/1000-SUM('Summary Table'!T124,'Summary Table'!T41)</f>
        <v>0</v>
      </c>
      <c r="X931" s="298">
        <f>SUM(X611,X617,X623)/1000-SUM('Summary Table'!U124,'Summary Table'!U41)</f>
        <v>0</v>
      </c>
      <c r="Y931" s="298">
        <f>SUM(Y611,Y617,Y623)/1000-SUM('Summary Table'!V124,'Summary Table'!V41)</f>
        <v>0</v>
      </c>
      <c r="Z931" s="298">
        <f>SUM(Z611,Z617,Z623)/1000-SUM('Summary Table'!W124,'Summary Table'!W41)</f>
        <v>0</v>
      </c>
      <c r="AA931" s="298">
        <f>SUM(AA611,AA617,AA623)/1000-SUM('Summary Table'!X124,'Summary Table'!X41)</f>
        <v>0</v>
      </c>
      <c r="AB931" s="298">
        <f>SUM(AB611,AB617,AB623)/1000-SUM('Summary Table'!Y124,'Summary Table'!Y41)</f>
        <v>0</v>
      </c>
      <c r="AC931" s="298">
        <f>SUM(AC611,AC617,AC623)/1000-SUM('Summary Table'!Z124,'Summary Table'!Z41)</f>
        <v>0</v>
      </c>
      <c r="AD931" s="298">
        <f>SUM(AD611,AD617,AD623)/1000-SUM('Summary Table'!AA124,'Summary Table'!AA41)</f>
        <v>0</v>
      </c>
      <c r="AE931" s="298">
        <f>SUM(AE611,AE617,AE623)/1000-SUM('Summary Table'!AB124,'Summary Table'!AB41)</f>
        <v>0</v>
      </c>
      <c r="AF931" s="298">
        <f>SUM(AF611,AF617,AF623)/1000-SUM('Summary Table'!AC124,'Summary Table'!AC41)</f>
        <v>0</v>
      </c>
      <c r="AG931" s="298">
        <f>SUM(AG611,AG617,AG623)/1000-SUM('Summary Table'!AD124,'Summary Table'!AD41)</f>
        <v>0</v>
      </c>
      <c r="AH931" s="298">
        <f>SUM(AH611,AH617,AH623)/1000-SUM('Summary Table'!AE124,'Summary Table'!AE41)</f>
        <v>0</v>
      </c>
      <c r="AI931" s="298">
        <f>SUM(AI611,AI617,AI623)/1000-SUM('Summary Table'!AF124,'Summary Table'!AF41)</f>
        <v>0</v>
      </c>
      <c r="AJ931" s="298">
        <f>SUM(AJ611,AJ617,AJ623)/1000-SUM('Summary Table'!AG124,'Summary Table'!AG41)</f>
        <v>0</v>
      </c>
      <c r="AK931" s="298">
        <f>SUM(AK611,AK617,AK623)/1000-SUM('Summary Table'!AH124,'Summary Table'!AH41)</f>
        <v>0</v>
      </c>
      <c r="AL931" s="298">
        <f>SUM(AL611,AL617,AL623)/1000-SUM('Summary Table'!AI124,'Summary Table'!AI41)</f>
        <v>0</v>
      </c>
    </row>
    <row r="932" spans="1:38" ht="12.6">
      <c r="C932" s="317" t="s">
        <v>1053</v>
      </c>
      <c r="D932" s="317" t="s">
        <v>109</v>
      </c>
      <c r="E932" s="317" t="s">
        <v>130</v>
      </c>
      <c r="F932" s="299">
        <f>(F728+F783+F801+F807+F813+F910+F843+F758+F867+F873+F879+F885+F891+F897+F916+F903)/1000-'Summary Table'!C90</f>
        <v>0</v>
      </c>
      <c r="G932" s="299">
        <f>(G728+G783+G801+G807+G813+G910+G843+G758+G867+G873+G879+G885+G891+G897+G916+G903)/1000-'Summary Table'!D90</f>
        <v>0</v>
      </c>
      <c r="H932" s="299">
        <f>(H728+H783+H801+H807+H813+H910+H843+H758+H867+H873+H879+H885+H891+H897+H916+H903)/1000-'Summary Table'!E90</f>
        <v>0</v>
      </c>
      <c r="I932" s="299">
        <f>(I728+I783+I801+I807+I813+I910+I843+I758+I867+I873+I879+I885+I891+I897+I916+I903)/1000-'Summary Table'!F90</f>
        <v>0</v>
      </c>
      <c r="J932" s="299">
        <f>(J728+J783+J801+J807+J813+J910+J843+J758+J867+J873+J879+J885+J891+J897+J916+J903)/1000-'Summary Table'!G90</f>
        <v>0</v>
      </c>
      <c r="K932" s="299">
        <f>(K728+K783+K801+K807+K813+K910+K843+K758+K867+K873+K879+K885+K891+K897+K916+K903)/1000-'Summary Table'!H90</f>
        <v>0</v>
      </c>
      <c r="L932" s="299">
        <f>(L728+L783+L801+L807+L813+L910+L843+L758+L867+L873+L879+L885+L891+L897+L916+L903)/1000-'Summary Table'!I90</f>
        <v>0</v>
      </c>
      <c r="M932" s="299">
        <f>(M728+M783+M801+M807+M813+M910+M843+M758+M867+M873+M879+M885+M891+M897+M916+M903)/1000-'Summary Table'!J90</f>
        <v>0</v>
      </c>
      <c r="N932" s="299">
        <f>(N728+N783+N801+N807+N813+N910+N843+N758+N867+N873+N879+N885+N891+N897+N916+N903)/1000-'Summary Table'!K90</f>
        <v>0</v>
      </c>
      <c r="O932" s="299">
        <f>(O728+O783+O801+O807+O813+O910+O843+O758+O867+O873+O879+O885+O891+O897+O916+O903)/1000-'Summary Table'!L90</f>
        <v>0</v>
      </c>
      <c r="P932" s="299">
        <f>(P728+P783+P801+P807+P813+P910+P843+P758+P867+P873+P879+P885+P891+P897+P916+P903)/1000-'Summary Table'!M90</f>
        <v>0</v>
      </c>
      <c r="Q932" s="299">
        <f>(Q728+Q783+Q801+Q807+Q813+Q910+Q843+Q758+Q867+Q873+Q879+Q885+Q891+Q897+Q916+Q903)/1000-'Summary Table'!N90</f>
        <v>0</v>
      </c>
      <c r="R932" s="299">
        <f>(R728+R783+R801+R807+R813+R910+R843+R758+R867+R873+R879+R885+R891+R897+R916+R903)/1000-'Summary Table'!O90</f>
        <v>0</v>
      </c>
      <c r="S932" s="299">
        <f>(S728+S783+S801+S807+S813+S910+S843+S758+S867+S873+S879+S885+S891+S897+S916+S903)/1000-'Summary Table'!P90</f>
        <v>0</v>
      </c>
      <c r="T932" s="299">
        <f>(T728+T783+T801+T807+T813+T910+T843+T758+T867+T873+T879+T885+T891+T897+T916+T903)/1000-'Summary Table'!Q90</f>
        <v>0</v>
      </c>
      <c r="U932" s="299">
        <f>(U728+U783+U801+U807+U813+U910+U843+U758+U867+U873+U879+U885+U891+U897+U916+U903)/1000-'Summary Table'!R90</f>
        <v>0</v>
      </c>
      <c r="V932" s="299">
        <f>(V728+V783+V801+V807+V813+V910+V843+V758+V867+V873+V879+V885+V891+V897+V916+V903)/1000-'Summary Table'!S90</f>
        <v>0</v>
      </c>
      <c r="W932" s="299">
        <f>(W728+W783+W801+W807+W813+W910+W843+W758+W867+W873+W879+W885+W891+W897+W916+W903)/1000-'Summary Table'!T90</f>
        <v>0</v>
      </c>
      <c r="X932" s="299">
        <f>(X728+X783+X801+X807+X813+X910+X843+X758+X867+X873+X879+X885+X891+X897+X916+X903)/1000-'Summary Table'!U90</f>
        <v>0</v>
      </c>
      <c r="Y932" s="299">
        <f>(Y728+Y783+Y801+Y807+Y813+Y910+Y843+Y758+Y867+Y873+Y879+Y885+Y891+Y897+Y916+Y903)/1000-'Summary Table'!V90</f>
        <v>0</v>
      </c>
      <c r="Z932" s="299">
        <f>(Z728+Z783+Z801+Z807+Z813+Z910+Z843+Z758+Z867+Z873+Z879+Z885+Z891+Z897+Z916+Z903)/1000-'Summary Table'!W90</f>
        <v>0</v>
      </c>
      <c r="AA932" s="299">
        <f>(AA728+AA783+AA801+AA807+AA813+AA910+AA843+AA758+AA867+AA873+AA879+AA885+AA891+AA897+AA916+AA903)/1000-'Summary Table'!X90</f>
        <v>0</v>
      </c>
      <c r="AB932" s="299">
        <f>(AB728+AB783+AB801+AB807+AB813+AB910+AB843+AB758+AB867+AB873+AB879+AB885+AB891+AB897+AB916+AB903)/1000-'Summary Table'!Y90</f>
        <v>0</v>
      </c>
      <c r="AC932" s="299">
        <f>(AC728+AC783+AC801+AC807+AC813+AC910+AC843+AC758+AC867+AC873+AC879+AC885+AC891+AC897+AC916+AC903)/1000-'Summary Table'!Z90</f>
        <v>0</v>
      </c>
      <c r="AD932" s="299">
        <f>(AD728+AD783+AD801+AD807+AD813+AD910+AD843+AD758+AD867+AD873+AD879+AD885+AD891+AD897+AD916+AD903)/1000-'Summary Table'!AA90</f>
        <v>0</v>
      </c>
      <c r="AE932" s="299">
        <f>(AE728+AE783+AE801+AE807+AE813+AE910+AE843+AE758+AE867+AE873+AE879+AE885+AE891+AE897+AE916+AE903)/1000-'Summary Table'!AB90</f>
        <v>0</v>
      </c>
      <c r="AF932" s="299">
        <f>(AF728+AF783+AF801+AF807+AF813+AF910+AF843+AF758+AF867+AF873+AF879+AF885+AF891+AF897+AF916+AF903)/1000-'Summary Table'!AC90</f>
        <v>0</v>
      </c>
      <c r="AG932" s="299">
        <f>(AG728+AG783+AG801+AG807+AG813+AG910+AG843+AG758+AG867+AG873+AG879+AG885+AG891+AG897+AG916+AG903)/1000-'Summary Table'!AD90</f>
        <v>0</v>
      </c>
      <c r="AH932" s="299">
        <f>(AH728+AH783+AH801+AH807+AH813+AH910+AH843+AH758+AH867+AH873+AH879+AH885+AH891+AH897+AH916+AH903)/1000-'Summary Table'!AE90</f>
        <v>0</v>
      </c>
      <c r="AI932" s="299">
        <f>(AI728+AI783+AI801+AI807+AI813+AI910+AI843+AI758+AI867+AI873+AI879+AI885+AI891+AI897+AI916+AI903)/1000-'Summary Table'!AF90</f>
        <v>0</v>
      </c>
      <c r="AJ932" s="299">
        <f>(AJ728+AJ783+AJ801+AJ807+AJ813+AJ910+AJ843+AJ758+AJ867+AJ873+AJ879+AJ885+AJ891+AJ897+AJ916+AJ903)/1000-'Summary Table'!AG90</f>
        <v>0</v>
      </c>
      <c r="AK932" s="299">
        <f>(AK728+AK783+AK801+AK807+AK813+AK910+AK843+AK758+AK867+AK873+AK879+AK885+AK891+AK897+AK916+AK903)/1000-'Summary Table'!AH90</f>
        <v>0</v>
      </c>
      <c r="AL932" s="299">
        <f>(AL728+AL783+AL801+AL807+AL813+AL910+AL843+AL758+AL867+AL873+AL879+AL885+AL891+AL897+AL916+AL903)/1000-'Summary Table'!AI90</f>
        <v>0</v>
      </c>
    </row>
    <row r="933" spans="1:38" ht="12.6">
      <c r="C933" s="317"/>
      <c r="D933" s="317"/>
      <c r="E933" s="317"/>
      <c r="F933" s="299"/>
      <c r="G933" s="299"/>
      <c r="H933" s="299"/>
      <c r="I933" s="299"/>
      <c r="J933" s="299"/>
      <c r="K933" s="299"/>
      <c r="L933" s="299"/>
      <c r="M933" s="299"/>
      <c r="N933" s="299"/>
      <c r="O933" s="299"/>
      <c r="P933" s="299"/>
      <c r="Q933" s="299"/>
      <c r="R933" s="299"/>
      <c r="S933" s="299"/>
      <c r="T933" s="299"/>
      <c r="U933" s="299"/>
      <c r="V933" s="299"/>
      <c r="W933" s="299"/>
      <c r="X933" s="299"/>
      <c r="Y933" s="299"/>
      <c r="Z933" s="299"/>
      <c r="AA933" s="299"/>
      <c r="AB933" s="299"/>
      <c r="AC933" s="299"/>
      <c r="AD933" s="299"/>
      <c r="AE933" s="299"/>
      <c r="AF933" s="299"/>
      <c r="AG933" s="299"/>
      <c r="AH933" s="299"/>
      <c r="AI933" s="299"/>
      <c r="AJ933" s="299"/>
      <c r="AK933" s="299"/>
      <c r="AL933" s="299"/>
    </row>
    <row r="935" spans="1:38" s="311" customFormat="1" ht="18">
      <c r="A935" s="310" t="s">
        <v>1054</v>
      </c>
      <c r="D935" s="312"/>
      <c r="J935" s="812"/>
    </row>
    <row r="936" spans="1:38" s="320" customFormat="1" ht="8.25" customHeight="1">
      <c r="A936" s="983"/>
      <c r="D936" s="984"/>
    </row>
    <row r="937" spans="1:38" s="320" customFormat="1" ht="8.25" customHeight="1">
      <c r="A937" s="983"/>
      <c r="D937" s="984"/>
    </row>
    <row r="938" spans="1:38" s="320" customFormat="1" ht="8.25" customHeight="1">
      <c r="A938" s="983"/>
      <c r="D938" s="984"/>
    </row>
    <row r="939" spans="1:38" s="320" customFormat="1" ht="8.25" customHeight="1">
      <c r="A939" s="983"/>
      <c r="D939" s="984"/>
    </row>
    <row r="940" spans="1:38" s="320" customFormat="1" ht="8.25" customHeight="1">
      <c r="A940" s="983"/>
      <c r="D940" s="984"/>
    </row>
    <row r="941" spans="1:38" s="320" customFormat="1" ht="8.25" customHeight="1">
      <c r="A941" s="983"/>
      <c r="D941" s="984"/>
    </row>
    <row r="942" spans="1:38" s="320" customFormat="1" ht="8.25" customHeight="1">
      <c r="A942" s="983"/>
      <c r="D942" s="984"/>
    </row>
    <row r="943" spans="1:38" s="320" customFormat="1" ht="67.5" customHeight="1">
      <c r="A943" s="983"/>
      <c r="D943" s="984"/>
    </row>
    <row r="944" spans="1:38" s="792" customFormat="1" ht="12.95" thickBot="1">
      <c r="B944" s="996"/>
    </row>
    <row r="945" spans="1:38" s="792" customFormat="1" ht="13.5" thickBot="1">
      <c r="A945" s="318" t="s">
        <v>111</v>
      </c>
      <c r="B945" s="318" t="s">
        <v>1055</v>
      </c>
      <c r="C945" s="318" t="s">
        <v>112</v>
      </c>
      <c r="D945" s="318" t="s">
        <v>114</v>
      </c>
      <c r="E945" s="997"/>
      <c r="F945" s="318">
        <v>1990</v>
      </c>
      <c r="G945" s="318">
        <v>1991</v>
      </c>
      <c r="H945" s="318">
        <v>1992</v>
      </c>
      <c r="I945" s="318">
        <v>1993</v>
      </c>
      <c r="J945" s="318">
        <v>1994</v>
      </c>
      <c r="K945" s="318">
        <v>1995</v>
      </c>
      <c r="L945" s="318">
        <v>1996</v>
      </c>
      <c r="M945" s="318">
        <v>1997</v>
      </c>
      <c r="N945" s="318">
        <v>1998</v>
      </c>
      <c r="O945" s="318">
        <v>1999</v>
      </c>
      <c r="P945" s="318">
        <v>2000</v>
      </c>
      <c r="Q945" s="318">
        <v>2001</v>
      </c>
      <c r="R945" s="318">
        <v>2002</v>
      </c>
      <c r="S945" s="318">
        <v>2003</v>
      </c>
      <c r="T945" s="318">
        <v>2004</v>
      </c>
      <c r="U945" s="318">
        <v>2005</v>
      </c>
      <c r="V945" s="318">
        <v>2006</v>
      </c>
      <c r="W945" s="318">
        <v>2007</v>
      </c>
      <c r="X945" s="318">
        <v>2008</v>
      </c>
      <c r="Y945" s="318">
        <v>2009</v>
      </c>
      <c r="Z945" s="318">
        <v>2010</v>
      </c>
      <c r="AA945" s="318">
        <v>2011</v>
      </c>
      <c r="AB945" s="318">
        <v>2012</v>
      </c>
      <c r="AC945" s="318">
        <v>2013</v>
      </c>
      <c r="AD945" s="318">
        <v>2014</v>
      </c>
      <c r="AE945" s="318">
        <v>2015</v>
      </c>
      <c r="AF945" s="318">
        <v>2016</v>
      </c>
      <c r="AG945" s="318">
        <v>2017</v>
      </c>
      <c r="AH945" s="318">
        <v>2018</v>
      </c>
      <c r="AI945" s="318">
        <v>2019</v>
      </c>
      <c r="AJ945" s="318">
        <v>2020</v>
      </c>
      <c r="AK945" s="318">
        <v>2021</v>
      </c>
      <c r="AL945" s="318">
        <v>2022</v>
      </c>
    </row>
    <row r="946" spans="1:38" s="797" customFormat="1" ht="12.95">
      <c r="A946" s="796" t="s">
        <v>118</v>
      </c>
      <c r="B946" s="796"/>
      <c r="C946" s="796"/>
      <c r="D946" s="796"/>
      <c r="E946" s="796"/>
      <c r="F946" s="795"/>
      <c r="G946" s="795"/>
      <c r="H946" s="795"/>
      <c r="I946" s="795"/>
      <c r="J946" s="795"/>
      <c r="K946" s="795"/>
      <c r="L946" s="795"/>
      <c r="M946" s="795"/>
      <c r="N946" s="795"/>
      <c r="O946" s="795"/>
      <c r="P946" s="795"/>
      <c r="Q946" s="795"/>
      <c r="R946" s="795"/>
      <c r="S946" s="795"/>
      <c r="T946" s="795"/>
      <c r="U946" s="795"/>
      <c r="V946" s="795"/>
      <c r="W946" s="795"/>
      <c r="X946" s="795"/>
      <c r="Y946" s="795"/>
      <c r="Z946" s="795"/>
      <c r="AA946" s="795"/>
      <c r="AB946" s="795"/>
      <c r="AC946" s="795"/>
      <c r="AD946" s="795"/>
      <c r="AE946" s="795"/>
      <c r="AF946" s="795"/>
      <c r="AG946" s="795"/>
      <c r="AH946" s="795"/>
      <c r="AI946" s="795"/>
      <c r="AJ946" s="795"/>
      <c r="AK946" s="795"/>
      <c r="AL946" s="795"/>
    </row>
    <row r="947" spans="1:38" s="792" customFormat="1" ht="12.6">
      <c r="A947" s="989" t="s">
        <v>119</v>
      </c>
      <c r="B947" s="791"/>
      <c r="C947" s="791"/>
      <c r="D947" s="791"/>
      <c r="E947" s="791"/>
      <c r="F947" s="790"/>
      <c r="G947" s="790"/>
      <c r="H947" s="790"/>
      <c r="I947" s="790"/>
      <c r="J947" s="790"/>
      <c r="K947" s="790"/>
      <c r="L947" s="790"/>
      <c r="M947" s="790"/>
      <c r="N947" s="790"/>
      <c r="O947" s="790"/>
      <c r="P947" s="790"/>
      <c r="Q947" s="790"/>
      <c r="R947" s="790"/>
      <c r="S947" s="790"/>
      <c r="T947" s="790"/>
      <c r="U947" s="790"/>
      <c r="V947" s="790"/>
      <c r="W947" s="790"/>
      <c r="X947" s="790"/>
      <c r="Y947" s="790"/>
      <c r="Z947" s="790"/>
      <c r="AA947" s="790"/>
      <c r="AB947" s="790"/>
      <c r="AC947" s="790"/>
      <c r="AD947" s="790"/>
      <c r="AE947" s="790"/>
      <c r="AF947" s="790"/>
      <c r="AG947" s="790"/>
      <c r="AH947" s="790"/>
      <c r="AI947" s="790"/>
      <c r="AJ947" s="790"/>
      <c r="AK947" s="790"/>
      <c r="AL947" s="790"/>
    </row>
    <row r="948" spans="1:38" ht="15" customHeight="1">
      <c r="A948" s="990" t="s">
        <v>1056</v>
      </c>
      <c r="B948" s="991" t="s">
        <v>1057</v>
      </c>
      <c r="C948" s="991" t="s">
        <v>1058</v>
      </c>
      <c r="D948" s="991" t="s">
        <v>129</v>
      </c>
      <c r="E948" s="991"/>
      <c r="F948" s="813" t="s">
        <v>1059</v>
      </c>
      <c r="G948" s="813" t="s">
        <v>1059</v>
      </c>
      <c r="H948" s="813" t="s">
        <v>1059</v>
      </c>
      <c r="I948" s="813" t="s">
        <v>1059</v>
      </c>
      <c r="J948" s="813" t="s">
        <v>1059</v>
      </c>
      <c r="K948" s="813" t="s">
        <v>1059</v>
      </c>
      <c r="L948" s="813" t="s">
        <v>1059</v>
      </c>
      <c r="M948" s="813" t="s">
        <v>1059</v>
      </c>
      <c r="N948" s="813" t="s">
        <v>1059</v>
      </c>
      <c r="O948" s="813" t="s">
        <v>1059</v>
      </c>
      <c r="P948" s="813" t="s">
        <v>1059</v>
      </c>
      <c r="Q948" s="813" t="s">
        <v>1059</v>
      </c>
      <c r="R948" s="813" t="s">
        <v>1059</v>
      </c>
      <c r="S948" s="813" t="s">
        <v>1059</v>
      </c>
      <c r="T948" s="813" t="s">
        <v>1059</v>
      </c>
      <c r="U948" s="813" t="s">
        <v>1059</v>
      </c>
      <c r="V948" s="813" t="s">
        <v>1059</v>
      </c>
      <c r="W948" s="813" t="s">
        <v>1059</v>
      </c>
      <c r="X948" s="813" t="s">
        <v>1059</v>
      </c>
      <c r="Y948" s="813" t="s">
        <v>1059</v>
      </c>
      <c r="Z948" s="813" t="s">
        <v>1059</v>
      </c>
      <c r="AA948" s="813" t="s">
        <v>1059</v>
      </c>
      <c r="AB948" s="813" t="s">
        <v>1059</v>
      </c>
      <c r="AC948" s="813" t="s">
        <v>1059</v>
      </c>
      <c r="AD948" s="813" t="s">
        <v>1059</v>
      </c>
      <c r="AE948" s="813" t="s">
        <v>1059</v>
      </c>
      <c r="AF948" s="813" t="s">
        <v>1059</v>
      </c>
      <c r="AG948" s="813" t="s">
        <v>1059</v>
      </c>
      <c r="AH948" s="813" t="s">
        <v>1059</v>
      </c>
      <c r="AI948" s="813" t="s">
        <v>1059</v>
      </c>
      <c r="AJ948" s="813" t="s">
        <v>1059</v>
      </c>
      <c r="AK948" s="813" t="s">
        <v>1059</v>
      </c>
      <c r="AL948" s="813" t="s">
        <v>1060</v>
      </c>
    </row>
    <row r="949" spans="1:38" ht="12.6">
      <c r="A949" s="990" t="s">
        <v>1061</v>
      </c>
      <c r="B949" s="991" t="s">
        <v>1057</v>
      </c>
      <c r="C949" s="991" t="s">
        <v>1062</v>
      </c>
      <c r="D949" s="991" t="s">
        <v>129</v>
      </c>
      <c r="E949" s="991"/>
      <c r="F949" s="813" t="s">
        <v>1063</v>
      </c>
      <c r="G949" s="813" t="s">
        <v>1063</v>
      </c>
      <c r="H949" s="813" t="s">
        <v>1063</v>
      </c>
      <c r="I949" s="813" t="s">
        <v>1063</v>
      </c>
      <c r="J949" s="813" t="s">
        <v>1063</v>
      </c>
      <c r="K949" s="813" t="s">
        <v>1063</v>
      </c>
      <c r="L949" s="813" t="s">
        <v>1063</v>
      </c>
      <c r="M949" s="813" t="s">
        <v>1063</v>
      </c>
      <c r="N949" s="813" t="s">
        <v>1063</v>
      </c>
      <c r="O949" s="813" t="s">
        <v>1063</v>
      </c>
      <c r="P949" s="813" t="s">
        <v>1063</v>
      </c>
      <c r="Q949" s="813" t="s">
        <v>1063</v>
      </c>
      <c r="R949" s="813" t="s">
        <v>1063</v>
      </c>
      <c r="S949" s="813" t="s">
        <v>1063</v>
      </c>
      <c r="T949" s="813" t="s">
        <v>1063</v>
      </c>
      <c r="U949" s="813" t="s">
        <v>1063</v>
      </c>
      <c r="V949" s="813" t="s">
        <v>1063</v>
      </c>
      <c r="W949" s="813" t="s">
        <v>1063</v>
      </c>
      <c r="X949" s="813" t="s">
        <v>1063</v>
      </c>
      <c r="Y949" s="813" t="s">
        <v>1063</v>
      </c>
      <c r="Z949" s="813" t="s">
        <v>1063</v>
      </c>
      <c r="AA949" s="813" t="s">
        <v>1063</v>
      </c>
      <c r="AB949" s="813" t="s">
        <v>1063</v>
      </c>
      <c r="AC949" s="813" t="s">
        <v>1063</v>
      </c>
      <c r="AD949" s="813" t="s">
        <v>1063</v>
      </c>
      <c r="AE949" s="813" t="s">
        <v>1063</v>
      </c>
      <c r="AF949" s="813" t="s">
        <v>1063</v>
      </c>
      <c r="AG949" s="813" t="s">
        <v>1063</v>
      </c>
      <c r="AH949" s="813" t="s">
        <v>1063</v>
      </c>
      <c r="AI949" s="813" t="s">
        <v>1063</v>
      </c>
      <c r="AJ949" s="813" t="s">
        <v>1063</v>
      </c>
      <c r="AK949" s="813" t="s">
        <v>1063</v>
      </c>
      <c r="AL949" s="813" t="s">
        <v>1063</v>
      </c>
    </row>
    <row r="950" spans="1:38" s="792" customFormat="1" ht="12.6">
      <c r="A950" s="989" t="s">
        <v>135</v>
      </c>
      <c r="B950" s="791"/>
      <c r="C950" s="791"/>
      <c r="D950" s="791"/>
      <c r="E950" s="791"/>
      <c r="F950" s="790"/>
      <c r="G950" s="790"/>
      <c r="H950" s="790"/>
      <c r="I950" s="790"/>
      <c r="J950" s="790"/>
      <c r="K950" s="790"/>
      <c r="L950" s="790"/>
      <c r="M950" s="790"/>
      <c r="N950" s="790"/>
      <c r="O950" s="790"/>
      <c r="P950" s="790"/>
      <c r="Q950" s="790"/>
      <c r="R950" s="790"/>
      <c r="S950" s="790"/>
      <c r="T950" s="790"/>
      <c r="U950" s="790"/>
      <c r="V950" s="790"/>
      <c r="W950" s="790"/>
      <c r="X950" s="790"/>
      <c r="Y950" s="790"/>
      <c r="Z950" s="790"/>
      <c r="AA950" s="790"/>
      <c r="AB950" s="790"/>
      <c r="AC950" s="790"/>
      <c r="AD950" s="790"/>
      <c r="AE950" s="790"/>
      <c r="AF950" s="790"/>
      <c r="AG950" s="790"/>
      <c r="AH950" s="790"/>
      <c r="AI950" s="790"/>
      <c r="AJ950" s="790"/>
      <c r="AK950" s="790"/>
      <c r="AL950" s="790"/>
    </row>
    <row r="951" spans="1:38" ht="15" customHeight="1">
      <c r="A951" s="990" t="s">
        <v>1064</v>
      </c>
      <c r="B951" s="991" t="s">
        <v>1065</v>
      </c>
      <c r="C951" s="991" t="s">
        <v>1058</v>
      </c>
      <c r="D951" s="991" t="s">
        <v>129</v>
      </c>
      <c r="E951" s="991"/>
      <c r="F951" s="813" t="s">
        <v>1059</v>
      </c>
      <c r="G951" s="813" t="s">
        <v>1059</v>
      </c>
      <c r="H951" s="813" t="s">
        <v>1059</v>
      </c>
      <c r="I951" s="813" t="s">
        <v>1059</v>
      </c>
      <c r="J951" s="813" t="s">
        <v>1059</v>
      </c>
      <c r="K951" s="813" t="s">
        <v>1059</v>
      </c>
      <c r="L951" s="813" t="s">
        <v>1059</v>
      </c>
      <c r="M951" s="813" t="s">
        <v>1059</v>
      </c>
      <c r="N951" s="813" t="s">
        <v>1059</v>
      </c>
      <c r="O951" s="813" t="s">
        <v>1059</v>
      </c>
      <c r="P951" s="813" t="s">
        <v>1059</v>
      </c>
      <c r="Q951" s="813" t="s">
        <v>1059</v>
      </c>
      <c r="R951" s="813" t="s">
        <v>1059</v>
      </c>
      <c r="S951" s="813" t="s">
        <v>1059</v>
      </c>
      <c r="T951" s="813" t="s">
        <v>1059</v>
      </c>
      <c r="U951" s="813" t="s">
        <v>1059</v>
      </c>
      <c r="V951" s="813" t="s">
        <v>1059</v>
      </c>
      <c r="W951" s="813" t="s">
        <v>1059</v>
      </c>
      <c r="X951" s="813" t="s">
        <v>1059</v>
      </c>
      <c r="Y951" s="813" t="s">
        <v>1059</v>
      </c>
      <c r="Z951" s="813" t="s">
        <v>1059</v>
      </c>
      <c r="AA951" s="813" t="s">
        <v>1059</v>
      </c>
      <c r="AB951" s="813" t="s">
        <v>1059</v>
      </c>
      <c r="AC951" s="813" t="s">
        <v>1059</v>
      </c>
      <c r="AD951" s="813" t="s">
        <v>1059</v>
      </c>
      <c r="AE951" s="813" t="s">
        <v>1059</v>
      </c>
      <c r="AF951" s="813" t="s">
        <v>1059</v>
      </c>
      <c r="AG951" s="813" t="s">
        <v>1059</v>
      </c>
      <c r="AH951" s="813" t="s">
        <v>1059</v>
      </c>
      <c r="AI951" s="813" t="s">
        <v>1059</v>
      </c>
      <c r="AJ951" s="813" t="s">
        <v>1059</v>
      </c>
      <c r="AK951" s="813" t="s">
        <v>1059</v>
      </c>
      <c r="AL951" s="813" t="s">
        <v>1060</v>
      </c>
    </row>
    <row r="952" spans="1:38" ht="12.6">
      <c r="A952" s="990" t="s">
        <v>1066</v>
      </c>
      <c r="B952" s="991" t="s">
        <v>1065</v>
      </c>
      <c r="C952" s="991" t="s">
        <v>1062</v>
      </c>
      <c r="D952" s="991" t="s">
        <v>129</v>
      </c>
      <c r="E952" s="991"/>
      <c r="F952" s="813" t="s">
        <v>1063</v>
      </c>
      <c r="G952" s="813" t="s">
        <v>1063</v>
      </c>
      <c r="H952" s="813" t="s">
        <v>1063</v>
      </c>
      <c r="I952" s="813" t="s">
        <v>1063</v>
      </c>
      <c r="J952" s="813" t="s">
        <v>1063</v>
      </c>
      <c r="K952" s="813" t="s">
        <v>1063</v>
      </c>
      <c r="L952" s="813" t="s">
        <v>1063</v>
      </c>
      <c r="M952" s="813" t="s">
        <v>1063</v>
      </c>
      <c r="N952" s="813" t="s">
        <v>1063</v>
      </c>
      <c r="O952" s="813" t="s">
        <v>1063</v>
      </c>
      <c r="P952" s="813" t="s">
        <v>1063</v>
      </c>
      <c r="Q952" s="813" t="s">
        <v>1063</v>
      </c>
      <c r="R952" s="813" t="s">
        <v>1063</v>
      </c>
      <c r="S952" s="813" t="s">
        <v>1063</v>
      </c>
      <c r="T952" s="813" t="s">
        <v>1063</v>
      </c>
      <c r="U952" s="813" t="s">
        <v>1063</v>
      </c>
      <c r="V952" s="813" t="s">
        <v>1063</v>
      </c>
      <c r="W952" s="813" t="s">
        <v>1063</v>
      </c>
      <c r="X952" s="813" t="s">
        <v>1063</v>
      </c>
      <c r="Y952" s="813" t="s">
        <v>1063</v>
      </c>
      <c r="Z952" s="813" t="s">
        <v>1063</v>
      </c>
      <c r="AA952" s="813" t="s">
        <v>1063</v>
      </c>
      <c r="AB952" s="813" t="s">
        <v>1063</v>
      </c>
      <c r="AC952" s="813" t="s">
        <v>1063</v>
      </c>
      <c r="AD952" s="813" t="s">
        <v>1063</v>
      </c>
      <c r="AE952" s="813" t="s">
        <v>1063</v>
      </c>
      <c r="AF952" s="813" t="s">
        <v>1063</v>
      </c>
      <c r="AG952" s="813" t="s">
        <v>1063</v>
      </c>
      <c r="AH952" s="813" t="s">
        <v>1063</v>
      </c>
      <c r="AI952" s="813" t="s">
        <v>1063</v>
      </c>
      <c r="AJ952" s="813" t="s">
        <v>1063</v>
      </c>
      <c r="AK952" s="813" t="s">
        <v>1063</v>
      </c>
      <c r="AL952" s="813" t="s">
        <v>1063</v>
      </c>
    </row>
    <row r="953" spans="1:38" s="792" customFormat="1" ht="12.6">
      <c r="A953" s="989" t="s">
        <v>141</v>
      </c>
      <c r="B953" s="791"/>
      <c r="C953" s="791"/>
      <c r="D953" s="791"/>
      <c r="E953" s="791"/>
      <c r="F953" s="790"/>
      <c r="G953" s="790"/>
      <c r="H953" s="790"/>
      <c r="I953" s="790"/>
      <c r="J953" s="790"/>
      <c r="K953" s="790"/>
      <c r="L953" s="790"/>
      <c r="M953" s="790"/>
      <c r="N953" s="790"/>
      <c r="O953" s="790"/>
      <c r="P953" s="790"/>
      <c r="Q953" s="790"/>
      <c r="R953" s="790"/>
      <c r="S953" s="790"/>
      <c r="T953" s="790"/>
      <c r="U953" s="790"/>
      <c r="V953" s="790"/>
      <c r="W953" s="790"/>
      <c r="X953" s="790"/>
      <c r="Y953" s="790"/>
      <c r="Z953" s="790"/>
      <c r="AA953" s="790"/>
      <c r="AB953" s="790"/>
      <c r="AC953" s="790"/>
      <c r="AD953" s="790"/>
      <c r="AE953" s="790"/>
      <c r="AF953" s="790"/>
      <c r="AG953" s="790"/>
      <c r="AH953" s="790"/>
      <c r="AI953" s="790"/>
      <c r="AJ953" s="790"/>
      <c r="AK953" s="790"/>
      <c r="AL953" s="790"/>
    </row>
    <row r="954" spans="1:38" ht="12.6">
      <c r="A954" s="990" t="s">
        <v>1067</v>
      </c>
      <c r="B954" s="991" t="s">
        <v>1068</v>
      </c>
      <c r="C954" s="991" t="s">
        <v>1058</v>
      </c>
      <c r="D954" s="991" t="s">
        <v>129</v>
      </c>
      <c r="E954" s="991"/>
      <c r="F954" s="813" t="s">
        <v>1059</v>
      </c>
      <c r="G954" s="813" t="s">
        <v>1059</v>
      </c>
      <c r="H954" s="813" t="s">
        <v>1059</v>
      </c>
      <c r="I954" s="813" t="s">
        <v>1059</v>
      </c>
      <c r="J954" s="813" t="s">
        <v>1059</v>
      </c>
      <c r="K954" s="813" t="s">
        <v>1059</v>
      </c>
      <c r="L954" s="813" t="s">
        <v>1059</v>
      </c>
      <c r="M954" s="813" t="s">
        <v>1059</v>
      </c>
      <c r="N954" s="813" t="s">
        <v>1059</v>
      </c>
      <c r="O954" s="813" t="s">
        <v>1059</v>
      </c>
      <c r="P954" s="813" t="s">
        <v>1059</v>
      </c>
      <c r="Q954" s="813" t="s">
        <v>1059</v>
      </c>
      <c r="R954" s="813" t="s">
        <v>1059</v>
      </c>
      <c r="S954" s="813" t="s">
        <v>1059</v>
      </c>
      <c r="T954" s="813" t="s">
        <v>1059</v>
      </c>
      <c r="U954" s="813" t="s">
        <v>1059</v>
      </c>
      <c r="V954" s="813" t="s">
        <v>1059</v>
      </c>
      <c r="W954" s="813" t="s">
        <v>1059</v>
      </c>
      <c r="X954" s="813" t="s">
        <v>1059</v>
      </c>
      <c r="Y954" s="813" t="s">
        <v>1059</v>
      </c>
      <c r="Z954" s="813" t="s">
        <v>1059</v>
      </c>
      <c r="AA954" s="813" t="s">
        <v>1059</v>
      </c>
      <c r="AB954" s="813" t="s">
        <v>1059</v>
      </c>
      <c r="AC954" s="813" t="s">
        <v>1059</v>
      </c>
      <c r="AD954" s="813" t="s">
        <v>1059</v>
      </c>
      <c r="AE954" s="813" t="s">
        <v>1059</v>
      </c>
      <c r="AF954" s="813" t="s">
        <v>1059</v>
      </c>
      <c r="AG954" s="813" t="s">
        <v>1059</v>
      </c>
      <c r="AH954" s="813" t="s">
        <v>1059</v>
      </c>
      <c r="AI954" s="813" t="s">
        <v>1059</v>
      </c>
      <c r="AJ954" s="813" t="s">
        <v>1059</v>
      </c>
      <c r="AK954" s="813" t="s">
        <v>1059</v>
      </c>
      <c r="AL954" s="813" t="s">
        <v>1060</v>
      </c>
    </row>
    <row r="955" spans="1:38" ht="12.6">
      <c r="A955" s="990" t="s">
        <v>1069</v>
      </c>
      <c r="B955" s="991" t="s">
        <v>1068</v>
      </c>
      <c r="C955" s="991" t="s">
        <v>1062</v>
      </c>
      <c r="D955" s="991" t="s">
        <v>129</v>
      </c>
      <c r="E955" s="991"/>
      <c r="F955" s="813" t="s">
        <v>1063</v>
      </c>
      <c r="G955" s="813" t="s">
        <v>1063</v>
      </c>
      <c r="H955" s="813" t="s">
        <v>1063</v>
      </c>
      <c r="I955" s="813" t="s">
        <v>1063</v>
      </c>
      <c r="J955" s="813" t="s">
        <v>1063</v>
      </c>
      <c r="K955" s="813" t="s">
        <v>1063</v>
      </c>
      <c r="L955" s="813" t="s">
        <v>1063</v>
      </c>
      <c r="M955" s="813" t="s">
        <v>1063</v>
      </c>
      <c r="N955" s="813" t="s">
        <v>1063</v>
      </c>
      <c r="O955" s="813" t="s">
        <v>1063</v>
      </c>
      <c r="P955" s="813" t="s">
        <v>1063</v>
      </c>
      <c r="Q955" s="813" t="s">
        <v>1063</v>
      </c>
      <c r="R955" s="813" t="s">
        <v>1063</v>
      </c>
      <c r="S955" s="813" t="s">
        <v>1063</v>
      </c>
      <c r="T955" s="813" t="s">
        <v>1063</v>
      </c>
      <c r="U955" s="813" t="s">
        <v>1063</v>
      </c>
      <c r="V955" s="813" t="s">
        <v>1063</v>
      </c>
      <c r="W955" s="813" t="s">
        <v>1063</v>
      </c>
      <c r="X955" s="813" t="s">
        <v>1063</v>
      </c>
      <c r="Y955" s="813" t="s">
        <v>1063</v>
      </c>
      <c r="Z955" s="813" t="s">
        <v>1063</v>
      </c>
      <c r="AA955" s="813" t="s">
        <v>1063</v>
      </c>
      <c r="AB955" s="813" t="s">
        <v>1063</v>
      </c>
      <c r="AC955" s="813" t="s">
        <v>1063</v>
      </c>
      <c r="AD955" s="813" t="s">
        <v>1063</v>
      </c>
      <c r="AE955" s="813" t="s">
        <v>1063</v>
      </c>
      <c r="AF955" s="813" t="s">
        <v>1063</v>
      </c>
      <c r="AG955" s="813" t="s">
        <v>1063</v>
      </c>
      <c r="AH955" s="813" t="s">
        <v>1063</v>
      </c>
      <c r="AI955" s="813" t="s">
        <v>1063</v>
      </c>
      <c r="AJ955" s="813" t="s">
        <v>1063</v>
      </c>
      <c r="AK955" s="813" t="s">
        <v>1063</v>
      </c>
      <c r="AL955" s="813" t="s">
        <v>1063</v>
      </c>
    </row>
    <row r="956" spans="1:38" s="792" customFormat="1" ht="12.6">
      <c r="A956" s="989" t="s">
        <v>147</v>
      </c>
      <c r="B956" s="791"/>
      <c r="C956" s="791"/>
      <c r="D956" s="791"/>
      <c r="E956" s="791"/>
      <c r="F956" s="790"/>
      <c r="G956" s="790"/>
      <c r="H956" s="790"/>
      <c r="I956" s="790"/>
      <c r="J956" s="790"/>
      <c r="K956" s="790"/>
      <c r="L956" s="790"/>
      <c r="M956" s="790"/>
      <c r="N956" s="790"/>
      <c r="O956" s="790"/>
      <c r="P956" s="790"/>
      <c r="Q956" s="790"/>
      <c r="R956" s="790"/>
      <c r="S956" s="790"/>
      <c r="T956" s="790"/>
      <c r="U956" s="790"/>
      <c r="V956" s="790"/>
      <c r="W956" s="790"/>
      <c r="X956" s="790"/>
      <c r="Y956" s="790"/>
      <c r="Z956" s="790"/>
      <c r="AA956" s="790"/>
      <c r="AB956" s="790"/>
      <c r="AC956" s="790"/>
      <c r="AD956" s="790"/>
      <c r="AE956" s="790"/>
      <c r="AF956" s="790"/>
      <c r="AG956" s="790"/>
      <c r="AH956" s="790"/>
      <c r="AI956" s="790"/>
      <c r="AJ956" s="790"/>
      <c r="AK956" s="790"/>
      <c r="AL956" s="790"/>
    </row>
    <row r="957" spans="1:38" ht="12.6">
      <c r="A957" s="990" t="s">
        <v>1070</v>
      </c>
      <c r="B957" s="991" t="s">
        <v>1071</v>
      </c>
      <c r="C957" s="991" t="s">
        <v>1058</v>
      </c>
      <c r="D957" s="991" t="s">
        <v>129</v>
      </c>
      <c r="E957" s="991"/>
      <c r="F957" s="813" t="s">
        <v>1059</v>
      </c>
      <c r="G957" s="813" t="s">
        <v>1059</v>
      </c>
      <c r="H957" s="813" t="s">
        <v>1059</v>
      </c>
      <c r="I957" s="813" t="s">
        <v>1059</v>
      </c>
      <c r="J957" s="813" t="s">
        <v>1059</v>
      </c>
      <c r="K957" s="813" t="s">
        <v>1059</v>
      </c>
      <c r="L957" s="813" t="s">
        <v>1059</v>
      </c>
      <c r="M957" s="813" t="s">
        <v>1059</v>
      </c>
      <c r="N957" s="813" t="s">
        <v>1059</v>
      </c>
      <c r="O957" s="813" t="s">
        <v>1059</v>
      </c>
      <c r="P957" s="813" t="s">
        <v>1059</v>
      </c>
      <c r="Q957" s="813" t="s">
        <v>1059</v>
      </c>
      <c r="R957" s="813" t="s">
        <v>1059</v>
      </c>
      <c r="S957" s="813" t="s">
        <v>1059</v>
      </c>
      <c r="T957" s="813" t="s">
        <v>1059</v>
      </c>
      <c r="U957" s="813" t="s">
        <v>1059</v>
      </c>
      <c r="V957" s="813" t="s">
        <v>1059</v>
      </c>
      <c r="W957" s="813" t="s">
        <v>1059</v>
      </c>
      <c r="X957" s="813" t="s">
        <v>1059</v>
      </c>
      <c r="Y957" s="813" t="s">
        <v>1059</v>
      </c>
      <c r="Z957" s="813" t="s">
        <v>1059</v>
      </c>
      <c r="AA957" s="813" t="s">
        <v>1059</v>
      </c>
      <c r="AB957" s="813" t="s">
        <v>1059</v>
      </c>
      <c r="AC957" s="813" t="s">
        <v>1059</v>
      </c>
      <c r="AD957" s="813" t="s">
        <v>1059</v>
      </c>
      <c r="AE957" s="813" t="s">
        <v>1059</v>
      </c>
      <c r="AF957" s="813" t="s">
        <v>1059</v>
      </c>
      <c r="AG957" s="813" t="s">
        <v>1059</v>
      </c>
      <c r="AH957" s="813" t="s">
        <v>1059</v>
      </c>
      <c r="AI957" s="813" t="s">
        <v>1059</v>
      </c>
      <c r="AJ957" s="813" t="s">
        <v>1059</v>
      </c>
      <c r="AK957" s="813" t="s">
        <v>1059</v>
      </c>
      <c r="AL957" s="813" t="s">
        <v>1060</v>
      </c>
    </row>
    <row r="958" spans="1:38" ht="12.6">
      <c r="A958" s="990" t="s">
        <v>1072</v>
      </c>
      <c r="B958" s="991" t="s">
        <v>1071</v>
      </c>
      <c r="C958" s="991" t="s">
        <v>1062</v>
      </c>
      <c r="D958" s="991" t="s">
        <v>129</v>
      </c>
      <c r="E958" s="991"/>
      <c r="F958" s="813" t="s">
        <v>1063</v>
      </c>
      <c r="G958" s="813" t="s">
        <v>1063</v>
      </c>
      <c r="H958" s="813" t="s">
        <v>1063</v>
      </c>
      <c r="I958" s="813" t="s">
        <v>1063</v>
      </c>
      <c r="J958" s="813" t="s">
        <v>1063</v>
      </c>
      <c r="K958" s="813" t="s">
        <v>1063</v>
      </c>
      <c r="L958" s="813" t="s">
        <v>1063</v>
      </c>
      <c r="M958" s="813" t="s">
        <v>1063</v>
      </c>
      <c r="N958" s="813" t="s">
        <v>1063</v>
      </c>
      <c r="O958" s="813" t="s">
        <v>1063</v>
      </c>
      <c r="P958" s="813" t="s">
        <v>1063</v>
      </c>
      <c r="Q958" s="813" t="s">
        <v>1063</v>
      </c>
      <c r="R958" s="813" t="s">
        <v>1063</v>
      </c>
      <c r="S958" s="813" t="s">
        <v>1063</v>
      </c>
      <c r="T958" s="813" t="s">
        <v>1063</v>
      </c>
      <c r="U958" s="813" t="s">
        <v>1063</v>
      </c>
      <c r="V958" s="813" t="s">
        <v>1063</v>
      </c>
      <c r="W958" s="813" t="s">
        <v>1063</v>
      </c>
      <c r="X958" s="813" t="s">
        <v>1063</v>
      </c>
      <c r="Y958" s="813" t="s">
        <v>1063</v>
      </c>
      <c r="Z958" s="813" t="s">
        <v>1063</v>
      </c>
      <c r="AA958" s="813" t="s">
        <v>1063</v>
      </c>
      <c r="AB958" s="813" t="s">
        <v>1063</v>
      </c>
      <c r="AC958" s="813" t="s">
        <v>1063</v>
      </c>
      <c r="AD958" s="813" t="s">
        <v>1063</v>
      </c>
      <c r="AE958" s="813" t="s">
        <v>1063</v>
      </c>
      <c r="AF958" s="813" t="s">
        <v>1063</v>
      </c>
      <c r="AG958" s="813" t="s">
        <v>1063</v>
      </c>
      <c r="AH958" s="813" t="s">
        <v>1063</v>
      </c>
      <c r="AI958" s="813" t="s">
        <v>1063</v>
      </c>
      <c r="AJ958" s="813" t="s">
        <v>1063</v>
      </c>
      <c r="AK958" s="813" t="s">
        <v>1063</v>
      </c>
      <c r="AL958" s="813" t="s">
        <v>1063</v>
      </c>
    </row>
    <row r="959" spans="1:38" s="792" customFormat="1" ht="12.6">
      <c r="A959" s="989" t="s">
        <v>154</v>
      </c>
      <c r="B959" s="791"/>
      <c r="C959" s="791"/>
      <c r="D959" s="791"/>
      <c r="E959" s="791"/>
      <c r="F959" s="790"/>
      <c r="G959" s="790"/>
      <c r="H959" s="790"/>
      <c r="I959" s="790"/>
      <c r="J959" s="790"/>
      <c r="K959" s="790"/>
      <c r="L959" s="790"/>
      <c r="M959" s="790"/>
      <c r="N959" s="790"/>
      <c r="O959" s="790"/>
      <c r="P959" s="790"/>
      <c r="Q959" s="790"/>
      <c r="R959" s="790"/>
      <c r="S959" s="790"/>
      <c r="T959" s="790"/>
      <c r="U959" s="790"/>
      <c r="V959" s="790"/>
      <c r="W959" s="790"/>
      <c r="X959" s="790"/>
      <c r="Y959" s="790"/>
      <c r="Z959" s="790"/>
      <c r="AA959" s="790"/>
      <c r="AB959" s="790"/>
      <c r="AC959" s="790"/>
      <c r="AD959" s="790"/>
      <c r="AE959" s="790"/>
      <c r="AF959" s="790"/>
      <c r="AG959" s="790"/>
      <c r="AH959" s="790"/>
      <c r="AI959" s="790"/>
      <c r="AJ959" s="790"/>
      <c r="AK959" s="790"/>
      <c r="AL959" s="790"/>
    </row>
    <row r="960" spans="1:38" ht="12.6">
      <c r="A960" s="990" t="s">
        <v>1073</v>
      </c>
      <c r="B960" s="991" t="s">
        <v>1074</v>
      </c>
      <c r="C960" s="991" t="s">
        <v>1058</v>
      </c>
      <c r="D960" s="991" t="s">
        <v>129</v>
      </c>
      <c r="E960" s="991"/>
      <c r="F960" s="813" t="s">
        <v>106</v>
      </c>
      <c r="G960" s="813" t="s">
        <v>106</v>
      </c>
      <c r="H960" s="813" t="s">
        <v>106</v>
      </c>
      <c r="I960" s="813" t="s">
        <v>106</v>
      </c>
      <c r="J960" s="813" t="s">
        <v>106</v>
      </c>
      <c r="K960" s="813" t="s">
        <v>106</v>
      </c>
      <c r="L960" s="813" t="s">
        <v>106</v>
      </c>
      <c r="M960" s="813" t="s">
        <v>106</v>
      </c>
      <c r="N960" s="813" t="s">
        <v>106</v>
      </c>
      <c r="O960" s="813" t="s">
        <v>106</v>
      </c>
      <c r="P960" s="813" t="s">
        <v>106</v>
      </c>
      <c r="Q960" s="813" t="s">
        <v>106</v>
      </c>
      <c r="R960" s="813" t="s">
        <v>106</v>
      </c>
      <c r="S960" s="813" t="s">
        <v>106</v>
      </c>
      <c r="T960" s="813" t="s">
        <v>106</v>
      </c>
      <c r="U960" s="813" t="s">
        <v>106</v>
      </c>
      <c r="V960" s="813" t="s">
        <v>106</v>
      </c>
      <c r="W960" s="813" t="s">
        <v>106</v>
      </c>
      <c r="X960" s="813" t="s">
        <v>106</v>
      </c>
      <c r="Y960" s="813" t="s">
        <v>106</v>
      </c>
      <c r="Z960" s="813" t="s">
        <v>106</v>
      </c>
      <c r="AA960" s="813" t="s">
        <v>106</v>
      </c>
      <c r="AB960" s="813" t="s">
        <v>106</v>
      </c>
      <c r="AC960" s="813" t="s">
        <v>106</v>
      </c>
      <c r="AD960" s="813" t="s">
        <v>106</v>
      </c>
      <c r="AE960" s="813" t="s">
        <v>106</v>
      </c>
      <c r="AF960" s="813" t="s">
        <v>106</v>
      </c>
      <c r="AG960" s="813" t="s">
        <v>106</v>
      </c>
      <c r="AH960" s="813" t="s">
        <v>106</v>
      </c>
      <c r="AI960" s="813" t="s">
        <v>106</v>
      </c>
      <c r="AJ960" s="813" t="s">
        <v>106</v>
      </c>
      <c r="AK960" s="813" t="s">
        <v>106</v>
      </c>
      <c r="AL960" s="813" t="s">
        <v>106</v>
      </c>
    </row>
    <row r="961" spans="1:38" ht="12.6">
      <c r="A961" s="990" t="s">
        <v>1075</v>
      </c>
      <c r="B961" s="991" t="s">
        <v>1074</v>
      </c>
      <c r="C961" s="991" t="s">
        <v>1062</v>
      </c>
      <c r="D961" s="991" t="s">
        <v>129</v>
      </c>
      <c r="E961" s="991"/>
      <c r="F961" s="813" t="s">
        <v>106</v>
      </c>
      <c r="G961" s="813" t="s">
        <v>106</v>
      </c>
      <c r="H961" s="813" t="s">
        <v>106</v>
      </c>
      <c r="I961" s="813" t="s">
        <v>106</v>
      </c>
      <c r="J961" s="813" t="s">
        <v>106</v>
      </c>
      <c r="K961" s="813" t="s">
        <v>106</v>
      </c>
      <c r="L961" s="813" t="s">
        <v>106</v>
      </c>
      <c r="M961" s="813" t="s">
        <v>106</v>
      </c>
      <c r="N961" s="813" t="s">
        <v>106</v>
      </c>
      <c r="O961" s="813" t="s">
        <v>106</v>
      </c>
      <c r="P961" s="813" t="s">
        <v>106</v>
      </c>
      <c r="Q961" s="813" t="s">
        <v>106</v>
      </c>
      <c r="R961" s="813" t="s">
        <v>106</v>
      </c>
      <c r="S961" s="813" t="s">
        <v>106</v>
      </c>
      <c r="T961" s="813" t="s">
        <v>106</v>
      </c>
      <c r="U961" s="813" t="s">
        <v>106</v>
      </c>
      <c r="V961" s="813" t="s">
        <v>106</v>
      </c>
      <c r="W961" s="813" t="s">
        <v>106</v>
      </c>
      <c r="X961" s="813" t="s">
        <v>106</v>
      </c>
      <c r="Y961" s="813" t="s">
        <v>106</v>
      </c>
      <c r="Z961" s="813" t="s">
        <v>106</v>
      </c>
      <c r="AA961" s="813" t="s">
        <v>106</v>
      </c>
      <c r="AB961" s="813" t="s">
        <v>106</v>
      </c>
      <c r="AC961" s="813" t="s">
        <v>106</v>
      </c>
      <c r="AD961" s="813" t="s">
        <v>106</v>
      </c>
      <c r="AE961" s="813" t="s">
        <v>106</v>
      </c>
      <c r="AF961" s="813" t="s">
        <v>106</v>
      </c>
      <c r="AG961" s="813" t="s">
        <v>106</v>
      </c>
      <c r="AH961" s="813" t="s">
        <v>106</v>
      </c>
      <c r="AI961" s="813" t="s">
        <v>106</v>
      </c>
      <c r="AJ961" s="813" t="s">
        <v>106</v>
      </c>
      <c r="AK961" s="813" t="s">
        <v>106</v>
      </c>
      <c r="AL961" s="813" t="s">
        <v>106</v>
      </c>
    </row>
    <row r="962" spans="1:38" s="797" customFormat="1" ht="12.95">
      <c r="A962" s="796" t="s">
        <v>1076</v>
      </c>
      <c r="B962" s="796"/>
      <c r="C962" s="796"/>
      <c r="D962" s="796"/>
      <c r="E962" s="796"/>
      <c r="F962" s="795"/>
      <c r="G962" s="795"/>
      <c r="H962" s="795"/>
      <c r="I962" s="795"/>
      <c r="J962" s="795"/>
      <c r="K962" s="795"/>
      <c r="L962" s="795"/>
      <c r="M962" s="795"/>
      <c r="N962" s="795"/>
      <c r="O962" s="795"/>
      <c r="P962" s="795"/>
      <c r="Q962" s="795"/>
      <c r="R962" s="795"/>
      <c r="S962" s="795"/>
      <c r="T962" s="795"/>
      <c r="U962" s="795"/>
      <c r="V962" s="795"/>
      <c r="W962" s="795"/>
      <c r="X962" s="795"/>
      <c r="Y962" s="795"/>
      <c r="Z962" s="795"/>
      <c r="AA962" s="795"/>
      <c r="AB962" s="795"/>
      <c r="AC962" s="795"/>
      <c r="AD962" s="795"/>
      <c r="AE962" s="795"/>
      <c r="AF962" s="795"/>
      <c r="AG962" s="795"/>
      <c r="AH962" s="795"/>
      <c r="AI962" s="795"/>
      <c r="AJ962" s="795"/>
      <c r="AK962" s="795"/>
      <c r="AL962" s="795"/>
    </row>
    <row r="963" spans="1:38" s="792" customFormat="1" ht="12.6">
      <c r="A963" s="989" t="s">
        <v>161</v>
      </c>
      <c r="B963" s="791"/>
      <c r="C963" s="791"/>
      <c r="D963" s="791"/>
      <c r="E963" s="791"/>
      <c r="F963" s="790"/>
      <c r="G963" s="790"/>
      <c r="H963" s="790"/>
      <c r="I963" s="790"/>
      <c r="J963" s="790"/>
      <c r="K963" s="790"/>
      <c r="L963" s="790"/>
      <c r="M963" s="790"/>
      <c r="N963" s="790"/>
      <c r="O963" s="790"/>
      <c r="P963" s="790"/>
      <c r="Q963" s="790"/>
      <c r="R963" s="790"/>
      <c r="S963" s="790"/>
      <c r="T963" s="790"/>
      <c r="U963" s="790"/>
      <c r="V963" s="790"/>
      <c r="W963" s="790"/>
      <c r="X963" s="790"/>
      <c r="Y963" s="790"/>
      <c r="Z963" s="790"/>
      <c r="AA963" s="790"/>
      <c r="AB963" s="790"/>
      <c r="AC963" s="790"/>
      <c r="AD963" s="790"/>
      <c r="AE963" s="790"/>
      <c r="AF963" s="790"/>
      <c r="AG963" s="790"/>
      <c r="AH963" s="790"/>
      <c r="AI963" s="790"/>
      <c r="AJ963" s="790"/>
      <c r="AK963" s="790"/>
      <c r="AL963" s="790"/>
    </row>
    <row r="964" spans="1:38" ht="12.6">
      <c r="A964" s="990" t="s">
        <v>1077</v>
      </c>
      <c r="B964" s="991" t="s">
        <v>1057</v>
      </c>
      <c r="C964" s="991" t="s">
        <v>1058</v>
      </c>
      <c r="D964" s="991" t="s">
        <v>129</v>
      </c>
      <c r="E964" s="991"/>
      <c r="F964" s="813" t="s">
        <v>106</v>
      </c>
      <c r="G964" s="813" t="s">
        <v>106</v>
      </c>
      <c r="H964" s="813" t="s">
        <v>106</v>
      </c>
      <c r="I964" s="813" t="s">
        <v>106</v>
      </c>
      <c r="J964" s="813" t="s">
        <v>106</v>
      </c>
      <c r="K964" s="813" t="s">
        <v>106</v>
      </c>
      <c r="L964" s="813" t="s">
        <v>106</v>
      </c>
      <c r="M964" s="813" t="s">
        <v>106</v>
      </c>
      <c r="N964" s="813" t="s">
        <v>106</v>
      </c>
      <c r="O964" s="813" t="s">
        <v>106</v>
      </c>
      <c r="P964" s="813" t="s">
        <v>106</v>
      </c>
      <c r="Q964" s="813" t="s">
        <v>106</v>
      </c>
      <c r="R964" s="813" t="s">
        <v>106</v>
      </c>
      <c r="S964" s="813" t="s">
        <v>106</v>
      </c>
      <c r="T964" s="813" t="s">
        <v>106</v>
      </c>
      <c r="U964" s="813" t="s">
        <v>106</v>
      </c>
      <c r="V964" s="813" t="s">
        <v>106</v>
      </c>
      <c r="W964" s="813" t="s">
        <v>106</v>
      </c>
      <c r="X964" s="813" t="s">
        <v>106</v>
      </c>
      <c r="Y964" s="813" t="s">
        <v>106</v>
      </c>
      <c r="Z964" s="813" t="s">
        <v>106</v>
      </c>
      <c r="AA964" s="813" t="s">
        <v>106</v>
      </c>
      <c r="AB964" s="813" t="s">
        <v>106</v>
      </c>
      <c r="AC964" s="813" t="s">
        <v>106</v>
      </c>
      <c r="AD964" s="813" t="s">
        <v>106</v>
      </c>
      <c r="AE964" s="813" t="s">
        <v>106</v>
      </c>
      <c r="AF964" s="813" t="s">
        <v>106</v>
      </c>
      <c r="AG964" s="813" t="s">
        <v>106</v>
      </c>
      <c r="AH964" s="813" t="s">
        <v>106</v>
      </c>
      <c r="AI964" s="813" t="s">
        <v>106</v>
      </c>
      <c r="AJ964" s="813" t="s">
        <v>106</v>
      </c>
      <c r="AK964" s="813" t="s">
        <v>106</v>
      </c>
      <c r="AL964" s="813" t="s">
        <v>106</v>
      </c>
    </row>
    <row r="965" spans="1:38" ht="12.6">
      <c r="A965" s="990" t="s">
        <v>1078</v>
      </c>
      <c r="B965" s="991" t="s">
        <v>1057</v>
      </c>
      <c r="C965" s="991" t="s">
        <v>1062</v>
      </c>
      <c r="D965" s="991" t="s">
        <v>129</v>
      </c>
      <c r="E965" s="991"/>
      <c r="F965" s="813" t="s">
        <v>106</v>
      </c>
      <c r="G965" s="813" t="s">
        <v>106</v>
      </c>
      <c r="H965" s="813" t="s">
        <v>106</v>
      </c>
      <c r="I965" s="813" t="s">
        <v>106</v>
      </c>
      <c r="J965" s="813" t="s">
        <v>106</v>
      </c>
      <c r="K965" s="813" t="s">
        <v>106</v>
      </c>
      <c r="L965" s="813" t="s">
        <v>106</v>
      </c>
      <c r="M965" s="813" t="s">
        <v>106</v>
      </c>
      <c r="N965" s="813" t="s">
        <v>106</v>
      </c>
      <c r="O965" s="813" t="s">
        <v>106</v>
      </c>
      <c r="P965" s="813" t="s">
        <v>106</v>
      </c>
      <c r="Q965" s="813" t="s">
        <v>106</v>
      </c>
      <c r="R965" s="813" t="s">
        <v>106</v>
      </c>
      <c r="S965" s="813" t="s">
        <v>106</v>
      </c>
      <c r="T965" s="813" t="s">
        <v>106</v>
      </c>
      <c r="U965" s="813" t="s">
        <v>106</v>
      </c>
      <c r="V965" s="813" t="s">
        <v>106</v>
      </c>
      <c r="W965" s="813" t="s">
        <v>106</v>
      </c>
      <c r="X965" s="813" t="s">
        <v>106</v>
      </c>
      <c r="Y965" s="813" t="s">
        <v>106</v>
      </c>
      <c r="Z965" s="813" t="s">
        <v>106</v>
      </c>
      <c r="AA965" s="813" t="s">
        <v>106</v>
      </c>
      <c r="AB965" s="813" t="s">
        <v>106</v>
      </c>
      <c r="AC965" s="813" t="s">
        <v>106</v>
      </c>
      <c r="AD965" s="813" t="s">
        <v>106</v>
      </c>
      <c r="AE965" s="813" t="s">
        <v>106</v>
      </c>
      <c r="AF965" s="813" t="s">
        <v>106</v>
      </c>
      <c r="AG965" s="813" t="s">
        <v>106</v>
      </c>
      <c r="AH965" s="813" t="s">
        <v>106</v>
      </c>
      <c r="AI965" s="813" t="s">
        <v>106</v>
      </c>
      <c r="AJ965" s="813" t="s">
        <v>106</v>
      </c>
      <c r="AK965" s="813" t="s">
        <v>106</v>
      </c>
      <c r="AL965" s="813" t="s">
        <v>106</v>
      </c>
    </row>
    <row r="966" spans="1:38" s="792" customFormat="1" ht="12.6">
      <c r="A966" s="989" t="s">
        <v>168</v>
      </c>
      <c r="B966" s="791"/>
      <c r="C966" s="791"/>
      <c r="D966" s="791"/>
      <c r="E966" s="791"/>
      <c r="F966" s="790"/>
      <c r="G966" s="790"/>
      <c r="H966" s="790"/>
      <c r="I966" s="790"/>
      <c r="J966" s="790"/>
      <c r="K966" s="790"/>
      <c r="L966" s="790"/>
      <c r="M966" s="790"/>
      <c r="N966" s="790"/>
      <c r="O966" s="790"/>
      <c r="P966" s="790"/>
      <c r="Q966" s="790"/>
      <c r="R966" s="790"/>
      <c r="S966" s="790"/>
      <c r="T966" s="790"/>
      <c r="U966" s="790"/>
      <c r="V966" s="790"/>
      <c r="W966" s="790"/>
      <c r="X966" s="790"/>
      <c r="Y966" s="790"/>
      <c r="Z966" s="790"/>
      <c r="AA966" s="790"/>
      <c r="AB966" s="790"/>
      <c r="AC966" s="790"/>
      <c r="AD966" s="790"/>
      <c r="AE966" s="790"/>
      <c r="AF966" s="790"/>
      <c r="AG966" s="790"/>
      <c r="AH966" s="790"/>
      <c r="AI966" s="790"/>
      <c r="AJ966" s="790"/>
      <c r="AK966" s="790"/>
      <c r="AL966" s="790"/>
    </row>
    <row r="967" spans="1:38" ht="12.6">
      <c r="A967" s="990" t="s">
        <v>1079</v>
      </c>
      <c r="B967" s="991" t="s">
        <v>1065</v>
      </c>
      <c r="C967" s="991" t="s">
        <v>1058</v>
      </c>
      <c r="D967" s="991" t="s">
        <v>129</v>
      </c>
      <c r="E967" s="991"/>
      <c r="F967" s="813" t="s">
        <v>106</v>
      </c>
      <c r="G967" s="813" t="s">
        <v>106</v>
      </c>
      <c r="H967" s="813" t="s">
        <v>106</v>
      </c>
      <c r="I967" s="813" t="s">
        <v>106</v>
      </c>
      <c r="J967" s="813" t="s">
        <v>106</v>
      </c>
      <c r="K967" s="813" t="s">
        <v>106</v>
      </c>
      <c r="L967" s="813" t="s">
        <v>106</v>
      </c>
      <c r="M967" s="813" t="s">
        <v>106</v>
      </c>
      <c r="N967" s="813" t="s">
        <v>106</v>
      </c>
      <c r="O967" s="813" t="s">
        <v>106</v>
      </c>
      <c r="P967" s="813" t="s">
        <v>106</v>
      </c>
      <c r="Q967" s="813" t="s">
        <v>106</v>
      </c>
      <c r="R967" s="813" t="s">
        <v>106</v>
      </c>
      <c r="S967" s="813" t="s">
        <v>106</v>
      </c>
      <c r="T967" s="813" t="s">
        <v>106</v>
      </c>
      <c r="U967" s="813" t="s">
        <v>106</v>
      </c>
      <c r="V967" s="813" t="s">
        <v>106</v>
      </c>
      <c r="W967" s="813" t="s">
        <v>106</v>
      </c>
      <c r="X967" s="813" t="s">
        <v>106</v>
      </c>
      <c r="Y967" s="813" t="s">
        <v>106</v>
      </c>
      <c r="Z967" s="813" t="s">
        <v>106</v>
      </c>
      <c r="AA967" s="813" t="s">
        <v>106</v>
      </c>
      <c r="AB967" s="813" t="s">
        <v>106</v>
      </c>
      <c r="AC967" s="813" t="s">
        <v>106</v>
      </c>
      <c r="AD967" s="813" t="s">
        <v>106</v>
      </c>
      <c r="AE967" s="813" t="s">
        <v>106</v>
      </c>
      <c r="AF967" s="813" t="s">
        <v>106</v>
      </c>
      <c r="AG967" s="813" t="s">
        <v>106</v>
      </c>
      <c r="AH967" s="813" t="s">
        <v>106</v>
      </c>
      <c r="AI967" s="813" t="s">
        <v>106</v>
      </c>
      <c r="AJ967" s="813" t="s">
        <v>106</v>
      </c>
      <c r="AK967" s="813" t="s">
        <v>106</v>
      </c>
      <c r="AL967" s="813" t="s">
        <v>106</v>
      </c>
    </row>
    <row r="968" spans="1:38" ht="12.6">
      <c r="A968" s="990" t="s">
        <v>1080</v>
      </c>
      <c r="B968" s="991" t="s">
        <v>1065</v>
      </c>
      <c r="C968" s="991" t="s">
        <v>1062</v>
      </c>
      <c r="D968" s="991" t="s">
        <v>129</v>
      </c>
      <c r="E968" s="991"/>
      <c r="F968" s="813" t="s">
        <v>106</v>
      </c>
      <c r="G968" s="813" t="s">
        <v>106</v>
      </c>
      <c r="H968" s="813" t="s">
        <v>106</v>
      </c>
      <c r="I968" s="813" t="s">
        <v>106</v>
      </c>
      <c r="J968" s="813" t="s">
        <v>106</v>
      </c>
      <c r="K968" s="813" t="s">
        <v>106</v>
      </c>
      <c r="L968" s="813" t="s">
        <v>106</v>
      </c>
      <c r="M968" s="813" t="s">
        <v>106</v>
      </c>
      <c r="N968" s="813" t="s">
        <v>106</v>
      </c>
      <c r="O968" s="813" t="s">
        <v>106</v>
      </c>
      <c r="P968" s="813" t="s">
        <v>106</v>
      </c>
      <c r="Q968" s="813" t="s">
        <v>106</v>
      </c>
      <c r="R968" s="813" t="s">
        <v>106</v>
      </c>
      <c r="S968" s="813" t="s">
        <v>106</v>
      </c>
      <c r="T968" s="813" t="s">
        <v>106</v>
      </c>
      <c r="U968" s="813" t="s">
        <v>106</v>
      </c>
      <c r="V968" s="813" t="s">
        <v>106</v>
      </c>
      <c r="W968" s="813" t="s">
        <v>106</v>
      </c>
      <c r="X968" s="813" t="s">
        <v>106</v>
      </c>
      <c r="Y968" s="813" t="s">
        <v>106</v>
      </c>
      <c r="Z968" s="813" t="s">
        <v>106</v>
      </c>
      <c r="AA968" s="813" t="s">
        <v>106</v>
      </c>
      <c r="AB968" s="813" t="s">
        <v>106</v>
      </c>
      <c r="AC968" s="813" t="s">
        <v>106</v>
      </c>
      <c r="AD968" s="813" t="s">
        <v>106</v>
      </c>
      <c r="AE968" s="813" t="s">
        <v>106</v>
      </c>
      <c r="AF968" s="813" t="s">
        <v>106</v>
      </c>
      <c r="AG968" s="813" t="s">
        <v>106</v>
      </c>
      <c r="AH968" s="813" t="s">
        <v>106</v>
      </c>
      <c r="AI968" s="813" t="s">
        <v>106</v>
      </c>
      <c r="AJ968" s="813" t="s">
        <v>106</v>
      </c>
      <c r="AK968" s="813" t="s">
        <v>106</v>
      </c>
      <c r="AL968" s="813" t="s">
        <v>106</v>
      </c>
    </row>
    <row r="969" spans="1:38" s="792" customFormat="1" ht="12.6">
      <c r="A969" s="989" t="s">
        <v>174</v>
      </c>
      <c r="B969" s="791"/>
      <c r="C969" s="791"/>
      <c r="D969" s="791"/>
      <c r="E969" s="791"/>
      <c r="F969" s="790"/>
      <c r="G969" s="790"/>
      <c r="H969" s="790"/>
      <c r="I969" s="790"/>
      <c r="J969" s="790"/>
      <c r="K969" s="790"/>
      <c r="L969" s="790"/>
      <c r="M969" s="790"/>
      <c r="N969" s="790"/>
      <c r="O969" s="790"/>
      <c r="P969" s="790"/>
      <c r="Q969" s="790"/>
      <c r="R969" s="790"/>
      <c r="S969" s="790"/>
      <c r="T969" s="790"/>
      <c r="U969" s="790"/>
      <c r="V969" s="790"/>
      <c r="W969" s="790"/>
      <c r="X969" s="790"/>
      <c r="Y969" s="790"/>
      <c r="Z969" s="790"/>
      <c r="AA969" s="790"/>
      <c r="AB969" s="790"/>
      <c r="AC969" s="790"/>
      <c r="AD969" s="790"/>
      <c r="AE969" s="790"/>
      <c r="AF969" s="790"/>
      <c r="AG969" s="790"/>
      <c r="AH969" s="790"/>
      <c r="AI969" s="790"/>
      <c r="AJ969" s="790"/>
      <c r="AK969" s="790"/>
      <c r="AL969" s="790"/>
    </row>
    <row r="970" spans="1:38" ht="12.6">
      <c r="A970" s="990" t="s">
        <v>1081</v>
      </c>
      <c r="B970" s="991" t="s">
        <v>1068</v>
      </c>
      <c r="C970" s="991" t="s">
        <v>1058</v>
      </c>
      <c r="D970" s="991" t="s">
        <v>129</v>
      </c>
      <c r="E970" s="991"/>
      <c r="F970" s="813" t="s">
        <v>106</v>
      </c>
      <c r="G970" s="813" t="s">
        <v>106</v>
      </c>
      <c r="H970" s="813" t="s">
        <v>106</v>
      </c>
      <c r="I970" s="813" t="s">
        <v>106</v>
      </c>
      <c r="J970" s="813" t="s">
        <v>106</v>
      </c>
      <c r="K970" s="813" t="s">
        <v>106</v>
      </c>
      <c r="L970" s="813" t="s">
        <v>106</v>
      </c>
      <c r="M970" s="813" t="s">
        <v>106</v>
      </c>
      <c r="N970" s="813" t="s">
        <v>106</v>
      </c>
      <c r="O970" s="813" t="s">
        <v>106</v>
      </c>
      <c r="P970" s="813" t="s">
        <v>106</v>
      </c>
      <c r="Q970" s="813" t="s">
        <v>106</v>
      </c>
      <c r="R970" s="813" t="s">
        <v>106</v>
      </c>
      <c r="S970" s="813" t="s">
        <v>106</v>
      </c>
      <c r="T970" s="813" t="s">
        <v>106</v>
      </c>
      <c r="U970" s="813" t="s">
        <v>106</v>
      </c>
      <c r="V970" s="813" t="s">
        <v>106</v>
      </c>
      <c r="W970" s="813" t="s">
        <v>106</v>
      </c>
      <c r="X970" s="813" t="s">
        <v>106</v>
      </c>
      <c r="Y970" s="813" t="s">
        <v>106</v>
      </c>
      <c r="Z970" s="813" t="s">
        <v>106</v>
      </c>
      <c r="AA970" s="813" t="s">
        <v>106</v>
      </c>
      <c r="AB970" s="813" t="s">
        <v>106</v>
      </c>
      <c r="AC970" s="813" t="s">
        <v>106</v>
      </c>
      <c r="AD970" s="813" t="s">
        <v>106</v>
      </c>
      <c r="AE970" s="813" t="s">
        <v>106</v>
      </c>
      <c r="AF970" s="813" t="s">
        <v>106</v>
      </c>
      <c r="AG970" s="813" t="s">
        <v>106</v>
      </c>
      <c r="AH970" s="813" t="s">
        <v>106</v>
      </c>
      <c r="AI970" s="813" t="s">
        <v>106</v>
      </c>
      <c r="AJ970" s="813" t="s">
        <v>106</v>
      </c>
      <c r="AK970" s="813" t="s">
        <v>106</v>
      </c>
      <c r="AL970" s="813" t="s">
        <v>106</v>
      </c>
    </row>
    <row r="971" spans="1:38" ht="12.6">
      <c r="A971" s="990" t="s">
        <v>1082</v>
      </c>
      <c r="B971" s="991" t="s">
        <v>1068</v>
      </c>
      <c r="C971" s="991" t="s">
        <v>1062</v>
      </c>
      <c r="D971" s="991" t="s">
        <v>129</v>
      </c>
      <c r="E971" s="991"/>
      <c r="F971" s="813" t="s">
        <v>106</v>
      </c>
      <c r="G971" s="813" t="s">
        <v>106</v>
      </c>
      <c r="H971" s="813" t="s">
        <v>106</v>
      </c>
      <c r="I971" s="813" t="s">
        <v>106</v>
      </c>
      <c r="J971" s="813" t="s">
        <v>106</v>
      </c>
      <c r="K971" s="813" t="s">
        <v>106</v>
      </c>
      <c r="L971" s="813" t="s">
        <v>106</v>
      </c>
      <c r="M971" s="813" t="s">
        <v>106</v>
      </c>
      <c r="N971" s="813" t="s">
        <v>106</v>
      </c>
      <c r="O971" s="813" t="s">
        <v>106</v>
      </c>
      <c r="P971" s="813" t="s">
        <v>106</v>
      </c>
      <c r="Q971" s="813" t="s">
        <v>106</v>
      </c>
      <c r="R971" s="813" t="s">
        <v>106</v>
      </c>
      <c r="S971" s="813" t="s">
        <v>106</v>
      </c>
      <c r="T971" s="813" t="s">
        <v>106</v>
      </c>
      <c r="U971" s="813" t="s">
        <v>106</v>
      </c>
      <c r="V971" s="813" t="s">
        <v>106</v>
      </c>
      <c r="W971" s="813" t="s">
        <v>106</v>
      </c>
      <c r="X971" s="813" t="s">
        <v>106</v>
      </c>
      <c r="Y971" s="813" t="s">
        <v>106</v>
      </c>
      <c r="Z971" s="813" t="s">
        <v>106</v>
      </c>
      <c r="AA971" s="813" t="s">
        <v>106</v>
      </c>
      <c r="AB971" s="813" t="s">
        <v>106</v>
      </c>
      <c r="AC971" s="813" t="s">
        <v>106</v>
      </c>
      <c r="AD971" s="813" t="s">
        <v>106</v>
      </c>
      <c r="AE971" s="813" t="s">
        <v>106</v>
      </c>
      <c r="AF971" s="813" t="s">
        <v>106</v>
      </c>
      <c r="AG971" s="813" t="s">
        <v>106</v>
      </c>
      <c r="AH971" s="813" t="s">
        <v>106</v>
      </c>
      <c r="AI971" s="813" t="s">
        <v>106</v>
      </c>
      <c r="AJ971" s="813" t="s">
        <v>106</v>
      </c>
      <c r="AK971" s="813" t="s">
        <v>106</v>
      </c>
      <c r="AL971" s="813" t="s">
        <v>106</v>
      </c>
    </row>
    <row r="972" spans="1:38" s="792" customFormat="1" ht="12.6">
      <c r="A972" s="989" t="s">
        <v>180</v>
      </c>
      <c r="B972" s="791"/>
      <c r="C972" s="791"/>
      <c r="D972" s="791"/>
      <c r="E972" s="791"/>
      <c r="F972" s="790"/>
      <c r="G972" s="790"/>
      <c r="H972" s="790"/>
      <c r="I972" s="790"/>
      <c r="J972" s="790"/>
      <c r="K972" s="790"/>
      <c r="L972" s="790"/>
      <c r="M972" s="790"/>
      <c r="N972" s="790"/>
      <c r="O972" s="790"/>
      <c r="P972" s="790"/>
      <c r="Q972" s="790"/>
      <c r="R972" s="790"/>
      <c r="S972" s="790"/>
      <c r="T972" s="790"/>
      <c r="U972" s="790"/>
      <c r="V972" s="790"/>
      <c r="W972" s="790"/>
      <c r="X972" s="790"/>
      <c r="Y972" s="790"/>
      <c r="Z972" s="790"/>
      <c r="AA972" s="790"/>
      <c r="AB972" s="790"/>
      <c r="AC972" s="790"/>
      <c r="AD972" s="790"/>
      <c r="AE972" s="790"/>
      <c r="AF972" s="790"/>
      <c r="AG972" s="790"/>
      <c r="AH972" s="790"/>
      <c r="AI972" s="790"/>
      <c r="AJ972" s="790"/>
      <c r="AK972" s="790"/>
      <c r="AL972" s="790"/>
    </row>
    <row r="973" spans="1:38" ht="12.6">
      <c r="A973" s="990" t="s">
        <v>1083</v>
      </c>
      <c r="B973" s="991" t="s">
        <v>1071</v>
      </c>
      <c r="C973" s="991" t="s">
        <v>1058</v>
      </c>
      <c r="D973" s="991" t="s">
        <v>129</v>
      </c>
      <c r="E973" s="991"/>
      <c r="F973" s="813" t="s">
        <v>106</v>
      </c>
      <c r="G973" s="813" t="s">
        <v>106</v>
      </c>
      <c r="H973" s="813" t="s">
        <v>106</v>
      </c>
      <c r="I973" s="813" t="s">
        <v>106</v>
      </c>
      <c r="J973" s="813" t="s">
        <v>106</v>
      </c>
      <c r="K973" s="813" t="s">
        <v>106</v>
      </c>
      <c r="L973" s="813" t="s">
        <v>106</v>
      </c>
      <c r="M973" s="813" t="s">
        <v>106</v>
      </c>
      <c r="N973" s="813" t="s">
        <v>106</v>
      </c>
      <c r="O973" s="813" t="s">
        <v>106</v>
      </c>
      <c r="P973" s="813" t="s">
        <v>106</v>
      </c>
      <c r="Q973" s="813" t="s">
        <v>106</v>
      </c>
      <c r="R973" s="813" t="s">
        <v>106</v>
      </c>
      <c r="S973" s="813" t="s">
        <v>106</v>
      </c>
      <c r="T973" s="813" t="s">
        <v>106</v>
      </c>
      <c r="U973" s="813" t="s">
        <v>106</v>
      </c>
      <c r="V973" s="813" t="s">
        <v>106</v>
      </c>
      <c r="W973" s="813" t="s">
        <v>106</v>
      </c>
      <c r="X973" s="813" t="s">
        <v>106</v>
      </c>
      <c r="Y973" s="813" t="s">
        <v>106</v>
      </c>
      <c r="Z973" s="813" t="s">
        <v>106</v>
      </c>
      <c r="AA973" s="813" t="s">
        <v>106</v>
      </c>
      <c r="AB973" s="813" t="s">
        <v>106</v>
      </c>
      <c r="AC973" s="813" t="s">
        <v>106</v>
      </c>
      <c r="AD973" s="813" t="s">
        <v>106</v>
      </c>
      <c r="AE973" s="813" t="s">
        <v>106</v>
      </c>
      <c r="AF973" s="813" t="s">
        <v>106</v>
      </c>
      <c r="AG973" s="813" t="s">
        <v>106</v>
      </c>
      <c r="AH973" s="813" t="s">
        <v>106</v>
      </c>
      <c r="AI973" s="813" t="s">
        <v>106</v>
      </c>
      <c r="AJ973" s="813" t="s">
        <v>106</v>
      </c>
      <c r="AK973" s="813" t="s">
        <v>106</v>
      </c>
      <c r="AL973" s="813" t="s">
        <v>106</v>
      </c>
    </row>
    <row r="974" spans="1:38" ht="12.6">
      <c r="A974" s="990" t="s">
        <v>1084</v>
      </c>
      <c r="B974" s="991" t="s">
        <v>1071</v>
      </c>
      <c r="C974" s="991" t="s">
        <v>1062</v>
      </c>
      <c r="D974" s="991" t="s">
        <v>129</v>
      </c>
      <c r="E974" s="991"/>
      <c r="F974" s="813" t="s">
        <v>106</v>
      </c>
      <c r="G974" s="813" t="s">
        <v>106</v>
      </c>
      <c r="H974" s="813" t="s">
        <v>106</v>
      </c>
      <c r="I974" s="813" t="s">
        <v>106</v>
      </c>
      <c r="J974" s="813" t="s">
        <v>106</v>
      </c>
      <c r="K974" s="813" t="s">
        <v>106</v>
      </c>
      <c r="L974" s="813" t="s">
        <v>106</v>
      </c>
      <c r="M974" s="813" t="s">
        <v>106</v>
      </c>
      <c r="N974" s="813" t="s">
        <v>106</v>
      </c>
      <c r="O974" s="813" t="s">
        <v>106</v>
      </c>
      <c r="P974" s="813" t="s">
        <v>106</v>
      </c>
      <c r="Q974" s="813" t="s">
        <v>106</v>
      </c>
      <c r="R974" s="813" t="s">
        <v>106</v>
      </c>
      <c r="S974" s="813" t="s">
        <v>106</v>
      </c>
      <c r="T974" s="813" t="s">
        <v>106</v>
      </c>
      <c r="U974" s="813" t="s">
        <v>106</v>
      </c>
      <c r="V974" s="813" t="s">
        <v>106</v>
      </c>
      <c r="W974" s="813" t="s">
        <v>106</v>
      </c>
      <c r="X974" s="813" t="s">
        <v>106</v>
      </c>
      <c r="Y974" s="813" t="s">
        <v>106</v>
      </c>
      <c r="Z974" s="813" t="s">
        <v>106</v>
      </c>
      <c r="AA974" s="813" t="s">
        <v>106</v>
      </c>
      <c r="AB974" s="813" t="s">
        <v>106</v>
      </c>
      <c r="AC974" s="813" t="s">
        <v>106</v>
      </c>
      <c r="AD974" s="813" t="s">
        <v>106</v>
      </c>
      <c r="AE974" s="813" t="s">
        <v>106</v>
      </c>
      <c r="AF974" s="813" t="s">
        <v>106</v>
      </c>
      <c r="AG974" s="813" t="s">
        <v>106</v>
      </c>
      <c r="AH974" s="813" t="s">
        <v>106</v>
      </c>
      <c r="AI974" s="813" t="s">
        <v>106</v>
      </c>
      <c r="AJ974" s="813" t="s">
        <v>106</v>
      </c>
      <c r="AK974" s="813" t="s">
        <v>106</v>
      </c>
      <c r="AL974" s="813" t="s">
        <v>106</v>
      </c>
    </row>
    <row r="975" spans="1:38" s="792" customFormat="1" ht="12.6">
      <c r="A975" s="989" t="s">
        <v>186</v>
      </c>
      <c r="B975" s="791"/>
      <c r="C975" s="791"/>
      <c r="D975" s="791"/>
      <c r="E975" s="791"/>
      <c r="F975" s="790"/>
      <c r="G975" s="790"/>
      <c r="H975" s="790"/>
      <c r="I975" s="790"/>
      <c r="J975" s="790"/>
      <c r="K975" s="790"/>
      <c r="L975" s="790"/>
      <c r="M975" s="790"/>
      <c r="N975" s="790"/>
      <c r="O975" s="790"/>
      <c r="P975" s="790"/>
      <c r="Q975" s="790"/>
      <c r="R975" s="790"/>
      <c r="S975" s="790"/>
      <c r="T975" s="790"/>
      <c r="U975" s="790"/>
      <c r="V975" s="790"/>
      <c r="W975" s="790"/>
      <c r="X975" s="790"/>
      <c r="Y975" s="790"/>
      <c r="Z975" s="790"/>
      <c r="AA975" s="790"/>
      <c r="AB975" s="790"/>
      <c r="AC975" s="790"/>
      <c r="AD975" s="790"/>
      <c r="AE975" s="790"/>
      <c r="AF975" s="790"/>
      <c r="AG975" s="790"/>
      <c r="AH975" s="790"/>
      <c r="AI975" s="790"/>
      <c r="AJ975" s="790"/>
      <c r="AK975" s="790"/>
      <c r="AL975" s="790"/>
    </row>
    <row r="976" spans="1:38" ht="12.6">
      <c r="A976" s="990" t="s">
        <v>1085</v>
      </c>
      <c r="B976" s="991" t="s">
        <v>1074</v>
      </c>
      <c r="C976" s="991" t="s">
        <v>1058</v>
      </c>
      <c r="D976" s="991" t="s">
        <v>129</v>
      </c>
      <c r="E976" s="991"/>
      <c r="F976" s="813" t="s">
        <v>106</v>
      </c>
      <c r="G976" s="813" t="s">
        <v>106</v>
      </c>
      <c r="H976" s="813" t="s">
        <v>106</v>
      </c>
      <c r="I976" s="813" t="s">
        <v>106</v>
      </c>
      <c r="J976" s="813" t="s">
        <v>106</v>
      </c>
      <c r="K976" s="813" t="s">
        <v>106</v>
      </c>
      <c r="L976" s="813" t="s">
        <v>106</v>
      </c>
      <c r="M976" s="813" t="s">
        <v>106</v>
      </c>
      <c r="N976" s="813" t="s">
        <v>106</v>
      </c>
      <c r="O976" s="813" t="s">
        <v>106</v>
      </c>
      <c r="P976" s="813" t="s">
        <v>106</v>
      </c>
      <c r="Q976" s="813" t="s">
        <v>106</v>
      </c>
      <c r="R976" s="813" t="s">
        <v>106</v>
      </c>
      <c r="S976" s="813" t="s">
        <v>106</v>
      </c>
      <c r="T976" s="813" t="s">
        <v>106</v>
      </c>
      <c r="U976" s="813" t="s">
        <v>106</v>
      </c>
      <c r="V976" s="813" t="s">
        <v>106</v>
      </c>
      <c r="W976" s="813" t="s">
        <v>106</v>
      </c>
      <c r="X976" s="813" t="s">
        <v>106</v>
      </c>
      <c r="Y976" s="813" t="s">
        <v>106</v>
      </c>
      <c r="Z976" s="813" t="s">
        <v>106</v>
      </c>
      <c r="AA976" s="813" t="s">
        <v>106</v>
      </c>
      <c r="AB976" s="813" t="s">
        <v>106</v>
      </c>
      <c r="AC976" s="813" t="s">
        <v>106</v>
      </c>
      <c r="AD976" s="813" t="s">
        <v>106</v>
      </c>
      <c r="AE976" s="813" t="s">
        <v>106</v>
      </c>
      <c r="AF976" s="813" t="s">
        <v>106</v>
      </c>
      <c r="AG976" s="813" t="s">
        <v>106</v>
      </c>
      <c r="AH976" s="813" t="s">
        <v>106</v>
      </c>
      <c r="AI976" s="813" t="s">
        <v>106</v>
      </c>
      <c r="AJ976" s="813" t="s">
        <v>106</v>
      </c>
      <c r="AK976" s="813" t="s">
        <v>106</v>
      </c>
      <c r="AL976" s="813" t="s">
        <v>106</v>
      </c>
    </row>
    <row r="977" spans="1:38" ht="12.6">
      <c r="A977" s="990" t="s">
        <v>1086</v>
      </c>
      <c r="B977" s="991" t="s">
        <v>1074</v>
      </c>
      <c r="C977" s="991" t="s">
        <v>1062</v>
      </c>
      <c r="D977" s="991" t="s">
        <v>129</v>
      </c>
      <c r="E977" s="991"/>
      <c r="F977" s="813" t="s">
        <v>106</v>
      </c>
      <c r="G977" s="813" t="s">
        <v>106</v>
      </c>
      <c r="H977" s="813" t="s">
        <v>106</v>
      </c>
      <c r="I977" s="813" t="s">
        <v>106</v>
      </c>
      <c r="J977" s="813" t="s">
        <v>106</v>
      </c>
      <c r="K977" s="813" t="s">
        <v>106</v>
      </c>
      <c r="L977" s="813" t="s">
        <v>106</v>
      </c>
      <c r="M977" s="813" t="s">
        <v>106</v>
      </c>
      <c r="N977" s="813" t="s">
        <v>106</v>
      </c>
      <c r="O977" s="813" t="s">
        <v>106</v>
      </c>
      <c r="P977" s="813" t="s">
        <v>106</v>
      </c>
      <c r="Q977" s="813" t="s">
        <v>106</v>
      </c>
      <c r="R977" s="813" t="s">
        <v>106</v>
      </c>
      <c r="S977" s="813" t="s">
        <v>106</v>
      </c>
      <c r="T977" s="813" t="s">
        <v>106</v>
      </c>
      <c r="U977" s="813" t="s">
        <v>106</v>
      </c>
      <c r="V977" s="813" t="s">
        <v>106</v>
      </c>
      <c r="W977" s="813" t="s">
        <v>106</v>
      </c>
      <c r="X977" s="813" t="s">
        <v>106</v>
      </c>
      <c r="Y977" s="813" t="s">
        <v>106</v>
      </c>
      <c r="Z977" s="813" t="s">
        <v>106</v>
      </c>
      <c r="AA977" s="813" t="s">
        <v>106</v>
      </c>
      <c r="AB977" s="813" t="s">
        <v>106</v>
      </c>
      <c r="AC977" s="813" t="s">
        <v>106</v>
      </c>
      <c r="AD977" s="813" t="s">
        <v>106</v>
      </c>
      <c r="AE977" s="813" t="s">
        <v>106</v>
      </c>
      <c r="AF977" s="813" t="s">
        <v>106</v>
      </c>
      <c r="AG977" s="813" t="s">
        <v>106</v>
      </c>
      <c r="AH977" s="813" t="s">
        <v>106</v>
      </c>
      <c r="AI977" s="813" t="s">
        <v>106</v>
      </c>
      <c r="AJ977" s="813" t="s">
        <v>106</v>
      </c>
      <c r="AK977" s="813" t="s">
        <v>106</v>
      </c>
      <c r="AL977" s="813" t="s">
        <v>106</v>
      </c>
    </row>
    <row r="978" spans="1:38" s="797" customFormat="1" ht="12.95">
      <c r="A978" s="796" t="s">
        <v>1087</v>
      </c>
      <c r="B978" s="796"/>
      <c r="C978" s="796"/>
      <c r="D978" s="796"/>
      <c r="E978" s="796"/>
      <c r="F978" s="795"/>
      <c r="G978" s="795"/>
      <c r="H978" s="795"/>
      <c r="I978" s="795"/>
      <c r="J978" s="795"/>
      <c r="K978" s="795"/>
      <c r="L978" s="795"/>
      <c r="M978" s="795"/>
      <c r="N978" s="795"/>
      <c r="O978" s="795"/>
      <c r="P978" s="795"/>
      <c r="Q978" s="795"/>
      <c r="R978" s="795"/>
      <c r="S978" s="795"/>
      <c r="T978" s="795"/>
      <c r="U978" s="795"/>
      <c r="V978" s="795"/>
      <c r="W978" s="795"/>
      <c r="X978" s="795"/>
      <c r="Y978" s="795"/>
      <c r="Z978" s="795"/>
      <c r="AA978" s="795"/>
      <c r="AB978" s="795"/>
      <c r="AC978" s="795"/>
      <c r="AD978" s="795"/>
      <c r="AE978" s="795"/>
      <c r="AF978" s="795"/>
      <c r="AG978" s="795"/>
      <c r="AH978" s="795"/>
      <c r="AI978" s="795"/>
      <c r="AJ978" s="795"/>
      <c r="AK978" s="795"/>
      <c r="AL978" s="795"/>
    </row>
    <row r="979" spans="1:38" s="792" customFormat="1" ht="12.6">
      <c r="A979" s="989" t="s">
        <v>193</v>
      </c>
      <c r="B979" s="791"/>
      <c r="C979" s="791"/>
      <c r="D979" s="791"/>
      <c r="E979" s="791"/>
      <c r="F979" s="790"/>
      <c r="G979" s="790"/>
      <c r="H979" s="790"/>
      <c r="I979" s="790"/>
      <c r="J979" s="790"/>
      <c r="K979" s="790"/>
      <c r="L979" s="790"/>
      <c r="M979" s="790"/>
      <c r="N979" s="790"/>
      <c r="O979" s="790"/>
      <c r="P979" s="790"/>
      <c r="Q979" s="790"/>
      <c r="R979" s="790"/>
      <c r="S979" s="790"/>
      <c r="T979" s="790"/>
      <c r="U979" s="790"/>
      <c r="V979" s="790"/>
      <c r="W979" s="790"/>
      <c r="X979" s="790"/>
      <c r="Y979" s="790"/>
      <c r="Z979" s="790"/>
      <c r="AA979" s="790"/>
      <c r="AB979" s="790"/>
      <c r="AC979" s="790"/>
      <c r="AD979" s="790"/>
      <c r="AE979" s="790"/>
      <c r="AF979" s="790"/>
      <c r="AG979" s="790"/>
      <c r="AH979" s="790"/>
      <c r="AI979" s="790"/>
      <c r="AJ979" s="790"/>
      <c r="AK979" s="790"/>
      <c r="AL979" s="790"/>
    </row>
    <row r="980" spans="1:38" ht="12.6">
      <c r="A980" s="990" t="s">
        <v>1088</v>
      </c>
      <c r="B980" s="991" t="s">
        <v>1057</v>
      </c>
      <c r="C980" s="991" t="s">
        <v>1058</v>
      </c>
      <c r="D980" s="991" t="s">
        <v>129</v>
      </c>
      <c r="E980" s="991"/>
      <c r="F980" s="813" t="s">
        <v>106</v>
      </c>
      <c r="G980" s="813" t="s">
        <v>106</v>
      </c>
      <c r="H980" s="813" t="s">
        <v>106</v>
      </c>
      <c r="I980" s="813" t="s">
        <v>106</v>
      </c>
      <c r="J980" s="813" t="s">
        <v>106</v>
      </c>
      <c r="K980" s="813" t="s">
        <v>106</v>
      </c>
      <c r="L980" s="813" t="s">
        <v>106</v>
      </c>
      <c r="M980" s="813" t="s">
        <v>106</v>
      </c>
      <c r="N980" s="813" t="s">
        <v>106</v>
      </c>
      <c r="O980" s="813" t="s">
        <v>106</v>
      </c>
      <c r="P980" s="813" t="s">
        <v>106</v>
      </c>
      <c r="Q980" s="813" t="s">
        <v>106</v>
      </c>
      <c r="R980" s="813" t="s">
        <v>106</v>
      </c>
      <c r="S980" s="813" t="s">
        <v>106</v>
      </c>
      <c r="T980" s="813" t="s">
        <v>106</v>
      </c>
      <c r="U980" s="813" t="s">
        <v>106</v>
      </c>
      <c r="V980" s="813" t="s">
        <v>106</v>
      </c>
      <c r="W980" s="813" t="s">
        <v>106</v>
      </c>
      <c r="X980" s="813" t="s">
        <v>106</v>
      </c>
      <c r="Y980" s="813" t="s">
        <v>106</v>
      </c>
      <c r="Z980" s="813" t="s">
        <v>106</v>
      </c>
      <c r="AA980" s="813" t="s">
        <v>106</v>
      </c>
      <c r="AB980" s="813" t="s">
        <v>106</v>
      </c>
      <c r="AC980" s="813" t="s">
        <v>106</v>
      </c>
      <c r="AD980" s="813" t="s">
        <v>106</v>
      </c>
      <c r="AE980" s="813" t="s">
        <v>106</v>
      </c>
      <c r="AF980" s="813" t="s">
        <v>106</v>
      </c>
      <c r="AG980" s="813" t="s">
        <v>106</v>
      </c>
      <c r="AH980" s="813" t="s">
        <v>106</v>
      </c>
      <c r="AI980" s="813" t="s">
        <v>106</v>
      </c>
      <c r="AJ980" s="813" t="s">
        <v>106</v>
      </c>
      <c r="AK980" s="813" t="s">
        <v>106</v>
      </c>
      <c r="AL980" s="813" t="s">
        <v>106</v>
      </c>
    </row>
    <row r="981" spans="1:38" ht="12.6">
      <c r="A981" s="990" t="s">
        <v>1089</v>
      </c>
      <c r="B981" s="991" t="s">
        <v>1057</v>
      </c>
      <c r="C981" s="991" t="s">
        <v>1062</v>
      </c>
      <c r="D981" s="991" t="s">
        <v>129</v>
      </c>
      <c r="E981" s="991"/>
      <c r="F981" s="813" t="s">
        <v>106</v>
      </c>
      <c r="G981" s="813" t="s">
        <v>106</v>
      </c>
      <c r="H981" s="813" t="s">
        <v>106</v>
      </c>
      <c r="I981" s="813" t="s">
        <v>106</v>
      </c>
      <c r="J981" s="813" t="s">
        <v>106</v>
      </c>
      <c r="K981" s="813" t="s">
        <v>106</v>
      </c>
      <c r="L981" s="813" t="s">
        <v>106</v>
      </c>
      <c r="M981" s="813" t="s">
        <v>106</v>
      </c>
      <c r="N981" s="813" t="s">
        <v>106</v>
      </c>
      <c r="O981" s="813" t="s">
        <v>106</v>
      </c>
      <c r="P981" s="813" t="s">
        <v>106</v>
      </c>
      <c r="Q981" s="813" t="s">
        <v>106</v>
      </c>
      <c r="R981" s="813" t="s">
        <v>106</v>
      </c>
      <c r="S981" s="813" t="s">
        <v>106</v>
      </c>
      <c r="T981" s="813" t="s">
        <v>106</v>
      </c>
      <c r="U981" s="813" t="s">
        <v>106</v>
      </c>
      <c r="V981" s="813" t="s">
        <v>106</v>
      </c>
      <c r="W981" s="813" t="s">
        <v>106</v>
      </c>
      <c r="X981" s="813" t="s">
        <v>106</v>
      </c>
      <c r="Y981" s="813" t="s">
        <v>106</v>
      </c>
      <c r="Z981" s="813" t="s">
        <v>106</v>
      </c>
      <c r="AA981" s="813" t="s">
        <v>106</v>
      </c>
      <c r="AB981" s="813" t="s">
        <v>106</v>
      </c>
      <c r="AC981" s="813" t="s">
        <v>106</v>
      </c>
      <c r="AD981" s="813" t="s">
        <v>106</v>
      </c>
      <c r="AE981" s="813" t="s">
        <v>106</v>
      </c>
      <c r="AF981" s="813" t="s">
        <v>106</v>
      </c>
      <c r="AG981" s="813" t="s">
        <v>106</v>
      </c>
      <c r="AH981" s="813" t="s">
        <v>106</v>
      </c>
      <c r="AI981" s="813" t="s">
        <v>106</v>
      </c>
      <c r="AJ981" s="813" t="s">
        <v>106</v>
      </c>
      <c r="AK981" s="813" t="s">
        <v>106</v>
      </c>
      <c r="AL981" s="813" t="s">
        <v>106</v>
      </c>
    </row>
    <row r="982" spans="1:38" s="792" customFormat="1" ht="12.6">
      <c r="A982" s="989" t="s">
        <v>199</v>
      </c>
      <c r="B982" s="791"/>
      <c r="C982" s="791"/>
      <c r="D982" s="791"/>
      <c r="E982" s="791"/>
      <c r="F982" s="790"/>
      <c r="G982" s="790"/>
      <c r="H982" s="790"/>
      <c r="I982" s="790"/>
      <c r="J982" s="790"/>
      <c r="K982" s="790"/>
      <c r="L982" s="790"/>
      <c r="M982" s="790"/>
      <c r="N982" s="790"/>
      <c r="O982" s="790"/>
      <c r="P982" s="790"/>
      <c r="Q982" s="790"/>
      <c r="R982" s="790"/>
      <c r="S982" s="790"/>
      <c r="T982" s="790"/>
      <c r="U982" s="790"/>
      <c r="V982" s="790"/>
      <c r="W982" s="790"/>
      <c r="X982" s="790"/>
      <c r="Y982" s="790"/>
      <c r="Z982" s="790"/>
      <c r="AA982" s="790"/>
      <c r="AB982" s="790"/>
      <c r="AC982" s="790"/>
      <c r="AD982" s="790"/>
      <c r="AE982" s="790"/>
      <c r="AF982" s="790"/>
      <c r="AG982" s="790"/>
      <c r="AH982" s="790"/>
      <c r="AI982" s="790"/>
      <c r="AJ982" s="790"/>
      <c r="AK982" s="790"/>
      <c r="AL982" s="790"/>
    </row>
    <row r="983" spans="1:38" ht="12.6">
      <c r="A983" s="990" t="s">
        <v>1090</v>
      </c>
      <c r="B983" s="991" t="s">
        <v>1065</v>
      </c>
      <c r="C983" s="991" t="s">
        <v>1058</v>
      </c>
      <c r="D983" s="991" t="s">
        <v>129</v>
      </c>
      <c r="E983" s="991"/>
      <c r="F983" s="813" t="s">
        <v>106</v>
      </c>
      <c r="G983" s="813" t="s">
        <v>106</v>
      </c>
      <c r="H983" s="813" t="s">
        <v>106</v>
      </c>
      <c r="I983" s="813" t="s">
        <v>106</v>
      </c>
      <c r="J983" s="813" t="s">
        <v>106</v>
      </c>
      <c r="K983" s="813" t="s">
        <v>106</v>
      </c>
      <c r="L983" s="813" t="s">
        <v>106</v>
      </c>
      <c r="M983" s="813" t="s">
        <v>106</v>
      </c>
      <c r="N983" s="813" t="s">
        <v>106</v>
      </c>
      <c r="O983" s="813" t="s">
        <v>106</v>
      </c>
      <c r="P983" s="813" t="s">
        <v>106</v>
      </c>
      <c r="Q983" s="813" t="s">
        <v>106</v>
      </c>
      <c r="R983" s="813" t="s">
        <v>106</v>
      </c>
      <c r="S983" s="813" t="s">
        <v>106</v>
      </c>
      <c r="T983" s="813" t="s">
        <v>106</v>
      </c>
      <c r="U983" s="813" t="s">
        <v>106</v>
      </c>
      <c r="V983" s="813" t="s">
        <v>106</v>
      </c>
      <c r="W983" s="813" t="s">
        <v>106</v>
      </c>
      <c r="X983" s="813" t="s">
        <v>106</v>
      </c>
      <c r="Y983" s="813" t="s">
        <v>106</v>
      </c>
      <c r="Z983" s="813" t="s">
        <v>106</v>
      </c>
      <c r="AA983" s="813" t="s">
        <v>106</v>
      </c>
      <c r="AB983" s="813" t="s">
        <v>106</v>
      </c>
      <c r="AC983" s="813" t="s">
        <v>106</v>
      </c>
      <c r="AD983" s="813" t="s">
        <v>106</v>
      </c>
      <c r="AE983" s="813" t="s">
        <v>106</v>
      </c>
      <c r="AF983" s="813" t="s">
        <v>106</v>
      </c>
      <c r="AG983" s="813" t="s">
        <v>106</v>
      </c>
      <c r="AH983" s="813" t="s">
        <v>106</v>
      </c>
      <c r="AI983" s="813" t="s">
        <v>106</v>
      </c>
      <c r="AJ983" s="813" t="s">
        <v>106</v>
      </c>
      <c r="AK983" s="813" t="s">
        <v>106</v>
      </c>
      <c r="AL983" s="813" t="s">
        <v>106</v>
      </c>
    </row>
    <row r="984" spans="1:38" ht="12.6">
      <c r="A984" s="990" t="s">
        <v>1091</v>
      </c>
      <c r="B984" s="991" t="s">
        <v>1065</v>
      </c>
      <c r="C984" s="991" t="s">
        <v>1062</v>
      </c>
      <c r="D984" s="991" t="s">
        <v>129</v>
      </c>
      <c r="E984" s="991"/>
      <c r="F984" s="813" t="s">
        <v>106</v>
      </c>
      <c r="G984" s="813" t="s">
        <v>106</v>
      </c>
      <c r="H984" s="813" t="s">
        <v>106</v>
      </c>
      <c r="I984" s="813" t="s">
        <v>106</v>
      </c>
      <c r="J984" s="813" t="s">
        <v>106</v>
      </c>
      <c r="K984" s="813" t="s">
        <v>106</v>
      </c>
      <c r="L984" s="813" t="s">
        <v>106</v>
      </c>
      <c r="M984" s="813" t="s">
        <v>106</v>
      </c>
      <c r="N984" s="813" t="s">
        <v>106</v>
      </c>
      <c r="O984" s="813" t="s">
        <v>106</v>
      </c>
      <c r="P984" s="813" t="s">
        <v>106</v>
      </c>
      <c r="Q984" s="813" t="s">
        <v>106</v>
      </c>
      <c r="R984" s="813" t="s">
        <v>106</v>
      </c>
      <c r="S984" s="813" t="s">
        <v>106</v>
      </c>
      <c r="T984" s="813" t="s">
        <v>106</v>
      </c>
      <c r="U984" s="813" t="s">
        <v>106</v>
      </c>
      <c r="V984" s="813" t="s">
        <v>106</v>
      </c>
      <c r="W984" s="813" t="s">
        <v>106</v>
      </c>
      <c r="X984" s="813" t="s">
        <v>106</v>
      </c>
      <c r="Y984" s="813" t="s">
        <v>106</v>
      </c>
      <c r="Z984" s="813" t="s">
        <v>106</v>
      </c>
      <c r="AA984" s="813" t="s">
        <v>106</v>
      </c>
      <c r="AB984" s="813" t="s">
        <v>106</v>
      </c>
      <c r="AC984" s="813" t="s">
        <v>106</v>
      </c>
      <c r="AD984" s="813" t="s">
        <v>106</v>
      </c>
      <c r="AE984" s="813" t="s">
        <v>106</v>
      </c>
      <c r="AF984" s="813" t="s">
        <v>106</v>
      </c>
      <c r="AG984" s="813" t="s">
        <v>106</v>
      </c>
      <c r="AH984" s="813" t="s">
        <v>106</v>
      </c>
      <c r="AI984" s="813" t="s">
        <v>106</v>
      </c>
      <c r="AJ984" s="813" t="s">
        <v>106</v>
      </c>
      <c r="AK984" s="813" t="s">
        <v>106</v>
      </c>
      <c r="AL984" s="813" t="s">
        <v>106</v>
      </c>
    </row>
    <row r="985" spans="1:38" s="792" customFormat="1" ht="12.6">
      <c r="A985" s="989" t="s">
        <v>205</v>
      </c>
      <c r="B985" s="791"/>
      <c r="C985" s="791"/>
      <c r="D985" s="791"/>
      <c r="E985" s="791"/>
      <c r="F985" s="790"/>
      <c r="G985" s="790"/>
      <c r="H985" s="790"/>
      <c r="I985" s="790"/>
      <c r="J985" s="790"/>
      <c r="K985" s="790"/>
      <c r="L985" s="790"/>
      <c r="M985" s="790"/>
      <c r="N985" s="790"/>
      <c r="O985" s="790"/>
      <c r="P985" s="790"/>
      <c r="Q985" s="790"/>
      <c r="R985" s="790"/>
      <c r="S985" s="790"/>
      <c r="T985" s="790"/>
      <c r="U985" s="790"/>
      <c r="V985" s="790"/>
      <c r="W985" s="790"/>
      <c r="X985" s="790"/>
      <c r="Y985" s="790"/>
      <c r="Z985" s="790"/>
      <c r="AA985" s="790"/>
      <c r="AB985" s="790"/>
      <c r="AC985" s="790"/>
      <c r="AD985" s="790"/>
      <c r="AE985" s="790"/>
      <c r="AF985" s="790"/>
      <c r="AG985" s="790"/>
      <c r="AH985" s="790"/>
      <c r="AI985" s="790"/>
      <c r="AJ985" s="790"/>
      <c r="AK985" s="790"/>
      <c r="AL985" s="790"/>
    </row>
    <row r="986" spans="1:38" ht="12.6">
      <c r="A986" s="990" t="s">
        <v>1092</v>
      </c>
      <c r="B986" s="991" t="s">
        <v>1068</v>
      </c>
      <c r="C986" s="991" t="s">
        <v>1058</v>
      </c>
      <c r="D986" s="991" t="s">
        <v>129</v>
      </c>
      <c r="E986" s="991"/>
      <c r="F986" s="813" t="s">
        <v>106</v>
      </c>
      <c r="G986" s="813" t="s">
        <v>106</v>
      </c>
      <c r="H986" s="813" t="s">
        <v>106</v>
      </c>
      <c r="I986" s="813" t="s">
        <v>106</v>
      </c>
      <c r="J986" s="813" t="s">
        <v>106</v>
      </c>
      <c r="K986" s="813" t="s">
        <v>106</v>
      </c>
      <c r="L986" s="813" t="s">
        <v>106</v>
      </c>
      <c r="M986" s="813" t="s">
        <v>106</v>
      </c>
      <c r="N986" s="813" t="s">
        <v>106</v>
      </c>
      <c r="O986" s="813" t="s">
        <v>106</v>
      </c>
      <c r="P986" s="813" t="s">
        <v>106</v>
      </c>
      <c r="Q986" s="813" t="s">
        <v>106</v>
      </c>
      <c r="R986" s="813" t="s">
        <v>106</v>
      </c>
      <c r="S986" s="813" t="s">
        <v>106</v>
      </c>
      <c r="T986" s="813" t="s">
        <v>106</v>
      </c>
      <c r="U986" s="813" t="s">
        <v>106</v>
      </c>
      <c r="V986" s="813" t="s">
        <v>106</v>
      </c>
      <c r="W986" s="813" t="s">
        <v>106</v>
      </c>
      <c r="X986" s="813" t="s">
        <v>106</v>
      </c>
      <c r="Y986" s="813" t="s">
        <v>106</v>
      </c>
      <c r="Z986" s="813" t="s">
        <v>106</v>
      </c>
      <c r="AA986" s="813" t="s">
        <v>106</v>
      </c>
      <c r="AB986" s="813" t="s">
        <v>106</v>
      </c>
      <c r="AC986" s="813" t="s">
        <v>106</v>
      </c>
      <c r="AD986" s="813" t="s">
        <v>106</v>
      </c>
      <c r="AE986" s="813" t="s">
        <v>106</v>
      </c>
      <c r="AF986" s="813" t="s">
        <v>106</v>
      </c>
      <c r="AG986" s="813" t="s">
        <v>106</v>
      </c>
      <c r="AH986" s="813" t="s">
        <v>106</v>
      </c>
      <c r="AI986" s="813" t="s">
        <v>106</v>
      </c>
      <c r="AJ986" s="813" t="s">
        <v>106</v>
      </c>
      <c r="AK986" s="813" t="s">
        <v>106</v>
      </c>
      <c r="AL986" s="813" t="s">
        <v>106</v>
      </c>
    </row>
    <row r="987" spans="1:38" ht="12.6">
      <c r="A987" s="990" t="s">
        <v>1093</v>
      </c>
      <c r="B987" s="991" t="s">
        <v>1068</v>
      </c>
      <c r="C987" s="991" t="s">
        <v>1062</v>
      </c>
      <c r="D987" s="991" t="s">
        <v>129</v>
      </c>
      <c r="E987" s="991"/>
      <c r="F987" s="813" t="s">
        <v>106</v>
      </c>
      <c r="G987" s="813" t="s">
        <v>106</v>
      </c>
      <c r="H987" s="813" t="s">
        <v>106</v>
      </c>
      <c r="I987" s="813" t="s">
        <v>106</v>
      </c>
      <c r="J987" s="813" t="s">
        <v>106</v>
      </c>
      <c r="K987" s="813" t="s">
        <v>106</v>
      </c>
      <c r="L987" s="813" t="s">
        <v>106</v>
      </c>
      <c r="M987" s="813" t="s">
        <v>106</v>
      </c>
      <c r="N987" s="813" t="s">
        <v>106</v>
      </c>
      <c r="O987" s="813" t="s">
        <v>106</v>
      </c>
      <c r="P987" s="813" t="s">
        <v>106</v>
      </c>
      <c r="Q987" s="813" t="s">
        <v>106</v>
      </c>
      <c r="R987" s="813" t="s">
        <v>106</v>
      </c>
      <c r="S987" s="813" t="s">
        <v>106</v>
      </c>
      <c r="T987" s="813" t="s">
        <v>106</v>
      </c>
      <c r="U987" s="813" t="s">
        <v>106</v>
      </c>
      <c r="V987" s="813" t="s">
        <v>106</v>
      </c>
      <c r="W987" s="813" t="s">
        <v>106</v>
      </c>
      <c r="X987" s="813" t="s">
        <v>106</v>
      </c>
      <c r="Y987" s="813" t="s">
        <v>106</v>
      </c>
      <c r="Z987" s="813" t="s">
        <v>106</v>
      </c>
      <c r="AA987" s="813" t="s">
        <v>106</v>
      </c>
      <c r="AB987" s="813" t="s">
        <v>106</v>
      </c>
      <c r="AC987" s="813" t="s">
        <v>106</v>
      </c>
      <c r="AD987" s="813" t="s">
        <v>106</v>
      </c>
      <c r="AE987" s="813" t="s">
        <v>106</v>
      </c>
      <c r="AF987" s="813" t="s">
        <v>106</v>
      </c>
      <c r="AG987" s="813" t="s">
        <v>106</v>
      </c>
      <c r="AH987" s="813" t="s">
        <v>106</v>
      </c>
      <c r="AI987" s="813" t="s">
        <v>106</v>
      </c>
      <c r="AJ987" s="813" t="s">
        <v>106</v>
      </c>
      <c r="AK987" s="813" t="s">
        <v>106</v>
      </c>
      <c r="AL987" s="813" t="s">
        <v>106</v>
      </c>
    </row>
    <row r="988" spans="1:38" s="792" customFormat="1" ht="12.6">
      <c r="A988" s="989" t="s">
        <v>211</v>
      </c>
      <c r="B988" s="791"/>
      <c r="C988" s="791"/>
      <c r="D988" s="791"/>
      <c r="E988" s="791"/>
      <c r="F988" s="790"/>
      <c r="G988" s="790"/>
      <c r="H988" s="790"/>
      <c r="I988" s="790"/>
      <c r="J988" s="790"/>
      <c r="K988" s="790"/>
      <c r="L988" s="790"/>
      <c r="M988" s="790"/>
      <c r="N988" s="790"/>
      <c r="O988" s="790"/>
      <c r="P988" s="790"/>
      <c r="Q988" s="790"/>
      <c r="R988" s="790"/>
      <c r="S988" s="790"/>
      <c r="T988" s="790"/>
      <c r="U988" s="790"/>
      <c r="V988" s="790"/>
      <c r="W988" s="790"/>
      <c r="X988" s="790"/>
      <c r="Y988" s="790"/>
      <c r="Z988" s="790"/>
      <c r="AA988" s="790"/>
      <c r="AB988" s="790"/>
      <c r="AC988" s="790"/>
      <c r="AD988" s="790"/>
      <c r="AE988" s="790"/>
      <c r="AF988" s="790"/>
      <c r="AG988" s="790"/>
      <c r="AH988" s="790"/>
      <c r="AI988" s="790"/>
      <c r="AJ988" s="790"/>
      <c r="AK988" s="790"/>
      <c r="AL988" s="790"/>
    </row>
    <row r="989" spans="1:38" ht="12.6">
      <c r="A989" s="990" t="s">
        <v>1094</v>
      </c>
      <c r="B989" s="991" t="s">
        <v>1071</v>
      </c>
      <c r="C989" s="991" t="s">
        <v>1058</v>
      </c>
      <c r="D989" s="991" t="s">
        <v>129</v>
      </c>
      <c r="E989" s="991"/>
      <c r="F989" s="813" t="s">
        <v>106</v>
      </c>
      <c r="G989" s="813" t="s">
        <v>106</v>
      </c>
      <c r="H989" s="813" t="s">
        <v>106</v>
      </c>
      <c r="I989" s="813" t="s">
        <v>106</v>
      </c>
      <c r="J989" s="813" t="s">
        <v>106</v>
      </c>
      <c r="K989" s="813" t="s">
        <v>106</v>
      </c>
      <c r="L989" s="813" t="s">
        <v>106</v>
      </c>
      <c r="M989" s="813" t="s">
        <v>106</v>
      </c>
      <c r="N989" s="813" t="s">
        <v>106</v>
      </c>
      <c r="O989" s="813" t="s">
        <v>106</v>
      </c>
      <c r="P989" s="813" t="s">
        <v>106</v>
      </c>
      <c r="Q989" s="813" t="s">
        <v>106</v>
      </c>
      <c r="R989" s="813" t="s">
        <v>106</v>
      </c>
      <c r="S989" s="813" t="s">
        <v>106</v>
      </c>
      <c r="T989" s="813" t="s">
        <v>106</v>
      </c>
      <c r="U989" s="813" t="s">
        <v>106</v>
      </c>
      <c r="V989" s="813" t="s">
        <v>106</v>
      </c>
      <c r="W989" s="813" t="s">
        <v>106</v>
      </c>
      <c r="X989" s="813" t="s">
        <v>106</v>
      </c>
      <c r="Y989" s="813" t="s">
        <v>106</v>
      </c>
      <c r="Z989" s="813" t="s">
        <v>106</v>
      </c>
      <c r="AA989" s="813" t="s">
        <v>106</v>
      </c>
      <c r="AB989" s="813" t="s">
        <v>106</v>
      </c>
      <c r="AC989" s="813" t="s">
        <v>106</v>
      </c>
      <c r="AD989" s="813" t="s">
        <v>106</v>
      </c>
      <c r="AE989" s="813" t="s">
        <v>106</v>
      </c>
      <c r="AF989" s="813" t="s">
        <v>106</v>
      </c>
      <c r="AG989" s="813" t="s">
        <v>106</v>
      </c>
      <c r="AH989" s="813" t="s">
        <v>106</v>
      </c>
      <c r="AI989" s="813" t="s">
        <v>106</v>
      </c>
      <c r="AJ989" s="813" t="s">
        <v>106</v>
      </c>
      <c r="AK989" s="813" t="s">
        <v>106</v>
      </c>
      <c r="AL989" s="813" t="s">
        <v>106</v>
      </c>
    </row>
    <row r="990" spans="1:38" ht="12.6">
      <c r="A990" s="990" t="s">
        <v>1095</v>
      </c>
      <c r="B990" s="991" t="s">
        <v>1071</v>
      </c>
      <c r="C990" s="991" t="s">
        <v>1062</v>
      </c>
      <c r="D990" s="991" t="s">
        <v>129</v>
      </c>
      <c r="E990" s="991"/>
      <c r="F990" s="813" t="s">
        <v>106</v>
      </c>
      <c r="G990" s="813" t="s">
        <v>106</v>
      </c>
      <c r="H990" s="813" t="s">
        <v>106</v>
      </c>
      <c r="I990" s="813" t="s">
        <v>106</v>
      </c>
      <c r="J990" s="813" t="s">
        <v>106</v>
      </c>
      <c r="K990" s="813" t="s">
        <v>106</v>
      </c>
      <c r="L990" s="813" t="s">
        <v>106</v>
      </c>
      <c r="M990" s="813" t="s">
        <v>106</v>
      </c>
      <c r="N990" s="813" t="s">
        <v>106</v>
      </c>
      <c r="O990" s="813" t="s">
        <v>106</v>
      </c>
      <c r="P990" s="813" t="s">
        <v>106</v>
      </c>
      <c r="Q990" s="813" t="s">
        <v>106</v>
      </c>
      <c r="R990" s="813" t="s">
        <v>106</v>
      </c>
      <c r="S990" s="813" t="s">
        <v>106</v>
      </c>
      <c r="T990" s="813" t="s">
        <v>106</v>
      </c>
      <c r="U990" s="813" t="s">
        <v>106</v>
      </c>
      <c r="V990" s="813" t="s">
        <v>106</v>
      </c>
      <c r="W990" s="813" t="s">
        <v>106</v>
      </c>
      <c r="X990" s="813" t="s">
        <v>106</v>
      </c>
      <c r="Y990" s="813" t="s">
        <v>106</v>
      </c>
      <c r="Z990" s="813" t="s">
        <v>106</v>
      </c>
      <c r="AA990" s="813" t="s">
        <v>106</v>
      </c>
      <c r="AB990" s="813" t="s">
        <v>106</v>
      </c>
      <c r="AC990" s="813" t="s">
        <v>106</v>
      </c>
      <c r="AD990" s="813" t="s">
        <v>106</v>
      </c>
      <c r="AE990" s="813" t="s">
        <v>106</v>
      </c>
      <c r="AF990" s="813" t="s">
        <v>106</v>
      </c>
      <c r="AG990" s="813" t="s">
        <v>106</v>
      </c>
      <c r="AH990" s="813" t="s">
        <v>106</v>
      </c>
      <c r="AI990" s="813" t="s">
        <v>106</v>
      </c>
      <c r="AJ990" s="813" t="s">
        <v>106</v>
      </c>
      <c r="AK990" s="813" t="s">
        <v>106</v>
      </c>
      <c r="AL990" s="813" t="s">
        <v>106</v>
      </c>
    </row>
    <row r="991" spans="1:38" s="792" customFormat="1" ht="12.6">
      <c r="A991" s="989" t="s">
        <v>217</v>
      </c>
      <c r="B991" s="791"/>
      <c r="C991" s="791"/>
      <c r="D991" s="791"/>
      <c r="E991" s="791"/>
      <c r="F991" s="790"/>
      <c r="G991" s="790"/>
      <c r="H991" s="790"/>
      <c r="I991" s="790"/>
      <c r="J991" s="790"/>
      <c r="K991" s="790"/>
      <c r="L991" s="790"/>
      <c r="M991" s="790"/>
      <c r="N991" s="790"/>
      <c r="O991" s="790"/>
      <c r="P991" s="790"/>
      <c r="Q991" s="790"/>
      <c r="R991" s="790"/>
      <c r="S991" s="790"/>
      <c r="T991" s="790"/>
      <c r="U991" s="790"/>
      <c r="V991" s="790"/>
      <c r="W991" s="790"/>
      <c r="X991" s="790"/>
      <c r="Y991" s="790"/>
      <c r="Z991" s="790"/>
      <c r="AA991" s="790"/>
      <c r="AB991" s="790"/>
      <c r="AC991" s="790"/>
      <c r="AD991" s="790"/>
      <c r="AE991" s="790"/>
      <c r="AF991" s="790"/>
      <c r="AG991" s="790"/>
      <c r="AH991" s="790"/>
      <c r="AI991" s="790"/>
      <c r="AJ991" s="790"/>
      <c r="AK991" s="790"/>
      <c r="AL991" s="790"/>
    </row>
    <row r="992" spans="1:38" ht="12.6">
      <c r="A992" s="990" t="s">
        <v>1096</v>
      </c>
      <c r="B992" s="991" t="s">
        <v>1074</v>
      </c>
      <c r="C992" s="991" t="s">
        <v>1058</v>
      </c>
      <c r="D992" s="991" t="s">
        <v>129</v>
      </c>
      <c r="E992" s="991"/>
      <c r="F992" s="813" t="s">
        <v>106</v>
      </c>
      <c r="G992" s="813" t="s">
        <v>106</v>
      </c>
      <c r="H992" s="813" t="s">
        <v>106</v>
      </c>
      <c r="I992" s="813" t="s">
        <v>106</v>
      </c>
      <c r="J992" s="813" t="s">
        <v>106</v>
      </c>
      <c r="K992" s="813" t="s">
        <v>106</v>
      </c>
      <c r="L992" s="813" t="s">
        <v>106</v>
      </c>
      <c r="M992" s="813" t="s">
        <v>106</v>
      </c>
      <c r="N992" s="813" t="s">
        <v>106</v>
      </c>
      <c r="O992" s="813" t="s">
        <v>106</v>
      </c>
      <c r="P992" s="813" t="s">
        <v>106</v>
      </c>
      <c r="Q992" s="813" t="s">
        <v>106</v>
      </c>
      <c r="R992" s="813" t="s">
        <v>106</v>
      </c>
      <c r="S992" s="813" t="s">
        <v>106</v>
      </c>
      <c r="T992" s="813" t="s">
        <v>106</v>
      </c>
      <c r="U992" s="813" t="s">
        <v>106</v>
      </c>
      <c r="V992" s="813" t="s">
        <v>106</v>
      </c>
      <c r="W992" s="813" t="s">
        <v>106</v>
      </c>
      <c r="X992" s="813" t="s">
        <v>106</v>
      </c>
      <c r="Y992" s="813" t="s">
        <v>106</v>
      </c>
      <c r="Z992" s="813" t="s">
        <v>106</v>
      </c>
      <c r="AA992" s="813" t="s">
        <v>106</v>
      </c>
      <c r="AB992" s="813" t="s">
        <v>106</v>
      </c>
      <c r="AC992" s="813" t="s">
        <v>106</v>
      </c>
      <c r="AD992" s="813" t="s">
        <v>106</v>
      </c>
      <c r="AE992" s="813" t="s">
        <v>106</v>
      </c>
      <c r="AF992" s="813" t="s">
        <v>106</v>
      </c>
      <c r="AG992" s="813" t="s">
        <v>106</v>
      </c>
      <c r="AH992" s="813" t="s">
        <v>106</v>
      </c>
      <c r="AI992" s="813" t="s">
        <v>106</v>
      </c>
      <c r="AJ992" s="813" t="s">
        <v>106</v>
      </c>
      <c r="AK992" s="813" t="s">
        <v>106</v>
      </c>
      <c r="AL992" s="813" t="s">
        <v>106</v>
      </c>
    </row>
    <row r="993" spans="1:38" ht="12.6">
      <c r="A993" s="990" t="s">
        <v>1097</v>
      </c>
      <c r="B993" s="991" t="s">
        <v>1074</v>
      </c>
      <c r="C993" s="991" t="s">
        <v>1062</v>
      </c>
      <c r="D993" s="991" t="s">
        <v>129</v>
      </c>
      <c r="E993" s="991"/>
      <c r="F993" s="813" t="s">
        <v>106</v>
      </c>
      <c r="G993" s="813" t="s">
        <v>106</v>
      </c>
      <c r="H993" s="813" t="s">
        <v>106</v>
      </c>
      <c r="I993" s="813" t="s">
        <v>106</v>
      </c>
      <c r="J993" s="813" t="s">
        <v>106</v>
      </c>
      <c r="K993" s="813" t="s">
        <v>106</v>
      </c>
      <c r="L993" s="813" t="s">
        <v>106</v>
      </c>
      <c r="M993" s="813" t="s">
        <v>106</v>
      </c>
      <c r="N993" s="813" t="s">
        <v>106</v>
      </c>
      <c r="O993" s="813" t="s">
        <v>106</v>
      </c>
      <c r="P993" s="813" t="s">
        <v>106</v>
      </c>
      <c r="Q993" s="813" t="s">
        <v>106</v>
      </c>
      <c r="R993" s="813" t="s">
        <v>106</v>
      </c>
      <c r="S993" s="813" t="s">
        <v>106</v>
      </c>
      <c r="T993" s="813" t="s">
        <v>106</v>
      </c>
      <c r="U993" s="813" t="s">
        <v>106</v>
      </c>
      <c r="V993" s="813" t="s">
        <v>106</v>
      </c>
      <c r="W993" s="813" t="s">
        <v>106</v>
      </c>
      <c r="X993" s="813" t="s">
        <v>106</v>
      </c>
      <c r="Y993" s="813" t="s">
        <v>106</v>
      </c>
      <c r="Z993" s="813" t="s">
        <v>106</v>
      </c>
      <c r="AA993" s="813" t="s">
        <v>106</v>
      </c>
      <c r="AB993" s="813" t="s">
        <v>106</v>
      </c>
      <c r="AC993" s="813" t="s">
        <v>106</v>
      </c>
      <c r="AD993" s="813" t="s">
        <v>106</v>
      </c>
      <c r="AE993" s="813" t="s">
        <v>106</v>
      </c>
      <c r="AF993" s="813" t="s">
        <v>106</v>
      </c>
      <c r="AG993" s="813" t="s">
        <v>106</v>
      </c>
      <c r="AH993" s="813" t="s">
        <v>106</v>
      </c>
      <c r="AI993" s="813" t="s">
        <v>106</v>
      </c>
      <c r="AJ993" s="813" t="s">
        <v>106</v>
      </c>
      <c r="AK993" s="813" t="s">
        <v>106</v>
      </c>
      <c r="AL993" s="813" t="s">
        <v>106</v>
      </c>
    </row>
    <row r="994" spans="1:38" s="797" customFormat="1" ht="12.95">
      <c r="A994" s="796" t="s">
        <v>223</v>
      </c>
      <c r="B994" s="796"/>
      <c r="C994" s="796"/>
      <c r="D994" s="796"/>
      <c r="E994" s="796"/>
      <c r="F994" s="795"/>
      <c r="G994" s="795"/>
      <c r="H994" s="795"/>
      <c r="I994" s="795"/>
      <c r="J994" s="795"/>
      <c r="K994" s="795"/>
      <c r="L994" s="795"/>
      <c r="M994" s="795"/>
      <c r="N994" s="795"/>
      <c r="O994" s="795"/>
      <c r="P994" s="795"/>
      <c r="Q994" s="795"/>
      <c r="R994" s="795"/>
      <c r="S994" s="795"/>
      <c r="T994" s="795"/>
      <c r="U994" s="795"/>
      <c r="V994" s="795"/>
      <c r="W994" s="795"/>
      <c r="X994" s="795"/>
      <c r="Y994" s="795"/>
      <c r="Z994" s="795"/>
      <c r="AA994" s="795"/>
      <c r="AB994" s="795"/>
      <c r="AC994" s="795"/>
      <c r="AD994" s="795"/>
      <c r="AE994" s="795"/>
      <c r="AF994" s="795"/>
      <c r="AG994" s="795"/>
      <c r="AH994" s="795"/>
      <c r="AI994" s="795"/>
      <c r="AJ994" s="795"/>
      <c r="AK994" s="795"/>
      <c r="AL994" s="795"/>
    </row>
    <row r="995" spans="1:38" s="792" customFormat="1" ht="12.6">
      <c r="A995" s="989" t="s">
        <v>224</v>
      </c>
      <c r="B995" s="791"/>
      <c r="C995" s="791"/>
      <c r="D995" s="791"/>
      <c r="E995" s="791"/>
      <c r="F995" s="790"/>
      <c r="G995" s="790"/>
      <c r="H995" s="790"/>
      <c r="I995" s="790"/>
      <c r="J995" s="790"/>
      <c r="K995" s="790"/>
      <c r="L995" s="790"/>
      <c r="M995" s="790"/>
      <c r="N995" s="790"/>
      <c r="O995" s="790"/>
      <c r="P995" s="790"/>
      <c r="Q995" s="790"/>
      <c r="R995" s="790"/>
      <c r="S995" s="790"/>
      <c r="T995" s="790"/>
      <c r="U995" s="790"/>
      <c r="V995" s="790"/>
      <c r="W995" s="790"/>
      <c r="X995" s="790"/>
      <c r="Y995" s="790"/>
      <c r="Z995" s="790"/>
      <c r="AA995" s="790"/>
      <c r="AB995" s="790"/>
      <c r="AC995" s="790"/>
      <c r="AD995" s="790"/>
      <c r="AE995" s="790"/>
      <c r="AF995" s="790"/>
      <c r="AG995" s="790"/>
      <c r="AH995" s="790"/>
      <c r="AI995" s="790"/>
      <c r="AJ995" s="790"/>
      <c r="AK995" s="790"/>
      <c r="AL995" s="790"/>
    </row>
    <row r="996" spans="1:38" ht="12.6">
      <c r="A996" s="990" t="s">
        <v>1098</v>
      </c>
      <c r="B996" s="991" t="s">
        <v>1099</v>
      </c>
      <c r="C996" s="991" t="s">
        <v>1058</v>
      </c>
      <c r="D996" s="991" t="s">
        <v>129</v>
      </c>
      <c r="E996" s="991"/>
      <c r="F996" s="813" t="s">
        <v>1059</v>
      </c>
      <c r="G996" s="813" t="s">
        <v>1059</v>
      </c>
      <c r="H996" s="813" t="s">
        <v>1059</v>
      </c>
      <c r="I996" s="813" t="s">
        <v>1059</v>
      </c>
      <c r="J996" s="813" t="s">
        <v>1059</v>
      </c>
      <c r="K996" s="813" t="s">
        <v>1059</v>
      </c>
      <c r="L996" s="813" t="s">
        <v>1059</v>
      </c>
      <c r="M996" s="813" t="s">
        <v>1059</v>
      </c>
      <c r="N996" s="813" t="s">
        <v>1059</v>
      </c>
      <c r="O996" s="813" t="s">
        <v>1059</v>
      </c>
      <c r="P996" s="813" t="s">
        <v>1059</v>
      </c>
      <c r="Q996" s="813" t="s">
        <v>1059</v>
      </c>
      <c r="R996" s="813" t="s">
        <v>1059</v>
      </c>
      <c r="S996" s="813" t="s">
        <v>1059</v>
      </c>
      <c r="T996" s="813" t="s">
        <v>1059</v>
      </c>
      <c r="U996" s="813" t="s">
        <v>1059</v>
      </c>
      <c r="V996" s="813" t="s">
        <v>1059</v>
      </c>
      <c r="W996" s="813" t="s">
        <v>1059</v>
      </c>
      <c r="X996" s="813" t="s">
        <v>1059</v>
      </c>
      <c r="Y996" s="813" t="s">
        <v>1059</v>
      </c>
      <c r="Z996" s="813" t="s">
        <v>1059</v>
      </c>
      <c r="AA996" s="813" t="s">
        <v>1059</v>
      </c>
      <c r="AB996" s="813" t="s">
        <v>1059</v>
      </c>
      <c r="AC996" s="813" t="s">
        <v>1059</v>
      </c>
      <c r="AD996" s="813" t="s">
        <v>1059</v>
      </c>
      <c r="AE996" s="813" t="s">
        <v>1059</v>
      </c>
      <c r="AF996" s="813" t="s">
        <v>1059</v>
      </c>
      <c r="AG996" s="813" t="s">
        <v>1059</v>
      </c>
      <c r="AH996" s="813" t="s">
        <v>1059</v>
      </c>
      <c r="AI996" s="813" t="s">
        <v>1059</v>
      </c>
      <c r="AJ996" s="813" t="s">
        <v>1059</v>
      </c>
      <c r="AK996" s="813" t="s">
        <v>1059</v>
      </c>
      <c r="AL996" s="813" t="s">
        <v>1060</v>
      </c>
    </row>
    <row r="997" spans="1:38" ht="12.6">
      <c r="A997" s="990" t="s">
        <v>1100</v>
      </c>
      <c r="B997" s="991" t="s">
        <v>1099</v>
      </c>
      <c r="C997" s="991" t="s">
        <v>1062</v>
      </c>
      <c r="D997" s="991" t="s">
        <v>129</v>
      </c>
      <c r="E997" s="991"/>
      <c r="F997" s="813" t="s">
        <v>1063</v>
      </c>
      <c r="G997" s="813" t="s">
        <v>1063</v>
      </c>
      <c r="H997" s="813" t="s">
        <v>1063</v>
      </c>
      <c r="I997" s="813" t="s">
        <v>1063</v>
      </c>
      <c r="J997" s="813" t="s">
        <v>1063</v>
      </c>
      <c r="K997" s="813" t="s">
        <v>1063</v>
      </c>
      <c r="L997" s="813" t="s">
        <v>1063</v>
      </c>
      <c r="M997" s="813" t="s">
        <v>1063</v>
      </c>
      <c r="N997" s="813" t="s">
        <v>1063</v>
      </c>
      <c r="O997" s="813" t="s">
        <v>1063</v>
      </c>
      <c r="P997" s="813" t="s">
        <v>1063</v>
      </c>
      <c r="Q997" s="813" t="s">
        <v>1063</v>
      </c>
      <c r="R997" s="813" t="s">
        <v>1063</v>
      </c>
      <c r="S997" s="813" t="s">
        <v>1063</v>
      </c>
      <c r="T997" s="813" t="s">
        <v>1063</v>
      </c>
      <c r="U997" s="813" t="s">
        <v>1063</v>
      </c>
      <c r="V997" s="813" t="s">
        <v>1063</v>
      </c>
      <c r="W997" s="813" t="s">
        <v>1063</v>
      </c>
      <c r="X997" s="813" t="s">
        <v>1063</v>
      </c>
      <c r="Y997" s="813" t="s">
        <v>1063</v>
      </c>
      <c r="Z997" s="813" t="s">
        <v>1063</v>
      </c>
      <c r="AA997" s="813" t="s">
        <v>1063</v>
      </c>
      <c r="AB997" s="813" t="s">
        <v>1063</v>
      </c>
      <c r="AC997" s="813" t="s">
        <v>1063</v>
      </c>
      <c r="AD997" s="813" t="s">
        <v>1063</v>
      </c>
      <c r="AE997" s="813" t="s">
        <v>1063</v>
      </c>
      <c r="AF997" s="813" t="s">
        <v>1063</v>
      </c>
      <c r="AG997" s="813" t="s">
        <v>1063</v>
      </c>
      <c r="AH997" s="813" t="s">
        <v>1063</v>
      </c>
      <c r="AI997" s="813" t="s">
        <v>1063</v>
      </c>
      <c r="AJ997" s="813" t="s">
        <v>1063</v>
      </c>
      <c r="AK997" s="813" t="s">
        <v>1063</v>
      </c>
      <c r="AL997" s="813" t="s">
        <v>1063</v>
      </c>
    </row>
    <row r="998" spans="1:38" s="792" customFormat="1" ht="12.6">
      <c r="A998" s="989" t="s">
        <v>231</v>
      </c>
      <c r="B998" s="791"/>
      <c r="C998" s="791"/>
      <c r="D998" s="791"/>
      <c r="E998" s="791"/>
      <c r="F998" s="790"/>
      <c r="G998" s="790"/>
      <c r="H998" s="790"/>
      <c r="I998" s="790"/>
      <c r="J998" s="790"/>
      <c r="K998" s="790"/>
      <c r="L998" s="790"/>
      <c r="M998" s="790"/>
      <c r="N998" s="790"/>
      <c r="O998" s="790"/>
      <c r="P998" s="790"/>
      <c r="Q998" s="790"/>
      <c r="R998" s="790"/>
      <c r="S998" s="790"/>
      <c r="T998" s="790"/>
      <c r="U998" s="790"/>
      <c r="V998" s="790"/>
      <c r="W998" s="790"/>
      <c r="X998" s="790"/>
      <c r="Y998" s="790"/>
      <c r="Z998" s="790"/>
      <c r="AA998" s="790"/>
      <c r="AB998" s="790"/>
      <c r="AC998" s="790"/>
      <c r="AD998" s="790"/>
      <c r="AE998" s="790"/>
      <c r="AF998" s="790"/>
      <c r="AG998" s="790"/>
      <c r="AH998" s="790"/>
      <c r="AI998" s="790"/>
      <c r="AJ998" s="790"/>
      <c r="AK998" s="790"/>
      <c r="AL998" s="790"/>
    </row>
    <row r="999" spans="1:38" ht="12.6">
      <c r="A999" s="990" t="s">
        <v>1101</v>
      </c>
      <c r="B999" s="991" t="s">
        <v>1102</v>
      </c>
      <c r="C999" s="991" t="s">
        <v>1058</v>
      </c>
      <c r="D999" s="991" t="s">
        <v>129</v>
      </c>
      <c r="E999" s="991"/>
      <c r="F999" s="813" t="s">
        <v>1059</v>
      </c>
      <c r="G999" s="813" t="s">
        <v>1059</v>
      </c>
      <c r="H999" s="813" t="s">
        <v>1059</v>
      </c>
      <c r="I999" s="813" t="s">
        <v>1059</v>
      </c>
      <c r="J999" s="813" t="s">
        <v>1059</v>
      </c>
      <c r="K999" s="813" t="s">
        <v>1059</v>
      </c>
      <c r="L999" s="813" t="s">
        <v>1059</v>
      </c>
      <c r="M999" s="813" t="s">
        <v>1059</v>
      </c>
      <c r="N999" s="813" t="s">
        <v>1059</v>
      </c>
      <c r="O999" s="813" t="s">
        <v>1059</v>
      </c>
      <c r="P999" s="813" t="s">
        <v>1059</v>
      </c>
      <c r="Q999" s="813" t="s">
        <v>1059</v>
      </c>
      <c r="R999" s="813" t="s">
        <v>1059</v>
      </c>
      <c r="S999" s="813" t="s">
        <v>1059</v>
      </c>
      <c r="T999" s="813" t="s">
        <v>1059</v>
      </c>
      <c r="U999" s="813" t="s">
        <v>1059</v>
      </c>
      <c r="V999" s="813" t="s">
        <v>1059</v>
      </c>
      <c r="W999" s="813" t="s">
        <v>1059</v>
      </c>
      <c r="X999" s="813" t="s">
        <v>1059</v>
      </c>
      <c r="Y999" s="813" t="s">
        <v>1059</v>
      </c>
      <c r="Z999" s="813" t="s">
        <v>1059</v>
      </c>
      <c r="AA999" s="813" t="s">
        <v>1059</v>
      </c>
      <c r="AB999" s="813" t="s">
        <v>1059</v>
      </c>
      <c r="AC999" s="813" t="s">
        <v>1059</v>
      </c>
      <c r="AD999" s="813" t="s">
        <v>1059</v>
      </c>
      <c r="AE999" s="813" t="s">
        <v>1059</v>
      </c>
      <c r="AF999" s="813" t="s">
        <v>1059</v>
      </c>
      <c r="AG999" s="813" t="s">
        <v>1059</v>
      </c>
      <c r="AH999" s="813" t="s">
        <v>1059</v>
      </c>
      <c r="AI999" s="813" t="s">
        <v>1059</v>
      </c>
      <c r="AJ999" s="813" t="s">
        <v>1059</v>
      </c>
      <c r="AK999" s="813" t="s">
        <v>1059</v>
      </c>
      <c r="AL999" s="813" t="s">
        <v>1060</v>
      </c>
    </row>
    <row r="1000" spans="1:38" ht="12.6">
      <c r="A1000" s="990" t="s">
        <v>1103</v>
      </c>
      <c r="B1000" s="991" t="s">
        <v>1102</v>
      </c>
      <c r="C1000" s="991" t="s">
        <v>1062</v>
      </c>
      <c r="D1000" s="991" t="s">
        <v>129</v>
      </c>
      <c r="E1000" s="991"/>
      <c r="F1000" s="813" t="s">
        <v>1063</v>
      </c>
      <c r="G1000" s="813" t="s">
        <v>1063</v>
      </c>
      <c r="H1000" s="813" t="s">
        <v>1063</v>
      </c>
      <c r="I1000" s="813" t="s">
        <v>1063</v>
      </c>
      <c r="J1000" s="813" t="s">
        <v>1063</v>
      </c>
      <c r="K1000" s="813" t="s">
        <v>1063</v>
      </c>
      <c r="L1000" s="813" t="s">
        <v>1063</v>
      </c>
      <c r="M1000" s="813" t="s">
        <v>1063</v>
      </c>
      <c r="N1000" s="813" t="s">
        <v>1063</v>
      </c>
      <c r="O1000" s="813" t="s">
        <v>1063</v>
      </c>
      <c r="P1000" s="813" t="s">
        <v>1063</v>
      </c>
      <c r="Q1000" s="813" t="s">
        <v>1063</v>
      </c>
      <c r="R1000" s="813" t="s">
        <v>1063</v>
      </c>
      <c r="S1000" s="813" t="s">
        <v>1063</v>
      </c>
      <c r="T1000" s="813" t="s">
        <v>1063</v>
      </c>
      <c r="U1000" s="813" t="s">
        <v>1063</v>
      </c>
      <c r="V1000" s="813" t="s">
        <v>1063</v>
      </c>
      <c r="W1000" s="813" t="s">
        <v>1063</v>
      </c>
      <c r="X1000" s="813" t="s">
        <v>1063</v>
      </c>
      <c r="Y1000" s="813" t="s">
        <v>1063</v>
      </c>
      <c r="Z1000" s="813" t="s">
        <v>1063</v>
      </c>
      <c r="AA1000" s="813" t="s">
        <v>1063</v>
      </c>
      <c r="AB1000" s="813" t="s">
        <v>1063</v>
      </c>
      <c r="AC1000" s="813" t="s">
        <v>1063</v>
      </c>
      <c r="AD1000" s="813" t="s">
        <v>1063</v>
      </c>
      <c r="AE1000" s="813" t="s">
        <v>1063</v>
      </c>
      <c r="AF1000" s="813" t="s">
        <v>1063</v>
      </c>
      <c r="AG1000" s="813" t="s">
        <v>1063</v>
      </c>
      <c r="AH1000" s="813" t="s">
        <v>1063</v>
      </c>
      <c r="AI1000" s="813" t="s">
        <v>1063</v>
      </c>
      <c r="AJ1000" s="813" t="s">
        <v>1063</v>
      </c>
      <c r="AK1000" s="813" t="s">
        <v>1063</v>
      </c>
      <c r="AL1000" s="813" t="s">
        <v>1063</v>
      </c>
    </row>
    <row r="1001" spans="1:38" s="792" customFormat="1" ht="12.6">
      <c r="A1001" s="989" t="s">
        <v>237</v>
      </c>
      <c r="B1001" s="791"/>
      <c r="C1001" s="791"/>
      <c r="D1001" s="791"/>
      <c r="E1001" s="791"/>
      <c r="F1001" s="790"/>
      <c r="G1001" s="790"/>
      <c r="H1001" s="790"/>
      <c r="I1001" s="790"/>
      <c r="J1001" s="790"/>
      <c r="K1001" s="790"/>
      <c r="L1001" s="790"/>
      <c r="M1001" s="790"/>
      <c r="N1001" s="790"/>
      <c r="O1001" s="790"/>
      <c r="P1001" s="790"/>
      <c r="Q1001" s="790"/>
      <c r="R1001" s="790"/>
      <c r="S1001" s="790"/>
      <c r="T1001" s="790"/>
      <c r="U1001" s="790"/>
      <c r="V1001" s="790"/>
      <c r="W1001" s="790"/>
      <c r="X1001" s="790"/>
      <c r="Y1001" s="790"/>
      <c r="Z1001" s="790"/>
      <c r="AA1001" s="790"/>
      <c r="AB1001" s="790"/>
      <c r="AC1001" s="790"/>
      <c r="AD1001" s="790"/>
      <c r="AE1001" s="790"/>
      <c r="AF1001" s="790"/>
      <c r="AG1001" s="790"/>
      <c r="AH1001" s="790"/>
      <c r="AI1001" s="790"/>
      <c r="AJ1001" s="790"/>
      <c r="AK1001" s="790"/>
      <c r="AL1001" s="790"/>
    </row>
    <row r="1002" spans="1:38" ht="12.6">
      <c r="A1002" s="990" t="s">
        <v>1104</v>
      </c>
      <c r="B1002" s="991" t="s">
        <v>1105</v>
      </c>
      <c r="C1002" s="991" t="s">
        <v>1058</v>
      </c>
      <c r="D1002" s="991" t="s">
        <v>129</v>
      </c>
      <c r="E1002" s="991"/>
      <c r="F1002" s="813" t="s">
        <v>1059</v>
      </c>
      <c r="G1002" s="813" t="s">
        <v>1059</v>
      </c>
      <c r="H1002" s="813" t="s">
        <v>1059</v>
      </c>
      <c r="I1002" s="813" t="s">
        <v>1059</v>
      </c>
      <c r="J1002" s="813" t="s">
        <v>1059</v>
      </c>
      <c r="K1002" s="813" t="s">
        <v>1059</v>
      </c>
      <c r="L1002" s="813" t="s">
        <v>1059</v>
      </c>
      <c r="M1002" s="813" t="s">
        <v>1059</v>
      </c>
      <c r="N1002" s="813" t="s">
        <v>1059</v>
      </c>
      <c r="O1002" s="813" t="s">
        <v>1059</v>
      </c>
      <c r="P1002" s="813" t="s">
        <v>1059</v>
      </c>
      <c r="Q1002" s="813" t="s">
        <v>1059</v>
      </c>
      <c r="R1002" s="813" t="s">
        <v>1059</v>
      </c>
      <c r="S1002" s="813" t="s">
        <v>1059</v>
      </c>
      <c r="T1002" s="813" t="s">
        <v>1059</v>
      </c>
      <c r="U1002" s="813" t="s">
        <v>1059</v>
      </c>
      <c r="V1002" s="813" t="s">
        <v>1059</v>
      </c>
      <c r="W1002" s="813" t="s">
        <v>1059</v>
      </c>
      <c r="X1002" s="813" t="s">
        <v>1059</v>
      </c>
      <c r="Y1002" s="813" t="s">
        <v>1059</v>
      </c>
      <c r="Z1002" s="813" t="s">
        <v>1059</v>
      </c>
      <c r="AA1002" s="813" t="s">
        <v>1059</v>
      </c>
      <c r="AB1002" s="813" t="s">
        <v>1059</v>
      </c>
      <c r="AC1002" s="813" t="s">
        <v>1059</v>
      </c>
      <c r="AD1002" s="813" t="s">
        <v>1059</v>
      </c>
      <c r="AE1002" s="813" t="s">
        <v>1059</v>
      </c>
      <c r="AF1002" s="813" t="s">
        <v>1059</v>
      </c>
      <c r="AG1002" s="813" t="s">
        <v>1059</v>
      </c>
      <c r="AH1002" s="813" t="s">
        <v>1059</v>
      </c>
      <c r="AI1002" s="813" t="s">
        <v>1059</v>
      </c>
      <c r="AJ1002" s="813" t="s">
        <v>1059</v>
      </c>
      <c r="AK1002" s="813" t="s">
        <v>1059</v>
      </c>
      <c r="AL1002" s="813" t="s">
        <v>1060</v>
      </c>
    </row>
    <row r="1003" spans="1:38" ht="12.6">
      <c r="A1003" s="990" t="s">
        <v>1106</v>
      </c>
      <c r="B1003" s="991" t="s">
        <v>1105</v>
      </c>
      <c r="C1003" s="991" t="s">
        <v>1062</v>
      </c>
      <c r="D1003" s="991" t="s">
        <v>129</v>
      </c>
      <c r="E1003" s="991"/>
      <c r="F1003" s="813" t="s">
        <v>1063</v>
      </c>
      <c r="G1003" s="813" t="s">
        <v>1063</v>
      </c>
      <c r="H1003" s="813" t="s">
        <v>1063</v>
      </c>
      <c r="I1003" s="813" t="s">
        <v>1063</v>
      </c>
      <c r="J1003" s="813" t="s">
        <v>1063</v>
      </c>
      <c r="K1003" s="813" t="s">
        <v>1063</v>
      </c>
      <c r="L1003" s="813" t="s">
        <v>1063</v>
      </c>
      <c r="M1003" s="813" t="s">
        <v>1063</v>
      </c>
      <c r="N1003" s="813" t="s">
        <v>1063</v>
      </c>
      <c r="O1003" s="813" t="s">
        <v>1063</v>
      </c>
      <c r="P1003" s="813" t="s">
        <v>1063</v>
      </c>
      <c r="Q1003" s="813" t="s">
        <v>1063</v>
      </c>
      <c r="R1003" s="813" t="s">
        <v>1063</v>
      </c>
      <c r="S1003" s="813" t="s">
        <v>1063</v>
      </c>
      <c r="T1003" s="813" t="s">
        <v>1063</v>
      </c>
      <c r="U1003" s="813" t="s">
        <v>1063</v>
      </c>
      <c r="V1003" s="813" t="s">
        <v>1063</v>
      </c>
      <c r="W1003" s="813" t="s">
        <v>1063</v>
      </c>
      <c r="X1003" s="813" t="s">
        <v>1063</v>
      </c>
      <c r="Y1003" s="813" t="s">
        <v>1063</v>
      </c>
      <c r="Z1003" s="813" t="s">
        <v>1063</v>
      </c>
      <c r="AA1003" s="813" t="s">
        <v>1063</v>
      </c>
      <c r="AB1003" s="813" t="s">
        <v>1063</v>
      </c>
      <c r="AC1003" s="813" t="s">
        <v>1063</v>
      </c>
      <c r="AD1003" s="813" t="s">
        <v>1063</v>
      </c>
      <c r="AE1003" s="813" t="s">
        <v>1063</v>
      </c>
      <c r="AF1003" s="813" t="s">
        <v>1063</v>
      </c>
      <c r="AG1003" s="813" t="s">
        <v>1063</v>
      </c>
      <c r="AH1003" s="813" t="s">
        <v>1063</v>
      </c>
      <c r="AI1003" s="813" t="s">
        <v>1063</v>
      </c>
      <c r="AJ1003" s="813" t="s">
        <v>1063</v>
      </c>
      <c r="AK1003" s="813" t="s">
        <v>1063</v>
      </c>
      <c r="AL1003" s="813" t="s">
        <v>1063</v>
      </c>
    </row>
    <row r="1004" spans="1:38" s="792" customFormat="1" ht="12.6">
      <c r="A1004" s="989" t="s">
        <v>243</v>
      </c>
      <c r="B1004" s="791"/>
      <c r="C1004" s="791"/>
      <c r="D1004" s="791"/>
      <c r="E1004" s="791"/>
      <c r="F1004" s="790"/>
      <c r="G1004" s="790"/>
      <c r="H1004" s="790"/>
      <c r="I1004" s="790"/>
      <c r="J1004" s="790"/>
      <c r="K1004" s="790"/>
      <c r="L1004" s="790"/>
      <c r="M1004" s="790"/>
      <c r="N1004" s="790"/>
      <c r="O1004" s="790"/>
      <c r="P1004" s="790"/>
      <c r="Q1004" s="790"/>
      <c r="R1004" s="790"/>
      <c r="S1004" s="790"/>
      <c r="T1004" s="790"/>
      <c r="U1004" s="790"/>
      <c r="V1004" s="790"/>
      <c r="W1004" s="790"/>
      <c r="X1004" s="790"/>
      <c r="Y1004" s="790"/>
      <c r="Z1004" s="790"/>
      <c r="AA1004" s="790"/>
      <c r="AB1004" s="790"/>
      <c r="AC1004" s="790"/>
      <c r="AD1004" s="790"/>
      <c r="AE1004" s="790"/>
      <c r="AF1004" s="790"/>
      <c r="AG1004" s="790"/>
      <c r="AH1004" s="790"/>
      <c r="AI1004" s="790"/>
      <c r="AJ1004" s="790"/>
      <c r="AK1004" s="790"/>
      <c r="AL1004" s="790"/>
    </row>
    <row r="1005" spans="1:38" ht="12.6">
      <c r="A1005" s="990" t="s">
        <v>1107</v>
      </c>
      <c r="B1005" s="991" t="s">
        <v>1108</v>
      </c>
      <c r="C1005" s="991" t="s">
        <v>1058</v>
      </c>
      <c r="D1005" s="991" t="s">
        <v>129</v>
      </c>
      <c r="E1005" s="991"/>
      <c r="F1005" s="813" t="s">
        <v>106</v>
      </c>
      <c r="G1005" s="813" t="s">
        <v>106</v>
      </c>
      <c r="H1005" s="813" t="s">
        <v>106</v>
      </c>
      <c r="I1005" s="813" t="s">
        <v>106</v>
      </c>
      <c r="J1005" s="813" t="s">
        <v>106</v>
      </c>
      <c r="K1005" s="813" t="s">
        <v>106</v>
      </c>
      <c r="L1005" s="813" t="s">
        <v>106</v>
      </c>
      <c r="M1005" s="813" t="s">
        <v>106</v>
      </c>
      <c r="N1005" s="813" t="s">
        <v>106</v>
      </c>
      <c r="O1005" s="813" t="s">
        <v>106</v>
      </c>
      <c r="P1005" s="813" t="s">
        <v>106</v>
      </c>
      <c r="Q1005" s="813" t="s">
        <v>106</v>
      </c>
      <c r="R1005" s="813" t="s">
        <v>106</v>
      </c>
      <c r="S1005" s="813" t="s">
        <v>106</v>
      </c>
      <c r="T1005" s="813" t="s">
        <v>106</v>
      </c>
      <c r="U1005" s="813" t="s">
        <v>106</v>
      </c>
      <c r="V1005" s="813" t="s">
        <v>106</v>
      </c>
      <c r="W1005" s="813" t="s">
        <v>106</v>
      </c>
      <c r="X1005" s="813" t="s">
        <v>106</v>
      </c>
      <c r="Y1005" s="813" t="s">
        <v>106</v>
      </c>
      <c r="Z1005" s="813" t="s">
        <v>106</v>
      </c>
      <c r="AA1005" s="813" t="s">
        <v>106</v>
      </c>
      <c r="AB1005" s="813" t="s">
        <v>106</v>
      </c>
      <c r="AC1005" s="813" t="s">
        <v>106</v>
      </c>
      <c r="AD1005" s="813" t="s">
        <v>106</v>
      </c>
      <c r="AE1005" s="813" t="s">
        <v>106</v>
      </c>
      <c r="AF1005" s="813" t="s">
        <v>106</v>
      </c>
      <c r="AG1005" s="813" t="s">
        <v>106</v>
      </c>
      <c r="AH1005" s="813" t="s">
        <v>106</v>
      </c>
      <c r="AI1005" s="813" t="s">
        <v>106</v>
      </c>
      <c r="AJ1005" s="813" t="s">
        <v>106</v>
      </c>
      <c r="AK1005" s="813" t="s">
        <v>106</v>
      </c>
      <c r="AL1005" s="813" t="s">
        <v>106</v>
      </c>
    </row>
    <row r="1006" spans="1:38" ht="12.6">
      <c r="A1006" s="990" t="s">
        <v>1109</v>
      </c>
      <c r="B1006" s="991" t="s">
        <v>1108</v>
      </c>
      <c r="C1006" s="991" t="s">
        <v>1062</v>
      </c>
      <c r="D1006" s="991" t="s">
        <v>129</v>
      </c>
      <c r="E1006" s="991"/>
      <c r="F1006" s="813" t="s">
        <v>106</v>
      </c>
      <c r="G1006" s="813" t="s">
        <v>106</v>
      </c>
      <c r="H1006" s="813" t="s">
        <v>106</v>
      </c>
      <c r="I1006" s="813" t="s">
        <v>106</v>
      </c>
      <c r="J1006" s="813" t="s">
        <v>106</v>
      </c>
      <c r="K1006" s="813" t="s">
        <v>106</v>
      </c>
      <c r="L1006" s="813" t="s">
        <v>106</v>
      </c>
      <c r="M1006" s="813" t="s">
        <v>106</v>
      </c>
      <c r="N1006" s="813" t="s">
        <v>106</v>
      </c>
      <c r="O1006" s="813" t="s">
        <v>106</v>
      </c>
      <c r="P1006" s="813" t="s">
        <v>106</v>
      </c>
      <c r="Q1006" s="813" t="s">
        <v>106</v>
      </c>
      <c r="R1006" s="813" t="s">
        <v>106</v>
      </c>
      <c r="S1006" s="813" t="s">
        <v>106</v>
      </c>
      <c r="T1006" s="813" t="s">
        <v>106</v>
      </c>
      <c r="U1006" s="813" t="s">
        <v>106</v>
      </c>
      <c r="V1006" s="813" t="s">
        <v>106</v>
      </c>
      <c r="W1006" s="813" t="s">
        <v>106</v>
      </c>
      <c r="X1006" s="813" t="s">
        <v>106</v>
      </c>
      <c r="Y1006" s="813" t="s">
        <v>106</v>
      </c>
      <c r="Z1006" s="813" t="s">
        <v>106</v>
      </c>
      <c r="AA1006" s="813" t="s">
        <v>106</v>
      </c>
      <c r="AB1006" s="813" t="s">
        <v>106</v>
      </c>
      <c r="AC1006" s="813" t="s">
        <v>106</v>
      </c>
      <c r="AD1006" s="813" t="s">
        <v>106</v>
      </c>
      <c r="AE1006" s="813" t="s">
        <v>106</v>
      </c>
      <c r="AF1006" s="813" t="s">
        <v>106</v>
      </c>
      <c r="AG1006" s="813" t="s">
        <v>106</v>
      </c>
      <c r="AH1006" s="813" t="s">
        <v>106</v>
      </c>
      <c r="AI1006" s="813" t="s">
        <v>106</v>
      </c>
      <c r="AJ1006" s="813" t="s">
        <v>106</v>
      </c>
      <c r="AK1006" s="813" t="s">
        <v>106</v>
      </c>
      <c r="AL1006" s="813" t="s">
        <v>106</v>
      </c>
    </row>
    <row r="1007" spans="1:38" s="792" customFormat="1" ht="12.6">
      <c r="A1007" s="989" t="s">
        <v>249</v>
      </c>
      <c r="B1007" s="791"/>
      <c r="C1007" s="791"/>
      <c r="D1007" s="791"/>
      <c r="E1007" s="791"/>
      <c r="F1007" s="790"/>
      <c r="G1007" s="790"/>
      <c r="H1007" s="790"/>
      <c r="I1007" s="790"/>
      <c r="J1007" s="790"/>
      <c r="K1007" s="790"/>
      <c r="L1007" s="790"/>
      <c r="M1007" s="790"/>
      <c r="N1007" s="790"/>
      <c r="O1007" s="790"/>
      <c r="P1007" s="790"/>
      <c r="Q1007" s="790"/>
      <c r="R1007" s="790"/>
      <c r="S1007" s="790"/>
      <c r="T1007" s="790"/>
      <c r="U1007" s="790"/>
      <c r="V1007" s="790"/>
      <c r="W1007" s="790"/>
      <c r="X1007" s="790"/>
      <c r="Y1007" s="790"/>
      <c r="Z1007" s="790"/>
      <c r="AA1007" s="790"/>
      <c r="AB1007" s="790"/>
      <c r="AC1007" s="790"/>
      <c r="AD1007" s="790"/>
      <c r="AE1007" s="790"/>
      <c r="AF1007" s="790"/>
      <c r="AG1007" s="790"/>
      <c r="AH1007" s="790"/>
      <c r="AI1007" s="790"/>
      <c r="AJ1007" s="790"/>
      <c r="AK1007" s="790"/>
      <c r="AL1007" s="790"/>
    </row>
    <row r="1008" spans="1:38" ht="12.6">
      <c r="A1008" s="990" t="s">
        <v>1110</v>
      </c>
      <c r="B1008" s="991" t="s">
        <v>1111</v>
      </c>
      <c r="C1008" s="991" t="s">
        <v>1058</v>
      </c>
      <c r="D1008" s="991" t="s">
        <v>129</v>
      </c>
      <c r="E1008" s="991"/>
      <c r="F1008" s="813" t="s">
        <v>106</v>
      </c>
      <c r="G1008" s="813" t="s">
        <v>106</v>
      </c>
      <c r="H1008" s="813" t="s">
        <v>106</v>
      </c>
      <c r="I1008" s="813" t="s">
        <v>106</v>
      </c>
      <c r="J1008" s="813" t="s">
        <v>106</v>
      </c>
      <c r="K1008" s="813" t="s">
        <v>106</v>
      </c>
      <c r="L1008" s="813" t="s">
        <v>106</v>
      </c>
      <c r="M1008" s="813" t="s">
        <v>106</v>
      </c>
      <c r="N1008" s="813" t="s">
        <v>106</v>
      </c>
      <c r="O1008" s="813" t="s">
        <v>106</v>
      </c>
      <c r="P1008" s="813" t="s">
        <v>106</v>
      </c>
      <c r="Q1008" s="813" t="s">
        <v>106</v>
      </c>
      <c r="R1008" s="813" t="s">
        <v>106</v>
      </c>
      <c r="S1008" s="813" t="s">
        <v>106</v>
      </c>
      <c r="T1008" s="813" t="s">
        <v>106</v>
      </c>
      <c r="U1008" s="813" t="s">
        <v>106</v>
      </c>
      <c r="V1008" s="813" t="s">
        <v>106</v>
      </c>
      <c r="W1008" s="813" t="s">
        <v>106</v>
      </c>
      <c r="X1008" s="813" t="s">
        <v>106</v>
      </c>
      <c r="Y1008" s="813" t="s">
        <v>106</v>
      </c>
      <c r="Z1008" s="813" t="s">
        <v>106</v>
      </c>
      <c r="AA1008" s="813" t="s">
        <v>106</v>
      </c>
      <c r="AB1008" s="813" t="s">
        <v>106</v>
      </c>
      <c r="AC1008" s="813" t="s">
        <v>106</v>
      </c>
      <c r="AD1008" s="813" t="s">
        <v>106</v>
      </c>
      <c r="AE1008" s="813" t="s">
        <v>106</v>
      </c>
      <c r="AF1008" s="813" t="s">
        <v>106</v>
      </c>
      <c r="AG1008" s="813" t="s">
        <v>106</v>
      </c>
      <c r="AH1008" s="813" t="s">
        <v>106</v>
      </c>
      <c r="AI1008" s="813" t="s">
        <v>106</v>
      </c>
      <c r="AJ1008" s="813" t="s">
        <v>106</v>
      </c>
      <c r="AK1008" s="813" t="s">
        <v>106</v>
      </c>
      <c r="AL1008" s="813" t="s">
        <v>106</v>
      </c>
    </row>
    <row r="1009" spans="1:38" ht="12.95" thickBot="1">
      <c r="A1009" s="993" t="s">
        <v>1112</v>
      </c>
      <c r="B1009" s="994" t="s">
        <v>1111</v>
      </c>
      <c r="C1009" s="994" t="s">
        <v>1062</v>
      </c>
      <c r="D1009" s="994" t="s">
        <v>129</v>
      </c>
      <c r="E1009" s="994"/>
      <c r="F1009" s="331" t="s">
        <v>106</v>
      </c>
      <c r="G1009" s="331" t="s">
        <v>106</v>
      </c>
      <c r="H1009" s="331" t="s">
        <v>106</v>
      </c>
      <c r="I1009" s="331" t="s">
        <v>106</v>
      </c>
      <c r="J1009" s="331" t="s">
        <v>106</v>
      </c>
      <c r="K1009" s="331" t="s">
        <v>106</v>
      </c>
      <c r="L1009" s="331" t="s">
        <v>106</v>
      </c>
      <c r="M1009" s="331" t="s">
        <v>106</v>
      </c>
      <c r="N1009" s="331" t="s">
        <v>106</v>
      </c>
      <c r="O1009" s="331" t="s">
        <v>106</v>
      </c>
      <c r="P1009" s="331" t="s">
        <v>106</v>
      </c>
      <c r="Q1009" s="331" t="s">
        <v>106</v>
      </c>
      <c r="R1009" s="331" t="s">
        <v>106</v>
      </c>
      <c r="S1009" s="331" t="s">
        <v>106</v>
      </c>
      <c r="T1009" s="331" t="s">
        <v>106</v>
      </c>
      <c r="U1009" s="331" t="s">
        <v>106</v>
      </c>
      <c r="V1009" s="331" t="s">
        <v>106</v>
      </c>
      <c r="W1009" s="331" t="s">
        <v>106</v>
      </c>
      <c r="X1009" s="331" t="s">
        <v>106</v>
      </c>
      <c r="Y1009" s="331" t="s">
        <v>106</v>
      </c>
      <c r="Z1009" s="331" t="s">
        <v>106</v>
      </c>
      <c r="AA1009" s="331" t="s">
        <v>106</v>
      </c>
      <c r="AB1009" s="331" t="s">
        <v>106</v>
      </c>
      <c r="AC1009" s="331" t="s">
        <v>106</v>
      </c>
      <c r="AD1009" s="331" t="s">
        <v>106</v>
      </c>
      <c r="AE1009" s="331" t="s">
        <v>106</v>
      </c>
      <c r="AF1009" s="331" t="s">
        <v>106</v>
      </c>
      <c r="AG1009" s="331" t="s">
        <v>106</v>
      </c>
      <c r="AH1009" s="331" t="s">
        <v>106</v>
      </c>
      <c r="AI1009" s="331" t="s">
        <v>106</v>
      </c>
      <c r="AJ1009" s="331" t="s">
        <v>106</v>
      </c>
      <c r="AK1009" s="331" t="s">
        <v>106</v>
      </c>
      <c r="AL1009" s="331" t="s">
        <v>106</v>
      </c>
    </row>
    <row r="1010" spans="1:38" s="797" customFormat="1" ht="12.95">
      <c r="A1010" s="796" t="s">
        <v>255</v>
      </c>
      <c r="B1010" s="796"/>
      <c r="C1010" s="796"/>
      <c r="D1010" s="796"/>
      <c r="E1010" s="796"/>
      <c r="F1010" s="795"/>
      <c r="G1010" s="795"/>
      <c r="H1010" s="795"/>
      <c r="I1010" s="795"/>
      <c r="J1010" s="795"/>
      <c r="K1010" s="795"/>
      <c r="L1010" s="795"/>
      <c r="M1010" s="795"/>
      <c r="N1010" s="795"/>
      <c r="O1010" s="795"/>
      <c r="P1010" s="795"/>
      <c r="Q1010" s="795"/>
      <c r="R1010" s="795"/>
      <c r="S1010" s="795"/>
      <c r="T1010" s="795"/>
      <c r="U1010" s="795"/>
      <c r="V1010" s="795"/>
      <c r="W1010" s="795"/>
      <c r="X1010" s="795"/>
      <c r="Y1010" s="795"/>
      <c r="Z1010" s="795"/>
      <c r="AA1010" s="795"/>
      <c r="AB1010" s="795"/>
      <c r="AC1010" s="795"/>
      <c r="AD1010" s="795"/>
      <c r="AE1010" s="795"/>
      <c r="AF1010" s="795"/>
      <c r="AG1010" s="795"/>
      <c r="AH1010" s="795"/>
      <c r="AI1010" s="795"/>
      <c r="AJ1010" s="795"/>
      <c r="AK1010" s="795"/>
      <c r="AL1010" s="795"/>
    </row>
    <row r="1011" spans="1:38" s="792" customFormat="1" ht="14.25" customHeight="1">
      <c r="A1011" s="992" t="s">
        <v>1113</v>
      </c>
      <c r="B1011" s="791"/>
      <c r="C1011" s="791"/>
      <c r="D1011" s="791"/>
      <c r="E1011" s="791"/>
      <c r="F1011" s="790"/>
      <c r="G1011" s="790"/>
      <c r="H1011" s="790"/>
      <c r="I1011" s="790"/>
      <c r="J1011" s="790"/>
      <c r="K1011" s="790"/>
      <c r="L1011" s="790"/>
      <c r="M1011" s="790"/>
      <c r="N1011" s="790"/>
      <c r="O1011" s="790"/>
      <c r="P1011" s="790"/>
      <c r="Q1011" s="790"/>
      <c r="R1011" s="790"/>
      <c r="S1011" s="790"/>
      <c r="T1011" s="790"/>
      <c r="U1011" s="790"/>
      <c r="V1011" s="790"/>
      <c r="W1011" s="790"/>
      <c r="X1011" s="790"/>
      <c r="Y1011" s="790"/>
      <c r="Z1011" s="790"/>
      <c r="AA1011" s="790"/>
      <c r="AB1011" s="790"/>
      <c r="AC1011" s="790"/>
      <c r="AD1011" s="790"/>
      <c r="AE1011" s="790"/>
      <c r="AF1011" s="790"/>
      <c r="AG1011" s="790"/>
      <c r="AH1011" s="790"/>
      <c r="AI1011" s="790"/>
      <c r="AJ1011" s="790"/>
      <c r="AK1011" s="790"/>
      <c r="AL1011" s="790"/>
    </row>
    <row r="1012" spans="1:38" s="792" customFormat="1" ht="14.25" customHeight="1">
      <c r="A1012" s="989" t="s">
        <v>1114</v>
      </c>
      <c r="B1012" s="791"/>
      <c r="C1012" s="791"/>
      <c r="D1012" s="791"/>
      <c r="E1012" s="791"/>
      <c r="F1012" s="790"/>
      <c r="G1012" s="790"/>
      <c r="H1012" s="790"/>
      <c r="I1012" s="790"/>
      <c r="J1012" s="790"/>
      <c r="K1012" s="790"/>
      <c r="L1012" s="790"/>
      <c r="M1012" s="790"/>
      <c r="N1012" s="790"/>
      <c r="O1012" s="790"/>
      <c r="P1012" s="790"/>
      <c r="Q1012" s="790"/>
      <c r="R1012" s="790"/>
      <c r="S1012" s="790"/>
      <c r="T1012" s="790"/>
      <c r="U1012" s="790"/>
      <c r="V1012" s="790"/>
      <c r="W1012" s="790"/>
      <c r="X1012" s="790"/>
      <c r="Y1012" s="790"/>
      <c r="Z1012" s="790"/>
      <c r="AA1012" s="790"/>
      <c r="AB1012" s="790"/>
      <c r="AC1012" s="790"/>
      <c r="AD1012" s="790"/>
      <c r="AE1012" s="790"/>
      <c r="AF1012" s="790"/>
      <c r="AG1012" s="790"/>
      <c r="AH1012" s="790"/>
      <c r="AI1012" s="790"/>
      <c r="AJ1012" s="790"/>
      <c r="AK1012" s="790"/>
      <c r="AL1012" s="790"/>
    </row>
    <row r="1013" spans="1:38" ht="12.6">
      <c r="A1013" s="990" t="s">
        <v>1115</v>
      </c>
      <c r="B1013" s="991" t="s">
        <v>1116</v>
      </c>
      <c r="C1013" s="991" t="s">
        <v>1058</v>
      </c>
      <c r="D1013" s="991" t="s">
        <v>129</v>
      </c>
      <c r="E1013" s="991"/>
      <c r="F1013" s="813" t="s">
        <v>1059</v>
      </c>
      <c r="G1013" s="813" t="s">
        <v>1059</v>
      </c>
      <c r="H1013" s="813" t="s">
        <v>1059</v>
      </c>
      <c r="I1013" s="813" t="s">
        <v>1059</v>
      </c>
      <c r="J1013" s="813" t="s">
        <v>1059</v>
      </c>
      <c r="K1013" s="813" t="s">
        <v>1059</v>
      </c>
      <c r="L1013" s="813" t="s">
        <v>1059</v>
      </c>
      <c r="M1013" s="813" t="s">
        <v>1059</v>
      </c>
      <c r="N1013" s="813" t="s">
        <v>1059</v>
      </c>
      <c r="O1013" s="813" t="s">
        <v>1059</v>
      </c>
      <c r="P1013" s="813" t="s">
        <v>1059</v>
      </c>
      <c r="Q1013" s="813" t="s">
        <v>1059</v>
      </c>
      <c r="R1013" s="813" t="s">
        <v>1059</v>
      </c>
      <c r="S1013" s="813" t="s">
        <v>1059</v>
      </c>
      <c r="T1013" s="813" t="s">
        <v>1059</v>
      </c>
      <c r="U1013" s="813" t="s">
        <v>1059</v>
      </c>
      <c r="V1013" s="813" t="s">
        <v>1059</v>
      </c>
      <c r="W1013" s="813" t="s">
        <v>1059</v>
      </c>
      <c r="X1013" s="813" t="s">
        <v>1059</v>
      </c>
      <c r="Y1013" s="813" t="s">
        <v>1059</v>
      </c>
      <c r="Z1013" s="813" t="s">
        <v>1059</v>
      </c>
      <c r="AA1013" s="813" t="s">
        <v>1059</v>
      </c>
      <c r="AB1013" s="813" t="s">
        <v>1059</v>
      </c>
      <c r="AC1013" s="813" t="s">
        <v>1059</v>
      </c>
      <c r="AD1013" s="813" t="s">
        <v>1059</v>
      </c>
      <c r="AE1013" s="813" t="s">
        <v>1059</v>
      </c>
      <c r="AF1013" s="813" t="s">
        <v>1059</v>
      </c>
      <c r="AG1013" s="813" t="s">
        <v>1059</v>
      </c>
      <c r="AH1013" s="813" t="s">
        <v>1059</v>
      </c>
      <c r="AI1013" s="813" t="s">
        <v>1059</v>
      </c>
      <c r="AJ1013" s="813" t="s">
        <v>1059</v>
      </c>
      <c r="AK1013" s="813" t="s">
        <v>1059</v>
      </c>
      <c r="AL1013" s="813" t="s">
        <v>1060</v>
      </c>
    </row>
    <row r="1014" spans="1:38" ht="12.6">
      <c r="A1014" s="990" t="s">
        <v>1117</v>
      </c>
      <c r="B1014" s="991" t="s">
        <v>1116</v>
      </c>
      <c r="C1014" s="991" t="s">
        <v>1062</v>
      </c>
      <c r="D1014" s="991" t="s">
        <v>129</v>
      </c>
      <c r="E1014" s="991"/>
      <c r="F1014" s="813" t="s">
        <v>1063</v>
      </c>
      <c r="G1014" s="813" t="s">
        <v>1063</v>
      </c>
      <c r="H1014" s="813" t="s">
        <v>1063</v>
      </c>
      <c r="I1014" s="813" t="s">
        <v>1063</v>
      </c>
      <c r="J1014" s="813" t="s">
        <v>1063</v>
      </c>
      <c r="K1014" s="813" t="s">
        <v>1063</v>
      </c>
      <c r="L1014" s="813" t="s">
        <v>1063</v>
      </c>
      <c r="M1014" s="813" t="s">
        <v>1063</v>
      </c>
      <c r="N1014" s="813" t="s">
        <v>1063</v>
      </c>
      <c r="O1014" s="813" t="s">
        <v>1063</v>
      </c>
      <c r="P1014" s="813" t="s">
        <v>1063</v>
      </c>
      <c r="Q1014" s="813" t="s">
        <v>1063</v>
      </c>
      <c r="R1014" s="813" t="s">
        <v>1063</v>
      </c>
      <c r="S1014" s="813" t="s">
        <v>1063</v>
      </c>
      <c r="T1014" s="813" t="s">
        <v>1063</v>
      </c>
      <c r="U1014" s="813" t="s">
        <v>1063</v>
      </c>
      <c r="V1014" s="813" t="s">
        <v>1063</v>
      </c>
      <c r="W1014" s="813" t="s">
        <v>1063</v>
      </c>
      <c r="X1014" s="813" t="s">
        <v>1063</v>
      </c>
      <c r="Y1014" s="813" t="s">
        <v>1063</v>
      </c>
      <c r="Z1014" s="813" t="s">
        <v>1063</v>
      </c>
      <c r="AA1014" s="813" t="s">
        <v>1063</v>
      </c>
      <c r="AB1014" s="813" t="s">
        <v>1063</v>
      </c>
      <c r="AC1014" s="813" t="s">
        <v>1063</v>
      </c>
      <c r="AD1014" s="813" t="s">
        <v>1063</v>
      </c>
      <c r="AE1014" s="813" t="s">
        <v>1063</v>
      </c>
      <c r="AF1014" s="813" t="s">
        <v>1063</v>
      </c>
      <c r="AG1014" s="813" t="s">
        <v>1063</v>
      </c>
      <c r="AH1014" s="813" t="s">
        <v>1063</v>
      </c>
      <c r="AI1014" s="813" t="s">
        <v>1063</v>
      </c>
      <c r="AJ1014" s="813" t="s">
        <v>1063</v>
      </c>
      <c r="AK1014" s="813" t="s">
        <v>1063</v>
      </c>
      <c r="AL1014" s="813" t="s">
        <v>1063</v>
      </c>
    </row>
    <row r="1015" spans="1:38" s="792" customFormat="1" ht="14.25" customHeight="1">
      <c r="A1015" s="989" t="s">
        <v>1118</v>
      </c>
      <c r="B1015" s="791"/>
      <c r="C1015" s="791"/>
      <c r="D1015" s="791"/>
      <c r="E1015" s="791"/>
      <c r="F1015" s="790"/>
      <c r="G1015" s="790"/>
      <c r="H1015" s="790"/>
      <c r="I1015" s="790"/>
      <c r="J1015" s="790"/>
      <c r="K1015" s="790"/>
      <c r="L1015" s="790"/>
      <c r="M1015" s="790"/>
      <c r="N1015" s="790"/>
      <c r="O1015" s="790"/>
      <c r="P1015" s="790"/>
      <c r="Q1015" s="790"/>
      <c r="R1015" s="790"/>
      <c r="S1015" s="790"/>
      <c r="T1015" s="790"/>
      <c r="U1015" s="790"/>
      <c r="V1015" s="790"/>
      <c r="W1015" s="790"/>
      <c r="X1015" s="790"/>
      <c r="Y1015" s="790"/>
      <c r="Z1015" s="790"/>
      <c r="AA1015" s="790"/>
      <c r="AB1015" s="790"/>
      <c r="AC1015" s="790"/>
      <c r="AD1015" s="790"/>
      <c r="AE1015" s="790"/>
      <c r="AF1015" s="790"/>
      <c r="AG1015" s="790"/>
      <c r="AH1015" s="790"/>
      <c r="AI1015" s="790"/>
      <c r="AJ1015" s="790"/>
      <c r="AK1015" s="790"/>
      <c r="AL1015" s="790"/>
    </row>
    <row r="1016" spans="1:38" ht="12.6">
      <c r="A1016" s="990" t="s">
        <v>1119</v>
      </c>
      <c r="B1016" s="991" t="s">
        <v>1120</v>
      </c>
      <c r="C1016" s="991" t="s">
        <v>1058</v>
      </c>
      <c r="D1016" s="991" t="s">
        <v>129</v>
      </c>
      <c r="E1016" s="991"/>
      <c r="F1016" s="813" t="s">
        <v>1059</v>
      </c>
      <c r="G1016" s="813" t="s">
        <v>1059</v>
      </c>
      <c r="H1016" s="813" t="s">
        <v>1059</v>
      </c>
      <c r="I1016" s="813" t="s">
        <v>1059</v>
      </c>
      <c r="J1016" s="813" t="s">
        <v>1059</v>
      </c>
      <c r="K1016" s="813" t="s">
        <v>1059</v>
      </c>
      <c r="L1016" s="813" t="s">
        <v>1059</v>
      </c>
      <c r="M1016" s="813" t="s">
        <v>1059</v>
      </c>
      <c r="N1016" s="813" t="s">
        <v>1059</v>
      </c>
      <c r="O1016" s="813" t="s">
        <v>1059</v>
      </c>
      <c r="P1016" s="813" t="s">
        <v>1059</v>
      </c>
      <c r="Q1016" s="813" t="s">
        <v>1059</v>
      </c>
      <c r="R1016" s="813" t="s">
        <v>1059</v>
      </c>
      <c r="S1016" s="813" t="s">
        <v>1059</v>
      </c>
      <c r="T1016" s="813" t="s">
        <v>1059</v>
      </c>
      <c r="U1016" s="813" t="s">
        <v>1059</v>
      </c>
      <c r="V1016" s="813" t="s">
        <v>1059</v>
      </c>
      <c r="W1016" s="813" t="s">
        <v>1059</v>
      </c>
      <c r="X1016" s="813" t="s">
        <v>1059</v>
      </c>
      <c r="Y1016" s="813" t="s">
        <v>1059</v>
      </c>
      <c r="Z1016" s="813" t="s">
        <v>1059</v>
      </c>
      <c r="AA1016" s="813" t="s">
        <v>1059</v>
      </c>
      <c r="AB1016" s="813" t="s">
        <v>1059</v>
      </c>
      <c r="AC1016" s="813" t="s">
        <v>1059</v>
      </c>
      <c r="AD1016" s="813" t="s">
        <v>1059</v>
      </c>
      <c r="AE1016" s="813" t="s">
        <v>1059</v>
      </c>
      <c r="AF1016" s="813" t="s">
        <v>1059</v>
      </c>
      <c r="AG1016" s="813" t="s">
        <v>1059</v>
      </c>
      <c r="AH1016" s="813" t="s">
        <v>1059</v>
      </c>
      <c r="AI1016" s="813" t="s">
        <v>1059</v>
      </c>
      <c r="AJ1016" s="813" t="s">
        <v>1059</v>
      </c>
      <c r="AK1016" s="813" t="s">
        <v>1059</v>
      </c>
      <c r="AL1016" s="813" t="s">
        <v>1060</v>
      </c>
    </row>
    <row r="1017" spans="1:38" ht="12.6">
      <c r="A1017" s="990" t="s">
        <v>1121</v>
      </c>
      <c r="B1017" s="991" t="s">
        <v>1120</v>
      </c>
      <c r="C1017" s="991" t="s">
        <v>1062</v>
      </c>
      <c r="D1017" s="991" t="s">
        <v>129</v>
      </c>
      <c r="E1017" s="991"/>
      <c r="F1017" s="813" t="s">
        <v>1063</v>
      </c>
      <c r="G1017" s="813" t="s">
        <v>1063</v>
      </c>
      <c r="H1017" s="813" t="s">
        <v>1063</v>
      </c>
      <c r="I1017" s="813" t="s">
        <v>1063</v>
      </c>
      <c r="J1017" s="813" t="s">
        <v>1063</v>
      </c>
      <c r="K1017" s="813" t="s">
        <v>1063</v>
      </c>
      <c r="L1017" s="813" t="s">
        <v>1063</v>
      </c>
      <c r="M1017" s="813" t="s">
        <v>1063</v>
      </c>
      <c r="N1017" s="813" t="s">
        <v>1063</v>
      </c>
      <c r="O1017" s="813" t="s">
        <v>1063</v>
      </c>
      <c r="P1017" s="813" t="s">
        <v>1063</v>
      </c>
      <c r="Q1017" s="813" t="s">
        <v>1063</v>
      </c>
      <c r="R1017" s="813" t="s">
        <v>1063</v>
      </c>
      <c r="S1017" s="813" t="s">
        <v>1063</v>
      </c>
      <c r="T1017" s="813" t="s">
        <v>1063</v>
      </c>
      <c r="U1017" s="813" t="s">
        <v>1063</v>
      </c>
      <c r="V1017" s="813" t="s">
        <v>1063</v>
      </c>
      <c r="W1017" s="813" t="s">
        <v>1063</v>
      </c>
      <c r="X1017" s="813" t="s">
        <v>1063</v>
      </c>
      <c r="Y1017" s="813" t="s">
        <v>1063</v>
      </c>
      <c r="Z1017" s="813" t="s">
        <v>1063</v>
      </c>
      <c r="AA1017" s="813" t="s">
        <v>1063</v>
      </c>
      <c r="AB1017" s="813" t="s">
        <v>1063</v>
      </c>
      <c r="AC1017" s="813" t="s">
        <v>1063</v>
      </c>
      <c r="AD1017" s="813" t="s">
        <v>1063</v>
      </c>
      <c r="AE1017" s="813" t="s">
        <v>1063</v>
      </c>
      <c r="AF1017" s="813" t="s">
        <v>1063</v>
      </c>
      <c r="AG1017" s="813" t="s">
        <v>1063</v>
      </c>
      <c r="AH1017" s="813" t="s">
        <v>1063</v>
      </c>
      <c r="AI1017" s="813" t="s">
        <v>1063</v>
      </c>
      <c r="AJ1017" s="813" t="s">
        <v>1063</v>
      </c>
      <c r="AK1017" s="813" t="s">
        <v>1063</v>
      </c>
      <c r="AL1017" s="813" t="s">
        <v>1063</v>
      </c>
    </row>
    <row r="1018" spans="1:38" s="792" customFormat="1" ht="14.25" customHeight="1">
      <c r="A1018" s="989" t="s">
        <v>1122</v>
      </c>
      <c r="B1018" s="791"/>
      <c r="C1018" s="791"/>
      <c r="D1018" s="791"/>
      <c r="E1018" s="791"/>
      <c r="F1018" s="790"/>
      <c r="G1018" s="790"/>
      <c r="H1018" s="790"/>
      <c r="I1018" s="790"/>
      <c r="J1018" s="790"/>
      <c r="K1018" s="790"/>
      <c r="L1018" s="790"/>
      <c r="M1018" s="790"/>
      <c r="N1018" s="790"/>
      <c r="O1018" s="790"/>
      <c r="P1018" s="790"/>
      <c r="Q1018" s="790"/>
      <c r="R1018" s="790"/>
      <c r="S1018" s="790"/>
      <c r="T1018" s="790"/>
      <c r="U1018" s="790"/>
      <c r="V1018" s="790"/>
      <c r="W1018" s="790"/>
      <c r="X1018" s="790"/>
      <c r="Y1018" s="790"/>
      <c r="Z1018" s="790"/>
      <c r="AA1018" s="790"/>
      <c r="AB1018" s="790"/>
      <c r="AC1018" s="790"/>
      <c r="AD1018" s="790"/>
      <c r="AE1018" s="790"/>
      <c r="AF1018" s="790"/>
      <c r="AG1018" s="790"/>
      <c r="AH1018" s="790"/>
      <c r="AI1018" s="790"/>
      <c r="AJ1018" s="790"/>
      <c r="AK1018" s="790"/>
      <c r="AL1018" s="790"/>
    </row>
    <row r="1019" spans="1:38" ht="12.6">
      <c r="A1019" s="990" t="s">
        <v>1123</v>
      </c>
      <c r="B1019" s="991" t="s">
        <v>1124</v>
      </c>
      <c r="C1019" s="991" t="s">
        <v>1058</v>
      </c>
      <c r="D1019" s="991" t="s">
        <v>129</v>
      </c>
      <c r="E1019" s="991"/>
      <c r="F1019" s="813" t="s">
        <v>1059</v>
      </c>
      <c r="G1019" s="813" t="s">
        <v>1059</v>
      </c>
      <c r="H1019" s="813" t="s">
        <v>1059</v>
      </c>
      <c r="I1019" s="813" t="s">
        <v>1059</v>
      </c>
      <c r="J1019" s="813" t="s">
        <v>1059</v>
      </c>
      <c r="K1019" s="813" t="s">
        <v>1059</v>
      </c>
      <c r="L1019" s="813" t="s">
        <v>1059</v>
      </c>
      <c r="M1019" s="813" t="s">
        <v>1059</v>
      </c>
      <c r="N1019" s="813" t="s">
        <v>1059</v>
      </c>
      <c r="O1019" s="813" t="s">
        <v>1059</v>
      </c>
      <c r="P1019" s="813" t="s">
        <v>1059</v>
      </c>
      <c r="Q1019" s="813" t="s">
        <v>1059</v>
      </c>
      <c r="R1019" s="813" t="s">
        <v>1059</v>
      </c>
      <c r="S1019" s="813" t="s">
        <v>1059</v>
      </c>
      <c r="T1019" s="813" t="s">
        <v>1059</v>
      </c>
      <c r="U1019" s="813" t="s">
        <v>1059</v>
      </c>
      <c r="V1019" s="813" t="s">
        <v>1059</v>
      </c>
      <c r="W1019" s="813" t="s">
        <v>1059</v>
      </c>
      <c r="X1019" s="813" t="s">
        <v>1059</v>
      </c>
      <c r="Y1019" s="813" t="s">
        <v>1059</v>
      </c>
      <c r="Z1019" s="813" t="s">
        <v>1059</v>
      </c>
      <c r="AA1019" s="813" t="s">
        <v>1059</v>
      </c>
      <c r="AB1019" s="813" t="s">
        <v>1059</v>
      </c>
      <c r="AC1019" s="813" t="s">
        <v>1059</v>
      </c>
      <c r="AD1019" s="813" t="s">
        <v>1059</v>
      </c>
      <c r="AE1019" s="813" t="s">
        <v>1059</v>
      </c>
      <c r="AF1019" s="813" t="s">
        <v>1059</v>
      </c>
      <c r="AG1019" s="813" t="s">
        <v>1059</v>
      </c>
      <c r="AH1019" s="813" t="s">
        <v>1059</v>
      </c>
      <c r="AI1019" s="813" t="s">
        <v>1059</v>
      </c>
      <c r="AJ1019" s="813" t="s">
        <v>1059</v>
      </c>
      <c r="AK1019" s="813" t="s">
        <v>1059</v>
      </c>
      <c r="AL1019" s="813" t="s">
        <v>1060</v>
      </c>
    </row>
    <row r="1020" spans="1:38" ht="12.6">
      <c r="A1020" s="990" t="s">
        <v>1125</v>
      </c>
      <c r="B1020" s="991" t="s">
        <v>1124</v>
      </c>
      <c r="C1020" s="991" t="s">
        <v>1062</v>
      </c>
      <c r="D1020" s="991" t="s">
        <v>129</v>
      </c>
      <c r="E1020" s="991"/>
      <c r="F1020" s="813" t="s">
        <v>1063</v>
      </c>
      <c r="G1020" s="813" t="s">
        <v>1063</v>
      </c>
      <c r="H1020" s="813" t="s">
        <v>1063</v>
      </c>
      <c r="I1020" s="813" t="s">
        <v>1063</v>
      </c>
      <c r="J1020" s="813" t="s">
        <v>1063</v>
      </c>
      <c r="K1020" s="813" t="s">
        <v>1063</v>
      </c>
      <c r="L1020" s="813" t="s">
        <v>1063</v>
      </c>
      <c r="M1020" s="813" t="s">
        <v>1063</v>
      </c>
      <c r="N1020" s="813" t="s">
        <v>1063</v>
      </c>
      <c r="O1020" s="813" t="s">
        <v>1063</v>
      </c>
      <c r="P1020" s="813" t="s">
        <v>1063</v>
      </c>
      <c r="Q1020" s="813" t="s">
        <v>1063</v>
      </c>
      <c r="R1020" s="813" t="s">
        <v>1063</v>
      </c>
      <c r="S1020" s="813" t="s">
        <v>1063</v>
      </c>
      <c r="T1020" s="813" t="s">
        <v>1063</v>
      </c>
      <c r="U1020" s="813" t="s">
        <v>1063</v>
      </c>
      <c r="V1020" s="813" t="s">
        <v>1063</v>
      </c>
      <c r="W1020" s="813" t="s">
        <v>1063</v>
      </c>
      <c r="X1020" s="813" t="s">
        <v>1063</v>
      </c>
      <c r="Y1020" s="813" t="s">
        <v>1063</v>
      </c>
      <c r="Z1020" s="813" t="s">
        <v>1063</v>
      </c>
      <c r="AA1020" s="813" t="s">
        <v>1063</v>
      </c>
      <c r="AB1020" s="813" t="s">
        <v>1063</v>
      </c>
      <c r="AC1020" s="813" t="s">
        <v>1063</v>
      </c>
      <c r="AD1020" s="813" t="s">
        <v>1063</v>
      </c>
      <c r="AE1020" s="813" t="s">
        <v>1063</v>
      </c>
      <c r="AF1020" s="813" t="s">
        <v>1063</v>
      </c>
      <c r="AG1020" s="813" t="s">
        <v>1063</v>
      </c>
      <c r="AH1020" s="813" t="s">
        <v>1063</v>
      </c>
      <c r="AI1020" s="813" t="s">
        <v>1063</v>
      </c>
      <c r="AJ1020" s="813" t="s">
        <v>1063</v>
      </c>
      <c r="AK1020" s="813" t="s">
        <v>1063</v>
      </c>
      <c r="AL1020" s="813" t="s">
        <v>1063</v>
      </c>
    </row>
    <row r="1021" spans="1:38" s="792" customFormat="1" ht="14.25" customHeight="1">
      <c r="A1021" s="989" t="s">
        <v>1126</v>
      </c>
      <c r="B1021" s="791"/>
      <c r="C1021" s="791"/>
      <c r="D1021" s="791"/>
      <c r="E1021" s="791"/>
      <c r="F1021" s="790"/>
      <c r="G1021" s="790"/>
      <c r="H1021" s="790"/>
      <c r="I1021" s="790"/>
      <c r="J1021" s="790"/>
      <c r="K1021" s="790"/>
      <c r="L1021" s="790"/>
      <c r="M1021" s="790"/>
      <c r="N1021" s="790"/>
      <c r="O1021" s="790"/>
      <c r="P1021" s="790"/>
      <c r="Q1021" s="790"/>
      <c r="R1021" s="790"/>
      <c r="S1021" s="790"/>
      <c r="T1021" s="790"/>
      <c r="U1021" s="790"/>
      <c r="V1021" s="790"/>
      <c r="W1021" s="790"/>
      <c r="X1021" s="790"/>
      <c r="Y1021" s="790"/>
      <c r="Z1021" s="790"/>
      <c r="AA1021" s="790"/>
      <c r="AB1021" s="790"/>
      <c r="AC1021" s="790"/>
      <c r="AD1021" s="790"/>
      <c r="AE1021" s="790"/>
      <c r="AF1021" s="790"/>
      <c r="AG1021" s="790"/>
      <c r="AH1021" s="790"/>
      <c r="AI1021" s="790"/>
      <c r="AJ1021" s="790"/>
      <c r="AK1021" s="790"/>
      <c r="AL1021" s="790"/>
    </row>
    <row r="1022" spans="1:38" ht="12.6">
      <c r="A1022" s="990" t="s">
        <v>1127</v>
      </c>
      <c r="B1022" s="991" t="s">
        <v>1128</v>
      </c>
      <c r="C1022" s="991" t="s">
        <v>1058</v>
      </c>
      <c r="D1022" s="991" t="s">
        <v>129</v>
      </c>
      <c r="E1022" s="991"/>
      <c r="F1022" s="813" t="s">
        <v>106</v>
      </c>
      <c r="G1022" s="813" t="s">
        <v>106</v>
      </c>
      <c r="H1022" s="813" t="s">
        <v>106</v>
      </c>
      <c r="I1022" s="813" t="s">
        <v>106</v>
      </c>
      <c r="J1022" s="813" t="s">
        <v>106</v>
      </c>
      <c r="K1022" s="813" t="s">
        <v>106</v>
      </c>
      <c r="L1022" s="813" t="s">
        <v>106</v>
      </c>
      <c r="M1022" s="813" t="s">
        <v>106</v>
      </c>
      <c r="N1022" s="813" t="s">
        <v>106</v>
      </c>
      <c r="O1022" s="813" t="s">
        <v>106</v>
      </c>
      <c r="P1022" s="813" t="s">
        <v>106</v>
      </c>
      <c r="Q1022" s="813" t="s">
        <v>106</v>
      </c>
      <c r="R1022" s="813" t="s">
        <v>106</v>
      </c>
      <c r="S1022" s="813" t="s">
        <v>106</v>
      </c>
      <c r="T1022" s="813" t="s">
        <v>106</v>
      </c>
      <c r="U1022" s="813" t="s">
        <v>106</v>
      </c>
      <c r="V1022" s="813" t="s">
        <v>106</v>
      </c>
      <c r="W1022" s="813" t="s">
        <v>106</v>
      </c>
      <c r="X1022" s="813" t="s">
        <v>106</v>
      </c>
      <c r="Y1022" s="813" t="s">
        <v>106</v>
      </c>
      <c r="Z1022" s="813" t="s">
        <v>106</v>
      </c>
      <c r="AA1022" s="813" t="s">
        <v>106</v>
      </c>
      <c r="AB1022" s="813" t="s">
        <v>106</v>
      </c>
      <c r="AC1022" s="813" t="s">
        <v>106</v>
      </c>
      <c r="AD1022" s="813" t="s">
        <v>106</v>
      </c>
      <c r="AE1022" s="813" t="s">
        <v>106</v>
      </c>
      <c r="AF1022" s="813" t="s">
        <v>106</v>
      </c>
      <c r="AG1022" s="813" t="s">
        <v>106</v>
      </c>
      <c r="AH1022" s="813" t="s">
        <v>106</v>
      </c>
      <c r="AI1022" s="813" t="s">
        <v>106</v>
      </c>
      <c r="AJ1022" s="813" t="s">
        <v>106</v>
      </c>
      <c r="AK1022" s="813" t="s">
        <v>106</v>
      </c>
      <c r="AL1022" s="813" t="s">
        <v>106</v>
      </c>
    </row>
    <row r="1023" spans="1:38" ht="12.6">
      <c r="A1023" s="990" t="s">
        <v>1129</v>
      </c>
      <c r="B1023" s="991" t="s">
        <v>1128</v>
      </c>
      <c r="C1023" s="991" t="s">
        <v>1062</v>
      </c>
      <c r="D1023" s="991" t="s">
        <v>129</v>
      </c>
      <c r="E1023" s="991"/>
      <c r="F1023" s="813" t="s">
        <v>106</v>
      </c>
      <c r="G1023" s="813" t="s">
        <v>106</v>
      </c>
      <c r="H1023" s="813" t="s">
        <v>106</v>
      </c>
      <c r="I1023" s="813" t="s">
        <v>106</v>
      </c>
      <c r="J1023" s="813" t="s">
        <v>106</v>
      </c>
      <c r="K1023" s="813" t="s">
        <v>106</v>
      </c>
      <c r="L1023" s="813" t="s">
        <v>106</v>
      </c>
      <c r="M1023" s="813" t="s">
        <v>106</v>
      </c>
      <c r="N1023" s="813" t="s">
        <v>106</v>
      </c>
      <c r="O1023" s="813" t="s">
        <v>106</v>
      </c>
      <c r="P1023" s="813" t="s">
        <v>106</v>
      </c>
      <c r="Q1023" s="813" t="s">
        <v>106</v>
      </c>
      <c r="R1023" s="813" t="s">
        <v>106</v>
      </c>
      <c r="S1023" s="813" t="s">
        <v>106</v>
      </c>
      <c r="T1023" s="813" t="s">
        <v>106</v>
      </c>
      <c r="U1023" s="813" t="s">
        <v>106</v>
      </c>
      <c r="V1023" s="813" t="s">
        <v>106</v>
      </c>
      <c r="W1023" s="813" t="s">
        <v>106</v>
      </c>
      <c r="X1023" s="813" t="s">
        <v>106</v>
      </c>
      <c r="Y1023" s="813" t="s">
        <v>106</v>
      </c>
      <c r="Z1023" s="813" t="s">
        <v>106</v>
      </c>
      <c r="AA1023" s="813" t="s">
        <v>106</v>
      </c>
      <c r="AB1023" s="813" t="s">
        <v>106</v>
      </c>
      <c r="AC1023" s="813" t="s">
        <v>106</v>
      </c>
      <c r="AD1023" s="813" t="s">
        <v>106</v>
      </c>
      <c r="AE1023" s="813" t="s">
        <v>106</v>
      </c>
      <c r="AF1023" s="813" t="s">
        <v>106</v>
      </c>
      <c r="AG1023" s="813" t="s">
        <v>106</v>
      </c>
      <c r="AH1023" s="813" t="s">
        <v>106</v>
      </c>
      <c r="AI1023" s="813" t="s">
        <v>106</v>
      </c>
      <c r="AJ1023" s="813" t="s">
        <v>106</v>
      </c>
      <c r="AK1023" s="813" t="s">
        <v>106</v>
      </c>
      <c r="AL1023" s="813" t="s">
        <v>106</v>
      </c>
    </row>
    <row r="1024" spans="1:38" s="792" customFormat="1" ht="14.25" customHeight="1">
      <c r="A1024" s="989" t="s">
        <v>1130</v>
      </c>
      <c r="B1024" s="791"/>
      <c r="C1024" s="791"/>
      <c r="D1024" s="791"/>
      <c r="E1024" s="791"/>
      <c r="F1024" s="790"/>
      <c r="G1024" s="790"/>
      <c r="H1024" s="790"/>
      <c r="I1024" s="790"/>
      <c r="J1024" s="790"/>
      <c r="K1024" s="790"/>
      <c r="L1024" s="790"/>
      <c r="M1024" s="790"/>
      <c r="N1024" s="790"/>
      <c r="O1024" s="790"/>
      <c r="P1024" s="790"/>
      <c r="Q1024" s="790"/>
      <c r="R1024" s="790"/>
      <c r="S1024" s="790"/>
      <c r="T1024" s="790"/>
      <c r="U1024" s="790"/>
      <c r="V1024" s="790"/>
      <c r="W1024" s="790"/>
      <c r="X1024" s="790"/>
      <c r="Y1024" s="790"/>
      <c r="Z1024" s="790"/>
      <c r="AA1024" s="790"/>
      <c r="AB1024" s="790"/>
      <c r="AC1024" s="790"/>
      <c r="AD1024" s="790"/>
      <c r="AE1024" s="790"/>
      <c r="AF1024" s="790"/>
      <c r="AG1024" s="790"/>
      <c r="AH1024" s="790"/>
      <c r="AI1024" s="790"/>
      <c r="AJ1024" s="790"/>
      <c r="AK1024" s="790"/>
      <c r="AL1024" s="790"/>
    </row>
    <row r="1025" spans="1:38" ht="12.6">
      <c r="A1025" s="990" t="s">
        <v>1131</v>
      </c>
      <c r="B1025" s="991" t="s">
        <v>1132</v>
      </c>
      <c r="C1025" s="991" t="s">
        <v>1058</v>
      </c>
      <c r="D1025" s="991" t="s">
        <v>129</v>
      </c>
      <c r="E1025" s="991"/>
      <c r="F1025" s="813" t="s">
        <v>106</v>
      </c>
      <c r="G1025" s="813" t="s">
        <v>106</v>
      </c>
      <c r="H1025" s="813" t="s">
        <v>106</v>
      </c>
      <c r="I1025" s="813" t="s">
        <v>106</v>
      </c>
      <c r="J1025" s="813" t="s">
        <v>106</v>
      </c>
      <c r="K1025" s="813" t="s">
        <v>106</v>
      </c>
      <c r="L1025" s="813" t="s">
        <v>106</v>
      </c>
      <c r="M1025" s="813" t="s">
        <v>106</v>
      </c>
      <c r="N1025" s="813" t="s">
        <v>106</v>
      </c>
      <c r="O1025" s="813" t="s">
        <v>106</v>
      </c>
      <c r="P1025" s="813" t="s">
        <v>106</v>
      </c>
      <c r="Q1025" s="813" t="s">
        <v>106</v>
      </c>
      <c r="R1025" s="813" t="s">
        <v>106</v>
      </c>
      <c r="S1025" s="813" t="s">
        <v>106</v>
      </c>
      <c r="T1025" s="813" t="s">
        <v>106</v>
      </c>
      <c r="U1025" s="813" t="s">
        <v>106</v>
      </c>
      <c r="V1025" s="813" t="s">
        <v>106</v>
      </c>
      <c r="W1025" s="813" t="s">
        <v>106</v>
      </c>
      <c r="X1025" s="813" t="s">
        <v>106</v>
      </c>
      <c r="Y1025" s="813" t="s">
        <v>106</v>
      </c>
      <c r="Z1025" s="813" t="s">
        <v>106</v>
      </c>
      <c r="AA1025" s="813" t="s">
        <v>106</v>
      </c>
      <c r="AB1025" s="813" t="s">
        <v>106</v>
      </c>
      <c r="AC1025" s="813" t="s">
        <v>106</v>
      </c>
      <c r="AD1025" s="813" t="s">
        <v>106</v>
      </c>
      <c r="AE1025" s="813" t="s">
        <v>106</v>
      </c>
      <c r="AF1025" s="813" t="s">
        <v>106</v>
      </c>
      <c r="AG1025" s="813" t="s">
        <v>106</v>
      </c>
      <c r="AH1025" s="813" t="s">
        <v>106</v>
      </c>
      <c r="AI1025" s="813" t="s">
        <v>106</v>
      </c>
      <c r="AJ1025" s="813" t="s">
        <v>106</v>
      </c>
      <c r="AK1025" s="813" t="s">
        <v>106</v>
      </c>
      <c r="AL1025" s="813" t="s">
        <v>106</v>
      </c>
    </row>
    <row r="1026" spans="1:38" ht="12.6">
      <c r="A1026" s="990" t="s">
        <v>1133</v>
      </c>
      <c r="B1026" s="991" t="s">
        <v>1132</v>
      </c>
      <c r="C1026" s="991" t="s">
        <v>1062</v>
      </c>
      <c r="D1026" s="991" t="s">
        <v>129</v>
      </c>
      <c r="E1026" s="991"/>
      <c r="F1026" s="813" t="s">
        <v>106</v>
      </c>
      <c r="G1026" s="813" t="s">
        <v>106</v>
      </c>
      <c r="H1026" s="813" t="s">
        <v>106</v>
      </c>
      <c r="I1026" s="813" t="s">
        <v>106</v>
      </c>
      <c r="J1026" s="813" t="s">
        <v>106</v>
      </c>
      <c r="K1026" s="813" t="s">
        <v>106</v>
      </c>
      <c r="L1026" s="813" t="s">
        <v>106</v>
      </c>
      <c r="M1026" s="813" t="s">
        <v>106</v>
      </c>
      <c r="N1026" s="813" t="s">
        <v>106</v>
      </c>
      <c r="O1026" s="813" t="s">
        <v>106</v>
      </c>
      <c r="P1026" s="813" t="s">
        <v>106</v>
      </c>
      <c r="Q1026" s="813" t="s">
        <v>106</v>
      </c>
      <c r="R1026" s="813" t="s">
        <v>106</v>
      </c>
      <c r="S1026" s="813" t="s">
        <v>106</v>
      </c>
      <c r="T1026" s="813" t="s">
        <v>106</v>
      </c>
      <c r="U1026" s="813" t="s">
        <v>106</v>
      </c>
      <c r="V1026" s="813" t="s">
        <v>106</v>
      </c>
      <c r="W1026" s="813" t="s">
        <v>106</v>
      </c>
      <c r="X1026" s="813" t="s">
        <v>106</v>
      </c>
      <c r="Y1026" s="813" t="s">
        <v>106</v>
      </c>
      <c r="Z1026" s="813" t="s">
        <v>106</v>
      </c>
      <c r="AA1026" s="813" t="s">
        <v>106</v>
      </c>
      <c r="AB1026" s="813" t="s">
        <v>106</v>
      </c>
      <c r="AC1026" s="813" t="s">
        <v>106</v>
      </c>
      <c r="AD1026" s="813" t="s">
        <v>106</v>
      </c>
      <c r="AE1026" s="813" t="s">
        <v>106</v>
      </c>
      <c r="AF1026" s="813" t="s">
        <v>106</v>
      </c>
      <c r="AG1026" s="813" t="s">
        <v>106</v>
      </c>
      <c r="AH1026" s="813" t="s">
        <v>106</v>
      </c>
      <c r="AI1026" s="813" t="s">
        <v>106</v>
      </c>
      <c r="AJ1026" s="813" t="s">
        <v>106</v>
      </c>
      <c r="AK1026" s="813" t="s">
        <v>106</v>
      </c>
      <c r="AL1026" s="813" t="s">
        <v>106</v>
      </c>
    </row>
    <row r="1027" spans="1:38" s="792" customFormat="1" ht="14.25" customHeight="1">
      <c r="A1027" s="992" t="s">
        <v>1134</v>
      </c>
      <c r="B1027" s="791"/>
      <c r="C1027" s="791"/>
      <c r="D1027" s="791"/>
      <c r="E1027" s="791"/>
      <c r="F1027" s="790"/>
      <c r="G1027" s="790"/>
      <c r="H1027" s="790"/>
      <c r="I1027" s="790"/>
      <c r="J1027" s="790"/>
      <c r="K1027" s="790"/>
      <c r="L1027" s="790"/>
      <c r="M1027" s="790"/>
      <c r="N1027" s="790"/>
      <c r="O1027" s="790"/>
      <c r="P1027" s="790"/>
      <c r="Q1027" s="790"/>
      <c r="R1027" s="790"/>
      <c r="S1027" s="790"/>
      <c r="T1027" s="790"/>
      <c r="U1027" s="790"/>
      <c r="V1027" s="790"/>
      <c r="W1027" s="790"/>
      <c r="X1027" s="790"/>
      <c r="Y1027" s="790"/>
      <c r="Z1027" s="790"/>
      <c r="AA1027" s="790"/>
      <c r="AB1027" s="790"/>
      <c r="AC1027" s="790"/>
      <c r="AD1027" s="790"/>
      <c r="AE1027" s="790"/>
      <c r="AF1027" s="790"/>
      <c r="AG1027" s="790"/>
      <c r="AH1027" s="790"/>
      <c r="AI1027" s="790"/>
      <c r="AJ1027" s="790"/>
      <c r="AK1027" s="790"/>
      <c r="AL1027" s="790"/>
    </row>
    <row r="1028" spans="1:38" s="792" customFormat="1" ht="14.25" customHeight="1">
      <c r="A1028" s="989" t="s">
        <v>1135</v>
      </c>
      <c r="B1028" s="791"/>
      <c r="C1028" s="791"/>
      <c r="D1028" s="791"/>
      <c r="E1028" s="791"/>
      <c r="F1028" s="790"/>
      <c r="G1028" s="790"/>
      <c r="H1028" s="790"/>
      <c r="I1028" s="790"/>
      <c r="J1028" s="790"/>
      <c r="K1028" s="790"/>
      <c r="L1028" s="790"/>
      <c r="M1028" s="790"/>
      <c r="N1028" s="790"/>
      <c r="O1028" s="790"/>
      <c r="P1028" s="790"/>
      <c r="Q1028" s="790"/>
      <c r="R1028" s="790"/>
      <c r="S1028" s="790"/>
      <c r="T1028" s="790"/>
      <c r="U1028" s="790"/>
      <c r="V1028" s="790"/>
      <c r="W1028" s="790"/>
      <c r="X1028" s="790"/>
      <c r="Y1028" s="790"/>
      <c r="Z1028" s="790"/>
      <c r="AA1028" s="790"/>
      <c r="AB1028" s="790"/>
      <c r="AC1028" s="790"/>
      <c r="AD1028" s="790"/>
      <c r="AE1028" s="790"/>
      <c r="AF1028" s="790"/>
      <c r="AG1028" s="790"/>
      <c r="AH1028" s="790"/>
      <c r="AI1028" s="790"/>
      <c r="AJ1028" s="790"/>
      <c r="AK1028" s="790"/>
      <c r="AL1028" s="790"/>
    </row>
    <row r="1029" spans="1:38" ht="12.6">
      <c r="A1029" s="990" t="s">
        <v>1136</v>
      </c>
      <c r="B1029" s="991" t="s">
        <v>1137</v>
      </c>
      <c r="C1029" s="991" t="s">
        <v>1058</v>
      </c>
      <c r="D1029" s="991" t="s">
        <v>129</v>
      </c>
      <c r="E1029" s="991"/>
      <c r="F1029" s="813" t="s">
        <v>1059</v>
      </c>
      <c r="G1029" s="813" t="s">
        <v>1059</v>
      </c>
      <c r="H1029" s="813" t="s">
        <v>1059</v>
      </c>
      <c r="I1029" s="813" t="s">
        <v>1059</v>
      </c>
      <c r="J1029" s="813" t="s">
        <v>1059</v>
      </c>
      <c r="K1029" s="813" t="s">
        <v>1059</v>
      </c>
      <c r="L1029" s="813" t="s">
        <v>1059</v>
      </c>
      <c r="M1029" s="813" t="s">
        <v>1059</v>
      </c>
      <c r="N1029" s="813" t="s">
        <v>1059</v>
      </c>
      <c r="O1029" s="813" t="s">
        <v>1059</v>
      </c>
      <c r="P1029" s="813" t="s">
        <v>1059</v>
      </c>
      <c r="Q1029" s="813" t="s">
        <v>1059</v>
      </c>
      <c r="R1029" s="813" t="s">
        <v>1059</v>
      </c>
      <c r="S1029" s="813" t="s">
        <v>1059</v>
      </c>
      <c r="T1029" s="813" t="s">
        <v>1059</v>
      </c>
      <c r="U1029" s="813" t="s">
        <v>1059</v>
      </c>
      <c r="V1029" s="813" t="s">
        <v>1059</v>
      </c>
      <c r="W1029" s="813" t="s">
        <v>1059</v>
      </c>
      <c r="X1029" s="813" t="s">
        <v>1059</v>
      </c>
      <c r="Y1029" s="813" t="s">
        <v>1059</v>
      </c>
      <c r="Z1029" s="813" t="s">
        <v>1059</v>
      </c>
      <c r="AA1029" s="813" t="s">
        <v>1059</v>
      </c>
      <c r="AB1029" s="813" t="s">
        <v>1059</v>
      </c>
      <c r="AC1029" s="813" t="s">
        <v>1059</v>
      </c>
      <c r="AD1029" s="813" t="s">
        <v>1059</v>
      </c>
      <c r="AE1029" s="813" t="s">
        <v>1059</v>
      </c>
      <c r="AF1029" s="813" t="s">
        <v>1059</v>
      </c>
      <c r="AG1029" s="813" t="s">
        <v>1059</v>
      </c>
      <c r="AH1029" s="813" t="s">
        <v>1059</v>
      </c>
      <c r="AI1029" s="813" t="s">
        <v>1059</v>
      </c>
      <c r="AJ1029" s="813" t="s">
        <v>1059</v>
      </c>
      <c r="AK1029" s="813" t="s">
        <v>1059</v>
      </c>
      <c r="AL1029" s="813" t="s">
        <v>1060</v>
      </c>
    </row>
    <row r="1030" spans="1:38" ht="12.6">
      <c r="A1030" s="990" t="s">
        <v>1138</v>
      </c>
      <c r="B1030" s="991" t="s">
        <v>1137</v>
      </c>
      <c r="C1030" s="991" t="s">
        <v>1062</v>
      </c>
      <c r="D1030" s="991" t="s">
        <v>129</v>
      </c>
      <c r="E1030" s="991"/>
      <c r="F1030" s="813" t="s">
        <v>1063</v>
      </c>
      <c r="G1030" s="813" t="s">
        <v>1063</v>
      </c>
      <c r="H1030" s="813" t="s">
        <v>1063</v>
      </c>
      <c r="I1030" s="813" t="s">
        <v>1063</v>
      </c>
      <c r="J1030" s="813" t="s">
        <v>1063</v>
      </c>
      <c r="K1030" s="813" t="s">
        <v>1063</v>
      </c>
      <c r="L1030" s="813" t="s">
        <v>1063</v>
      </c>
      <c r="M1030" s="813" t="s">
        <v>1063</v>
      </c>
      <c r="N1030" s="813" t="s">
        <v>1063</v>
      </c>
      <c r="O1030" s="813" t="s">
        <v>1063</v>
      </c>
      <c r="P1030" s="813" t="s">
        <v>1063</v>
      </c>
      <c r="Q1030" s="813" t="s">
        <v>1063</v>
      </c>
      <c r="R1030" s="813" t="s">
        <v>1063</v>
      </c>
      <c r="S1030" s="813" t="s">
        <v>1063</v>
      </c>
      <c r="T1030" s="813" t="s">
        <v>1063</v>
      </c>
      <c r="U1030" s="813" t="s">
        <v>1063</v>
      </c>
      <c r="V1030" s="813" t="s">
        <v>1063</v>
      </c>
      <c r="W1030" s="813" t="s">
        <v>1063</v>
      </c>
      <c r="X1030" s="813" t="s">
        <v>1063</v>
      </c>
      <c r="Y1030" s="813" t="s">
        <v>1063</v>
      </c>
      <c r="Z1030" s="813" t="s">
        <v>1063</v>
      </c>
      <c r="AA1030" s="813" t="s">
        <v>1063</v>
      </c>
      <c r="AB1030" s="813" t="s">
        <v>1063</v>
      </c>
      <c r="AC1030" s="813" t="s">
        <v>1063</v>
      </c>
      <c r="AD1030" s="813" t="s">
        <v>1063</v>
      </c>
      <c r="AE1030" s="813" t="s">
        <v>1063</v>
      </c>
      <c r="AF1030" s="813" t="s">
        <v>1063</v>
      </c>
      <c r="AG1030" s="813" t="s">
        <v>1063</v>
      </c>
      <c r="AH1030" s="813" t="s">
        <v>1063</v>
      </c>
      <c r="AI1030" s="813" t="s">
        <v>1063</v>
      </c>
      <c r="AJ1030" s="813" t="s">
        <v>1063</v>
      </c>
      <c r="AK1030" s="813" t="s">
        <v>1063</v>
      </c>
      <c r="AL1030" s="813" t="s">
        <v>1063</v>
      </c>
    </row>
    <row r="1031" spans="1:38" s="792" customFormat="1" ht="14.25" customHeight="1">
      <c r="A1031" s="989" t="s">
        <v>1139</v>
      </c>
      <c r="B1031" s="791"/>
      <c r="C1031" s="791"/>
      <c r="D1031" s="791"/>
      <c r="E1031" s="791"/>
      <c r="F1031" s="790"/>
      <c r="G1031" s="790"/>
      <c r="H1031" s="790"/>
      <c r="I1031" s="790"/>
      <c r="J1031" s="790"/>
      <c r="K1031" s="790"/>
      <c r="L1031" s="790"/>
      <c r="M1031" s="790"/>
      <c r="N1031" s="790"/>
      <c r="O1031" s="790"/>
      <c r="P1031" s="790"/>
      <c r="Q1031" s="790"/>
      <c r="R1031" s="790"/>
      <c r="S1031" s="790"/>
      <c r="T1031" s="790"/>
      <c r="U1031" s="790"/>
      <c r="V1031" s="790"/>
      <c r="W1031" s="790"/>
      <c r="X1031" s="790"/>
      <c r="Y1031" s="790"/>
      <c r="Z1031" s="790"/>
      <c r="AA1031" s="790"/>
      <c r="AB1031" s="790"/>
      <c r="AC1031" s="790"/>
      <c r="AD1031" s="790"/>
      <c r="AE1031" s="790"/>
      <c r="AF1031" s="790"/>
      <c r="AG1031" s="790"/>
      <c r="AH1031" s="790"/>
      <c r="AI1031" s="790"/>
      <c r="AJ1031" s="790"/>
      <c r="AK1031" s="790"/>
      <c r="AL1031" s="790"/>
    </row>
    <row r="1032" spans="1:38" ht="12.6">
      <c r="A1032" s="990" t="s">
        <v>1140</v>
      </c>
      <c r="B1032" s="991" t="s">
        <v>1137</v>
      </c>
      <c r="C1032" s="991" t="s">
        <v>1058</v>
      </c>
      <c r="D1032" s="991" t="s">
        <v>129</v>
      </c>
      <c r="E1032" s="991"/>
      <c r="F1032" s="813" t="s">
        <v>1059</v>
      </c>
      <c r="G1032" s="813" t="s">
        <v>1059</v>
      </c>
      <c r="H1032" s="813" t="s">
        <v>1059</v>
      </c>
      <c r="I1032" s="813" t="s">
        <v>1059</v>
      </c>
      <c r="J1032" s="813" t="s">
        <v>1059</v>
      </c>
      <c r="K1032" s="813" t="s">
        <v>1059</v>
      </c>
      <c r="L1032" s="813" t="s">
        <v>1059</v>
      </c>
      <c r="M1032" s="813" t="s">
        <v>1059</v>
      </c>
      <c r="N1032" s="813" t="s">
        <v>1059</v>
      </c>
      <c r="O1032" s="813" t="s">
        <v>1059</v>
      </c>
      <c r="P1032" s="813" t="s">
        <v>1059</v>
      </c>
      <c r="Q1032" s="813" t="s">
        <v>1059</v>
      </c>
      <c r="R1032" s="813" t="s">
        <v>1059</v>
      </c>
      <c r="S1032" s="813" t="s">
        <v>1059</v>
      </c>
      <c r="T1032" s="813" t="s">
        <v>1059</v>
      </c>
      <c r="U1032" s="813" t="s">
        <v>1059</v>
      </c>
      <c r="V1032" s="813" t="s">
        <v>1059</v>
      </c>
      <c r="W1032" s="813" t="s">
        <v>1059</v>
      </c>
      <c r="X1032" s="813" t="s">
        <v>1059</v>
      </c>
      <c r="Y1032" s="813" t="s">
        <v>1059</v>
      </c>
      <c r="Z1032" s="813" t="s">
        <v>1059</v>
      </c>
      <c r="AA1032" s="813" t="s">
        <v>1059</v>
      </c>
      <c r="AB1032" s="813" t="s">
        <v>1059</v>
      </c>
      <c r="AC1032" s="813" t="s">
        <v>1059</v>
      </c>
      <c r="AD1032" s="813" t="s">
        <v>1059</v>
      </c>
      <c r="AE1032" s="813" t="s">
        <v>1059</v>
      </c>
      <c r="AF1032" s="813" t="s">
        <v>1059</v>
      </c>
      <c r="AG1032" s="813" t="s">
        <v>1059</v>
      </c>
      <c r="AH1032" s="813" t="s">
        <v>1059</v>
      </c>
      <c r="AI1032" s="813" t="s">
        <v>1059</v>
      </c>
      <c r="AJ1032" s="813" t="s">
        <v>1059</v>
      </c>
      <c r="AK1032" s="813" t="s">
        <v>1059</v>
      </c>
      <c r="AL1032" s="813" t="s">
        <v>1060</v>
      </c>
    </row>
    <row r="1033" spans="1:38" ht="12.6">
      <c r="A1033" s="990" t="s">
        <v>1141</v>
      </c>
      <c r="B1033" s="991" t="s">
        <v>1137</v>
      </c>
      <c r="C1033" s="991" t="s">
        <v>1062</v>
      </c>
      <c r="D1033" s="991" t="s">
        <v>129</v>
      </c>
      <c r="E1033" s="991"/>
      <c r="F1033" s="813" t="s">
        <v>1063</v>
      </c>
      <c r="G1033" s="813" t="s">
        <v>1063</v>
      </c>
      <c r="H1033" s="813" t="s">
        <v>1063</v>
      </c>
      <c r="I1033" s="813" t="s">
        <v>1063</v>
      </c>
      <c r="J1033" s="813" t="s">
        <v>1063</v>
      </c>
      <c r="K1033" s="813" t="s">
        <v>1063</v>
      </c>
      <c r="L1033" s="813" t="s">
        <v>1063</v>
      </c>
      <c r="M1033" s="813" t="s">
        <v>1063</v>
      </c>
      <c r="N1033" s="813" t="s">
        <v>1063</v>
      </c>
      <c r="O1033" s="813" t="s">
        <v>1063</v>
      </c>
      <c r="P1033" s="813" t="s">
        <v>1063</v>
      </c>
      <c r="Q1033" s="813" t="s">
        <v>1063</v>
      </c>
      <c r="R1033" s="813" t="s">
        <v>1063</v>
      </c>
      <c r="S1033" s="813" t="s">
        <v>1063</v>
      </c>
      <c r="T1033" s="813" t="s">
        <v>1063</v>
      </c>
      <c r="U1033" s="813" t="s">
        <v>1063</v>
      </c>
      <c r="V1033" s="813" t="s">
        <v>1063</v>
      </c>
      <c r="W1033" s="813" t="s">
        <v>1063</v>
      </c>
      <c r="X1033" s="813" t="s">
        <v>1063</v>
      </c>
      <c r="Y1033" s="813" t="s">
        <v>1063</v>
      </c>
      <c r="Z1033" s="813" t="s">
        <v>1063</v>
      </c>
      <c r="AA1033" s="813" t="s">
        <v>1063</v>
      </c>
      <c r="AB1033" s="813" t="s">
        <v>1063</v>
      </c>
      <c r="AC1033" s="813" t="s">
        <v>1063</v>
      </c>
      <c r="AD1033" s="813" t="s">
        <v>1063</v>
      </c>
      <c r="AE1033" s="813" t="s">
        <v>1063</v>
      </c>
      <c r="AF1033" s="813" t="s">
        <v>1063</v>
      </c>
      <c r="AG1033" s="813" t="s">
        <v>1063</v>
      </c>
      <c r="AH1033" s="813" t="s">
        <v>1063</v>
      </c>
      <c r="AI1033" s="813" t="s">
        <v>1063</v>
      </c>
      <c r="AJ1033" s="813" t="s">
        <v>1063</v>
      </c>
      <c r="AK1033" s="813" t="s">
        <v>1063</v>
      </c>
      <c r="AL1033" s="813" t="s">
        <v>1063</v>
      </c>
    </row>
    <row r="1034" spans="1:38" s="792" customFormat="1" ht="14.25" customHeight="1">
      <c r="A1034" s="989" t="s">
        <v>1142</v>
      </c>
      <c r="B1034" s="791"/>
      <c r="C1034" s="791"/>
      <c r="D1034" s="791"/>
      <c r="E1034" s="791"/>
      <c r="F1034" s="790"/>
      <c r="G1034" s="790"/>
      <c r="H1034" s="790"/>
      <c r="I1034" s="790"/>
      <c r="J1034" s="790"/>
      <c r="K1034" s="790"/>
      <c r="L1034" s="790"/>
      <c r="M1034" s="790"/>
      <c r="N1034" s="790"/>
      <c r="O1034" s="790"/>
      <c r="P1034" s="790"/>
      <c r="Q1034" s="790"/>
      <c r="R1034" s="790"/>
      <c r="S1034" s="790"/>
      <c r="T1034" s="790"/>
      <c r="U1034" s="790"/>
      <c r="V1034" s="790"/>
      <c r="W1034" s="790"/>
      <c r="X1034" s="790"/>
      <c r="Y1034" s="790"/>
      <c r="Z1034" s="790"/>
      <c r="AA1034" s="790"/>
      <c r="AB1034" s="790"/>
      <c r="AC1034" s="790"/>
      <c r="AD1034" s="790"/>
      <c r="AE1034" s="790"/>
      <c r="AF1034" s="790"/>
      <c r="AG1034" s="790"/>
      <c r="AH1034" s="790"/>
      <c r="AI1034" s="790"/>
      <c r="AJ1034" s="790"/>
      <c r="AK1034" s="790"/>
      <c r="AL1034" s="790"/>
    </row>
    <row r="1035" spans="1:38" ht="12.6">
      <c r="A1035" s="990" t="s">
        <v>1143</v>
      </c>
      <c r="B1035" s="991" t="s">
        <v>1137</v>
      </c>
      <c r="C1035" s="991" t="s">
        <v>1058</v>
      </c>
      <c r="D1035" s="991" t="s">
        <v>129</v>
      </c>
      <c r="E1035" s="991"/>
      <c r="F1035" s="813" t="s">
        <v>1059</v>
      </c>
      <c r="G1035" s="813" t="s">
        <v>1059</v>
      </c>
      <c r="H1035" s="813" t="s">
        <v>1059</v>
      </c>
      <c r="I1035" s="813" t="s">
        <v>1059</v>
      </c>
      <c r="J1035" s="813" t="s">
        <v>1059</v>
      </c>
      <c r="K1035" s="813" t="s">
        <v>1059</v>
      </c>
      <c r="L1035" s="813" t="s">
        <v>1059</v>
      </c>
      <c r="M1035" s="813" t="s">
        <v>1059</v>
      </c>
      <c r="N1035" s="813" t="s">
        <v>1059</v>
      </c>
      <c r="O1035" s="813" t="s">
        <v>1059</v>
      </c>
      <c r="P1035" s="813" t="s">
        <v>1059</v>
      </c>
      <c r="Q1035" s="813" t="s">
        <v>1059</v>
      </c>
      <c r="R1035" s="813" t="s">
        <v>1059</v>
      </c>
      <c r="S1035" s="813" t="s">
        <v>1059</v>
      </c>
      <c r="T1035" s="813" t="s">
        <v>1059</v>
      </c>
      <c r="U1035" s="813" t="s">
        <v>1059</v>
      </c>
      <c r="V1035" s="813" t="s">
        <v>1059</v>
      </c>
      <c r="W1035" s="813" t="s">
        <v>1059</v>
      </c>
      <c r="X1035" s="813" t="s">
        <v>1059</v>
      </c>
      <c r="Y1035" s="813" t="s">
        <v>1059</v>
      </c>
      <c r="Z1035" s="813" t="s">
        <v>1059</v>
      </c>
      <c r="AA1035" s="813" t="s">
        <v>1059</v>
      </c>
      <c r="AB1035" s="813" t="s">
        <v>1059</v>
      </c>
      <c r="AC1035" s="813" t="s">
        <v>1059</v>
      </c>
      <c r="AD1035" s="813" t="s">
        <v>1059</v>
      </c>
      <c r="AE1035" s="813" t="s">
        <v>1059</v>
      </c>
      <c r="AF1035" s="813" t="s">
        <v>1059</v>
      </c>
      <c r="AG1035" s="813" t="s">
        <v>1059</v>
      </c>
      <c r="AH1035" s="813" t="s">
        <v>1059</v>
      </c>
      <c r="AI1035" s="813" t="s">
        <v>1059</v>
      </c>
      <c r="AJ1035" s="813" t="s">
        <v>1059</v>
      </c>
      <c r="AK1035" s="813" t="s">
        <v>1059</v>
      </c>
      <c r="AL1035" s="813" t="s">
        <v>1060</v>
      </c>
    </row>
    <row r="1036" spans="1:38" ht="12.6">
      <c r="A1036" s="990" t="s">
        <v>1144</v>
      </c>
      <c r="B1036" s="991" t="s">
        <v>1137</v>
      </c>
      <c r="C1036" s="991" t="s">
        <v>1062</v>
      </c>
      <c r="D1036" s="991" t="s">
        <v>129</v>
      </c>
      <c r="E1036" s="991"/>
      <c r="F1036" s="813" t="s">
        <v>1063</v>
      </c>
      <c r="G1036" s="813" t="s">
        <v>1063</v>
      </c>
      <c r="H1036" s="813" t="s">
        <v>1063</v>
      </c>
      <c r="I1036" s="813" t="s">
        <v>1063</v>
      </c>
      <c r="J1036" s="813" t="s">
        <v>1063</v>
      </c>
      <c r="K1036" s="813" t="s">
        <v>1063</v>
      </c>
      <c r="L1036" s="813" t="s">
        <v>1063</v>
      </c>
      <c r="M1036" s="813" t="s">
        <v>1063</v>
      </c>
      <c r="N1036" s="813" t="s">
        <v>1063</v>
      </c>
      <c r="O1036" s="813" t="s">
        <v>1063</v>
      </c>
      <c r="P1036" s="813" t="s">
        <v>1063</v>
      </c>
      <c r="Q1036" s="813" t="s">
        <v>1063</v>
      </c>
      <c r="R1036" s="813" t="s">
        <v>1063</v>
      </c>
      <c r="S1036" s="813" t="s">
        <v>1063</v>
      </c>
      <c r="T1036" s="813" t="s">
        <v>1063</v>
      </c>
      <c r="U1036" s="813" t="s">
        <v>1063</v>
      </c>
      <c r="V1036" s="813" t="s">
        <v>1063</v>
      </c>
      <c r="W1036" s="813" t="s">
        <v>1063</v>
      </c>
      <c r="X1036" s="813" t="s">
        <v>1063</v>
      </c>
      <c r="Y1036" s="813" t="s">
        <v>1063</v>
      </c>
      <c r="Z1036" s="813" t="s">
        <v>1063</v>
      </c>
      <c r="AA1036" s="813" t="s">
        <v>1063</v>
      </c>
      <c r="AB1036" s="813" t="s">
        <v>1063</v>
      </c>
      <c r="AC1036" s="813" t="s">
        <v>1063</v>
      </c>
      <c r="AD1036" s="813" t="s">
        <v>1063</v>
      </c>
      <c r="AE1036" s="813" t="s">
        <v>1063</v>
      </c>
      <c r="AF1036" s="813" t="s">
        <v>1063</v>
      </c>
      <c r="AG1036" s="813" t="s">
        <v>1063</v>
      </c>
      <c r="AH1036" s="813" t="s">
        <v>1063</v>
      </c>
      <c r="AI1036" s="813" t="s">
        <v>1063</v>
      </c>
      <c r="AJ1036" s="813" t="s">
        <v>1063</v>
      </c>
      <c r="AK1036" s="813" t="s">
        <v>1063</v>
      </c>
      <c r="AL1036" s="813" t="s">
        <v>1063</v>
      </c>
    </row>
    <row r="1037" spans="1:38" s="792" customFormat="1" ht="14.25" customHeight="1">
      <c r="A1037" s="989" t="s">
        <v>1145</v>
      </c>
      <c r="B1037" s="791"/>
      <c r="C1037" s="791"/>
      <c r="D1037" s="791"/>
      <c r="E1037" s="791"/>
      <c r="F1037" s="790"/>
      <c r="G1037" s="790"/>
      <c r="H1037" s="790"/>
      <c r="I1037" s="790"/>
      <c r="J1037" s="790"/>
      <c r="K1037" s="790"/>
      <c r="L1037" s="790"/>
      <c r="M1037" s="790"/>
      <c r="N1037" s="790"/>
      <c r="O1037" s="790"/>
      <c r="P1037" s="790"/>
      <c r="Q1037" s="790"/>
      <c r="R1037" s="790"/>
      <c r="S1037" s="790"/>
      <c r="T1037" s="790"/>
      <c r="U1037" s="790"/>
      <c r="V1037" s="790"/>
      <c r="W1037" s="790"/>
      <c r="X1037" s="790"/>
      <c r="Y1037" s="790"/>
      <c r="Z1037" s="790"/>
      <c r="AA1037" s="790"/>
      <c r="AB1037" s="790"/>
      <c r="AC1037" s="790"/>
      <c r="AD1037" s="790"/>
      <c r="AE1037" s="790"/>
      <c r="AF1037" s="790"/>
      <c r="AG1037" s="790"/>
      <c r="AH1037" s="790"/>
      <c r="AI1037" s="790"/>
      <c r="AJ1037" s="790"/>
      <c r="AK1037" s="790"/>
      <c r="AL1037" s="790"/>
    </row>
    <row r="1038" spans="1:38" ht="12.6">
      <c r="A1038" s="990" t="s">
        <v>1146</v>
      </c>
      <c r="B1038" s="991" t="s">
        <v>1137</v>
      </c>
      <c r="C1038" s="991" t="s">
        <v>1058</v>
      </c>
      <c r="D1038" s="991" t="s">
        <v>129</v>
      </c>
      <c r="E1038" s="991"/>
      <c r="F1038" s="813" t="s">
        <v>106</v>
      </c>
      <c r="G1038" s="813" t="s">
        <v>106</v>
      </c>
      <c r="H1038" s="813" t="s">
        <v>106</v>
      </c>
      <c r="I1038" s="813" t="s">
        <v>106</v>
      </c>
      <c r="J1038" s="813" t="s">
        <v>106</v>
      </c>
      <c r="K1038" s="813" t="s">
        <v>106</v>
      </c>
      <c r="L1038" s="813" t="s">
        <v>106</v>
      </c>
      <c r="M1038" s="813" t="s">
        <v>106</v>
      </c>
      <c r="N1038" s="813" t="s">
        <v>106</v>
      </c>
      <c r="O1038" s="813" t="s">
        <v>106</v>
      </c>
      <c r="P1038" s="813" t="s">
        <v>106</v>
      </c>
      <c r="Q1038" s="813" t="s">
        <v>106</v>
      </c>
      <c r="R1038" s="813" t="s">
        <v>106</v>
      </c>
      <c r="S1038" s="813" t="s">
        <v>106</v>
      </c>
      <c r="T1038" s="813" t="s">
        <v>106</v>
      </c>
      <c r="U1038" s="813" t="s">
        <v>106</v>
      </c>
      <c r="V1038" s="813" t="s">
        <v>106</v>
      </c>
      <c r="W1038" s="813" t="s">
        <v>106</v>
      </c>
      <c r="X1038" s="813" t="s">
        <v>106</v>
      </c>
      <c r="Y1038" s="813" t="s">
        <v>106</v>
      </c>
      <c r="Z1038" s="813" t="s">
        <v>106</v>
      </c>
      <c r="AA1038" s="813" t="s">
        <v>106</v>
      </c>
      <c r="AB1038" s="813" t="s">
        <v>106</v>
      </c>
      <c r="AC1038" s="813" t="s">
        <v>106</v>
      </c>
      <c r="AD1038" s="813" t="s">
        <v>106</v>
      </c>
      <c r="AE1038" s="813" t="s">
        <v>106</v>
      </c>
      <c r="AF1038" s="813" t="s">
        <v>106</v>
      </c>
      <c r="AG1038" s="813" t="s">
        <v>106</v>
      </c>
      <c r="AH1038" s="813" t="s">
        <v>106</v>
      </c>
      <c r="AI1038" s="813" t="s">
        <v>106</v>
      </c>
      <c r="AJ1038" s="813" t="s">
        <v>106</v>
      </c>
      <c r="AK1038" s="813" t="s">
        <v>106</v>
      </c>
      <c r="AL1038" s="813" t="s">
        <v>106</v>
      </c>
    </row>
    <row r="1039" spans="1:38" ht="12.6">
      <c r="A1039" s="990" t="s">
        <v>1147</v>
      </c>
      <c r="B1039" s="991" t="s">
        <v>1137</v>
      </c>
      <c r="C1039" s="991" t="s">
        <v>1062</v>
      </c>
      <c r="D1039" s="991" t="s">
        <v>129</v>
      </c>
      <c r="E1039" s="991"/>
      <c r="F1039" s="813" t="s">
        <v>106</v>
      </c>
      <c r="G1039" s="813" t="s">
        <v>106</v>
      </c>
      <c r="H1039" s="813" t="s">
        <v>106</v>
      </c>
      <c r="I1039" s="813" t="s">
        <v>106</v>
      </c>
      <c r="J1039" s="813" t="s">
        <v>106</v>
      </c>
      <c r="K1039" s="813" t="s">
        <v>106</v>
      </c>
      <c r="L1039" s="813" t="s">
        <v>106</v>
      </c>
      <c r="M1039" s="813" t="s">
        <v>106</v>
      </c>
      <c r="N1039" s="813" t="s">
        <v>106</v>
      </c>
      <c r="O1039" s="813" t="s">
        <v>106</v>
      </c>
      <c r="P1039" s="813" t="s">
        <v>106</v>
      </c>
      <c r="Q1039" s="813" t="s">
        <v>106</v>
      </c>
      <c r="R1039" s="813" t="s">
        <v>106</v>
      </c>
      <c r="S1039" s="813" t="s">
        <v>106</v>
      </c>
      <c r="T1039" s="813" t="s">
        <v>106</v>
      </c>
      <c r="U1039" s="813" t="s">
        <v>106</v>
      </c>
      <c r="V1039" s="813" t="s">
        <v>106</v>
      </c>
      <c r="W1039" s="813" t="s">
        <v>106</v>
      </c>
      <c r="X1039" s="813" t="s">
        <v>106</v>
      </c>
      <c r="Y1039" s="813" t="s">
        <v>106</v>
      </c>
      <c r="Z1039" s="813" t="s">
        <v>106</v>
      </c>
      <c r="AA1039" s="813" t="s">
        <v>106</v>
      </c>
      <c r="AB1039" s="813" t="s">
        <v>106</v>
      </c>
      <c r="AC1039" s="813" t="s">
        <v>106</v>
      </c>
      <c r="AD1039" s="813" t="s">
        <v>106</v>
      </c>
      <c r="AE1039" s="813" t="s">
        <v>106</v>
      </c>
      <c r="AF1039" s="813" t="s">
        <v>106</v>
      </c>
      <c r="AG1039" s="813" t="s">
        <v>106</v>
      </c>
      <c r="AH1039" s="813" t="s">
        <v>106</v>
      </c>
      <c r="AI1039" s="813" t="s">
        <v>106</v>
      </c>
      <c r="AJ1039" s="813" t="s">
        <v>106</v>
      </c>
      <c r="AK1039" s="813" t="s">
        <v>106</v>
      </c>
      <c r="AL1039" s="813" t="s">
        <v>106</v>
      </c>
    </row>
    <row r="1040" spans="1:38" s="792" customFormat="1" ht="14.25" customHeight="1">
      <c r="A1040" s="989" t="s">
        <v>1148</v>
      </c>
      <c r="B1040" s="791"/>
      <c r="C1040" s="791"/>
      <c r="D1040" s="791"/>
      <c r="E1040" s="791"/>
      <c r="F1040" s="790"/>
      <c r="G1040" s="790"/>
      <c r="H1040" s="790"/>
      <c r="I1040" s="790"/>
      <c r="J1040" s="790"/>
      <c r="K1040" s="790"/>
      <c r="L1040" s="790"/>
      <c r="M1040" s="790"/>
      <c r="N1040" s="790"/>
      <c r="O1040" s="790"/>
      <c r="P1040" s="790"/>
      <c r="Q1040" s="790"/>
      <c r="R1040" s="790"/>
      <c r="S1040" s="790"/>
      <c r="T1040" s="790"/>
      <c r="U1040" s="790"/>
      <c r="V1040" s="790"/>
      <c r="W1040" s="790"/>
      <c r="X1040" s="790"/>
      <c r="Y1040" s="790"/>
      <c r="Z1040" s="790"/>
      <c r="AA1040" s="790"/>
      <c r="AB1040" s="790"/>
      <c r="AC1040" s="790"/>
      <c r="AD1040" s="790"/>
      <c r="AE1040" s="790"/>
      <c r="AF1040" s="790"/>
      <c r="AG1040" s="790"/>
      <c r="AH1040" s="790"/>
      <c r="AI1040" s="790"/>
      <c r="AJ1040" s="790"/>
      <c r="AK1040" s="790"/>
      <c r="AL1040" s="790"/>
    </row>
    <row r="1041" spans="1:38" ht="12.6">
      <c r="A1041" s="990" t="s">
        <v>1149</v>
      </c>
      <c r="B1041" s="991" t="s">
        <v>1137</v>
      </c>
      <c r="C1041" s="991" t="s">
        <v>1058</v>
      </c>
      <c r="D1041" s="991" t="s">
        <v>129</v>
      </c>
      <c r="E1041" s="991"/>
      <c r="F1041" s="813" t="s">
        <v>106</v>
      </c>
      <c r="G1041" s="813" t="s">
        <v>106</v>
      </c>
      <c r="H1041" s="813" t="s">
        <v>106</v>
      </c>
      <c r="I1041" s="813" t="s">
        <v>106</v>
      </c>
      <c r="J1041" s="813" t="s">
        <v>106</v>
      </c>
      <c r="K1041" s="813" t="s">
        <v>106</v>
      </c>
      <c r="L1041" s="813" t="s">
        <v>106</v>
      </c>
      <c r="M1041" s="813" t="s">
        <v>106</v>
      </c>
      <c r="N1041" s="813" t="s">
        <v>106</v>
      </c>
      <c r="O1041" s="813" t="s">
        <v>106</v>
      </c>
      <c r="P1041" s="813" t="s">
        <v>106</v>
      </c>
      <c r="Q1041" s="813" t="s">
        <v>106</v>
      </c>
      <c r="R1041" s="813" t="s">
        <v>106</v>
      </c>
      <c r="S1041" s="813" t="s">
        <v>106</v>
      </c>
      <c r="T1041" s="813" t="s">
        <v>106</v>
      </c>
      <c r="U1041" s="813" t="s">
        <v>106</v>
      </c>
      <c r="V1041" s="813" t="s">
        <v>106</v>
      </c>
      <c r="W1041" s="813" t="s">
        <v>106</v>
      </c>
      <c r="X1041" s="813" t="s">
        <v>106</v>
      </c>
      <c r="Y1041" s="813" t="s">
        <v>106</v>
      </c>
      <c r="Z1041" s="813" t="s">
        <v>106</v>
      </c>
      <c r="AA1041" s="813" t="s">
        <v>106</v>
      </c>
      <c r="AB1041" s="813" t="s">
        <v>106</v>
      </c>
      <c r="AC1041" s="813" t="s">
        <v>106</v>
      </c>
      <c r="AD1041" s="813" t="s">
        <v>106</v>
      </c>
      <c r="AE1041" s="813" t="s">
        <v>106</v>
      </c>
      <c r="AF1041" s="813" t="s">
        <v>106</v>
      </c>
      <c r="AG1041" s="813" t="s">
        <v>106</v>
      </c>
      <c r="AH1041" s="813" t="s">
        <v>106</v>
      </c>
      <c r="AI1041" s="813" t="s">
        <v>106</v>
      </c>
      <c r="AJ1041" s="813" t="s">
        <v>106</v>
      </c>
      <c r="AK1041" s="813" t="s">
        <v>106</v>
      </c>
      <c r="AL1041" s="813" t="s">
        <v>106</v>
      </c>
    </row>
    <row r="1042" spans="1:38" ht="12.6">
      <c r="A1042" s="990" t="s">
        <v>1150</v>
      </c>
      <c r="B1042" s="991" t="s">
        <v>1137</v>
      </c>
      <c r="C1042" s="991" t="s">
        <v>1062</v>
      </c>
      <c r="D1042" s="991" t="s">
        <v>129</v>
      </c>
      <c r="E1042" s="991"/>
      <c r="F1042" s="813" t="s">
        <v>106</v>
      </c>
      <c r="G1042" s="813" t="s">
        <v>106</v>
      </c>
      <c r="H1042" s="813" t="s">
        <v>106</v>
      </c>
      <c r="I1042" s="813" t="s">
        <v>106</v>
      </c>
      <c r="J1042" s="813" t="s">
        <v>106</v>
      </c>
      <c r="K1042" s="813" t="s">
        <v>106</v>
      </c>
      <c r="L1042" s="813" t="s">
        <v>106</v>
      </c>
      <c r="M1042" s="813" t="s">
        <v>106</v>
      </c>
      <c r="N1042" s="813" t="s">
        <v>106</v>
      </c>
      <c r="O1042" s="813" t="s">
        <v>106</v>
      </c>
      <c r="P1042" s="813" t="s">
        <v>106</v>
      </c>
      <c r="Q1042" s="813" t="s">
        <v>106</v>
      </c>
      <c r="R1042" s="813" t="s">
        <v>106</v>
      </c>
      <c r="S1042" s="813" t="s">
        <v>106</v>
      </c>
      <c r="T1042" s="813" t="s">
        <v>106</v>
      </c>
      <c r="U1042" s="813" t="s">
        <v>106</v>
      </c>
      <c r="V1042" s="813" t="s">
        <v>106</v>
      </c>
      <c r="W1042" s="813" t="s">
        <v>106</v>
      </c>
      <c r="X1042" s="813" t="s">
        <v>106</v>
      </c>
      <c r="Y1042" s="813" t="s">
        <v>106</v>
      </c>
      <c r="Z1042" s="813" t="s">
        <v>106</v>
      </c>
      <c r="AA1042" s="813" t="s">
        <v>106</v>
      </c>
      <c r="AB1042" s="813" t="s">
        <v>106</v>
      </c>
      <c r="AC1042" s="813" t="s">
        <v>106</v>
      </c>
      <c r="AD1042" s="813" t="s">
        <v>106</v>
      </c>
      <c r="AE1042" s="813" t="s">
        <v>106</v>
      </c>
      <c r="AF1042" s="813" t="s">
        <v>106</v>
      </c>
      <c r="AG1042" s="813" t="s">
        <v>106</v>
      </c>
      <c r="AH1042" s="813" t="s">
        <v>106</v>
      </c>
      <c r="AI1042" s="813" t="s">
        <v>106</v>
      </c>
      <c r="AJ1042" s="813" t="s">
        <v>106</v>
      </c>
      <c r="AK1042" s="813" t="s">
        <v>106</v>
      </c>
      <c r="AL1042" s="813" t="s">
        <v>106</v>
      </c>
    </row>
    <row r="1043" spans="1:38" s="792" customFormat="1" ht="14.25" customHeight="1">
      <c r="A1043" s="992" t="s">
        <v>319</v>
      </c>
      <c r="B1043" s="791"/>
      <c r="C1043" s="791"/>
      <c r="D1043" s="791"/>
      <c r="E1043" s="791"/>
      <c r="F1043" s="790"/>
      <c r="G1043" s="790"/>
      <c r="H1043" s="790"/>
      <c r="I1043" s="790"/>
      <c r="J1043" s="790"/>
      <c r="K1043" s="790"/>
      <c r="L1043" s="790"/>
      <c r="M1043" s="790"/>
      <c r="N1043" s="790"/>
      <c r="O1043" s="790"/>
      <c r="P1043" s="790"/>
      <c r="Q1043" s="790"/>
      <c r="R1043" s="790"/>
      <c r="S1043" s="790"/>
      <c r="T1043" s="790"/>
      <c r="U1043" s="790"/>
      <c r="V1043" s="790"/>
      <c r="W1043" s="790"/>
      <c r="X1043" s="790"/>
      <c r="Y1043" s="790"/>
      <c r="Z1043" s="790"/>
      <c r="AA1043" s="790"/>
      <c r="AB1043" s="790"/>
      <c r="AC1043" s="790"/>
      <c r="AD1043" s="790"/>
      <c r="AE1043" s="790"/>
      <c r="AF1043" s="790"/>
      <c r="AG1043" s="790"/>
      <c r="AH1043" s="790"/>
      <c r="AI1043" s="790"/>
      <c r="AJ1043" s="790"/>
      <c r="AK1043" s="790"/>
      <c r="AL1043" s="790"/>
    </row>
    <row r="1044" spans="1:38" s="792" customFormat="1" ht="14.25" customHeight="1">
      <c r="A1044" s="989" t="s">
        <v>1151</v>
      </c>
      <c r="B1044" s="791"/>
      <c r="C1044" s="791"/>
      <c r="D1044" s="791"/>
      <c r="E1044" s="791"/>
      <c r="F1044" s="790"/>
      <c r="G1044" s="790"/>
      <c r="H1044" s="790"/>
      <c r="I1044" s="790"/>
      <c r="J1044" s="790"/>
      <c r="K1044" s="790"/>
      <c r="L1044" s="790"/>
      <c r="M1044" s="790"/>
      <c r="N1044" s="790"/>
      <c r="O1044" s="790"/>
      <c r="P1044" s="790"/>
      <c r="Q1044" s="790"/>
      <c r="R1044" s="790"/>
      <c r="S1044" s="790"/>
      <c r="T1044" s="790"/>
      <c r="U1044" s="790"/>
      <c r="V1044" s="790"/>
      <c r="W1044" s="790"/>
      <c r="X1044" s="790"/>
      <c r="Y1044" s="790"/>
      <c r="Z1044" s="790"/>
      <c r="AA1044" s="790"/>
      <c r="AB1044" s="790"/>
      <c r="AC1044" s="790"/>
      <c r="AD1044" s="790"/>
      <c r="AE1044" s="790"/>
      <c r="AF1044" s="790"/>
      <c r="AG1044" s="790"/>
      <c r="AH1044" s="790"/>
      <c r="AI1044" s="790"/>
      <c r="AJ1044" s="790"/>
      <c r="AK1044" s="790"/>
      <c r="AL1044" s="790"/>
    </row>
    <row r="1045" spans="1:38" ht="12.6">
      <c r="A1045" s="990" t="s">
        <v>1152</v>
      </c>
      <c r="B1045" s="991" t="s">
        <v>1137</v>
      </c>
      <c r="C1045" s="991" t="s">
        <v>1058</v>
      </c>
      <c r="D1045" s="991" t="s">
        <v>129</v>
      </c>
      <c r="E1045" s="991"/>
      <c r="F1045" s="813" t="s">
        <v>1059</v>
      </c>
      <c r="G1045" s="813" t="s">
        <v>1059</v>
      </c>
      <c r="H1045" s="813" t="s">
        <v>1059</v>
      </c>
      <c r="I1045" s="813" t="s">
        <v>1059</v>
      </c>
      <c r="J1045" s="813" t="s">
        <v>1059</v>
      </c>
      <c r="K1045" s="813" t="s">
        <v>1059</v>
      </c>
      <c r="L1045" s="813" t="s">
        <v>1059</v>
      </c>
      <c r="M1045" s="813" t="s">
        <v>1059</v>
      </c>
      <c r="N1045" s="813" t="s">
        <v>1059</v>
      </c>
      <c r="O1045" s="813" t="s">
        <v>1059</v>
      </c>
      <c r="P1045" s="813" t="s">
        <v>1059</v>
      </c>
      <c r="Q1045" s="813" t="s">
        <v>1059</v>
      </c>
      <c r="R1045" s="813" t="s">
        <v>1059</v>
      </c>
      <c r="S1045" s="813" t="s">
        <v>1059</v>
      </c>
      <c r="T1045" s="813" t="s">
        <v>1059</v>
      </c>
      <c r="U1045" s="813" t="s">
        <v>1059</v>
      </c>
      <c r="V1045" s="813" t="s">
        <v>1059</v>
      </c>
      <c r="W1045" s="813" t="s">
        <v>1059</v>
      </c>
      <c r="X1045" s="813" t="s">
        <v>1059</v>
      </c>
      <c r="Y1045" s="813" t="s">
        <v>1059</v>
      </c>
      <c r="Z1045" s="813" t="s">
        <v>1059</v>
      </c>
      <c r="AA1045" s="813" t="s">
        <v>1059</v>
      </c>
      <c r="AB1045" s="813" t="s">
        <v>1059</v>
      </c>
      <c r="AC1045" s="813" t="s">
        <v>1059</v>
      </c>
      <c r="AD1045" s="813" t="s">
        <v>1059</v>
      </c>
      <c r="AE1045" s="813" t="s">
        <v>1059</v>
      </c>
      <c r="AF1045" s="813" t="s">
        <v>1059</v>
      </c>
      <c r="AG1045" s="813" t="s">
        <v>1059</v>
      </c>
      <c r="AH1045" s="813" t="s">
        <v>1059</v>
      </c>
      <c r="AI1045" s="813" t="s">
        <v>1059</v>
      </c>
      <c r="AJ1045" s="813" t="s">
        <v>1059</v>
      </c>
      <c r="AK1045" s="813" t="s">
        <v>1059</v>
      </c>
      <c r="AL1045" s="813" t="s">
        <v>1060</v>
      </c>
    </row>
    <row r="1046" spans="1:38" ht="12.6">
      <c r="A1046" s="990" t="s">
        <v>1153</v>
      </c>
      <c r="B1046" s="991" t="s">
        <v>1137</v>
      </c>
      <c r="C1046" s="991" t="s">
        <v>1062</v>
      </c>
      <c r="D1046" s="991" t="s">
        <v>129</v>
      </c>
      <c r="E1046" s="991"/>
      <c r="F1046" s="813" t="s">
        <v>1063</v>
      </c>
      <c r="G1046" s="813" t="s">
        <v>1063</v>
      </c>
      <c r="H1046" s="813" t="s">
        <v>1063</v>
      </c>
      <c r="I1046" s="813" t="s">
        <v>1063</v>
      </c>
      <c r="J1046" s="813" t="s">
        <v>1063</v>
      </c>
      <c r="K1046" s="813" t="s">
        <v>1063</v>
      </c>
      <c r="L1046" s="813" t="s">
        <v>1063</v>
      </c>
      <c r="M1046" s="813" t="s">
        <v>1063</v>
      </c>
      <c r="N1046" s="813" t="s">
        <v>1063</v>
      </c>
      <c r="O1046" s="813" t="s">
        <v>1063</v>
      </c>
      <c r="P1046" s="813" t="s">
        <v>1063</v>
      </c>
      <c r="Q1046" s="813" t="s">
        <v>1063</v>
      </c>
      <c r="R1046" s="813" t="s">
        <v>1063</v>
      </c>
      <c r="S1046" s="813" t="s">
        <v>1063</v>
      </c>
      <c r="T1046" s="813" t="s">
        <v>1063</v>
      </c>
      <c r="U1046" s="813" t="s">
        <v>1063</v>
      </c>
      <c r="V1046" s="813" t="s">
        <v>1063</v>
      </c>
      <c r="W1046" s="813" t="s">
        <v>1063</v>
      </c>
      <c r="X1046" s="813" t="s">
        <v>1063</v>
      </c>
      <c r="Y1046" s="813" t="s">
        <v>1063</v>
      </c>
      <c r="Z1046" s="813" t="s">
        <v>1063</v>
      </c>
      <c r="AA1046" s="813" t="s">
        <v>1063</v>
      </c>
      <c r="AB1046" s="813" t="s">
        <v>1063</v>
      </c>
      <c r="AC1046" s="813" t="s">
        <v>1063</v>
      </c>
      <c r="AD1046" s="813" t="s">
        <v>1063</v>
      </c>
      <c r="AE1046" s="813" t="s">
        <v>1063</v>
      </c>
      <c r="AF1046" s="813" t="s">
        <v>1063</v>
      </c>
      <c r="AG1046" s="813" t="s">
        <v>1063</v>
      </c>
      <c r="AH1046" s="813" t="s">
        <v>1063</v>
      </c>
      <c r="AI1046" s="813" t="s">
        <v>1063</v>
      </c>
      <c r="AJ1046" s="813" t="s">
        <v>1063</v>
      </c>
      <c r="AK1046" s="813" t="s">
        <v>1063</v>
      </c>
      <c r="AL1046" s="813" t="s">
        <v>1063</v>
      </c>
    </row>
    <row r="1047" spans="1:38" s="792" customFormat="1" ht="14.25" customHeight="1">
      <c r="A1047" s="989" t="s">
        <v>1154</v>
      </c>
      <c r="B1047" s="791"/>
      <c r="C1047" s="791"/>
      <c r="D1047" s="791"/>
      <c r="E1047" s="791"/>
      <c r="F1047" s="790"/>
      <c r="G1047" s="790"/>
      <c r="H1047" s="790"/>
      <c r="I1047" s="790"/>
      <c r="J1047" s="790"/>
      <c r="K1047" s="790"/>
      <c r="L1047" s="790"/>
      <c r="M1047" s="790"/>
      <c r="N1047" s="790"/>
      <c r="O1047" s="790"/>
      <c r="P1047" s="790"/>
      <c r="Q1047" s="790"/>
      <c r="R1047" s="790"/>
      <c r="S1047" s="790"/>
      <c r="T1047" s="790"/>
      <c r="U1047" s="790"/>
      <c r="V1047" s="790"/>
      <c r="W1047" s="790"/>
      <c r="X1047" s="790"/>
      <c r="Y1047" s="790"/>
      <c r="Z1047" s="790"/>
      <c r="AA1047" s="790"/>
      <c r="AB1047" s="790"/>
      <c r="AC1047" s="790"/>
      <c r="AD1047" s="790"/>
      <c r="AE1047" s="790"/>
      <c r="AF1047" s="790"/>
      <c r="AG1047" s="790"/>
      <c r="AH1047" s="790"/>
      <c r="AI1047" s="790"/>
      <c r="AJ1047" s="790"/>
      <c r="AK1047" s="790"/>
      <c r="AL1047" s="790"/>
    </row>
    <row r="1048" spans="1:38" ht="12.6">
      <c r="A1048" s="990" t="s">
        <v>1155</v>
      </c>
      <c r="B1048" s="991" t="s">
        <v>1137</v>
      </c>
      <c r="C1048" s="991" t="s">
        <v>1058</v>
      </c>
      <c r="D1048" s="991" t="s">
        <v>129</v>
      </c>
      <c r="E1048" s="991"/>
      <c r="F1048" s="813" t="s">
        <v>1059</v>
      </c>
      <c r="G1048" s="813" t="s">
        <v>1059</v>
      </c>
      <c r="H1048" s="813" t="s">
        <v>1059</v>
      </c>
      <c r="I1048" s="813" t="s">
        <v>1059</v>
      </c>
      <c r="J1048" s="813" t="s">
        <v>1059</v>
      </c>
      <c r="K1048" s="813" t="s">
        <v>1059</v>
      </c>
      <c r="L1048" s="813" t="s">
        <v>1059</v>
      </c>
      <c r="M1048" s="813" t="s">
        <v>1059</v>
      </c>
      <c r="N1048" s="813" t="s">
        <v>1059</v>
      </c>
      <c r="O1048" s="813" t="s">
        <v>1059</v>
      </c>
      <c r="P1048" s="813" t="s">
        <v>1059</v>
      </c>
      <c r="Q1048" s="813" t="s">
        <v>1059</v>
      </c>
      <c r="R1048" s="813" t="s">
        <v>1059</v>
      </c>
      <c r="S1048" s="813" t="s">
        <v>1059</v>
      </c>
      <c r="T1048" s="813" t="s">
        <v>1059</v>
      </c>
      <c r="U1048" s="813" t="s">
        <v>1059</v>
      </c>
      <c r="V1048" s="813" t="s">
        <v>1059</v>
      </c>
      <c r="W1048" s="813" t="s">
        <v>1059</v>
      </c>
      <c r="X1048" s="813" t="s">
        <v>1059</v>
      </c>
      <c r="Y1048" s="813" t="s">
        <v>1059</v>
      </c>
      <c r="Z1048" s="813" t="s">
        <v>1059</v>
      </c>
      <c r="AA1048" s="813" t="s">
        <v>1059</v>
      </c>
      <c r="AB1048" s="813" t="s">
        <v>1059</v>
      </c>
      <c r="AC1048" s="813" t="s">
        <v>1059</v>
      </c>
      <c r="AD1048" s="813" t="s">
        <v>1059</v>
      </c>
      <c r="AE1048" s="813" t="s">
        <v>1059</v>
      </c>
      <c r="AF1048" s="813" t="s">
        <v>1059</v>
      </c>
      <c r="AG1048" s="813" t="s">
        <v>1059</v>
      </c>
      <c r="AH1048" s="813" t="s">
        <v>1059</v>
      </c>
      <c r="AI1048" s="813" t="s">
        <v>1059</v>
      </c>
      <c r="AJ1048" s="813" t="s">
        <v>1059</v>
      </c>
      <c r="AK1048" s="813" t="s">
        <v>1059</v>
      </c>
      <c r="AL1048" s="813" t="s">
        <v>1060</v>
      </c>
    </row>
    <row r="1049" spans="1:38" ht="12.6">
      <c r="A1049" s="990" t="s">
        <v>1156</v>
      </c>
      <c r="B1049" s="991" t="s">
        <v>1137</v>
      </c>
      <c r="C1049" s="991" t="s">
        <v>1062</v>
      </c>
      <c r="D1049" s="991" t="s">
        <v>129</v>
      </c>
      <c r="E1049" s="991"/>
      <c r="F1049" s="813" t="s">
        <v>1063</v>
      </c>
      <c r="G1049" s="813" t="s">
        <v>1063</v>
      </c>
      <c r="H1049" s="813" t="s">
        <v>1063</v>
      </c>
      <c r="I1049" s="813" t="s">
        <v>1063</v>
      </c>
      <c r="J1049" s="813" t="s">
        <v>1063</v>
      </c>
      <c r="K1049" s="813" t="s">
        <v>1063</v>
      </c>
      <c r="L1049" s="813" t="s">
        <v>1063</v>
      </c>
      <c r="M1049" s="813" t="s">
        <v>1063</v>
      </c>
      <c r="N1049" s="813" t="s">
        <v>1063</v>
      </c>
      <c r="O1049" s="813" t="s">
        <v>1063</v>
      </c>
      <c r="P1049" s="813" t="s">
        <v>1063</v>
      </c>
      <c r="Q1049" s="813" t="s">
        <v>1063</v>
      </c>
      <c r="R1049" s="813" t="s">
        <v>1063</v>
      </c>
      <c r="S1049" s="813" t="s">
        <v>1063</v>
      </c>
      <c r="T1049" s="813" t="s">
        <v>1063</v>
      </c>
      <c r="U1049" s="813" t="s">
        <v>1063</v>
      </c>
      <c r="V1049" s="813" t="s">
        <v>1063</v>
      </c>
      <c r="W1049" s="813" t="s">
        <v>1063</v>
      </c>
      <c r="X1049" s="813" t="s">
        <v>1063</v>
      </c>
      <c r="Y1049" s="813" t="s">
        <v>1063</v>
      </c>
      <c r="Z1049" s="813" t="s">
        <v>1063</v>
      </c>
      <c r="AA1049" s="813" t="s">
        <v>1063</v>
      </c>
      <c r="AB1049" s="813" t="s">
        <v>1063</v>
      </c>
      <c r="AC1049" s="813" t="s">
        <v>1063</v>
      </c>
      <c r="AD1049" s="813" t="s">
        <v>1063</v>
      </c>
      <c r="AE1049" s="813" t="s">
        <v>1063</v>
      </c>
      <c r="AF1049" s="813" t="s">
        <v>1063</v>
      </c>
      <c r="AG1049" s="813" t="s">
        <v>1063</v>
      </c>
      <c r="AH1049" s="813" t="s">
        <v>1063</v>
      </c>
      <c r="AI1049" s="813" t="s">
        <v>1063</v>
      </c>
      <c r="AJ1049" s="813" t="s">
        <v>1063</v>
      </c>
      <c r="AK1049" s="813" t="s">
        <v>1063</v>
      </c>
      <c r="AL1049" s="813" t="s">
        <v>1063</v>
      </c>
    </row>
    <row r="1050" spans="1:38" s="792" customFormat="1" ht="14.25" customHeight="1">
      <c r="A1050" s="989" t="s">
        <v>1157</v>
      </c>
      <c r="B1050" s="791"/>
      <c r="C1050" s="791"/>
      <c r="D1050" s="791"/>
      <c r="E1050" s="791"/>
      <c r="F1050" s="790"/>
      <c r="G1050" s="790"/>
      <c r="H1050" s="790"/>
      <c r="I1050" s="790"/>
      <c r="J1050" s="790"/>
      <c r="K1050" s="790"/>
      <c r="L1050" s="790"/>
      <c r="M1050" s="790"/>
      <c r="N1050" s="790"/>
      <c r="O1050" s="790"/>
      <c r="P1050" s="790"/>
      <c r="Q1050" s="790"/>
      <c r="R1050" s="790"/>
      <c r="S1050" s="790"/>
      <c r="T1050" s="790"/>
      <c r="U1050" s="790"/>
      <c r="V1050" s="790"/>
      <c r="W1050" s="790"/>
      <c r="X1050" s="790"/>
      <c r="Y1050" s="790"/>
      <c r="Z1050" s="790"/>
      <c r="AA1050" s="790"/>
      <c r="AB1050" s="790"/>
      <c r="AC1050" s="790"/>
      <c r="AD1050" s="790"/>
      <c r="AE1050" s="790"/>
      <c r="AF1050" s="790"/>
      <c r="AG1050" s="790"/>
      <c r="AH1050" s="790"/>
      <c r="AI1050" s="790"/>
      <c r="AJ1050" s="790"/>
      <c r="AK1050" s="790"/>
      <c r="AL1050" s="790"/>
    </row>
    <row r="1051" spans="1:38" ht="12.6">
      <c r="A1051" s="990" t="s">
        <v>1158</v>
      </c>
      <c r="B1051" s="991" t="s">
        <v>1137</v>
      </c>
      <c r="C1051" s="991" t="s">
        <v>1058</v>
      </c>
      <c r="D1051" s="991" t="s">
        <v>129</v>
      </c>
      <c r="E1051" s="991"/>
      <c r="F1051" s="813" t="s">
        <v>1059</v>
      </c>
      <c r="G1051" s="813" t="s">
        <v>1059</v>
      </c>
      <c r="H1051" s="813" t="s">
        <v>1059</v>
      </c>
      <c r="I1051" s="813" t="s">
        <v>1059</v>
      </c>
      <c r="J1051" s="813" t="s">
        <v>1059</v>
      </c>
      <c r="K1051" s="813" t="s">
        <v>1059</v>
      </c>
      <c r="L1051" s="813" t="s">
        <v>1059</v>
      </c>
      <c r="M1051" s="813" t="s">
        <v>1059</v>
      </c>
      <c r="N1051" s="813" t="s">
        <v>1059</v>
      </c>
      <c r="O1051" s="813" t="s">
        <v>1059</v>
      </c>
      <c r="P1051" s="813" t="s">
        <v>1059</v>
      </c>
      <c r="Q1051" s="813" t="s">
        <v>1059</v>
      </c>
      <c r="R1051" s="813" t="s">
        <v>1059</v>
      </c>
      <c r="S1051" s="813" t="s">
        <v>1059</v>
      </c>
      <c r="T1051" s="813" t="s">
        <v>1059</v>
      </c>
      <c r="U1051" s="813" t="s">
        <v>1059</v>
      </c>
      <c r="V1051" s="813" t="s">
        <v>1059</v>
      </c>
      <c r="W1051" s="813" t="s">
        <v>1059</v>
      </c>
      <c r="X1051" s="813" t="s">
        <v>1059</v>
      </c>
      <c r="Y1051" s="813" t="s">
        <v>1059</v>
      </c>
      <c r="Z1051" s="813" t="s">
        <v>1059</v>
      </c>
      <c r="AA1051" s="813" t="s">
        <v>1059</v>
      </c>
      <c r="AB1051" s="813" t="s">
        <v>1059</v>
      </c>
      <c r="AC1051" s="813" t="s">
        <v>1059</v>
      </c>
      <c r="AD1051" s="813" t="s">
        <v>1059</v>
      </c>
      <c r="AE1051" s="813" t="s">
        <v>1059</v>
      </c>
      <c r="AF1051" s="813" t="s">
        <v>1059</v>
      </c>
      <c r="AG1051" s="813" t="s">
        <v>1059</v>
      </c>
      <c r="AH1051" s="813" t="s">
        <v>1059</v>
      </c>
      <c r="AI1051" s="813" t="s">
        <v>1059</v>
      </c>
      <c r="AJ1051" s="813" t="s">
        <v>1059</v>
      </c>
      <c r="AK1051" s="813" t="s">
        <v>1059</v>
      </c>
      <c r="AL1051" s="813" t="s">
        <v>1060</v>
      </c>
    </row>
    <row r="1052" spans="1:38" ht="12.6">
      <c r="A1052" s="990" t="s">
        <v>1159</v>
      </c>
      <c r="B1052" s="991" t="s">
        <v>1137</v>
      </c>
      <c r="C1052" s="991" t="s">
        <v>1062</v>
      </c>
      <c r="D1052" s="991" t="s">
        <v>129</v>
      </c>
      <c r="E1052" s="991"/>
      <c r="F1052" s="813" t="s">
        <v>1063</v>
      </c>
      <c r="G1052" s="813" t="s">
        <v>1063</v>
      </c>
      <c r="H1052" s="813" t="s">
        <v>1063</v>
      </c>
      <c r="I1052" s="813" t="s">
        <v>1063</v>
      </c>
      <c r="J1052" s="813" t="s">
        <v>1063</v>
      </c>
      <c r="K1052" s="813" t="s">
        <v>1063</v>
      </c>
      <c r="L1052" s="813" t="s">
        <v>1063</v>
      </c>
      <c r="M1052" s="813" t="s">
        <v>1063</v>
      </c>
      <c r="N1052" s="813" t="s">
        <v>1063</v>
      </c>
      <c r="O1052" s="813" t="s">
        <v>1063</v>
      </c>
      <c r="P1052" s="813" t="s">
        <v>1063</v>
      </c>
      <c r="Q1052" s="813" t="s">
        <v>1063</v>
      </c>
      <c r="R1052" s="813" t="s">
        <v>1063</v>
      </c>
      <c r="S1052" s="813" t="s">
        <v>1063</v>
      </c>
      <c r="T1052" s="813" t="s">
        <v>1063</v>
      </c>
      <c r="U1052" s="813" t="s">
        <v>1063</v>
      </c>
      <c r="V1052" s="813" t="s">
        <v>1063</v>
      </c>
      <c r="W1052" s="813" t="s">
        <v>1063</v>
      </c>
      <c r="X1052" s="813" t="s">
        <v>1063</v>
      </c>
      <c r="Y1052" s="813" t="s">
        <v>1063</v>
      </c>
      <c r="Z1052" s="813" t="s">
        <v>1063</v>
      </c>
      <c r="AA1052" s="813" t="s">
        <v>1063</v>
      </c>
      <c r="AB1052" s="813" t="s">
        <v>1063</v>
      </c>
      <c r="AC1052" s="813" t="s">
        <v>1063</v>
      </c>
      <c r="AD1052" s="813" t="s">
        <v>1063</v>
      </c>
      <c r="AE1052" s="813" t="s">
        <v>1063</v>
      </c>
      <c r="AF1052" s="813" t="s">
        <v>1063</v>
      </c>
      <c r="AG1052" s="813" t="s">
        <v>1063</v>
      </c>
      <c r="AH1052" s="813" t="s">
        <v>1063</v>
      </c>
      <c r="AI1052" s="813" t="s">
        <v>1063</v>
      </c>
      <c r="AJ1052" s="813" t="s">
        <v>1063</v>
      </c>
      <c r="AK1052" s="813" t="s">
        <v>1063</v>
      </c>
      <c r="AL1052" s="813" t="s">
        <v>1063</v>
      </c>
    </row>
    <row r="1053" spans="1:38" s="792" customFormat="1" ht="14.25" customHeight="1">
      <c r="A1053" s="989" t="s">
        <v>1160</v>
      </c>
      <c r="B1053" s="791"/>
      <c r="C1053" s="791"/>
      <c r="D1053" s="791"/>
      <c r="E1053" s="791"/>
      <c r="F1053" s="790"/>
      <c r="G1053" s="790"/>
      <c r="H1053" s="790"/>
      <c r="I1053" s="790"/>
      <c r="J1053" s="790"/>
      <c r="K1053" s="790"/>
      <c r="L1053" s="790"/>
      <c r="M1053" s="790"/>
      <c r="N1053" s="790"/>
      <c r="O1053" s="790"/>
      <c r="P1053" s="790"/>
      <c r="Q1053" s="790"/>
      <c r="R1053" s="790"/>
      <c r="S1053" s="790"/>
      <c r="T1053" s="790"/>
      <c r="U1053" s="790"/>
      <c r="V1053" s="790"/>
      <c r="W1053" s="790"/>
      <c r="X1053" s="790"/>
      <c r="Y1053" s="790"/>
      <c r="Z1053" s="790"/>
      <c r="AA1053" s="790"/>
      <c r="AB1053" s="790"/>
      <c r="AC1053" s="790"/>
      <c r="AD1053" s="790"/>
      <c r="AE1053" s="790"/>
      <c r="AF1053" s="790"/>
      <c r="AG1053" s="790"/>
      <c r="AH1053" s="790"/>
      <c r="AI1053" s="790"/>
      <c r="AJ1053" s="790"/>
      <c r="AK1053" s="790"/>
      <c r="AL1053" s="790"/>
    </row>
    <row r="1054" spans="1:38" ht="12.6">
      <c r="A1054" s="990" t="s">
        <v>1161</v>
      </c>
      <c r="B1054" s="991" t="s">
        <v>1137</v>
      </c>
      <c r="C1054" s="991" t="s">
        <v>1058</v>
      </c>
      <c r="D1054" s="991" t="s">
        <v>129</v>
      </c>
      <c r="E1054" s="991"/>
      <c r="F1054" s="813" t="s">
        <v>106</v>
      </c>
      <c r="G1054" s="813" t="s">
        <v>106</v>
      </c>
      <c r="H1054" s="813" t="s">
        <v>106</v>
      </c>
      <c r="I1054" s="813" t="s">
        <v>106</v>
      </c>
      <c r="J1054" s="813" t="s">
        <v>106</v>
      </c>
      <c r="K1054" s="813" t="s">
        <v>106</v>
      </c>
      <c r="L1054" s="813" t="s">
        <v>106</v>
      </c>
      <c r="M1054" s="813" t="s">
        <v>106</v>
      </c>
      <c r="N1054" s="813" t="s">
        <v>106</v>
      </c>
      <c r="O1054" s="813" t="s">
        <v>106</v>
      </c>
      <c r="P1054" s="813" t="s">
        <v>106</v>
      </c>
      <c r="Q1054" s="813" t="s">
        <v>106</v>
      </c>
      <c r="R1054" s="813" t="s">
        <v>106</v>
      </c>
      <c r="S1054" s="813" t="s">
        <v>106</v>
      </c>
      <c r="T1054" s="813" t="s">
        <v>106</v>
      </c>
      <c r="U1054" s="813" t="s">
        <v>106</v>
      </c>
      <c r="V1054" s="813" t="s">
        <v>106</v>
      </c>
      <c r="W1054" s="813" t="s">
        <v>106</v>
      </c>
      <c r="X1054" s="813" t="s">
        <v>106</v>
      </c>
      <c r="Y1054" s="813" t="s">
        <v>106</v>
      </c>
      <c r="Z1054" s="813" t="s">
        <v>106</v>
      </c>
      <c r="AA1054" s="813" t="s">
        <v>106</v>
      </c>
      <c r="AB1054" s="813" t="s">
        <v>106</v>
      </c>
      <c r="AC1054" s="813" t="s">
        <v>106</v>
      </c>
      <c r="AD1054" s="813" t="s">
        <v>106</v>
      </c>
      <c r="AE1054" s="813" t="s">
        <v>106</v>
      </c>
      <c r="AF1054" s="813" t="s">
        <v>106</v>
      </c>
      <c r="AG1054" s="813" t="s">
        <v>106</v>
      </c>
      <c r="AH1054" s="813" t="s">
        <v>106</v>
      </c>
      <c r="AI1054" s="813" t="s">
        <v>106</v>
      </c>
      <c r="AJ1054" s="813" t="s">
        <v>106</v>
      </c>
      <c r="AK1054" s="813" t="s">
        <v>106</v>
      </c>
      <c r="AL1054" s="813" t="s">
        <v>106</v>
      </c>
    </row>
    <row r="1055" spans="1:38" ht="12.6">
      <c r="A1055" s="990" t="s">
        <v>1162</v>
      </c>
      <c r="B1055" s="991" t="s">
        <v>1137</v>
      </c>
      <c r="C1055" s="991" t="s">
        <v>1062</v>
      </c>
      <c r="D1055" s="991" t="s">
        <v>129</v>
      </c>
      <c r="E1055" s="991"/>
      <c r="F1055" s="813" t="s">
        <v>106</v>
      </c>
      <c r="G1055" s="813" t="s">
        <v>106</v>
      </c>
      <c r="H1055" s="813" t="s">
        <v>106</v>
      </c>
      <c r="I1055" s="813" t="s">
        <v>106</v>
      </c>
      <c r="J1055" s="813" t="s">
        <v>106</v>
      </c>
      <c r="K1055" s="813" t="s">
        <v>106</v>
      </c>
      <c r="L1055" s="813" t="s">
        <v>106</v>
      </c>
      <c r="M1055" s="813" t="s">
        <v>106</v>
      </c>
      <c r="N1055" s="813" t="s">
        <v>106</v>
      </c>
      <c r="O1055" s="813" t="s">
        <v>106</v>
      </c>
      <c r="P1055" s="813" t="s">
        <v>106</v>
      </c>
      <c r="Q1055" s="813" t="s">
        <v>106</v>
      </c>
      <c r="R1055" s="813" t="s">
        <v>106</v>
      </c>
      <c r="S1055" s="813" t="s">
        <v>106</v>
      </c>
      <c r="T1055" s="813" t="s">
        <v>106</v>
      </c>
      <c r="U1055" s="813" t="s">
        <v>106</v>
      </c>
      <c r="V1055" s="813" t="s">
        <v>106</v>
      </c>
      <c r="W1055" s="813" t="s">
        <v>106</v>
      </c>
      <c r="X1055" s="813" t="s">
        <v>106</v>
      </c>
      <c r="Y1055" s="813" t="s">
        <v>106</v>
      </c>
      <c r="Z1055" s="813" t="s">
        <v>106</v>
      </c>
      <c r="AA1055" s="813" t="s">
        <v>106</v>
      </c>
      <c r="AB1055" s="813" t="s">
        <v>106</v>
      </c>
      <c r="AC1055" s="813" t="s">
        <v>106</v>
      </c>
      <c r="AD1055" s="813" t="s">
        <v>106</v>
      </c>
      <c r="AE1055" s="813" t="s">
        <v>106</v>
      </c>
      <c r="AF1055" s="813" t="s">
        <v>106</v>
      </c>
      <c r="AG1055" s="813" t="s">
        <v>106</v>
      </c>
      <c r="AH1055" s="813" t="s">
        <v>106</v>
      </c>
      <c r="AI1055" s="813" t="s">
        <v>106</v>
      </c>
      <c r="AJ1055" s="813" t="s">
        <v>106</v>
      </c>
      <c r="AK1055" s="813" t="s">
        <v>106</v>
      </c>
      <c r="AL1055" s="813" t="s">
        <v>106</v>
      </c>
    </row>
    <row r="1056" spans="1:38" s="792" customFormat="1" ht="14.25" customHeight="1">
      <c r="A1056" s="989" t="s">
        <v>1163</v>
      </c>
      <c r="B1056" s="791"/>
      <c r="C1056" s="791"/>
      <c r="D1056" s="791"/>
      <c r="E1056" s="791"/>
      <c r="F1056" s="790"/>
      <c r="G1056" s="790"/>
      <c r="H1056" s="790"/>
      <c r="I1056" s="790"/>
      <c r="J1056" s="790"/>
      <c r="K1056" s="790"/>
      <c r="L1056" s="790"/>
      <c r="M1056" s="790"/>
      <c r="N1056" s="790"/>
      <c r="O1056" s="790"/>
      <c r="P1056" s="790"/>
      <c r="Q1056" s="790"/>
      <c r="R1056" s="790"/>
      <c r="S1056" s="790"/>
      <c r="T1056" s="790"/>
      <c r="U1056" s="790"/>
      <c r="V1056" s="790"/>
      <c r="W1056" s="790"/>
      <c r="X1056" s="790"/>
      <c r="Y1056" s="790"/>
      <c r="Z1056" s="790"/>
      <c r="AA1056" s="790"/>
      <c r="AB1056" s="790"/>
      <c r="AC1056" s="790"/>
      <c r="AD1056" s="790"/>
      <c r="AE1056" s="790"/>
      <c r="AF1056" s="790"/>
      <c r="AG1056" s="790"/>
      <c r="AH1056" s="790"/>
      <c r="AI1056" s="790"/>
      <c r="AJ1056" s="790"/>
      <c r="AK1056" s="790"/>
      <c r="AL1056" s="790"/>
    </row>
    <row r="1057" spans="1:38" ht="12.6">
      <c r="A1057" s="990" t="s">
        <v>1164</v>
      </c>
      <c r="B1057" s="991" t="s">
        <v>1137</v>
      </c>
      <c r="C1057" s="991" t="s">
        <v>1058</v>
      </c>
      <c r="D1057" s="991" t="s">
        <v>129</v>
      </c>
      <c r="E1057" s="991"/>
      <c r="F1057" s="813" t="s">
        <v>106</v>
      </c>
      <c r="G1057" s="813" t="s">
        <v>106</v>
      </c>
      <c r="H1057" s="813" t="s">
        <v>106</v>
      </c>
      <c r="I1057" s="813" t="s">
        <v>106</v>
      </c>
      <c r="J1057" s="813" t="s">
        <v>106</v>
      </c>
      <c r="K1057" s="813" t="s">
        <v>106</v>
      </c>
      <c r="L1057" s="813" t="s">
        <v>106</v>
      </c>
      <c r="M1057" s="813" t="s">
        <v>106</v>
      </c>
      <c r="N1057" s="813" t="s">
        <v>106</v>
      </c>
      <c r="O1057" s="813" t="s">
        <v>106</v>
      </c>
      <c r="P1057" s="813" t="s">
        <v>106</v>
      </c>
      <c r="Q1057" s="813" t="s">
        <v>106</v>
      </c>
      <c r="R1057" s="813" t="s">
        <v>106</v>
      </c>
      <c r="S1057" s="813" t="s">
        <v>106</v>
      </c>
      <c r="T1057" s="813" t="s">
        <v>106</v>
      </c>
      <c r="U1057" s="813" t="s">
        <v>106</v>
      </c>
      <c r="V1057" s="813" t="s">
        <v>106</v>
      </c>
      <c r="W1057" s="813" t="s">
        <v>106</v>
      </c>
      <c r="X1057" s="813" t="s">
        <v>106</v>
      </c>
      <c r="Y1057" s="813" t="s">
        <v>106</v>
      </c>
      <c r="Z1057" s="813" t="s">
        <v>106</v>
      </c>
      <c r="AA1057" s="813" t="s">
        <v>106</v>
      </c>
      <c r="AB1057" s="813" t="s">
        <v>106</v>
      </c>
      <c r="AC1057" s="813" t="s">
        <v>106</v>
      </c>
      <c r="AD1057" s="813" t="s">
        <v>106</v>
      </c>
      <c r="AE1057" s="813" t="s">
        <v>106</v>
      </c>
      <c r="AF1057" s="813" t="s">
        <v>106</v>
      </c>
      <c r="AG1057" s="813" t="s">
        <v>106</v>
      </c>
      <c r="AH1057" s="813" t="s">
        <v>106</v>
      </c>
      <c r="AI1057" s="813" t="s">
        <v>106</v>
      </c>
      <c r="AJ1057" s="813" t="s">
        <v>106</v>
      </c>
      <c r="AK1057" s="813" t="s">
        <v>106</v>
      </c>
      <c r="AL1057" s="813" t="s">
        <v>106</v>
      </c>
    </row>
    <row r="1058" spans="1:38" ht="12.95" thickBot="1">
      <c r="A1058" s="993" t="s">
        <v>1165</v>
      </c>
      <c r="B1058" s="994" t="s">
        <v>1137</v>
      </c>
      <c r="C1058" s="994" t="s">
        <v>1062</v>
      </c>
      <c r="D1058" s="994" t="s">
        <v>129</v>
      </c>
      <c r="E1058" s="994"/>
      <c r="F1058" s="331" t="s">
        <v>106</v>
      </c>
      <c r="G1058" s="331" t="s">
        <v>106</v>
      </c>
      <c r="H1058" s="331" t="s">
        <v>106</v>
      </c>
      <c r="I1058" s="331" t="s">
        <v>106</v>
      </c>
      <c r="J1058" s="331" t="s">
        <v>106</v>
      </c>
      <c r="K1058" s="331" t="s">
        <v>106</v>
      </c>
      <c r="L1058" s="331" t="s">
        <v>106</v>
      </c>
      <c r="M1058" s="331" t="s">
        <v>106</v>
      </c>
      <c r="N1058" s="331" t="s">
        <v>106</v>
      </c>
      <c r="O1058" s="331" t="s">
        <v>106</v>
      </c>
      <c r="P1058" s="331" t="s">
        <v>106</v>
      </c>
      <c r="Q1058" s="331" t="s">
        <v>106</v>
      </c>
      <c r="R1058" s="331" t="s">
        <v>106</v>
      </c>
      <c r="S1058" s="331" t="s">
        <v>106</v>
      </c>
      <c r="T1058" s="331" t="s">
        <v>106</v>
      </c>
      <c r="U1058" s="331" t="s">
        <v>106</v>
      </c>
      <c r="V1058" s="331" t="s">
        <v>106</v>
      </c>
      <c r="W1058" s="331" t="s">
        <v>106</v>
      </c>
      <c r="X1058" s="331" t="s">
        <v>106</v>
      </c>
      <c r="Y1058" s="331" t="s">
        <v>106</v>
      </c>
      <c r="Z1058" s="331" t="s">
        <v>106</v>
      </c>
      <c r="AA1058" s="331" t="s">
        <v>106</v>
      </c>
      <c r="AB1058" s="331" t="s">
        <v>106</v>
      </c>
      <c r="AC1058" s="331" t="s">
        <v>106</v>
      </c>
      <c r="AD1058" s="331" t="s">
        <v>106</v>
      </c>
      <c r="AE1058" s="331" t="s">
        <v>106</v>
      </c>
      <c r="AF1058" s="331" t="s">
        <v>106</v>
      </c>
      <c r="AG1058" s="331" t="s">
        <v>106</v>
      </c>
      <c r="AH1058" s="331" t="s">
        <v>106</v>
      </c>
      <c r="AI1058" s="331" t="s">
        <v>106</v>
      </c>
      <c r="AJ1058" s="331" t="s">
        <v>106</v>
      </c>
      <c r="AK1058" s="331" t="s">
        <v>106</v>
      </c>
      <c r="AL1058" s="331" t="s">
        <v>106</v>
      </c>
    </row>
    <row r="1059" spans="1:38" s="797" customFormat="1" ht="12.95">
      <c r="A1059" s="796" t="s">
        <v>350</v>
      </c>
      <c r="B1059" s="796"/>
      <c r="C1059" s="796"/>
      <c r="D1059" s="796"/>
      <c r="E1059" s="796"/>
      <c r="F1059" s="795"/>
      <c r="G1059" s="795"/>
      <c r="H1059" s="795"/>
      <c r="I1059" s="795"/>
      <c r="J1059" s="795"/>
      <c r="K1059" s="795"/>
      <c r="L1059" s="795"/>
      <c r="M1059" s="795"/>
      <c r="N1059" s="795"/>
      <c r="O1059" s="795"/>
      <c r="P1059" s="795"/>
      <c r="Q1059" s="795"/>
      <c r="R1059" s="795"/>
      <c r="S1059" s="795"/>
      <c r="T1059" s="795"/>
      <c r="U1059" s="795"/>
      <c r="V1059" s="795"/>
      <c r="W1059" s="795"/>
      <c r="X1059" s="795"/>
      <c r="Y1059" s="795"/>
      <c r="Z1059" s="795"/>
      <c r="AA1059" s="795"/>
      <c r="AB1059" s="795"/>
      <c r="AC1059" s="795"/>
      <c r="AD1059" s="795"/>
      <c r="AE1059" s="795"/>
      <c r="AF1059" s="795"/>
      <c r="AG1059" s="795"/>
      <c r="AH1059" s="795"/>
      <c r="AI1059" s="795"/>
      <c r="AJ1059" s="795"/>
      <c r="AK1059" s="795"/>
      <c r="AL1059" s="795"/>
    </row>
    <row r="1060" spans="1:38" s="792" customFormat="1" ht="14.25" customHeight="1">
      <c r="A1060" s="989" t="s">
        <v>351</v>
      </c>
      <c r="B1060" s="791"/>
      <c r="C1060" s="791"/>
      <c r="D1060" s="791"/>
      <c r="E1060" s="791"/>
      <c r="F1060" s="790"/>
      <c r="G1060" s="790"/>
      <c r="H1060" s="790"/>
      <c r="I1060" s="790"/>
      <c r="J1060" s="790"/>
      <c r="K1060" s="790"/>
      <c r="L1060" s="790"/>
      <c r="M1060" s="790"/>
      <c r="N1060" s="790"/>
      <c r="O1060" s="790"/>
      <c r="P1060" s="790"/>
      <c r="Q1060" s="790"/>
      <c r="R1060" s="790"/>
      <c r="S1060" s="790"/>
      <c r="T1060" s="790"/>
      <c r="U1060" s="790"/>
      <c r="V1060" s="790"/>
      <c r="W1060" s="790"/>
      <c r="X1060" s="790"/>
      <c r="Y1060" s="790"/>
      <c r="Z1060" s="790"/>
      <c r="AA1060" s="790"/>
      <c r="AB1060" s="790"/>
      <c r="AC1060" s="790"/>
      <c r="AD1060" s="790"/>
      <c r="AE1060" s="790"/>
      <c r="AF1060" s="790"/>
      <c r="AG1060" s="790"/>
      <c r="AH1060" s="790"/>
      <c r="AI1060" s="790"/>
      <c r="AJ1060" s="790"/>
      <c r="AK1060" s="790"/>
      <c r="AL1060" s="790"/>
    </row>
    <row r="1061" spans="1:38" ht="12.6">
      <c r="A1061" s="990" t="s">
        <v>1166</v>
      </c>
      <c r="B1061" s="991" t="s">
        <v>1167</v>
      </c>
      <c r="C1061" s="991" t="s">
        <v>1058</v>
      </c>
      <c r="D1061" s="991" t="s">
        <v>129</v>
      </c>
      <c r="E1061" s="991"/>
      <c r="F1061" s="813" t="s">
        <v>1059</v>
      </c>
      <c r="G1061" s="813" t="s">
        <v>1059</v>
      </c>
      <c r="H1061" s="813" t="s">
        <v>1059</v>
      </c>
      <c r="I1061" s="813" t="s">
        <v>1059</v>
      </c>
      <c r="J1061" s="813" t="s">
        <v>1059</v>
      </c>
      <c r="K1061" s="813" t="s">
        <v>1059</v>
      </c>
      <c r="L1061" s="813" t="s">
        <v>1059</v>
      </c>
      <c r="M1061" s="813" t="s">
        <v>1059</v>
      </c>
      <c r="N1061" s="813" t="s">
        <v>1059</v>
      </c>
      <c r="O1061" s="813" t="s">
        <v>1059</v>
      </c>
      <c r="P1061" s="813" t="s">
        <v>1059</v>
      </c>
      <c r="Q1061" s="813" t="s">
        <v>1059</v>
      </c>
      <c r="R1061" s="813" t="s">
        <v>1059</v>
      </c>
      <c r="S1061" s="813" t="s">
        <v>1059</v>
      </c>
      <c r="T1061" s="813" t="s">
        <v>1059</v>
      </c>
      <c r="U1061" s="813" t="s">
        <v>1059</v>
      </c>
      <c r="V1061" s="813" t="s">
        <v>1059</v>
      </c>
      <c r="W1061" s="813" t="s">
        <v>1059</v>
      </c>
      <c r="X1061" s="813" t="s">
        <v>1059</v>
      </c>
      <c r="Y1061" s="813" t="s">
        <v>1059</v>
      </c>
      <c r="Z1061" s="813" t="s">
        <v>1059</v>
      </c>
      <c r="AA1061" s="813" t="s">
        <v>1059</v>
      </c>
      <c r="AB1061" s="813" t="s">
        <v>1059</v>
      </c>
      <c r="AC1061" s="813" t="s">
        <v>1059</v>
      </c>
      <c r="AD1061" s="813" t="s">
        <v>1059</v>
      </c>
      <c r="AE1061" s="813" t="s">
        <v>1059</v>
      </c>
      <c r="AF1061" s="813" t="s">
        <v>1059</v>
      </c>
      <c r="AG1061" s="813" t="s">
        <v>1059</v>
      </c>
      <c r="AH1061" s="813" t="s">
        <v>1059</v>
      </c>
      <c r="AI1061" s="813" t="s">
        <v>1059</v>
      </c>
      <c r="AJ1061" s="813" t="s">
        <v>1059</v>
      </c>
      <c r="AK1061" s="813" t="s">
        <v>1059</v>
      </c>
      <c r="AL1061" s="813" t="s">
        <v>1060</v>
      </c>
    </row>
    <row r="1062" spans="1:38" ht="12.6">
      <c r="A1062" s="990" t="s">
        <v>1168</v>
      </c>
      <c r="B1062" s="991" t="s">
        <v>1167</v>
      </c>
      <c r="C1062" s="991" t="s">
        <v>1062</v>
      </c>
      <c r="D1062" s="991" t="s">
        <v>129</v>
      </c>
      <c r="E1062" s="991"/>
      <c r="F1062" s="813" t="s">
        <v>1063</v>
      </c>
      <c r="G1062" s="813" t="s">
        <v>1063</v>
      </c>
      <c r="H1062" s="813" t="s">
        <v>1063</v>
      </c>
      <c r="I1062" s="813" t="s">
        <v>1063</v>
      </c>
      <c r="J1062" s="813" t="s">
        <v>1063</v>
      </c>
      <c r="K1062" s="813" t="s">
        <v>1063</v>
      </c>
      <c r="L1062" s="813" t="s">
        <v>1063</v>
      </c>
      <c r="M1062" s="813" t="s">
        <v>1063</v>
      </c>
      <c r="N1062" s="813" t="s">
        <v>1063</v>
      </c>
      <c r="O1062" s="813" t="s">
        <v>1063</v>
      </c>
      <c r="P1062" s="813" t="s">
        <v>1063</v>
      </c>
      <c r="Q1062" s="813" t="s">
        <v>1063</v>
      </c>
      <c r="R1062" s="813" t="s">
        <v>1063</v>
      </c>
      <c r="S1062" s="813" t="s">
        <v>1063</v>
      </c>
      <c r="T1062" s="813" t="s">
        <v>1063</v>
      </c>
      <c r="U1062" s="813" t="s">
        <v>1063</v>
      </c>
      <c r="V1062" s="813" t="s">
        <v>1063</v>
      </c>
      <c r="W1062" s="813" t="s">
        <v>1063</v>
      </c>
      <c r="X1062" s="813" t="s">
        <v>1063</v>
      </c>
      <c r="Y1062" s="813" t="s">
        <v>1063</v>
      </c>
      <c r="Z1062" s="813" t="s">
        <v>1063</v>
      </c>
      <c r="AA1062" s="813" t="s">
        <v>1063</v>
      </c>
      <c r="AB1062" s="813" t="s">
        <v>1063</v>
      </c>
      <c r="AC1062" s="813" t="s">
        <v>1063</v>
      </c>
      <c r="AD1062" s="813" t="s">
        <v>1063</v>
      </c>
      <c r="AE1062" s="813" t="s">
        <v>1063</v>
      </c>
      <c r="AF1062" s="813" t="s">
        <v>1063</v>
      </c>
      <c r="AG1062" s="813" t="s">
        <v>1063</v>
      </c>
      <c r="AH1062" s="813" t="s">
        <v>1063</v>
      </c>
      <c r="AI1062" s="813" t="s">
        <v>1063</v>
      </c>
      <c r="AJ1062" s="813" t="s">
        <v>1063</v>
      </c>
      <c r="AK1062" s="813" t="s">
        <v>1063</v>
      </c>
      <c r="AL1062" s="813" t="s">
        <v>1063</v>
      </c>
    </row>
    <row r="1063" spans="1:38" s="792" customFormat="1" ht="14.25" customHeight="1">
      <c r="A1063" s="989" t="s">
        <v>357</v>
      </c>
      <c r="B1063" s="791"/>
      <c r="C1063" s="791"/>
      <c r="D1063" s="791"/>
      <c r="E1063" s="791"/>
      <c r="F1063" s="790"/>
      <c r="G1063" s="790"/>
      <c r="H1063" s="790"/>
      <c r="I1063" s="790"/>
      <c r="J1063" s="790"/>
      <c r="K1063" s="790"/>
      <c r="L1063" s="790"/>
      <c r="M1063" s="790"/>
      <c r="N1063" s="790"/>
      <c r="O1063" s="790"/>
      <c r="P1063" s="790"/>
      <c r="Q1063" s="790"/>
      <c r="R1063" s="790"/>
      <c r="S1063" s="790"/>
      <c r="T1063" s="790"/>
      <c r="U1063" s="790"/>
      <c r="V1063" s="790"/>
      <c r="W1063" s="790"/>
      <c r="X1063" s="790"/>
      <c r="Y1063" s="790"/>
      <c r="Z1063" s="790"/>
      <c r="AA1063" s="790"/>
      <c r="AB1063" s="790"/>
      <c r="AC1063" s="790"/>
      <c r="AD1063" s="790"/>
      <c r="AE1063" s="790"/>
      <c r="AF1063" s="790"/>
      <c r="AG1063" s="790"/>
      <c r="AH1063" s="790"/>
      <c r="AI1063" s="790"/>
      <c r="AJ1063" s="790"/>
      <c r="AK1063" s="790"/>
      <c r="AL1063" s="790"/>
    </row>
    <row r="1064" spans="1:38" ht="12.6">
      <c r="A1064" s="990" t="s">
        <v>1169</v>
      </c>
      <c r="B1064" s="991" t="s">
        <v>1170</v>
      </c>
      <c r="C1064" s="991" t="s">
        <v>1058</v>
      </c>
      <c r="D1064" s="991" t="s">
        <v>129</v>
      </c>
      <c r="E1064" s="991"/>
      <c r="F1064" s="813" t="s">
        <v>1059</v>
      </c>
      <c r="G1064" s="813" t="s">
        <v>1059</v>
      </c>
      <c r="H1064" s="813" t="s">
        <v>1059</v>
      </c>
      <c r="I1064" s="813" t="s">
        <v>1059</v>
      </c>
      <c r="J1064" s="813" t="s">
        <v>1059</v>
      </c>
      <c r="K1064" s="813" t="s">
        <v>1059</v>
      </c>
      <c r="L1064" s="813" t="s">
        <v>1059</v>
      </c>
      <c r="M1064" s="813" t="s">
        <v>1059</v>
      </c>
      <c r="N1064" s="813" t="s">
        <v>1059</v>
      </c>
      <c r="O1064" s="813" t="s">
        <v>1059</v>
      </c>
      <c r="P1064" s="813" t="s">
        <v>1059</v>
      </c>
      <c r="Q1064" s="813" t="s">
        <v>1059</v>
      </c>
      <c r="R1064" s="813" t="s">
        <v>1059</v>
      </c>
      <c r="S1064" s="813" t="s">
        <v>1059</v>
      </c>
      <c r="T1064" s="813" t="s">
        <v>1059</v>
      </c>
      <c r="U1064" s="813" t="s">
        <v>1059</v>
      </c>
      <c r="V1064" s="813" t="s">
        <v>1059</v>
      </c>
      <c r="W1064" s="813" t="s">
        <v>1059</v>
      </c>
      <c r="X1064" s="813" t="s">
        <v>1059</v>
      </c>
      <c r="Y1064" s="813" t="s">
        <v>1059</v>
      </c>
      <c r="Z1064" s="813" t="s">
        <v>1059</v>
      </c>
      <c r="AA1064" s="813" t="s">
        <v>1059</v>
      </c>
      <c r="AB1064" s="813" t="s">
        <v>1059</v>
      </c>
      <c r="AC1064" s="813" t="s">
        <v>1059</v>
      </c>
      <c r="AD1064" s="813" t="s">
        <v>1059</v>
      </c>
      <c r="AE1064" s="813" t="s">
        <v>1059</v>
      </c>
      <c r="AF1064" s="813" t="s">
        <v>1059</v>
      </c>
      <c r="AG1064" s="813" t="s">
        <v>1059</v>
      </c>
      <c r="AH1064" s="813" t="s">
        <v>1059</v>
      </c>
      <c r="AI1064" s="813" t="s">
        <v>1059</v>
      </c>
      <c r="AJ1064" s="813" t="s">
        <v>1059</v>
      </c>
      <c r="AK1064" s="813" t="s">
        <v>1059</v>
      </c>
      <c r="AL1064" s="813" t="s">
        <v>1060</v>
      </c>
    </row>
    <row r="1065" spans="1:38" ht="12.6">
      <c r="A1065" s="990" t="s">
        <v>1171</v>
      </c>
      <c r="B1065" s="991" t="s">
        <v>1170</v>
      </c>
      <c r="C1065" s="991" t="s">
        <v>1062</v>
      </c>
      <c r="D1065" s="991" t="s">
        <v>129</v>
      </c>
      <c r="E1065" s="991"/>
      <c r="F1065" s="813" t="s">
        <v>1063</v>
      </c>
      <c r="G1065" s="813" t="s">
        <v>1063</v>
      </c>
      <c r="H1065" s="813" t="s">
        <v>1063</v>
      </c>
      <c r="I1065" s="813" t="s">
        <v>1063</v>
      </c>
      <c r="J1065" s="813" t="s">
        <v>1063</v>
      </c>
      <c r="K1065" s="813" t="s">
        <v>1063</v>
      </c>
      <c r="L1065" s="813" t="s">
        <v>1063</v>
      </c>
      <c r="M1065" s="813" t="s">
        <v>1063</v>
      </c>
      <c r="N1065" s="813" t="s">
        <v>1063</v>
      </c>
      <c r="O1065" s="813" t="s">
        <v>1063</v>
      </c>
      <c r="P1065" s="813" t="s">
        <v>1063</v>
      </c>
      <c r="Q1065" s="813" t="s">
        <v>1063</v>
      </c>
      <c r="R1065" s="813" t="s">
        <v>1063</v>
      </c>
      <c r="S1065" s="813" t="s">
        <v>1063</v>
      </c>
      <c r="T1065" s="813" t="s">
        <v>1063</v>
      </c>
      <c r="U1065" s="813" t="s">
        <v>1063</v>
      </c>
      <c r="V1065" s="813" t="s">
        <v>1063</v>
      </c>
      <c r="W1065" s="813" t="s">
        <v>1063</v>
      </c>
      <c r="X1065" s="813" t="s">
        <v>1063</v>
      </c>
      <c r="Y1065" s="813" t="s">
        <v>1063</v>
      </c>
      <c r="Z1065" s="813" t="s">
        <v>1063</v>
      </c>
      <c r="AA1065" s="813" t="s">
        <v>1063</v>
      </c>
      <c r="AB1065" s="813" t="s">
        <v>1063</v>
      </c>
      <c r="AC1065" s="813" t="s">
        <v>1063</v>
      </c>
      <c r="AD1065" s="813" t="s">
        <v>1063</v>
      </c>
      <c r="AE1065" s="813" t="s">
        <v>1063</v>
      </c>
      <c r="AF1065" s="813" t="s">
        <v>1063</v>
      </c>
      <c r="AG1065" s="813" t="s">
        <v>1063</v>
      </c>
      <c r="AH1065" s="813" t="s">
        <v>1063</v>
      </c>
      <c r="AI1065" s="813" t="s">
        <v>1063</v>
      </c>
      <c r="AJ1065" s="813" t="s">
        <v>1063</v>
      </c>
      <c r="AK1065" s="813" t="s">
        <v>1063</v>
      </c>
      <c r="AL1065" s="813" t="s">
        <v>1063</v>
      </c>
    </row>
    <row r="1066" spans="1:38" s="792" customFormat="1" ht="14.25" customHeight="1">
      <c r="A1066" s="989" t="s">
        <v>363</v>
      </c>
      <c r="B1066" s="791"/>
      <c r="C1066" s="791"/>
      <c r="D1066" s="791"/>
      <c r="E1066" s="791"/>
      <c r="F1066" s="790"/>
      <c r="G1066" s="790"/>
      <c r="H1066" s="790"/>
      <c r="I1066" s="790"/>
      <c r="J1066" s="790"/>
      <c r="K1066" s="790"/>
      <c r="L1066" s="790"/>
      <c r="M1066" s="790"/>
      <c r="N1066" s="790"/>
      <c r="O1066" s="790"/>
      <c r="P1066" s="790"/>
      <c r="Q1066" s="790"/>
      <c r="R1066" s="790"/>
      <c r="S1066" s="790"/>
      <c r="T1066" s="790"/>
      <c r="U1066" s="790"/>
      <c r="V1066" s="790"/>
      <c r="W1066" s="790"/>
      <c r="X1066" s="790"/>
      <c r="Y1066" s="790"/>
      <c r="Z1066" s="790"/>
      <c r="AA1066" s="790"/>
      <c r="AB1066" s="790"/>
      <c r="AC1066" s="790"/>
      <c r="AD1066" s="790"/>
      <c r="AE1066" s="790"/>
      <c r="AF1066" s="790"/>
      <c r="AG1066" s="790"/>
      <c r="AH1066" s="790"/>
      <c r="AI1066" s="790"/>
      <c r="AJ1066" s="790"/>
      <c r="AK1066" s="790"/>
      <c r="AL1066" s="790"/>
    </row>
    <row r="1067" spans="1:38" ht="12.6">
      <c r="A1067" s="990" t="s">
        <v>1172</v>
      </c>
      <c r="B1067" s="991" t="s">
        <v>1173</v>
      </c>
      <c r="C1067" s="991" t="s">
        <v>1058</v>
      </c>
      <c r="D1067" s="991" t="s">
        <v>129</v>
      </c>
      <c r="E1067" s="991"/>
      <c r="F1067" s="813" t="s">
        <v>1059</v>
      </c>
      <c r="G1067" s="813" t="s">
        <v>1059</v>
      </c>
      <c r="H1067" s="813" t="s">
        <v>1059</v>
      </c>
      <c r="I1067" s="813" t="s">
        <v>1059</v>
      </c>
      <c r="J1067" s="813" t="s">
        <v>1059</v>
      </c>
      <c r="K1067" s="813" t="s">
        <v>1059</v>
      </c>
      <c r="L1067" s="813" t="s">
        <v>1059</v>
      </c>
      <c r="M1067" s="813" t="s">
        <v>1059</v>
      </c>
      <c r="N1067" s="813" t="s">
        <v>1059</v>
      </c>
      <c r="O1067" s="813" t="s">
        <v>1059</v>
      </c>
      <c r="P1067" s="813" t="s">
        <v>1059</v>
      </c>
      <c r="Q1067" s="813" t="s">
        <v>1059</v>
      </c>
      <c r="R1067" s="813" t="s">
        <v>1059</v>
      </c>
      <c r="S1067" s="813" t="s">
        <v>1059</v>
      </c>
      <c r="T1067" s="813" t="s">
        <v>1059</v>
      </c>
      <c r="U1067" s="813" t="s">
        <v>1059</v>
      </c>
      <c r="V1067" s="813" t="s">
        <v>1059</v>
      </c>
      <c r="W1067" s="813" t="s">
        <v>1059</v>
      </c>
      <c r="X1067" s="813" t="s">
        <v>1059</v>
      </c>
      <c r="Y1067" s="813" t="s">
        <v>1059</v>
      </c>
      <c r="Z1067" s="813" t="s">
        <v>1059</v>
      </c>
      <c r="AA1067" s="813" t="s">
        <v>1059</v>
      </c>
      <c r="AB1067" s="813" t="s">
        <v>1059</v>
      </c>
      <c r="AC1067" s="813" t="s">
        <v>1059</v>
      </c>
      <c r="AD1067" s="813" t="s">
        <v>1059</v>
      </c>
      <c r="AE1067" s="813" t="s">
        <v>1059</v>
      </c>
      <c r="AF1067" s="813" t="s">
        <v>1059</v>
      </c>
      <c r="AG1067" s="813" t="s">
        <v>1059</v>
      </c>
      <c r="AH1067" s="813" t="s">
        <v>1059</v>
      </c>
      <c r="AI1067" s="813" t="s">
        <v>1059</v>
      </c>
      <c r="AJ1067" s="813" t="s">
        <v>1059</v>
      </c>
      <c r="AK1067" s="813" t="s">
        <v>1059</v>
      </c>
      <c r="AL1067" s="813" t="s">
        <v>1060</v>
      </c>
    </row>
    <row r="1068" spans="1:38" ht="12.6">
      <c r="A1068" s="990" t="s">
        <v>1174</v>
      </c>
      <c r="B1068" s="991" t="s">
        <v>1173</v>
      </c>
      <c r="C1068" s="991" t="s">
        <v>1062</v>
      </c>
      <c r="D1068" s="991" t="s">
        <v>129</v>
      </c>
      <c r="E1068" s="991"/>
      <c r="F1068" s="813" t="s">
        <v>1063</v>
      </c>
      <c r="G1068" s="813" t="s">
        <v>1063</v>
      </c>
      <c r="H1068" s="813" t="s">
        <v>1063</v>
      </c>
      <c r="I1068" s="813" t="s">
        <v>1063</v>
      </c>
      <c r="J1068" s="813" t="s">
        <v>1063</v>
      </c>
      <c r="K1068" s="813" t="s">
        <v>1063</v>
      </c>
      <c r="L1068" s="813" t="s">
        <v>1063</v>
      </c>
      <c r="M1068" s="813" t="s">
        <v>1063</v>
      </c>
      <c r="N1068" s="813" t="s">
        <v>1063</v>
      </c>
      <c r="O1068" s="813" t="s">
        <v>1063</v>
      </c>
      <c r="P1068" s="813" t="s">
        <v>1063</v>
      </c>
      <c r="Q1068" s="813" t="s">
        <v>1063</v>
      </c>
      <c r="R1068" s="813" t="s">
        <v>1063</v>
      </c>
      <c r="S1068" s="813" t="s">
        <v>1063</v>
      </c>
      <c r="T1068" s="813" t="s">
        <v>1063</v>
      </c>
      <c r="U1068" s="813" t="s">
        <v>1063</v>
      </c>
      <c r="V1068" s="813" t="s">
        <v>1063</v>
      </c>
      <c r="W1068" s="813" t="s">
        <v>1063</v>
      </c>
      <c r="X1068" s="813" t="s">
        <v>1063</v>
      </c>
      <c r="Y1068" s="813" t="s">
        <v>1063</v>
      </c>
      <c r="Z1068" s="813" t="s">
        <v>1063</v>
      </c>
      <c r="AA1068" s="813" t="s">
        <v>1063</v>
      </c>
      <c r="AB1068" s="813" t="s">
        <v>1063</v>
      </c>
      <c r="AC1068" s="813" t="s">
        <v>1063</v>
      </c>
      <c r="AD1068" s="813" t="s">
        <v>1063</v>
      </c>
      <c r="AE1068" s="813" t="s">
        <v>1063</v>
      </c>
      <c r="AF1068" s="813" t="s">
        <v>1063</v>
      </c>
      <c r="AG1068" s="813" t="s">
        <v>1063</v>
      </c>
      <c r="AH1068" s="813" t="s">
        <v>1063</v>
      </c>
      <c r="AI1068" s="813" t="s">
        <v>1063</v>
      </c>
      <c r="AJ1068" s="813" t="s">
        <v>1063</v>
      </c>
      <c r="AK1068" s="813" t="s">
        <v>1063</v>
      </c>
      <c r="AL1068" s="813" t="s">
        <v>1063</v>
      </c>
    </row>
    <row r="1069" spans="1:38" s="792" customFormat="1" ht="14.25" customHeight="1">
      <c r="A1069" s="989" t="s">
        <v>369</v>
      </c>
      <c r="B1069" s="791"/>
      <c r="C1069" s="791"/>
      <c r="D1069" s="791"/>
      <c r="E1069" s="791"/>
      <c r="F1069" s="790"/>
      <c r="G1069" s="790"/>
      <c r="H1069" s="790"/>
      <c r="I1069" s="790"/>
      <c r="J1069" s="790"/>
      <c r="K1069" s="790"/>
      <c r="L1069" s="790"/>
      <c r="M1069" s="790"/>
      <c r="N1069" s="790"/>
      <c r="O1069" s="790"/>
      <c r="P1069" s="790"/>
      <c r="Q1069" s="790"/>
      <c r="R1069" s="790"/>
      <c r="S1069" s="790"/>
      <c r="T1069" s="790"/>
      <c r="U1069" s="790"/>
      <c r="V1069" s="790"/>
      <c r="W1069" s="790"/>
      <c r="X1069" s="790"/>
      <c r="Y1069" s="790"/>
      <c r="Z1069" s="790"/>
      <c r="AA1069" s="790"/>
      <c r="AB1069" s="790"/>
      <c r="AC1069" s="790"/>
      <c r="AD1069" s="790"/>
      <c r="AE1069" s="790"/>
      <c r="AF1069" s="790"/>
      <c r="AG1069" s="790"/>
      <c r="AH1069" s="790"/>
      <c r="AI1069" s="790"/>
      <c r="AJ1069" s="790"/>
      <c r="AK1069" s="790"/>
      <c r="AL1069" s="790"/>
    </row>
    <row r="1070" spans="1:38" ht="12.6">
      <c r="A1070" s="990" t="s">
        <v>1175</v>
      </c>
      <c r="B1070" s="991" t="s">
        <v>1176</v>
      </c>
      <c r="C1070" s="991" t="s">
        <v>1058</v>
      </c>
      <c r="D1070" s="991" t="s">
        <v>129</v>
      </c>
      <c r="E1070" s="991"/>
      <c r="F1070" s="813" t="s">
        <v>106</v>
      </c>
      <c r="G1070" s="813" t="s">
        <v>106</v>
      </c>
      <c r="H1070" s="813" t="s">
        <v>106</v>
      </c>
      <c r="I1070" s="813" t="s">
        <v>106</v>
      </c>
      <c r="J1070" s="813" t="s">
        <v>106</v>
      </c>
      <c r="K1070" s="813" t="s">
        <v>106</v>
      </c>
      <c r="L1070" s="813" t="s">
        <v>106</v>
      </c>
      <c r="M1070" s="813" t="s">
        <v>106</v>
      </c>
      <c r="N1070" s="813" t="s">
        <v>106</v>
      </c>
      <c r="O1070" s="813" t="s">
        <v>106</v>
      </c>
      <c r="P1070" s="813" t="s">
        <v>106</v>
      </c>
      <c r="Q1070" s="813" t="s">
        <v>106</v>
      </c>
      <c r="R1070" s="813" t="s">
        <v>106</v>
      </c>
      <c r="S1070" s="813" t="s">
        <v>106</v>
      </c>
      <c r="T1070" s="813" t="s">
        <v>106</v>
      </c>
      <c r="U1070" s="813" t="s">
        <v>106</v>
      </c>
      <c r="V1070" s="813" t="s">
        <v>106</v>
      </c>
      <c r="W1070" s="813" t="s">
        <v>106</v>
      </c>
      <c r="X1070" s="813" t="s">
        <v>106</v>
      </c>
      <c r="Y1070" s="813" t="s">
        <v>106</v>
      </c>
      <c r="Z1070" s="813" t="s">
        <v>106</v>
      </c>
      <c r="AA1070" s="813" t="s">
        <v>106</v>
      </c>
      <c r="AB1070" s="813" t="s">
        <v>106</v>
      </c>
      <c r="AC1070" s="813" t="s">
        <v>106</v>
      </c>
      <c r="AD1070" s="813" t="s">
        <v>106</v>
      </c>
      <c r="AE1070" s="813" t="s">
        <v>106</v>
      </c>
      <c r="AF1070" s="813" t="s">
        <v>106</v>
      </c>
      <c r="AG1070" s="813" t="s">
        <v>106</v>
      </c>
      <c r="AH1070" s="813" t="s">
        <v>106</v>
      </c>
      <c r="AI1070" s="813" t="s">
        <v>106</v>
      </c>
      <c r="AJ1070" s="813" t="s">
        <v>106</v>
      </c>
      <c r="AK1070" s="813" t="s">
        <v>106</v>
      </c>
      <c r="AL1070" s="813" t="s">
        <v>106</v>
      </c>
    </row>
    <row r="1071" spans="1:38" ht="12.6">
      <c r="A1071" s="990" t="s">
        <v>1177</v>
      </c>
      <c r="B1071" s="991" t="s">
        <v>1176</v>
      </c>
      <c r="C1071" s="991" t="s">
        <v>1062</v>
      </c>
      <c r="D1071" s="991" t="s">
        <v>129</v>
      </c>
      <c r="E1071" s="991"/>
      <c r="F1071" s="813" t="s">
        <v>106</v>
      </c>
      <c r="G1071" s="813" t="s">
        <v>106</v>
      </c>
      <c r="H1071" s="813" t="s">
        <v>106</v>
      </c>
      <c r="I1071" s="813" t="s">
        <v>106</v>
      </c>
      <c r="J1071" s="813" t="s">
        <v>106</v>
      </c>
      <c r="K1071" s="813" t="s">
        <v>106</v>
      </c>
      <c r="L1071" s="813" t="s">
        <v>106</v>
      </c>
      <c r="M1071" s="813" t="s">
        <v>106</v>
      </c>
      <c r="N1071" s="813" t="s">
        <v>106</v>
      </c>
      <c r="O1071" s="813" t="s">
        <v>106</v>
      </c>
      <c r="P1071" s="813" t="s">
        <v>106</v>
      </c>
      <c r="Q1071" s="813" t="s">
        <v>106</v>
      </c>
      <c r="R1071" s="813" t="s">
        <v>106</v>
      </c>
      <c r="S1071" s="813" t="s">
        <v>106</v>
      </c>
      <c r="T1071" s="813" t="s">
        <v>106</v>
      </c>
      <c r="U1071" s="813" t="s">
        <v>106</v>
      </c>
      <c r="V1071" s="813" t="s">
        <v>106</v>
      </c>
      <c r="W1071" s="813" t="s">
        <v>106</v>
      </c>
      <c r="X1071" s="813" t="s">
        <v>106</v>
      </c>
      <c r="Y1071" s="813" t="s">
        <v>106</v>
      </c>
      <c r="Z1071" s="813" t="s">
        <v>106</v>
      </c>
      <c r="AA1071" s="813" t="s">
        <v>106</v>
      </c>
      <c r="AB1071" s="813" t="s">
        <v>106</v>
      </c>
      <c r="AC1071" s="813" t="s">
        <v>106</v>
      </c>
      <c r="AD1071" s="813" t="s">
        <v>106</v>
      </c>
      <c r="AE1071" s="813" t="s">
        <v>106</v>
      </c>
      <c r="AF1071" s="813" t="s">
        <v>106</v>
      </c>
      <c r="AG1071" s="813" t="s">
        <v>106</v>
      </c>
      <c r="AH1071" s="813" t="s">
        <v>106</v>
      </c>
      <c r="AI1071" s="813" t="s">
        <v>106</v>
      </c>
      <c r="AJ1071" s="813" t="s">
        <v>106</v>
      </c>
      <c r="AK1071" s="813" t="s">
        <v>106</v>
      </c>
      <c r="AL1071" s="813" t="s">
        <v>106</v>
      </c>
    </row>
    <row r="1072" spans="1:38" s="792" customFormat="1" ht="14.25" customHeight="1">
      <c r="A1072" s="989" t="s">
        <v>375</v>
      </c>
      <c r="B1072" s="791"/>
      <c r="C1072" s="791"/>
      <c r="D1072" s="791"/>
      <c r="E1072" s="791"/>
      <c r="F1072" s="790"/>
      <c r="G1072" s="790"/>
      <c r="H1072" s="790"/>
      <c r="I1072" s="790"/>
      <c r="J1072" s="790"/>
      <c r="K1072" s="790"/>
      <c r="L1072" s="790"/>
      <c r="M1072" s="790"/>
      <c r="N1072" s="790"/>
      <c r="O1072" s="790"/>
      <c r="P1072" s="790"/>
      <c r="Q1072" s="790"/>
      <c r="R1072" s="790"/>
      <c r="S1072" s="790"/>
      <c r="T1072" s="790"/>
      <c r="U1072" s="790"/>
      <c r="V1072" s="790"/>
      <c r="W1072" s="790"/>
      <c r="X1072" s="790"/>
      <c r="Y1072" s="790"/>
      <c r="Z1072" s="790"/>
      <c r="AA1072" s="790"/>
      <c r="AB1072" s="790"/>
      <c r="AC1072" s="790"/>
      <c r="AD1072" s="790"/>
      <c r="AE1072" s="790"/>
      <c r="AF1072" s="790"/>
      <c r="AG1072" s="790"/>
      <c r="AH1072" s="790"/>
      <c r="AI1072" s="790"/>
      <c r="AJ1072" s="790"/>
      <c r="AK1072" s="790"/>
      <c r="AL1072" s="790"/>
    </row>
    <row r="1073" spans="1:38" ht="12.6">
      <c r="A1073" s="990" t="s">
        <v>1178</v>
      </c>
      <c r="B1073" s="991" t="s">
        <v>1179</v>
      </c>
      <c r="C1073" s="991" t="s">
        <v>1058</v>
      </c>
      <c r="D1073" s="991" t="s">
        <v>129</v>
      </c>
      <c r="E1073" s="991"/>
      <c r="F1073" s="813" t="s">
        <v>106</v>
      </c>
      <c r="G1073" s="813" t="s">
        <v>106</v>
      </c>
      <c r="H1073" s="813" t="s">
        <v>106</v>
      </c>
      <c r="I1073" s="813" t="s">
        <v>106</v>
      </c>
      <c r="J1073" s="813" t="s">
        <v>106</v>
      </c>
      <c r="K1073" s="813" t="s">
        <v>106</v>
      </c>
      <c r="L1073" s="813" t="s">
        <v>106</v>
      </c>
      <c r="M1073" s="813" t="s">
        <v>106</v>
      </c>
      <c r="N1073" s="813" t="s">
        <v>106</v>
      </c>
      <c r="O1073" s="813" t="s">
        <v>106</v>
      </c>
      <c r="P1073" s="813" t="s">
        <v>106</v>
      </c>
      <c r="Q1073" s="813" t="s">
        <v>106</v>
      </c>
      <c r="R1073" s="813" t="s">
        <v>106</v>
      </c>
      <c r="S1073" s="813" t="s">
        <v>106</v>
      </c>
      <c r="T1073" s="813" t="s">
        <v>106</v>
      </c>
      <c r="U1073" s="813" t="s">
        <v>106</v>
      </c>
      <c r="V1073" s="813" t="s">
        <v>106</v>
      </c>
      <c r="W1073" s="813" t="s">
        <v>106</v>
      </c>
      <c r="X1073" s="813" t="s">
        <v>106</v>
      </c>
      <c r="Y1073" s="813" t="s">
        <v>106</v>
      </c>
      <c r="Z1073" s="813" t="s">
        <v>106</v>
      </c>
      <c r="AA1073" s="813" t="s">
        <v>106</v>
      </c>
      <c r="AB1073" s="813" t="s">
        <v>106</v>
      </c>
      <c r="AC1073" s="813" t="s">
        <v>106</v>
      </c>
      <c r="AD1073" s="813" t="s">
        <v>106</v>
      </c>
      <c r="AE1073" s="813" t="s">
        <v>106</v>
      </c>
      <c r="AF1073" s="813" t="s">
        <v>106</v>
      </c>
      <c r="AG1073" s="813" t="s">
        <v>106</v>
      </c>
      <c r="AH1073" s="813" t="s">
        <v>106</v>
      </c>
      <c r="AI1073" s="813" t="s">
        <v>106</v>
      </c>
      <c r="AJ1073" s="813" t="s">
        <v>106</v>
      </c>
      <c r="AK1073" s="813" t="s">
        <v>106</v>
      </c>
      <c r="AL1073" s="813" t="s">
        <v>106</v>
      </c>
    </row>
    <row r="1074" spans="1:38" ht="12.6">
      <c r="A1074" s="990" t="s">
        <v>1180</v>
      </c>
      <c r="B1074" s="991" t="s">
        <v>1179</v>
      </c>
      <c r="C1074" s="991" t="s">
        <v>1062</v>
      </c>
      <c r="D1074" s="991" t="s">
        <v>129</v>
      </c>
      <c r="E1074" s="991"/>
      <c r="F1074" s="813" t="s">
        <v>106</v>
      </c>
      <c r="G1074" s="813" t="s">
        <v>106</v>
      </c>
      <c r="H1074" s="813" t="s">
        <v>106</v>
      </c>
      <c r="I1074" s="813" t="s">
        <v>106</v>
      </c>
      <c r="J1074" s="813" t="s">
        <v>106</v>
      </c>
      <c r="K1074" s="813" t="s">
        <v>106</v>
      </c>
      <c r="L1074" s="813" t="s">
        <v>106</v>
      </c>
      <c r="M1074" s="813" t="s">
        <v>106</v>
      </c>
      <c r="N1074" s="813" t="s">
        <v>106</v>
      </c>
      <c r="O1074" s="813" t="s">
        <v>106</v>
      </c>
      <c r="P1074" s="813" t="s">
        <v>106</v>
      </c>
      <c r="Q1074" s="813" t="s">
        <v>106</v>
      </c>
      <c r="R1074" s="813" t="s">
        <v>106</v>
      </c>
      <c r="S1074" s="813" t="s">
        <v>106</v>
      </c>
      <c r="T1074" s="813" t="s">
        <v>106</v>
      </c>
      <c r="U1074" s="813" t="s">
        <v>106</v>
      </c>
      <c r="V1074" s="813" t="s">
        <v>106</v>
      </c>
      <c r="W1074" s="813" t="s">
        <v>106</v>
      </c>
      <c r="X1074" s="813" t="s">
        <v>106</v>
      </c>
      <c r="Y1074" s="813" t="s">
        <v>106</v>
      </c>
      <c r="Z1074" s="813" t="s">
        <v>106</v>
      </c>
      <c r="AA1074" s="813" t="s">
        <v>106</v>
      </c>
      <c r="AB1074" s="813" t="s">
        <v>106</v>
      </c>
      <c r="AC1074" s="813" t="s">
        <v>106</v>
      </c>
      <c r="AD1074" s="813" t="s">
        <v>106</v>
      </c>
      <c r="AE1074" s="813" t="s">
        <v>106</v>
      </c>
      <c r="AF1074" s="813" t="s">
        <v>106</v>
      </c>
      <c r="AG1074" s="813" t="s">
        <v>106</v>
      </c>
      <c r="AH1074" s="813" t="s">
        <v>106</v>
      </c>
      <c r="AI1074" s="813" t="s">
        <v>106</v>
      </c>
      <c r="AJ1074" s="813" t="s">
        <v>106</v>
      </c>
      <c r="AK1074" s="813" t="s">
        <v>106</v>
      </c>
      <c r="AL1074" s="813" t="s">
        <v>106</v>
      </c>
    </row>
    <row r="1075" spans="1:38" s="797" customFormat="1" ht="12.95">
      <c r="A1075" s="796" t="s">
        <v>381</v>
      </c>
      <c r="B1075" s="796"/>
      <c r="C1075" s="796"/>
      <c r="D1075" s="796"/>
      <c r="E1075" s="796"/>
      <c r="F1075" s="795"/>
      <c r="G1075" s="795"/>
      <c r="H1075" s="795"/>
      <c r="I1075" s="795"/>
      <c r="J1075" s="795"/>
      <c r="K1075" s="795"/>
      <c r="L1075" s="795"/>
      <c r="M1075" s="795"/>
      <c r="N1075" s="795"/>
      <c r="O1075" s="795"/>
      <c r="P1075" s="795"/>
      <c r="Q1075" s="795"/>
      <c r="R1075" s="795"/>
      <c r="S1075" s="795"/>
      <c r="T1075" s="795"/>
      <c r="U1075" s="795"/>
      <c r="V1075" s="795"/>
      <c r="W1075" s="795"/>
      <c r="X1075" s="795"/>
      <c r="Y1075" s="795"/>
      <c r="Z1075" s="795"/>
      <c r="AA1075" s="795"/>
      <c r="AB1075" s="795"/>
      <c r="AC1075" s="795"/>
      <c r="AD1075" s="795"/>
      <c r="AE1075" s="795"/>
      <c r="AF1075" s="795"/>
      <c r="AG1075" s="795"/>
      <c r="AH1075" s="795"/>
      <c r="AI1075" s="795"/>
      <c r="AJ1075" s="795"/>
      <c r="AK1075" s="795"/>
      <c r="AL1075" s="795"/>
    </row>
    <row r="1076" spans="1:38" s="792" customFormat="1" ht="14.25" customHeight="1">
      <c r="A1076" s="989" t="s">
        <v>382</v>
      </c>
      <c r="B1076" s="791"/>
      <c r="C1076" s="791"/>
      <c r="D1076" s="791"/>
      <c r="E1076" s="791"/>
      <c r="F1076" s="790"/>
      <c r="G1076" s="790"/>
      <c r="H1076" s="790"/>
      <c r="I1076" s="790"/>
      <c r="J1076" s="790"/>
      <c r="K1076" s="790"/>
      <c r="L1076" s="790"/>
      <c r="M1076" s="790"/>
      <c r="N1076" s="790"/>
      <c r="O1076" s="790"/>
      <c r="P1076" s="790"/>
      <c r="Q1076" s="790"/>
      <c r="R1076" s="790"/>
      <c r="S1076" s="790"/>
      <c r="T1076" s="790"/>
      <c r="U1076" s="790"/>
      <c r="V1076" s="790"/>
      <c r="W1076" s="790"/>
      <c r="X1076" s="790"/>
      <c r="Y1076" s="790"/>
      <c r="Z1076" s="790"/>
      <c r="AA1076" s="790"/>
      <c r="AB1076" s="790"/>
      <c r="AC1076" s="790"/>
      <c r="AD1076" s="790"/>
      <c r="AE1076" s="790"/>
      <c r="AF1076" s="790"/>
      <c r="AG1076" s="790"/>
      <c r="AH1076" s="790"/>
      <c r="AI1076" s="790"/>
      <c r="AJ1076" s="790"/>
      <c r="AK1076" s="790"/>
      <c r="AL1076" s="790"/>
    </row>
    <row r="1077" spans="1:38" ht="12.6">
      <c r="A1077" s="990" t="s">
        <v>1181</v>
      </c>
      <c r="B1077" s="991" t="s">
        <v>1182</v>
      </c>
      <c r="C1077" s="991" t="s">
        <v>1058</v>
      </c>
      <c r="D1077" s="991" t="s">
        <v>129</v>
      </c>
      <c r="E1077" s="991"/>
      <c r="F1077" s="813" t="s">
        <v>1059</v>
      </c>
      <c r="G1077" s="813" t="s">
        <v>1059</v>
      </c>
      <c r="H1077" s="813" t="s">
        <v>1059</v>
      </c>
      <c r="I1077" s="813" t="s">
        <v>1059</v>
      </c>
      <c r="J1077" s="813" t="s">
        <v>1059</v>
      </c>
      <c r="K1077" s="813" t="s">
        <v>1059</v>
      </c>
      <c r="L1077" s="813" t="s">
        <v>1059</v>
      </c>
      <c r="M1077" s="813" t="s">
        <v>1059</v>
      </c>
      <c r="N1077" s="813" t="s">
        <v>1059</v>
      </c>
      <c r="O1077" s="813" t="s">
        <v>1059</v>
      </c>
      <c r="P1077" s="813" t="s">
        <v>1059</v>
      </c>
      <c r="Q1077" s="813" t="s">
        <v>1059</v>
      </c>
      <c r="R1077" s="813" t="s">
        <v>1059</v>
      </c>
      <c r="S1077" s="813" t="s">
        <v>1059</v>
      </c>
      <c r="T1077" s="813" t="s">
        <v>1059</v>
      </c>
      <c r="U1077" s="813" t="s">
        <v>1059</v>
      </c>
      <c r="V1077" s="813" t="s">
        <v>1059</v>
      </c>
      <c r="W1077" s="813" t="s">
        <v>1059</v>
      </c>
      <c r="X1077" s="813" t="s">
        <v>1059</v>
      </c>
      <c r="Y1077" s="813" t="s">
        <v>1059</v>
      </c>
      <c r="Z1077" s="813" t="s">
        <v>1059</v>
      </c>
      <c r="AA1077" s="813" t="s">
        <v>1059</v>
      </c>
      <c r="AB1077" s="813" t="s">
        <v>1059</v>
      </c>
      <c r="AC1077" s="813" t="s">
        <v>1059</v>
      </c>
      <c r="AD1077" s="813" t="s">
        <v>1059</v>
      </c>
      <c r="AE1077" s="813" t="s">
        <v>1059</v>
      </c>
      <c r="AF1077" s="813" t="s">
        <v>1059</v>
      </c>
      <c r="AG1077" s="813" t="s">
        <v>1059</v>
      </c>
      <c r="AH1077" s="813" t="s">
        <v>1059</v>
      </c>
      <c r="AI1077" s="813" t="s">
        <v>1059</v>
      </c>
      <c r="AJ1077" s="813" t="s">
        <v>1059</v>
      </c>
      <c r="AK1077" s="813" t="s">
        <v>1059</v>
      </c>
      <c r="AL1077" s="813" t="s">
        <v>1060</v>
      </c>
    </row>
    <row r="1078" spans="1:38" ht="12.6">
      <c r="A1078" s="990" t="s">
        <v>1183</v>
      </c>
      <c r="B1078" s="991" t="s">
        <v>1182</v>
      </c>
      <c r="C1078" s="991" t="s">
        <v>1062</v>
      </c>
      <c r="D1078" s="991" t="s">
        <v>129</v>
      </c>
      <c r="E1078" s="991"/>
      <c r="F1078" s="813" t="s">
        <v>1063</v>
      </c>
      <c r="G1078" s="813" t="s">
        <v>1063</v>
      </c>
      <c r="H1078" s="813" t="s">
        <v>1063</v>
      </c>
      <c r="I1078" s="813" t="s">
        <v>1063</v>
      </c>
      <c r="J1078" s="813" t="s">
        <v>1063</v>
      </c>
      <c r="K1078" s="813" t="s">
        <v>1063</v>
      </c>
      <c r="L1078" s="813" t="s">
        <v>1063</v>
      </c>
      <c r="M1078" s="813" t="s">
        <v>1063</v>
      </c>
      <c r="N1078" s="813" t="s">
        <v>1063</v>
      </c>
      <c r="O1078" s="813" t="s">
        <v>1063</v>
      </c>
      <c r="P1078" s="813" t="s">
        <v>1063</v>
      </c>
      <c r="Q1078" s="813" t="s">
        <v>1063</v>
      </c>
      <c r="R1078" s="813" t="s">
        <v>1063</v>
      </c>
      <c r="S1078" s="813" t="s">
        <v>1063</v>
      </c>
      <c r="T1078" s="813" t="s">
        <v>1063</v>
      </c>
      <c r="U1078" s="813" t="s">
        <v>1063</v>
      </c>
      <c r="V1078" s="813" t="s">
        <v>1063</v>
      </c>
      <c r="W1078" s="813" t="s">
        <v>1063</v>
      </c>
      <c r="X1078" s="813" t="s">
        <v>1063</v>
      </c>
      <c r="Y1078" s="813" t="s">
        <v>1063</v>
      </c>
      <c r="Z1078" s="813" t="s">
        <v>1063</v>
      </c>
      <c r="AA1078" s="813" t="s">
        <v>1063</v>
      </c>
      <c r="AB1078" s="813" t="s">
        <v>1063</v>
      </c>
      <c r="AC1078" s="813" t="s">
        <v>1063</v>
      </c>
      <c r="AD1078" s="813" t="s">
        <v>1063</v>
      </c>
      <c r="AE1078" s="813" t="s">
        <v>1063</v>
      </c>
      <c r="AF1078" s="813" t="s">
        <v>1063</v>
      </c>
      <c r="AG1078" s="813" t="s">
        <v>1063</v>
      </c>
      <c r="AH1078" s="813" t="s">
        <v>1063</v>
      </c>
      <c r="AI1078" s="813" t="s">
        <v>1063</v>
      </c>
      <c r="AJ1078" s="813" t="s">
        <v>1063</v>
      </c>
      <c r="AK1078" s="813" t="s">
        <v>1063</v>
      </c>
      <c r="AL1078" s="813" t="s">
        <v>1063</v>
      </c>
    </row>
    <row r="1079" spans="1:38" s="792" customFormat="1" ht="14.25" customHeight="1">
      <c r="A1079" s="989" t="s">
        <v>388</v>
      </c>
      <c r="B1079" s="791"/>
      <c r="C1079" s="791"/>
      <c r="D1079" s="791"/>
      <c r="E1079" s="791"/>
      <c r="F1079" s="790"/>
      <c r="G1079" s="790"/>
      <c r="H1079" s="790"/>
      <c r="I1079" s="790"/>
      <c r="J1079" s="790"/>
      <c r="K1079" s="790"/>
      <c r="L1079" s="790"/>
      <c r="M1079" s="790"/>
      <c r="N1079" s="790"/>
      <c r="O1079" s="790"/>
      <c r="P1079" s="790"/>
      <c r="Q1079" s="790"/>
      <c r="R1079" s="790"/>
      <c r="S1079" s="790"/>
      <c r="T1079" s="790"/>
      <c r="U1079" s="790"/>
      <c r="V1079" s="790"/>
      <c r="W1079" s="790"/>
      <c r="X1079" s="790"/>
      <c r="Y1079" s="790"/>
      <c r="Z1079" s="790"/>
      <c r="AA1079" s="790"/>
      <c r="AB1079" s="790"/>
      <c r="AC1079" s="790"/>
      <c r="AD1079" s="790"/>
      <c r="AE1079" s="790"/>
      <c r="AF1079" s="790"/>
      <c r="AG1079" s="790"/>
      <c r="AH1079" s="790"/>
      <c r="AI1079" s="790"/>
      <c r="AJ1079" s="790"/>
      <c r="AK1079" s="790"/>
      <c r="AL1079" s="790"/>
    </row>
    <row r="1080" spans="1:38" ht="12.6">
      <c r="A1080" s="990" t="s">
        <v>1184</v>
      </c>
      <c r="B1080" s="991" t="s">
        <v>1185</v>
      </c>
      <c r="C1080" s="991" t="s">
        <v>1058</v>
      </c>
      <c r="D1080" s="991" t="s">
        <v>129</v>
      </c>
      <c r="E1080" s="991"/>
      <c r="F1080" s="813" t="s">
        <v>1059</v>
      </c>
      <c r="G1080" s="813" t="s">
        <v>1059</v>
      </c>
      <c r="H1080" s="813" t="s">
        <v>1059</v>
      </c>
      <c r="I1080" s="813" t="s">
        <v>1059</v>
      </c>
      <c r="J1080" s="813" t="s">
        <v>1059</v>
      </c>
      <c r="K1080" s="813" t="s">
        <v>1059</v>
      </c>
      <c r="L1080" s="813" t="s">
        <v>1059</v>
      </c>
      <c r="M1080" s="813" t="s">
        <v>1059</v>
      </c>
      <c r="N1080" s="813" t="s">
        <v>1059</v>
      </c>
      <c r="O1080" s="813" t="s">
        <v>1059</v>
      </c>
      <c r="P1080" s="813" t="s">
        <v>1059</v>
      </c>
      <c r="Q1080" s="813" t="s">
        <v>1059</v>
      </c>
      <c r="R1080" s="813" t="s">
        <v>1059</v>
      </c>
      <c r="S1080" s="813" t="s">
        <v>1059</v>
      </c>
      <c r="T1080" s="813" t="s">
        <v>1059</v>
      </c>
      <c r="U1080" s="813" t="s">
        <v>1059</v>
      </c>
      <c r="V1080" s="813" t="s">
        <v>1059</v>
      </c>
      <c r="W1080" s="813" t="s">
        <v>1059</v>
      </c>
      <c r="X1080" s="813" t="s">
        <v>1059</v>
      </c>
      <c r="Y1080" s="813" t="s">
        <v>1059</v>
      </c>
      <c r="Z1080" s="813" t="s">
        <v>1059</v>
      </c>
      <c r="AA1080" s="813" t="s">
        <v>1059</v>
      </c>
      <c r="AB1080" s="813" t="s">
        <v>1059</v>
      </c>
      <c r="AC1080" s="813" t="s">
        <v>1059</v>
      </c>
      <c r="AD1080" s="813" t="s">
        <v>1059</v>
      </c>
      <c r="AE1080" s="813" t="s">
        <v>1059</v>
      </c>
      <c r="AF1080" s="813" t="s">
        <v>1059</v>
      </c>
      <c r="AG1080" s="813" t="s">
        <v>1059</v>
      </c>
      <c r="AH1080" s="813" t="s">
        <v>1059</v>
      </c>
      <c r="AI1080" s="813" t="s">
        <v>1059</v>
      </c>
      <c r="AJ1080" s="813" t="s">
        <v>1059</v>
      </c>
      <c r="AK1080" s="813" t="s">
        <v>1059</v>
      </c>
      <c r="AL1080" s="813" t="s">
        <v>1060</v>
      </c>
    </row>
    <row r="1081" spans="1:38" ht="12.6">
      <c r="A1081" s="990" t="s">
        <v>1186</v>
      </c>
      <c r="B1081" s="991" t="s">
        <v>1185</v>
      </c>
      <c r="C1081" s="991" t="s">
        <v>1062</v>
      </c>
      <c r="D1081" s="991" t="s">
        <v>129</v>
      </c>
      <c r="E1081" s="991"/>
      <c r="F1081" s="813" t="s">
        <v>1063</v>
      </c>
      <c r="G1081" s="813" t="s">
        <v>1063</v>
      </c>
      <c r="H1081" s="813" t="s">
        <v>1063</v>
      </c>
      <c r="I1081" s="813" t="s">
        <v>1063</v>
      </c>
      <c r="J1081" s="813" t="s">
        <v>1063</v>
      </c>
      <c r="K1081" s="813" t="s">
        <v>1063</v>
      </c>
      <c r="L1081" s="813" t="s">
        <v>1063</v>
      </c>
      <c r="M1081" s="813" t="s">
        <v>1063</v>
      </c>
      <c r="N1081" s="813" t="s">
        <v>1063</v>
      </c>
      <c r="O1081" s="813" t="s">
        <v>1063</v>
      </c>
      <c r="P1081" s="813" t="s">
        <v>1063</v>
      </c>
      <c r="Q1081" s="813" t="s">
        <v>1063</v>
      </c>
      <c r="R1081" s="813" t="s">
        <v>1063</v>
      </c>
      <c r="S1081" s="813" t="s">
        <v>1063</v>
      </c>
      <c r="T1081" s="813" t="s">
        <v>1063</v>
      </c>
      <c r="U1081" s="813" t="s">
        <v>1063</v>
      </c>
      <c r="V1081" s="813" t="s">
        <v>1063</v>
      </c>
      <c r="W1081" s="813" t="s">
        <v>1063</v>
      </c>
      <c r="X1081" s="813" t="s">
        <v>1063</v>
      </c>
      <c r="Y1081" s="813" t="s">
        <v>1063</v>
      </c>
      <c r="Z1081" s="813" t="s">
        <v>1063</v>
      </c>
      <c r="AA1081" s="813" t="s">
        <v>1063</v>
      </c>
      <c r="AB1081" s="813" t="s">
        <v>1063</v>
      </c>
      <c r="AC1081" s="813" t="s">
        <v>1063</v>
      </c>
      <c r="AD1081" s="813" t="s">
        <v>1063</v>
      </c>
      <c r="AE1081" s="813" t="s">
        <v>1063</v>
      </c>
      <c r="AF1081" s="813" t="s">
        <v>1063</v>
      </c>
      <c r="AG1081" s="813" t="s">
        <v>1063</v>
      </c>
      <c r="AH1081" s="813" t="s">
        <v>1063</v>
      </c>
      <c r="AI1081" s="813" t="s">
        <v>1063</v>
      </c>
      <c r="AJ1081" s="813" t="s">
        <v>1063</v>
      </c>
      <c r="AK1081" s="813" t="s">
        <v>1063</v>
      </c>
      <c r="AL1081" s="813" t="s">
        <v>1063</v>
      </c>
    </row>
    <row r="1082" spans="1:38" s="792" customFormat="1" ht="14.25" customHeight="1">
      <c r="A1082" s="989" t="s">
        <v>394</v>
      </c>
      <c r="B1082" s="791"/>
      <c r="C1082" s="791"/>
      <c r="D1082" s="791"/>
      <c r="E1082" s="791"/>
      <c r="F1082" s="790"/>
      <c r="G1082" s="790"/>
      <c r="H1082" s="790"/>
      <c r="I1082" s="790"/>
      <c r="J1082" s="790"/>
      <c r="K1082" s="790"/>
      <c r="L1082" s="790"/>
      <c r="M1082" s="790"/>
      <c r="N1082" s="790"/>
      <c r="O1082" s="790"/>
      <c r="P1082" s="790"/>
      <c r="Q1082" s="790"/>
      <c r="R1082" s="790"/>
      <c r="S1082" s="790"/>
      <c r="T1082" s="790"/>
      <c r="U1082" s="790"/>
      <c r="V1082" s="790"/>
      <c r="W1082" s="790"/>
      <c r="X1082" s="790"/>
      <c r="Y1082" s="790"/>
      <c r="Z1082" s="790"/>
      <c r="AA1082" s="790"/>
      <c r="AB1082" s="790"/>
      <c r="AC1082" s="790"/>
      <c r="AD1082" s="790"/>
      <c r="AE1082" s="790"/>
      <c r="AF1082" s="790"/>
      <c r="AG1082" s="790"/>
      <c r="AH1082" s="790"/>
      <c r="AI1082" s="790"/>
      <c r="AJ1082" s="790"/>
      <c r="AK1082" s="790"/>
      <c r="AL1082" s="790"/>
    </row>
    <row r="1083" spans="1:38" ht="12.6">
      <c r="A1083" s="990" t="s">
        <v>1187</v>
      </c>
      <c r="B1083" s="991" t="s">
        <v>1188</v>
      </c>
      <c r="C1083" s="991" t="s">
        <v>1058</v>
      </c>
      <c r="D1083" s="991" t="s">
        <v>129</v>
      </c>
      <c r="E1083" s="991"/>
      <c r="F1083" s="813" t="s">
        <v>1059</v>
      </c>
      <c r="G1083" s="813" t="s">
        <v>1059</v>
      </c>
      <c r="H1083" s="813" t="s">
        <v>1059</v>
      </c>
      <c r="I1083" s="813" t="s">
        <v>1059</v>
      </c>
      <c r="J1083" s="813" t="s">
        <v>1059</v>
      </c>
      <c r="K1083" s="813" t="s">
        <v>1059</v>
      </c>
      <c r="L1083" s="813" t="s">
        <v>1059</v>
      </c>
      <c r="M1083" s="813" t="s">
        <v>1059</v>
      </c>
      <c r="N1083" s="813" t="s">
        <v>1059</v>
      </c>
      <c r="O1083" s="813" t="s">
        <v>1059</v>
      </c>
      <c r="P1083" s="813" t="s">
        <v>1059</v>
      </c>
      <c r="Q1083" s="813" t="s">
        <v>1059</v>
      </c>
      <c r="R1083" s="813" t="s">
        <v>1059</v>
      </c>
      <c r="S1083" s="813" t="s">
        <v>1059</v>
      </c>
      <c r="T1083" s="813" t="s">
        <v>1059</v>
      </c>
      <c r="U1083" s="813" t="s">
        <v>1059</v>
      </c>
      <c r="V1083" s="813" t="s">
        <v>1059</v>
      </c>
      <c r="W1083" s="813" t="s">
        <v>1059</v>
      </c>
      <c r="X1083" s="813" t="s">
        <v>1059</v>
      </c>
      <c r="Y1083" s="813" t="s">
        <v>1059</v>
      </c>
      <c r="Z1083" s="813" t="s">
        <v>1059</v>
      </c>
      <c r="AA1083" s="813" t="s">
        <v>1059</v>
      </c>
      <c r="AB1083" s="813" t="s">
        <v>1059</v>
      </c>
      <c r="AC1083" s="813" t="s">
        <v>1059</v>
      </c>
      <c r="AD1083" s="813" t="s">
        <v>1059</v>
      </c>
      <c r="AE1083" s="813" t="s">
        <v>1059</v>
      </c>
      <c r="AF1083" s="813" t="s">
        <v>1059</v>
      </c>
      <c r="AG1083" s="813" t="s">
        <v>1059</v>
      </c>
      <c r="AH1083" s="813" t="s">
        <v>1059</v>
      </c>
      <c r="AI1083" s="813" t="s">
        <v>1059</v>
      </c>
      <c r="AJ1083" s="813" t="s">
        <v>1059</v>
      </c>
      <c r="AK1083" s="813" t="s">
        <v>1059</v>
      </c>
      <c r="AL1083" s="813" t="s">
        <v>1060</v>
      </c>
    </row>
    <row r="1084" spans="1:38" ht="12.6">
      <c r="A1084" s="990" t="s">
        <v>1189</v>
      </c>
      <c r="B1084" s="991" t="s">
        <v>1188</v>
      </c>
      <c r="C1084" s="991" t="s">
        <v>1062</v>
      </c>
      <c r="D1084" s="991" t="s">
        <v>129</v>
      </c>
      <c r="E1084" s="991"/>
      <c r="F1084" s="813" t="s">
        <v>1063</v>
      </c>
      <c r="G1084" s="813" t="s">
        <v>1063</v>
      </c>
      <c r="H1084" s="813" t="s">
        <v>1063</v>
      </c>
      <c r="I1084" s="813" t="s">
        <v>1063</v>
      </c>
      <c r="J1084" s="813" t="s">
        <v>1063</v>
      </c>
      <c r="K1084" s="813" t="s">
        <v>1063</v>
      </c>
      <c r="L1084" s="813" t="s">
        <v>1063</v>
      </c>
      <c r="M1084" s="813" t="s">
        <v>1063</v>
      </c>
      <c r="N1084" s="813" t="s">
        <v>1063</v>
      </c>
      <c r="O1084" s="813" t="s">
        <v>1063</v>
      </c>
      <c r="P1084" s="813" t="s">
        <v>1063</v>
      </c>
      <c r="Q1084" s="813" t="s">
        <v>1063</v>
      </c>
      <c r="R1084" s="813" t="s">
        <v>1063</v>
      </c>
      <c r="S1084" s="813" t="s">
        <v>1063</v>
      </c>
      <c r="T1084" s="813" t="s">
        <v>1063</v>
      </c>
      <c r="U1084" s="813" t="s">
        <v>1063</v>
      </c>
      <c r="V1084" s="813" t="s">
        <v>1063</v>
      </c>
      <c r="W1084" s="813" t="s">
        <v>1063</v>
      </c>
      <c r="X1084" s="813" t="s">
        <v>1063</v>
      </c>
      <c r="Y1084" s="813" t="s">
        <v>1063</v>
      </c>
      <c r="Z1084" s="813" t="s">
        <v>1063</v>
      </c>
      <c r="AA1084" s="813" t="s">
        <v>1063</v>
      </c>
      <c r="AB1084" s="813" t="s">
        <v>1063</v>
      </c>
      <c r="AC1084" s="813" t="s">
        <v>1063</v>
      </c>
      <c r="AD1084" s="813" t="s">
        <v>1063</v>
      </c>
      <c r="AE1084" s="813" t="s">
        <v>1063</v>
      </c>
      <c r="AF1084" s="813" t="s">
        <v>1063</v>
      </c>
      <c r="AG1084" s="813" t="s">
        <v>1063</v>
      </c>
      <c r="AH1084" s="813" t="s">
        <v>1063</v>
      </c>
      <c r="AI1084" s="813" t="s">
        <v>1063</v>
      </c>
      <c r="AJ1084" s="813" t="s">
        <v>1063</v>
      </c>
      <c r="AK1084" s="813" t="s">
        <v>1063</v>
      </c>
      <c r="AL1084" s="813" t="s">
        <v>1063</v>
      </c>
    </row>
    <row r="1085" spans="1:38" s="792" customFormat="1" ht="14.25" customHeight="1">
      <c r="A1085" s="989" t="s">
        <v>400</v>
      </c>
      <c r="B1085" s="791"/>
      <c r="C1085" s="791"/>
      <c r="D1085" s="791"/>
      <c r="E1085" s="791"/>
      <c r="F1085" s="790"/>
      <c r="G1085" s="790"/>
      <c r="H1085" s="790"/>
      <c r="I1085" s="790"/>
      <c r="J1085" s="790"/>
      <c r="K1085" s="790"/>
      <c r="L1085" s="790"/>
      <c r="M1085" s="790"/>
      <c r="N1085" s="790"/>
      <c r="O1085" s="790"/>
      <c r="P1085" s="790"/>
      <c r="Q1085" s="790"/>
      <c r="R1085" s="790"/>
      <c r="S1085" s="790"/>
      <c r="T1085" s="790"/>
      <c r="U1085" s="790"/>
      <c r="V1085" s="790"/>
      <c r="W1085" s="790"/>
      <c r="X1085" s="790"/>
      <c r="Y1085" s="790"/>
      <c r="Z1085" s="790"/>
      <c r="AA1085" s="790"/>
      <c r="AB1085" s="790"/>
      <c r="AC1085" s="790"/>
      <c r="AD1085" s="790"/>
      <c r="AE1085" s="790"/>
      <c r="AF1085" s="790"/>
      <c r="AG1085" s="790"/>
      <c r="AH1085" s="790"/>
      <c r="AI1085" s="790"/>
      <c r="AJ1085" s="790"/>
      <c r="AK1085" s="790"/>
      <c r="AL1085" s="790"/>
    </row>
    <row r="1086" spans="1:38" ht="12.6">
      <c r="A1086" s="990" t="s">
        <v>1190</v>
      </c>
      <c r="B1086" s="991" t="s">
        <v>1191</v>
      </c>
      <c r="C1086" s="991" t="s">
        <v>1058</v>
      </c>
      <c r="D1086" s="991" t="s">
        <v>129</v>
      </c>
      <c r="E1086" s="991"/>
      <c r="F1086" s="813" t="s">
        <v>106</v>
      </c>
      <c r="G1086" s="813" t="s">
        <v>106</v>
      </c>
      <c r="H1086" s="813" t="s">
        <v>106</v>
      </c>
      <c r="I1086" s="813" t="s">
        <v>106</v>
      </c>
      <c r="J1086" s="813" t="s">
        <v>106</v>
      </c>
      <c r="K1086" s="813" t="s">
        <v>106</v>
      </c>
      <c r="L1086" s="813" t="s">
        <v>106</v>
      </c>
      <c r="M1086" s="813" t="s">
        <v>106</v>
      </c>
      <c r="N1086" s="813" t="s">
        <v>106</v>
      </c>
      <c r="O1086" s="813" t="s">
        <v>106</v>
      </c>
      <c r="P1086" s="813" t="s">
        <v>106</v>
      </c>
      <c r="Q1086" s="813" t="s">
        <v>106</v>
      </c>
      <c r="R1086" s="813" t="s">
        <v>106</v>
      </c>
      <c r="S1086" s="813" t="s">
        <v>106</v>
      </c>
      <c r="T1086" s="813" t="s">
        <v>106</v>
      </c>
      <c r="U1086" s="813" t="s">
        <v>106</v>
      </c>
      <c r="V1086" s="813" t="s">
        <v>106</v>
      </c>
      <c r="W1086" s="813" t="s">
        <v>106</v>
      </c>
      <c r="X1086" s="813" t="s">
        <v>106</v>
      </c>
      <c r="Y1086" s="813" t="s">
        <v>106</v>
      </c>
      <c r="Z1086" s="813" t="s">
        <v>106</v>
      </c>
      <c r="AA1086" s="813" t="s">
        <v>106</v>
      </c>
      <c r="AB1086" s="813" t="s">
        <v>106</v>
      </c>
      <c r="AC1086" s="813" t="s">
        <v>106</v>
      </c>
      <c r="AD1086" s="813" t="s">
        <v>106</v>
      </c>
      <c r="AE1086" s="813" t="s">
        <v>106</v>
      </c>
      <c r="AF1086" s="813" t="s">
        <v>106</v>
      </c>
      <c r="AG1086" s="813" t="s">
        <v>106</v>
      </c>
      <c r="AH1086" s="813" t="s">
        <v>106</v>
      </c>
      <c r="AI1086" s="813" t="s">
        <v>106</v>
      </c>
      <c r="AJ1086" s="813" t="s">
        <v>106</v>
      </c>
      <c r="AK1086" s="813" t="s">
        <v>106</v>
      </c>
      <c r="AL1086" s="813" t="s">
        <v>106</v>
      </c>
    </row>
    <row r="1087" spans="1:38" ht="12.6">
      <c r="A1087" s="990" t="s">
        <v>1192</v>
      </c>
      <c r="B1087" s="991" t="s">
        <v>1191</v>
      </c>
      <c r="C1087" s="991" t="s">
        <v>1062</v>
      </c>
      <c r="D1087" s="991" t="s">
        <v>129</v>
      </c>
      <c r="E1087" s="991"/>
      <c r="F1087" s="813" t="s">
        <v>106</v>
      </c>
      <c r="G1087" s="813" t="s">
        <v>106</v>
      </c>
      <c r="H1087" s="813" t="s">
        <v>106</v>
      </c>
      <c r="I1087" s="813" t="s">
        <v>106</v>
      </c>
      <c r="J1087" s="813" t="s">
        <v>106</v>
      </c>
      <c r="K1087" s="813" t="s">
        <v>106</v>
      </c>
      <c r="L1087" s="813" t="s">
        <v>106</v>
      </c>
      <c r="M1087" s="813" t="s">
        <v>106</v>
      </c>
      <c r="N1087" s="813" t="s">
        <v>106</v>
      </c>
      <c r="O1087" s="813" t="s">
        <v>106</v>
      </c>
      <c r="P1087" s="813" t="s">
        <v>106</v>
      </c>
      <c r="Q1087" s="813" t="s">
        <v>106</v>
      </c>
      <c r="R1087" s="813" t="s">
        <v>106</v>
      </c>
      <c r="S1087" s="813" t="s">
        <v>106</v>
      </c>
      <c r="T1087" s="813" t="s">
        <v>106</v>
      </c>
      <c r="U1087" s="813" t="s">
        <v>106</v>
      </c>
      <c r="V1087" s="813" t="s">
        <v>106</v>
      </c>
      <c r="W1087" s="813" t="s">
        <v>106</v>
      </c>
      <c r="X1087" s="813" t="s">
        <v>106</v>
      </c>
      <c r="Y1087" s="813" t="s">
        <v>106</v>
      </c>
      <c r="Z1087" s="813" t="s">
        <v>106</v>
      </c>
      <c r="AA1087" s="813" t="s">
        <v>106</v>
      </c>
      <c r="AB1087" s="813" t="s">
        <v>106</v>
      </c>
      <c r="AC1087" s="813" t="s">
        <v>106</v>
      </c>
      <c r="AD1087" s="813" t="s">
        <v>106</v>
      </c>
      <c r="AE1087" s="813" t="s">
        <v>106</v>
      </c>
      <c r="AF1087" s="813" t="s">
        <v>106</v>
      </c>
      <c r="AG1087" s="813" t="s">
        <v>106</v>
      </c>
      <c r="AH1087" s="813" t="s">
        <v>106</v>
      </c>
      <c r="AI1087" s="813" t="s">
        <v>106</v>
      </c>
      <c r="AJ1087" s="813" t="s">
        <v>106</v>
      </c>
      <c r="AK1087" s="813" t="s">
        <v>106</v>
      </c>
      <c r="AL1087" s="813" t="s">
        <v>106</v>
      </c>
    </row>
    <row r="1088" spans="1:38" s="792" customFormat="1" ht="14.25" customHeight="1">
      <c r="A1088" s="989" t="s">
        <v>406</v>
      </c>
      <c r="B1088" s="791"/>
      <c r="C1088" s="791"/>
      <c r="D1088" s="791"/>
      <c r="E1088" s="791"/>
      <c r="F1088" s="790"/>
      <c r="G1088" s="790"/>
      <c r="H1088" s="790"/>
      <c r="I1088" s="790"/>
      <c r="J1088" s="790"/>
      <c r="K1088" s="790"/>
      <c r="L1088" s="790"/>
      <c r="M1088" s="790"/>
      <c r="N1088" s="790"/>
      <c r="O1088" s="790"/>
      <c r="P1088" s="790"/>
      <c r="Q1088" s="790"/>
      <c r="R1088" s="790"/>
      <c r="S1088" s="790"/>
      <c r="T1088" s="790"/>
      <c r="U1088" s="790"/>
      <c r="V1088" s="790"/>
      <c r="W1088" s="790"/>
      <c r="X1088" s="790"/>
      <c r="Y1088" s="790"/>
      <c r="Z1088" s="790"/>
      <c r="AA1088" s="790"/>
      <c r="AB1088" s="790"/>
      <c r="AC1088" s="790"/>
      <c r="AD1088" s="790"/>
      <c r="AE1088" s="790"/>
      <c r="AF1088" s="790"/>
      <c r="AG1088" s="790"/>
      <c r="AH1088" s="790"/>
      <c r="AI1088" s="790"/>
      <c r="AJ1088" s="790"/>
      <c r="AK1088" s="790"/>
      <c r="AL1088" s="790"/>
    </row>
    <row r="1089" spans="1:38" ht="12.6">
      <c r="A1089" s="990" t="s">
        <v>1193</v>
      </c>
      <c r="B1089" s="991" t="s">
        <v>1194</v>
      </c>
      <c r="C1089" s="991" t="s">
        <v>1058</v>
      </c>
      <c r="D1089" s="991" t="s">
        <v>129</v>
      </c>
      <c r="E1089" s="991"/>
      <c r="F1089" s="813" t="s">
        <v>106</v>
      </c>
      <c r="G1089" s="813" t="s">
        <v>106</v>
      </c>
      <c r="H1089" s="813" t="s">
        <v>106</v>
      </c>
      <c r="I1089" s="813" t="s">
        <v>106</v>
      </c>
      <c r="J1089" s="813" t="s">
        <v>106</v>
      </c>
      <c r="K1089" s="813" t="s">
        <v>106</v>
      </c>
      <c r="L1089" s="813" t="s">
        <v>106</v>
      </c>
      <c r="M1089" s="813" t="s">
        <v>106</v>
      </c>
      <c r="N1089" s="813" t="s">
        <v>106</v>
      </c>
      <c r="O1089" s="813" t="s">
        <v>106</v>
      </c>
      <c r="P1089" s="813" t="s">
        <v>106</v>
      </c>
      <c r="Q1089" s="813" t="s">
        <v>106</v>
      </c>
      <c r="R1089" s="813" t="s">
        <v>106</v>
      </c>
      <c r="S1089" s="813" t="s">
        <v>106</v>
      </c>
      <c r="T1089" s="813" t="s">
        <v>106</v>
      </c>
      <c r="U1089" s="813" t="s">
        <v>106</v>
      </c>
      <c r="V1089" s="813" t="s">
        <v>106</v>
      </c>
      <c r="W1089" s="813" t="s">
        <v>106</v>
      </c>
      <c r="X1089" s="813" t="s">
        <v>106</v>
      </c>
      <c r="Y1089" s="813" t="s">
        <v>106</v>
      </c>
      <c r="Z1089" s="813" t="s">
        <v>106</v>
      </c>
      <c r="AA1089" s="813" t="s">
        <v>106</v>
      </c>
      <c r="AB1089" s="813" t="s">
        <v>106</v>
      </c>
      <c r="AC1089" s="813" t="s">
        <v>106</v>
      </c>
      <c r="AD1089" s="813" t="s">
        <v>106</v>
      </c>
      <c r="AE1089" s="813" t="s">
        <v>106</v>
      </c>
      <c r="AF1089" s="813" t="s">
        <v>106</v>
      </c>
      <c r="AG1089" s="813" t="s">
        <v>106</v>
      </c>
      <c r="AH1089" s="813" t="s">
        <v>106</v>
      </c>
      <c r="AI1089" s="813" t="s">
        <v>106</v>
      </c>
      <c r="AJ1089" s="813" t="s">
        <v>106</v>
      </c>
      <c r="AK1089" s="813" t="s">
        <v>106</v>
      </c>
      <c r="AL1089" s="813" t="s">
        <v>106</v>
      </c>
    </row>
    <row r="1090" spans="1:38" ht="12.6">
      <c r="A1090" s="990" t="s">
        <v>1195</v>
      </c>
      <c r="B1090" s="991" t="s">
        <v>1194</v>
      </c>
      <c r="C1090" s="991" t="s">
        <v>1062</v>
      </c>
      <c r="D1090" s="991" t="s">
        <v>129</v>
      </c>
      <c r="E1090" s="991"/>
      <c r="F1090" s="813" t="s">
        <v>106</v>
      </c>
      <c r="G1090" s="813" t="s">
        <v>106</v>
      </c>
      <c r="H1090" s="813" t="s">
        <v>106</v>
      </c>
      <c r="I1090" s="813" t="s">
        <v>106</v>
      </c>
      <c r="J1090" s="813" t="s">
        <v>106</v>
      </c>
      <c r="K1090" s="813" t="s">
        <v>106</v>
      </c>
      <c r="L1090" s="813" t="s">
        <v>106</v>
      </c>
      <c r="M1090" s="813" t="s">
        <v>106</v>
      </c>
      <c r="N1090" s="813" t="s">
        <v>106</v>
      </c>
      <c r="O1090" s="813" t="s">
        <v>106</v>
      </c>
      <c r="P1090" s="813" t="s">
        <v>106</v>
      </c>
      <c r="Q1090" s="813" t="s">
        <v>106</v>
      </c>
      <c r="R1090" s="813" t="s">
        <v>106</v>
      </c>
      <c r="S1090" s="813" t="s">
        <v>106</v>
      </c>
      <c r="T1090" s="813" t="s">
        <v>106</v>
      </c>
      <c r="U1090" s="813" t="s">
        <v>106</v>
      </c>
      <c r="V1090" s="813" t="s">
        <v>106</v>
      </c>
      <c r="W1090" s="813" t="s">
        <v>106</v>
      </c>
      <c r="X1090" s="813" t="s">
        <v>106</v>
      </c>
      <c r="Y1090" s="813" t="s">
        <v>106</v>
      </c>
      <c r="Z1090" s="813" t="s">
        <v>106</v>
      </c>
      <c r="AA1090" s="813" t="s">
        <v>106</v>
      </c>
      <c r="AB1090" s="813" t="s">
        <v>106</v>
      </c>
      <c r="AC1090" s="813" t="s">
        <v>106</v>
      </c>
      <c r="AD1090" s="813" t="s">
        <v>106</v>
      </c>
      <c r="AE1090" s="813" t="s">
        <v>106</v>
      </c>
      <c r="AF1090" s="813" t="s">
        <v>106</v>
      </c>
      <c r="AG1090" s="813" t="s">
        <v>106</v>
      </c>
      <c r="AH1090" s="813" t="s">
        <v>106</v>
      </c>
      <c r="AI1090" s="813" t="s">
        <v>106</v>
      </c>
      <c r="AJ1090" s="813" t="s">
        <v>106</v>
      </c>
      <c r="AK1090" s="813" t="s">
        <v>106</v>
      </c>
      <c r="AL1090" s="813" t="s">
        <v>106</v>
      </c>
    </row>
    <row r="1091" spans="1:38" s="797" customFormat="1" ht="12.95">
      <c r="A1091" s="796" t="s">
        <v>412</v>
      </c>
      <c r="B1091" s="796"/>
      <c r="C1091" s="796"/>
      <c r="D1091" s="796"/>
      <c r="E1091" s="796"/>
      <c r="F1091" s="795"/>
      <c r="G1091" s="795"/>
      <c r="H1091" s="795"/>
      <c r="I1091" s="795"/>
      <c r="J1091" s="795"/>
      <c r="K1091" s="795"/>
      <c r="L1091" s="795"/>
      <c r="M1091" s="795"/>
      <c r="N1091" s="795"/>
      <c r="O1091" s="795"/>
      <c r="P1091" s="795"/>
      <c r="Q1091" s="795"/>
      <c r="R1091" s="795"/>
      <c r="S1091" s="795"/>
      <c r="T1091" s="795"/>
      <c r="U1091" s="795"/>
      <c r="V1091" s="795"/>
      <c r="W1091" s="795"/>
      <c r="X1091" s="795"/>
      <c r="Y1091" s="795"/>
      <c r="Z1091" s="795"/>
      <c r="AA1091" s="795"/>
      <c r="AB1091" s="795"/>
      <c r="AC1091" s="795"/>
      <c r="AD1091" s="795"/>
      <c r="AE1091" s="795"/>
      <c r="AF1091" s="795"/>
      <c r="AG1091" s="795"/>
      <c r="AH1091" s="795"/>
      <c r="AI1091" s="795"/>
      <c r="AJ1091" s="795"/>
      <c r="AK1091" s="795"/>
      <c r="AL1091" s="795"/>
    </row>
    <row r="1092" spans="1:38" s="792" customFormat="1" ht="14.25" customHeight="1">
      <c r="A1092" s="989" t="s">
        <v>413</v>
      </c>
      <c r="B1092" s="791"/>
      <c r="C1092" s="791"/>
      <c r="D1092" s="791"/>
      <c r="E1092" s="791"/>
      <c r="F1092" s="790"/>
      <c r="G1092" s="790"/>
      <c r="H1092" s="790"/>
      <c r="I1092" s="790"/>
      <c r="J1092" s="790"/>
      <c r="K1092" s="790"/>
      <c r="L1092" s="790"/>
      <c r="M1092" s="790"/>
      <c r="N1092" s="790"/>
      <c r="O1092" s="790"/>
      <c r="P1092" s="790"/>
      <c r="Q1092" s="790"/>
      <c r="R1092" s="790"/>
      <c r="S1092" s="790"/>
      <c r="T1092" s="790"/>
      <c r="U1092" s="790"/>
      <c r="V1092" s="790"/>
      <c r="W1092" s="790"/>
      <c r="X1092" s="790"/>
      <c r="Y1092" s="790"/>
      <c r="Z1092" s="790"/>
      <c r="AA1092" s="790"/>
      <c r="AB1092" s="790"/>
      <c r="AC1092" s="790"/>
      <c r="AD1092" s="790"/>
      <c r="AE1092" s="790"/>
      <c r="AF1092" s="790"/>
      <c r="AG1092" s="790"/>
      <c r="AH1092" s="790"/>
      <c r="AI1092" s="790"/>
      <c r="AJ1092" s="790"/>
      <c r="AK1092" s="790"/>
      <c r="AL1092" s="790"/>
    </row>
    <row r="1093" spans="1:38" ht="12.6">
      <c r="A1093" s="990" t="s">
        <v>1196</v>
      </c>
      <c r="B1093" s="991" t="s">
        <v>1197</v>
      </c>
      <c r="C1093" s="991" t="s">
        <v>1058</v>
      </c>
      <c r="D1093" s="991" t="s">
        <v>129</v>
      </c>
      <c r="E1093" s="991"/>
      <c r="F1093" s="813" t="s">
        <v>1059</v>
      </c>
      <c r="G1093" s="813" t="s">
        <v>1059</v>
      </c>
      <c r="H1093" s="813" t="s">
        <v>1059</v>
      </c>
      <c r="I1093" s="813" t="s">
        <v>1059</v>
      </c>
      <c r="J1093" s="813" t="s">
        <v>1059</v>
      </c>
      <c r="K1093" s="813" t="s">
        <v>1059</v>
      </c>
      <c r="L1093" s="813" t="s">
        <v>1059</v>
      </c>
      <c r="M1093" s="813" t="s">
        <v>1059</v>
      </c>
      <c r="N1093" s="813" t="s">
        <v>1059</v>
      </c>
      <c r="O1093" s="813" t="s">
        <v>1059</v>
      </c>
      <c r="P1093" s="813" t="s">
        <v>1059</v>
      </c>
      <c r="Q1093" s="813" t="s">
        <v>1059</v>
      </c>
      <c r="R1093" s="813" t="s">
        <v>1059</v>
      </c>
      <c r="S1093" s="813" t="s">
        <v>1059</v>
      </c>
      <c r="T1093" s="813" t="s">
        <v>1059</v>
      </c>
      <c r="U1093" s="813" t="s">
        <v>1059</v>
      </c>
      <c r="V1093" s="813" t="s">
        <v>1059</v>
      </c>
      <c r="W1093" s="813" t="s">
        <v>1059</v>
      </c>
      <c r="X1093" s="813" t="s">
        <v>1059</v>
      </c>
      <c r="Y1093" s="813" t="s">
        <v>1059</v>
      </c>
      <c r="Z1093" s="813" t="s">
        <v>1059</v>
      </c>
      <c r="AA1093" s="813" t="s">
        <v>1059</v>
      </c>
      <c r="AB1093" s="813" t="s">
        <v>1059</v>
      </c>
      <c r="AC1093" s="813" t="s">
        <v>1059</v>
      </c>
      <c r="AD1093" s="813" t="s">
        <v>1059</v>
      </c>
      <c r="AE1093" s="813" t="s">
        <v>1059</v>
      </c>
      <c r="AF1093" s="813" t="s">
        <v>1059</v>
      </c>
      <c r="AG1093" s="813" t="s">
        <v>1059</v>
      </c>
      <c r="AH1093" s="813" t="s">
        <v>1059</v>
      </c>
      <c r="AI1093" s="813" t="s">
        <v>1059</v>
      </c>
      <c r="AJ1093" s="813" t="s">
        <v>1059</v>
      </c>
      <c r="AK1093" s="813" t="s">
        <v>1059</v>
      </c>
      <c r="AL1093" s="813" t="s">
        <v>1060</v>
      </c>
    </row>
    <row r="1094" spans="1:38" ht="12.6">
      <c r="A1094" s="990" t="s">
        <v>1198</v>
      </c>
      <c r="B1094" s="991" t="s">
        <v>1197</v>
      </c>
      <c r="C1094" s="991" t="s">
        <v>1062</v>
      </c>
      <c r="D1094" s="991" t="s">
        <v>129</v>
      </c>
      <c r="E1094" s="991"/>
      <c r="F1094" s="813" t="s">
        <v>1063</v>
      </c>
      <c r="G1094" s="813" t="s">
        <v>1063</v>
      </c>
      <c r="H1094" s="813" t="s">
        <v>1063</v>
      </c>
      <c r="I1094" s="813" t="s">
        <v>1063</v>
      </c>
      <c r="J1094" s="813" t="s">
        <v>1063</v>
      </c>
      <c r="K1094" s="813" t="s">
        <v>1063</v>
      </c>
      <c r="L1094" s="813" t="s">
        <v>1063</v>
      </c>
      <c r="M1094" s="813" t="s">
        <v>1063</v>
      </c>
      <c r="N1094" s="813" t="s">
        <v>1063</v>
      </c>
      <c r="O1094" s="813" t="s">
        <v>1063</v>
      </c>
      <c r="P1094" s="813" t="s">
        <v>1063</v>
      </c>
      <c r="Q1094" s="813" t="s">
        <v>1063</v>
      </c>
      <c r="R1094" s="813" t="s">
        <v>1063</v>
      </c>
      <c r="S1094" s="813" t="s">
        <v>1063</v>
      </c>
      <c r="T1094" s="813" t="s">
        <v>1063</v>
      </c>
      <c r="U1094" s="813" t="s">
        <v>1063</v>
      </c>
      <c r="V1094" s="813" t="s">
        <v>1063</v>
      </c>
      <c r="W1094" s="813" t="s">
        <v>1063</v>
      </c>
      <c r="X1094" s="813" t="s">
        <v>1063</v>
      </c>
      <c r="Y1094" s="813" t="s">
        <v>1063</v>
      </c>
      <c r="Z1094" s="813" t="s">
        <v>1063</v>
      </c>
      <c r="AA1094" s="813" t="s">
        <v>1063</v>
      </c>
      <c r="AB1094" s="813" t="s">
        <v>1063</v>
      </c>
      <c r="AC1094" s="813" t="s">
        <v>1063</v>
      </c>
      <c r="AD1094" s="813" t="s">
        <v>1063</v>
      </c>
      <c r="AE1094" s="813" t="s">
        <v>1063</v>
      </c>
      <c r="AF1094" s="813" t="s">
        <v>1063</v>
      </c>
      <c r="AG1094" s="813" t="s">
        <v>1063</v>
      </c>
      <c r="AH1094" s="813" t="s">
        <v>1063</v>
      </c>
      <c r="AI1094" s="813" t="s">
        <v>1063</v>
      </c>
      <c r="AJ1094" s="813" t="s">
        <v>1063</v>
      </c>
      <c r="AK1094" s="813" t="s">
        <v>1063</v>
      </c>
      <c r="AL1094" s="813" t="s">
        <v>1063</v>
      </c>
    </row>
    <row r="1095" spans="1:38" s="792" customFormat="1" ht="14.25" customHeight="1">
      <c r="A1095" s="989" t="s">
        <v>419</v>
      </c>
      <c r="B1095" s="791"/>
      <c r="C1095" s="791"/>
      <c r="D1095" s="791"/>
      <c r="E1095" s="791"/>
      <c r="F1095" s="790"/>
      <c r="G1095" s="790"/>
      <c r="H1095" s="790"/>
      <c r="I1095" s="790"/>
      <c r="J1095" s="790"/>
      <c r="K1095" s="790"/>
      <c r="L1095" s="790"/>
      <c r="M1095" s="790"/>
      <c r="N1095" s="790"/>
      <c r="O1095" s="790"/>
      <c r="P1095" s="790"/>
      <c r="Q1095" s="790"/>
      <c r="R1095" s="790"/>
      <c r="S1095" s="790"/>
      <c r="T1095" s="790"/>
      <c r="U1095" s="790"/>
      <c r="V1095" s="790"/>
      <c r="W1095" s="790"/>
      <c r="X1095" s="790"/>
      <c r="Y1095" s="790"/>
      <c r="Z1095" s="790"/>
      <c r="AA1095" s="790"/>
      <c r="AB1095" s="790"/>
      <c r="AC1095" s="790"/>
      <c r="AD1095" s="790"/>
      <c r="AE1095" s="790"/>
      <c r="AF1095" s="790"/>
      <c r="AG1095" s="790"/>
      <c r="AH1095" s="790"/>
      <c r="AI1095" s="790"/>
      <c r="AJ1095" s="790"/>
      <c r="AK1095" s="790"/>
      <c r="AL1095" s="790"/>
    </row>
    <row r="1096" spans="1:38" ht="12.6">
      <c r="A1096" s="990" t="s">
        <v>1199</v>
      </c>
      <c r="B1096" s="991" t="s">
        <v>1200</v>
      </c>
      <c r="C1096" s="991" t="s">
        <v>1058</v>
      </c>
      <c r="D1096" s="991" t="s">
        <v>129</v>
      </c>
      <c r="E1096" s="991"/>
      <c r="F1096" s="813" t="s">
        <v>1059</v>
      </c>
      <c r="G1096" s="813" t="s">
        <v>1059</v>
      </c>
      <c r="H1096" s="813" t="s">
        <v>1059</v>
      </c>
      <c r="I1096" s="813" t="s">
        <v>1059</v>
      </c>
      <c r="J1096" s="813" t="s">
        <v>1059</v>
      </c>
      <c r="K1096" s="813" t="s">
        <v>1059</v>
      </c>
      <c r="L1096" s="813" t="s">
        <v>1059</v>
      </c>
      <c r="M1096" s="813" t="s">
        <v>1059</v>
      </c>
      <c r="N1096" s="813" t="s">
        <v>1059</v>
      </c>
      <c r="O1096" s="813" t="s">
        <v>1059</v>
      </c>
      <c r="P1096" s="813" t="s">
        <v>1059</v>
      </c>
      <c r="Q1096" s="813" t="s">
        <v>1059</v>
      </c>
      <c r="R1096" s="813" t="s">
        <v>1059</v>
      </c>
      <c r="S1096" s="813" t="s">
        <v>1059</v>
      </c>
      <c r="T1096" s="813" t="s">
        <v>1059</v>
      </c>
      <c r="U1096" s="813" t="s">
        <v>1059</v>
      </c>
      <c r="V1096" s="813" t="s">
        <v>1059</v>
      </c>
      <c r="W1096" s="813" t="s">
        <v>1059</v>
      </c>
      <c r="X1096" s="813" t="s">
        <v>1059</v>
      </c>
      <c r="Y1096" s="813" t="s">
        <v>1059</v>
      </c>
      <c r="Z1096" s="813" t="s">
        <v>1059</v>
      </c>
      <c r="AA1096" s="813" t="s">
        <v>1059</v>
      </c>
      <c r="AB1096" s="813" t="s">
        <v>1059</v>
      </c>
      <c r="AC1096" s="813" t="s">
        <v>1059</v>
      </c>
      <c r="AD1096" s="813" t="s">
        <v>1059</v>
      </c>
      <c r="AE1096" s="813" t="s">
        <v>1059</v>
      </c>
      <c r="AF1096" s="813" t="s">
        <v>1059</v>
      </c>
      <c r="AG1096" s="813" t="s">
        <v>1059</v>
      </c>
      <c r="AH1096" s="813" t="s">
        <v>1059</v>
      </c>
      <c r="AI1096" s="813" t="s">
        <v>1059</v>
      </c>
      <c r="AJ1096" s="813" t="s">
        <v>1059</v>
      </c>
      <c r="AK1096" s="813" t="s">
        <v>1059</v>
      </c>
      <c r="AL1096" s="813" t="s">
        <v>1060</v>
      </c>
    </row>
    <row r="1097" spans="1:38" ht="12.6">
      <c r="A1097" s="990" t="s">
        <v>1201</v>
      </c>
      <c r="B1097" s="991" t="s">
        <v>1200</v>
      </c>
      <c r="C1097" s="991" t="s">
        <v>1062</v>
      </c>
      <c r="D1097" s="991" t="s">
        <v>129</v>
      </c>
      <c r="E1097" s="991"/>
      <c r="F1097" s="813" t="s">
        <v>1063</v>
      </c>
      <c r="G1097" s="813" t="s">
        <v>1063</v>
      </c>
      <c r="H1097" s="813" t="s">
        <v>1063</v>
      </c>
      <c r="I1097" s="813" t="s">
        <v>1063</v>
      </c>
      <c r="J1097" s="813" t="s">
        <v>1063</v>
      </c>
      <c r="K1097" s="813" t="s">
        <v>1063</v>
      </c>
      <c r="L1097" s="813" t="s">
        <v>1063</v>
      </c>
      <c r="M1097" s="813" t="s">
        <v>1063</v>
      </c>
      <c r="N1097" s="813" t="s">
        <v>1063</v>
      </c>
      <c r="O1097" s="813" t="s">
        <v>1063</v>
      </c>
      <c r="P1097" s="813" t="s">
        <v>1063</v>
      </c>
      <c r="Q1097" s="813" t="s">
        <v>1063</v>
      </c>
      <c r="R1097" s="813" t="s">
        <v>1063</v>
      </c>
      <c r="S1097" s="813" t="s">
        <v>1063</v>
      </c>
      <c r="T1097" s="813" t="s">
        <v>1063</v>
      </c>
      <c r="U1097" s="813" t="s">
        <v>1063</v>
      </c>
      <c r="V1097" s="813" t="s">
        <v>1063</v>
      </c>
      <c r="W1097" s="813" t="s">
        <v>1063</v>
      </c>
      <c r="X1097" s="813" t="s">
        <v>1063</v>
      </c>
      <c r="Y1097" s="813" t="s">
        <v>1063</v>
      </c>
      <c r="Z1097" s="813" t="s">
        <v>1063</v>
      </c>
      <c r="AA1097" s="813" t="s">
        <v>1063</v>
      </c>
      <c r="AB1097" s="813" t="s">
        <v>1063</v>
      </c>
      <c r="AC1097" s="813" t="s">
        <v>1063</v>
      </c>
      <c r="AD1097" s="813" t="s">
        <v>1063</v>
      </c>
      <c r="AE1097" s="813" t="s">
        <v>1063</v>
      </c>
      <c r="AF1097" s="813" t="s">
        <v>1063</v>
      </c>
      <c r="AG1097" s="813" t="s">
        <v>1063</v>
      </c>
      <c r="AH1097" s="813" t="s">
        <v>1063</v>
      </c>
      <c r="AI1097" s="813" t="s">
        <v>1063</v>
      </c>
      <c r="AJ1097" s="813" t="s">
        <v>1063</v>
      </c>
      <c r="AK1097" s="813" t="s">
        <v>1063</v>
      </c>
      <c r="AL1097" s="813" t="s">
        <v>1063</v>
      </c>
    </row>
    <row r="1098" spans="1:38" s="792" customFormat="1" ht="14.25" customHeight="1">
      <c r="A1098" s="989" t="s">
        <v>425</v>
      </c>
      <c r="B1098" s="791"/>
      <c r="C1098" s="791"/>
      <c r="D1098" s="791"/>
      <c r="E1098" s="791"/>
      <c r="F1098" s="790"/>
      <c r="G1098" s="790"/>
      <c r="H1098" s="790"/>
      <c r="I1098" s="790"/>
      <c r="J1098" s="790"/>
      <c r="K1098" s="790"/>
      <c r="L1098" s="790"/>
      <c r="M1098" s="790"/>
      <c r="N1098" s="790"/>
      <c r="O1098" s="790"/>
      <c r="P1098" s="790"/>
      <c r="Q1098" s="790"/>
      <c r="R1098" s="790"/>
      <c r="S1098" s="790"/>
      <c r="T1098" s="790"/>
      <c r="U1098" s="790"/>
      <c r="V1098" s="790"/>
      <c r="W1098" s="790"/>
      <c r="X1098" s="790"/>
      <c r="Y1098" s="790"/>
      <c r="Z1098" s="790"/>
      <c r="AA1098" s="790"/>
      <c r="AB1098" s="790"/>
      <c r="AC1098" s="790"/>
      <c r="AD1098" s="790"/>
      <c r="AE1098" s="790"/>
      <c r="AF1098" s="790"/>
      <c r="AG1098" s="790"/>
      <c r="AH1098" s="790"/>
      <c r="AI1098" s="790"/>
      <c r="AJ1098" s="790"/>
      <c r="AK1098" s="790"/>
      <c r="AL1098" s="790"/>
    </row>
    <row r="1099" spans="1:38" ht="12.6">
      <c r="A1099" s="990" t="s">
        <v>1202</v>
      </c>
      <c r="B1099" s="991" t="s">
        <v>1203</v>
      </c>
      <c r="C1099" s="991" t="s">
        <v>1058</v>
      </c>
      <c r="D1099" s="991" t="s">
        <v>129</v>
      </c>
      <c r="E1099" s="991"/>
      <c r="F1099" s="813" t="s">
        <v>1059</v>
      </c>
      <c r="G1099" s="813" t="s">
        <v>1059</v>
      </c>
      <c r="H1099" s="813" t="s">
        <v>1059</v>
      </c>
      <c r="I1099" s="813" t="s">
        <v>1059</v>
      </c>
      <c r="J1099" s="813" t="s">
        <v>1059</v>
      </c>
      <c r="K1099" s="813" t="s">
        <v>1059</v>
      </c>
      <c r="L1099" s="813" t="s">
        <v>1059</v>
      </c>
      <c r="M1099" s="813" t="s">
        <v>1059</v>
      </c>
      <c r="N1099" s="813" t="s">
        <v>1059</v>
      </c>
      <c r="O1099" s="813" t="s">
        <v>1059</v>
      </c>
      <c r="P1099" s="813" t="s">
        <v>1059</v>
      </c>
      <c r="Q1099" s="813" t="s">
        <v>1059</v>
      </c>
      <c r="R1099" s="813" t="s">
        <v>1059</v>
      </c>
      <c r="S1099" s="813" t="s">
        <v>1059</v>
      </c>
      <c r="T1099" s="813" t="s">
        <v>1059</v>
      </c>
      <c r="U1099" s="813" t="s">
        <v>1059</v>
      </c>
      <c r="V1099" s="813" t="s">
        <v>1059</v>
      </c>
      <c r="W1099" s="813" t="s">
        <v>1059</v>
      </c>
      <c r="X1099" s="813" t="s">
        <v>1059</v>
      </c>
      <c r="Y1099" s="813" t="s">
        <v>1059</v>
      </c>
      <c r="Z1099" s="813" t="s">
        <v>1059</v>
      </c>
      <c r="AA1099" s="813" t="s">
        <v>1059</v>
      </c>
      <c r="AB1099" s="813" t="s">
        <v>1059</v>
      </c>
      <c r="AC1099" s="813" t="s">
        <v>1059</v>
      </c>
      <c r="AD1099" s="813" t="s">
        <v>1059</v>
      </c>
      <c r="AE1099" s="813" t="s">
        <v>1059</v>
      </c>
      <c r="AF1099" s="813" t="s">
        <v>1059</v>
      </c>
      <c r="AG1099" s="813" t="s">
        <v>1059</v>
      </c>
      <c r="AH1099" s="813" t="s">
        <v>1059</v>
      </c>
      <c r="AI1099" s="813" t="s">
        <v>1059</v>
      </c>
      <c r="AJ1099" s="813" t="s">
        <v>1059</v>
      </c>
      <c r="AK1099" s="813" t="s">
        <v>1059</v>
      </c>
      <c r="AL1099" s="813" t="s">
        <v>1060</v>
      </c>
    </row>
    <row r="1100" spans="1:38" ht="12.6">
      <c r="A1100" s="990" t="s">
        <v>1204</v>
      </c>
      <c r="B1100" s="991" t="s">
        <v>1203</v>
      </c>
      <c r="C1100" s="991" t="s">
        <v>1062</v>
      </c>
      <c r="D1100" s="991" t="s">
        <v>129</v>
      </c>
      <c r="E1100" s="991"/>
      <c r="F1100" s="813" t="s">
        <v>1063</v>
      </c>
      <c r="G1100" s="813" t="s">
        <v>1063</v>
      </c>
      <c r="H1100" s="813" t="s">
        <v>1063</v>
      </c>
      <c r="I1100" s="813" t="s">
        <v>1063</v>
      </c>
      <c r="J1100" s="813" t="s">
        <v>1063</v>
      </c>
      <c r="K1100" s="813" t="s">
        <v>1063</v>
      </c>
      <c r="L1100" s="813" t="s">
        <v>1063</v>
      </c>
      <c r="M1100" s="813" t="s">
        <v>1063</v>
      </c>
      <c r="N1100" s="813" t="s">
        <v>1063</v>
      </c>
      <c r="O1100" s="813" t="s">
        <v>1063</v>
      </c>
      <c r="P1100" s="813" t="s">
        <v>1063</v>
      </c>
      <c r="Q1100" s="813" t="s">
        <v>1063</v>
      </c>
      <c r="R1100" s="813" t="s">
        <v>1063</v>
      </c>
      <c r="S1100" s="813" t="s">
        <v>1063</v>
      </c>
      <c r="T1100" s="813" t="s">
        <v>1063</v>
      </c>
      <c r="U1100" s="813" t="s">
        <v>1063</v>
      </c>
      <c r="V1100" s="813" t="s">
        <v>1063</v>
      </c>
      <c r="W1100" s="813" t="s">
        <v>1063</v>
      </c>
      <c r="X1100" s="813" t="s">
        <v>1063</v>
      </c>
      <c r="Y1100" s="813" t="s">
        <v>1063</v>
      </c>
      <c r="Z1100" s="813" t="s">
        <v>1063</v>
      </c>
      <c r="AA1100" s="813" t="s">
        <v>1063</v>
      </c>
      <c r="AB1100" s="813" t="s">
        <v>1063</v>
      </c>
      <c r="AC1100" s="813" t="s">
        <v>1063</v>
      </c>
      <c r="AD1100" s="813" t="s">
        <v>1063</v>
      </c>
      <c r="AE1100" s="813" t="s">
        <v>1063</v>
      </c>
      <c r="AF1100" s="813" t="s">
        <v>1063</v>
      </c>
      <c r="AG1100" s="813" t="s">
        <v>1063</v>
      </c>
      <c r="AH1100" s="813" t="s">
        <v>1063</v>
      </c>
      <c r="AI1100" s="813" t="s">
        <v>1063</v>
      </c>
      <c r="AJ1100" s="813" t="s">
        <v>1063</v>
      </c>
      <c r="AK1100" s="813" t="s">
        <v>1063</v>
      </c>
      <c r="AL1100" s="813" t="s">
        <v>1063</v>
      </c>
    </row>
    <row r="1101" spans="1:38" s="792" customFormat="1" ht="14.25" customHeight="1">
      <c r="A1101" s="989" t="s">
        <v>431</v>
      </c>
      <c r="B1101" s="791"/>
      <c r="C1101" s="791"/>
      <c r="D1101" s="791"/>
      <c r="E1101" s="791"/>
      <c r="F1101" s="790"/>
      <c r="G1101" s="790"/>
      <c r="H1101" s="790"/>
      <c r="I1101" s="790"/>
      <c r="J1101" s="790"/>
      <c r="K1101" s="790"/>
      <c r="L1101" s="790"/>
      <c r="M1101" s="790"/>
      <c r="N1101" s="790"/>
      <c r="O1101" s="790"/>
      <c r="P1101" s="790"/>
      <c r="Q1101" s="790"/>
      <c r="R1101" s="790"/>
      <c r="S1101" s="790"/>
      <c r="T1101" s="790"/>
      <c r="U1101" s="790"/>
      <c r="V1101" s="790"/>
      <c r="W1101" s="790"/>
      <c r="X1101" s="790"/>
      <c r="Y1101" s="790"/>
      <c r="Z1101" s="790"/>
      <c r="AA1101" s="790"/>
      <c r="AB1101" s="790"/>
      <c r="AC1101" s="790"/>
      <c r="AD1101" s="790"/>
      <c r="AE1101" s="790"/>
      <c r="AF1101" s="790"/>
      <c r="AG1101" s="790"/>
      <c r="AH1101" s="790"/>
      <c r="AI1101" s="790"/>
      <c r="AJ1101" s="790"/>
      <c r="AK1101" s="790"/>
      <c r="AL1101" s="790"/>
    </row>
    <row r="1102" spans="1:38" ht="12.6">
      <c r="A1102" s="990" t="s">
        <v>1205</v>
      </c>
      <c r="B1102" s="991" t="s">
        <v>1206</v>
      </c>
      <c r="C1102" s="991" t="s">
        <v>1058</v>
      </c>
      <c r="D1102" s="991" t="s">
        <v>129</v>
      </c>
      <c r="E1102" s="991"/>
      <c r="F1102" s="813" t="s">
        <v>106</v>
      </c>
      <c r="G1102" s="813" t="s">
        <v>106</v>
      </c>
      <c r="H1102" s="813" t="s">
        <v>106</v>
      </c>
      <c r="I1102" s="813" t="s">
        <v>106</v>
      </c>
      <c r="J1102" s="813" t="s">
        <v>106</v>
      </c>
      <c r="K1102" s="813" t="s">
        <v>106</v>
      </c>
      <c r="L1102" s="813" t="s">
        <v>106</v>
      </c>
      <c r="M1102" s="813" t="s">
        <v>106</v>
      </c>
      <c r="N1102" s="813" t="s">
        <v>106</v>
      </c>
      <c r="O1102" s="813" t="s">
        <v>106</v>
      </c>
      <c r="P1102" s="813" t="s">
        <v>106</v>
      </c>
      <c r="Q1102" s="813" t="s">
        <v>106</v>
      </c>
      <c r="R1102" s="813" t="s">
        <v>106</v>
      </c>
      <c r="S1102" s="813" t="s">
        <v>106</v>
      </c>
      <c r="T1102" s="813" t="s">
        <v>106</v>
      </c>
      <c r="U1102" s="813" t="s">
        <v>106</v>
      </c>
      <c r="V1102" s="813" t="s">
        <v>106</v>
      </c>
      <c r="W1102" s="813" t="s">
        <v>106</v>
      </c>
      <c r="X1102" s="813" t="s">
        <v>106</v>
      </c>
      <c r="Y1102" s="813" t="s">
        <v>106</v>
      </c>
      <c r="Z1102" s="813" t="s">
        <v>106</v>
      </c>
      <c r="AA1102" s="813" t="s">
        <v>106</v>
      </c>
      <c r="AB1102" s="813" t="s">
        <v>106</v>
      </c>
      <c r="AC1102" s="813" t="s">
        <v>106</v>
      </c>
      <c r="AD1102" s="813" t="s">
        <v>106</v>
      </c>
      <c r="AE1102" s="813" t="s">
        <v>106</v>
      </c>
      <c r="AF1102" s="813" t="s">
        <v>106</v>
      </c>
      <c r="AG1102" s="813" t="s">
        <v>106</v>
      </c>
      <c r="AH1102" s="813" t="s">
        <v>106</v>
      </c>
      <c r="AI1102" s="813" t="s">
        <v>106</v>
      </c>
      <c r="AJ1102" s="813" t="s">
        <v>106</v>
      </c>
      <c r="AK1102" s="813" t="s">
        <v>106</v>
      </c>
      <c r="AL1102" s="813" t="s">
        <v>106</v>
      </c>
    </row>
    <row r="1103" spans="1:38" ht="12.6">
      <c r="A1103" s="990" t="s">
        <v>1207</v>
      </c>
      <c r="B1103" s="991" t="s">
        <v>1206</v>
      </c>
      <c r="C1103" s="991" t="s">
        <v>1062</v>
      </c>
      <c r="D1103" s="991" t="s">
        <v>129</v>
      </c>
      <c r="E1103" s="991"/>
      <c r="F1103" s="813" t="s">
        <v>106</v>
      </c>
      <c r="G1103" s="813" t="s">
        <v>106</v>
      </c>
      <c r="H1103" s="813" t="s">
        <v>106</v>
      </c>
      <c r="I1103" s="813" t="s">
        <v>106</v>
      </c>
      <c r="J1103" s="813" t="s">
        <v>106</v>
      </c>
      <c r="K1103" s="813" t="s">
        <v>106</v>
      </c>
      <c r="L1103" s="813" t="s">
        <v>106</v>
      </c>
      <c r="M1103" s="813" t="s">
        <v>106</v>
      </c>
      <c r="N1103" s="813" t="s">
        <v>106</v>
      </c>
      <c r="O1103" s="813" t="s">
        <v>106</v>
      </c>
      <c r="P1103" s="813" t="s">
        <v>106</v>
      </c>
      <c r="Q1103" s="813" t="s">
        <v>106</v>
      </c>
      <c r="R1103" s="813" t="s">
        <v>106</v>
      </c>
      <c r="S1103" s="813" t="s">
        <v>106</v>
      </c>
      <c r="T1103" s="813" t="s">
        <v>106</v>
      </c>
      <c r="U1103" s="813" t="s">
        <v>106</v>
      </c>
      <c r="V1103" s="813" t="s">
        <v>106</v>
      </c>
      <c r="W1103" s="813" t="s">
        <v>106</v>
      </c>
      <c r="X1103" s="813" t="s">
        <v>106</v>
      </c>
      <c r="Y1103" s="813" t="s">
        <v>106</v>
      </c>
      <c r="Z1103" s="813" t="s">
        <v>106</v>
      </c>
      <c r="AA1103" s="813" t="s">
        <v>106</v>
      </c>
      <c r="AB1103" s="813" t="s">
        <v>106</v>
      </c>
      <c r="AC1103" s="813" t="s">
        <v>106</v>
      </c>
      <c r="AD1103" s="813" t="s">
        <v>106</v>
      </c>
      <c r="AE1103" s="813" t="s">
        <v>106</v>
      </c>
      <c r="AF1103" s="813" t="s">
        <v>106</v>
      </c>
      <c r="AG1103" s="813" t="s">
        <v>106</v>
      </c>
      <c r="AH1103" s="813" t="s">
        <v>106</v>
      </c>
      <c r="AI1103" s="813" t="s">
        <v>106</v>
      </c>
      <c r="AJ1103" s="813" t="s">
        <v>106</v>
      </c>
      <c r="AK1103" s="813" t="s">
        <v>106</v>
      </c>
      <c r="AL1103" s="813" t="s">
        <v>106</v>
      </c>
    </row>
    <row r="1104" spans="1:38" s="792" customFormat="1" ht="14.25" customHeight="1">
      <c r="A1104" s="989" t="s">
        <v>437</v>
      </c>
      <c r="B1104" s="791"/>
      <c r="C1104" s="791"/>
      <c r="D1104" s="791"/>
      <c r="E1104" s="791"/>
      <c r="F1104" s="790"/>
      <c r="G1104" s="790"/>
      <c r="H1104" s="790"/>
      <c r="I1104" s="790"/>
      <c r="J1104" s="790"/>
      <c r="K1104" s="790"/>
      <c r="L1104" s="790"/>
      <c r="M1104" s="790"/>
      <c r="N1104" s="790"/>
      <c r="O1104" s="790"/>
      <c r="P1104" s="790"/>
      <c r="Q1104" s="790"/>
      <c r="R1104" s="790"/>
      <c r="S1104" s="790"/>
      <c r="T1104" s="790"/>
      <c r="U1104" s="790"/>
      <c r="V1104" s="790"/>
      <c r="W1104" s="790"/>
      <c r="X1104" s="790"/>
      <c r="Y1104" s="790"/>
      <c r="Z1104" s="790"/>
      <c r="AA1104" s="790"/>
      <c r="AB1104" s="790"/>
      <c r="AC1104" s="790"/>
      <c r="AD1104" s="790"/>
      <c r="AE1104" s="790"/>
      <c r="AF1104" s="790"/>
      <c r="AG1104" s="790"/>
      <c r="AH1104" s="790"/>
      <c r="AI1104" s="790"/>
      <c r="AJ1104" s="790"/>
      <c r="AK1104" s="790"/>
      <c r="AL1104" s="790"/>
    </row>
    <row r="1105" spans="1:38" ht="12.6">
      <c r="A1105" s="990" t="s">
        <v>1208</v>
      </c>
      <c r="B1105" s="991" t="s">
        <v>1209</v>
      </c>
      <c r="C1105" s="991" t="s">
        <v>1058</v>
      </c>
      <c r="D1105" s="991" t="s">
        <v>129</v>
      </c>
      <c r="E1105" s="991"/>
      <c r="F1105" s="813" t="s">
        <v>106</v>
      </c>
      <c r="G1105" s="813" t="s">
        <v>106</v>
      </c>
      <c r="H1105" s="813" t="s">
        <v>106</v>
      </c>
      <c r="I1105" s="813" t="s">
        <v>106</v>
      </c>
      <c r="J1105" s="813" t="s">
        <v>106</v>
      </c>
      <c r="K1105" s="813" t="s">
        <v>106</v>
      </c>
      <c r="L1105" s="813" t="s">
        <v>106</v>
      </c>
      <c r="M1105" s="813" t="s">
        <v>106</v>
      </c>
      <c r="N1105" s="813" t="s">
        <v>106</v>
      </c>
      <c r="O1105" s="813" t="s">
        <v>106</v>
      </c>
      <c r="P1105" s="813" t="s">
        <v>106</v>
      </c>
      <c r="Q1105" s="813" t="s">
        <v>106</v>
      </c>
      <c r="R1105" s="813" t="s">
        <v>106</v>
      </c>
      <c r="S1105" s="813" t="s">
        <v>106</v>
      </c>
      <c r="T1105" s="813" t="s">
        <v>106</v>
      </c>
      <c r="U1105" s="813" t="s">
        <v>106</v>
      </c>
      <c r="V1105" s="813" t="s">
        <v>106</v>
      </c>
      <c r="W1105" s="813" t="s">
        <v>106</v>
      </c>
      <c r="X1105" s="813" t="s">
        <v>106</v>
      </c>
      <c r="Y1105" s="813" t="s">
        <v>106</v>
      </c>
      <c r="Z1105" s="813" t="s">
        <v>106</v>
      </c>
      <c r="AA1105" s="813" t="s">
        <v>106</v>
      </c>
      <c r="AB1105" s="813" t="s">
        <v>106</v>
      </c>
      <c r="AC1105" s="813" t="s">
        <v>106</v>
      </c>
      <c r="AD1105" s="813" t="s">
        <v>106</v>
      </c>
      <c r="AE1105" s="813" t="s">
        <v>106</v>
      </c>
      <c r="AF1105" s="813" t="s">
        <v>106</v>
      </c>
      <c r="AG1105" s="813" t="s">
        <v>106</v>
      </c>
      <c r="AH1105" s="813" t="s">
        <v>106</v>
      </c>
      <c r="AI1105" s="813" t="s">
        <v>106</v>
      </c>
      <c r="AJ1105" s="813" t="s">
        <v>106</v>
      </c>
      <c r="AK1105" s="813" t="s">
        <v>106</v>
      </c>
      <c r="AL1105" s="813" t="s">
        <v>106</v>
      </c>
    </row>
    <row r="1106" spans="1:38" ht="12.6">
      <c r="A1106" s="990" t="s">
        <v>1210</v>
      </c>
      <c r="B1106" s="991" t="s">
        <v>1209</v>
      </c>
      <c r="C1106" s="991" t="s">
        <v>1062</v>
      </c>
      <c r="D1106" s="991" t="s">
        <v>129</v>
      </c>
      <c r="E1106" s="991"/>
      <c r="F1106" s="813" t="s">
        <v>106</v>
      </c>
      <c r="G1106" s="813" t="s">
        <v>106</v>
      </c>
      <c r="H1106" s="813" t="s">
        <v>106</v>
      </c>
      <c r="I1106" s="813" t="s">
        <v>106</v>
      </c>
      <c r="J1106" s="813" t="s">
        <v>106</v>
      </c>
      <c r="K1106" s="813" t="s">
        <v>106</v>
      </c>
      <c r="L1106" s="813" t="s">
        <v>106</v>
      </c>
      <c r="M1106" s="813" t="s">
        <v>106</v>
      </c>
      <c r="N1106" s="813" t="s">
        <v>106</v>
      </c>
      <c r="O1106" s="813" t="s">
        <v>106</v>
      </c>
      <c r="P1106" s="813" t="s">
        <v>106</v>
      </c>
      <c r="Q1106" s="813" t="s">
        <v>106</v>
      </c>
      <c r="R1106" s="813" t="s">
        <v>106</v>
      </c>
      <c r="S1106" s="813" t="s">
        <v>106</v>
      </c>
      <c r="T1106" s="813" t="s">
        <v>106</v>
      </c>
      <c r="U1106" s="813" t="s">
        <v>106</v>
      </c>
      <c r="V1106" s="813" t="s">
        <v>106</v>
      </c>
      <c r="W1106" s="813" t="s">
        <v>106</v>
      </c>
      <c r="X1106" s="813" t="s">
        <v>106</v>
      </c>
      <c r="Y1106" s="813" t="s">
        <v>106</v>
      </c>
      <c r="Z1106" s="813" t="s">
        <v>106</v>
      </c>
      <c r="AA1106" s="813" t="s">
        <v>106</v>
      </c>
      <c r="AB1106" s="813" t="s">
        <v>106</v>
      </c>
      <c r="AC1106" s="813" t="s">
        <v>106</v>
      </c>
      <c r="AD1106" s="813" t="s">
        <v>106</v>
      </c>
      <c r="AE1106" s="813" t="s">
        <v>106</v>
      </c>
      <c r="AF1106" s="813" t="s">
        <v>106</v>
      </c>
      <c r="AG1106" s="813" t="s">
        <v>106</v>
      </c>
      <c r="AH1106" s="813" t="s">
        <v>106</v>
      </c>
      <c r="AI1106" s="813" t="s">
        <v>106</v>
      </c>
      <c r="AJ1106" s="813" t="s">
        <v>106</v>
      </c>
      <c r="AK1106" s="813" t="s">
        <v>106</v>
      </c>
      <c r="AL1106" s="813" t="s">
        <v>106</v>
      </c>
    </row>
    <row r="1107" spans="1:38" s="797" customFormat="1" ht="12.95">
      <c r="A1107" s="796" t="s">
        <v>443</v>
      </c>
      <c r="B1107" s="796"/>
      <c r="C1107" s="796"/>
      <c r="D1107" s="796"/>
      <c r="E1107" s="796"/>
      <c r="F1107" s="795"/>
      <c r="G1107" s="795"/>
      <c r="H1107" s="795"/>
      <c r="I1107" s="795"/>
      <c r="J1107" s="795"/>
      <c r="K1107" s="795"/>
      <c r="L1107" s="795"/>
      <c r="M1107" s="795"/>
      <c r="N1107" s="795"/>
      <c r="O1107" s="795"/>
      <c r="P1107" s="795"/>
      <c r="Q1107" s="795"/>
      <c r="R1107" s="795"/>
      <c r="S1107" s="795"/>
      <c r="T1107" s="795"/>
      <c r="U1107" s="795"/>
      <c r="V1107" s="795"/>
      <c r="W1107" s="795"/>
      <c r="X1107" s="795"/>
      <c r="Y1107" s="795"/>
      <c r="Z1107" s="795"/>
      <c r="AA1107" s="795"/>
      <c r="AB1107" s="795"/>
      <c r="AC1107" s="795"/>
      <c r="AD1107" s="795"/>
      <c r="AE1107" s="795"/>
      <c r="AF1107" s="795"/>
      <c r="AG1107" s="795"/>
      <c r="AH1107" s="795"/>
      <c r="AI1107" s="795"/>
      <c r="AJ1107" s="795"/>
      <c r="AK1107" s="795"/>
      <c r="AL1107" s="795"/>
    </row>
    <row r="1108" spans="1:38" s="792" customFormat="1" ht="14.25" customHeight="1">
      <c r="A1108" s="989" t="s">
        <v>444</v>
      </c>
      <c r="B1108" s="791"/>
      <c r="C1108" s="791"/>
      <c r="D1108" s="791"/>
      <c r="E1108" s="791"/>
      <c r="F1108" s="790"/>
      <c r="G1108" s="790"/>
      <c r="H1108" s="790"/>
      <c r="I1108" s="790"/>
      <c r="J1108" s="790"/>
      <c r="K1108" s="790"/>
      <c r="L1108" s="790"/>
      <c r="M1108" s="790"/>
      <c r="N1108" s="790"/>
      <c r="O1108" s="790"/>
      <c r="P1108" s="790"/>
      <c r="Q1108" s="790"/>
      <c r="R1108" s="790"/>
      <c r="S1108" s="790"/>
      <c r="T1108" s="790"/>
      <c r="U1108" s="790"/>
      <c r="V1108" s="790"/>
      <c r="W1108" s="790"/>
      <c r="X1108" s="790"/>
      <c r="Y1108" s="790"/>
      <c r="Z1108" s="790"/>
      <c r="AA1108" s="790"/>
      <c r="AB1108" s="790"/>
      <c r="AC1108" s="790"/>
      <c r="AD1108" s="790"/>
      <c r="AE1108" s="790"/>
      <c r="AF1108" s="790"/>
      <c r="AG1108" s="790"/>
      <c r="AH1108" s="790"/>
      <c r="AI1108" s="790"/>
      <c r="AJ1108" s="790"/>
      <c r="AK1108" s="790"/>
      <c r="AL1108" s="790"/>
    </row>
    <row r="1109" spans="1:38" ht="12.6">
      <c r="A1109" s="990" t="s">
        <v>1211</v>
      </c>
      <c r="B1109" s="991" t="s">
        <v>1212</v>
      </c>
      <c r="C1109" s="991" t="s">
        <v>1058</v>
      </c>
      <c r="D1109" s="991" t="s">
        <v>129</v>
      </c>
      <c r="E1109" s="991"/>
      <c r="F1109" s="813" t="s">
        <v>1059</v>
      </c>
      <c r="G1109" s="813" t="s">
        <v>1059</v>
      </c>
      <c r="H1109" s="813" t="s">
        <v>1059</v>
      </c>
      <c r="I1109" s="813" t="s">
        <v>1059</v>
      </c>
      <c r="J1109" s="813" t="s">
        <v>1059</v>
      </c>
      <c r="K1109" s="813" t="s">
        <v>1059</v>
      </c>
      <c r="L1109" s="813" t="s">
        <v>1059</v>
      </c>
      <c r="M1109" s="813" t="s">
        <v>1059</v>
      </c>
      <c r="N1109" s="813" t="s">
        <v>1059</v>
      </c>
      <c r="O1109" s="813" t="s">
        <v>1059</v>
      </c>
      <c r="P1109" s="813" t="s">
        <v>1059</v>
      </c>
      <c r="Q1109" s="813" t="s">
        <v>1059</v>
      </c>
      <c r="R1109" s="813" t="s">
        <v>1059</v>
      </c>
      <c r="S1109" s="813" t="s">
        <v>1059</v>
      </c>
      <c r="T1109" s="813" t="s">
        <v>1059</v>
      </c>
      <c r="U1109" s="813" t="s">
        <v>1059</v>
      </c>
      <c r="V1109" s="813" t="s">
        <v>1059</v>
      </c>
      <c r="W1109" s="813" t="s">
        <v>1059</v>
      </c>
      <c r="X1109" s="813" t="s">
        <v>1059</v>
      </c>
      <c r="Y1109" s="813" t="s">
        <v>1059</v>
      </c>
      <c r="Z1109" s="813" t="s">
        <v>1059</v>
      </c>
      <c r="AA1109" s="813" t="s">
        <v>1059</v>
      </c>
      <c r="AB1109" s="813" t="s">
        <v>1059</v>
      </c>
      <c r="AC1109" s="813" t="s">
        <v>1059</v>
      </c>
      <c r="AD1109" s="813" t="s">
        <v>1059</v>
      </c>
      <c r="AE1109" s="813" t="s">
        <v>1059</v>
      </c>
      <c r="AF1109" s="813" t="s">
        <v>1059</v>
      </c>
      <c r="AG1109" s="813" t="s">
        <v>1059</v>
      </c>
      <c r="AH1109" s="813" t="s">
        <v>1059</v>
      </c>
      <c r="AI1109" s="813" t="s">
        <v>1059</v>
      </c>
      <c r="AJ1109" s="813" t="s">
        <v>1059</v>
      </c>
      <c r="AK1109" s="813" t="s">
        <v>1059</v>
      </c>
      <c r="AL1109" s="813" t="s">
        <v>1060</v>
      </c>
    </row>
    <row r="1110" spans="1:38" ht="12.6">
      <c r="A1110" s="990" t="s">
        <v>1213</v>
      </c>
      <c r="B1110" s="991" t="s">
        <v>1212</v>
      </c>
      <c r="C1110" s="991" t="s">
        <v>1062</v>
      </c>
      <c r="D1110" s="991" t="s">
        <v>129</v>
      </c>
      <c r="E1110" s="991"/>
      <c r="F1110" s="813" t="s">
        <v>1063</v>
      </c>
      <c r="G1110" s="813" t="s">
        <v>1063</v>
      </c>
      <c r="H1110" s="813" t="s">
        <v>1063</v>
      </c>
      <c r="I1110" s="813" t="s">
        <v>1063</v>
      </c>
      <c r="J1110" s="813" t="s">
        <v>1063</v>
      </c>
      <c r="K1110" s="813" t="s">
        <v>1063</v>
      </c>
      <c r="L1110" s="813" t="s">
        <v>1063</v>
      </c>
      <c r="M1110" s="813" t="s">
        <v>1063</v>
      </c>
      <c r="N1110" s="813" t="s">
        <v>1063</v>
      </c>
      <c r="O1110" s="813" t="s">
        <v>1063</v>
      </c>
      <c r="P1110" s="813" t="s">
        <v>1063</v>
      </c>
      <c r="Q1110" s="813" t="s">
        <v>1063</v>
      </c>
      <c r="R1110" s="813" t="s">
        <v>1063</v>
      </c>
      <c r="S1110" s="813" t="s">
        <v>1063</v>
      </c>
      <c r="T1110" s="813" t="s">
        <v>1063</v>
      </c>
      <c r="U1110" s="813" t="s">
        <v>1063</v>
      </c>
      <c r="V1110" s="813" t="s">
        <v>1063</v>
      </c>
      <c r="W1110" s="813" t="s">
        <v>1063</v>
      </c>
      <c r="X1110" s="813" t="s">
        <v>1063</v>
      </c>
      <c r="Y1110" s="813" t="s">
        <v>1063</v>
      </c>
      <c r="Z1110" s="813" t="s">
        <v>1063</v>
      </c>
      <c r="AA1110" s="813" t="s">
        <v>1063</v>
      </c>
      <c r="AB1110" s="813" t="s">
        <v>1063</v>
      </c>
      <c r="AC1110" s="813" t="s">
        <v>1063</v>
      </c>
      <c r="AD1110" s="813" t="s">
        <v>1063</v>
      </c>
      <c r="AE1110" s="813" t="s">
        <v>1063</v>
      </c>
      <c r="AF1110" s="813" t="s">
        <v>1063</v>
      </c>
      <c r="AG1110" s="813" t="s">
        <v>1063</v>
      </c>
      <c r="AH1110" s="813" t="s">
        <v>1063</v>
      </c>
      <c r="AI1110" s="813" t="s">
        <v>1063</v>
      </c>
      <c r="AJ1110" s="813" t="s">
        <v>1063</v>
      </c>
      <c r="AK1110" s="813" t="s">
        <v>1063</v>
      </c>
      <c r="AL1110" s="813" t="s">
        <v>1063</v>
      </c>
    </row>
    <row r="1111" spans="1:38" s="792" customFormat="1" ht="14.25" customHeight="1">
      <c r="A1111" s="989" t="s">
        <v>450</v>
      </c>
      <c r="B1111" s="791"/>
      <c r="C1111" s="791"/>
      <c r="D1111" s="791"/>
      <c r="E1111" s="791"/>
      <c r="F1111" s="790"/>
      <c r="G1111" s="790"/>
      <c r="H1111" s="790"/>
      <c r="I1111" s="790"/>
      <c r="J1111" s="790"/>
      <c r="K1111" s="790"/>
      <c r="L1111" s="790"/>
      <c r="M1111" s="790"/>
      <c r="N1111" s="790"/>
      <c r="O1111" s="790"/>
      <c r="P1111" s="790"/>
      <c r="Q1111" s="790"/>
      <c r="R1111" s="790"/>
      <c r="S1111" s="790"/>
      <c r="T1111" s="790"/>
      <c r="U1111" s="790"/>
      <c r="V1111" s="790"/>
      <c r="W1111" s="790"/>
      <c r="X1111" s="790"/>
      <c r="Y1111" s="790"/>
      <c r="Z1111" s="790"/>
      <c r="AA1111" s="790"/>
      <c r="AB1111" s="790"/>
      <c r="AC1111" s="790"/>
      <c r="AD1111" s="790"/>
      <c r="AE1111" s="790"/>
      <c r="AF1111" s="790"/>
      <c r="AG1111" s="790"/>
      <c r="AH1111" s="790"/>
      <c r="AI1111" s="790"/>
      <c r="AJ1111" s="790"/>
      <c r="AK1111" s="790"/>
      <c r="AL1111" s="790"/>
    </row>
    <row r="1112" spans="1:38" ht="12.6">
      <c r="A1112" s="990" t="s">
        <v>1214</v>
      </c>
      <c r="B1112" s="991" t="s">
        <v>1215</v>
      </c>
      <c r="C1112" s="991" t="s">
        <v>1058</v>
      </c>
      <c r="D1112" s="991" t="s">
        <v>129</v>
      </c>
      <c r="E1112" s="991"/>
      <c r="F1112" s="813" t="s">
        <v>1059</v>
      </c>
      <c r="G1112" s="813" t="s">
        <v>1059</v>
      </c>
      <c r="H1112" s="813" t="s">
        <v>1059</v>
      </c>
      <c r="I1112" s="813" t="s">
        <v>1059</v>
      </c>
      <c r="J1112" s="813" t="s">
        <v>1059</v>
      </c>
      <c r="K1112" s="813" t="s">
        <v>1059</v>
      </c>
      <c r="L1112" s="813" t="s">
        <v>1059</v>
      </c>
      <c r="M1112" s="813" t="s">
        <v>1059</v>
      </c>
      <c r="N1112" s="813" t="s">
        <v>1059</v>
      </c>
      <c r="O1112" s="813" t="s">
        <v>1059</v>
      </c>
      <c r="P1112" s="813" t="s">
        <v>1059</v>
      </c>
      <c r="Q1112" s="813" t="s">
        <v>1059</v>
      </c>
      <c r="R1112" s="813" t="s">
        <v>1059</v>
      </c>
      <c r="S1112" s="813" t="s">
        <v>1059</v>
      </c>
      <c r="T1112" s="813" t="s">
        <v>1059</v>
      </c>
      <c r="U1112" s="813" t="s">
        <v>1059</v>
      </c>
      <c r="V1112" s="813" t="s">
        <v>1059</v>
      </c>
      <c r="W1112" s="813" t="s">
        <v>1059</v>
      </c>
      <c r="X1112" s="813" t="s">
        <v>1059</v>
      </c>
      <c r="Y1112" s="813" t="s">
        <v>1059</v>
      </c>
      <c r="Z1112" s="813" t="s">
        <v>1059</v>
      </c>
      <c r="AA1112" s="813" t="s">
        <v>1059</v>
      </c>
      <c r="AB1112" s="813" t="s">
        <v>1059</v>
      </c>
      <c r="AC1112" s="813" t="s">
        <v>1059</v>
      </c>
      <c r="AD1112" s="813" t="s">
        <v>1059</v>
      </c>
      <c r="AE1112" s="813" t="s">
        <v>1059</v>
      </c>
      <c r="AF1112" s="813" t="s">
        <v>1059</v>
      </c>
      <c r="AG1112" s="813" t="s">
        <v>1059</v>
      </c>
      <c r="AH1112" s="813" t="s">
        <v>1059</v>
      </c>
      <c r="AI1112" s="813" t="s">
        <v>1059</v>
      </c>
      <c r="AJ1112" s="813" t="s">
        <v>1059</v>
      </c>
      <c r="AK1112" s="813" t="s">
        <v>1059</v>
      </c>
      <c r="AL1112" s="813" t="s">
        <v>1060</v>
      </c>
    </row>
    <row r="1113" spans="1:38" ht="12.6">
      <c r="A1113" s="990" t="s">
        <v>1216</v>
      </c>
      <c r="B1113" s="991" t="s">
        <v>1215</v>
      </c>
      <c r="C1113" s="991" t="s">
        <v>1062</v>
      </c>
      <c r="D1113" s="991" t="s">
        <v>129</v>
      </c>
      <c r="E1113" s="991"/>
      <c r="F1113" s="813" t="s">
        <v>1063</v>
      </c>
      <c r="G1113" s="813" t="s">
        <v>1063</v>
      </c>
      <c r="H1113" s="813" t="s">
        <v>1063</v>
      </c>
      <c r="I1113" s="813" t="s">
        <v>1063</v>
      </c>
      <c r="J1113" s="813" t="s">
        <v>1063</v>
      </c>
      <c r="K1113" s="813" t="s">
        <v>1063</v>
      </c>
      <c r="L1113" s="813" t="s">
        <v>1063</v>
      </c>
      <c r="M1113" s="813" t="s">
        <v>1063</v>
      </c>
      <c r="N1113" s="813" t="s">
        <v>1063</v>
      </c>
      <c r="O1113" s="813" t="s">
        <v>1063</v>
      </c>
      <c r="P1113" s="813" t="s">
        <v>1063</v>
      </c>
      <c r="Q1113" s="813" t="s">
        <v>1063</v>
      </c>
      <c r="R1113" s="813" t="s">
        <v>1063</v>
      </c>
      <c r="S1113" s="813" t="s">
        <v>1063</v>
      </c>
      <c r="T1113" s="813" t="s">
        <v>1063</v>
      </c>
      <c r="U1113" s="813" t="s">
        <v>1063</v>
      </c>
      <c r="V1113" s="813" t="s">
        <v>1063</v>
      </c>
      <c r="W1113" s="813" t="s">
        <v>1063</v>
      </c>
      <c r="X1113" s="813" t="s">
        <v>1063</v>
      </c>
      <c r="Y1113" s="813" t="s">
        <v>1063</v>
      </c>
      <c r="Z1113" s="813" t="s">
        <v>1063</v>
      </c>
      <c r="AA1113" s="813" t="s">
        <v>1063</v>
      </c>
      <c r="AB1113" s="813" t="s">
        <v>1063</v>
      </c>
      <c r="AC1113" s="813" t="s">
        <v>1063</v>
      </c>
      <c r="AD1113" s="813" t="s">
        <v>1063</v>
      </c>
      <c r="AE1113" s="813" t="s">
        <v>1063</v>
      </c>
      <c r="AF1113" s="813" t="s">
        <v>1063</v>
      </c>
      <c r="AG1113" s="813" t="s">
        <v>1063</v>
      </c>
      <c r="AH1113" s="813" t="s">
        <v>1063</v>
      </c>
      <c r="AI1113" s="813" t="s">
        <v>1063</v>
      </c>
      <c r="AJ1113" s="813" t="s">
        <v>1063</v>
      </c>
      <c r="AK1113" s="813" t="s">
        <v>1063</v>
      </c>
      <c r="AL1113" s="813" t="s">
        <v>1063</v>
      </c>
    </row>
    <row r="1114" spans="1:38" s="792" customFormat="1" ht="14.25" customHeight="1">
      <c r="A1114" s="989" t="s">
        <v>456</v>
      </c>
      <c r="B1114" s="791"/>
      <c r="C1114" s="791"/>
      <c r="D1114" s="791"/>
      <c r="E1114" s="791"/>
      <c r="F1114" s="790"/>
      <c r="G1114" s="790"/>
      <c r="H1114" s="790"/>
      <c r="I1114" s="790"/>
      <c r="J1114" s="790"/>
      <c r="K1114" s="790"/>
      <c r="L1114" s="790"/>
      <c r="M1114" s="790"/>
      <c r="N1114" s="790"/>
      <c r="O1114" s="790"/>
      <c r="P1114" s="790"/>
      <c r="Q1114" s="790"/>
      <c r="R1114" s="790"/>
      <c r="S1114" s="790"/>
      <c r="T1114" s="790"/>
      <c r="U1114" s="790"/>
      <c r="V1114" s="790"/>
      <c r="W1114" s="790"/>
      <c r="X1114" s="790"/>
      <c r="Y1114" s="790"/>
      <c r="Z1114" s="790"/>
      <c r="AA1114" s="790"/>
      <c r="AB1114" s="790"/>
      <c r="AC1114" s="790"/>
      <c r="AD1114" s="790"/>
      <c r="AE1114" s="790"/>
      <c r="AF1114" s="790"/>
      <c r="AG1114" s="790"/>
      <c r="AH1114" s="790"/>
      <c r="AI1114" s="790"/>
      <c r="AJ1114" s="790"/>
      <c r="AK1114" s="790"/>
      <c r="AL1114" s="790"/>
    </row>
    <row r="1115" spans="1:38" ht="12.6">
      <c r="A1115" s="990" t="s">
        <v>1217</v>
      </c>
      <c r="B1115" s="991" t="s">
        <v>1218</v>
      </c>
      <c r="C1115" s="991" t="s">
        <v>1058</v>
      </c>
      <c r="D1115" s="991" t="s">
        <v>129</v>
      </c>
      <c r="E1115" s="991"/>
      <c r="F1115" s="813" t="s">
        <v>1059</v>
      </c>
      <c r="G1115" s="813" t="s">
        <v>1059</v>
      </c>
      <c r="H1115" s="813" t="s">
        <v>1059</v>
      </c>
      <c r="I1115" s="813" t="s">
        <v>1059</v>
      </c>
      <c r="J1115" s="813" t="s">
        <v>1059</v>
      </c>
      <c r="K1115" s="813" t="s">
        <v>1059</v>
      </c>
      <c r="L1115" s="813" t="s">
        <v>1059</v>
      </c>
      <c r="M1115" s="813" t="s">
        <v>1059</v>
      </c>
      <c r="N1115" s="813" t="s">
        <v>1059</v>
      </c>
      <c r="O1115" s="813" t="s">
        <v>1059</v>
      </c>
      <c r="P1115" s="813" t="s">
        <v>1059</v>
      </c>
      <c r="Q1115" s="813" t="s">
        <v>1059</v>
      </c>
      <c r="R1115" s="813" t="s">
        <v>1059</v>
      </c>
      <c r="S1115" s="813" t="s">
        <v>1059</v>
      </c>
      <c r="T1115" s="813" t="s">
        <v>1059</v>
      </c>
      <c r="U1115" s="813" t="s">
        <v>1059</v>
      </c>
      <c r="V1115" s="813" t="s">
        <v>1059</v>
      </c>
      <c r="W1115" s="813" t="s">
        <v>1059</v>
      </c>
      <c r="X1115" s="813" t="s">
        <v>1059</v>
      </c>
      <c r="Y1115" s="813" t="s">
        <v>1059</v>
      </c>
      <c r="Z1115" s="813" t="s">
        <v>1059</v>
      </c>
      <c r="AA1115" s="813" t="s">
        <v>1059</v>
      </c>
      <c r="AB1115" s="813" t="s">
        <v>1059</v>
      </c>
      <c r="AC1115" s="813" t="s">
        <v>1059</v>
      </c>
      <c r="AD1115" s="813" t="s">
        <v>1059</v>
      </c>
      <c r="AE1115" s="813" t="s">
        <v>1059</v>
      </c>
      <c r="AF1115" s="813" t="s">
        <v>1059</v>
      </c>
      <c r="AG1115" s="813" t="s">
        <v>1059</v>
      </c>
      <c r="AH1115" s="813" t="s">
        <v>1059</v>
      </c>
      <c r="AI1115" s="813" t="s">
        <v>1059</v>
      </c>
      <c r="AJ1115" s="813" t="s">
        <v>1059</v>
      </c>
      <c r="AK1115" s="813" t="s">
        <v>1059</v>
      </c>
      <c r="AL1115" s="813" t="s">
        <v>1060</v>
      </c>
    </row>
    <row r="1116" spans="1:38" ht="12.6">
      <c r="A1116" s="990" t="s">
        <v>1219</v>
      </c>
      <c r="B1116" s="991" t="s">
        <v>1218</v>
      </c>
      <c r="C1116" s="991" t="s">
        <v>1062</v>
      </c>
      <c r="D1116" s="991" t="s">
        <v>129</v>
      </c>
      <c r="E1116" s="991"/>
      <c r="F1116" s="813" t="s">
        <v>1063</v>
      </c>
      <c r="G1116" s="813" t="s">
        <v>1063</v>
      </c>
      <c r="H1116" s="813" t="s">
        <v>1063</v>
      </c>
      <c r="I1116" s="813" t="s">
        <v>1063</v>
      </c>
      <c r="J1116" s="813" t="s">
        <v>1063</v>
      </c>
      <c r="K1116" s="813" t="s">
        <v>1063</v>
      </c>
      <c r="L1116" s="813" t="s">
        <v>1063</v>
      </c>
      <c r="M1116" s="813" t="s">
        <v>1063</v>
      </c>
      <c r="N1116" s="813" t="s">
        <v>1063</v>
      </c>
      <c r="O1116" s="813" t="s">
        <v>1063</v>
      </c>
      <c r="P1116" s="813" t="s">
        <v>1063</v>
      </c>
      <c r="Q1116" s="813" t="s">
        <v>1063</v>
      </c>
      <c r="R1116" s="813" t="s">
        <v>1063</v>
      </c>
      <c r="S1116" s="813" t="s">
        <v>1063</v>
      </c>
      <c r="T1116" s="813" t="s">
        <v>1063</v>
      </c>
      <c r="U1116" s="813" t="s">
        <v>1063</v>
      </c>
      <c r="V1116" s="813" t="s">
        <v>1063</v>
      </c>
      <c r="W1116" s="813" t="s">
        <v>1063</v>
      </c>
      <c r="X1116" s="813" t="s">
        <v>1063</v>
      </c>
      <c r="Y1116" s="813" t="s">
        <v>1063</v>
      </c>
      <c r="Z1116" s="813" t="s">
        <v>1063</v>
      </c>
      <c r="AA1116" s="813" t="s">
        <v>1063</v>
      </c>
      <c r="AB1116" s="813" t="s">
        <v>1063</v>
      </c>
      <c r="AC1116" s="813" t="s">
        <v>1063</v>
      </c>
      <c r="AD1116" s="813" t="s">
        <v>1063</v>
      </c>
      <c r="AE1116" s="813" t="s">
        <v>1063</v>
      </c>
      <c r="AF1116" s="813" t="s">
        <v>1063</v>
      </c>
      <c r="AG1116" s="813" t="s">
        <v>1063</v>
      </c>
      <c r="AH1116" s="813" t="s">
        <v>1063</v>
      </c>
      <c r="AI1116" s="813" t="s">
        <v>1063</v>
      </c>
      <c r="AJ1116" s="813" t="s">
        <v>1063</v>
      </c>
      <c r="AK1116" s="813" t="s">
        <v>1063</v>
      </c>
      <c r="AL1116" s="813" t="s">
        <v>1063</v>
      </c>
    </row>
    <row r="1117" spans="1:38" s="792" customFormat="1" ht="14.25" customHeight="1">
      <c r="A1117" s="989" t="s">
        <v>462</v>
      </c>
      <c r="B1117" s="791"/>
      <c r="C1117" s="791"/>
      <c r="D1117" s="791"/>
      <c r="E1117" s="791"/>
      <c r="F1117" s="790"/>
      <c r="G1117" s="790"/>
      <c r="H1117" s="790"/>
      <c r="I1117" s="790"/>
      <c r="J1117" s="790"/>
      <c r="K1117" s="790"/>
      <c r="L1117" s="790"/>
      <c r="M1117" s="790"/>
      <c r="N1117" s="790"/>
      <c r="O1117" s="790"/>
      <c r="P1117" s="790"/>
      <c r="Q1117" s="790"/>
      <c r="R1117" s="790"/>
      <c r="S1117" s="790"/>
      <c r="T1117" s="790"/>
      <c r="U1117" s="790"/>
      <c r="V1117" s="790"/>
      <c r="W1117" s="790"/>
      <c r="X1117" s="790"/>
      <c r="Y1117" s="790"/>
      <c r="Z1117" s="790"/>
      <c r="AA1117" s="790"/>
      <c r="AB1117" s="790"/>
      <c r="AC1117" s="790"/>
      <c r="AD1117" s="790"/>
      <c r="AE1117" s="790"/>
      <c r="AF1117" s="790"/>
      <c r="AG1117" s="790"/>
      <c r="AH1117" s="790"/>
      <c r="AI1117" s="790"/>
      <c r="AJ1117" s="790"/>
      <c r="AK1117" s="790"/>
      <c r="AL1117" s="790"/>
    </row>
    <row r="1118" spans="1:38" ht="12.6">
      <c r="A1118" s="990" t="s">
        <v>1220</v>
      </c>
      <c r="B1118" s="991" t="s">
        <v>1221</v>
      </c>
      <c r="C1118" s="991" t="s">
        <v>1058</v>
      </c>
      <c r="D1118" s="991" t="s">
        <v>129</v>
      </c>
      <c r="E1118" s="991"/>
      <c r="F1118" s="813" t="s">
        <v>106</v>
      </c>
      <c r="G1118" s="813" t="s">
        <v>106</v>
      </c>
      <c r="H1118" s="813" t="s">
        <v>106</v>
      </c>
      <c r="I1118" s="813" t="s">
        <v>106</v>
      </c>
      <c r="J1118" s="813" t="s">
        <v>106</v>
      </c>
      <c r="K1118" s="813" t="s">
        <v>106</v>
      </c>
      <c r="L1118" s="813" t="s">
        <v>106</v>
      </c>
      <c r="M1118" s="813" t="s">
        <v>106</v>
      </c>
      <c r="N1118" s="813" t="s">
        <v>106</v>
      </c>
      <c r="O1118" s="813" t="s">
        <v>106</v>
      </c>
      <c r="P1118" s="813" t="s">
        <v>106</v>
      </c>
      <c r="Q1118" s="813" t="s">
        <v>106</v>
      </c>
      <c r="R1118" s="813" t="s">
        <v>106</v>
      </c>
      <c r="S1118" s="813" t="s">
        <v>106</v>
      </c>
      <c r="T1118" s="813" t="s">
        <v>106</v>
      </c>
      <c r="U1118" s="813" t="s">
        <v>106</v>
      </c>
      <c r="V1118" s="813" t="s">
        <v>106</v>
      </c>
      <c r="W1118" s="813" t="s">
        <v>106</v>
      </c>
      <c r="X1118" s="813" t="s">
        <v>106</v>
      </c>
      <c r="Y1118" s="813" t="s">
        <v>106</v>
      </c>
      <c r="Z1118" s="813" t="s">
        <v>106</v>
      </c>
      <c r="AA1118" s="813" t="s">
        <v>106</v>
      </c>
      <c r="AB1118" s="813" t="s">
        <v>106</v>
      </c>
      <c r="AC1118" s="813" t="s">
        <v>106</v>
      </c>
      <c r="AD1118" s="813" t="s">
        <v>106</v>
      </c>
      <c r="AE1118" s="813" t="s">
        <v>106</v>
      </c>
      <c r="AF1118" s="813" t="s">
        <v>106</v>
      </c>
      <c r="AG1118" s="813" t="s">
        <v>106</v>
      </c>
      <c r="AH1118" s="813" t="s">
        <v>106</v>
      </c>
      <c r="AI1118" s="813" t="s">
        <v>106</v>
      </c>
      <c r="AJ1118" s="813" t="s">
        <v>106</v>
      </c>
      <c r="AK1118" s="813" t="s">
        <v>106</v>
      </c>
      <c r="AL1118" s="813" t="s">
        <v>106</v>
      </c>
    </row>
    <row r="1119" spans="1:38" ht="12.6">
      <c r="A1119" s="990" t="s">
        <v>1222</v>
      </c>
      <c r="B1119" s="991" t="s">
        <v>1221</v>
      </c>
      <c r="C1119" s="991" t="s">
        <v>1062</v>
      </c>
      <c r="D1119" s="991" t="s">
        <v>129</v>
      </c>
      <c r="E1119" s="991"/>
      <c r="F1119" s="813" t="s">
        <v>106</v>
      </c>
      <c r="G1119" s="813" t="s">
        <v>106</v>
      </c>
      <c r="H1119" s="813" t="s">
        <v>106</v>
      </c>
      <c r="I1119" s="813" t="s">
        <v>106</v>
      </c>
      <c r="J1119" s="813" t="s">
        <v>106</v>
      </c>
      <c r="K1119" s="813" t="s">
        <v>106</v>
      </c>
      <c r="L1119" s="813" t="s">
        <v>106</v>
      </c>
      <c r="M1119" s="813" t="s">
        <v>106</v>
      </c>
      <c r="N1119" s="813" t="s">
        <v>106</v>
      </c>
      <c r="O1119" s="813" t="s">
        <v>106</v>
      </c>
      <c r="P1119" s="813" t="s">
        <v>106</v>
      </c>
      <c r="Q1119" s="813" t="s">
        <v>106</v>
      </c>
      <c r="R1119" s="813" t="s">
        <v>106</v>
      </c>
      <c r="S1119" s="813" t="s">
        <v>106</v>
      </c>
      <c r="T1119" s="813" t="s">
        <v>106</v>
      </c>
      <c r="U1119" s="813" t="s">
        <v>106</v>
      </c>
      <c r="V1119" s="813" t="s">
        <v>106</v>
      </c>
      <c r="W1119" s="813" t="s">
        <v>106</v>
      </c>
      <c r="X1119" s="813" t="s">
        <v>106</v>
      </c>
      <c r="Y1119" s="813" t="s">
        <v>106</v>
      </c>
      <c r="Z1119" s="813" t="s">
        <v>106</v>
      </c>
      <c r="AA1119" s="813" t="s">
        <v>106</v>
      </c>
      <c r="AB1119" s="813" t="s">
        <v>106</v>
      </c>
      <c r="AC1119" s="813" t="s">
        <v>106</v>
      </c>
      <c r="AD1119" s="813" t="s">
        <v>106</v>
      </c>
      <c r="AE1119" s="813" t="s">
        <v>106</v>
      </c>
      <c r="AF1119" s="813" t="s">
        <v>106</v>
      </c>
      <c r="AG1119" s="813" t="s">
        <v>106</v>
      </c>
      <c r="AH1119" s="813" t="s">
        <v>106</v>
      </c>
      <c r="AI1119" s="813" t="s">
        <v>106</v>
      </c>
      <c r="AJ1119" s="813" t="s">
        <v>106</v>
      </c>
      <c r="AK1119" s="813" t="s">
        <v>106</v>
      </c>
      <c r="AL1119" s="813" t="s">
        <v>106</v>
      </c>
    </row>
    <row r="1120" spans="1:38" s="792" customFormat="1" ht="14.25" customHeight="1">
      <c r="A1120" s="989" t="s">
        <v>468</v>
      </c>
      <c r="B1120" s="791"/>
      <c r="C1120" s="791"/>
      <c r="D1120" s="791"/>
      <c r="E1120" s="791"/>
      <c r="F1120" s="790"/>
      <c r="G1120" s="790"/>
      <c r="H1120" s="790"/>
      <c r="I1120" s="790"/>
      <c r="J1120" s="790"/>
      <c r="K1120" s="790"/>
      <c r="L1120" s="790"/>
      <c r="M1120" s="790"/>
      <c r="N1120" s="790"/>
      <c r="O1120" s="790"/>
      <c r="P1120" s="790"/>
      <c r="Q1120" s="790"/>
      <c r="R1120" s="790"/>
      <c r="S1120" s="790"/>
      <c r="T1120" s="790"/>
      <c r="U1120" s="790"/>
      <c r="V1120" s="790"/>
      <c r="W1120" s="790"/>
      <c r="X1120" s="790"/>
      <c r="Y1120" s="790"/>
      <c r="Z1120" s="790"/>
      <c r="AA1120" s="790"/>
      <c r="AB1120" s="790"/>
      <c r="AC1120" s="790"/>
      <c r="AD1120" s="790"/>
      <c r="AE1120" s="790"/>
      <c r="AF1120" s="790"/>
      <c r="AG1120" s="790"/>
      <c r="AH1120" s="790"/>
      <c r="AI1120" s="790"/>
      <c r="AJ1120" s="790"/>
      <c r="AK1120" s="790"/>
      <c r="AL1120" s="790"/>
    </row>
    <row r="1121" spans="1:38" ht="12.6">
      <c r="A1121" s="990" t="s">
        <v>1223</v>
      </c>
      <c r="B1121" s="991" t="s">
        <v>1224</v>
      </c>
      <c r="C1121" s="991" t="s">
        <v>1058</v>
      </c>
      <c r="D1121" s="991" t="s">
        <v>129</v>
      </c>
      <c r="E1121" s="991"/>
      <c r="F1121" s="813" t="s">
        <v>106</v>
      </c>
      <c r="G1121" s="813" t="s">
        <v>106</v>
      </c>
      <c r="H1121" s="813" t="s">
        <v>106</v>
      </c>
      <c r="I1121" s="813" t="s">
        <v>106</v>
      </c>
      <c r="J1121" s="813" t="s">
        <v>106</v>
      </c>
      <c r="K1121" s="813" t="s">
        <v>106</v>
      </c>
      <c r="L1121" s="813" t="s">
        <v>106</v>
      </c>
      <c r="M1121" s="813" t="s">
        <v>106</v>
      </c>
      <c r="N1121" s="813" t="s">
        <v>106</v>
      </c>
      <c r="O1121" s="813" t="s">
        <v>106</v>
      </c>
      <c r="P1121" s="813" t="s">
        <v>106</v>
      </c>
      <c r="Q1121" s="813" t="s">
        <v>106</v>
      </c>
      <c r="R1121" s="813" t="s">
        <v>106</v>
      </c>
      <c r="S1121" s="813" t="s">
        <v>106</v>
      </c>
      <c r="T1121" s="813" t="s">
        <v>106</v>
      </c>
      <c r="U1121" s="813" t="s">
        <v>106</v>
      </c>
      <c r="V1121" s="813" t="s">
        <v>106</v>
      </c>
      <c r="W1121" s="813" t="s">
        <v>106</v>
      </c>
      <c r="X1121" s="813" t="s">
        <v>106</v>
      </c>
      <c r="Y1121" s="813" t="s">
        <v>106</v>
      </c>
      <c r="Z1121" s="813" t="s">
        <v>106</v>
      </c>
      <c r="AA1121" s="813" t="s">
        <v>106</v>
      </c>
      <c r="AB1121" s="813" t="s">
        <v>106</v>
      </c>
      <c r="AC1121" s="813" t="s">
        <v>106</v>
      </c>
      <c r="AD1121" s="813" t="s">
        <v>106</v>
      </c>
      <c r="AE1121" s="813" t="s">
        <v>106</v>
      </c>
      <c r="AF1121" s="813" t="s">
        <v>106</v>
      </c>
      <c r="AG1121" s="813" t="s">
        <v>106</v>
      </c>
      <c r="AH1121" s="813" t="s">
        <v>106</v>
      </c>
      <c r="AI1121" s="813" t="s">
        <v>106</v>
      </c>
      <c r="AJ1121" s="813" t="s">
        <v>106</v>
      </c>
      <c r="AK1121" s="813" t="s">
        <v>106</v>
      </c>
      <c r="AL1121" s="813" t="s">
        <v>106</v>
      </c>
    </row>
    <row r="1122" spans="1:38" ht="12.6">
      <c r="A1122" s="990" t="s">
        <v>1225</v>
      </c>
      <c r="B1122" s="991" t="s">
        <v>1224</v>
      </c>
      <c r="C1122" s="991" t="s">
        <v>1062</v>
      </c>
      <c r="D1122" s="991" t="s">
        <v>129</v>
      </c>
      <c r="E1122" s="991"/>
      <c r="F1122" s="813" t="s">
        <v>106</v>
      </c>
      <c r="G1122" s="813" t="s">
        <v>106</v>
      </c>
      <c r="H1122" s="813" t="s">
        <v>106</v>
      </c>
      <c r="I1122" s="813" t="s">
        <v>106</v>
      </c>
      <c r="J1122" s="813" t="s">
        <v>106</v>
      </c>
      <c r="K1122" s="813" t="s">
        <v>106</v>
      </c>
      <c r="L1122" s="813" t="s">
        <v>106</v>
      </c>
      <c r="M1122" s="813" t="s">
        <v>106</v>
      </c>
      <c r="N1122" s="813" t="s">
        <v>106</v>
      </c>
      <c r="O1122" s="813" t="s">
        <v>106</v>
      </c>
      <c r="P1122" s="813" t="s">
        <v>106</v>
      </c>
      <c r="Q1122" s="813" t="s">
        <v>106</v>
      </c>
      <c r="R1122" s="813" t="s">
        <v>106</v>
      </c>
      <c r="S1122" s="813" t="s">
        <v>106</v>
      </c>
      <c r="T1122" s="813" t="s">
        <v>106</v>
      </c>
      <c r="U1122" s="813" t="s">
        <v>106</v>
      </c>
      <c r="V1122" s="813" t="s">
        <v>106</v>
      </c>
      <c r="W1122" s="813" t="s">
        <v>106</v>
      </c>
      <c r="X1122" s="813" t="s">
        <v>106</v>
      </c>
      <c r="Y1122" s="813" t="s">
        <v>106</v>
      </c>
      <c r="Z1122" s="813" t="s">
        <v>106</v>
      </c>
      <c r="AA1122" s="813" t="s">
        <v>106</v>
      </c>
      <c r="AB1122" s="813" t="s">
        <v>106</v>
      </c>
      <c r="AC1122" s="813" t="s">
        <v>106</v>
      </c>
      <c r="AD1122" s="813" t="s">
        <v>106</v>
      </c>
      <c r="AE1122" s="813" t="s">
        <v>106</v>
      </c>
      <c r="AF1122" s="813" t="s">
        <v>106</v>
      </c>
      <c r="AG1122" s="813" t="s">
        <v>106</v>
      </c>
      <c r="AH1122" s="813" t="s">
        <v>106</v>
      </c>
      <c r="AI1122" s="813" t="s">
        <v>106</v>
      </c>
      <c r="AJ1122" s="813" t="s">
        <v>106</v>
      </c>
      <c r="AK1122" s="813" t="s">
        <v>106</v>
      </c>
      <c r="AL1122" s="813" t="s">
        <v>106</v>
      </c>
    </row>
    <row r="1123" spans="1:38" s="797" customFormat="1" ht="12.95">
      <c r="A1123" s="796" t="s">
        <v>474</v>
      </c>
      <c r="B1123" s="796"/>
      <c r="C1123" s="796"/>
      <c r="D1123" s="796"/>
      <c r="E1123" s="796"/>
      <c r="F1123" s="795"/>
      <c r="G1123" s="795"/>
      <c r="H1123" s="795"/>
      <c r="I1123" s="795"/>
      <c r="J1123" s="795"/>
      <c r="K1123" s="795"/>
      <c r="L1123" s="795"/>
      <c r="M1123" s="795"/>
      <c r="N1123" s="795"/>
      <c r="O1123" s="795"/>
      <c r="P1123" s="795"/>
      <c r="Q1123" s="795"/>
      <c r="R1123" s="795"/>
      <c r="S1123" s="795"/>
      <c r="T1123" s="795"/>
      <c r="U1123" s="795"/>
      <c r="V1123" s="795"/>
      <c r="W1123" s="795"/>
      <c r="X1123" s="795"/>
      <c r="Y1123" s="795"/>
      <c r="Z1123" s="795"/>
      <c r="AA1123" s="795"/>
      <c r="AB1123" s="795"/>
      <c r="AC1123" s="795"/>
      <c r="AD1123" s="795"/>
      <c r="AE1123" s="795"/>
      <c r="AF1123" s="795"/>
      <c r="AG1123" s="795"/>
      <c r="AH1123" s="795"/>
      <c r="AI1123" s="795"/>
      <c r="AJ1123" s="795"/>
      <c r="AK1123" s="795"/>
      <c r="AL1123" s="795"/>
    </row>
    <row r="1124" spans="1:38" s="792" customFormat="1" ht="14.25" customHeight="1">
      <c r="A1124" s="989" t="s">
        <v>475</v>
      </c>
      <c r="B1124" s="791"/>
      <c r="C1124" s="791"/>
      <c r="D1124" s="791"/>
      <c r="E1124" s="791"/>
      <c r="F1124" s="790"/>
      <c r="G1124" s="790"/>
      <c r="H1124" s="790"/>
      <c r="I1124" s="790"/>
      <c r="J1124" s="790"/>
      <c r="K1124" s="790"/>
      <c r="L1124" s="790"/>
      <c r="M1124" s="790"/>
      <c r="N1124" s="790"/>
      <c r="O1124" s="790"/>
      <c r="P1124" s="790"/>
      <c r="Q1124" s="790"/>
      <c r="R1124" s="790"/>
      <c r="S1124" s="790"/>
      <c r="T1124" s="790"/>
      <c r="U1124" s="790"/>
      <c r="V1124" s="790"/>
      <c r="W1124" s="790"/>
      <c r="X1124" s="790"/>
      <c r="Y1124" s="790"/>
      <c r="Z1124" s="790"/>
      <c r="AA1124" s="790"/>
      <c r="AB1124" s="790"/>
      <c r="AC1124" s="790"/>
      <c r="AD1124" s="790"/>
      <c r="AE1124" s="790"/>
      <c r="AF1124" s="790"/>
      <c r="AG1124" s="790"/>
      <c r="AH1124" s="790"/>
      <c r="AI1124" s="790"/>
      <c r="AJ1124" s="790"/>
      <c r="AK1124" s="790"/>
      <c r="AL1124" s="790"/>
    </row>
    <row r="1125" spans="1:38" ht="12.6">
      <c r="A1125" s="990" t="s">
        <v>1226</v>
      </c>
      <c r="B1125" s="991" t="s">
        <v>1227</v>
      </c>
      <c r="C1125" s="991" t="s">
        <v>1058</v>
      </c>
      <c r="D1125" s="991" t="s">
        <v>129</v>
      </c>
      <c r="E1125" s="991"/>
      <c r="F1125" s="813" t="s">
        <v>1059</v>
      </c>
      <c r="G1125" s="813" t="s">
        <v>1059</v>
      </c>
      <c r="H1125" s="813" t="s">
        <v>1059</v>
      </c>
      <c r="I1125" s="813" t="s">
        <v>1059</v>
      </c>
      <c r="J1125" s="813" t="s">
        <v>1059</v>
      </c>
      <c r="K1125" s="813" t="s">
        <v>1059</v>
      </c>
      <c r="L1125" s="813" t="s">
        <v>1059</v>
      </c>
      <c r="M1125" s="813" t="s">
        <v>1059</v>
      </c>
      <c r="N1125" s="813" t="s">
        <v>1059</v>
      </c>
      <c r="O1125" s="813" t="s">
        <v>1059</v>
      </c>
      <c r="P1125" s="813" t="s">
        <v>1059</v>
      </c>
      <c r="Q1125" s="813" t="s">
        <v>1059</v>
      </c>
      <c r="R1125" s="813" t="s">
        <v>1059</v>
      </c>
      <c r="S1125" s="813" t="s">
        <v>1059</v>
      </c>
      <c r="T1125" s="813" t="s">
        <v>1059</v>
      </c>
      <c r="U1125" s="813" t="s">
        <v>1059</v>
      </c>
      <c r="V1125" s="813" t="s">
        <v>1059</v>
      </c>
      <c r="W1125" s="813" t="s">
        <v>1059</v>
      </c>
      <c r="X1125" s="813" t="s">
        <v>1059</v>
      </c>
      <c r="Y1125" s="813" t="s">
        <v>1059</v>
      </c>
      <c r="Z1125" s="813" t="s">
        <v>1059</v>
      </c>
      <c r="AA1125" s="813" t="s">
        <v>1059</v>
      </c>
      <c r="AB1125" s="813" t="s">
        <v>1059</v>
      </c>
      <c r="AC1125" s="813" t="s">
        <v>1059</v>
      </c>
      <c r="AD1125" s="813" t="s">
        <v>1059</v>
      </c>
      <c r="AE1125" s="813" t="s">
        <v>1059</v>
      </c>
      <c r="AF1125" s="813" t="s">
        <v>1059</v>
      </c>
      <c r="AG1125" s="813" t="s">
        <v>1059</v>
      </c>
      <c r="AH1125" s="813" t="s">
        <v>1059</v>
      </c>
      <c r="AI1125" s="813" t="s">
        <v>1059</v>
      </c>
      <c r="AJ1125" s="813" t="s">
        <v>1059</v>
      </c>
      <c r="AK1125" s="813" t="s">
        <v>1059</v>
      </c>
      <c r="AL1125" s="813" t="s">
        <v>1060</v>
      </c>
    </row>
    <row r="1126" spans="1:38" ht="12.6">
      <c r="A1126" s="990" t="s">
        <v>1228</v>
      </c>
      <c r="B1126" s="991" t="s">
        <v>1227</v>
      </c>
      <c r="C1126" s="991" t="s">
        <v>1062</v>
      </c>
      <c r="D1126" s="991" t="s">
        <v>129</v>
      </c>
      <c r="E1126" s="991"/>
      <c r="F1126" s="813" t="s">
        <v>1063</v>
      </c>
      <c r="G1126" s="813" t="s">
        <v>1063</v>
      </c>
      <c r="H1126" s="813" t="s">
        <v>1063</v>
      </c>
      <c r="I1126" s="813" t="s">
        <v>1063</v>
      </c>
      <c r="J1126" s="813" t="s">
        <v>1063</v>
      </c>
      <c r="K1126" s="813" t="s">
        <v>1063</v>
      </c>
      <c r="L1126" s="813" t="s">
        <v>1063</v>
      </c>
      <c r="M1126" s="813" t="s">
        <v>1063</v>
      </c>
      <c r="N1126" s="813" t="s">
        <v>1063</v>
      </c>
      <c r="O1126" s="813" t="s">
        <v>1063</v>
      </c>
      <c r="P1126" s="813" t="s">
        <v>1063</v>
      </c>
      <c r="Q1126" s="813" t="s">
        <v>1063</v>
      </c>
      <c r="R1126" s="813" t="s">
        <v>1063</v>
      </c>
      <c r="S1126" s="813" t="s">
        <v>1063</v>
      </c>
      <c r="T1126" s="813" t="s">
        <v>1063</v>
      </c>
      <c r="U1126" s="813" t="s">
        <v>1063</v>
      </c>
      <c r="V1126" s="813" t="s">
        <v>1063</v>
      </c>
      <c r="W1126" s="813" t="s">
        <v>1063</v>
      </c>
      <c r="X1126" s="813" t="s">
        <v>1063</v>
      </c>
      <c r="Y1126" s="813" t="s">
        <v>1063</v>
      </c>
      <c r="Z1126" s="813" t="s">
        <v>1063</v>
      </c>
      <c r="AA1126" s="813" t="s">
        <v>1063</v>
      </c>
      <c r="AB1126" s="813" t="s">
        <v>1063</v>
      </c>
      <c r="AC1126" s="813" t="s">
        <v>1063</v>
      </c>
      <c r="AD1126" s="813" t="s">
        <v>1063</v>
      </c>
      <c r="AE1126" s="813" t="s">
        <v>1063</v>
      </c>
      <c r="AF1126" s="813" t="s">
        <v>1063</v>
      </c>
      <c r="AG1126" s="813" t="s">
        <v>1063</v>
      </c>
      <c r="AH1126" s="813" t="s">
        <v>1063</v>
      </c>
      <c r="AI1126" s="813" t="s">
        <v>1063</v>
      </c>
      <c r="AJ1126" s="813" t="s">
        <v>1063</v>
      </c>
      <c r="AK1126" s="813" t="s">
        <v>1063</v>
      </c>
      <c r="AL1126" s="813" t="s">
        <v>1063</v>
      </c>
    </row>
    <row r="1127" spans="1:38" s="792" customFormat="1" ht="14.25" customHeight="1">
      <c r="A1127" s="989" t="s">
        <v>481</v>
      </c>
      <c r="B1127" s="791"/>
      <c r="C1127" s="791"/>
      <c r="D1127" s="791"/>
      <c r="E1127" s="791"/>
      <c r="F1127" s="790"/>
      <c r="G1127" s="790"/>
      <c r="H1127" s="790"/>
      <c r="I1127" s="790"/>
      <c r="J1127" s="790"/>
      <c r="K1127" s="790"/>
      <c r="L1127" s="790"/>
      <c r="M1127" s="790"/>
      <c r="N1127" s="790"/>
      <c r="O1127" s="790"/>
      <c r="P1127" s="790"/>
      <c r="Q1127" s="790"/>
      <c r="R1127" s="790"/>
      <c r="S1127" s="790"/>
      <c r="T1127" s="790"/>
      <c r="U1127" s="790"/>
      <c r="V1127" s="790"/>
      <c r="W1127" s="790"/>
      <c r="X1127" s="790"/>
      <c r="Y1127" s="790"/>
      <c r="Z1127" s="790"/>
      <c r="AA1127" s="790"/>
      <c r="AB1127" s="790"/>
      <c r="AC1127" s="790"/>
      <c r="AD1127" s="790"/>
      <c r="AE1127" s="790"/>
      <c r="AF1127" s="790"/>
      <c r="AG1127" s="790"/>
      <c r="AH1127" s="790"/>
      <c r="AI1127" s="790"/>
      <c r="AJ1127" s="790"/>
      <c r="AK1127" s="790"/>
      <c r="AL1127" s="790"/>
    </row>
    <row r="1128" spans="1:38" ht="12.6">
      <c r="A1128" s="990" t="s">
        <v>1229</v>
      </c>
      <c r="B1128" s="991" t="s">
        <v>1230</v>
      </c>
      <c r="C1128" s="991" t="s">
        <v>1058</v>
      </c>
      <c r="D1128" s="991" t="s">
        <v>129</v>
      </c>
      <c r="E1128" s="991"/>
      <c r="F1128" s="813" t="s">
        <v>1059</v>
      </c>
      <c r="G1128" s="813" t="s">
        <v>1059</v>
      </c>
      <c r="H1128" s="813" t="s">
        <v>1059</v>
      </c>
      <c r="I1128" s="813" t="s">
        <v>1059</v>
      </c>
      <c r="J1128" s="813" t="s">
        <v>1059</v>
      </c>
      <c r="K1128" s="813" t="s">
        <v>1059</v>
      </c>
      <c r="L1128" s="813" t="s">
        <v>1059</v>
      </c>
      <c r="M1128" s="813" t="s">
        <v>1059</v>
      </c>
      <c r="N1128" s="813" t="s">
        <v>1059</v>
      </c>
      <c r="O1128" s="813" t="s">
        <v>1059</v>
      </c>
      <c r="P1128" s="813" t="s">
        <v>1059</v>
      </c>
      <c r="Q1128" s="813" t="s">
        <v>1059</v>
      </c>
      <c r="R1128" s="813" t="s">
        <v>1059</v>
      </c>
      <c r="S1128" s="813" t="s">
        <v>1059</v>
      </c>
      <c r="T1128" s="813" t="s">
        <v>1059</v>
      </c>
      <c r="U1128" s="813" t="s">
        <v>1059</v>
      </c>
      <c r="V1128" s="813" t="s">
        <v>1059</v>
      </c>
      <c r="W1128" s="813" t="s">
        <v>1059</v>
      </c>
      <c r="X1128" s="813" t="s">
        <v>1059</v>
      </c>
      <c r="Y1128" s="813" t="s">
        <v>1059</v>
      </c>
      <c r="Z1128" s="813" t="s">
        <v>1059</v>
      </c>
      <c r="AA1128" s="813" t="s">
        <v>1059</v>
      </c>
      <c r="AB1128" s="813" t="s">
        <v>1059</v>
      </c>
      <c r="AC1128" s="813" t="s">
        <v>1059</v>
      </c>
      <c r="AD1128" s="813" t="s">
        <v>1059</v>
      </c>
      <c r="AE1128" s="813" t="s">
        <v>1059</v>
      </c>
      <c r="AF1128" s="813" t="s">
        <v>1059</v>
      </c>
      <c r="AG1128" s="813" t="s">
        <v>1059</v>
      </c>
      <c r="AH1128" s="813" t="s">
        <v>1059</v>
      </c>
      <c r="AI1128" s="813" t="s">
        <v>1059</v>
      </c>
      <c r="AJ1128" s="813" t="s">
        <v>1059</v>
      </c>
      <c r="AK1128" s="813" t="s">
        <v>1059</v>
      </c>
      <c r="AL1128" s="813" t="s">
        <v>1060</v>
      </c>
    </row>
    <row r="1129" spans="1:38" ht="12.6">
      <c r="A1129" s="990" t="s">
        <v>1231</v>
      </c>
      <c r="B1129" s="991" t="s">
        <v>1230</v>
      </c>
      <c r="C1129" s="991" t="s">
        <v>1062</v>
      </c>
      <c r="D1129" s="991" t="s">
        <v>129</v>
      </c>
      <c r="E1129" s="991"/>
      <c r="F1129" s="813" t="s">
        <v>1063</v>
      </c>
      <c r="G1129" s="813" t="s">
        <v>1063</v>
      </c>
      <c r="H1129" s="813" t="s">
        <v>1063</v>
      </c>
      <c r="I1129" s="813" t="s">
        <v>1063</v>
      </c>
      <c r="J1129" s="813" t="s">
        <v>1063</v>
      </c>
      <c r="K1129" s="813" t="s">
        <v>1063</v>
      </c>
      <c r="L1129" s="813" t="s">
        <v>1063</v>
      </c>
      <c r="M1129" s="813" t="s">
        <v>1063</v>
      </c>
      <c r="N1129" s="813" t="s">
        <v>1063</v>
      </c>
      <c r="O1129" s="813" t="s">
        <v>1063</v>
      </c>
      <c r="P1129" s="813" t="s">
        <v>1063</v>
      </c>
      <c r="Q1129" s="813" t="s">
        <v>1063</v>
      </c>
      <c r="R1129" s="813" t="s">
        <v>1063</v>
      </c>
      <c r="S1129" s="813" t="s">
        <v>1063</v>
      </c>
      <c r="T1129" s="813" t="s">
        <v>1063</v>
      </c>
      <c r="U1129" s="813" t="s">
        <v>1063</v>
      </c>
      <c r="V1129" s="813" t="s">
        <v>1063</v>
      </c>
      <c r="W1129" s="813" t="s">
        <v>1063</v>
      </c>
      <c r="X1129" s="813" t="s">
        <v>1063</v>
      </c>
      <c r="Y1129" s="813" t="s">
        <v>1063</v>
      </c>
      <c r="Z1129" s="813" t="s">
        <v>1063</v>
      </c>
      <c r="AA1129" s="813" t="s">
        <v>1063</v>
      </c>
      <c r="AB1129" s="813" t="s">
        <v>1063</v>
      </c>
      <c r="AC1129" s="813" t="s">
        <v>1063</v>
      </c>
      <c r="AD1129" s="813" t="s">
        <v>1063</v>
      </c>
      <c r="AE1129" s="813" t="s">
        <v>1063</v>
      </c>
      <c r="AF1129" s="813" t="s">
        <v>1063</v>
      </c>
      <c r="AG1129" s="813" t="s">
        <v>1063</v>
      </c>
      <c r="AH1129" s="813" t="s">
        <v>1063</v>
      </c>
      <c r="AI1129" s="813" t="s">
        <v>1063</v>
      </c>
      <c r="AJ1129" s="813" t="s">
        <v>1063</v>
      </c>
      <c r="AK1129" s="813" t="s">
        <v>1063</v>
      </c>
      <c r="AL1129" s="813" t="s">
        <v>1063</v>
      </c>
    </row>
    <row r="1130" spans="1:38" s="792" customFormat="1" ht="14.25" customHeight="1">
      <c r="A1130" s="989" t="s">
        <v>487</v>
      </c>
      <c r="B1130" s="791"/>
      <c r="C1130" s="791"/>
      <c r="D1130" s="791"/>
      <c r="E1130" s="791"/>
      <c r="F1130" s="790"/>
      <c r="G1130" s="790"/>
      <c r="H1130" s="790"/>
      <c r="I1130" s="790"/>
      <c r="J1130" s="790"/>
      <c r="K1130" s="790"/>
      <c r="L1130" s="790"/>
      <c r="M1130" s="790"/>
      <c r="N1130" s="790"/>
      <c r="O1130" s="790"/>
      <c r="P1130" s="790"/>
      <c r="Q1130" s="790"/>
      <c r="R1130" s="790"/>
      <c r="S1130" s="790"/>
      <c r="T1130" s="790"/>
      <c r="U1130" s="790"/>
      <c r="V1130" s="790"/>
      <c r="W1130" s="790"/>
      <c r="X1130" s="790"/>
      <c r="Y1130" s="790"/>
      <c r="Z1130" s="790"/>
      <c r="AA1130" s="790"/>
      <c r="AB1130" s="790"/>
      <c r="AC1130" s="790"/>
      <c r="AD1130" s="790"/>
      <c r="AE1130" s="790"/>
      <c r="AF1130" s="790"/>
      <c r="AG1130" s="790"/>
      <c r="AH1130" s="790"/>
      <c r="AI1130" s="790"/>
      <c r="AJ1130" s="790"/>
      <c r="AK1130" s="790"/>
      <c r="AL1130" s="790"/>
    </row>
    <row r="1131" spans="1:38" ht="12.6">
      <c r="A1131" s="990" t="s">
        <v>1232</v>
      </c>
      <c r="B1131" s="991" t="s">
        <v>1233</v>
      </c>
      <c r="C1131" s="991" t="s">
        <v>1058</v>
      </c>
      <c r="D1131" s="991" t="s">
        <v>129</v>
      </c>
      <c r="E1131" s="991"/>
      <c r="F1131" s="813" t="s">
        <v>1059</v>
      </c>
      <c r="G1131" s="813" t="s">
        <v>1059</v>
      </c>
      <c r="H1131" s="813" t="s">
        <v>1059</v>
      </c>
      <c r="I1131" s="813" t="s">
        <v>1059</v>
      </c>
      <c r="J1131" s="813" t="s">
        <v>1059</v>
      </c>
      <c r="K1131" s="813" t="s">
        <v>1059</v>
      </c>
      <c r="L1131" s="813" t="s">
        <v>1059</v>
      </c>
      <c r="M1131" s="813" t="s">
        <v>1059</v>
      </c>
      <c r="N1131" s="813" t="s">
        <v>1059</v>
      </c>
      <c r="O1131" s="813" t="s">
        <v>1059</v>
      </c>
      <c r="P1131" s="813" t="s">
        <v>1059</v>
      </c>
      <c r="Q1131" s="813" t="s">
        <v>1059</v>
      </c>
      <c r="R1131" s="813" t="s">
        <v>1059</v>
      </c>
      <c r="S1131" s="813" t="s">
        <v>1059</v>
      </c>
      <c r="T1131" s="813" t="s">
        <v>1059</v>
      </c>
      <c r="U1131" s="813" t="s">
        <v>1059</v>
      </c>
      <c r="V1131" s="813" t="s">
        <v>1059</v>
      </c>
      <c r="W1131" s="813" t="s">
        <v>1059</v>
      </c>
      <c r="X1131" s="813" t="s">
        <v>1059</v>
      </c>
      <c r="Y1131" s="813" t="s">
        <v>1059</v>
      </c>
      <c r="Z1131" s="813" t="s">
        <v>1059</v>
      </c>
      <c r="AA1131" s="813" t="s">
        <v>1059</v>
      </c>
      <c r="AB1131" s="813" t="s">
        <v>1059</v>
      </c>
      <c r="AC1131" s="813" t="s">
        <v>1059</v>
      </c>
      <c r="AD1131" s="813" t="s">
        <v>1059</v>
      </c>
      <c r="AE1131" s="813" t="s">
        <v>1059</v>
      </c>
      <c r="AF1131" s="813" t="s">
        <v>1059</v>
      </c>
      <c r="AG1131" s="813" t="s">
        <v>1059</v>
      </c>
      <c r="AH1131" s="813" t="s">
        <v>1059</v>
      </c>
      <c r="AI1131" s="813" t="s">
        <v>1059</v>
      </c>
      <c r="AJ1131" s="813" t="s">
        <v>1059</v>
      </c>
      <c r="AK1131" s="813" t="s">
        <v>1059</v>
      </c>
      <c r="AL1131" s="813" t="s">
        <v>1060</v>
      </c>
    </row>
    <row r="1132" spans="1:38" ht="12.6">
      <c r="A1132" s="990" t="s">
        <v>1234</v>
      </c>
      <c r="B1132" s="991" t="s">
        <v>1233</v>
      </c>
      <c r="C1132" s="991" t="s">
        <v>1062</v>
      </c>
      <c r="D1132" s="991" t="s">
        <v>129</v>
      </c>
      <c r="E1132" s="991"/>
      <c r="F1132" s="813" t="s">
        <v>1063</v>
      </c>
      <c r="G1132" s="813" t="s">
        <v>1063</v>
      </c>
      <c r="H1132" s="813" t="s">
        <v>1063</v>
      </c>
      <c r="I1132" s="813" t="s">
        <v>1063</v>
      </c>
      <c r="J1132" s="813" t="s">
        <v>1063</v>
      </c>
      <c r="K1132" s="813" t="s">
        <v>1063</v>
      </c>
      <c r="L1132" s="813" t="s">
        <v>1063</v>
      </c>
      <c r="M1132" s="813" t="s">
        <v>1063</v>
      </c>
      <c r="N1132" s="813" t="s">
        <v>1063</v>
      </c>
      <c r="O1132" s="813" t="s">
        <v>1063</v>
      </c>
      <c r="P1132" s="813" t="s">
        <v>1063</v>
      </c>
      <c r="Q1132" s="813" t="s">
        <v>1063</v>
      </c>
      <c r="R1132" s="813" t="s">
        <v>1063</v>
      </c>
      <c r="S1132" s="813" t="s">
        <v>1063</v>
      </c>
      <c r="T1132" s="813" t="s">
        <v>1063</v>
      </c>
      <c r="U1132" s="813" t="s">
        <v>1063</v>
      </c>
      <c r="V1132" s="813" t="s">
        <v>1063</v>
      </c>
      <c r="W1132" s="813" t="s">
        <v>1063</v>
      </c>
      <c r="X1132" s="813" t="s">
        <v>1063</v>
      </c>
      <c r="Y1132" s="813" t="s">
        <v>1063</v>
      </c>
      <c r="Z1132" s="813" t="s">
        <v>1063</v>
      </c>
      <c r="AA1132" s="813" t="s">
        <v>1063</v>
      </c>
      <c r="AB1132" s="813" t="s">
        <v>1063</v>
      </c>
      <c r="AC1132" s="813" t="s">
        <v>1063</v>
      </c>
      <c r="AD1132" s="813" t="s">
        <v>1063</v>
      </c>
      <c r="AE1132" s="813" t="s">
        <v>1063</v>
      </c>
      <c r="AF1132" s="813" t="s">
        <v>1063</v>
      </c>
      <c r="AG1132" s="813" t="s">
        <v>1063</v>
      </c>
      <c r="AH1132" s="813" t="s">
        <v>1063</v>
      </c>
      <c r="AI1132" s="813" t="s">
        <v>1063</v>
      </c>
      <c r="AJ1132" s="813" t="s">
        <v>1063</v>
      </c>
      <c r="AK1132" s="813" t="s">
        <v>1063</v>
      </c>
      <c r="AL1132" s="813" t="s">
        <v>1063</v>
      </c>
    </row>
    <row r="1133" spans="1:38" s="792" customFormat="1" ht="14.25" customHeight="1">
      <c r="A1133" s="989" t="s">
        <v>493</v>
      </c>
      <c r="B1133" s="791"/>
      <c r="C1133" s="791"/>
      <c r="D1133" s="791"/>
      <c r="E1133" s="791"/>
      <c r="F1133" s="790"/>
      <c r="G1133" s="790"/>
      <c r="H1133" s="790"/>
      <c r="I1133" s="790"/>
      <c r="J1133" s="790"/>
      <c r="K1133" s="790"/>
      <c r="L1133" s="790"/>
      <c r="M1133" s="790"/>
      <c r="N1133" s="790"/>
      <c r="O1133" s="790"/>
      <c r="P1133" s="790"/>
      <c r="Q1133" s="790"/>
      <c r="R1133" s="790"/>
      <c r="S1133" s="790"/>
      <c r="T1133" s="790"/>
      <c r="U1133" s="790"/>
      <c r="V1133" s="790"/>
      <c r="W1133" s="790"/>
      <c r="X1133" s="790"/>
      <c r="Y1133" s="790"/>
      <c r="Z1133" s="790"/>
      <c r="AA1133" s="790"/>
      <c r="AB1133" s="790"/>
      <c r="AC1133" s="790"/>
      <c r="AD1133" s="790"/>
      <c r="AE1133" s="790"/>
      <c r="AF1133" s="790"/>
      <c r="AG1133" s="790"/>
      <c r="AH1133" s="790"/>
      <c r="AI1133" s="790"/>
      <c r="AJ1133" s="790"/>
      <c r="AK1133" s="790"/>
      <c r="AL1133" s="790"/>
    </row>
    <row r="1134" spans="1:38" ht="12.6">
      <c r="A1134" s="990" t="s">
        <v>1235</v>
      </c>
      <c r="B1134" s="991" t="s">
        <v>1236</v>
      </c>
      <c r="C1134" s="991" t="s">
        <v>1058</v>
      </c>
      <c r="D1134" s="991" t="s">
        <v>129</v>
      </c>
      <c r="E1134" s="991"/>
      <c r="F1134" s="813" t="s">
        <v>106</v>
      </c>
      <c r="G1134" s="813" t="s">
        <v>106</v>
      </c>
      <c r="H1134" s="813" t="s">
        <v>106</v>
      </c>
      <c r="I1134" s="813" t="s">
        <v>106</v>
      </c>
      <c r="J1134" s="813" t="s">
        <v>106</v>
      </c>
      <c r="K1134" s="813" t="s">
        <v>106</v>
      </c>
      <c r="L1134" s="813" t="s">
        <v>106</v>
      </c>
      <c r="M1134" s="813" t="s">
        <v>106</v>
      </c>
      <c r="N1134" s="813" t="s">
        <v>106</v>
      </c>
      <c r="O1134" s="813" t="s">
        <v>106</v>
      </c>
      <c r="P1134" s="813" t="s">
        <v>106</v>
      </c>
      <c r="Q1134" s="813" t="s">
        <v>106</v>
      </c>
      <c r="R1134" s="813" t="s">
        <v>106</v>
      </c>
      <c r="S1134" s="813" t="s">
        <v>106</v>
      </c>
      <c r="T1134" s="813" t="s">
        <v>106</v>
      </c>
      <c r="U1134" s="813" t="s">
        <v>106</v>
      </c>
      <c r="V1134" s="813" t="s">
        <v>106</v>
      </c>
      <c r="W1134" s="813" t="s">
        <v>106</v>
      </c>
      <c r="X1134" s="813" t="s">
        <v>106</v>
      </c>
      <c r="Y1134" s="813" t="s">
        <v>106</v>
      </c>
      <c r="Z1134" s="813" t="s">
        <v>106</v>
      </c>
      <c r="AA1134" s="813" t="s">
        <v>106</v>
      </c>
      <c r="AB1134" s="813" t="s">
        <v>106</v>
      </c>
      <c r="AC1134" s="813" t="s">
        <v>106</v>
      </c>
      <c r="AD1134" s="813" t="s">
        <v>106</v>
      </c>
      <c r="AE1134" s="813" t="s">
        <v>106</v>
      </c>
      <c r="AF1134" s="813" t="s">
        <v>106</v>
      </c>
      <c r="AG1134" s="813" t="s">
        <v>106</v>
      </c>
      <c r="AH1134" s="813" t="s">
        <v>106</v>
      </c>
      <c r="AI1134" s="813" t="s">
        <v>106</v>
      </c>
      <c r="AJ1134" s="813" t="s">
        <v>106</v>
      </c>
      <c r="AK1134" s="813" t="s">
        <v>106</v>
      </c>
      <c r="AL1134" s="813" t="s">
        <v>106</v>
      </c>
    </row>
    <row r="1135" spans="1:38" ht="12.6">
      <c r="A1135" s="990" t="s">
        <v>1237</v>
      </c>
      <c r="B1135" s="991" t="s">
        <v>1236</v>
      </c>
      <c r="C1135" s="991" t="s">
        <v>1062</v>
      </c>
      <c r="D1135" s="991" t="s">
        <v>129</v>
      </c>
      <c r="E1135" s="991"/>
      <c r="F1135" s="813" t="s">
        <v>106</v>
      </c>
      <c r="G1135" s="813" t="s">
        <v>106</v>
      </c>
      <c r="H1135" s="813" t="s">
        <v>106</v>
      </c>
      <c r="I1135" s="813" t="s">
        <v>106</v>
      </c>
      <c r="J1135" s="813" t="s">
        <v>106</v>
      </c>
      <c r="K1135" s="813" t="s">
        <v>106</v>
      </c>
      <c r="L1135" s="813" t="s">
        <v>106</v>
      </c>
      <c r="M1135" s="813" t="s">
        <v>106</v>
      </c>
      <c r="N1135" s="813" t="s">
        <v>106</v>
      </c>
      <c r="O1135" s="813" t="s">
        <v>106</v>
      </c>
      <c r="P1135" s="813" t="s">
        <v>106</v>
      </c>
      <c r="Q1135" s="813" t="s">
        <v>106</v>
      </c>
      <c r="R1135" s="813" t="s">
        <v>106</v>
      </c>
      <c r="S1135" s="813" t="s">
        <v>106</v>
      </c>
      <c r="T1135" s="813" t="s">
        <v>106</v>
      </c>
      <c r="U1135" s="813" t="s">
        <v>106</v>
      </c>
      <c r="V1135" s="813" t="s">
        <v>106</v>
      </c>
      <c r="W1135" s="813" t="s">
        <v>106</v>
      </c>
      <c r="X1135" s="813" t="s">
        <v>106</v>
      </c>
      <c r="Y1135" s="813" t="s">
        <v>106</v>
      </c>
      <c r="Z1135" s="813" t="s">
        <v>106</v>
      </c>
      <c r="AA1135" s="813" t="s">
        <v>106</v>
      </c>
      <c r="AB1135" s="813" t="s">
        <v>106</v>
      </c>
      <c r="AC1135" s="813" t="s">
        <v>106</v>
      </c>
      <c r="AD1135" s="813" t="s">
        <v>106</v>
      </c>
      <c r="AE1135" s="813" t="s">
        <v>106</v>
      </c>
      <c r="AF1135" s="813" t="s">
        <v>106</v>
      </c>
      <c r="AG1135" s="813" t="s">
        <v>106</v>
      </c>
      <c r="AH1135" s="813" t="s">
        <v>106</v>
      </c>
      <c r="AI1135" s="813" t="s">
        <v>106</v>
      </c>
      <c r="AJ1135" s="813" t="s">
        <v>106</v>
      </c>
      <c r="AK1135" s="813" t="s">
        <v>106</v>
      </c>
      <c r="AL1135" s="813" t="s">
        <v>106</v>
      </c>
    </row>
    <row r="1136" spans="1:38" s="792" customFormat="1" ht="14.25" customHeight="1">
      <c r="A1136" s="989" t="s">
        <v>499</v>
      </c>
      <c r="B1136" s="791"/>
      <c r="C1136" s="791"/>
      <c r="D1136" s="791"/>
      <c r="E1136" s="791"/>
      <c r="F1136" s="790"/>
      <c r="G1136" s="790"/>
      <c r="H1136" s="790"/>
      <c r="I1136" s="790"/>
      <c r="J1136" s="790"/>
      <c r="K1136" s="790"/>
      <c r="L1136" s="790"/>
      <c r="M1136" s="790"/>
      <c r="N1136" s="790"/>
      <c r="O1136" s="790"/>
      <c r="P1136" s="790"/>
      <c r="Q1136" s="790"/>
      <c r="R1136" s="790"/>
      <c r="S1136" s="790"/>
      <c r="T1136" s="790"/>
      <c r="U1136" s="790"/>
      <c r="V1136" s="790"/>
      <c r="W1136" s="790"/>
      <c r="X1136" s="790"/>
      <c r="Y1136" s="790"/>
      <c r="Z1136" s="790"/>
      <c r="AA1136" s="790"/>
      <c r="AB1136" s="790"/>
      <c r="AC1136" s="790"/>
      <c r="AD1136" s="790"/>
      <c r="AE1136" s="790"/>
      <c r="AF1136" s="790"/>
      <c r="AG1136" s="790"/>
      <c r="AH1136" s="790"/>
      <c r="AI1136" s="790"/>
      <c r="AJ1136" s="790"/>
      <c r="AK1136" s="790"/>
      <c r="AL1136" s="790"/>
    </row>
    <row r="1137" spans="1:38" ht="12.6">
      <c r="A1137" s="990" t="s">
        <v>1238</v>
      </c>
      <c r="B1137" s="991" t="s">
        <v>1239</v>
      </c>
      <c r="C1137" s="991" t="s">
        <v>1058</v>
      </c>
      <c r="D1137" s="991" t="s">
        <v>129</v>
      </c>
      <c r="E1137" s="991"/>
      <c r="F1137" s="813" t="s">
        <v>106</v>
      </c>
      <c r="G1137" s="813" t="s">
        <v>106</v>
      </c>
      <c r="H1137" s="813" t="s">
        <v>106</v>
      </c>
      <c r="I1137" s="813" t="s">
        <v>106</v>
      </c>
      <c r="J1137" s="813" t="s">
        <v>106</v>
      </c>
      <c r="K1137" s="813" t="s">
        <v>106</v>
      </c>
      <c r="L1137" s="813" t="s">
        <v>106</v>
      </c>
      <c r="M1137" s="813" t="s">
        <v>106</v>
      </c>
      <c r="N1137" s="813" t="s">
        <v>106</v>
      </c>
      <c r="O1137" s="813" t="s">
        <v>106</v>
      </c>
      <c r="P1137" s="813" t="s">
        <v>106</v>
      </c>
      <c r="Q1137" s="813" t="s">
        <v>106</v>
      </c>
      <c r="R1137" s="813" t="s">
        <v>106</v>
      </c>
      <c r="S1137" s="813" t="s">
        <v>106</v>
      </c>
      <c r="T1137" s="813" t="s">
        <v>106</v>
      </c>
      <c r="U1137" s="813" t="s">
        <v>106</v>
      </c>
      <c r="V1137" s="813" t="s">
        <v>106</v>
      </c>
      <c r="W1137" s="813" t="s">
        <v>106</v>
      </c>
      <c r="X1137" s="813" t="s">
        <v>106</v>
      </c>
      <c r="Y1137" s="813" t="s">
        <v>106</v>
      </c>
      <c r="Z1137" s="813" t="s">
        <v>106</v>
      </c>
      <c r="AA1137" s="813" t="s">
        <v>106</v>
      </c>
      <c r="AB1137" s="813" t="s">
        <v>106</v>
      </c>
      <c r="AC1137" s="813" t="s">
        <v>106</v>
      </c>
      <c r="AD1137" s="813" t="s">
        <v>106</v>
      </c>
      <c r="AE1137" s="813" t="s">
        <v>106</v>
      </c>
      <c r="AF1137" s="813" t="s">
        <v>106</v>
      </c>
      <c r="AG1137" s="813" t="s">
        <v>106</v>
      </c>
      <c r="AH1137" s="813" t="s">
        <v>106</v>
      </c>
      <c r="AI1137" s="813" t="s">
        <v>106</v>
      </c>
      <c r="AJ1137" s="813" t="s">
        <v>106</v>
      </c>
      <c r="AK1137" s="813" t="s">
        <v>106</v>
      </c>
      <c r="AL1137" s="813" t="s">
        <v>106</v>
      </c>
    </row>
    <row r="1138" spans="1:38" ht="12.6">
      <c r="A1138" s="990" t="s">
        <v>1240</v>
      </c>
      <c r="B1138" s="991" t="s">
        <v>1239</v>
      </c>
      <c r="C1138" s="991" t="s">
        <v>1062</v>
      </c>
      <c r="D1138" s="991" t="s">
        <v>129</v>
      </c>
      <c r="E1138" s="991"/>
      <c r="F1138" s="813" t="s">
        <v>106</v>
      </c>
      <c r="G1138" s="813" t="s">
        <v>106</v>
      </c>
      <c r="H1138" s="813" t="s">
        <v>106</v>
      </c>
      <c r="I1138" s="813" t="s">
        <v>106</v>
      </c>
      <c r="J1138" s="813" t="s">
        <v>106</v>
      </c>
      <c r="K1138" s="813" t="s">
        <v>106</v>
      </c>
      <c r="L1138" s="813" t="s">
        <v>106</v>
      </c>
      <c r="M1138" s="813" t="s">
        <v>106</v>
      </c>
      <c r="N1138" s="813" t="s">
        <v>106</v>
      </c>
      <c r="O1138" s="813" t="s">
        <v>106</v>
      </c>
      <c r="P1138" s="813" t="s">
        <v>106</v>
      </c>
      <c r="Q1138" s="813" t="s">
        <v>106</v>
      </c>
      <c r="R1138" s="813" t="s">
        <v>106</v>
      </c>
      <c r="S1138" s="813" t="s">
        <v>106</v>
      </c>
      <c r="T1138" s="813" t="s">
        <v>106</v>
      </c>
      <c r="U1138" s="813" t="s">
        <v>106</v>
      </c>
      <c r="V1138" s="813" t="s">
        <v>106</v>
      </c>
      <c r="W1138" s="813" t="s">
        <v>106</v>
      </c>
      <c r="X1138" s="813" t="s">
        <v>106</v>
      </c>
      <c r="Y1138" s="813" t="s">
        <v>106</v>
      </c>
      <c r="Z1138" s="813" t="s">
        <v>106</v>
      </c>
      <c r="AA1138" s="813" t="s">
        <v>106</v>
      </c>
      <c r="AB1138" s="813" t="s">
        <v>106</v>
      </c>
      <c r="AC1138" s="813" t="s">
        <v>106</v>
      </c>
      <c r="AD1138" s="813" t="s">
        <v>106</v>
      </c>
      <c r="AE1138" s="813" t="s">
        <v>106</v>
      </c>
      <c r="AF1138" s="813" t="s">
        <v>106</v>
      </c>
      <c r="AG1138" s="813" t="s">
        <v>106</v>
      </c>
      <c r="AH1138" s="813" t="s">
        <v>106</v>
      </c>
      <c r="AI1138" s="813" t="s">
        <v>106</v>
      </c>
      <c r="AJ1138" s="813" t="s">
        <v>106</v>
      </c>
      <c r="AK1138" s="813" t="s">
        <v>106</v>
      </c>
      <c r="AL1138" s="813" t="s">
        <v>106</v>
      </c>
    </row>
    <row r="1139" spans="1:38" s="797" customFormat="1" ht="12.95">
      <c r="A1139" s="796" t="s">
        <v>505</v>
      </c>
      <c r="B1139" s="796"/>
      <c r="C1139" s="796"/>
      <c r="D1139" s="796"/>
      <c r="E1139" s="796"/>
      <c r="F1139" s="795"/>
      <c r="G1139" s="795"/>
      <c r="H1139" s="795"/>
      <c r="I1139" s="795"/>
      <c r="J1139" s="795"/>
      <c r="K1139" s="795"/>
      <c r="L1139" s="795"/>
      <c r="M1139" s="795"/>
      <c r="N1139" s="795"/>
      <c r="O1139" s="795"/>
      <c r="P1139" s="795"/>
      <c r="Q1139" s="795"/>
      <c r="R1139" s="795"/>
      <c r="S1139" s="795"/>
      <c r="T1139" s="795"/>
      <c r="U1139" s="795"/>
      <c r="V1139" s="795"/>
      <c r="W1139" s="795"/>
      <c r="X1139" s="795"/>
      <c r="Y1139" s="795"/>
      <c r="Z1139" s="795"/>
      <c r="AA1139" s="795"/>
      <c r="AB1139" s="795"/>
      <c r="AC1139" s="795"/>
      <c r="AD1139" s="795"/>
      <c r="AE1139" s="795"/>
      <c r="AF1139" s="795"/>
      <c r="AG1139" s="795"/>
      <c r="AH1139" s="795"/>
      <c r="AI1139" s="795"/>
      <c r="AJ1139" s="795"/>
      <c r="AK1139" s="795"/>
      <c r="AL1139" s="795"/>
    </row>
    <row r="1140" spans="1:38" s="792" customFormat="1" ht="14.25" customHeight="1">
      <c r="A1140" s="989" t="s">
        <v>506</v>
      </c>
      <c r="B1140" s="791"/>
      <c r="C1140" s="791"/>
      <c r="D1140" s="791"/>
      <c r="E1140" s="791"/>
      <c r="F1140" s="790"/>
      <c r="G1140" s="790"/>
      <c r="H1140" s="790"/>
      <c r="I1140" s="790"/>
      <c r="J1140" s="790"/>
      <c r="K1140" s="790"/>
      <c r="L1140" s="790"/>
      <c r="M1140" s="790"/>
      <c r="N1140" s="790"/>
      <c r="O1140" s="790"/>
      <c r="P1140" s="790"/>
      <c r="Q1140" s="790"/>
      <c r="R1140" s="790"/>
      <c r="S1140" s="790"/>
      <c r="T1140" s="790"/>
      <c r="U1140" s="790"/>
      <c r="V1140" s="790"/>
      <c r="W1140" s="790"/>
      <c r="X1140" s="790"/>
      <c r="Y1140" s="790"/>
      <c r="Z1140" s="790"/>
      <c r="AA1140" s="790"/>
      <c r="AB1140" s="790"/>
      <c r="AC1140" s="790"/>
      <c r="AD1140" s="790"/>
      <c r="AE1140" s="790"/>
      <c r="AF1140" s="790"/>
      <c r="AG1140" s="790"/>
      <c r="AH1140" s="790"/>
      <c r="AI1140" s="790"/>
      <c r="AJ1140" s="790"/>
      <c r="AK1140" s="790"/>
      <c r="AL1140" s="790"/>
    </row>
    <row r="1141" spans="1:38" ht="12.6">
      <c r="A1141" s="990" t="s">
        <v>1241</v>
      </c>
      <c r="B1141" s="991" t="s">
        <v>1242</v>
      </c>
      <c r="C1141" s="991" t="s">
        <v>1058</v>
      </c>
      <c r="D1141" s="991" t="s">
        <v>129</v>
      </c>
      <c r="E1141" s="991"/>
      <c r="F1141" s="813" t="s">
        <v>1059</v>
      </c>
      <c r="G1141" s="813" t="s">
        <v>1059</v>
      </c>
      <c r="H1141" s="813" t="s">
        <v>1059</v>
      </c>
      <c r="I1141" s="813" t="s">
        <v>1059</v>
      </c>
      <c r="J1141" s="813" t="s">
        <v>1059</v>
      </c>
      <c r="K1141" s="813" t="s">
        <v>1059</v>
      </c>
      <c r="L1141" s="813" t="s">
        <v>1059</v>
      </c>
      <c r="M1141" s="813" t="s">
        <v>1059</v>
      </c>
      <c r="N1141" s="813" t="s">
        <v>1059</v>
      </c>
      <c r="O1141" s="813" t="s">
        <v>1059</v>
      </c>
      <c r="P1141" s="813" t="s">
        <v>1059</v>
      </c>
      <c r="Q1141" s="813" t="s">
        <v>1059</v>
      </c>
      <c r="R1141" s="813" t="s">
        <v>1059</v>
      </c>
      <c r="S1141" s="813" t="s">
        <v>1059</v>
      </c>
      <c r="T1141" s="813" t="s">
        <v>1059</v>
      </c>
      <c r="U1141" s="813" t="s">
        <v>1059</v>
      </c>
      <c r="V1141" s="813" t="s">
        <v>1059</v>
      </c>
      <c r="W1141" s="813" t="s">
        <v>1059</v>
      </c>
      <c r="X1141" s="813" t="s">
        <v>1059</v>
      </c>
      <c r="Y1141" s="813" t="s">
        <v>1059</v>
      </c>
      <c r="Z1141" s="813" t="s">
        <v>1059</v>
      </c>
      <c r="AA1141" s="813" t="s">
        <v>1059</v>
      </c>
      <c r="AB1141" s="813" t="s">
        <v>1059</v>
      </c>
      <c r="AC1141" s="813" t="s">
        <v>1059</v>
      </c>
      <c r="AD1141" s="813" t="s">
        <v>1059</v>
      </c>
      <c r="AE1141" s="813" t="s">
        <v>1059</v>
      </c>
      <c r="AF1141" s="813" t="s">
        <v>1059</v>
      </c>
      <c r="AG1141" s="813" t="s">
        <v>1059</v>
      </c>
      <c r="AH1141" s="813" t="s">
        <v>1059</v>
      </c>
      <c r="AI1141" s="813" t="s">
        <v>1059</v>
      </c>
      <c r="AJ1141" s="813" t="s">
        <v>1059</v>
      </c>
      <c r="AK1141" s="813" t="s">
        <v>1059</v>
      </c>
      <c r="AL1141" s="813" t="s">
        <v>1060</v>
      </c>
    </row>
    <row r="1142" spans="1:38" ht="12.6">
      <c r="A1142" s="990" t="s">
        <v>1243</v>
      </c>
      <c r="B1142" s="991" t="s">
        <v>1242</v>
      </c>
      <c r="C1142" s="991" t="s">
        <v>1062</v>
      </c>
      <c r="D1142" s="991" t="s">
        <v>129</v>
      </c>
      <c r="E1142" s="991"/>
      <c r="F1142" s="813" t="s">
        <v>1063</v>
      </c>
      <c r="G1142" s="813" t="s">
        <v>1063</v>
      </c>
      <c r="H1142" s="813" t="s">
        <v>1063</v>
      </c>
      <c r="I1142" s="813" t="s">
        <v>1063</v>
      </c>
      <c r="J1142" s="813" t="s">
        <v>1063</v>
      </c>
      <c r="K1142" s="813" t="s">
        <v>1063</v>
      </c>
      <c r="L1142" s="813" t="s">
        <v>1063</v>
      </c>
      <c r="M1142" s="813" t="s">
        <v>1063</v>
      </c>
      <c r="N1142" s="813" t="s">
        <v>1063</v>
      </c>
      <c r="O1142" s="813" t="s">
        <v>1063</v>
      </c>
      <c r="P1142" s="813" t="s">
        <v>1063</v>
      </c>
      <c r="Q1142" s="813" t="s">
        <v>1063</v>
      </c>
      <c r="R1142" s="813" t="s">
        <v>1063</v>
      </c>
      <c r="S1142" s="813" t="s">
        <v>1063</v>
      </c>
      <c r="T1142" s="813" t="s">
        <v>1063</v>
      </c>
      <c r="U1142" s="813" t="s">
        <v>1063</v>
      </c>
      <c r="V1142" s="813" t="s">
        <v>1063</v>
      </c>
      <c r="W1142" s="813" t="s">
        <v>1063</v>
      </c>
      <c r="X1142" s="813" t="s">
        <v>1063</v>
      </c>
      <c r="Y1142" s="813" t="s">
        <v>1063</v>
      </c>
      <c r="Z1142" s="813" t="s">
        <v>1063</v>
      </c>
      <c r="AA1142" s="813" t="s">
        <v>1063</v>
      </c>
      <c r="AB1142" s="813" t="s">
        <v>1063</v>
      </c>
      <c r="AC1142" s="813" t="s">
        <v>1063</v>
      </c>
      <c r="AD1142" s="813" t="s">
        <v>1063</v>
      </c>
      <c r="AE1142" s="813" t="s">
        <v>1063</v>
      </c>
      <c r="AF1142" s="813" t="s">
        <v>1063</v>
      </c>
      <c r="AG1142" s="813" t="s">
        <v>1063</v>
      </c>
      <c r="AH1142" s="813" t="s">
        <v>1063</v>
      </c>
      <c r="AI1142" s="813" t="s">
        <v>1063</v>
      </c>
      <c r="AJ1142" s="813" t="s">
        <v>1063</v>
      </c>
      <c r="AK1142" s="813" t="s">
        <v>1063</v>
      </c>
      <c r="AL1142" s="813" t="s">
        <v>1063</v>
      </c>
    </row>
    <row r="1143" spans="1:38" s="792" customFormat="1" ht="14.25" customHeight="1">
      <c r="A1143" s="989" t="s">
        <v>512</v>
      </c>
      <c r="B1143" s="791"/>
      <c r="C1143" s="791"/>
      <c r="D1143" s="791"/>
      <c r="E1143" s="791"/>
      <c r="F1143" s="790"/>
      <c r="G1143" s="790"/>
      <c r="H1143" s="790"/>
      <c r="I1143" s="790"/>
      <c r="J1143" s="790"/>
      <c r="K1143" s="790"/>
      <c r="L1143" s="790"/>
      <c r="M1143" s="790"/>
      <c r="N1143" s="790"/>
      <c r="O1143" s="790"/>
      <c r="P1143" s="790"/>
      <c r="Q1143" s="790"/>
      <c r="R1143" s="790"/>
      <c r="S1143" s="790"/>
      <c r="T1143" s="790"/>
      <c r="U1143" s="790"/>
      <c r="V1143" s="790"/>
      <c r="W1143" s="790"/>
      <c r="X1143" s="790"/>
      <c r="Y1143" s="790"/>
      <c r="Z1143" s="790"/>
      <c r="AA1143" s="790"/>
      <c r="AB1143" s="790"/>
      <c r="AC1143" s="790"/>
      <c r="AD1143" s="790"/>
      <c r="AE1143" s="790"/>
      <c r="AF1143" s="790"/>
      <c r="AG1143" s="790"/>
      <c r="AH1143" s="790"/>
      <c r="AI1143" s="790"/>
      <c r="AJ1143" s="790"/>
      <c r="AK1143" s="790"/>
      <c r="AL1143" s="790"/>
    </row>
    <row r="1144" spans="1:38" ht="12.6">
      <c r="A1144" s="990" t="s">
        <v>1244</v>
      </c>
      <c r="B1144" s="991" t="s">
        <v>1245</v>
      </c>
      <c r="C1144" s="991" t="s">
        <v>1058</v>
      </c>
      <c r="D1144" s="991" t="s">
        <v>129</v>
      </c>
      <c r="E1144" s="991"/>
      <c r="F1144" s="813" t="s">
        <v>1059</v>
      </c>
      <c r="G1144" s="813" t="s">
        <v>1059</v>
      </c>
      <c r="H1144" s="813" t="s">
        <v>1059</v>
      </c>
      <c r="I1144" s="813" t="s">
        <v>1059</v>
      </c>
      <c r="J1144" s="813" t="s">
        <v>1059</v>
      </c>
      <c r="K1144" s="813" t="s">
        <v>1059</v>
      </c>
      <c r="L1144" s="813" t="s">
        <v>1059</v>
      </c>
      <c r="M1144" s="813" t="s">
        <v>1059</v>
      </c>
      <c r="N1144" s="813" t="s">
        <v>1059</v>
      </c>
      <c r="O1144" s="813" t="s">
        <v>1059</v>
      </c>
      <c r="P1144" s="813" t="s">
        <v>1059</v>
      </c>
      <c r="Q1144" s="813" t="s">
        <v>1059</v>
      </c>
      <c r="R1144" s="813" t="s">
        <v>1059</v>
      </c>
      <c r="S1144" s="813" t="s">
        <v>1059</v>
      </c>
      <c r="T1144" s="813" t="s">
        <v>1059</v>
      </c>
      <c r="U1144" s="813" t="s">
        <v>1059</v>
      </c>
      <c r="V1144" s="813" t="s">
        <v>1059</v>
      </c>
      <c r="W1144" s="813" t="s">
        <v>1059</v>
      </c>
      <c r="X1144" s="813" t="s">
        <v>1059</v>
      </c>
      <c r="Y1144" s="813" t="s">
        <v>1059</v>
      </c>
      <c r="Z1144" s="813" t="s">
        <v>1059</v>
      </c>
      <c r="AA1144" s="813" t="s">
        <v>1059</v>
      </c>
      <c r="AB1144" s="813" t="s">
        <v>1059</v>
      </c>
      <c r="AC1144" s="813" t="s">
        <v>1059</v>
      </c>
      <c r="AD1144" s="813" t="s">
        <v>1059</v>
      </c>
      <c r="AE1144" s="813" t="s">
        <v>1059</v>
      </c>
      <c r="AF1144" s="813" t="s">
        <v>1059</v>
      </c>
      <c r="AG1144" s="813" t="s">
        <v>1059</v>
      </c>
      <c r="AH1144" s="813" t="s">
        <v>1059</v>
      </c>
      <c r="AI1144" s="813" t="s">
        <v>1059</v>
      </c>
      <c r="AJ1144" s="813" t="s">
        <v>1059</v>
      </c>
      <c r="AK1144" s="813" t="s">
        <v>1059</v>
      </c>
      <c r="AL1144" s="813" t="s">
        <v>1060</v>
      </c>
    </row>
    <row r="1145" spans="1:38" ht="12.6">
      <c r="A1145" s="990" t="s">
        <v>1246</v>
      </c>
      <c r="B1145" s="991" t="s">
        <v>1245</v>
      </c>
      <c r="C1145" s="991" t="s">
        <v>1062</v>
      </c>
      <c r="D1145" s="991" t="s">
        <v>129</v>
      </c>
      <c r="E1145" s="991"/>
      <c r="F1145" s="813" t="s">
        <v>1063</v>
      </c>
      <c r="G1145" s="813" t="s">
        <v>1063</v>
      </c>
      <c r="H1145" s="813" t="s">
        <v>1063</v>
      </c>
      <c r="I1145" s="813" t="s">
        <v>1063</v>
      </c>
      <c r="J1145" s="813" t="s">
        <v>1063</v>
      </c>
      <c r="K1145" s="813" t="s">
        <v>1063</v>
      </c>
      <c r="L1145" s="813" t="s">
        <v>1063</v>
      </c>
      <c r="M1145" s="813" t="s">
        <v>1063</v>
      </c>
      <c r="N1145" s="813" t="s">
        <v>1063</v>
      </c>
      <c r="O1145" s="813" t="s">
        <v>1063</v>
      </c>
      <c r="P1145" s="813" t="s">
        <v>1063</v>
      </c>
      <c r="Q1145" s="813" t="s">
        <v>1063</v>
      </c>
      <c r="R1145" s="813" t="s">
        <v>1063</v>
      </c>
      <c r="S1145" s="813" t="s">
        <v>1063</v>
      </c>
      <c r="T1145" s="813" t="s">
        <v>1063</v>
      </c>
      <c r="U1145" s="813" t="s">
        <v>1063</v>
      </c>
      <c r="V1145" s="813" t="s">
        <v>1063</v>
      </c>
      <c r="W1145" s="813" t="s">
        <v>1063</v>
      </c>
      <c r="X1145" s="813" t="s">
        <v>1063</v>
      </c>
      <c r="Y1145" s="813" t="s">
        <v>1063</v>
      </c>
      <c r="Z1145" s="813" t="s">
        <v>1063</v>
      </c>
      <c r="AA1145" s="813" t="s">
        <v>1063</v>
      </c>
      <c r="AB1145" s="813" t="s">
        <v>1063</v>
      </c>
      <c r="AC1145" s="813" t="s">
        <v>1063</v>
      </c>
      <c r="AD1145" s="813" t="s">
        <v>1063</v>
      </c>
      <c r="AE1145" s="813" t="s">
        <v>1063</v>
      </c>
      <c r="AF1145" s="813" t="s">
        <v>1063</v>
      </c>
      <c r="AG1145" s="813" t="s">
        <v>1063</v>
      </c>
      <c r="AH1145" s="813" t="s">
        <v>1063</v>
      </c>
      <c r="AI1145" s="813" t="s">
        <v>1063</v>
      </c>
      <c r="AJ1145" s="813" t="s">
        <v>1063</v>
      </c>
      <c r="AK1145" s="813" t="s">
        <v>1063</v>
      </c>
      <c r="AL1145" s="813" t="s">
        <v>1063</v>
      </c>
    </row>
    <row r="1146" spans="1:38" s="792" customFormat="1" ht="14.25" customHeight="1">
      <c r="A1146" s="989" t="s">
        <v>518</v>
      </c>
      <c r="B1146" s="791"/>
      <c r="C1146" s="791"/>
      <c r="D1146" s="791"/>
      <c r="E1146" s="791"/>
      <c r="F1146" s="790"/>
      <c r="G1146" s="790"/>
      <c r="H1146" s="790"/>
      <c r="I1146" s="790"/>
      <c r="J1146" s="790"/>
      <c r="K1146" s="790"/>
      <c r="L1146" s="790"/>
      <c r="M1146" s="790"/>
      <c r="N1146" s="790"/>
      <c r="O1146" s="790"/>
      <c r="P1146" s="790"/>
      <c r="Q1146" s="790"/>
      <c r="R1146" s="790"/>
      <c r="S1146" s="790"/>
      <c r="T1146" s="790"/>
      <c r="U1146" s="790"/>
      <c r="V1146" s="790"/>
      <c r="W1146" s="790"/>
      <c r="X1146" s="790"/>
      <c r="Y1146" s="790"/>
      <c r="Z1146" s="790"/>
      <c r="AA1146" s="790"/>
      <c r="AB1146" s="790"/>
      <c r="AC1146" s="790"/>
      <c r="AD1146" s="790"/>
      <c r="AE1146" s="790"/>
      <c r="AF1146" s="790"/>
      <c r="AG1146" s="790"/>
      <c r="AH1146" s="790"/>
      <c r="AI1146" s="790"/>
      <c r="AJ1146" s="790"/>
      <c r="AK1146" s="790"/>
      <c r="AL1146" s="790"/>
    </row>
    <row r="1147" spans="1:38" ht="12.6">
      <c r="A1147" s="990" t="s">
        <v>1247</v>
      </c>
      <c r="B1147" s="991" t="s">
        <v>1248</v>
      </c>
      <c r="C1147" s="991" t="s">
        <v>1058</v>
      </c>
      <c r="D1147" s="991" t="s">
        <v>129</v>
      </c>
      <c r="E1147" s="991"/>
      <c r="F1147" s="813" t="s">
        <v>1059</v>
      </c>
      <c r="G1147" s="813" t="s">
        <v>1059</v>
      </c>
      <c r="H1147" s="813" t="s">
        <v>1059</v>
      </c>
      <c r="I1147" s="813" t="s">
        <v>1059</v>
      </c>
      <c r="J1147" s="813" t="s">
        <v>1059</v>
      </c>
      <c r="K1147" s="813" t="s">
        <v>1059</v>
      </c>
      <c r="L1147" s="813" t="s">
        <v>1059</v>
      </c>
      <c r="M1147" s="813" t="s">
        <v>1059</v>
      </c>
      <c r="N1147" s="813" t="s">
        <v>1059</v>
      </c>
      <c r="O1147" s="813" t="s">
        <v>1059</v>
      </c>
      <c r="P1147" s="813" t="s">
        <v>1059</v>
      </c>
      <c r="Q1147" s="813" t="s">
        <v>1059</v>
      </c>
      <c r="R1147" s="813" t="s">
        <v>1059</v>
      </c>
      <c r="S1147" s="813" t="s">
        <v>1059</v>
      </c>
      <c r="T1147" s="813" t="s">
        <v>1059</v>
      </c>
      <c r="U1147" s="813" t="s">
        <v>1059</v>
      </c>
      <c r="V1147" s="813" t="s">
        <v>1059</v>
      </c>
      <c r="W1147" s="813" t="s">
        <v>1059</v>
      </c>
      <c r="X1147" s="813" t="s">
        <v>1059</v>
      </c>
      <c r="Y1147" s="813" t="s">
        <v>1059</v>
      </c>
      <c r="Z1147" s="813" t="s">
        <v>1059</v>
      </c>
      <c r="AA1147" s="813" t="s">
        <v>1059</v>
      </c>
      <c r="AB1147" s="813" t="s">
        <v>1059</v>
      </c>
      <c r="AC1147" s="813" t="s">
        <v>1059</v>
      </c>
      <c r="AD1147" s="813" t="s">
        <v>1059</v>
      </c>
      <c r="AE1147" s="813" t="s">
        <v>1059</v>
      </c>
      <c r="AF1147" s="813" t="s">
        <v>1059</v>
      </c>
      <c r="AG1147" s="813" t="s">
        <v>1059</v>
      </c>
      <c r="AH1147" s="813" t="s">
        <v>1059</v>
      </c>
      <c r="AI1147" s="813" t="s">
        <v>1059</v>
      </c>
      <c r="AJ1147" s="813" t="s">
        <v>1059</v>
      </c>
      <c r="AK1147" s="813" t="s">
        <v>1059</v>
      </c>
      <c r="AL1147" s="813" t="s">
        <v>1060</v>
      </c>
    </row>
    <row r="1148" spans="1:38" ht="12.6">
      <c r="A1148" s="990" t="s">
        <v>1249</v>
      </c>
      <c r="B1148" s="991" t="s">
        <v>1248</v>
      </c>
      <c r="C1148" s="991" t="s">
        <v>1062</v>
      </c>
      <c r="D1148" s="991" t="s">
        <v>129</v>
      </c>
      <c r="E1148" s="991"/>
      <c r="F1148" s="813" t="s">
        <v>1063</v>
      </c>
      <c r="G1148" s="813" t="s">
        <v>1063</v>
      </c>
      <c r="H1148" s="813" t="s">
        <v>1063</v>
      </c>
      <c r="I1148" s="813" t="s">
        <v>1063</v>
      </c>
      <c r="J1148" s="813" t="s">
        <v>1063</v>
      </c>
      <c r="K1148" s="813" t="s">
        <v>1063</v>
      </c>
      <c r="L1148" s="813" t="s">
        <v>1063</v>
      </c>
      <c r="M1148" s="813" t="s">
        <v>1063</v>
      </c>
      <c r="N1148" s="813" t="s">
        <v>1063</v>
      </c>
      <c r="O1148" s="813" t="s">
        <v>1063</v>
      </c>
      <c r="P1148" s="813" t="s">
        <v>1063</v>
      </c>
      <c r="Q1148" s="813" t="s">
        <v>1063</v>
      </c>
      <c r="R1148" s="813" t="s">
        <v>1063</v>
      </c>
      <c r="S1148" s="813" t="s">
        <v>1063</v>
      </c>
      <c r="T1148" s="813" t="s">
        <v>1063</v>
      </c>
      <c r="U1148" s="813" t="s">
        <v>1063</v>
      </c>
      <c r="V1148" s="813" t="s">
        <v>1063</v>
      </c>
      <c r="W1148" s="813" t="s">
        <v>1063</v>
      </c>
      <c r="X1148" s="813" t="s">
        <v>1063</v>
      </c>
      <c r="Y1148" s="813" t="s">
        <v>1063</v>
      </c>
      <c r="Z1148" s="813" t="s">
        <v>1063</v>
      </c>
      <c r="AA1148" s="813" t="s">
        <v>1063</v>
      </c>
      <c r="AB1148" s="813" t="s">
        <v>1063</v>
      </c>
      <c r="AC1148" s="813" t="s">
        <v>1063</v>
      </c>
      <c r="AD1148" s="813" t="s">
        <v>1063</v>
      </c>
      <c r="AE1148" s="813" t="s">
        <v>1063</v>
      </c>
      <c r="AF1148" s="813" t="s">
        <v>1063</v>
      </c>
      <c r="AG1148" s="813" t="s">
        <v>1063</v>
      </c>
      <c r="AH1148" s="813" t="s">
        <v>1063</v>
      </c>
      <c r="AI1148" s="813" t="s">
        <v>1063</v>
      </c>
      <c r="AJ1148" s="813" t="s">
        <v>1063</v>
      </c>
      <c r="AK1148" s="813" t="s">
        <v>1063</v>
      </c>
      <c r="AL1148" s="813" t="s">
        <v>1063</v>
      </c>
    </row>
    <row r="1149" spans="1:38" s="792" customFormat="1" ht="14.25" customHeight="1">
      <c r="A1149" s="989" t="s">
        <v>524</v>
      </c>
      <c r="B1149" s="791"/>
      <c r="C1149" s="791"/>
      <c r="D1149" s="791"/>
      <c r="E1149" s="791"/>
      <c r="F1149" s="790"/>
      <c r="G1149" s="790"/>
      <c r="H1149" s="790"/>
      <c r="I1149" s="790"/>
      <c r="J1149" s="790"/>
      <c r="K1149" s="790"/>
      <c r="L1149" s="790"/>
      <c r="M1149" s="790"/>
      <c r="N1149" s="790"/>
      <c r="O1149" s="790"/>
      <c r="P1149" s="790"/>
      <c r="Q1149" s="790"/>
      <c r="R1149" s="790"/>
      <c r="S1149" s="790"/>
      <c r="T1149" s="790"/>
      <c r="U1149" s="790"/>
      <c r="V1149" s="790"/>
      <c r="W1149" s="790"/>
      <c r="X1149" s="790"/>
      <c r="Y1149" s="790"/>
      <c r="Z1149" s="790"/>
      <c r="AA1149" s="790"/>
      <c r="AB1149" s="790"/>
      <c r="AC1149" s="790"/>
      <c r="AD1149" s="790"/>
      <c r="AE1149" s="790"/>
      <c r="AF1149" s="790"/>
      <c r="AG1149" s="790"/>
      <c r="AH1149" s="790"/>
      <c r="AI1149" s="790"/>
      <c r="AJ1149" s="790"/>
      <c r="AK1149" s="790"/>
      <c r="AL1149" s="790"/>
    </row>
    <row r="1150" spans="1:38" ht="12.6">
      <c r="A1150" s="990" t="s">
        <v>1250</v>
      </c>
      <c r="B1150" s="991" t="s">
        <v>1251</v>
      </c>
      <c r="C1150" s="991" t="s">
        <v>1058</v>
      </c>
      <c r="D1150" s="991" t="s">
        <v>129</v>
      </c>
      <c r="E1150" s="991"/>
      <c r="F1150" s="813" t="s">
        <v>106</v>
      </c>
      <c r="G1150" s="813" t="s">
        <v>106</v>
      </c>
      <c r="H1150" s="813" t="s">
        <v>106</v>
      </c>
      <c r="I1150" s="813" t="s">
        <v>106</v>
      </c>
      <c r="J1150" s="813" t="s">
        <v>106</v>
      </c>
      <c r="K1150" s="813" t="s">
        <v>106</v>
      </c>
      <c r="L1150" s="813" t="s">
        <v>106</v>
      </c>
      <c r="M1150" s="813" t="s">
        <v>106</v>
      </c>
      <c r="N1150" s="813" t="s">
        <v>106</v>
      </c>
      <c r="O1150" s="813" t="s">
        <v>106</v>
      </c>
      <c r="P1150" s="813" t="s">
        <v>106</v>
      </c>
      <c r="Q1150" s="813" t="s">
        <v>106</v>
      </c>
      <c r="R1150" s="813" t="s">
        <v>106</v>
      </c>
      <c r="S1150" s="813" t="s">
        <v>106</v>
      </c>
      <c r="T1150" s="813" t="s">
        <v>106</v>
      </c>
      <c r="U1150" s="813" t="s">
        <v>106</v>
      </c>
      <c r="V1150" s="813" t="s">
        <v>106</v>
      </c>
      <c r="W1150" s="813" t="s">
        <v>106</v>
      </c>
      <c r="X1150" s="813" t="s">
        <v>106</v>
      </c>
      <c r="Y1150" s="813" t="s">
        <v>106</v>
      </c>
      <c r="Z1150" s="813" t="s">
        <v>106</v>
      </c>
      <c r="AA1150" s="813" t="s">
        <v>106</v>
      </c>
      <c r="AB1150" s="813" t="s">
        <v>106</v>
      </c>
      <c r="AC1150" s="813" t="s">
        <v>106</v>
      </c>
      <c r="AD1150" s="813" t="s">
        <v>106</v>
      </c>
      <c r="AE1150" s="813" t="s">
        <v>106</v>
      </c>
      <c r="AF1150" s="813" t="s">
        <v>106</v>
      </c>
      <c r="AG1150" s="813" t="s">
        <v>106</v>
      </c>
      <c r="AH1150" s="813" t="s">
        <v>106</v>
      </c>
      <c r="AI1150" s="813" t="s">
        <v>106</v>
      </c>
      <c r="AJ1150" s="813" t="s">
        <v>106</v>
      </c>
      <c r="AK1150" s="813" t="s">
        <v>106</v>
      </c>
      <c r="AL1150" s="813" t="s">
        <v>106</v>
      </c>
    </row>
    <row r="1151" spans="1:38" ht="12.6">
      <c r="A1151" s="990" t="s">
        <v>1252</v>
      </c>
      <c r="B1151" s="991" t="s">
        <v>1251</v>
      </c>
      <c r="C1151" s="991" t="s">
        <v>1062</v>
      </c>
      <c r="D1151" s="991" t="s">
        <v>129</v>
      </c>
      <c r="E1151" s="991"/>
      <c r="F1151" s="813" t="s">
        <v>106</v>
      </c>
      <c r="G1151" s="813" t="s">
        <v>106</v>
      </c>
      <c r="H1151" s="813" t="s">
        <v>106</v>
      </c>
      <c r="I1151" s="813" t="s">
        <v>106</v>
      </c>
      <c r="J1151" s="813" t="s">
        <v>106</v>
      </c>
      <c r="K1151" s="813" t="s">
        <v>106</v>
      </c>
      <c r="L1151" s="813" t="s">
        <v>106</v>
      </c>
      <c r="M1151" s="813" t="s">
        <v>106</v>
      </c>
      <c r="N1151" s="813" t="s">
        <v>106</v>
      </c>
      <c r="O1151" s="813" t="s">
        <v>106</v>
      </c>
      <c r="P1151" s="813" t="s">
        <v>106</v>
      </c>
      <c r="Q1151" s="813" t="s">
        <v>106</v>
      </c>
      <c r="R1151" s="813" t="s">
        <v>106</v>
      </c>
      <c r="S1151" s="813" t="s">
        <v>106</v>
      </c>
      <c r="T1151" s="813" t="s">
        <v>106</v>
      </c>
      <c r="U1151" s="813" t="s">
        <v>106</v>
      </c>
      <c r="V1151" s="813" t="s">
        <v>106</v>
      </c>
      <c r="W1151" s="813" t="s">
        <v>106</v>
      </c>
      <c r="X1151" s="813" t="s">
        <v>106</v>
      </c>
      <c r="Y1151" s="813" t="s">
        <v>106</v>
      </c>
      <c r="Z1151" s="813" t="s">
        <v>106</v>
      </c>
      <c r="AA1151" s="813" t="s">
        <v>106</v>
      </c>
      <c r="AB1151" s="813" t="s">
        <v>106</v>
      </c>
      <c r="AC1151" s="813" t="s">
        <v>106</v>
      </c>
      <c r="AD1151" s="813" t="s">
        <v>106</v>
      </c>
      <c r="AE1151" s="813" t="s">
        <v>106</v>
      </c>
      <c r="AF1151" s="813" t="s">
        <v>106</v>
      </c>
      <c r="AG1151" s="813" t="s">
        <v>106</v>
      </c>
      <c r="AH1151" s="813" t="s">
        <v>106</v>
      </c>
      <c r="AI1151" s="813" t="s">
        <v>106</v>
      </c>
      <c r="AJ1151" s="813" t="s">
        <v>106</v>
      </c>
      <c r="AK1151" s="813" t="s">
        <v>106</v>
      </c>
      <c r="AL1151" s="813" t="s">
        <v>106</v>
      </c>
    </row>
    <row r="1152" spans="1:38" s="792" customFormat="1" ht="14.25" customHeight="1">
      <c r="A1152" s="989" t="s">
        <v>530</v>
      </c>
      <c r="B1152" s="791"/>
      <c r="C1152" s="791"/>
      <c r="D1152" s="791"/>
      <c r="E1152" s="791"/>
      <c r="F1152" s="790"/>
      <c r="G1152" s="790"/>
      <c r="H1152" s="790"/>
      <c r="I1152" s="790"/>
      <c r="J1152" s="790"/>
      <c r="K1152" s="790"/>
      <c r="L1152" s="790"/>
      <c r="M1152" s="790"/>
      <c r="N1152" s="790"/>
      <c r="O1152" s="790"/>
      <c r="P1152" s="790"/>
      <c r="Q1152" s="790"/>
      <c r="R1152" s="790"/>
      <c r="S1152" s="790"/>
      <c r="T1152" s="790"/>
      <c r="U1152" s="790"/>
      <c r="V1152" s="790"/>
      <c r="W1152" s="790"/>
      <c r="X1152" s="790"/>
      <c r="Y1152" s="790"/>
      <c r="Z1152" s="790"/>
      <c r="AA1152" s="790"/>
      <c r="AB1152" s="790"/>
      <c r="AC1152" s="790"/>
      <c r="AD1152" s="790"/>
      <c r="AE1152" s="790"/>
      <c r="AF1152" s="790"/>
      <c r="AG1152" s="790"/>
      <c r="AH1152" s="790"/>
      <c r="AI1152" s="790"/>
      <c r="AJ1152" s="790"/>
      <c r="AK1152" s="790"/>
      <c r="AL1152" s="790"/>
    </row>
    <row r="1153" spans="1:38" ht="12.6">
      <c r="A1153" s="990" t="s">
        <v>1253</v>
      </c>
      <c r="B1153" s="991" t="s">
        <v>1254</v>
      </c>
      <c r="C1153" s="991" t="s">
        <v>1058</v>
      </c>
      <c r="D1153" s="991" t="s">
        <v>129</v>
      </c>
      <c r="E1153" s="991"/>
      <c r="F1153" s="813" t="s">
        <v>106</v>
      </c>
      <c r="G1153" s="813" t="s">
        <v>106</v>
      </c>
      <c r="H1153" s="813" t="s">
        <v>106</v>
      </c>
      <c r="I1153" s="813" t="s">
        <v>106</v>
      </c>
      <c r="J1153" s="813" t="s">
        <v>106</v>
      </c>
      <c r="K1153" s="813" t="s">
        <v>106</v>
      </c>
      <c r="L1153" s="813" t="s">
        <v>106</v>
      </c>
      <c r="M1153" s="813" t="s">
        <v>106</v>
      </c>
      <c r="N1153" s="813" t="s">
        <v>106</v>
      </c>
      <c r="O1153" s="813" t="s">
        <v>106</v>
      </c>
      <c r="P1153" s="813" t="s">
        <v>106</v>
      </c>
      <c r="Q1153" s="813" t="s">
        <v>106</v>
      </c>
      <c r="R1153" s="813" t="s">
        <v>106</v>
      </c>
      <c r="S1153" s="813" t="s">
        <v>106</v>
      </c>
      <c r="T1153" s="813" t="s">
        <v>106</v>
      </c>
      <c r="U1153" s="813" t="s">
        <v>106</v>
      </c>
      <c r="V1153" s="813" t="s">
        <v>106</v>
      </c>
      <c r="W1153" s="813" t="s">
        <v>106</v>
      </c>
      <c r="X1153" s="813" t="s">
        <v>106</v>
      </c>
      <c r="Y1153" s="813" t="s">
        <v>106</v>
      </c>
      <c r="Z1153" s="813" t="s">
        <v>106</v>
      </c>
      <c r="AA1153" s="813" t="s">
        <v>106</v>
      </c>
      <c r="AB1153" s="813" t="s">
        <v>106</v>
      </c>
      <c r="AC1153" s="813" t="s">
        <v>106</v>
      </c>
      <c r="AD1153" s="813" t="s">
        <v>106</v>
      </c>
      <c r="AE1153" s="813" t="s">
        <v>106</v>
      </c>
      <c r="AF1153" s="813" t="s">
        <v>106</v>
      </c>
      <c r="AG1153" s="813" t="s">
        <v>106</v>
      </c>
      <c r="AH1153" s="813" t="s">
        <v>106</v>
      </c>
      <c r="AI1153" s="813" t="s">
        <v>106</v>
      </c>
      <c r="AJ1153" s="813" t="s">
        <v>106</v>
      </c>
      <c r="AK1153" s="813" t="s">
        <v>106</v>
      </c>
      <c r="AL1153" s="813" t="s">
        <v>106</v>
      </c>
    </row>
    <row r="1154" spans="1:38" ht="12.95" thickBot="1">
      <c r="A1154" s="993" t="s">
        <v>1255</v>
      </c>
      <c r="B1154" s="994" t="s">
        <v>1254</v>
      </c>
      <c r="C1154" s="994" t="s">
        <v>1062</v>
      </c>
      <c r="D1154" s="994" t="s">
        <v>129</v>
      </c>
      <c r="E1154" s="994"/>
      <c r="F1154" s="331" t="s">
        <v>106</v>
      </c>
      <c r="G1154" s="331" t="s">
        <v>106</v>
      </c>
      <c r="H1154" s="331" t="s">
        <v>106</v>
      </c>
      <c r="I1154" s="331" t="s">
        <v>106</v>
      </c>
      <c r="J1154" s="331" t="s">
        <v>106</v>
      </c>
      <c r="K1154" s="331" t="s">
        <v>106</v>
      </c>
      <c r="L1154" s="331" t="s">
        <v>106</v>
      </c>
      <c r="M1154" s="331" t="s">
        <v>106</v>
      </c>
      <c r="N1154" s="331" t="s">
        <v>106</v>
      </c>
      <c r="O1154" s="331" t="s">
        <v>106</v>
      </c>
      <c r="P1154" s="331" t="s">
        <v>106</v>
      </c>
      <c r="Q1154" s="331" t="s">
        <v>106</v>
      </c>
      <c r="R1154" s="331" t="s">
        <v>106</v>
      </c>
      <c r="S1154" s="331" t="s">
        <v>106</v>
      </c>
      <c r="T1154" s="331" t="s">
        <v>106</v>
      </c>
      <c r="U1154" s="331" t="s">
        <v>106</v>
      </c>
      <c r="V1154" s="331" t="s">
        <v>106</v>
      </c>
      <c r="W1154" s="331" t="s">
        <v>106</v>
      </c>
      <c r="X1154" s="331" t="s">
        <v>106</v>
      </c>
      <c r="Y1154" s="331" t="s">
        <v>106</v>
      </c>
      <c r="Z1154" s="331" t="s">
        <v>106</v>
      </c>
      <c r="AA1154" s="331" t="s">
        <v>106</v>
      </c>
      <c r="AB1154" s="331" t="s">
        <v>106</v>
      </c>
      <c r="AC1154" s="331" t="s">
        <v>106</v>
      </c>
      <c r="AD1154" s="331" t="s">
        <v>106</v>
      </c>
      <c r="AE1154" s="331" t="s">
        <v>106</v>
      </c>
      <c r="AF1154" s="331" t="s">
        <v>106</v>
      </c>
      <c r="AG1154" s="331" t="s">
        <v>106</v>
      </c>
      <c r="AH1154" s="331" t="s">
        <v>106</v>
      </c>
      <c r="AI1154" s="331" t="s">
        <v>106</v>
      </c>
      <c r="AJ1154" s="331" t="s">
        <v>106</v>
      </c>
      <c r="AK1154" s="331" t="s">
        <v>106</v>
      </c>
      <c r="AL1154" s="331" t="s">
        <v>106</v>
      </c>
    </row>
    <row r="1155" spans="1:38" s="797" customFormat="1" ht="12.95">
      <c r="A1155" s="796" t="s">
        <v>536</v>
      </c>
      <c r="B1155" s="796"/>
      <c r="C1155" s="796"/>
      <c r="D1155" s="796"/>
      <c r="E1155" s="796"/>
      <c r="F1155" s="795"/>
      <c r="G1155" s="795"/>
      <c r="H1155" s="795"/>
      <c r="I1155" s="795"/>
      <c r="J1155" s="795"/>
      <c r="K1155" s="795"/>
      <c r="L1155" s="795"/>
      <c r="M1155" s="795"/>
      <c r="N1155" s="795"/>
      <c r="O1155" s="795"/>
      <c r="P1155" s="795"/>
      <c r="Q1155" s="795"/>
      <c r="R1155" s="795"/>
      <c r="S1155" s="795"/>
      <c r="T1155" s="795"/>
      <c r="U1155" s="795"/>
      <c r="V1155" s="795"/>
      <c r="W1155" s="795"/>
      <c r="X1155" s="795"/>
      <c r="Y1155" s="795"/>
      <c r="Z1155" s="795"/>
      <c r="AA1155" s="795"/>
      <c r="AB1155" s="795"/>
      <c r="AC1155" s="795"/>
      <c r="AD1155" s="795"/>
      <c r="AE1155" s="795"/>
      <c r="AF1155" s="795"/>
      <c r="AG1155" s="795"/>
      <c r="AH1155" s="795"/>
      <c r="AI1155" s="795"/>
      <c r="AJ1155" s="795"/>
      <c r="AK1155" s="795"/>
      <c r="AL1155" s="795"/>
    </row>
    <row r="1156" spans="1:38" s="792" customFormat="1" ht="14.25" customHeight="1">
      <c r="A1156" s="989" t="s">
        <v>537</v>
      </c>
      <c r="B1156" s="791"/>
      <c r="C1156" s="791"/>
      <c r="D1156" s="791"/>
      <c r="E1156" s="791"/>
      <c r="F1156" s="790"/>
      <c r="G1156" s="790"/>
      <c r="H1156" s="790"/>
      <c r="I1156" s="790"/>
      <c r="J1156" s="790"/>
      <c r="K1156" s="790"/>
      <c r="L1156" s="790"/>
      <c r="M1156" s="790"/>
      <c r="N1156" s="790"/>
      <c r="O1156" s="790"/>
      <c r="P1156" s="790"/>
      <c r="Q1156" s="790"/>
      <c r="R1156" s="790"/>
      <c r="S1156" s="790"/>
      <c r="T1156" s="790"/>
      <c r="U1156" s="790"/>
      <c r="V1156" s="790"/>
      <c r="W1156" s="790"/>
      <c r="X1156" s="790"/>
      <c r="Y1156" s="790"/>
      <c r="Z1156" s="790"/>
      <c r="AA1156" s="790"/>
      <c r="AB1156" s="790"/>
      <c r="AC1156" s="790"/>
      <c r="AD1156" s="790"/>
      <c r="AE1156" s="790"/>
      <c r="AF1156" s="790"/>
      <c r="AG1156" s="790"/>
      <c r="AH1156" s="790"/>
      <c r="AI1156" s="790"/>
      <c r="AJ1156" s="790"/>
      <c r="AK1156" s="790"/>
      <c r="AL1156" s="790"/>
    </row>
    <row r="1157" spans="1:38" ht="12.6">
      <c r="A1157" s="990" t="s">
        <v>1256</v>
      </c>
      <c r="B1157" s="991" t="s">
        <v>1257</v>
      </c>
      <c r="C1157" s="991" t="s">
        <v>1058</v>
      </c>
      <c r="D1157" s="991" t="s">
        <v>129</v>
      </c>
      <c r="E1157" s="991"/>
      <c r="F1157" s="813" t="s">
        <v>1059</v>
      </c>
      <c r="G1157" s="813" t="s">
        <v>1059</v>
      </c>
      <c r="H1157" s="813" t="s">
        <v>1059</v>
      </c>
      <c r="I1157" s="813" t="s">
        <v>1059</v>
      </c>
      <c r="J1157" s="813" t="s">
        <v>1059</v>
      </c>
      <c r="K1157" s="813" t="s">
        <v>1059</v>
      </c>
      <c r="L1157" s="813" t="s">
        <v>1059</v>
      </c>
      <c r="M1157" s="813" t="s">
        <v>1059</v>
      </c>
      <c r="N1157" s="813" t="s">
        <v>1059</v>
      </c>
      <c r="O1157" s="813" t="s">
        <v>1059</v>
      </c>
      <c r="P1157" s="813" t="s">
        <v>1059</v>
      </c>
      <c r="Q1157" s="813" t="s">
        <v>1059</v>
      </c>
      <c r="R1157" s="813" t="s">
        <v>1059</v>
      </c>
      <c r="S1157" s="813" t="s">
        <v>1059</v>
      </c>
      <c r="T1157" s="813" t="s">
        <v>1059</v>
      </c>
      <c r="U1157" s="813" t="s">
        <v>1059</v>
      </c>
      <c r="V1157" s="813" t="s">
        <v>1059</v>
      </c>
      <c r="W1157" s="813" t="s">
        <v>1059</v>
      </c>
      <c r="X1157" s="813" t="s">
        <v>1059</v>
      </c>
      <c r="Y1157" s="813" t="s">
        <v>1059</v>
      </c>
      <c r="Z1157" s="813" t="s">
        <v>1059</v>
      </c>
      <c r="AA1157" s="813" t="s">
        <v>1059</v>
      </c>
      <c r="AB1157" s="813" t="s">
        <v>1059</v>
      </c>
      <c r="AC1157" s="813" t="s">
        <v>1059</v>
      </c>
      <c r="AD1157" s="813" t="s">
        <v>1059</v>
      </c>
      <c r="AE1157" s="813" t="s">
        <v>1059</v>
      </c>
      <c r="AF1157" s="813" t="s">
        <v>1059</v>
      </c>
      <c r="AG1157" s="813" t="s">
        <v>1059</v>
      </c>
      <c r="AH1157" s="813" t="s">
        <v>1059</v>
      </c>
      <c r="AI1157" s="813" t="s">
        <v>1059</v>
      </c>
      <c r="AJ1157" s="813" t="s">
        <v>1059</v>
      </c>
      <c r="AK1157" s="813" t="s">
        <v>1059</v>
      </c>
      <c r="AL1157" s="813" t="s">
        <v>1060</v>
      </c>
    </row>
    <row r="1158" spans="1:38" ht="12.6">
      <c r="A1158" s="990" t="s">
        <v>1258</v>
      </c>
      <c r="B1158" s="991" t="s">
        <v>1257</v>
      </c>
      <c r="C1158" s="991" t="s">
        <v>1062</v>
      </c>
      <c r="D1158" s="991" t="s">
        <v>129</v>
      </c>
      <c r="E1158" s="991"/>
      <c r="F1158" s="813" t="s">
        <v>1063</v>
      </c>
      <c r="G1158" s="813" t="s">
        <v>1063</v>
      </c>
      <c r="H1158" s="813" t="s">
        <v>1063</v>
      </c>
      <c r="I1158" s="813" t="s">
        <v>1063</v>
      </c>
      <c r="J1158" s="813" t="s">
        <v>1063</v>
      </c>
      <c r="K1158" s="813" t="s">
        <v>1063</v>
      </c>
      <c r="L1158" s="813" t="s">
        <v>1063</v>
      </c>
      <c r="M1158" s="813" t="s">
        <v>1063</v>
      </c>
      <c r="N1158" s="813" t="s">
        <v>1063</v>
      </c>
      <c r="O1158" s="813" t="s">
        <v>1063</v>
      </c>
      <c r="P1158" s="813" t="s">
        <v>1063</v>
      </c>
      <c r="Q1158" s="813" t="s">
        <v>1063</v>
      </c>
      <c r="R1158" s="813" t="s">
        <v>1063</v>
      </c>
      <c r="S1158" s="813" t="s">
        <v>1063</v>
      </c>
      <c r="T1158" s="813" t="s">
        <v>1063</v>
      </c>
      <c r="U1158" s="813" t="s">
        <v>1063</v>
      </c>
      <c r="V1158" s="813" t="s">
        <v>1063</v>
      </c>
      <c r="W1158" s="813" t="s">
        <v>1063</v>
      </c>
      <c r="X1158" s="813" t="s">
        <v>1063</v>
      </c>
      <c r="Y1158" s="813" t="s">
        <v>1063</v>
      </c>
      <c r="Z1158" s="813" t="s">
        <v>1063</v>
      </c>
      <c r="AA1158" s="813" t="s">
        <v>1063</v>
      </c>
      <c r="AB1158" s="813" t="s">
        <v>1063</v>
      </c>
      <c r="AC1158" s="813" t="s">
        <v>1063</v>
      </c>
      <c r="AD1158" s="813" t="s">
        <v>1063</v>
      </c>
      <c r="AE1158" s="813" t="s">
        <v>1063</v>
      </c>
      <c r="AF1158" s="813" t="s">
        <v>1063</v>
      </c>
      <c r="AG1158" s="813" t="s">
        <v>1063</v>
      </c>
      <c r="AH1158" s="813" t="s">
        <v>1063</v>
      </c>
      <c r="AI1158" s="813" t="s">
        <v>1063</v>
      </c>
      <c r="AJ1158" s="813" t="s">
        <v>1063</v>
      </c>
      <c r="AK1158" s="813" t="s">
        <v>1063</v>
      </c>
      <c r="AL1158" s="813" t="s">
        <v>1063</v>
      </c>
    </row>
    <row r="1159" spans="1:38" s="792" customFormat="1" ht="14.25" customHeight="1">
      <c r="A1159" s="989" t="s">
        <v>544</v>
      </c>
      <c r="B1159" s="791"/>
      <c r="C1159" s="791"/>
      <c r="D1159" s="791"/>
      <c r="E1159" s="791"/>
      <c r="F1159" s="790"/>
      <c r="G1159" s="790"/>
      <c r="H1159" s="790"/>
      <c r="I1159" s="790"/>
      <c r="J1159" s="790"/>
      <c r="K1159" s="790"/>
      <c r="L1159" s="790"/>
      <c r="M1159" s="790"/>
      <c r="N1159" s="790"/>
      <c r="O1159" s="790"/>
      <c r="P1159" s="790"/>
      <c r="Q1159" s="790"/>
      <c r="R1159" s="790"/>
      <c r="S1159" s="790"/>
      <c r="T1159" s="790"/>
      <c r="U1159" s="790"/>
      <c r="V1159" s="790"/>
      <c r="W1159" s="790"/>
      <c r="X1159" s="790"/>
      <c r="Y1159" s="790"/>
      <c r="Z1159" s="790"/>
      <c r="AA1159" s="790"/>
      <c r="AB1159" s="790"/>
      <c r="AC1159" s="790"/>
      <c r="AD1159" s="790"/>
      <c r="AE1159" s="790"/>
      <c r="AF1159" s="790"/>
      <c r="AG1159" s="790"/>
      <c r="AH1159" s="790"/>
      <c r="AI1159" s="790"/>
      <c r="AJ1159" s="790"/>
      <c r="AK1159" s="790"/>
      <c r="AL1159" s="790"/>
    </row>
    <row r="1160" spans="1:38" ht="12.6">
      <c r="A1160" s="990" t="s">
        <v>1259</v>
      </c>
      <c r="B1160" s="991" t="s">
        <v>1260</v>
      </c>
      <c r="C1160" s="991" t="s">
        <v>1058</v>
      </c>
      <c r="D1160" s="991" t="s">
        <v>129</v>
      </c>
      <c r="E1160" s="991"/>
      <c r="F1160" s="813" t="s">
        <v>1059</v>
      </c>
      <c r="G1160" s="813" t="s">
        <v>1059</v>
      </c>
      <c r="H1160" s="813" t="s">
        <v>1059</v>
      </c>
      <c r="I1160" s="813" t="s">
        <v>1059</v>
      </c>
      <c r="J1160" s="813" t="s">
        <v>1059</v>
      </c>
      <c r="K1160" s="813" t="s">
        <v>1059</v>
      </c>
      <c r="L1160" s="813" t="s">
        <v>1059</v>
      </c>
      <c r="M1160" s="813" t="s">
        <v>1059</v>
      </c>
      <c r="N1160" s="813" t="s">
        <v>1059</v>
      </c>
      <c r="O1160" s="813" t="s">
        <v>1059</v>
      </c>
      <c r="P1160" s="813" t="s">
        <v>1059</v>
      </c>
      <c r="Q1160" s="813" t="s">
        <v>1059</v>
      </c>
      <c r="R1160" s="813" t="s">
        <v>1059</v>
      </c>
      <c r="S1160" s="813" t="s">
        <v>1059</v>
      </c>
      <c r="T1160" s="813" t="s">
        <v>1059</v>
      </c>
      <c r="U1160" s="813" t="s">
        <v>1059</v>
      </c>
      <c r="V1160" s="813" t="s">
        <v>1059</v>
      </c>
      <c r="W1160" s="813" t="s">
        <v>1059</v>
      </c>
      <c r="X1160" s="813" t="s">
        <v>1059</v>
      </c>
      <c r="Y1160" s="813" t="s">
        <v>1059</v>
      </c>
      <c r="Z1160" s="813" t="s">
        <v>1059</v>
      </c>
      <c r="AA1160" s="813" t="s">
        <v>1059</v>
      </c>
      <c r="AB1160" s="813" t="s">
        <v>1059</v>
      </c>
      <c r="AC1160" s="813" t="s">
        <v>1059</v>
      </c>
      <c r="AD1160" s="813" t="s">
        <v>1059</v>
      </c>
      <c r="AE1160" s="813" t="s">
        <v>1059</v>
      </c>
      <c r="AF1160" s="813" t="s">
        <v>1059</v>
      </c>
      <c r="AG1160" s="813" t="s">
        <v>1059</v>
      </c>
      <c r="AH1160" s="813" t="s">
        <v>1059</v>
      </c>
      <c r="AI1160" s="813" t="s">
        <v>1059</v>
      </c>
      <c r="AJ1160" s="813" t="s">
        <v>1059</v>
      </c>
      <c r="AK1160" s="813" t="s">
        <v>1059</v>
      </c>
      <c r="AL1160" s="813" t="s">
        <v>1060</v>
      </c>
    </row>
    <row r="1161" spans="1:38" ht="12.6">
      <c r="A1161" s="990" t="s">
        <v>1261</v>
      </c>
      <c r="B1161" s="991" t="s">
        <v>1260</v>
      </c>
      <c r="C1161" s="991" t="s">
        <v>1062</v>
      </c>
      <c r="D1161" s="991" t="s">
        <v>129</v>
      </c>
      <c r="E1161" s="991"/>
      <c r="F1161" s="813" t="s">
        <v>1063</v>
      </c>
      <c r="G1161" s="813" t="s">
        <v>1063</v>
      </c>
      <c r="H1161" s="813" t="s">
        <v>1063</v>
      </c>
      <c r="I1161" s="813" t="s">
        <v>1063</v>
      </c>
      <c r="J1161" s="813" t="s">
        <v>1063</v>
      </c>
      <c r="K1161" s="813" t="s">
        <v>1063</v>
      </c>
      <c r="L1161" s="813" t="s">
        <v>1063</v>
      </c>
      <c r="M1161" s="813" t="s">
        <v>1063</v>
      </c>
      <c r="N1161" s="813" t="s">
        <v>1063</v>
      </c>
      <c r="O1161" s="813" t="s">
        <v>1063</v>
      </c>
      <c r="P1161" s="813" t="s">
        <v>1063</v>
      </c>
      <c r="Q1161" s="813" t="s">
        <v>1063</v>
      </c>
      <c r="R1161" s="813" t="s">
        <v>1063</v>
      </c>
      <c r="S1161" s="813" t="s">
        <v>1063</v>
      </c>
      <c r="T1161" s="813" t="s">
        <v>1063</v>
      </c>
      <c r="U1161" s="813" t="s">
        <v>1063</v>
      </c>
      <c r="V1161" s="813" t="s">
        <v>1063</v>
      </c>
      <c r="W1161" s="813" t="s">
        <v>1063</v>
      </c>
      <c r="X1161" s="813" t="s">
        <v>1063</v>
      </c>
      <c r="Y1161" s="813" t="s">
        <v>1063</v>
      </c>
      <c r="Z1161" s="813" t="s">
        <v>1063</v>
      </c>
      <c r="AA1161" s="813" t="s">
        <v>1063</v>
      </c>
      <c r="AB1161" s="813" t="s">
        <v>1063</v>
      </c>
      <c r="AC1161" s="813" t="s">
        <v>1063</v>
      </c>
      <c r="AD1161" s="813" t="s">
        <v>1063</v>
      </c>
      <c r="AE1161" s="813" t="s">
        <v>1063</v>
      </c>
      <c r="AF1161" s="813" t="s">
        <v>1063</v>
      </c>
      <c r="AG1161" s="813" t="s">
        <v>1063</v>
      </c>
      <c r="AH1161" s="813" t="s">
        <v>1063</v>
      </c>
      <c r="AI1161" s="813" t="s">
        <v>1063</v>
      </c>
      <c r="AJ1161" s="813" t="s">
        <v>1063</v>
      </c>
      <c r="AK1161" s="813" t="s">
        <v>1063</v>
      </c>
      <c r="AL1161" s="813" t="s">
        <v>1063</v>
      </c>
    </row>
    <row r="1162" spans="1:38" s="792" customFormat="1" ht="14.25" customHeight="1">
      <c r="A1162" s="989" t="s">
        <v>550</v>
      </c>
      <c r="B1162" s="791"/>
      <c r="C1162" s="791"/>
      <c r="D1162" s="791"/>
      <c r="E1162" s="791"/>
      <c r="F1162" s="790"/>
      <c r="G1162" s="790"/>
      <c r="H1162" s="790"/>
      <c r="I1162" s="790"/>
      <c r="J1162" s="790"/>
      <c r="K1162" s="790"/>
      <c r="L1162" s="790"/>
      <c r="M1162" s="790"/>
      <c r="N1162" s="790"/>
      <c r="O1162" s="790"/>
      <c r="P1162" s="790"/>
      <c r="Q1162" s="790"/>
      <c r="R1162" s="790"/>
      <c r="S1162" s="790"/>
      <c r="T1162" s="790"/>
      <c r="U1162" s="790"/>
      <c r="V1162" s="790"/>
      <c r="W1162" s="790"/>
      <c r="X1162" s="790"/>
      <c r="Y1162" s="790"/>
      <c r="Z1162" s="790"/>
      <c r="AA1162" s="790"/>
      <c r="AB1162" s="790"/>
      <c r="AC1162" s="790"/>
      <c r="AD1162" s="790"/>
      <c r="AE1162" s="790"/>
      <c r="AF1162" s="790"/>
      <c r="AG1162" s="790"/>
      <c r="AH1162" s="790"/>
      <c r="AI1162" s="790"/>
      <c r="AJ1162" s="790"/>
      <c r="AK1162" s="790"/>
      <c r="AL1162" s="790"/>
    </row>
    <row r="1163" spans="1:38" ht="12.6">
      <c r="A1163" s="990" t="s">
        <v>1262</v>
      </c>
      <c r="B1163" s="991" t="s">
        <v>1263</v>
      </c>
      <c r="C1163" s="991" t="s">
        <v>1058</v>
      </c>
      <c r="D1163" s="991" t="s">
        <v>129</v>
      </c>
      <c r="E1163" s="991"/>
      <c r="F1163" s="813" t="s">
        <v>1059</v>
      </c>
      <c r="G1163" s="813" t="s">
        <v>1059</v>
      </c>
      <c r="H1163" s="813" t="s">
        <v>1059</v>
      </c>
      <c r="I1163" s="813" t="s">
        <v>1059</v>
      </c>
      <c r="J1163" s="813" t="s">
        <v>1059</v>
      </c>
      <c r="K1163" s="813" t="s">
        <v>1059</v>
      </c>
      <c r="L1163" s="813" t="s">
        <v>1059</v>
      </c>
      <c r="M1163" s="813" t="s">
        <v>1059</v>
      </c>
      <c r="N1163" s="813" t="s">
        <v>1059</v>
      </c>
      <c r="O1163" s="813" t="s">
        <v>1059</v>
      </c>
      <c r="P1163" s="813" t="s">
        <v>1059</v>
      </c>
      <c r="Q1163" s="813" t="s">
        <v>1059</v>
      </c>
      <c r="R1163" s="813" t="s">
        <v>1059</v>
      </c>
      <c r="S1163" s="813" t="s">
        <v>1059</v>
      </c>
      <c r="T1163" s="813" t="s">
        <v>1059</v>
      </c>
      <c r="U1163" s="813" t="s">
        <v>1059</v>
      </c>
      <c r="V1163" s="813" t="s">
        <v>1059</v>
      </c>
      <c r="W1163" s="813" t="s">
        <v>1059</v>
      </c>
      <c r="X1163" s="813" t="s">
        <v>1059</v>
      </c>
      <c r="Y1163" s="813" t="s">
        <v>1059</v>
      </c>
      <c r="Z1163" s="813" t="s">
        <v>1059</v>
      </c>
      <c r="AA1163" s="813" t="s">
        <v>1059</v>
      </c>
      <c r="AB1163" s="813" t="s">
        <v>1059</v>
      </c>
      <c r="AC1163" s="813" t="s">
        <v>1059</v>
      </c>
      <c r="AD1163" s="813" t="s">
        <v>1059</v>
      </c>
      <c r="AE1163" s="813" t="s">
        <v>1059</v>
      </c>
      <c r="AF1163" s="813" t="s">
        <v>1059</v>
      </c>
      <c r="AG1163" s="813" t="s">
        <v>1059</v>
      </c>
      <c r="AH1163" s="813" t="s">
        <v>1059</v>
      </c>
      <c r="AI1163" s="813" t="s">
        <v>1059</v>
      </c>
      <c r="AJ1163" s="813" t="s">
        <v>1059</v>
      </c>
      <c r="AK1163" s="813" t="s">
        <v>1059</v>
      </c>
      <c r="AL1163" s="813" t="s">
        <v>1060</v>
      </c>
    </row>
    <row r="1164" spans="1:38" ht="12.6">
      <c r="A1164" s="990" t="s">
        <v>1264</v>
      </c>
      <c r="B1164" s="991" t="s">
        <v>1263</v>
      </c>
      <c r="C1164" s="991" t="s">
        <v>1062</v>
      </c>
      <c r="D1164" s="991" t="s">
        <v>129</v>
      </c>
      <c r="E1164" s="991"/>
      <c r="F1164" s="813" t="s">
        <v>1063</v>
      </c>
      <c r="G1164" s="813" t="s">
        <v>1063</v>
      </c>
      <c r="H1164" s="813" t="s">
        <v>1063</v>
      </c>
      <c r="I1164" s="813" t="s">
        <v>1063</v>
      </c>
      <c r="J1164" s="813" t="s">
        <v>1063</v>
      </c>
      <c r="K1164" s="813" t="s">
        <v>1063</v>
      </c>
      <c r="L1164" s="813" t="s">
        <v>1063</v>
      </c>
      <c r="M1164" s="813" t="s">
        <v>1063</v>
      </c>
      <c r="N1164" s="813" t="s">
        <v>1063</v>
      </c>
      <c r="O1164" s="813" t="s">
        <v>1063</v>
      </c>
      <c r="P1164" s="813" t="s">
        <v>1063</v>
      </c>
      <c r="Q1164" s="813" t="s">
        <v>1063</v>
      </c>
      <c r="R1164" s="813" t="s">
        <v>1063</v>
      </c>
      <c r="S1164" s="813" t="s">
        <v>1063</v>
      </c>
      <c r="T1164" s="813" t="s">
        <v>1063</v>
      </c>
      <c r="U1164" s="813" t="s">
        <v>1063</v>
      </c>
      <c r="V1164" s="813" t="s">
        <v>1063</v>
      </c>
      <c r="W1164" s="813" t="s">
        <v>1063</v>
      </c>
      <c r="X1164" s="813" t="s">
        <v>1063</v>
      </c>
      <c r="Y1164" s="813" t="s">
        <v>1063</v>
      </c>
      <c r="Z1164" s="813" t="s">
        <v>1063</v>
      </c>
      <c r="AA1164" s="813" t="s">
        <v>1063</v>
      </c>
      <c r="AB1164" s="813" t="s">
        <v>1063</v>
      </c>
      <c r="AC1164" s="813" t="s">
        <v>1063</v>
      </c>
      <c r="AD1164" s="813" t="s">
        <v>1063</v>
      </c>
      <c r="AE1164" s="813" t="s">
        <v>1063</v>
      </c>
      <c r="AF1164" s="813" t="s">
        <v>1063</v>
      </c>
      <c r="AG1164" s="813" t="s">
        <v>1063</v>
      </c>
      <c r="AH1164" s="813" t="s">
        <v>1063</v>
      </c>
      <c r="AI1164" s="813" t="s">
        <v>1063</v>
      </c>
      <c r="AJ1164" s="813" t="s">
        <v>1063</v>
      </c>
      <c r="AK1164" s="813" t="s">
        <v>1063</v>
      </c>
      <c r="AL1164" s="813" t="s">
        <v>1063</v>
      </c>
    </row>
    <row r="1165" spans="1:38" s="792" customFormat="1" ht="14.25" customHeight="1">
      <c r="A1165" s="989" t="s">
        <v>556</v>
      </c>
      <c r="B1165" s="791"/>
      <c r="C1165" s="791"/>
      <c r="D1165" s="791"/>
      <c r="E1165" s="791"/>
      <c r="F1165" s="790"/>
      <c r="G1165" s="790"/>
      <c r="H1165" s="790"/>
      <c r="I1165" s="790"/>
      <c r="J1165" s="790"/>
      <c r="K1165" s="790"/>
      <c r="L1165" s="790"/>
      <c r="M1165" s="790"/>
      <c r="N1165" s="790"/>
      <c r="O1165" s="790"/>
      <c r="P1165" s="790"/>
      <c r="Q1165" s="790"/>
      <c r="R1165" s="790"/>
      <c r="S1165" s="790"/>
      <c r="T1165" s="790"/>
      <c r="U1165" s="790"/>
      <c r="V1165" s="790"/>
      <c r="W1165" s="790"/>
      <c r="X1165" s="790"/>
      <c r="Y1165" s="790"/>
      <c r="Z1165" s="790"/>
      <c r="AA1165" s="790"/>
      <c r="AB1165" s="790"/>
      <c r="AC1165" s="790"/>
      <c r="AD1165" s="790"/>
      <c r="AE1165" s="790"/>
      <c r="AF1165" s="790"/>
      <c r="AG1165" s="790"/>
      <c r="AH1165" s="790"/>
      <c r="AI1165" s="790"/>
      <c r="AJ1165" s="790"/>
      <c r="AK1165" s="790"/>
      <c r="AL1165" s="790"/>
    </row>
    <row r="1166" spans="1:38" ht="12.6">
      <c r="A1166" s="990" t="s">
        <v>1265</v>
      </c>
      <c r="B1166" s="991" t="s">
        <v>1266</v>
      </c>
      <c r="C1166" s="991" t="s">
        <v>1058</v>
      </c>
      <c r="D1166" s="991" t="s">
        <v>129</v>
      </c>
      <c r="E1166" s="991"/>
      <c r="F1166" s="813" t="s">
        <v>106</v>
      </c>
      <c r="G1166" s="813" t="s">
        <v>106</v>
      </c>
      <c r="H1166" s="813" t="s">
        <v>106</v>
      </c>
      <c r="I1166" s="813" t="s">
        <v>106</v>
      </c>
      <c r="J1166" s="813" t="s">
        <v>106</v>
      </c>
      <c r="K1166" s="813" t="s">
        <v>106</v>
      </c>
      <c r="L1166" s="813" t="s">
        <v>106</v>
      </c>
      <c r="M1166" s="813" t="s">
        <v>106</v>
      </c>
      <c r="N1166" s="813" t="s">
        <v>106</v>
      </c>
      <c r="O1166" s="813" t="s">
        <v>106</v>
      </c>
      <c r="P1166" s="813" t="s">
        <v>106</v>
      </c>
      <c r="Q1166" s="813" t="s">
        <v>106</v>
      </c>
      <c r="R1166" s="813" t="s">
        <v>106</v>
      </c>
      <c r="S1166" s="813" t="s">
        <v>106</v>
      </c>
      <c r="T1166" s="813" t="s">
        <v>106</v>
      </c>
      <c r="U1166" s="813" t="s">
        <v>106</v>
      </c>
      <c r="V1166" s="813" t="s">
        <v>106</v>
      </c>
      <c r="W1166" s="813" t="s">
        <v>106</v>
      </c>
      <c r="X1166" s="813" t="s">
        <v>106</v>
      </c>
      <c r="Y1166" s="813" t="s">
        <v>106</v>
      </c>
      <c r="Z1166" s="813" t="s">
        <v>106</v>
      </c>
      <c r="AA1166" s="813" t="s">
        <v>106</v>
      </c>
      <c r="AB1166" s="813" t="s">
        <v>106</v>
      </c>
      <c r="AC1166" s="813" t="s">
        <v>106</v>
      </c>
      <c r="AD1166" s="813" t="s">
        <v>106</v>
      </c>
      <c r="AE1166" s="813" t="s">
        <v>106</v>
      </c>
      <c r="AF1166" s="813" t="s">
        <v>106</v>
      </c>
      <c r="AG1166" s="813" t="s">
        <v>106</v>
      </c>
      <c r="AH1166" s="813" t="s">
        <v>106</v>
      </c>
      <c r="AI1166" s="813" t="s">
        <v>106</v>
      </c>
      <c r="AJ1166" s="813" t="s">
        <v>106</v>
      </c>
      <c r="AK1166" s="813" t="s">
        <v>106</v>
      </c>
      <c r="AL1166" s="813" t="s">
        <v>106</v>
      </c>
    </row>
    <row r="1167" spans="1:38" ht="12.6">
      <c r="A1167" s="990" t="s">
        <v>1267</v>
      </c>
      <c r="B1167" s="991" t="s">
        <v>1266</v>
      </c>
      <c r="C1167" s="991" t="s">
        <v>1062</v>
      </c>
      <c r="D1167" s="991" t="s">
        <v>129</v>
      </c>
      <c r="E1167" s="991"/>
      <c r="F1167" s="813" t="s">
        <v>106</v>
      </c>
      <c r="G1167" s="813" t="s">
        <v>106</v>
      </c>
      <c r="H1167" s="813" t="s">
        <v>106</v>
      </c>
      <c r="I1167" s="813" t="s">
        <v>106</v>
      </c>
      <c r="J1167" s="813" t="s">
        <v>106</v>
      </c>
      <c r="K1167" s="813" t="s">
        <v>106</v>
      </c>
      <c r="L1167" s="813" t="s">
        <v>106</v>
      </c>
      <c r="M1167" s="813" t="s">
        <v>106</v>
      </c>
      <c r="N1167" s="813" t="s">
        <v>106</v>
      </c>
      <c r="O1167" s="813" t="s">
        <v>106</v>
      </c>
      <c r="P1167" s="813" t="s">
        <v>106</v>
      </c>
      <c r="Q1167" s="813" t="s">
        <v>106</v>
      </c>
      <c r="R1167" s="813" t="s">
        <v>106</v>
      </c>
      <c r="S1167" s="813" t="s">
        <v>106</v>
      </c>
      <c r="T1167" s="813" t="s">
        <v>106</v>
      </c>
      <c r="U1167" s="813" t="s">
        <v>106</v>
      </c>
      <c r="V1167" s="813" t="s">
        <v>106</v>
      </c>
      <c r="W1167" s="813" t="s">
        <v>106</v>
      </c>
      <c r="X1167" s="813" t="s">
        <v>106</v>
      </c>
      <c r="Y1167" s="813" t="s">
        <v>106</v>
      </c>
      <c r="Z1167" s="813" t="s">
        <v>106</v>
      </c>
      <c r="AA1167" s="813" t="s">
        <v>106</v>
      </c>
      <c r="AB1167" s="813" t="s">
        <v>106</v>
      </c>
      <c r="AC1167" s="813" t="s">
        <v>106</v>
      </c>
      <c r="AD1167" s="813" t="s">
        <v>106</v>
      </c>
      <c r="AE1167" s="813" t="s">
        <v>106</v>
      </c>
      <c r="AF1167" s="813" t="s">
        <v>106</v>
      </c>
      <c r="AG1167" s="813" t="s">
        <v>106</v>
      </c>
      <c r="AH1167" s="813" t="s">
        <v>106</v>
      </c>
      <c r="AI1167" s="813" t="s">
        <v>106</v>
      </c>
      <c r="AJ1167" s="813" t="s">
        <v>106</v>
      </c>
      <c r="AK1167" s="813" t="s">
        <v>106</v>
      </c>
      <c r="AL1167" s="813" t="s">
        <v>106</v>
      </c>
    </row>
    <row r="1168" spans="1:38" s="792" customFormat="1" ht="14.25" customHeight="1">
      <c r="A1168" s="989" t="s">
        <v>562</v>
      </c>
      <c r="B1168" s="791"/>
      <c r="C1168" s="791"/>
      <c r="D1168" s="791"/>
      <c r="E1168" s="791"/>
      <c r="F1168" s="790"/>
      <c r="G1168" s="790"/>
      <c r="H1168" s="790"/>
      <c r="I1168" s="790"/>
      <c r="J1168" s="790"/>
      <c r="K1168" s="790"/>
      <c r="L1168" s="790"/>
      <c r="M1168" s="790"/>
      <c r="N1168" s="790"/>
      <c r="O1168" s="790"/>
      <c r="P1168" s="790"/>
      <c r="Q1168" s="790"/>
      <c r="R1168" s="790"/>
      <c r="S1168" s="790"/>
      <c r="T1168" s="790"/>
      <c r="U1168" s="790"/>
      <c r="V1168" s="790"/>
      <c r="W1168" s="790"/>
      <c r="X1168" s="790"/>
      <c r="Y1168" s="790"/>
      <c r="Z1168" s="790"/>
      <c r="AA1168" s="790"/>
      <c r="AB1168" s="790"/>
      <c r="AC1168" s="790"/>
      <c r="AD1168" s="790"/>
      <c r="AE1168" s="790"/>
      <c r="AF1168" s="790"/>
      <c r="AG1168" s="790"/>
      <c r="AH1168" s="790"/>
      <c r="AI1168" s="790"/>
      <c r="AJ1168" s="790"/>
      <c r="AK1168" s="790"/>
      <c r="AL1168" s="790"/>
    </row>
    <row r="1169" spans="1:38" ht="12.6">
      <c r="A1169" s="990" t="s">
        <v>1268</v>
      </c>
      <c r="B1169" s="991" t="s">
        <v>1269</v>
      </c>
      <c r="C1169" s="991" t="s">
        <v>1058</v>
      </c>
      <c r="D1169" s="991" t="s">
        <v>129</v>
      </c>
      <c r="E1169" s="991"/>
      <c r="F1169" s="813" t="s">
        <v>106</v>
      </c>
      <c r="G1169" s="813" t="s">
        <v>106</v>
      </c>
      <c r="H1169" s="813" t="s">
        <v>106</v>
      </c>
      <c r="I1169" s="813" t="s">
        <v>106</v>
      </c>
      <c r="J1169" s="813" t="s">
        <v>106</v>
      </c>
      <c r="K1169" s="813" t="s">
        <v>106</v>
      </c>
      <c r="L1169" s="813" t="s">
        <v>106</v>
      </c>
      <c r="M1169" s="813" t="s">
        <v>106</v>
      </c>
      <c r="N1169" s="813" t="s">
        <v>106</v>
      </c>
      <c r="O1169" s="813" t="s">
        <v>106</v>
      </c>
      <c r="P1169" s="813" t="s">
        <v>106</v>
      </c>
      <c r="Q1169" s="813" t="s">
        <v>106</v>
      </c>
      <c r="R1169" s="813" t="s">
        <v>106</v>
      </c>
      <c r="S1169" s="813" t="s">
        <v>106</v>
      </c>
      <c r="T1169" s="813" t="s">
        <v>106</v>
      </c>
      <c r="U1169" s="813" t="s">
        <v>106</v>
      </c>
      <c r="V1169" s="813" t="s">
        <v>106</v>
      </c>
      <c r="W1169" s="813" t="s">
        <v>106</v>
      </c>
      <c r="X1169" s="813" t="s">
        <v>106</v>
      </c>
      <c r="Y1169" s="813" t="s">
        <v>106</v>
      </c>
      <c r="Z1169" s="813" t="s">
        <v>106</v>
      </c>
      <c r="AA1169" s="813" t="s">
        <v>106</v>
      </c>
      <c r="AB1169" s="813" t="s">
        <v>106</v>
      </c>
      <c r="AC1169" s="813" t="s">
        <v>106</v>
      </c>
      <c r="AD1169" s="813" t="s">
        <v>106</v>
      </c>
      <c r="AE1169" s="813" t="s">
        <v>106</v>
      </c>
      <c r="AF1169" s="813" t="s">
        <v>106</v>
      </c>
      <c r="AG1169" s="813" t="s">
        <v>106</v>
      </c>
      <c r="AH1169" s="813" t="s">
        <v>106</v>
      </c>
      <c r="AI1169" s="813" t="s">
        <v>106</v>
      </c>
      <c r="AJ1169" s="813" t="s">
        <v>106</v>
      </c>
      <c r="AK1169" s="813" t="s">
        <v>106</v>
      </c>
      <c r="AL1169" s="813" t="s">
        <v>106</v>
      </c>
    </row>
    <row r="1170" spans="1:38" ht="12.95" thickBot="1">
      <c r="A1170" s="993" t="s">
        <v>1270</v>
      </c>
      <c r="B1170" s="994" t="s">
        <v>1269</v>
      </c>
      <c r="C1170" s="994" t="s">
        <v>1062</v>
      </c>
      <c r="D1170" s="994" t="s">
        <v>129</v>
      </c>
      <c r="E1170" s="994"/>
      <c r="F1170" s="331" t="s">
        <v>106</v>
      </c>
      <c r="G1170" s="331" t="s">
        <v>106</v>
      </c>
      <c r="H1170" s="331" t="s">
        <v>106</v>
      </c>
      <c r="I1170" s="331" t="s">
        <v>106</v>
      </c>
      <c r="J1170" s="331" t="s">
        <v>106</v>
      </c>
      <c r="K1170" s="331" t="s">
        <v>106</v>
      </c>
      <c r="L1170" s="331" t="s">
        <v>106</v>
      </c>
      <c r="M1170" s="331" t="s">
        <v>106</v>
      </c>
      <c r="N1170" s="331" t="s">
        <v>106</v>
      </c>
      <c r="O1170" s="331" t="s">
        <v>106</v>
      </c>
      <c r="P1170" s="331" t="s">
        <v>106</v>
      </c>
      <c r="Q1170" s="331" t="s">
        <v>106</v>
      </c>
      <c r="R1170" s="331" t="s">
        <v>106</v>
      </c>
      <c r="S1170" s="331" t="s">
        <v>106</v>
      </c>
      <c r="T1170" s="331" t="s">
        <v>106</v>
      </c>
      <c r="U1170" s="331" t="s">
        <v>106</v>
      </c>
      <c r="V1170" s="331" t="s">
        <v>106</v>
      </c>
      <c r="W1170" s="331" t="s">
        <v>106</v>
      </c>
      <c r="X1170" s="331" t="s">
        <v>106</v>
      </c>
      <c r="Y1170" s="331" t="s">
        <v>106</v>
      </c>
      <c r="Z1170" s="331" t="s">
        <v>106</v>
      </c>
      <c r="AA1170" s="331" t="s">
        <v>106</v>
      </c>
      <c r="AB1170" s="331" t="s">
        <v>106</v>
      </c>
      <c r="AC1170" s="331" t="s">
        <v>106</v>
      </c>
      <c r="AD1170" s="331" t="s">
        <v>106</v>
      </c>
      <c r="AE1170" s="331" t="s">
        <v>106</v>
      </c>
      <c r="AF1170" s="331" t="s">
        <v>106</v>
      </c>
      <c r="AG1170" s="331" t="s">
        <v>106</v>
      </c>
      <c r="AH1170" s="331" t="s">
        <v>106</v>
      </c>
      <c r="AI1170" s="331" t="s">
        <v>106</v>
      </c>
      <c r="AJ1170" s="331" t="s">
        <v>106</v>
      </c>
      <c r="AK1170" s="331" t="s">
        <v>106</v>
      </c>
      <c r="AL1170" s="331" t="s">
        <v>106</v>
      </c>
    </row>
    <row r="1171" spans="1:38" s="797" customFormat="1" ht="12.95">
      <c r="A1171" s="796" t="s">
        <v>1271</v>
      </c>
      <c r="B1171" s="796"/>
      <c r="C1171" s="796"/>
      <c r="D1171" s="796"/>
      <c r="E1171" s="796"/>
      <c r="F1171" s="795"/>
      <c r="G1171" s="795"/>
      <c r="H1171" s="795"/>
      <c r="I1171" s="795"/>
      <c r="J1171" s="795"/>
      <c r="K1171" s="795"/>
      <c r="L1171" s="795"/>
      <c r="M1171" s="795"/>
      <c r="N1171" s="795"/>
      <c r="O1171" s="795"/>
      <c r="P1171" s="795"/>
      <c r="Q1171" s="795"/>
      <c r="R1171" s="795"/>
      <c r="S1171" s="795"/>
      <c r="T1171" s="795"/>
      <c r="U1171" s="795"/>
      <c r="V1171" s="795"/>
      <c r="W1171" s="795"/>
      <c r="X1171" s="795"/>
      <c r="Y1171" s="795"/>
      <c r="Z1171" s="795"/>
      <c r="AA1171" s="795"/>
      <c r="AB1171" s="795"/>
      <c r="AC1171" s="795"/>
      <c r="AD1171" s="795"/>
      <c r="AE1171" s="795"/>
      <c r="AF1171" s="795"/>
      <c r="AG1171" s="795"/>
      <c r="AH1171" s="795"/>
      <c r="AI1171" s="795"/>
      <c r="AJ1171" s="795"/>
      <c r="AK1171" s="795"/>
      <c r="AL1171" s="795"/>
    </row>
    <row r="1172" spans="1:38" s="792" customFormat="1" ht="14.25" customHeight="1">
      <c r="A1172" s="989" t="s">
        <v>569</v>
      </c>
      <c r="B1172" s="791"/>
      <c r="C1172" s="791"/>
      <c r="D1172" s="791"/>
      <c r="E1172" s="791"/>
      <c r="F1172" s="790"/>
      <c r="G1172" s="790"/>
      <c r="H1172" s="790"/>
      <c r="I1172" s="790"/>
      <c r="J1172" s="790"/>
      <c r="K1172" s="790"/>
      <c r="L1172" s="790"/>
      <c r="M1172" s="790"/>
      <c r="N1172" s="790"/>
      <c r="O1172" s="790"/>
      <c r="P1172" s="790"/>
      <c r="Q1172" s="790"/>
      <c r="R1172" s="790"/>
      <c r="S1172" s="790"/>
      <c r="T1172" s="790"/>
      <c r="U1172" s="790"/>
      <c r="V1172" s="790"/>
      <c r="W1172" s="790"/>
      <c r="X1172" s="790"/>
      <c r="Y1172" s="790"/>
      <c r="Z1172" s="790"/>
      <c r="AA1172" s="790"/>
      <c r="AB1172" s="790"/>
      <c r="AC1172" s="790"/>
      <c r="AD1172" s="790"/>
      <c r="AE1172" s="790"/>
      <c r="AF1172" s="790"/>
      <c r="AG1172" s="790"/>
      <c r="AH1172" s="790"/>
      <c r="AI1172" s="790"/>
      <c r="AJ1172" s="790"/>
      <c r="AK1172" s="790"/>
      <c r="AL1172" s="790"/>
    </row>
    <row r="1173" spans="1:38" ht="12.6">
      <c r="A1173" s="990" t="s">
        <v>1272</v>
      </c>
      <c r="B1173" s="991" t="s">
        <v>1273</v>
      </c>
      <c r="C1173" s="991" t="s">
        <v>1058</v>
      </c>
      <c r="D1173" s="991" t="s">
        <v>129</v>
      </c>
      <c r="E1173" s="991"/>
      <c r="F1173" s="813" t="s">
        <v>1059</v>
      </c>
      <c r="G1173" s="813" t="s">
        <v>1059</v>
      </c>
      <c r="H1173" s="813" t="s">
        <v>1059</v>
      </c>
      <c r="I1173" s="813" t="s">
        <v>1059</v>
      </c>
      <c r="J1173" s="813" t="s">
        <v>1059</v>
      </c>
      <c r="K1173" s="813" t="s">
        <v>1059</v>
      </c>
      <c r="L1173" s="813" t="s">
        <v>1059</v>
      </c>
      <c r="M1173" s="813" t="s">
        <v>1059</v>
      </c>
      <c r="N1173" s="813" t="s">
        <v>1059</v>
      </c>
      <c r="O1173" s="813" t="s">
        <v>1059</v>
      </c>
      <c r="P1173" s="813" t="s">
        <v>1059</v>
      </c>
      <c r="Q1173" s="813" t="s">
        <v>1059</v>
      </c>
      <c r="R1173" s="813" t="s">
        <v>1059</v>
      </c>
      <c r="S1173" s="813" t="s">
        <v>1059</v>
      </c>
      <c r="T1173" s="813" t="s">
        <v>1059</v>
      </c>
      <c r="U1173" s="813" t="s">
        <v>1059</v>
      </c>
      <c r="V1173" s="813" t="s">
        <v>1059</v>
      </c>
      <c r="W1173" s="813" t="s">
        <v>1059</v>
      </c>
      <c r="X1173" s="813" t="s">
        <v>1059</v>
      </c>
      <c r="Y1173" s="813" t="s">
        <v>1059</v>
      </c>
      <c r="Z1173" s="813" t="s">
        <v>1059</v>
      </c>
      <c r="AA1173" s="813" t="s">
        <v>1059</v>
      </c>
      <c r="AB1173" s="813" t="s">
        <v>1059</v>
      </c>
      <c r="AC1173" s="813" t="s">
        <v>1059</v>
      </c>
      <c r="AD1173" s="813" t="s">
        <v>1059</v>
      </c>
      <c r="AE1173" s="813" t="s">
        <v>1059</v>
      </c>
      <c r="AF1173" s="813" t="s">
        <v>1059</v>
      </c>
      <c r="AG1173" s="813" t="s">
        <v>1059</v>
      </c>
      <c r="AH1173" s="813" t="s">
        <v>1059</v>
      </c>
      <c r="AI1173" s="813" t="s">
        <v>1059</v>
      </c>
      <c r="AJ1173" s="813" t="s">
        <v>1059</v>
      </c>
      <c r="AK1173" s="813" t="s">
        <v>1059</v>
      </c>
      <c r="AL1173" s="813" t="s">
        <v>1060</v>
      </c>
    </row>
    <row r="1174" spans="1:38" ht="12.6">
      <c r="A1174" s="990" t="s">
        <v>1274</v>
      </c>
      <c r="B1174" s="991" t="s">
        <v>1273</v>
      </c>
      <c r="C1174" s="991" t="s">
        <v>1062</v>
      </c>
      <c r="D1174" s="991" t="s">
        <v>129</v>
      </c>
      <c r="E1174" s="991"/>
      <c r="F1174" s="813" t="s">
        <v>1063</v>
      </c>
      <c r="G1174" s="813" t="s">
        <v>1063</v>
      </c>
      <c r="H1174" s="813" t="s">
        <v>1063</v>
      </c>
      <c r="I1174" s="813" t="s">
        <v>1063</v>
      </c>
      <c r="J1174" s="813" t="s">
        <v>1063</v>
      </c>
      <c r="K1174" s="813" t="s">
        <v>1063</v>
      </c>
      <c r="L1174" s="813" t="s">
        <v>1063</v>
      </c>
      <c r="M1174" s="813" t="s">
        <v>1063</v>
      </c>
      <c r="N1174" s="813" t="s">
        <v>1063</v>
      </c>
      <c r="O1174" s="813" t="s">
        <v>1063</v>
      </c>
      <c r="P1174" s="813" t="s">
        <v>1063</v>
      </c>
      <c r="Q1174" s="813" t="s">
        <v>1063</v>
      </c>
      <c r="R1174" s="813" t="s">
        <v>1063</v>
      </c>
      <c r="S1174" s="813" t="s">
        <v>1063</v>
      </c>
      <c r="T1174" s="813" t="s">
        <v>1063</v>
      </c>
      <c r="U1174" s="813" t="s">
        <v>1063</v>
      </c>
      <c r="V1174" s="813" t="s">
        <v>1063</v>
      </c>
      <c r="W1174" s="813" t="s">
        <v>1063</v>
      </c>
      <c r="X1174" s="813" t="s">
        <v>1063</v>
      </c>
      <c r="Y1174" s="813" t="s">
        <v>1063</v>
      </c>
      <c r="Z1174" s="813" t="s">
        <v>1063</v>
      </c>
      <c r="AA1174" s="813" t="s">
        <v>1063</v>
      </c>
      <c r="AB1174" s="813" t="s">
        <v>1063</v>
      </c>
      <c r="AC1174" s="813" t="s">
        <v>1063</v>
      </c>
      <c r="AD1174" s="813" t="s">
        <v>1063</v>
      </c>
      <c r="AE1174" s="813" t="s">
        <v>1063</v>
      </c>
      <c r="AF1174" s="813" t="s">
        <v>1063</v>
      </c>
      <c r="AG1174" s="813" t="s">
        <v>1063</v>
      </c>
      <c r="AH1174" s="813" t="s">
        <v>1063</v>
      </c>
      <c r="AI1174" s="813" t="s">
        <v>1063</v>
      </c>
      <c r="AJ1174" s="813" t="s">
        <v>1063</v>
      </c>
      <c r="AK1174" s="813" t="s">
        <v>1063</v>
      </c>
      <c r="AL1174" s="813" t="s">
        <v>1063</v>
      </c>
    </row>
    <row r="1175" spans="1:38" s="792" customFormat="1" ht="14.25" customHeight="1">
      <c r="A1175" s="989" t="s">
        <v>575</v>
      </c>
      <c r="B1175" s="791"/>
      <c r="C1175" s="791"/>
      <c r="D1175" s="791"/>
      <c r="E1175" s="791"/>
      <c r="F1175" s="790"/>
      <c r="G1175" s="790"/>
      <c r="H1175" s="790"/>
      <c r="I1175" s="790"/>
      <c r="J1175" s="790"/>
      <c r="K1175" s="790"/>
      <c r="L1175" s="790"/>
      <c r="M1175" s="790"/>
      <c r="N1175" s="790"/>
      <c r="O1175" s="790"/>
      <c r="P1175" s="790"/>
      <c r="Q1175" s="790"/>
      <c r="R1175" s="790"/>
      <c r="S1175" s="790"/>
      <c r="T1175" s="790"/>
      <c r="U1175" s="790"/>
      <c r="V1175" s="790"/>
      <c r="W1175" s="790"/>
      <c r="X1175" s="790"/>
      <c r="Y1175" s="790"/>
      <c r="Z1175" s="790"/>
      <c r="AA1175" s="790"/>
      <c r="AB1175" s="790"/>
      <c r="AC1175" s="790"/>
      <c r="AD1175" s="790"/>
      <c r="AE1175" s="790"/>
      <c r="AF1175" s="790"/>
      <c r="AG1175" s="790"/>
      <c r="AH1175" s="790"/>
      <c r="AI1175" s="790"/>
      <c r="AJ1175" s="790"/>
      <c r="AK1175" s="790"/>
      <c r="AL1175" s="790"/>
    </row>
    <row r="1176" spans="1:38" ht="12.6">
      <c r="A1176" s="990" t="s">
        <v>1275</v>
      </c>
      <c r="B1176" s="991" t="s">
        <v>1276</v>
      </c>
      <c r="C1176" s="991" t="s">
        <v>1058</v>
      </c>
      <c r="D1176" s="991" t="s">
        <v>129</v>
      </c>
      <c r="E1176" s="991"/>
      <c r="F1176" s="813" t="s">
        <v>1059</v>
      </c>
      <c r="G1176" s="813" t="s">
        <v>1059</v>
      </c>
      <c r="H1176" s="813" t="s">
        <v>1059</v>
      </c>
      <c r="I1176" s="813" t="s">
        <v>1059</v>
      </c>
      <c r="J1176" s="813" t="s">
        <v>1059</v>
      </c>
      <c r="K1176" s="813" t="s">
        <v>1059</v>
      </c>
      <c r="L1176" s="813" t="s">
        <v>1059</v>
      </c>
      <c r="M1176" s="813" t="s">
        <v>1059</v>
      </c>
      <c r="N1176" s="813" t="s">
        <v>1059</v>
      </c>
      <c r="O1176" s="813" t="s">
        <v>1059</v>
      </c>
      <c r="P1176" s="813" t="s">
        <v>1059</v>
      </c>
      <c r="Q1176" s="813" t="s">
        <v>1059</v>
      </c>
      <c r="R1176" s="813" t="s">
        <v>1059</v>
      </c>
      <c r="S1176" s="813" t="s">
        <v>1059</v>
      </c>
      <c r="T1176" s="813" t="s">
        <v>1059</v>
      </c>
      <c r="U1176" s="813" t="s">
        <v>1059</v>
      </c>
      <c r="V1176" s="813" t="s">
        <v>1059</v>
      </c>
      <c r="W1176" s="813" t="s">
        <v>1059</v>
      </c>
      <c r="X1176" s="813" t="s">
        <v>1059</v>
      </c>
      <c r="Y1176" s="813" t="s">
        <v>1059</v>
      </c>
      <c r="Z1176" s="813" t="s">
        <v>1059</v>
      </c>
      <c r="AA1176" s="813" t="s">
        <v>1059</v>
      </c>
      <c r="AB1176" s="813" t="s">
        <v>1059</v>
      </c>
      <c r="AC1176" s="813" t="s">
        <v>1059</v>
      </c>
      <c r="AD1176" s="813" t="s">
        <v>1059</v>
      </c>
      <c r="AE1176" s="813" t="s">
        <v>1059</v>
      </c>
      <c r="AF1176" s="813" t="s">
        <v>1059</v>
      </c>
      <c r="AG1176" s="813" t="s">
        <v>1059</v>
      </c>
      <c r="AH1176" s="813" t="s">
        <v>1059</v>
      </c>
      <c r="AI1176" s="813" t="s">
        <v>1059</v>
      </c>
      <c r="AJ1176" s="813" t="s">
        <v>1059</v>
      </c>
      <c r="AK1176" s="813" t="s">
        <v>1059</v>
      </c>
      <c r="AL1176" s="813" t="s">
        <v>1060</v>
      </c>
    </row>
    <row r="1177" spans="1:38" ht="12.6">
      <c r="A1177" s="990" t="s">
        <v>1277</v>
      </c>
      <c r="B1177" s="991" t="s">
        <v>1276</v>
      </c>
      <c r="C1177" s="991" t="s">
        <v>1062</v>
      </c>
      <c r="D1177" s="991" t="s">
        <v>129</v>
      </c>
      <c r="E1177" s="991"/>
      <c r="F1177" s="813" t="s">
        <v>1063</v>
      </c>
      <c r="G1177" s="813" t="s">
        <v>1063</v>
      </c>
      <c r="H1177" s="813" t="s">
        <v>1063</v>
      </c>
      <c r="I1177" s="813" t="s">
        <v>1063</v>
      </c>
      <c r="J1177" s="813" t="s">
        <v>1063</v>
      </c>
      <c r="K1177" s="813" t="s">
        <v>1063</v>
      </c>
      <c r="L1177" s="813" t="s">
        <v>1063</v>
      </c>
      <c r="M1177" s="813" t="s">
        <v>1063</v>
      </c>
      <c r="N1177" s="813" t="s">
        <v>1063</v>
      </c>
      <c r="O1177" s="813" t="s">
        <v>1063</v>
      </c>
      <c r="P1177" s="813" t="s">
        <v>1063</v>
      </c>
      <c r="Q1177" s="813" t="s">
        <v>1063</v>
      </c>
      <c r="R1177" s="813" t="s">
        <v>1063</v>
      </c>
      <c r="S1177" s="813" t="s">
        <v>1063</v>
      </c>
      <c r="T1177" s="813" t="s">
        <v>1063</v>
      </c>
      <c r="U1177" s="813" t="s">
        <v>1063</v>
      </c>
      <c r="V1177" s="813" t="s">
        <v>1063</v>
      </c>
      <c r="W1177" s="813" t="s">
        <v>1063</v>
      </c>
      <c r="X1177" s="813" t="s">
        <v>1063</v>
      </c>
      <c r="Y1177" s="813" t="s">
        <v>1063</v>
      </c>
      <c r="Z1177" s="813" t="s">
        <v>1063</v>
      </c>
      <c r="AA1177" s="813" t="s">
        <v>1063</v>
      </c>
      <c r="AB1177" s="813" t="s">
        <v>1063</v>
      </c>
      <c r="AC1177" s="813" t="s">
        <v>1063</v>
      </c>
      <c r="AD1177" s="813" t="s">
        <v>1063</v>
      </c>
      <c r="AE1177" s="813" t="s">
        <v>1063</v>
      </c>
      <c r="AF1177" s="813" t="s">
        <v>1063</v>
      </c>
      <c r="AG1177" s="813" t="s">
        <v>1063</v>
      </c>
      <c r="AH1177" s="813" t="s">
        <v>1063</v>
      </c>
      <c r="AI1177" s="813" t="s">
        <v>1063</v>
      </c>
      <c r="AJ1177" s="813" t="s">
        <v>1063</v>
      </c>
      <c r="AK1177" s="813" t="s">
        <v>1063</v>
      </c>
      <c r="AL1177" s="813" t="s">
        <v>1063</v>
      </c>
    </row>
    <row r="1178" spans="1:38" s="792" customFormat="1" ht="14.25" customHeight="1">
      <c r="A1178" s="989" t="s">
        <v>581</v>
      </c>
      <c r="B1178" s="791"/>
      <c r="C1178" s="791"/>
      <c r="D1178" s="791"/>
      <c r="E1178" s="791"/>
      <c r="F1178" s="790"/>
      <c r="G1178" s="790"/>
      <c r="H1178" s="790"/>
      <c r="I1178" s="790"/>
      <c r="J1178" s="790"/>
      <c r="K1178" s="790"/>
      <c r="L1178" s="790"/>
      <c r="M1178" s="790"/>
      <c r="N1178" s="790"/>
      <c r="O1178" s="790"/>
      <c r="P1178" s="790"/>
      <c r="Q1178" s="790"/>
      <c r="R1178" s="790"/>
      <c r="S1178" s="790"/>
      <c r="T1178" s="790"/>
      <c r="U1178" s="790"/>
      <c r="V1178" s="790"/>
      <c r="W1178" s="790"/>
      <c r="X1178" s="790"/>
      <c r="Y1178" s="790"/>
      <c r="Z1178" s="790"/>
      <c r="AA1178" s="790"/>
      <c r="AB1178" s="790"/>
      <c r="AC1178" s="790"/>
      <c r="AD1178" s="790"/>
      <c r="AE1178" s="790"/>
      <c r="AF1178" s="790"/>
      <c r="AG1178" s="790"/>
      <c r="AH1178" s="790"/>
      <c r="AI1178" s="790"/>
      <c r="AJ1178" s="790"/>
      <c r="AK1178" s="790"/>
      <c r="AL1178" s="790"/>
    </row>
    <row r="1179" spans="1:38" ht="12.6">
      <c r="A1179" s="990" t="s">
        <v>1278</v>
      </c>
      <c r="B1179" s="991" t="s">
        <v>1279</v>
      </c>
      <c r="C1179" s="991" t="s">
        <v>1058</v>
      </c>
      <c r="D1179" s="991" t="s">
        <v>129</v>
      </c>
      <c r="E1179" s="991"/>
      <c r="F1179" s="813" t="s">
        <v>1059</v>
      </c>
      <c r="G1179" s="813" t="s">
        <v>1059</v>
      </c>
      <c r="H1179" s="813" t="s">
        <v>1059</v>
      </c>
      <c r="I1179" s="813" t="s">
        <v>1059</v>
      </c>
      <c r="J1179" s="813" t="s">
        <v>1059</v>
      </c>
      <c r="K1179" s="813" t="s">
        <v>1059</v>
      </c>
      <c r="L1179" s="813" t="s">
        <v>1059</v>
      </c>
      <c r="M1179" s="813" t="s">
        <v>1059</v>
      </c>
      <c r="N1179" s="813" t="s">
        <v>1059</v>
      </c>
      <c r="O1179" s="813" t="s">
        <v>1059</v>
      </c>
      <c r="P1179" s="813" t="s">
        <v>1059</v>
      </c>
      <c r="Q1179" s="813" t="s">
        <v>1059</v>
      </c>
      <c r="R1179" s="813" t="s">
        <v>1059</v>
      </c>
      <c r="S1179" s="813" t="s">
        <v>1059</v>
      </c>
      <c r="T1179" s="813" t="s">
        <v>1059</v>
      </c>
      <c r="U1179" s="813" t="s">
        <v>1059</v>
      </c>
      <c r="V1179" s="813" t="s">
        <v>1059</v>
      </c>
      <c r="W1179" s="813" t="s">
        <v>1059</v>
      </c>
      <c r="X1179" s="813" t="s">
        <v>1059</v>
      </c>
      <c r="Y1179" s="813" t="s">
        <v>1059</v>
      </c>
      <c r="Z1179" s="813" t="s">
        <v>1059</v>
      </c>
      <c r="AA1179" s="813" t="s">
        <v>1059</v>
      </c>
      <c r="AB1179" s="813" t="s">
        <v>1059</v>
      </c>
      <c r="AC1179" s="813" t="s">
        <v>1059</v>
      </c>
      <c r="AD1179" s="813" t="s">
        <v>1059</v>
      </c>
      <c r="AE1179" s="813" t="s">
        <v>1059</v>
      </c>
      <c r="AF1179" s="813" t="s">
        <v>1059</v>
      </c>
      <c r="AG1179" s="813" t="s">
        <v>1059</v>
      </c>
      <c r="AH1179" s="813" t="s">
        <v>1059</v>
      </c>
      <c r="AI1179" s="813" t="s">
        <v>1059</v>
      </c>
      <c r="AJ1179" s="813" t="s">
        <v>1059</v>
      </c>
      <c r="AK1179" s="813" t="s">
        <v>1059</v>
      </c>
      <c r="AL1179" s="813" t="s">
        <v>1060</v>
      </c>
    </row>
    <row r="1180" spans="1:38" ht="12.6">
      <c r="A1180" s="990" t="s">
        <v>1280</v>
      </c>
      <c r="B1180" s="991" t="s">
        <v>1279</v>
      </c>
      <c r="C1180" s="991" t="s">
        <v>1062</v>
      </c>
      <c r="D1180" s="991" t="s">
        <v>129</v>
      </c>
      <c r="E1180" s="991"/>
      <c r="F1180" s="813" t="s">
        <v>1063</v>
      </c>
      <c r="G1180" s="813" t="s">
        <v>1063</v>
      </c>
      <c r="H1180" s="813" t="s">
        <v>1063</v>
      </c>
      <c r="I1180" s="813" t="s">
        <v>1063</v>
      </c>
      <c r="J1180" s="813" t="s">
        <v>1063</v>
      </c>
      <c r="K1180" s="813" t="s">
        <v>1063</v>
      </c>
      <c r="L1180" s="813" t="s">
        <v>1063</v>
      </c>
      <c r="M1180" s="813" t="s">
        <v>1063</v>
      </c>
      <c r="N1180" s="813" t="s">
        <v>1063</v>
      </c>
      <c r="O1180" s="813" t="s">
        <v>1063</v>
      </c>
      <c r="P1180" s="813" t="s">
        <v>1063</v>
      </c>
      <c r="Q1180" s="813" t="s">
        <v>1063</v>
      </c>
      <c r="R1180" s="813" t="s">
        <v>1063</v>
      </c>
      <c r="S1180" s="813" t="s">
        <v>1063</v>
      </c>
      <c r="T1180" s="813" t="s">
        <v>1063</v>
      </c>
      <c r="U1180" s="813" t="s">
        <v>1063</v>
      </c>
      <c r="V1180" s="813" t="s">
        <v>1063</v>
      </c>
      <c r="W1180" s="813" t="s">
        <v>1063</v>
      </c>
      <c r="X1180" s="813" t="s">
        <v>1063</v>
      </c>
      <c r="Y1180" s="813" t="s">
        <v>1063</v>
      </c>
      <c r="Z1180" s="813" t="s">
        <v>1063</v>
      </c>
      <c r="AA1180" s="813" t="s">
        <v>1063</v>
      </c>
      <c r="AB1180" s="813" t="s">
        <v>1063</v>
      </c>
      <c r="AC1180" s="813" t="s">
        <v>1063</v>
      </c>
      <c r="AD1180" s="813" t="s">
        <v>1063</v>
      </c>
      <c r="AE1180" s="813" t="s">
        <v>1063</v>
      </c>
      <c r="AF1180" s="813" t="s">
        <v>1063</v>
      </c>
      <c r="AG1180" s="813" t="s">
        <v>1063</v>
      </c>
      <c r="AH1180" s="813" t="s">
        <v>1063</v>
      </c>
      <c r="AI1180" s="813" t="s">
        <v>1063</v>
      </c>
      <c r="AJ1180" s="813" t="s">
        <v>1063</v>
      </c>
      <c r="AK1180" s="813" t="s">
        <v>1063</v>
      </c>
      <c r="AL1180" s="813" t="s">
        <v>1063</v>
      </c>
    </row>
    <row r="1181" spans="1:38" s="792" customFormat="1" ht="14.25" customHeight="1">
      <c r="A1181" s="989" t="s">
        <v>587</v>
      </c>
      <c r="B1181" s="791"/>
      <c r="C1181" s="791"/>
      <c r="D1181" s="791"/>
      <c r="E1181" s="791"/>
      <c r="F1181" s="790"/>
      <c r="G1181" s="790"/>
      <c r="H1181" s="790"/>
      <c r="I1181" s="790"/>
      <c r="J1181" s="790"/>
      <c r="K1181" s="790"/>
      <c r="L1181" s="790"/>
      <c r="M1181" s="790"/>
      <c r="N1181" s="790"/>
      <c r="O1181" s="790"/>
      <c r="P1181" s="790"/>
      <c r="Q1181" s="790"/>
      <c r="R1181" s="790"/>
      <c r="S1181" s="790"/>
      <c r="T1181" s="790"/>
      <c r="U1181" s="790"/>
      <c r="V1181" s="790"/>
      <c r="W1181" s="790"/>
      <c r="X1181" s="790"/>
      <c r="Y1181" s="790"/>
      <c r="Z1181" s="790"/>
      <c r="AA1181" s="790"/>
      <c r="AB1181" s="790"/>
      <c r="AC1181" s="790"/>
      <c r="AD1181" s="790"/>
      <c r="AE1181" s="790"/>
      <c r="AF1181" s="790"/>
      <c r="AG1181" s="790"/>
      <c r="AH1181" s="790"/>
      <c r="AI1181" s="790"/>
      <c r="AJ1181" s="790"/>
      <c r="AK1181" s="790"/>
      <c r="AL1181" s="790"/>
    </row>
    <row r="1182" spans="1:38" ht="12.6">
      <c r="A1182" s="990" t="s">
        <v>1281</v>
      </c>
      <c r="B1182" s="991" t="s">
        <v>1282</v>
      </c>
      <c r="C1182" s="991" t="s">
        <v>1058</v>
      </c>
      <c r="D1182" s="991" t="s">
        <v>129</v>
      </c>
      <c r="E1182" s="991"/>
      <c r="F1182" s="813" t="s">
        <v>106</v>
      </c>
      <c r="G1182" s="813" t="s">
        <v>106</v>
      </c>
      <c r="H1182" s="813" t="s">
        <v>106</v>
      </c>
      <c r="I1182" s="813" t="s">
        <v>106</v>
      </c>
      <c r="J1182" s="813" t="s">
        <v>106</v>
      </c>
      <c r="K1182" s="813" t="s">
        <v>106</v>
      </c>
      <c r="L1182" s="813" t="s">
        <v>106</v>
      </c>
      <c r="M1182" s="813" t="s">
        <v>106</v>
      </c>
      <c r="N1182" s="813" t="s">
        <v>106</v>
      </c>
      <c r="O1182" s="813" t="s">
        <v>106</v>
      </c>
      <c r="P1182" s="813" t="s">
        <v>106</v>
      </c>
      <c r="Q1182" s="813" t="s">
        <v>106</v>
      </c>
      <c r="R1182" s="813" t="s">
        <v>106</v>
      </c>
      <c r="S1182" s="813" t="s">
        <v>106</v>
      </c>
      <c r="T1182" s="813" t="s">
        <v>106</v>
      </c>
      <c r="U1182" s="813" t="s">
        <v>106</v>
      </c>
      <c r="V1182" s="813" t="s">
        <v>106</v>
      </c>
      <c r="W1182" s="813" t="s">
        <v>106</v>
      </c>
      <c r="X1182" s="813" t="s">
        <v>106</v>
      </c>
      <c r="Y1182" s="813" t="s">
        <v>106</v>
      </c>
      <c r="Z1182" s="813" t="s">
        <v>106</v>
      </c>
      <c r="AA1182" s="813" t="s">
        <v>106</v>
      </c>
      <c r="AB1182" s="813" t="s">
        <v>106</v>
      </c>
      <c r="AC1182" s="813" t="s">
        <v>106</v>
      </c>
      <c r="AD1182" s="813" t="s">
        <v>106</v>
      </c>
      <c r="AE1182" s="813" t="s">
        <v>106</v>
      </c>
      <c r="AF1182" s="813" t="s">
        <v>106</v>
      </c>
      <c r="AG1182" s="813" t="s">
        <v>106</v>
      </c>
      <c r="AH1182" s="813" t="s">
        <v>106</v>
      </c>
      <c r="AI1182" s="813" t="s">
        <v>106</v>
      </c>
      <c r="AJ1182" s="813" t="s">
        <v>106</v>
      </c>
      <c r="AK1182" s="813" t="s">
        <v>106</v>
      </c>
      <c r="AL1182" s="813" t="s">
        <v>106</v>
      </c>
    </row>
    <row r="1183" spans="1:38" ht="12.6">
      <c r="A1183" s="990" t="s">
        <v>1283</v>
      </c>
      <c r="B1183" s="991" t="s">
        <v>1282</v>
      </c>
      <c r="C1183" s="991" t="s">
        <v>1062</v>
      </c>
      <c r="D1183" s="991" t="s">
        <v>129</v>
      </c>
      <c r="E1183" s="991"/>
      <c r="F1183" s="813" t="s">
        <v>106</v>
      </c>
      <c r="G1183" s="813" t="s">
        <v>106</v>
      </c>
      <c r="H1183" s="813" t="s">
        <v>106</v>
      </c>
      <c r="I1183" s="813" t="s">
        <v>106</v>
      </c>
      <c r="J1183" s="813" t="s">
        <v>106</v>
      </c>
      <c r="K1183" s="813" t="s">
        <v>106</v>
      </c>
      <c r="L1183" s="813" t="s">
        <v>106</v>
      </c>
      <c r="M1183" s="813" t="s">
        <v>106</v>
      </c>
      <c r="N1183" s="813" t="s">
        <v>106</v>
      </c>
      <c r="O1183" s="813" t="s">
        <v>106</v>
      </c>
      <c r="P1183" s="813" t="s">
        <v>106</v>
      </c>
      <c r="Q1183" s="813" t="s">
        <v>106</v>
      </c>
      <c r="R1183" s="813" t="s">
        <v>106</v>
      </c>
      <c r="S1183" s="813" t="s">
        <v>106</v>
      </c>
      <c r="T1183" s="813" t="s">
        <v>106</v>
      </c>
      <c r="U1183" s="813" t="s">
        <v>106</v>
      </c>
      <c r="V1183" s="813" t="s">
        <v>106</v>
      </c>
      <c r="W1183" s="813" t="s">
        <v>106</v>
      </c>
      <c r="X1183" s="813" t="s">
        <v>106</v>
      </c>
      <c r="Y1183" s="813" t="s">
        <v>106</v>
      </c>
      <c r="Z1183" s="813" t="s">
        <v>106</v>
      </c>
      <c r="AA1183" s="813" t="s">
        <v>106</v>
      </c>
      <c r="AB1183" s="813" t="s">
        <v>106</v>
      </c>
      <c r="AC1183" s="813" t="s">
        <v>106</v>
      </c>
      <c r="AD1183" s="813" t="s">
        <v>106</v>
      </c>
      <c r="AE1183" s="813" t="s">
        <v>106</v>
      </c>
      <c r="AF1183" s="813" t="s">
        <v>106</v>
      </c>
      <c r="AG1183" s="813" t="s">
        <v>106</v>
      </c>
      <c r="AH1183" s="813" t="s">
        <v>106</v>
      </c>
      <c r="AI1183" s="813" t="s">
        <v>106</v>
      </c>
      <c r="AJ1183" s="813" t="s">
        <v>106</v>
      </c>
      <c r="AK1183" s="813" t="s">
        <v>106</v>
      </c>
      <c r="AL1183" s="813" t="s">
        <v>106</v>
      </c>
    </row>
    <row r="1184" spans="1:38" s="792" customFormat="1" ht="14.25" customHeight="1">
      <c r="A1184" s="989" t="s">
        <v>593</v>
      </c>
      <c r="B1184" s="791"/>
      <c r="C1184" s="791"/>
      <c r="D1184" s="791"/>
      <c r="E1184" s="791"/>
      <c r="F1184" s="790"/>
      <c r="G1184" s="790"/>
      <c r="H1184" s="790"/>
      <c r="I1184" s="790"/>
      <c r="J1184" s="790"/>
      <c r="K1184" s="790"/>
      <c r="L1184" s="790"/>
      <c r="M1184" s="790"/>
      <c r="N1184" s="790"/>
      <c r="O1184" s="790"/>
      <c r="P1184" s="790"/>
      <c r="Q1184" s="790"/>
      <c r="R1184" s="790"/>
      <c r="S1184" s="790"/>
      <c r="T1184" s="790"/>
      <c r="U1184" s="790"/>
      <c r="V1184" s="790"/>
      <c r="W1184" s="790"/>
      <c r="X1184" s="790"/>
      <c r="Y1184" s="790"/>
      <c r="Z1184" s="790"/>
      <c r="AA1184" s="790"/>
      <c r="AB1184" s="790"/>
      <c r="AC1184" s="790"/>
      <c r="AD1184" s="790"/>
      <c r="AE1184" s="790"/>
      <c r="AF1184" s="790"/>
      <c r="AG1184" s="790"/>
      <c r="AH1184" s="790"/>
      <c r="AI1184" s="790"/>
      <c r="AJ1184" s="790"/>
      <c r="AK1184" s="790"/>
      <c r="AL1184" s="790"/>
    </row>
    <row r="1185" spans="1:38" ht="12.6">
      <c r="A1185" s="990" t="s">
        <v>1284</v>
      </c>
      <c r="B1185" s="991" t="s">
        <v>1285</v>
      </c>
      <c r="C1185" s="991" t="s">
        <v>1058</v>
      </c>
      <c r="D1185" s="991" t="s">
        <v>129</v>
      </c>
      <c r="E1185" s="991"/>
      <c r="F1185" s="813" t="s">
        <v>106</v>
      </c>
      <c r="G1185" s="813" t="s">
        <v>106</v>
      </c>
      <c r="H1185" s="813" t="s">
        <v>106</v>
      </c>
      <c r="I1185" s="813" t="s">
        <v>106</v>
      </c>
      <c r="J1185" s="813" t="s">
        <v>106</v>
      </c>
      <c r="K1185" s="813" t="s">
        <v>106</v>
      </c>
      <c r="L1185" s="813" t="s">
        <v>106</v>
      </c>
      <c r="M1185" s="813" t="s">
        <v>106</v>
      </c>
      <c r="N1185" s="813" t="s">
        <v>106</v>
      </c>
      <c r="O1185" s="813" t="s">
        <v>106</v>
      </c>
      <c r="P1185" s="813" t="s">
        <v>106</v>
      </c>
      <c r="Q1185" s="813" t="s">
        <v>106</v>
      </c>
      <c r="R1185" s="813" t="s">
        <v>106</v>
      </c>
      <c r="S1185" s="813" t="s">
        <v>106</v>
      </c>
      <c r="T1185" s="813" t="s">
        <v>106</v>
      </c>
      <c r="U1185" s="813" t="s">
        <v>106</v>
      </c>
      <c r="V1185" s="813" t="s">
        <v>106</v>
      </c>
      <c r="W1185" s="813" t="s">
        <v>106</v>
      </c>
      <c r="X1185" s="813" t="s">
        <v>106</v>
      </c>
      <c r="Y1185" s="813" t="s">
        <v>106</v>
      </c>
      <c r="Z1185" s="813" t="s">
        <v>106</v>
      </c>
      <c r="AA1185" s="813" t="s">
        <v>106</v>
      </c>
      <c r="AB1185" s="813" t="s">
        <v>106</v>
      </c>
      <c r="AC1185" s="813" t="s">
        <v>106</v>
      </c>
      <c r="AD1185" s="813" t="s">
        <v>106</v>
      </c>
      <c r="AE1185" s="813" t="s">
        <v>106</v>
      </c>
      <c r="AF1185" s="813" t="s">
        <v>106</v>
      </c>
      <c r="AG1185" s="813" t="s">
        <v>106</v>
      </c>
      <c r="AH1185" s="813" t="s">
        <v>106</v>
      </c>
      <c r="AI1185" s="813" t="s">
        <v>106</v>
      </c>
      <c r="AJ1185" s="813" t="s">
        <v>106</v>
      </c>
      <c r="AK1185" s="813" t="s">
        <v>106</v>
      </c>
      <c r="AL1185" s="813" t="s">
        <v>106</v>
      </c>
    </row>
    <row r="1186" spans="1:38" ht="12.95" thickBot="1">
      <c r="A1186" s="993" t="s">
        <v>1286</v>
      </c>
      <c r="B1186" s="994" t="s">
        <v>1285</v>
      </c>
      <c r="C1186" s="994" t="s">
        <v>1062</v>
      </c>
      <c r="D1186" s="994" t="s">
        <v>129</v>
      </c>
      <c r="E1186" s="994"/>
      <c r="F1186" s="331" t="s">
        <v>106</v>
      </c>
      <c r="G1186" s="331" t="s">
        <v>106</v>
      </c>
      <c r="H1186" s="331" t="s">
        <v>106</v>
      </c>
      <c r="I1186" s="331" t="s">
        <v>106</v>
      </c>
      <c r="J1186" s="331" t="s">
        <v>106</v>
      </c>
      <c r="K1186" s="331" t="s">
        <v>106</v>
      </c>
      <c r="L1186" s="331" t="s">
        <v>106</v>
      </c>
      <c r="M1186" s="331" t="s">
        <v>106</v>
      </c>
      <c r="N1186" s="331" t="s">
        <v>106</v>
      </c>
      <c r="O1186" s="331" t="s">
        <v>106</v>
      </c>
      <c r="P1186" s="331" t="s">
        <v>106</v>
      </c>
      <c r="Q1186" s="331" t="s">
        <v>106</v>
      </c>
      <c r="R1186" s="331" t="s">
        <v>106</v>
      </c>
      <c r="S1186" s="331" t="s">
        <v>106</v>
      </c>
      <c r="T1186" s="331" t="s">
        <v>106</v>
      </c>
      <c r="U1186" s="331" t="s">
        <v>106</v>
      </c>
      <c r="V1186" s="331" t="s">
        <v>106</v>
      </c>
      <c r="W1186" s="331" t="s">
        <v>106</v>
      </c>
      <c r="X1186" s="331" t="s">
        <v>106</v>
      </c>
      <c r="Y1186" s="331" t="s">
        <v>106</v>
      </c>
      <c r="Z1186" s="331" t="s">
        <v>106</v>
      </c>
      <c r="AA1186" s="331" t="s">
        <v>106</v>
      </c>
      <c r="AB1186" s="331" t="s">
        <v>106</v>
      </c>
      <c r="AC1186" s="331" t="s">
        <v>106</v>
      </c>
      <c r="AD1186" s="331" t="s">
        <v>106</v>
      </c>
      <c r="AE1186" s="331" t="s">
        <v>106</v>
      </c>
      <c r="AF1186" s="331" t="s">
        <v>106</v>
      </c>
      <c r="AG1186" s="331" t="s">
        <v>106</v>
      </c>
      <c r="AH1186" s="331" t="s">
        <v>106</v>
      </c>
      <c r="AI1186" s="331" t="s">
        <v>106</v>
      </c>
      <c r="AJ1186" s="331" t="s">
        <v>106</v>
      </c>
      <c r="AK1186" s="331" t="s">
        <v>106</v>
      </c>
      <c r="AL1186" s="331" t="s">
        <v>106</v>
      </c>
    </row>
    <row r="1187" spans="1:38" s="797" customFormat="1" ht="12.95">
      <c r="A1187" s="796" t="s">
        <v>599</v>
      </c>
      <c r="B1187" s="796"/>
      <c r="C1187" s="796"/>
      <c r="D1187" s="796"/>
      <c r="E1187" s="796"/>
      <c r="F1187" s="795"/>
      <c r="G1187" s="795"/>
      <c r="H1187" s="795"/>
      <c r="I1187" s="795"/>
      <c r="J1187" s="795"/>
      <c r="K1187" s="795"/>
      <c r="L1187" s="795"/>
      <c r="M1187" s="795"/>
      <c r="N1187" s="795"/>
      <c r="O1187" s="795"/>
      <c r="P1187" s="795"/>
      <c r="Q1187" s="795"/>
      <c r="R1187" s="795"/>
      <c r="S1187" s="795"/>
      <c r="T1187" s="795"/>
      <c r="U1187" s="795"/>
      <c r="V1187" s="795"/>
      <c r="W1187" s="795"/>
      <c r="X1187" s="795"/>
      <c r="Y1187" s="795"/>
      <c r="Z1187" s="795"/>
      <c r="AA1187" s="795"/>
      <c r="AB1187" s="795"/>
      <c r="AC1187" s="795"/>
      <c r="AD1187" s="795"/>
      <c r="AE1187" s="795"/>
      <c r="AF1187" s="795"/>
      <c r="AG1187" s="795"/>
      <c r="AH1187" s="795"/>
      <c r="AI1187" s="795"/>
      <c r="AJ1187" s="795"/>
      <c r="AK1187" s="795"/>
      <c r="AL1187" s="795"/>
    </row>
    <row r="1188" spans="1:38" s="792" customFormat="1" ht="14.25" customHeight="1">
      <c r="A1188" s="989" t="s">
        <v>600</v>
      </c>
      <c r="B1188" s="791"/>
      <c r="C1188" s="791"/>
      <c r="D1188" s="791"/>
      <c r="E1188" s="791"/>
      <c r="F1188" s="790"/>
      <c r="G1188" s="790"/>
      <c r="H1188" s="790"/>
      <c r="I1188" s="790"/>
      <c r="J1188" s="790"/>
      <c r="K1188" s="790"/>
      <c r="L1188" s="790"/>
      <c r="M1188" s="790"/>
      <c r="N1188" s="790"/>
      <c r="O1188" s="790"/>
      <c r="P1188" s="790"/>
      <c r="Q1188" s="790"/>
      <c r="R1188" s="790"/>
      <c r="S1188" s="790"/>
      <c r="T1188" s="790"/>
      <c r="U1188" s="790"/>
      <c r="V1188" s="790"/>
      <c r="W1188" s="790"/>
      <c r="X1188" s="790"/>
      <c r="Y1188" s="790"/>
      <c r="Z1188" s="790"/>
      <c r="AA1188" s="790"/>
      <c r="AB1188" s="790"/>
      <c r="AC1188" s="790"/>
      <c r="AD1188" s="790"/>
      <c r="AE1188" s="790"/>
      <c r="AF1188" s="790"/>
      <c r="AG1188" s="790"/>
      <c r="AH1188" s="790"/>
      <c r="AI1188" s="790"/>
      <c r="AJ1188" s="790"/>
      <c r="AK1188" s="790"/>
      <c r="AL1188" s="790"/>
    </row>
    <row r="1189" spans="1:38" ht="12.6">
      <c r="A1189" s="990" t="s">
        <v>1287</v>
      </c>
      <c r="B1189" s="991" t="s">
        <v>1288</v>
      </c>
      <c r="C1189" s="991" t="s">
        <v>1058</v>
      </c>
      <c r="D1189" s="991" t="s">
        <v>129</v>
      </c>
      <c r="E1189" s="991"/>
      <c r="F1189" s="813" t="s">
        <v>1059</v>
      </c>
      <c r="G1189" s="813" t="s">
        <v>1059</v>
      </c>
      <c r="H1189" s="813" t="s">
        <v>1059</v>
      </c>
      <c r="I1189" s="813" t="s">
        <v>1059</v>
      </c>
      <c r="J1189" s="813" t="s">
        <v>1059</v>
      </c>
      <c r="K1189" s="813" t="s">
        <v>1059</v>
      </c>
      <c r="L1189" s="813" t="s">
        <v>1059</v>
      </c>
      <c r="M1189" s="813" t="s">
        <v>1059</v>
      </c>
      <c r="N1189" s="813" t="s">
        <v>1059</v>
      </c>
      <c r="O1189" s="813" t="s">
        <v>1059</v>
      </c>
      <c r="P1189" s="813" t="s">
        <v>1059</v>
      </c>
      <c r="Q1189" s="813" t="s">
        <v>1059</v>
      </c>
      <c r="R1189" s="813" t="s">
        <v>1059</v>
      </c>
      <c r="S1189" s="813" t="s">
        <v>1059</v>
      </c>
      <c r="T1189" s="813" t="s">
        <v>1059</v>
      </c>
      <c r="U1189" s="813" t="s">
        <v>1059</v>
      </c>
      <c r="V1189" s="813" t="s">
        <v>1059</v>
      </c>
      <c r="W1189" s="813" t="s">
        <v>1059</v>
      </c>
      <c r="X1189" s="813" t="s">
        <v>1059</v>
      </c>
      <c r="Y1189" s="813" t="s">
        <v>1059</v>
      </c>
      <c r="Z1189" s="813" t="s">
        <v>1059</v>
      </c>
      <c r="AA1189" s="813" t="s">
        <v>1059</v>
      </c>
      <c r="AB1189" s="813" t="s">
        <v>1059</v>
      </c>
      <c r="AC1189" s="813" t="s">
        <v>1059</v>
      </c>
      <c r="AD1189" s="813" t="s">
        <v>1059</v>
      </c>
      <c r="AE1189" s="813" t="s">
        <v>1059</v>
      </c>
      <c r="AF1189" s="813" t="s">
        <v>1059</v>
      </c>
      <c r="AG1189" s="813" t="s">
        <v>1059</v>
      </c>
      <c r="AH1189" s="813" t="s">
        <v>1059</v>
      </c>
      <c r="AI1189" s="813" t="s">
        <v>1059</v>
      </c>
      <c r="AJ1189" s="813" t="s">
        <v>1059</v>
      </c>
      <c r="AK1189" s="813" t="s">
        <v>1059</v>
      </c>
      <c r="AL1189" s="813" t="s">
        <v>1060</v>
      </c>
    </row>
    <row r="1190" spans="1:38" ht="12.6">
      <c r="A1190" s="990" t="s">
        <v>1289</v>
      </c>
      <c r="B1190" s="991" t="s">
        <v>1288</v>
      </c>
      <c r="C1190" s="991" t="s">
        <v>1062</v>
      </c>
      <c r="D1190" s="991" t="s">
        <v>129</v>
      </c>
      <c r="E1190" s="991"/>
      <c r="F1190" s="813" t="s">
        <v>1063</v>
      </c>
      <c r="G1190" s="813" t="s">
        <v>1063</v>
      </c>
      <c r="H1190" s="813" t="s">
        <v>1063</v>
      </c>
      <c r="I1190" s="813" t="s">
        <v>1063</v>
      </c>
      <c r="J1190" s="813" t="s">
        <v>1063</v>
      </c>
      <c r="K1190" s="813" t="s">
        <v>1063</v>
      </c>
      <c r="L1190" s="813" t="s">
        <v>1063</v>
      </c>
      <c r="M1190" s="813" t="s">
        <v>1063</v>
      </c>
      <c r="N1190" s="813" t="s">
        <v>1063</v>
      </c>
      <c r="O1190" s="813" t="s">
        <v>1063</v>
      </c>
      <c r="P1190" s="813" t="s">
        <v>1063</v>
      </c>
      <c r="Q1190" s="813" t="s">
        <v>1063</v>
      </c>
      <c r="R1190" s="813" t="s">
        <v>1063</v>
      </c>
      <c r="S1190" s="813" t="s">
        <v>1063</v>
      </c>
      <c r="T1190" s="813" t="s">
        <v>1063</v>
      </c>
      <c r="U1190" s="813" t="s">
        <v>1063</v>
      </c>
      <c r="V1190" s="813" t="s">
        <v>1063</v>
      </c>
      <c r="W1190" s="813" t="s">
        <v>1063</v>
      </c>
      <c r="X1190" s="813" t="s">
        <v>1063</v>
      </c>
      <c r="Y1190" s="813" t="s">
        <v>1063</v>
      </c>
      <c r="Z1190" s="813" t="s">
        <v>1063</v>
      </c>
      <c r="AA1190" s="813" t="s">
        <v>1063</v>
      </c>
      <c r="AB1190" s="813" t="s">
        <v>1063</v>
      </c>
      <c r="AC1190" s="813" t="s">
        <v>1063</v>
      </c>
      <c r="AD1190" s="813" t="s">
        <v>1063</v>
      </c>
      <c r="AE1190" s="813" t="s">
        <v>1063</v>
      </c>
      <c r="AF1190" s="813" t="s">
        <v>1063</v>
      </c>
      <c r="AG1190" s="813" t="s">
        <v>1063</v>
      </c>
      <c r="AH1190" s="813" t="s">
        <v>1063</v>
      </c>
      <c r="AI1190" s="813" t="s">
        <v>1063</v>
      </c>
      <c r="AJ1190" s="813" t="s">
        <v>1063</v>
      </c>
      <c r="AK1190" s="813" t="s">
        <v>1063</v>
      </c>
      <c r="AL1190" s="813" t="s">
        <v>1063</v>
      </c>
    </row>
    <row r="1191" spans="1:38" s="792" customFormat="1" ht="14.25" customHeight="1">
      <c r="A1191" s="989" t="s">
        <v>606</v>
      </c>
      <c r="B1191" s="791"/>
      <c r="C1191" s="791"/>
      <c r="D1191" s="791"/>
      <c r="E1191" s="791"/>
      <c r="F1191" s="790"/>
      <c r="G1191" s="790"/>
      <c r="H1191" s="790"/>
      <c r="I1191" s="790"/>
      <c r="J1191" s="790"/>
      <c r="K1191" s="790"/>
      <c r="L1191" s="790"/>
      <c r="M1191" s="790"/>
      <c r="N1191" s="790"/>
      <c r="O1191" s="790"/>
      <c r="P1191" s="790"/>
      <c r="Q1191" s="790"/>
      <c r="R1191" s="790"/>
      <c r="S1191" s="790"/>
      <c r="T1191" s="790"/>
      <c r="U1191" s="790"/>
      <c r="V1191" s="790"/>
      <c r="W1191" s="790"/>
      <c r="X1191" s="790"/>
      <c r="Y1191" s="790"/>
      <c r="Z1191" s="790"/>
      <c r="AA1191" s="790"/>
      <c r="AB1191" s="790"/>
      <c r="AC1191" s="790"/>
      <c r="AD1191" s="790"/>
      <c r="AE1191" s="790"/>
      <c r="AF1191" s="790"/>
      <c r="AG1191" s="790"/>
      <c r="AH1191" s="790"/>
      <c r="AI1191" s="790"/>
      <c r="AJ1191" s="790"/>
      <c r="AK1191" s="790"/>
      <c r="AL1191" s="790"/>
    </row>
    <row r="1192" spans="1:38" ht="12.6">
      <c r="A1192" s="990" t="s">
        <v>1290</v>
      </c>
      <c r="B1192" s="991" t="s">
        <v>1291</v>
      </c>
      <c r="C1192" s="991" t="s">
        <v>1058</v>
      </c>
      <c r="D1192" s="991" t="s">
        <v>129</v>
      </c>
      <c r="E1192" s="991"/>
      <c r="F1192" s="813" t="s">
        <v>1059</v>
      </c>
      <c r="G1192" s="813" t="s">
        <v>1059</v>
      </c>
      <c r="H1192" s="813" t="s">
        <v>1059</v>
      </c>
      <c r="I1192" s="813" t="s">
        <v>1059</v>
      </c>
      <c r="J1192" s="813" t="s">
        <v>1059</v>
      </c>
      <c r="K1192" s="813" t="s">
        <v>1059</v>
      </c>
      <c r="L1192" s="813" t="s">
        <v>1059</v>
      </c>
      <c r="M1192" s="813" t="s">
        <v>1059</v>
      </c>
      <c r="N1192" s="813" t="s">
        <v>1059</v>
      </c>
      <c r="O1192" s="813" t="s">
        <v>1059</v>
      </c>
      <c r="P1192" s="813" t="s">
        <v>1059</v>
      </c>
      <c r="Q1192" s="813" t="s">
        <v>1059</v>
      </c>
      <c r="R1192" s="813" t="s">
        <v>1059</v>
      </c>
      <c r="S1192" s="813" t="s">
        <v>1059</v>
      </c>
      <c r="T1192" s="813" t="s">
        <v>1059</v>
      </c>
      <c r="U1192" s="813" t="s">
        <v>1059</v>
      </c>
      <c r="V1192" s="813" t="s">
        <v>1059</v>
      </c>
      <c r="W1192" s="813" t="s">
        <v>1059</v>
      </c>
      <c r="X1192" s="813" t="s">
        <v>1059</v>
      </c>
      <c r="Y1192" s="813" t="s">
        <v>1059</v>
      </c>
      <c r="Z1192" s="813" t="s">
        <v>1059</v>
      </c>
      <c r="AA1192" s="813" t="s">
        <v>1059</v>
      </c>
      <c r="AB1192" s="813" t="s">
        <v>1059</v>
      </c>
      <c r="AC1192" s="813" t="s">
        <v>1059</v>
      </c>
      <c r="AD1192" s="813" t="s">
        <v>1059</v>
      </c>
      <c r="AE1192" s="813" t="s">
        <v>1059</v>
      </c>
      <c r="AF1192" s="813" t="s">
        <v>1059</v>
      </c>
      <c r="AG1192" s="813" t="s">
        <v>1059</v>
      </c>
      <c r="AH1192" s="813" t="s">
        <v>1059</v>
      </c>
      <c r="AI1192" s="813" t="s">
        <v>1059</v>
      </c>
      <c r="AJ1192" s="813" t="s">
        <v>1059</v>
      </c>
      <c r="AK1192" s="813" t="s">
        <v>1059</v>
      </c>
      <c r="AL1192" s="813" t="s">
        <v>1060</v>
      </c>
    </row>
    <row r="1193" spans="1:38" ht="12.6">
      <c r="A1193" s="990" t="s">
        <v>1292</v>
      </c>
      <c r="B1193" s="991" t="s">
        <v>1291</v>
      </c>
      <c r="C1193" s="991" t="s">
        <v>1062</v>
      </c>
      <c r="D1193" s="991" t="s">
        <v>129</v>
      </c>
      <c r="E1193" s="991"/>
      <c r="F1193" s="813" t="s">
        <v>1063</v>
      </c>
      <c r="G1193" s="813" t="s">
        <v>1063</v>
      </c>
      <c r="H1193" s="813" t="s">
        <v>1063</v>
      </c>
      <c r="I1193" s="813" t="s">
        <v>1063</v>
      </c>
      <c r="J1193" s="813" t="s">
        <v>1063</v>
      </c>
      <c r="K1193" s="813" t="s">
        <v>1063</v>
      </c>
      <c r="L1193" s="813" t="s">
        <v>1063</v>
      </c>
      <c r="M1193" s="813" t="s">
        <v>1063</v>
      </c>
      <c r="N1193" s="813" t="s">
        <v>1063</v>
      </c>
      <c r="O1193" s="813" t="s">
        <v>1063</v>
      </c>
      <c r="P1193" s="813" t="s">
        <v>1063</v>
      </c>
      <c r="Q1193" s="813" t="s">
        <v>1063</v>
      </c>
      <c r="R1193" s="813" t="s">
        <v>1063</v>
      </c>
      <c r="S1193" s="813" t="s">
        <v>1063</v>
      </c>
      <c r="T1193" s="813" t="s">
        <v>1063</v>
      </c>
      <c r="U1193" s="813" t="s">
        <v>1063</v>
      </c>
      <c r="V1193" s="813" t="s">
        <v>1063</v>
      </c>
      <c r="W1193" s="813" t="s">
        <v>1063</v>
      </c>
      <c r="X1193" s="813" t="s">
        <v>1063</v>
      </c>
      <c r="Y1193" s="813" t="s">
        <v>1063</v>
      </c>
      <c r="Z1193" s="813" t="s">
        <v>1063</v>
      </c>
      <c r="AA1193" s="813" t="s">
        <v>1063</v>
      </c>
      <c r="AB1193" s="813" t="s">
        <v>1063</v>
      </c>
      <c r="AC1193" s="813" t="s">
        <v>1063</v>
      </c>
      <c r="AD1193" s="813" t="s">
        <v>1063</v>
      </c>
      <c r="AE1193" s="813" t="s">
        <v>1063</v>
      </c>
      <c r="AF1193" s="813" t="s">
        <v>1063</v>
      </c>
      <c r="AG1193" s="813" t="s">
        <v>1063</v>
      </c>
      <c r="AH1193" s="813" t="s">
        <v>1063</v>
      </c>
      <c r="AI1193" s="813" t="s">
        <v>1063</v>
      </c>
      <c r="AJ1193" s="813" t="s">
        <v>1063</v>
      </c>
      <c r="AK1193" s="813" t="s">
        <v>1063</v>
      </c>
      <c r="AL1193" s="813" t="s">
        <v>1063</v>
      </c>
    </row>
    <row r="1194" spans="1:38" s="792" customFormat="1" ht="14.25" customHeight="1">
      <c r="A1194" s="989" t="s">
        <v>612</v>
      </c>
      <c r="B1194" s="791"/>
      <c r="C1194" s="791"/>
      <c r="D1194" s="791"/>
      <c r="E1194" s="791"/>
      <c r="F1194" s="790"/>
      <c r="G1194" s="790"/>
      <c r="H1194" s="790"/>
      <c r="I1194" s="790"/>
      <c r="J1194" s="790"/>
      <c r="K1194" s="790"/>
      <c r="L1194" s="790"/>
      <c r="M1194" s="790"/>
      <c r="N1194" s="790"/>
      <c r="O1194" s="790"/>
      <c r="P1194" s="790"/>
      <c r="Q1194" s="790"/>
      <c r="R1194" s="790"/>
      <c r="S1194" s="790"/>
      <c r="T1194" s="790"/>
      <c r="U1194" s="790"/>
      <c r="V1194" s="790"/>
      <c r="W1194" s="790"/>
      <c r="X1194" s="790"/>
      <c r="Y1194" s="790"/>
      <c r="Z1194" s="790"/>
      <c r="AA1194" s="790"/>
      <c r="AB1194" s="790"/>
      <c r="AC1194" s="790"/>
      <c r="AD1194" s="790"/>
      <c r="AE1194" s="790"/>
      <c r="AF1194" s="790"/>
      <c r="AG1194" s="790"/>
      <c r="AH1194" s="790"/>
      <c r="AI1194" s="790"/>
      <c r="AJ1194" s="790"/>
      <c r="AK1194" s="790"/>
      <c r="AL1194" s="790"/>
    </row>
    <row r="1195" spans="1:38" ht="12.6">
      <c r="A1195" s="990" t="s">
        <v>1293</v>
      </c>
      <c r="B1195" s="991" t="s">
        <v>1294</v>
      </c>
      <c r="C1195" s="991" t="s">
        <v>1058</v>
      </c>
      <c r="D1195" s="991" t="s">
        <v>129</v>
      </c>
      <c r="E1195" s="991"/>
      <c r="F1195" s="813" t="s">
        <v>1059</v>
      </c>
      <c r="G1195" s="813" t="s">
        <v>1059</v>
      </c>
      <c r="H1195" s="813" t="s">
        <v>1059</v>
      </c>
      <c r="I1195" s="813" t="s">
        <v>1059</v>
      </c>
      <c r="J1195" s="813" t="s">
        <v>1059</v>
      </c>
      <c r="K1195" s="813" t="s">
        <v>1059</v>
      </c>
      <c r="L1195" s="813" t="s">
        <v>1059</v>
      </c>
      <c r="M1195" s="813" t="s">
        <v>1059</v>
      </c>
      <c r="N1195" s="813" t="s">
        <v>1059</v>
      </c>
      <c r="O1195" s="813" t="s">
        <v>1059</v>
      </c>
      <c r="P1195" s="813" t="s">
        <v>1059</v>
      </c>
      <c r="Q1195" s="813" t="s">
        <v>1059</v>
      </c>
      <c r="R1195" s="813" t="s">
        <v>1059</v>
      </c>
      <c r="S1195" s="813" t="s">
        <v>1059</v>
      </c>
      <c r="T1195" s="813" t="s">
        <v>1059</v>
      </c>
      <c r="U1195" s="813" t="s">
        <v>1059</v>
      </c>
      <c r="V1195" s="813" t="s">
        <v>1059</v>
      </c>
      <c r="W1195" s="813" t="s">
        <v>1059</v>
      </c>
      <c r="X1195" s="813" t="s">
        <v>1059</v>
      </c>
      <c r="Y1195" s="813" t="s">
        <v>1059</v>
      </c>
      <c r="Z1195" s="813" t="s">
        <v>1059</v>
      </c>
      <c r="AA1195" s="813" t="s">
        <v>1059</v>
      </c>
      <c r="AB1195" s="813" t="s">
        <v>1059</v>
      </c>
      <c r="AC1195" s="813" t="s">
        <v>1059</v>
      </c>
      <c r="AD1195" s="813" t="s">
        <v>1059</v>
      </c>
      <c r="AE1195" s="813" t="s">
        <v>1059</v>
      </c>
      <c r="AF1195" s="813" t="s">
        <v>1059</v>
      </c>
      <c r="AG1195" s="813" t="s">
        <v>1059</v>
      </c>
      <c r="AH1195" s="813" t="s">
        <v>1059</v>
      </c>
      <c r="AI1195" s="813" t="s">
        <v>1059</v>
      </c>
      <c r="AJ1195" s="813" t="s">
        <v>1059</v>
      </c>
      <c r="AK1195" s="813" t="s">
        <v>1059</v>
      </c>
      <c r="AL1195" s="813" t="s">
        <v>1060</v>
      </c>
    </row>
    <row r="1196" spans="1:38" ht="12.6">
      <c r="A1196" s="990" t="s">
        <v>1295</v>
      </c>
      <c r="B1196" s="991" t="s">
        <v>1294</v>
      </c>
      <c r="C1196" s="991" t="s">
        <v>1062</v>
      </c>
      <c r="D1196" s="991" t="s">
        <v>129</v>
      </c>
      <c r="E1196" s="991"/>
      <c r="F1196" s="813" t="s">
        <v>1063</v>
      </c>
      <c r="G1196" s="813" t="s">
        <v>1063</v>
      </c>
      <c r="H1196" s="813" t="s">
        <v>1063</v>
      </c>
      <c r="I1196" s="813" t="s">
        <v>1063</v>
      </c>
      <c r="J1196" s="813" t="s">
        <v>1063</v>
      </c>
      <c r="K1196" s="813" t="s">
        <v>1063</v>
      </c>
      <c r="L1196" s="813" t="s">
        <v>1063</v>
      </c>
      <c r="M1196" s="813" t="s">
        <v>1063</v>
      </c>
      <c r="N1196" s="813" t="s">
        <v>1063</v>
      </c>
      <c r="O1196" s="813" t="s">
        <v>1063</v>
      </c>
      <c r="P1196" s="813" t="s">
        <v>1063</v>
      </c>
      <c r="Q1196" s="813" t="s">
        <v>1063</v>
      </c>
      <c r="R1196" s="813" t="s">
        <v>1063</v>
      </c>
      <c r="S1196" s="813" t="s">
        <v>1063</v>
      </c>
      <c r="T1196" s="813" t="s">
        <v>1063</v>
      </c>
      <c r="U1196" s="813" t="s">
        <v>1063</v>
      </c>
      <c r="V1196" s="813" t="s">
        <v>1063</v>
      </c>
      <c r="W1196" s="813" t="s">
        <v>1063</v>
      </c>
      <c r="X1196" s="813" t="s">
        <v>1063</v>
      </c>
      <c r="Y1196" s="813" t="s">
        <v>1063</v>
      </c>
      <c r="Z1196" s="813" t="s">
        <v>1063</v>
      </c>
      <c r="AA1196" s="813" t="s">
        <v>1063</v>
      </c>
      <c r="AB1196" s="813" t="s">
        <v>1063</v>
      </c>
      <c r="AC1196" s="813" t="s">
        <v>1063</v>
      </c>
      <c r="AD1196" s="813" t="s">
        <v>1063</v>
      </c>
      <c r="AE1196" s="813" t="s">
        <v>1063</v>
      </c>
      <c r="AF1196" s="813" t="s">
        <v>1063</v>
      </c>
      <c r="AG1196" s="813" t="s">
        <v>1063</v>
      </c>
      <c r="AH1196" s="813" t="s">
        <v>1063</v>
      </c>
      <c r="AI1196" s="813" t="s">
        <v>1063</v>
      </c>
      <c r="AJ1196" s="813" t="s">
        <v>1063</v>
      </c>
      <c r="AK1196" s="813" t="s">
        <v>1063</v>
      </c>
      <c r="AL1196" s="813" t="s">
        <v>1063</v>
      </c>
    </row>
    <row r="1197" spans="1:38" s="792" customFormat="1" ht="14.25" customHeight="1">
      <c r="A1197" s="989" t="s">
        <v>618</v>
      </c>
      <c r="B1197" s="791"/>
      <c r="C1197" s="791"/>
      <c r="D1197" s="791"/>
      <c r="E1197" s="791"/>
      <c r="F1197" s="790"/>
      <c r="G1197" s="790"/>
      <c r="H1197" s="790"/>
      <c r="I1197" s="790"/>
      <c r="J1197" s="790"/>
      <c r="K1197" s="790"/>
      <c r="L1197" s="790"/>
      <c r="M1197" s="790"/>
      <c r="N1197" s="790"/>
      <c r="O1197" s="790"/>
      <c r="P1197" s="790"/>
      <c r="Q1197" s="790"/>
      <c r="R1197" s="790"/>
      <c r="S1197" s="790"/>
      <c r="T1197" s="790"/>
      <c r="U1197" s="790"/>
      <c r="V1197" s="790"/>
      <c r="W1197" s="790"/>
      <c r="X1197" s="790"/>
      <c r="Y1197" s="790"/>
      <c r="Z1197" s="790"/>
      <c r="AA1197" s="790"/>
      <c r="AB1197" s="790"/>
      <c r="AC1197" s="790"/>
      <c r="AD1197" s="790"/>
      <c r="AE1197" s="790"/>
      <c r="AF1197" s="790"/>
      <c r="AG1197" s="790"/>
      <c r="AH1197" s="790"/>
      <c r="AI1197" s="790"/>
      <c r="AJ1197" s="790"/>
      <c r="AK1197" s="790"/>
      <c r="AL1197" s="790"/>
    </row>
    <row r="1198" spans="1:38" ht="12.6">
      <c r="A1198" s="990" t="s">
        <v>1296</v>
      </c>
      <c r="B1198" s="991" t="s">
        <v>1297</v>
      </c>
      <c r="C1198" s="991" t="s">
        <v>1058</v>
      </c>
      <c r="D1198" s="991" t="s">
        <v>129</v>
      </c>
      <c r="E1198" s="991"/>
      <c r="F1198" s="813" t="s">
        <v>106</v>
      </c>
      <c r="G1198" s="813" t="s">
        <v>106</v>
      </c>
      <c r="H1198" s="813" t="s">
        <v>106</v>
      </c>
      <c r="I1198" s="813" t="s">
        <v>106</v>
      </c>
      <c r="J1198" s="813" t="s">
        <v>106</v>
      </c>
      <c r="K1198" s="813" t="s">
        <v>106</v>
      </c>
      <c r="L1198" s="813" t="s">
        <v>106</v>
      </c>
      <c r="M1198" s="813" t="s">
        <v>106</v>
      </c>
      <c r="N1198" s="813" t="s">
        <v>106</v>
      </c>
      <c r="O1198" s="813" t="s">
        <v>106</v>
      </c>
      <c r="P1198" s="813" t="s">
        <v>106</v>
      </c>
      <c r="Q1198" s="813" t="s">
        <v>106</v>
      </c>
      <c r="R1198" s="813" t="s">
        <v>106</v>
      </c>
      <c r="S1198" s="813" t="s">
        <v>106</v>
      </c>
      <c r="T1198" s="813" t="s">
        <v>106</v>
      </c>
      <c r="U1198" s="813" t="s">
        <v>106</v>
      </c>
      <c r="V1198" s="813" t="s">
        <v>106</v>
      </c>
      <c r="W1198" s="813" t="s">
        <v>106</v>
      </c>
      <c r="X1198" s="813" t="s">
        <v>106</v>
      </c>
      <c r="Y1198" s="813" t="s">
        <v>106</v>
      </c>
      <c r="Z1198" s="813" t="s">
        <v>106</v>
      </c>
      <c r="AA1198" s="813" t="s">
        <v>106</v>
      </c>
      <c r="AB1198" s="813" t="s">
        <v>106</v>
      </c>
      <c r="AC1198" s="813" t="s">
        <v>106</v>
      </c>
      <c r="AD1198" s="813" t="s">
        <v>106</v>
      </c>
      <c r="AE1198" s="813" t="s">
        <v>106</v>
      </c>
      <c r="AF1198" s="813" t="s">
        <v>106</v>
      </c>
      <c r="AG1198" s="813" t="s">
        <v>106</v>
      </c>
      <c r="AH1198" s="813" t="s">
        <v>106</v>
      </c>
      <c r="AI1198" s="813" t="s">
        <v>106</v>
      </c>
      <c r="AJ1198" s="813" t="s">
        <v>106</v>
      </c>
      <c r="AK1198" s="813" t="s">
        <v>106</v>
      </c>
      <c r="AL1198" s="813" t="s">
        <v>106</v>
      </c>
    </row>
    <row r="1199" spans="1:38" ht="12.6">
      <c r="A1199" s="990" t="s">
        <v>1298</v>
      </c>
      <c r="B1199" s="991" t="s">
        <v>1297</v>
      </c>
      <c r="C1199" s="991" t="s">
        <v>1062</v>
      </c>
      <c r="D1199" s="991" t="s">
        <v>129</v>
      </c>
      <c r="E1199" s="991"/>
      <c r="F1199" s="813" t="s">
        <v>106</v>
      </c>
      <c r="G1199" s="813" t="s">
        <v>106</v>
      </c>
      <c r="H1199" s="813" t="s">
        <v>106</v>
      </c>
      <c r="I1199" s="813" t="s">
        <v>106</v>
      </c>
      <c r="J1199" s="813" t="s">
        <v>106</v>
      </c>
      <c r="K1199" s="813" t="s">
        <v>106</v>
      </c>
      <c r="L1199" s="813" t="s">
        <v>106</v>
      </c>
      <c r="M1199" s="813" t="s">
        <v>106</v>
      </c>
      <c r="N1199" s="813" t="s">
        <v>106</v>
      </c>
      <c r="O1199" s="813" t="s">
        <v>106</v>
      </c>
      <c r="P1199" s="813" t="s">
        <v>106</v>
      </c>
      <c r="Q1199" s="813" t="s">
        <v>106</v>
      </c>
      <c r="R1199" s="813" t="s">
        <v>106</v>
      </c>
      <c r="S1199" s="813" t="s">
        <v>106</v>
      </c>
      <c r="T1199" s="813" t="s">
        <v>106</v>
      </c>
      <c r="U1199" s="813" t="s">
        <v>106</v>
      </c>
      <c r="V1199" s="813" t="s">
        <v>106</v>
      </c>
      <c r="W1199" s="813" t="s">
        <v>106</v>
      </c>
      <c r="X1199" s="813" t="s">
        <v>106</v>
      </c>
      <c r="Y1199" s="813" t="s">
        <v>106</v>
      </c>
      <c r="Z1199" s="813" t="s">
        <v>106</v>
      </c>
      <c r="AA1199" s="813" t="s">
        <v>106</v>
      </c>
      <c r="AB1199" s="813" t="s">
        <v>106</v>
      </c>
      <c r="AC1199" s="813" t="s">
        <v>106</v>
      </c>
      <c r="AD1199" s="813" t="s">
        <v>106</v>
      </c>
      <c r="AE1199" s="813" t="s">
        <v>106</v>
      </c>
      <c r="AF1199" s="813" t="s">
        <v>106</v>
      </c>
      <c r="AG1199" s="813" t="s">
        <v>106</v>
      </c>
      <c r="AH1199" s="813" t="s">
        <v>106</v>
      </c>
      <c r="AI1199" s="813" t="s">
        <v>106</v>
      </c>
      <c r="AJ1199" s="813" t="s">
        <v>106</v>
      </c>
      <c r="AK1199" s="813" t="s">
        <v>106</v>
      </c>
      <c r="AL1199" s="813" t="s">
        <v>106</v>
      </c>
    </row>
    <row r="1200" spans="1:38" s="792" customFormat="1" ht="14.25" customHeight="1">
      <c r="A1200" s="989" t="s">
        <v>624</v>
      </c>
      <c r="B1200" s="791"/>
      <c r="C1200" s="791"/>
      <c r="D1200" s="791"/>
      <c r="E1200" s="791"/>
      <c r="F1200" s="790"/>
      <c r="G1200" s="790"/>
      <c r="H1200" s="790"/>
      <c r="I1200" s="790"/>
      <c r="J1200" s="790"/>
      <c r="K1200" s="790"/>
      <c r="L1200" s="790"/>
      <c r="M1200" s="790"/>
      <c r="N1200" s="790"/>
      <c r="O1200" s="790"/>
      <c r="P1200" s="790"/>
      <c r="Q1200" s="790"/>
      <c r="R1200" s="790"/>
      <c r="S1200" s="790"/>
      <c r="T1200" s="790"/>
      <c r="U1200" s="790"/>
      <c r="V1200" s="790"/>
      <c r="W1200" s="790"/>
      <c r="X1200" s="790"/>
      <c r="Y1200" s="790"/>
      <c r="Z1200" s="790"/>
      <c r="AA1200" s="790"/>
      <c r="AB1200" s="790"/>
      <c r="AC1200" s="790"/>
      <c r="AD1200" s="790"/>
      <c r="AE1200" s="790"/>
      <c r="AF1200" s="790"/>
      <c r="AG1200" s="790"/>
      <c r="AH1200" s="790"/>
      <c r="AI1200" s="790"/>
      <c r="AJ1200" s="790"/>
      <c r="AK1200" s="790"/>
      <c r="AL1200" s="790"/>
    </row>
    <row r="1201" spans="1:38" ht="12.6">
      <c r="A1201" s="990" t="s">
        <v>1299</v>
      </c>
      <c r="B1201" s="991" t="s">
        <v>1300</v>
      </c>
      <c r="C1201" s="991" t="s">
        <v>1058</v>
      </c>
      <c r="D1201" s="991" t="s">
        <v>129</v>
      </c>
      <c r="E1201" s="991"/>
      <c r="F1201" s="813" t="s">
        <v>106</v>
      </c>
      <c r="G1201" s="813" t="s">
        <v>106</v>
      </c>
      <c r="H1201" s="813" t="s">
        <v>106</v>
      </c>
      <c r="I1201" s="813" t="s">
        <v>106</v>
      </c>
      <c r="J1201" s="813" t="s">
        <v>106</v>
      </c>
      <c r="K1201" s="813" t="s">
        <v>106</v>
      </c>
      <c r="L1201" s="813" t="s">
        <v>106</v>
      </c>
      <c r="M1201" s="813" t="s">
        <v>106</v>
      </c>
      <c r="N1201" s="813" t="s">
        <v>106</v>
      </c>
      <c r="O1201" s="813" t="s">
        <v>106</v>
      </c>
      <c r="P1201" s="813" t="s">
        <v>106</v>
      </c>
      <c r="Q1201" s="813" t="s">
        <v>106</v>
      </c>
      <c r="R1201" s="813" t="s">
        <v>106</v>
      </c>
      <c r="S1201" s="813" t="s">
        <v>106</v>
      </c>
      <c r="T1201" s="813" t="s">
        <v>106</v>
      </c>
      <c r="U1201" s="813" t="s">
        <v>106</v>
      </c>
      <c r="V1201" s="813" t="s">
        <v>106</v>
      </c>
      <c r="W1201" s="813" t="s">
        <v>106</v>
      </c>
      <c r="X1201" s="813" t="s">
        <v>106</v>
      </c>
      <c r="Y1201" s="813" t="s">
        <v>106</v>
      </c>
      <c r="Z1201" s="813" t="s">
        <v>106</v>
      </c>
      <c r="AA1201" s="813" t="s">
        <v>106</v>
      </c>
      <c r="AB1201" s="813" t="s">
        <v>106</v>
      </c>
      <c r="AC1201" s="813" t="s">
        <v>106</v>
      </c>
      <c r="AD1201" s="813" t="s">
        <v>106</v>
      </c>
      <c r="AE1201" s="813" t="s">
        <v>106</v>
      </c>
      <c r="AF1201" s="813" t="s">
        <v>106</v>
      </c>
      <c r="AG1201" s="813" t="s">
        <v>106</v>
      </c>
      <c r="AH1201" s="813" t="s">
        <v>106</v>
      </c>
      <c r="AI1201" s="813" t="s">
        <v>106</v>
      </c>
      <c r="AJ1201" s="813" t="s">
        <v>106</v>
      </c>
      <c r="AK1201" s="813" t="s">
        <v>106</v>
      </c>
      <c r="AL1201" s="813" t="s">
        <v>106</v>
      </c>
    </row>
    <row r="1202" spans="1:38" ht="12.6">
      <c r="A1202" s="990" t="s">
        <v>1301</v>
      </c>
      <c r="B1202" s="991" t="s">
        <v>1300</v>
      </c>
      <c r="C1202" s="991" t="s">
        <v>1062</v>
      </c>
      <c r="D1202" s="991" t="s">
        <v>129</v>
      </c>
      <c r="E1202" s="991"/>
      <c r="F1202" s="813" t="s">
        <v>106</v>
      </c>
      <c r="G1202" s="813" t="s">
        <v>106</v>
      </c>
      <c r="H1202" s="813" t="s">
        <v>106</v>
      </c>
      <c r="I1202" s="813" t="s">
        <v>106</v>
      </c>
      <c r="J1202" s="813" t="s">
        <v>106</v>
      </c>
      <c r="K1202" s="813" t="s">
        <v>106</v>
      </c>
      <c r="L1202" s="813" t="s">
        <v>106</v>
      </c>
      <c r="M1202" s="813" t="s">
        <v>106</v>
      </c>
      <c r="N1202" s="813" t="s">
        <v>106</v>
      </c>
      <c r="O1202" s="813" t="s">
        <v>106</v>
      </c>
      <c r="P1202" s="813" t="s">
        <v>106</v>
      </c>
      <c r="Q1202" s="813" t="s">
        <v>106</v>
      </c>
      <c r="R1202" s="813" t="s">
        <v>106</v>
      </c>
      <c r="S1202" s="813" t="s">
        <v>106</v>
      </c>
      <c r="T1202" s="813" t="s">
        <v>106</v>
      </c>
      <c r="U1202" s="813" t="s">
        <v>106</v>
      </c>
      <c r="V1202" s="813" t="s">
        <v>106</v>
      </c>
      <c r="W1202" s="813" t="s">
        <v>106</v>
      </c>
      <c r="X1202" s="813" t="s">
        <v>106</v>
      </c>
      <c r="Y1202" s="813" t="s">
        <v>106</v>
      </c>
      <c r="Z1202" s="813" t="s">
        <v>106</v>
      </c>
      <c r="AA1202" s="813" t="s">
        <v>106</v>
      </c>
      <c r="AB1202" s="813" t="s">
        <v>106</v>
      </c>
      <c r="AC1202" s="813" t="s">
        <v>106</v>
      </c>
      <c r="AD1202" s="813" t="s">
        <v>106</v>
      </c>
      <c r="AE1202" s="813" t="s">
        <v>106</v>
      </c>
      <c r="AF1202" s="813" t="s">
        <v>106</v>
      </c>
      <c r="AG1202" s="813" t="s">
        <v>106</v>
      </c>
      <c r="AH1202" s="813" t="s">
        <v>106</v>
      </c>
      <c r="AI1202" s="813" t="s">
        <v>106</v>
      </c>
      <c r="AJ1202" s="813" t="s">
        <v>106</v>
      </c>
      <c r="AK1202" s="813" t="s">
        <v>106</v>
      </c>
      <c r="AL1202" s="813" t="s">
        <v>106</v>
      </c>
    </row>
    <row r="1203" spans="1:38" s="797" customFormat="1" ht="12.95">
      <c r="A1203" s="796" t="s">
        <v>630</v>
      </c>
      <c r="B1203" s="796"/>
      <c r="C1203" s="796"/>
      <c r="D1203" s="796"/>
      <c r="E1203" s="796"/>
      <c r="F1203" s="795"/>
      <c r="G1203" s="795"/>
      <c r="H1203" s="795"/>
      <c r="I1203" s="795"/>
      <c r="J1203" s="795"/>
      <c r="K1203" s="795"/>
      <c r="L1203" s="795"/>
      <c r="M1203" s="795"/>
      <c r="N1203" s="795"/>
      <c r="O1203" s="795"/>
      <c r="P1203" s="795"/>
      <c r="Q1203" s="795"/>
      <c r="R1203" s="795"/>
      <c r="S1203" s="795"/>
      <c r="T1203" s="795"/>
      <c r="U1203" s="795"/>
      <c r="V1203" s="795"/>
      <c r="W1203" s="795"/>
      <c r="X1203" s="795"/>
      <c r="Y1203" s="795"/>
      <c r="Z1203" s="795"/>
      <c r="AA1203" s="795"/>
      <c r="AB1203" s="795"/>
      <c r="AC1203" s="795"/>
      <c r="AD1203" s="795"/>
      <c r="AE1203" s="795"/>
      <c r="AF1203" s="795"/>
      <c r="AG1203" s="795"/>
      <c r="AH1203" s="795"/>
      <c r="AI1203" s="795"/>
      <c r="AJ1203" s="795"/>
      <c r="AK1203" s="795"/>
      <c r="AL1203" s="795"/>
    </row>
    <row r="1204" spans="1:38" s="797" customFormat="1" ht="12.95">
      <c r="A1204" s="992" t="s">
        <v>631</v>
      </c>
      <c r="B1204" s="796"/>
      <c r="C1204" s="796"/>
      <c r="D1204" s="796"/>
      <c r="E1204" s="796"/>
      <c r="F1204" s="795"/>
      <c r="G1204" s="795"/>
      <c r="H1204" s="795"/>
      <c r="I1204" s="795"/>
      <c r="J1204" s="795"/>
      <c r="K1204" s="795"/>
      <c r="L1204" s="795"/>
      <c r="M1204" s="795"/>
      <c r="N1204" s="795"/>
      <c r="O1204" s="795"/>
      <c r="P1204" s="795"/>
      <c r="Q1204" s="795"/>
      <c r="R1204" s="795"/>
      <c r="S1204" s="795"/>
      <c r="T1204" s="795"/>
      <c r="U1204" s="795"/>
      <c r="V1204" s="795"/>
      <c r="W1204" s="795"/>
      <c r="X1204" s="795"/>
      <c r="Y1204" s="795"/>
      <c r="Z1204" s="795"/>
      <c r="AA1204" s="795"/>
      <c r="AB1204" s="795"/>
      <c r="AC1204" s="795"/>
      <c r="AD1204" s="795"/>
      <c r="AE1204" s="795"/>
      <c r="AF1204" s="795"/>
      <c r="AG1204" s="795"/>
      <c r="AH1204" s="795"/>
      <c r="AI1204" s="795"/>
      <c r="AJ1204" s="795"/>
      <c r="AK1204" s="795"/>
      <c r="AL1204" s="795"/>
    </row>
    <row r="1205" spans="1:38" s="792" customFormat="1" ht="14.25" customHeight="1">
      <c r="A1205" s="989" t="s">
        <v>632</v>
      </c>
      <c r="B1205" s="791"/>
      <c r="C1205" s="791"/>
      <c r="D1205" s="791"/>
      <c r="E1205" s="791"/>
      <c r="F1205" s="790"/>
      <c r="G1205" s="790"/>
      <c r="H1205" s="790"/>
      <c r="I1205" s="790"/>
      <c r="J1205" s="790"/>
      <c r="K1205" s="790"/>
      <c r="L1205" s="790"/>
      <c r="M1205" s="790"/>
      <c r="N1205" s="790"/>
      <c r="O1205" s="790"/>
      <c r="P1205" s="790"/>
      <c r="Q1205" s="790"/>
      <c r="R1205" s="790"/>
      <c r="S1205" s="790"/>
      <c r="T1205" s="790"/>
      <c r="U1205" s="790"/>
      <c r="V1205" s="790"/>
      <c r="W1205" s="790"/>
      <c r="X1205" s="790"/>
      <c r="Y1205" s="790"/>
      <c r="Z1205" s="790"/>
      <c r="AA1205" s="790"/>
      <c r="AB1205" s="790"/>
      <c r="AC1205" s="790"/>
      <c r="AD1205" s="790"/>
      <c r="AE1205" s="790"/>
      <c r="AF1205" s="790"/>
      <c r="AG1205" s="790"/>
      <c r="AH1205" s="790"/>
      <c r="AI1205" s="790"/>
      <c r="AJ1205" s="790"/>
      <c r="AK1205" s="790"/>
      <c r="AL1205" s="790"/>
    </row>
    <row r="1206" spans="1:38" ht="12.6">
      <c r="A1206" s="990" t="s">
        <v>1302</v>
      </c>
      <c r="B1206" s="991" t="s">
        <v>1303</v>
      </c>
      <c r="C1206" s="991" t="s">
        <v>1058</v>
      </c>
      <c r="D1206" s="991" t="s">
        <v>129</v>
      </c>
      <c r="E1206" s="991"/>
      <c r="F1206" s="814" t="s">
        <v>1059</v>
      </c>
      <c r="G1206" s="814" t="s">
        <v>1059</v>
      </c>
      <c r="H1206" s="814" t="s">
        <v>1059</v>
      </c>
      <c r="I1206" s="814" t="s">
        <v>1059</v>
      </c>
      <c r="J1206" s="814" t="s">
        <v>1059</v>
      </c>
      <c r="K1206" s="814" t="s">
        <v>1059</v>
      </c>
      <c r="L1206" s="814" t="s">
        <v>1059</v>
      </c>
      <c r="M1206" s="814" t="s">
        <v>1059</v>
      </c>
      <c r="N1206" s="814" t="s">
        <v>1059</v>
      </c>
      <c r="O1206" s="814" t="s">
        <v>1059</v>
      </c>
      <c r="P1206" s="814" t="s">
        <v>1059</v>
      </c>
      <c r="Q1206" s="814" t="s">
        <v>1059</v>
      </c>
      <c r="R1206" s="814" t="s">
        <v>1059</v>
      </c>
      <c r="S1206" s="814" t="s">
        <v>1059</v>
      </c>
      <c r="T1206" s="814" t="s">
        <v>1059</v>
      </c>
      <c r="U1206" s="814" t="s">
        <v>1059</v>
      </c>
      <c r="V1206" s="814" t="s">
        <v>1059</v>
      </c>
      <c r="W1206" s="814" t="s">
        <v>1059</v>
      </c>
      <c r="X1206" s="814" t="s">
        <v>1059</v>
      </c>
      <c r="Y1206" s="814" t="s">
        <v>1059</v>
      </c>
      <c r="Z1206" s="814" t="s">
        <v>1059</v>
      </c>
      <c r="AA1206" s="814" t="s">
        <v>1059</v>
      </c>
      <c r="AB1206" s="814" t="s">
        <v>1059</v>
      </c>
      <c r="AC1206" s="814" t="s">
        <v>1059</v>
      </c>
      <c r="AD1206" s="814" t="s">
        <v>1059</v>
      </c>
      <c r="AE1206" s="814" t="s">
        <v>1059</v>
      </c>
      <c r="AF1206" s="814" t="s">
        <v>1059</v>
      </c>
      <c r="AG1206" s="814" t="s">
        <v>1059</v>
      </c>
      <c r="AH1206" s="814" t="s">
        <v>1059</v>
      </c>
      <c r="AI1206" s="814" t="s">
        <v>1059</v>
      </c>
      <c r="AJ1206" s="814" t="s">
        <v>1059</v>
      </c>
      <c r="AK1206" s="814" t="s">
        <v>1059</v>
      </c>
      <c r="AL1206" s="814" t="s">
        <v>1060</v>
      </c>
    </row>
    <row r="1207" spans="1:38" ht="12.6">
      <c r="A1207" s="990" t="s">
        <v>1304</v>
      </c>
      <c r="B1207" s="991" t="s">
        <v>1303</v>
      </c>
      <c r="C1207" s="991" t="s">
        <v>1062</v>
      </c>
      <c r="D1207" s="991" t="s">
        <v>129</v>
      </c>
      <c r="E1207" s="991"/>
      <c r="F1207" s="813" t="s">
        <v>1063</v>
      </c>
      <c r="G1207" s="813" t="s">
        <v>1063</v>
      </c>
      <c r="H1207" s="813" t="s">
        <v>1063</v>
      </c>
      <c r="I1207" s="813" t="s">
        <v>1063</v>
      </c>
      <c r="J1207" s="813" t="s">
        <v>1063</v>
      </c>
      <c r="K1207" s="813" t="s">
        <v>1063</v>
      </c>
      <c r="L1207" s="813" t="s">
        <v>1063</v>
      </c>
      <c r="M1207" s="813" t="s">
        <v>1063</v>
      </c>
      <c r="N1207" s="813" t="s">
        <v>1063</v>
      </c>
      <c r="O1207" s="813" t="s">
        <v>1063</v>
      </c>
      <c r="P1207" s="813" t="s">
        <v>1063</v>
      </c>
      <c r="Q1207" s="813" t="s">
        <v>1063</v>
      </c>
      <c r="R1207" s="813" t="s">
        <v>1063</v>
      </c>
      <c r="S1207" s="813" t="s">
        <v>1063</v>
      </c>
      <c r="T1207" s="813" t="s">
        <v>1063</v>
      </c>
      <c r="U1207" s="813" t="s">
        <v>1063</v>
      </c>
      <c r="V1207" s="813" t="s">
        <v>1063</v>
      </c>
      <c r="W1207" s="813" t="s">
        <v>1063</v>
      </c>
      <c r="X1207" s="813" t="s">
        <v>1063</v>
      </c>
      <c r="Y1207" s="813" t="s">
        <v>1063</v>
      </c>
      <c r="Z1207" s="813" t="s">
        <v>1063</v>
      </c>
      <c r="AA1207" s="813" t="s">
        <v>1063</v>
      </c>
      <c r="AB1207" s="813" t="s">
        <v>1063</v>
      </c>
      <c r="AC1207" s="813" t="s">
        <v>1063</v>
      </c>
      <c r="AD1207" s="813" t="s">
        <v>1063</v>
      </c>
      <c r="AE1207" s="813" t="s">
        <v>1063</v>
      </c>
      <c r="AF1207" s="813" t="s">
        <v>1063</v>
      </c>
      <c r="AG1207" s="813" t="s">
        <v>1063</v>
      </c>
      <c r="AH1207" s="813" t="s">
        <v>1063</v>
      </c>
      <c r="AI1207" s="813" t="s">
        <v>1063</v>
      </c>
      <c r="AJ1207" s="813" t="s">
        <v>1063</v>
      </c>
      <c r="AK1207" s="813" t="s">
        <v>1063</v>
      </c>
      <c r="AL1207" s="813" t="s">
        <v>1063</v>
      </c>
    </row>
    <row r="1208" spans="1:38" s="792" customFormat="1" ht="14.25" customHeight="1">
      <c r="A1208" s="989" t="s">
        <v>638</v>
      </c>
      <c r="B1208" s="791"/>
      <c r="C1208" s="791"/>
      <c r="D1208" s="791"/>
      <c r="E1208" s="791"/>
      <c r="F1208" s="790"/>
      <c r="G1208" s="790"/>
      <c r="H1208" s="790"/>
      <c r="I1208" s="790"/>
      <c r="J1208" s="790"/>
      <c r="K1208" s="790"/>
      <c r="L1208" s="790"/>
      <c r="M1208" s="790"/>
      <c r="N1208" s="790"/>
      <c r="O1208" s="790"/>
      <c r="P1208" s="790"/>
      <c r="Q1208" s="790"/>
      <c r="R1208" s="790"/>
      <c r="S1208" s="790"/>
      <c r="T1208" s="790"/>
      <c r="U1208" s="790"/>
      <c r="V1208" s="790"/>
      <c r="W1208" s="790"/>
      <c r="X1208" s="790"/>
      <c r="Y1208" s="790"/>
      <c r="Z1208" s="790"/>
      <c r="AA1208" s="790"/>
      <c r="AB1208" s="790"/>
      <c r="AC1208" s="790"/>
      <c r="AD1208" s="790"/>
      <c r="AE1208" s="790"/>
      <c r="AF1208" s="790"/>
      <c r="AG1208" s="790"/>
      <c r="AH1208" s="790"/>
      <c r="AI1208" s="790"/>
      <c r="AJ1208" s="790"/>
      <c r="AK1208" s="790"/>
      <c r="AL1208" s="790"/>
    </row>
    <row r="1209" spans="1:38" ht="12.6">
      <c r="A1209" s="990" t="s">
        <v>1305</v>
      </c>
      <c r="B1209" s="991" t="s">
        <v>1306</v>
      </c>
      <c r="C1209" s="991" t="s">
        <v>1058</v>
      </c>
      <c r="D1209" s="991" t="s">
        <v>129</v>
      </c>
      <c r="E1209" s="991"/>
      <c r="F1209" s="813" t="s">
        <v>1059</v>
      </c>
      <c r="G1209" s="813" t="s">
        <v>1059</v>
      </c>
      <c r="H1209" s="813" t="s">
        <v>1059</v>
      </c>
      <c r="I1209" s="813" t="s">
        <v>1059</v>
      </c>
      <c r="J1209" s="813" t="s">
        <v>1059</v>
      </c>
      <c r="K1209" s="813" t="s">
        <v>1059</v>
      </c>
      <c r="L1209" s="813" t="s">
        <v>1059</v>
      </c>
      <c r="M1209" s="813" t="s">
        <v>1059</v>
      </c>
      <c r="N1209" s="813" t="s">
        <v>1059</v>
      </c>
      <c r="O1209" s="813" t="s">
        <v>1059</v>
      </c>
      <c r="P1209" s="813" t="s">
        <v>1059</v>
      </c>
      <c r="Q1209" s="813" t="s">
        <v>1059</v>
      </c>
      <c r="R1209" s="813" t="s">
        <v>1059</v>
      </c>
      <c r="S1209" s="813" t="s">
        <v>1059</v>
      </c>
      <c r="T1209" s="813" t="s">
        <v>1059</v>
      </c>
      <c r="U1209" s="813" t="s">
        <v>1059</v>
      </c>
      <c r="V1209" s="813" t="s">
        <v>1059</v>
      </c>
      <c r="W1209" s="813" t="s">
        <v>1059</v>
      </c>
      <c r="X1209" s="813" t="s">
        <v>1059</v>
      </c>
      <c r="Y1209" s="813" t="s">
        <v>1059</v>
      </c>
      <c r="Z1209" s="813" t="s">
        <v>1059</v>
      </c>
      <c r="AA1209" s="813" t="s">
        <v>1059</v>
      </c>
      <c r="AB1209" s="813" t="s">
        <v>1059</v>
      </c>
      <c r="AC1209" s="813" t="s">
        <v>1059</v>
      </c>
      <c r="AD1209" s="813" t="s">
        <v>1059</v>
      </c>
      <c r="AE1209" s="813" t="s">
        <v>1059</v>
      </c>
      <c r="AF1209" s="813" t="s">
        <v>1059</v>
      </c>
      <c r="AG1209" s="813" t="s">
        <v>1059</v>
      </c>
      <c r="AH1209" s="813" t="s">
        <v>1059</v>
      </c>
      <c r="AI1209" s="813" t="s">
        <v>1059</v>
      </c>
      <c r="AJ1209" s="813" t="s">
        <v>1059</v>
      </c>
      <c r="AK1209" s="813" t="s">
        <v>1059</v>
      </c>
      <c r="AL1209" s="813" t="s">
        <v>1060</v>
      </c>
    </row>
    <row r="1210" spans="1:38" ht="12.6">
      <c r="A1210" s="990" t="s">
        <v>1307</v>
      </c>
      <c r="B1210" s="991" t="s">
        <v>1306</v>
      </c>
      <c r="C1210" s="991" t="s">
        <v>1062</v>
      </c>
      <c r="D1210" s="991" t="s">
        <v>129</v>
      </c>
      <c r="E1210" s="991"/>
      <c r="F1210" s="813" t="s">
        <v>1063</v>
      </c>
      <c r="G1210" s="813" t="s">
        <v>1063</v>
      </c>
      <c r="H1210" s="813" t="s">
        <v>1063</v>
      </c>
      <c r="I1210" s="813" t="s">
        <v>1063</v>
      </c>
      <c r="J1210" s="813" t="s">
        <v>1063</v>
      </c>
      <c r="K1210" s="813" t="s">
        <v>1063</v>
      </c>
      <c r="L1210" s="813" t="s">
        <v>1063</v>
      </c>
      <c r="M1210" s="813" t="s">
        <v>1063</v>
      </c>
      <c r="N1210" s="813" t="s">
        <v>1063</v>
      </c>
      <c r="O1210" s="813" t="s">
        <v>1063</v>
      </c>
      <c r="P1210" s="813" t="s">
        <v>1063</v>
      </c>
      <c r="Q1210" s="813" t="s">
        <v>1063</v>
      </c>
      <c r="R1210" s="813" t="s">
        <v>1063</v>
      </c>
      <c r="S1210" s="813" t="s">
        <v>1063</v>
      </c>
      <c r="T1210" s="813" t="s">
        <v>1063</v>
      </c>
      <c r="U1210" s="813" t="s">
        <v>1063</v>
      </c>
      <c r="V1210" s="813" t="s">
        <v>1063</v>
      </c>
      <c r="W1210" s="813" t="s">
        <v>1063</v>
      </c>
      <c r="X1210" s="813" t="s">
        <v>1063</v>
      </c>
      <c r="Y1210" s="813" t="s">
        <v>1063</v>
      </c>
      <c r="Z1210" s="813" t="s">
        <v>1063</v>
      </c>
      <c r="AA1210" s="813" t="s">
        <v>1063</v>
      </c>
      <c r="AB1210" s="813" t="s">
        <v>1063</v>
      </c>
      <c r="AC1210" s="813" t="s">
        <v>1063</v>
      </c>
      <c r="AD1210" s="813" t="s">
        <v>1063</v>
      </c>
      <c r="AE1210" s="813" t="s">
        <v>1063</v>
      </c>
      <c r="AF1210" s="813" t="s">
        <v>1063</v>
      </c>
      <c r="AG1210" s="813" t="s">
        <v>1063</v>
      </c>
      <c r="AH1210" s="813" t="s">
        <v>1063</v>
      </c>
      <c r="AI1210" s="813" t="s">
        <v>1063</v>
      </c>
      <c r="AJ1210" s="813" t="s">
        <v>1063</v>
      </c>
      <c r="AK1210" s="813" t="s">
        <v>1063</v>
      </c>
      <c r="AL1210" s="813" t="s">
        <v>1063</v>
      </c>
    </row>
    <row r="1211" spans="1:38" s="792" customFormat="1" ht="14.25" customHeight="1">
      <c r="A1211" s="989" t="s">
        <v>644</v>
      </c>
      <c r="B1211" s="791"/>
      <c r="C1211" s="791"/>
      <c r="D1211" s="791"/>
      <c r="E1211" s="791"/>
      <c r="F1211" s="790"/>
      <c r="G1211" s="790"/>
      <c r="H1211" s="790"/>
      <c r="I1211" s="790"/>
      <c r="J1211" s="790"/>
      <c r="K1211" s="790"/>
      <c r="L1211" s="790"/>
      <c r="M1211" s="790"/>
      <c r="N1211" s="790"/>
      <c r="O1211" s="790"/>
      <c r="P1211" s="790"/>
      <c r="Q1211" s="790"/>
      <c r="R1211" s="790"/>
      <c r="S1211" s="790"/>
      <c r="T1211" s="790"/>
      <c r="U1211" s="790"/>
      <c r="V1211" s="790"/>
      <c r="W1211" s="790"/>
      <c r="X1211" s="790"/>
      <c r="Y1211" s="790"/>
      <c r="Z1211" s="790"/>
      <c r="AA1211" s="790"/>
      <c r="AB1211" s="790"/>
      <c r="AC1211" s="790"/>
      <c r="AD1211" s="790"/>
      <c r="AE1211" s="790"/>
      <c r="AF1211" s="790"/>
      <c r="AG1211" s="790"/>
      <c r="AH1211" s="790"/>
      <c r="AI1211" s="790"/>
      <c r="AJ1211" s="790"/>
      <c r="AK1211" s="790"/>
      <c r="AL1211" s="790"/>
    </row>
    <row r="1212" spans="1:38" ht="12.6">
      <c r="A1212" s="990" t="s">
        <v>1308</v>
      </c>
      <c r="B1212" s="991" t="s">
        <v>1309</v>
      </c>
      <c r="C1212" s="991" t="s">
        <v>1058</v>
      </c>
      <c r="D1212" s="991" t="s">
        <v>129</v>
      </c>
      <c r="E1212" s="991"/>
      <c r="F1212" s="813" t="s">
        <v>1059</v>
      </c>
      <c r="G1212" s="813" t="s">
        <v>1059</v>
      </c>
      <c r="H1212" s="813" t="s">
        <v>1059</v>
      </c>
      <c r="I1212" s="813" t="s">
        <v>1059</v>
      </c>
      <c r="J1212" s="813" t="s">
        <v>1059</v>
      </c>
      <c r="K1212" s="813" t="s">
        <v>1059</v>
      </c>
      <c r="L1212" s="813" t="s">
        <v>1059</v>
      </c>
      <c r="M1212" s="813" t="s">
        <v>1059</v>
      </c>
      <c r="N1212" s="813" t="s">
        <v>1059</v>
      </c>
      <c r="O1212" s="813" t="s">
        <v>1059</v>
      </c>
      <c r="P1212" s="813" t="s">
        <v>1059</v>
      </c>
      <c r="Q1212" s="813" t="s">
        <v>1059</v>
      </c>
      <c r="R1212" s="813" t="s">
        <v>1059</v>
      </c>
      <c r="S1212" s="813" t="s">
        <v>1059</v>
      </c>
      <c r="T1212" s="813" t="s">
        <v>1059</v>
      </c>
      <c r="U1212" s="813" t="s">
        <v>1059</v>
      </c>
      <c r="V1212" s="813" t="s">
        <v>1059</v>
      </c>
      <c r="W1212" s="813" t="s">
        <v>1059</v>
      </c>
      <c r="X1212" s="813" t="s">
        <v>1059</v>
      </c>
      <c r="Y1212" s="813" t="s">
        <v>1059</v>
      </c>
      <c r="Z1212" s="813" t="s">
        <v>1059</v>
      </c>
      <c r="AA1212" s="813" t="s">
        <v>1059</v>
      </c>
      <c r="AB1212" s="813" t="s">
        <v>1059</v>
      </c>
      <c r="AC1212" s="813" t="s">
        <v>1059</v>
      </c>
      <c r="AD1212" s="813" t="s">
        <v>1059</v>
      </c>
      <c r="AE1212" s="813" t="s">
        <v>1059</v>
      </c>
      <c r="AF1212" s="813" t="s">
        <v>1059</v>
      </c>
      <c r="AG1212" s="813" t="s">
        <v>1059</v>
      </c>
      <c r="AH1212" s="813" t="s">
        <v>1059</v>
      </c>
      <c r="AI1212" s="813" t="s">
        <v>1059</v>
      </c>
      <c r="AJ1212" s="813" t="s">
        <v>1059</v>
      </c>
      <c r="AK1212" s="813" t="s">
        <v>1059</v>
      </c>
      <c r="AL1212" s="813" t="s">
        <v>1060</v>
      </c>
    </row>
    <row r="1213" spans="1:38" ht="12.6">
      <c r="A1213" s="990" t="s">
        <v>1310</v>
      </c>
      <c r="B1213" s="991" t="s">
        <v>1309</v>
      </c>
      <c r="C1213" s="991" t="s">
        <v>1062</v>
      </c>
      <c r="D1213" s="991" t="s">
        <v>129</v>
      </c>
      <c r="E1213" s="991"/>
      <c r="F1213" s="813" t="s">
        <v>1063</v>
      </c>
      <c r="G1213" s="813" t="s">
        <v>1063</v>
      </c>
      <c r="H1213" s="813" t="s">
        <v>1063</v>
      </c>
      <c r="I1213" s="813" t="s">
        <v>1063</v>
      </c>
      <c r="J1213" s="813" t="s">
        <v>1063</v>
      </c>
      <c r="K1213" s="813" t="s">
        <v>1063</v>
      </c>
      <c r="L1213" s="813" t="s">
        <v>1063</v>
      </c>
      <c r="M1213" s="813" t="s">
        <v>1063</v>
      </c>
      <c r="N1213" s="813" t="s">
        <v>1063</v>
      </c>
      <c r="O1213" s="813" t="s">
        <v>1063</v>
      </c>
      <c r="P1213" s="813" t="s">
        <v>1063</v>
      </c>
      <c r="Q1213" s="813" t="s">
        <v>1063</v>
      </c>
      <c r="R1213" s="813" t="s">
        <v>1063</v>
      </c>
      <c r="S1213" s="813" t="s">
        <v>1063</v>
      </c>
      <c r="T1213" s="813" t="s">
        <v>1063</v>
      </c>
      <c r="U1213" s="813" t="s">
        <v>1063</v>
      </c>
      <c r="V1213" s="813" t="s">
        <v>1063</v>
      </c>
      <c r="W1213" s="813" t="s">
        <v>1063</v>
      </c>
      <c r="X1213" s="813" t="s">
        <v>1063</v>
      </c>
      <c r="Y1213" s="813" t="s">
        <v>1063</v>
      </c>
      <c r="Z1213" s="813" t="s">
        <v>1063</v>
      </c>
      <c r="AA1213" s="813" t="s">
        <v>1063</v>
      </c>
      <c r="AB1213" s="813" t="s">
        <v>1063</v>
      </c>
      <c r="AC1213" s="813" t="s">
        <v>1063</v>
      </c>
      <c r="AD1213" s="813" t="s">
        <v>1063</v>
      </c>
      <c r="AE1213" s="813" t="s">
        <v>1063</v>
      </c>
      <c r="AF1213" s="813" t="s">
        <v>1063</v>
      </c>
      <c r="AG1213" s="813" t="s">
        <v>1063</v>
      </c>
      <c r="AH1213" s="813" t="s">
        <v>1063</v>
      </c>
      <c r="AI1213" s="813" t="s">
        <v>1063</v>
      </c>
      <c r="AJ1213" s="813" t="s">
        <v>1063</v>
      </c>
      <c r="AK1213" s="813" t="s">
        <v>1063</v>
      </c>
      <c r="AL1213" s="813" t="s">
        <v>1063</v>
      </c>
    </row>
    <row r="1214" spans="1:38" s="792" customFormat="1" ht="14.25" customHeight="1">
      <c r="A1214" s="989" t="s">
        <v>650</v>
      </c>
      <c r="B1214" s="791"/>
      <c r="C1214" s="791"/>
      <c r="D1214" s="791"/>
      <c r="E1214" s="791"/>
      <c r="F1214" s="790"/>
      <c r="G1214" s="790"/>
      <c r="H1214" s="790"/>
      <c r="I1214" s="790"/>
      <c r="J1214" s="790"/>
      <c r="K1214" s="790"/>
      <c r="L1214" s="790"/>
      <c r="M1214" s="790"/>
      <c r="N1214" s="790"/>
      <c r="O1214" s="790"/>
      <c r="P1214" s="790"/>
      <c r="Q1214" s="790"/>
      <c r="R1214" s="790"/>
      <c r="S1214" s="790"/>
      <c r="T1214" s="790"/>
      <c r="U1214" s="790"/>
      <c r="V1214" s="790"/>
      <c r="W1214" s="790"/>
      <c r="X1214" s="790"/>
      <c r="Y1214" s="790"/>
      <c r="Z1214" s="790"/>
      <c r="AA1214" s="790"/>
      <c r="AB1214" s="790"/>
      <c r="AC1214" s="790"/>
      <c r="AD1214" s="790"/>
      <c r="AE1214" s="790"/>
      <c r="AF1214" s="790"/>
      <c r="AG1214" s="790"/>
      <c r="AH1214" s="790"/>
      <c r="AI1214" s="790"/>
      <c r="AJ1214" s="790"/>
      <c r="AK1214" s="790"/>
      <c r="AL1214" s="790"/>
    </row>
    <row r="1215" spans="1:38" ht="12.6">
      <c r="A1215" s="990" t="s">
        <v>1311</v>
      </c>
      <c r="B1215" s="991" t="s">
        <v>1312</v>
      </c>
      <c r="C1215" s="991" t="s">
        <v>1058</v>
      </c>
      <c r="D1215" s="991" t="s">
        <v>129</v>
      </c>
      <c r="E1215" s="991"/>
      <c r="F1215" s="813" t="s">
        <v>106</v>
      </c>
      <c r="G1215" s="813" t="s">
        <v>106</v>
      </c>
      <c r="H1215" s="813" t="s">
        <v>106</v>
      </c>
      <c r="I1215" s="813" t="s">
        <v>106</v>
      </c>
      <c r="J1215" s="813" t="s">
        <v>106</v>
      </c>
      <c r="K1215" s="813" t="s">
        <v>106</v>
      </c>
      <c r="L1215" s="813" t="s">
        <v>106</v>
      </c>
      <c r="M1215" s="813" t="s">
        <v>106</v>
      </c>
      <c r="N1215" s="813" t="s">
        <v>106</v>
      </c>
      <c r="O1215" s="813" t="s">
        <v>106</v>
      </c>
      <c r="P1215" s="813" t="s">
        <v>106</v>
      </c>
      <c r="Q1215" s="813" t="s">
        <v>106</v>
      </c>
      <c r="R1215" s="813" t="s">
        <v>106</v>
      </c>
      <c r="S1215" s="813" t="s">
        <v>106</v>
      </c>
      <c r="T1215" s="813" t="s">
        <v>106</v>
      </c>
      <c r="U1215" s="813" t="s">
        <v>106</v>
      </c>
      <c r="V1215" s="813" t="s">
        <v>106</v>
      </c>
      <c r="W1215" s="813" t="s">
        <v>106</v>
      </c>
      <c r="X1215" s="813" t="s">
        <v>106</v>
      </c>
      <c r="Y1215" s="813" t="s">
        <v>106</v>
      </c>
      <c r="Z1215" s="813" t="s">
        <v>106</v>
      </c>
      <c r="AA1215" s="813" t="s">
        <v>106</v>
      </c>
      <c r="AB1215" s="813" t="s">
        <v>106</v>
      </c>
      <c r="AC1215" s="813" t="s">
        <v>106</v>
      </c>
      <c r="AD1215" s="813" t="s">
        <v>106</v>
      </c>
      <c r="AE1215" s="813" t="s">
        <v>106</v>
      </c>
      <c r="AF1215" s="813" t="s">
        <v>106</v>
      </c>
      <c r="AG1215" s="813" t="s">
        <v>106</v>
      </c>
      <c r="AH1215" s="813" t="s">
        <v>106</v>
      </c>
      <c r="AI1215" s="813" t="s">
        <v>106</v>
      </c>
      <c r="AJ1215" s="813" t="s">
        <v>106</v>
      </c>
      <c r="AK1215" s="813" t="s">
        <v>106</v>
      </c>
      <c r="AL1215" s="813" t="s">
        <v>106</v>
      </c>
    </row>
    <row r="1216" spans="1:38" ht="12.6">
      <c r="A1216" s="990" t="s">
        <v>1313</v>
      </c>
      <c r="B1216" s="991" t="s">
        <v>1312</v>
      </c>
      <c r="C1216" s="991" t="s">
        <v>1062</v>
      </c>
      <c r="D1216" s="991" t="s">
        <v>129</v>
      </c>
      <c r="E1216" s="991"/>
      <c r="F1216" s="813" t="s">
        <v>106</v>
      </c>
      <c r="G1216" s="813" t="s">
        <v>106</v>
      </c>
      <c r="H1216" s="813" t="s">
        <v>106</v>
      </c>
      <c r="I1216" s="813" t="s">
        <v>106</v>
      </c>
      <c r="J1216" s="813" t="s">
        <v>106</v>
      </c>
      <c r="K1216" s="813" t="s">
        <v>106</v>
      </c>
      <c r="L1216" s="813" t="s">
        <v>106</v>
      </c>
      <c r="M1216" s="813" t="s">
        <v>106</v>
      </c>
      <c r="N1216" s="813" t="s">
        <v>106</v>
      </c>
      <c r="O1216" s="813" t="s">
        <v>106</v>
      </c>
      <c r="P1216" s="813" t="s">
        <v>106</v>
      </c>
      <c r="Q1216" s="813" t="s">
        <v>106</v>
      </c>
      <c r="R1216" s="813" t="s">
        <v>106</v>
      </c>
      <c r="S1216" s="813" t="s">
        <v>106</v>
      </c>
      <c r="T1216" s="813" t="s">
        <v>106</v>
      </c>
      <c r="U1216" s="813" t="s">
        <v>106</v>
      </c>
      <c r="V1216" s="813" t="s">
        <v>106</v>
      </c>
      <c r="W1216" s="813" t="s">
        <v>106</v>
      </c>
      <c r="X1216" s="813" t="s">
        <v>106</v>
      </c>
      <c r="Y1216" s="813" t="s">
        <v>106</v>
      </c>
      <c r="Z1216" s="813" t="s">
        <v>106</v>
      </c>
      <c r="AA1216" s="813" t="s">
        <v>106</v>
      </c>
      <c r="AB1216" s="813" t="s">
        <v>106</v>
      </c>
      <c r="AC1216" s="813" t="s">
        <v>106</v>
      </c>
      <c r="AD1216" s="813" t="s">
        <v>106</v>
      </c>
      <c r="AE1216" s="813" t="s">
        <v>106</v>
      </c>
      <c r="AF1216" s="813" t="s">
        <v>106</v>
      </c>
      <c r="AG1216" s="813" t="s">
        <v>106</v>
      </c>
      <c r="AH1216" s="813" t="s">
        <v>106</v>
      </c>
      <c r="AI1216" s="813" t="s">
        <v>106</v>
      </c>
      <c r="AJ1216" s="813" t="s">
        <v>106</v>
      </c>
      <c r="AK1216" s="813" t="s">
        <v>106</v>
      </c>
      <c r="AL1216" s="813" t="s">
        <v>106</v>
      </c>
    </row>
    <row r="1217" spans="1:38" s="792" customFormat="1" ht="14.25" customHeight="1">
      <c r="A1217" s="989" t="s">
        <v>656</v>
      </c>
      <c r="B1217" s="791"/>
      <c r="C1217" s="791"/>
      <c r="D1217" s="791"/>
      <c r="E1217" s="791"/>
      <c r="F1217" s="790"/>
      <c r="G1217" s="790"/>
      <c r="H1217" s="790"/>
      <c r="I1217" s="790"/>
      <c r="J1217" s="790"/>
      <c r="K1217" s="790"/>
      <c r="L1217" s="790"/>
      <c r="M1217" s="790"/>
      <c r="N1217" s="790"/>
      <c r="O1217" s="790"/>
      <c r="P1217" s="790"/>
      <c r="Q1217" s="790"/>
      <c r="R1217" s="790"/>
      <c r="S1217" s="790"/>
      <c r="T1217" s="790"/>
      <c r="U1217" s="790"/>
      <c r="V1217" s="790"/>
      <c r="W1217" s="790"/>
      <c r="X1217" s="790"/>
      <c r="Y1217" s="790"/>
      <c r="Z1217" s="790"/>
      <c r="AA1217" s="790"/>
      <c r="AB1217" s="790"/>
      <c r="AC1217" s="790"/>
      <c r="AD1217" s="790"/>
      <c r="AE1217" s="790"/>
      <c r="AF1217" s="790"/>
      <c r="AG1217" s="790"/>
      <c r="AH1217" s="790"/>
      <c r="AI1217" s="790"/>
      <c r="AJ1217" s="790"/>
      <c r="AK1217" s="790"/>
      <c r="AL1217" s="790"/>
    </row>
    <row r="1218" spans="1:38" ht="12.6">
      <c r="A1218" s="990" t="s">
        <v>1314</v>
      </c>
      <c r="B1218" s="991" t="s">
        <v>1315</v>
      </c>
      <c r="C1218" s="991" t="s">
        <v>1058</v>
      </c>
      <c r="D1218" s="991" t="s">
        <v>129</v>
      </c>
      <c r="E1218" s="991"/>
      <c r="F1218" s="813" t="s">
        <v>106</v>
      </c>
      <c r="G1218" s="813" t="s">
        <v>106</v>
      </c>
      <c r="H1218" s="813" t="s">
        <v>106</v>
      </c>
      <c r="I1218" s="813" t="s">
        <v>106</v>
      </c>
      <c r="J1218" s="813" t="s">
        <v>106</v>
      </c>
      <c r="K1218" s="813" t="s">
        <v>106</v>
      </c>
      <c r="L1218" s="813" t="s">
        <v>106</v>
      </c>
      <c r="M1218" s="813" t="s">
        <v>106</v>
      </c>
      <c r="N1218" s="813" t="s">
        <v>106</v>
      </c>
      <c r="O1218" s="813" t="s">
        <v>106</v>
      </c>
      <c r="P1218" s="813" t="s">
        <v>106</v>
      </c>
      <c r="Q1218" s="813" t="s">
        <v>106</v>
      </c>
      <c r="R1218" s="813" t="s">
        <v>106</v>
      </c>
      <c r="S1218" s="813" t="s">
        <v>106</v>
      </c>
      <c r="T1218" s="813" t="s">
        <v>106</v>
      </c>
      <c r="U1218" s="813" t="s">
        <v>106</v>
      </c>
      <c r="V1218" s="813" t="s">
        <v>106</v>
      </c>
      <c r="W1218" s="813" t="s">
        <v>106</v>
      </c>
      <c r="X1218" s="813" t="s">
        <v>106</v>
      </c>
      <c r="Y1218" s="813" t="s">
        <v>106</v>
      </c>
      <c r="Z1218" s="813" t="s">
        <v>106</v>
      </c>
      <c r="AA1218" s="813" t="s">
        <v>106</v>
      </c>
      <c r="AB1218" s="813" t="s">
        <v>106</v>
      </c>
      <c r="AC1218" s="813" t="s">
        <v>106</v>
      </c>
      <c r="AD1218" s="813" t="s">
        <v>106</v>
      </c>
      <c r="AE1218" s="813" t="s">
        <v>106</v>
      </c>
      <c r="AF1218" s="813" t="s">
        <v>106</v>
      </c>
      <c r="AG1218" s="813" t="s">
        <v>106</v>
      </c>
      <c r="AH1218" s="813" t="s">
        <v>106</v>
      </c>
      <c r="AI1218" s="813" t="s">
        <v>106</v>
      </c>
      <c r="AJ1218" s="813" t="s">
        <v>106</v>
      </c>
      <c r="AK1218" s="813" t="s">
        <v>106</v>
      </c>
      <c r="AL1218" s="813" t="s">
        <v>106</v>
      </c>
    </row>
    <row r="1219" spans="1:38" ht="12.95" thickBot="1">
      <c r="A1219" s="993" t="s">
        <v>1316</v>
      </c>
      <c r="B1219" s="994" t="s">
        <v>1315</v>
      </c>
      <c r="C1219" s="994" t="s">
        <v>1062</v>
      </c>
      <c r="D1219" s="994" t="s">
        <v>129</v>
      </c>
      <c r="E1219" s="994"/>
      <c r="F1219" s="331" t="s">
        <v>106</v>
      </c>
      <c r="G1219" s="331" t="s">
        <v>106</v>
      </c>
      <c r="H1219" s="331" t="s">
        <v>106</v>
      </c>
      <c r="I1219" s="331" t="s">
        <v>106</v>
      </c>
      <c r="J1219" s="331" t="s">
        <v>106</v>
      </c>
      <c r="K1219" s="331" t="s">
        <v>106</v>
      </c>
      <c r="L1219" s="331" t="s">
        <v>106</v>
      </c>
      <c r="M1219" s="331" t="s">
        <v>106</v>
      </c>
      <c r="N1219" s="331" t="s">
        <v>106</v>
      </c>
      <c r="O1219" s="331" t="s">
        <v>106</v>
      </c>
      <c r="P1219" s="331" t="s">
        <v>106</v>
      </c>
      <c r="Q1219" s="331" t="s">
        <v>106</v>
      </c>
      <c r="R1219" s="331" t="s">
        <v>106</v>
      </c>
      <c r="S1219" s="331" t="s">
        <v>106</v>
      </c>
      <c r="T1219" s="331" t="s">
        <v>106</v>
      </c>
      <c r="U1219" s="331" t="s">
        <v>106</v>
      </c>
      <c r="V1219" s="331" t="s">
        <v>106</v>
      </c>
      <c r="W1219" s="331" t="s">
        <v>106</v>
      </c>
      <c r="X1219" s="331" t="s">
        <v>106</v>
      </c>
      <c r="Y1219" s="331" t="s">
        <v>106</v>
      </c>
      <c r="Z1219" s="331" t="s">
        <v>106</v>
      </c>
      <c r="AA1219" s="331" t="s">
        <v>106</v>
      </c>
      <c r="AB1219" s="331" t="s">
        <v>106</v>
      </c>
      <c r="AC1219" s="331" t="s">
        <v>106</v>
      </c>
      <c r="AD1219" s="331" t="s">
        <v>106</v>
      </c>
      <c r="AE1219" s="331" t="s">
        <v>106</v>
      </c>
      <c r="AF1219" s="331" t="s">
        <v>106</v>
      </c>
      <c r="AG1219" s="331" t="s">
        <v>106</v>
      </c>
      <c r="AH1219" s="331" t="s">
        <v>106</v>
      </c>
      <c r="AI1219" s="331" t="s">
        <v>106</v>
      </c>
      <c r="AJ1219" s="331" t="s">
        <v>106</v>
      </c>
      <c r="AK1219" s="331" t="s">
        <v>106</v>
      </c>
      <c r="AL1219" s="331" t="s">
        <v>106</v>
      </c>
    </row>
    <row r="1220" spans="1:38" s="797" customFormat="1" ht="12.95">
      <c r="A1220" s="796" t="s">
        <v>727</v>
      </c>
      <c r="B1220" s="796"/>
      <c r="C1220" s="796"/>
      <c r="D1220" s="796"/>
      <c r="E1220" s="796"/>
      <c r="F1220" s="795"/>
      <c r="G1220" s="795"/>
      <c r="H1220" s="795"/>
      <c r="I1220" s="795"/>
      <c r="J1220" s="795"/>
      <c r="K1220" s="795"/>
      <c r="L1220" s="795"/>
      <c r="M1220" s="795"/>
      <c r="N1220" s="795"/>
      <c r="O1220" s="795"/>
      <c r="P1220" s="795"/>
      <c r="Q1220" s="795"/>
      <c r="R1220" s="795"/>
      <c r="S1220" s="795"/>
      <c r="T1220" s="795"/>
      <c r="U1220" s="795"/>
      <c r="V1220" s="795"/>
      <c r="W1220" s="795"/>
      <c r="X1220" s="795"/>
      <c r="Y1220" s="795"/>
      <c r="Z1220" s="795"/>
      <c r="AA1220" s="795"/>
      <c r="AB1220" s="795"/>
      <c r="AC1220" s="795"/>
      <c r="AD1220" s="795"/>
      <c r="AE1220" s="795"/>
      <c r="AF1220" s="795"/>
      <c r="AG1220" s="795"/>
      <c r="AH1220" s="795"/>
      <c r="AI1220" s="795"/>
      <c r="AJ1220" s="795"/>
      <c r="AK1220" s="795"/>
      <c r="AL1220" s="795"/>
    </row>
    <row r="1221" spans="1:38" s="797" customFormat="1" ht="12.95">
      <c r="A1221" s="992" t="s">
        <v>728</v>
      </c>
      <c r="B1221" s="796"/>
      <c r="C1221" s="796"/>
      <c r="D1221" s="796"/>
      <c r="E1221" s="796"/>
      <c r="F1221" s="795"/>
      <c r="G1221" s="795"/>
      <c r="H1221" s="795"/>
      <c r="I1221" s="795"/>
      <c r="J1221" s="795"/>
      <c r="K1221" s="795"/>
      <c r="L1221" s="795"/>
      <c r="M1221" s="795"/>
      <c r="N1221" s="795"/>
      <c r="O1221" s="795"/>
      <c r="P1221" s="795"/>
      <c r="Q1221" s="795"/>
      <c r="R1221" s="795"/>
      <c r="S1221" s="795"/>
      <c r="T1221" s="795"/>
      <c r="U1221" s="795"/>
      <c r="V1221" s="795"/>
      <c r="W1221" s="795"/>
      <c r="X1221" s="795"/>
      <c r="Y1221" s="795"/>
      <c r="Z1221" s="795"/>
      <c r="AA1221" s="795"/>
      <c r="AB1221" s="795"/>
      <c r="AC1221" s="795"/>
      <c r="AD1221" s="795"/>
      <c r="AE1221" s="795"/>
      <c r="AF1221" s="795"/>
      <c r="AG1221" s="795"/>
      <c r="AH1221" s="795"/>
      <c r="AI1221" s="795"/>
      <c r="AJ1221" s="795"/>
      <c r="AK1221" s="795"/>
      <c r="AL1221" s="795"/>
    </row>
    <row r="1222" spans="1:38" s="797" customFormat="1" ht="12.95">
      <c r="A1222" s="989" t="s">
        <v>729</v>
      </c>
      <c r="B1222" s="796"/>
      <c r="C1222" s="796"/>
      <c r="D1222" s="796"/>
      <c r="E1222" s="796"/>
      <c r="F1222" s="795"/>
      <c r="G1222" s="795"/>
      <c r="H1222" s="795"/>
      <c r="I1222" s="795"/>
      <c r="J1222" s="795"/>
      <c r="K1222" s="795"/>
      <c r="L1222" s="795"/>
      <c r="M1222" s="795"/>
      <c r="N1222" s="795"/>
      <c r="O1222" s="795"/>
      <c r="P1222" s="795"/>
      <c r="Q1222" s="795"/>
      <c r="R1222" s="795"/>
      <c r="S1222" s="795"/>
      <c r="T1222" s="795"/>
      <c r="U1222" s="795"/>
      <c r="V1222" s="795"/>
      <c r="W1222" s="795"/>
      <c r="X1222" s="795"/>
      <c r="Y1222" s="795"/>
      <c r="Z1222" s="795"/>
      <c r="AA1222" s="795"/>
      <c r="AB1222" s="795"/>
      <c r="AC1222" s="795"/>
      <c r="AD1222" s="795"/>
      <c r="AE1222" s="795"/>
      <c r="AF1222" s="795"/>
      <c r="AG1222" s="795"/>
      <c r="AH1222" s="795"/>
      <c r="AI1222" s="795"/>
      <c r="AJ1222" s="795"/>
      <c r="AK1222" s="795"/>
      <c r="AL1222" s="795"/>
    </row>
    <row r="1223" spans="1:38" ht="12.6">
      <c r="A1223" s="990" t="s">
        <v>1317</v>
      </c>
      <c r="B1223" s="991" t="s">
        <v>1318</v>
      </c>
      <c r="C1223" s="991" t="s">
        <v>1058</v>
      </c>
      <c r="D1223" s="991" t="s">
        <v>129</v>
      </c>
      <c r="E1223" s="991"/>
      <c r="F1223" s="813" t="s">
        <v>1319</v>
      </c>
      <c r="G1223" s="813" t="s">
        <v>1319</v>
      </c>
      <c r="H1223" s="813" t="s">
        <v>1319</v>
      </c>
      <c r="I1223" s="813" t="s">
        <v>1319</v>
      </c>
      <c r="J1223" s="813" t="s">
        <v>1319</v>
      </c>
      <c r="K1223" s="813" t="s">
        <v>1319</v>
      </c>
      <c r="L1223" s="813" t="s">
        <v>1319</v>
      </c>
      <c r="M1223" s="813" t="s">
        <v>1319</v>
      </c>
      <c r="N1223" s="813" t="s">
        <v>1319</v>
      </c>
      <c r="O1223" s="813" t="s">
        <v>1319</v>
      </c>
      <c r="P1223" s="813" t="s">
        <v>1319</v>
      </c>
      <c r="Q1223" s="813" t="s">
        <v>1319</v>
      </c>
      <c r="R1223" s="813" t="s">
        <v>1319</v>
      </c>
      <c r="S1223" s="813" t="s">
        <v>1319</v>
      </c>
      <c r="T1223" s="813" t="s">
        <v>1319</v>
      </c>
      <c r="U1223" s="813" t="s">
        <v>1319</v>
      </c>
      <c r="V1223" s="813" t="s">
        <v>1319</v>
      </c>
      <c r="W1223" s="813" t="s">
        <v>1319</v>
      </c>
      <c r="X1223" s="813" t="s">
        <v>1319</v>
      </c>
      <c r="Y1223" s="813" t="s">
        <v>1319</v>
      </c>
      <c r="Z1223" s="813" t="s">
        <v>1319</v>
      </c>
      <c r="AA1223" s="813" t="s">
        <v>1319</v>
      </c>
      <c r="AB1223" s="813" t="s">
        <v>1319</v>
      </c>
      <c r="AC1223" s="813" t="s">
        <v>1319</v>
      </c>
      <c r="AD1223" s="813" t="s">
        <v>1319</v>
      </c>
      <c r="AE1223" s="813" t="s">
        <v>1319</v>
      </c>
      <c r="AF1223" s="813" t="s">
        <v>1319</v>
      </c>
      <c r="AG1223" s="813" t="s">
        <v>1319</v>
      </c>
      <c r="AH1223" s="813" t="s">
        <v>1319</v>
      </c>
      <c r="AI1223" s="813" t="s">
        <v>1319</v>
      </c>
      <c r="AJ1223" s="813" t="s">
        <v>1319</v>
      </c>
      <c r="AK1223" s="813" t="s">
        <v>1319</v>
      </c>
      <c r="AL1223" s="813" t="s">
        <v>1320</v>
      </c>
    </row>
    <row r="1224" spans="1:38" ht="12.6">
      <c r="A1224" s="990" t="s">
        <v>1321</v>
      </c>
      <c r="B1224" s="991" t="s">
        <v>1318</v>
      </c>
      <c r="C1224" s="991" t="s">
        <v>1062</v>
      </c>
      <c r="D1224" s="991" t="s">
        <v>129</v>
      </c>
      <c r="E1224" s="991"/>
      <c r="F1224" s="813" t="s">
        <v>1063</v>
      </c>
      <c r="G1224" s="813" t="s">
        <v>1063</v>
      </c>
      <c r="H1224" s="813" t="s">
        <v>1063</v>
      </c>
      <c r="I1224" s="813" t="s">
        <v>1063</v>
      </c>
      <c r="J1224" s="813" t="s">
        <v>1063</v>
      </c>
      <c r="K1224" s="813" t="s">
        <v>1063</v>
      </c>
      <c r="L1224" s="813" t="s">
        <v>1063</v>
      </c>
      <c r="M1224" s="813" t="s">
        <v>1063</v>
      </c>
      <c r="N1224" s="813" t="s">
        <v>1063</v>
      </c>
      <c r="O1224" s="813" t="s">
        <v>1063</v>
      </c>
      <c r="P1224" s="813" t="s">
        <v>1063</v>
      </c>
      <c r="Q1224" s="813" t="s">
        <v>1063</v>
      </c>
      <c r="R1224" s="813" t="s">
        <v>1063</v>
      </c>
      <c r="S1224" s="813" t="s">
        <v>1063</v>
      </c>
      <c r="T1224" s="813" t="s">
        <v>1063</v>
      </c>
      <c r="U1224" s="813" t="s">
        <v>1063</v>
      </c>
      <c r="V1224" s="813" t="s">
        <v>1063</v>
      </c>
      <c r="W1224" s="813" t="s">
        <v>1063</v>
      </c>
      <c r="X1224" s="813" t="s">
        <v>1063</v>
      </c>
      <c r="Y1224" s="813" t="s">
        <v>1063</v>
      </c>
      <c r="Z1224" s="813" t="s">
        <v>1063</v>
      </c>
      <c r="AA1224" s="813" t="s">
        <v>1063</v>
      </c>
      <c r="AB1224" s="813" t="s">
        <v>1063</v>
      </c>
      <c r="AC1224" s="813" t="s">
        <v>1063</v>
      </c>
      <c r="AD1224" s="813" t="s">
        <v>1063</v>
      </c>
      <c r="AE1224" s="813" t="s">
        <v>1063</v>
      </c>
      <c r="AF1224" s="813" t="s">
        <v>1063</v>
      </c>
      <c r="AG1224" s="813" t="s">
        <v>1063</v>
      </c>
      <c r="AH1224" s="813" t="s">
        <v>1063</v>
      </c>
      <c r="AI1224" s="813" t="s">
        <v>1063</v>
      </c>
      <c r="AJ1224" s="813" t="s">
        <v>1063</v>
      </c>
      <c r="AK1224" s="813" t="s">
        <v>1063</v>
      </c>
      <c r="AL1224" s="813" t="s">
        <v>1063</v>
      </c>
    </row>
    <row r="1225" spans="1:38" s="797" customFormat="1" ht="12.95">
      <c r="A1225" s="989" t="s">
        <v>736</v>
      </c>
      <c r="B1225" s="796"/>
      <c r="C1225" s="796"/>
      <c r="D1225" s="796"/>
      <c r="E1225" s="796"/>
      <c r="F1225" s="795"/>
      <c r="G1225" s="795"/>
      <c r="H1225" s="795"/>
      <c r="I1225" s="795"/>
      <c r="J1225" s="795"/>
      <c r="K1225" s="795"/>
      <c r="L1225" s="795"/>
      <c r="M1225" s="795"/>
      <c r="N1225" s="795"/>
      <c r="O1225" s="795"/>
      <c r="P1225" s="795"/>
      <c r="Q1225" s="795"/>
      <c r="R1225" s="795"/>
      <c r="S1225" s="795"/>
      <c r="T1225" s="795"/>
      <c r="U1225" s="795"/>
      <c r="V1225" s="795"/>
      <c r="W1225" s="795"/>
      <c r="X1225" s="795"/>
      <c r="Y1225" s="795"/>
      <c r="Z1225" s="795"/>
      <c r="AA1225" s="795"/>
      <c r="AB1225" s="795"/>
      <c r="AC1225" s="795"/>
      <c r="AD1225" s="795"/>
      <c r="AE1225" s="795"/>
      <c r="AF1225" s="795"/>
      <c r="AG1225" s="795"/>
      <c r="AH1225" s="795"/>
      <c r="AI1225" s="795"/>
      <c r="AJ1225" s="795"/>
      <c r="AK1225" s="795"/>
      <c r="AL1225" s="795"/>
    </row>
    <row r="1226" spans="1:38" ht="12.6">
      <c r="A1226" s="990" t="s">
        <v>1322</v>
      </c>
      <c r="B1226" s="991" t="s">
        <v>1323</v>
      </c>
      <c r="C1226" s="991" t="s">
        <v>1058</v>
      </c>
      <c r="D1226" s="991" t="s">
        <v>129</v>
      </c>
      <c r="E1226" s="991"/>
      <c r="F1226" s="813" t="s">
        <v>1319</v>
      </c>
      <c r="G1226" s="813" t="s">
        <v>1319</v>
      </c>
      <c r="H1226" s="813" t="s">
        <v>1319</v>
      </c>
      <c r="I1226" s="813" t="s">
        <v>1319</v>
      </c>
      <c r="J1226" s="813" t="s">
        <v>1319</v>
      </c>
      <c r="K1226" s="813" t="s">
        <v>1319</v>
      </c>
      <c r="L1226" s="813" t="s">
        <v>1319</v>
      </c>
      <c r="M1226" s="813" t="s">
        <v>1319</v>
      </c>
      <c r="N1226" s="813" t="s">
        <v>1319</v>
      </c>
      <c r="O1226" s="813" t="s">
        <v>1319</v>
      </c>
      <c r="P1226" s="813" t="s">
        <v>1319</v>
      </c>
      <c r="Q1226" s="813" t="s">
        <v>1319</v>
      </c>
      <c r="R1226" s="813" t="s">
        <v>1319</v>
      </c>
      <c r="S1226" s="813" t="s">
        <v>1319</v>
      </c>
      <c r="T1226" s="813" t="s">
        <v>1319</v>
      </c>
      <c r="U1226" s="813" t="s">
        <v>1319</v>
      </c>
      <c r="V1226" s="813" t="s">
        <v>1319</v>
      </c>
      <c r="W1226" s="813" t="s">
        <v>1319</v>
      </c>
      <c r="X1226" s="813" t="s">
        <v>1319</v>
      </c>
      <c r="Y1226" s="813" t="s">
        <v>1319</v>
      </c>
      <c r="Z1226" s="813" t="s">
        <v>1319</v>
      </c>
      <c r="AA1226" s="813" t="s">
        <v>1319</v>
      </c>
      <c r="AB1226" s="813" t="s">
        <v>1319</v>
      </c>
      <c r="AC1226" s="813" t="s">
        <v>1319</v>
      </c>
      <c r="AD1226" s="813" t="s">
        <v>1319</v>
      </c>
      <c r="AE1226" s="813" t="s">
        <v>1319</v>
      </c>
      <c r="AF1226" s="813" t="s">
        <v>1319</v>
      </c>
      <c r="AG1226" s="813" t="s">
        <v>1319</v>
      </c>
      <c r="AH1226" s="813" t="s">
        <v>1319</v>
      </c>
      <c r="AI1226" s="813" t="s">
        <v>1319</v>
      </c>
      <c r="AJ1226" s="813" t="s">
        <v>1319</v>
      </c>
      <c r="AK1226" s="813" t="s">
        <v>1319</v>
      </c>
      <c r="AL1226" s="813" t="s">
        <v>1320</v>
      </c>
    </row>
    <row r="1227" spans="1:38" ht="12.6">
      <c r="A1227" s="990" t="s">
        <v>1324</v>
      </c>
      <c r="B1227" s="991" t="s">
        <v>1323</v>
      </c>
      <c r="C1227" s="991" t="s">
        <v>1062</v>
      </c>
      <c r="D1227" s="991" t="s">
        <v>129</v>
      </c>
      <c r="E1227" s="991"/>
      <c r="F1227" s="813" t="s">
        <v>1063</v>
      </c>
      <c r="G1227" s="813" t="s">
        <v>1063</v>
      </c>
      <c r="H1227" s="813" t="s">
        <v>1063</v>
      </c>
      <c r="I1227" s="813" t="s">
        <v>1063</v>
      </c>
      <c r="J1227" s="813" t="s">
        <v>1063</v>
      </c>
      <c r="K1227" s="813" t="s">
        <v>1063</v>
      </c>
      <c r="L1227" s="813" t="s">
        <v>1063</v>
      </c>
      <c r="M1227" s="813" t="s">
        <v>1063</v>
      </c>
      <c r="N1227" s="813" t="s">
        <v>1063</v>
      </c>
      <c r="O1227" s="813" t="s">
        <v>1063</v>
      </c>
      <c r="P1227" s="813" t="s">
        <v>1063</v>
      </c>
      <c r="Q1227" s="813" t="s">
        <v>1063</v>
      </c>
      <c r="R1227" s="813" t="s">
        <v>1063</v>
      </c>
      <c r="S1227" s="813" t="s">
        <v>1063</v>
      </c>
      <c r="T1227" s="813" t="s">
        <v>1063</v>
      </c>
      <c r="U1227" s="813" t="s">
        <v>1063</v>
      </c>
      <c r="V1227" s="813" t="s">
        <v>1063</v>
      </c>
      <c r="W1227" s="813" t="s">
        <v>1063</v>
      </c>
      <c r="X1227" s="813" t="s">
        <v>1063</v>
      </c>
      <c r="Y1227" s="813" t="s">
        <v>1063</v>
      </c>
      <c r="Z1227" s="813" t="s">
        <v>1063</v>
      </c>
      <c r="AA1227" s="813" t="s">
        <v>1063</v>
      </c>
      <c r="AB1227" s="813" t="s">
        <v>1063</v>
      </c>
      <c r="AC1227" s="813" t="s">
        <v>1063</v>
      </c>
      <c r="AD1227" s="813" t="s">
        <v>1063</v>
      </c>
      <c r="AE1227" s="813" t="s">
        <v>1063</v>
      </c>
      <c r="AF1227" s="813" t="s">
        <v>1063</v>
      </c>
      <c r="AG1227" s="813" t="s">
        <v>1063</v>
      </c>
      <c r="AH1227" s="813" t="s">
        <v>1063</v>
      </c>
      <c r="AI1227" s="813" t="s">
        <v>1063</v>
      </c>
      <c r="AJ1227" s="813" t="s">
        <v>1063</v>
      </c>
      <c r="AK1227" s="813" t="s">
        <v>1063</v>
      </c>
      <c r="AL1227" s="813" t="s">
        <v>1063</v>
      </c>
    </row>
    <row r="1228" spans="1:38" s="797" customFormat="1" ht="12.95">
      <c r="A1228" s="989" t="s">
        <v>742</v>
      </c>
      <c r="B1228" s="796"/>
      <c r="C1228" s="796"/>
      <c r="D1228" s="796"/>
      <c r="E1228" s="796"/>
      <c r="F1228" s="795"/>
      <c r="G1228" s="795"/>
      <c r="H1228" s="795"/>
      <c r="I1228" s="795"/>
      <c r="J1228" s="795"/>
      <c r="K1228" s="795"/>
      <c r="L1228" s="795"/>
      <c r="M1228" s="795"/>
      <c r="N1228" s="795"/>
      <c r="O1228" s="795"/>
      <c r="P1228" s="795"/>
      <c r="Q1228" s="795"/>
      <c r="R1228" s="795"/>
      <c r="S1228" s="795"/>
      <c r="T1228" s="795"/>
      <c r="U1228" s="795"/>
      <c r="V1228" s="795"/>
      <c r="W1228" s="795"/>
      <c r="X1228" s="795"/>
      <c r="Y1228" s="795"/>
      <c r="Z1228" s="795"/>
      <c r="AA1228" s="795"/>
      <c r="AB1228" s="795"/>
      <c r="AC1228" s="795"/>
      <c r="AD1228" s="795"/>
      <c r="AE1228" s="795"/>
      <c r="AF1228" s="795"/>
      <c r="AG1228" s="795"/>
      <c r="AH1228" s="795"/>
      <c r="AI1228" s="795"/>
      <c r="AJ1228" s="795"/>
      <c r="AK1228" s="795"/>
      <c r="AL1228" s="795"/>
    </row>
    <row r="1229" spans="1:38" ht="12.6">
      <c r="A1229" s="990" t="s">
        <v>1325</v>
      </c>
      <c r="B1229" s="991" t="s">
        <v>1326</v>
      </c>
      <c r="C1229" s="991" t="s">
        <v>1058</v>
      </c>
      <c r="D1229" s="991" t="s">
        <v>129</v>
      </c>
      <c r="E1229" s="991"/>
      <c r="F1229" s="813" t="s">
        <v>1319</v>
      </c>
      <c r="G1229" s="813" t="s">
        <v>1319</v>
      </c>
      <c r="H1229" s="813" t="s">
        <v>1319</v>
      </c>
      <c r="I1229" s="813" t="s">
        <v>1319</v>
      </c>
      <c r="J1229" s="813" t="s">
        <v>1319</v>
      </c>
      <c r="K1229" s="813" t="s">
        <v>1319</v>
      </c>
      <c r="L1229" s="813" t="s">
        <v>1319</v>
      </c>
      <c r="M1229" s="813" t="s">
        <v>1319</v>
      </c>
      <c r="N1229" s="813" t="s">
        <v>1319</v>
      </c>
      <c r="O1229" s="813" t="s">
        <v>1319</v>
      </c>
      <c r="P1229" s="813" t="s">
        <v>1319</v>
      </c>
      <c r="Q1229" s="813" t="s">
        <v>1319</v>
      </c>
      <c r="R1229" s="813" t="s">
        <v>1319</v>
      </c>
      <c r="S1229" s="813" t="s">
        <v>1319</v>
      </c>
      <c r="T1229" s="813" t="s">
        <v>1319</v>
      </c>
      <c r="U1229" s="813" t="s">
        <v>1319</v>
      </c>
      <c r="V1229" s="813" t="s">
        <v>1319</v>
      </c>
      <c r="W1229" s="813" t="s">
        <v>1319</v>
      </c>
      <c r="X1229" s="813" t="s">
        <v>1319</v>
      </c>
      <c r="Y1229" s="813" t="s">
        <v>1319</v>
      </c>
      <c r="Z1229" s="813" t="s">
        <v>1319</v>
      </c>
      <c r="AA1229" s="813" t="s">
        <v>1319</v>
      </c>
      <c r="AB1229" s="813" t="s">
        <v>1319</v>
      </c>
      <c r="AC1229" s="813" t="s">
        <v>1319</v>
      </c>
      <c r="AD1229" s="813" t="s">
        <v>1319</v>
      </c>
      <c r="AE1229" s="813" t="s">
        <v>1319</v>
      </c>
      <c r="AF1229" s="813" t="s">
        <v>1319</v>
      </c>
      <c r="AG1229" s="813" t="s">
        <v>1319</v>
      </c>
      <c r="AH1229" s="813" t="s">
        <v>1319</v>
      </c>
      <c r="AI1229" s="813" t="s">
        <v>1319</v>
      </c>
      <c r="AJ1229" s="813" t="s">
        <v>1319</v>
      </c>
      <c r="AK1229" s="813" t="s">
        <v>1319</v>
      </c>
      <c r="AL1229" s="813" t="s">
        <v>1320</v>
      </c>
    </row>
    <row r="1230" spans="1:38" ht="12.6">
      <c r="A1230" s="990" t="s">
        <v>1327</v>
      </c>
      <c r="B1230" s="991" t="s">
        <v>1326</v>
      </c>
      <c r="C1230" s="991" t="s">
        <v>1062</v>
      </c>
      <c r="D1230" s="991" t="s">
        <v>129</v>
      </c>
      <c r="E1230" s="991"/>
      <c r="F1230" s="813" t="s">
        <v>1063</v>
      </c>
      <c r="G1230" s="813" t="s">
        <v>1063</v>
      </c>
      <c r="H1230" s="813" t="s">
        <v>1063</v>
      </c>
      <c r="I1230" s="813" t="s">
        <v>1063</v>
      </c>
      <c r="J1230" s="813" t="s">
        <v>1063</v>
      </c>
      <c r="K1230" s="813" t="s">
        <v>1063</v>
      </c>
      <c r="L1230" s="813" t="s">
        <v>1063</v>
      </c>
      <c r="M1230" s="813" t="s">
        <v>1063</v>
      </c>
      <c r="N1230" s="813" t="s">
        <v>1063</v>
      </c>
      <c r="O1230" s="813" t="s">
        <v>1063</v>
      </c>
      <c r="P1230" s="813" t="s">
        <v>1063</v>
      </c>
      <c r="Q1230" s="813" t="s">
        <v>1063</v>
      </c>
      <c r="R1230" s="813" t="s">
        <v>1063</v>
      </c>
      <c r="S1230" s="813" t="s">
        <v>1063</v>
      </c>
      <c r="T1230" s="813" t="s">
        <v>1063</v>
      </c>
      <c r="U1230" s="813" t="s">
        <v>1063</v>
      </c>
      <c r="V1230" s="813" t="s">
        <v>1063</v>
      </c>
      <c r="W1230" s="813" t="s">
        <v>1063</v>
      </c>
      <c r="X1230" s="813" t="s">
        <v>1063</v>
      </c>
      <c r="Y1230" s="813" t="s">
        <v>1063</v>
      </c>
      <c r="Z1230" s="813" t="s">
        <v>1063</v>
      </c>
      <c r="AA1230" s="813" t="s">
        <v>1063</v>
      </c>
      <c r="AB1230" s="813" t="s">
        <v>1063</v>
      </c>
      <c r="AC1230" s="813" t="s">
        <v>1063</v>
      </c>
      <c r="AD1230" s="813" t="s">
        <v>1063</v>
      </c>
      <c r="AE1230" s="813" t="s">
        <v>1063</v>
      </c>
      <c r="AF1230" s="813" t="s">
        <v>1063</v>
      </c>
      <c r="AG1230" s="813" t="s">
        <v>1063</v>
      </c>
      <c r="AH1230" s="813" t="s">
        <v>1063</v>
      </c>
      <c r="AI1230" s="813" t="s">
        <v>1063</v>
      </c>
      <c r="AJ1230" s="813" t="s">
        <v>1063</v>
      </c>
      <c r="AK1230" s="813" t="s">
        <v>1063</v>
      </c>
      <c r="AL1230" s="813" t="s">
        <v>1063</v>
      </c>
    </row>
    <row r="1231" spans="1:38" s="797" customFormat="1" ht="12.95">
      <c r="A1231" s="989" t="s">
        <v>748</v>
      </c>
      <c r="B1231" s="796"/>
      <c r="C1231" s="796"/>
      <c r="D1231" s="796"/>
      <c r="E1231" s="796"/>
      <c r="F1231" s="795"/>
      <c r="G1231" s="795"/>
      <c r="H1231" s="795"/>
      <c r="I1231" s="795"/>
      <c r="J1231" s="795"/>
      <c r="K1231" s="795"/>
      <c r="L1231" s="795"/>
      <c r="M1231" s="795"/>
      <c r="N1231" s="795"/>
      <c r="O1231" s="795"/>
      <c r="P1231" s="795"/>
      <c r="Q1231" s="795"/>
      <c r="R1231" s="795"/>
      <c r="S1231" s="795"/>
      <c r="T1231" s="795"/>
      <c r="U1231" s="795"/>
      <c r="V1231" s="795"/>
      <c r="W1231" s="795"/>
      <c r="X1231" s="795"/>
      <c r="Y1231" s="795"/>
      <c r="Z1231" s="795"/>
      <c r="AA1231" s="795"/>
      <c r="AB1231" s="795"/>
      <c r="AC1231" s="795"/>
      <c r="AD1231" s="795"/>
      <c r="AE1231" s="795"/>
      <c r="AF1231" s="795"/>
      <c r="AG1231" s="795"/>
      <c r="AH1231" s="795"/>
      <c r="AI1231" s="795"/>
      <c r="AJ1231" s="795"/>
      <c r="AK1231" s="795"/>
      <c r="AL1231" s="795"/>
    </row>
    <row r="1232" spans="1:38" ht="12.6">
      <c r="A1232" s="990" t="s">
        <v>1328</v>
      </c>
      <c r="B1232" s="991" t="s">
        <v>1329</v>
      </c>
      <c r="C1232" s="991" t="s">
        <v>1058</v>
      </c>
      <c r="D1232" s="991" t="s">
        <v>129</v>
      </c>
      <c r="E1232" s="991"/>
      <c r="F1232" s="813" t="s">
        <v>106</v>
      </c>
      <c r="G1232" s="813" t="s">
        <v>106</v>
      </c>
      <c r="H1232" s="813" t="s">
        <v>106</v>
      </c>
      <c r="I1232" s="813" t="s">
        <v>106</v>
      </c>
      <c r="J1232" s="813" t="s">
        <v>106</v>
      </c>
      <c r="K1232" s="813" t="s">
        <v>106</v>
      </c>
      <c r="L1232" s="813" t="s">
        <v>106</v>
      </c>
      <c r="M1232" s="813" t="s">
        <v>106</v>
      </c>
      <c r="N1232" s="813" t="s">
        <v>106</v>
      </c>
      <c r="O1232" s="813" t="s">
        <v>106</v>
      </c>
      <c r="P1232" s="813" t="s">
        <v>106</v>
      </c>
      <c r="Q1232" s="813" t="s">
        <v>106</v>
      </c>
      <c r="R1232" s="813" t="s">
        <v>106</v>
      </c>
      <c r="S1232" s="813" t="s">
        <v>106</v>
      </c>
      <c r="T1232" s="813" t="s">
        <v>106</v>
      </c>
      <c r="U1232" s="813" t="s">
        <v>106</v>
      </c>
      <c r="V1232" s="813" t="s">
        <v>106</v>
      </c>
      <c r="W1232" s="813" t="s">
        <v>106</v>
      </c>
      <c r="X1232" s="813" t="s">
        <v>106</v>
      </c>
      <c r="Y1232" s="813" t="s">
        <v>106</v>
      </c>
      <c r="Z1232" s="813" t="s">
        <v>106</v>
      </c>
      <c r="AA1232" s="813" t="s">
        <v>106</v>
      </c>
      <c r="AB1232" s="813" t="s">
        <v>106</v>
      </c>
      <c r="AC1232" s="813" t="s">
        <v>106</v>
      </c>
      <c r="AD1232" s="813" t="s">
        <v>106</v>
      </c>
      <c r="AE1232" s="813" t="s">
        <v>106</v>
      </c>
      <c r="AF1232" s="813" t="s">
        <v>106</v>
      </c>
      <c r="AG1232" s="813" t="s">
        <v>106</v>
      </c>
      <c r="AH1232" s="813" t="s">
        <v>106</v>
      </c>
      <c r="AI1232" s="813" t="s">
        <v>106</v>
      </c>
      <c r="AJ1232" s="813" t="s">
        <v>106</v>
      </c>
      <c r="AK1232" s="813" t="s">
        <v>106</v>
      </c>
      <c r="AL1232" s="813" t="s">
        <v>106</v>
      </c>
    </row>
    <row r="1233" spans="1:38" ht="12.6">
      <c r="A1233" s="990" t="s">
        <v>1330</v>
      </c>
      <c r="B1233" s="991" t="s">
        <v>1329</v>
      </c>
      <c r="C1233" s="991" t="s">
        <v>1062</v>
      </c>
      <c r="D1233" s="991" t="s">
        <v>129</v>
      </c>
      <c r="E1233" s="991"/>
      <c r="F1233" s="813" t="s">
        <v>106</v>
      </c>
      <c r="G1233" s="813" t="s">
        <v>106</v>
      </c>
      <c r="H1233" s="813" t="s">
        <v>106</v>
      </c>
      <c r="I1233" s="813" t="s">
        <v>106</v>
      </c>
      <c r="J1233" s="813" t="s">
        <v>106</v>
      </c>
      <c r="K1233" s="813" t="s">
        <v>106</v>
      </c>
      <c r="L1233" s="813" t="s">
        <v>106</v>
      </c>
      <c r="M1233" s="813" t="s">
        <v>106</v>
      </c>
      <c r="N1233" s="813" t="s">
        <v>106</v>
      </c>
      <c r="O1233" s="813" t="s">
        <v>106</v>
      </c>
      <c r="P1233" s="813" t="s">
        <v>106</v>
      </c>
      <c r="Q1233" s="813" t="s">
        <v>106</v>
      </c>
      <c r="R1233" s="813" t="s">
        <v>106</v>
      </c>
      <c r="S1233" s="813" t="s">
        <v>106</v>
      </c>
      <c r="T1233" s="813" t="s">
        <v>106</v>
      </c>
      <c r="U1233" s="813" t="s">
        <v>106</v>
      </c>
      <c r="V1233" s="813" t="s">
        <v>106</v>
      </c>
      <c r="W1233" s="813" t="s">
        <v>106</v>
      </c>
      <c r="X1233" s="813" t="s">
        <v>106</v>
      </c>
      <c r="Y1233" s="813" t="s">
        <v>106</v>
      </c>
      <c r="Z1233" s="813" t="s">
        <v>106</v>
      </c>
      <c r="AA1233" s="813" t="s">
        <v>106</v>
      </c>
      <c r="AB1233" s="813" t="s">
        <v>106</v>
      </c>
      <c r="AC1233" s="813" t="s">
        <v>106</v>
      </c>
      <c r="AD1233" s="813" t="s">
        <v>106</v>
      </c>
      <c r="AE1233" s="813" t="s">
        <v>106</v>
      </c>
      <c r="AF1233" s="813" t="s">
        <v>106</v>
      </c>
      <c r="AG1233" s="813" t="s">
        <v>106</v>
      </c>
      <c r="AH1233" s="813" t="s">
        <v>106</v>
      </c>
      <c r="AI1233" s="813" t="s">
        <v>106</v>
      </c>
      <c r="AJ1233" s="813" t="s">
        <v>106</v>
      </c>
      <c r="AK1233" s="813" t="s">
        <v>106</v>
      </c>
      <c r="AL1233" s="813" t="s">
        <v>106</v>
      </c>
    </row>
    <row r="1234" spans="1:38" s="797" customFormat="1" ht="12.95">
      <c r="A1234" s="989" t="s">
        <v>754</v>
      </c>
      <c r="B1234" s="796"/>
      <c r="C1234" s="796"/>
      <c r="D1234" s="796"/>
      <c r="E1234" s="796"/>
      <c r="F1234" s="795"/>
      <c r="G1234" s="795"/>
      <c r="H1234" s="795"/>
      <c r="I1234" s="795"/>
      <c r="J1234" s="795"/>
      <c r="K1234" s="795"/>
      <c r="L1234" s="795"/>
      <c r="M1234" s="795"/>
      <c r="N1234" s="795"/>
      <c r="O1234" s="795"/>
      <c r="P1234" s="795"/>
      <c r="Q1234" s="795"/>
      <c r="R1234" s="795"/>
      <c r="S1234" s="795"/>
      <c r="T1234" s="795"/>
      <c r="U1234" s="795"/>
      <c r="V1234" s="795"/>
      <c r="W1234" s="795"/>
      <c r="X1234" s="795"/>
      <c r="Y1234" s="795"/>
      <c r="Z1234" s="795"/>
      <c r="AA1234" s="795"/>
      <c r="AB1234" s="795"/>
      <c r="AC1234" s="795"/>
      <c r="AD1234" s="795"/>
      <c r="AE1234" s="795"/>
      <c r="AF1234" s="795"/>
      <c r="AG1234" s="795"/>
      <c r="AH1234" s="795"/>
      <c r="AI1234" s="795"/>
      <c r="AJ1234" s="795"/>
      <c r="AK1234" s="795"/>
      <c r="AL1234" s="795"/>
    </row>
    <row r="1235" spans="1:38" ht="12.6">
      <c r="A1235" s="990" t="s">
        <v>1331</v>
      </c>
      <c r="B1235" s="991" t="s">
        <v>1332</v>
      </c>
      <c r="C1235" s="991" t="s">
        <v>1058</v>
      </c>
      <c r="D1235" s="991" t="s">
        <v>129</v>
      </c>
      <c r="E1235" s="991"/>
      <c r="F1235" s="813" t="s">
        <v>106</v>
      </c>
      <c r="G1235" s="813" t="s">
        <v>106</v>
      </c>
      <c r="H1235" s="813" t="s">
        <v>106</v>
      </c>
      <c r="I1235" s="813" t="s">
        <v>106</v>
      </c>
      <c r="J1235" s="813" t="s">
        <v>106</v>
      </c>
      <c r="K1235" s="813" t="s">
        <v>106</v>
      </c>
      <c r="L1235" s="813" t="s">
        <v>106</v>
      </c>
      <c r="M1235" s="813" t="s">
        <v>106</v>
      </c>
      <c r="N1235" s="813" t="s">
        <v>106</v>
      </c>
      <c r="O1235" s="813" t="s">
        <v>106</v>
      </c>
      <c r="P1235" s="813" t="s">
        <v>106</v>
      </c>
      <c r="Q1235" s="813" t="s">
        <v>106</v>
      </c>
      <c r="R1235" s="813" t="s">
        <v>106</v>
      </c>
      <c r="S1235" s="813" t="s">
        <v>106</v>
      </c>
      <c r="T1235" s="813" t="s">
        <v>106</v>
      </c>
      <c r="U1235" s="813" t="s">
        <v>106</v>
      </c>
      <c r="V1235" s="813" t="s">
        <v>106</v>
      </c>
      <c r="W1235" s="813" t="s">
        <v>106</v>
      </c>
      <c r="X1235" s="813" t="s">
        <v>106</v>
      </c>
      <c r="Y1235" s="813" t="s">
        <v>106</v>
      </c>
      <c r="Z1235" s="813" t="s">
        <v>106</v>
      </c>
      <c r="AA1235" s="813" t="s">
        <v>106</v>
      </c>
      <c r="AB1235" s="813" t="s">
        <v>106</v>
      </c>
      <c r="AC1235" s="813" t="s">
        <v>106</v>
      </c>
      <c r="AD1235" s="813" t="s">
        <v>106</v>
      </c>
      <c r="AE1235" s="813" t="s">
        <v>106</v>
      </c>
      <c r="AF1235" s="813" t="s">
        <v>106</v>
      </c>
      <c r="AG1235" s="813" t="s">
        <v>106</v>
      </c>
      <c r="AH1235" s="813" t="s">
        <v>106</v>
      </c>
      <c r="AI1235" s="813" t="s">
        <v>106</v>
      </c>
      <c r="AJ1235" s="813" t="s">
        <v>106</v>
      </c>
      <c r="AK1235" s="813" t="s">
        <v>106</v>
      </c>
      <c r="AL1235" s="813" t="s">
        <v>106</v>
      </c>
    </row>
    <row r="1236" spans="1:38" ht="12.6">
      <c r="A1236" s="990" t="s">
        <v>1333</v>
      </c>
      <c r="B1236" s="991" t="s">
        <v>1332</v>
      </c>
      <c r="C1236" s="991" t="s">
        <v>1062</v>
      </c>
      <c r="D1236" s="991" t="s">
        <v>129</v>
      </c>
      <c r="E1236" s="991"/>
      <c r="F1236" s="813" t="s">
        <v>106</v>
      </c>
      <c r="G1236" s="813" t="s">
        <v>106</v>
      </c>
      <c r="H1236" s="813" t="s">
        <v>106</v>
      </c>
      <c r="I1236" s="813" t="s">
        <v>106</v>
      </c>
      <c r="J1236" s="813" t="s">
        <v>106</v>
      </c>
      <c r="K1236" s="813" t="s">
        <v>106</v>
      </c>
      <c r="L1236" s="813" t="s">
        <v>106</v>
      </c>
      <c r="M1236" s="813" t="s">
        <v>106</v>
      </c>
      <c r="N1236" s="813" t="s">
        <v>106</v>
      </c>
      <c r="O1236" s="813" t="s">
        <v>106</v>
      </c>
      <c r="P1236" s="813" t="s">
        <v>106</v>
      </c>
      <c r="Q1236" s="813" t="s">
        <v>106</v>
      </c>
      <c r="R1236" s="813" t="s">
        <v>106</v>
      </c>
      <c r="S1236" s="813" t="s">
        <v>106</v>
      </c>
      <c r="T1236" s="813" t="s">
        <v>106</v>
      </c>
      <c r="U1236" s="813" t="s">
        <v>106</v>
      </c>
      <c r="V1236" s="813" t="s">
        <v>106</v>
      </c>
      <c r="W1236" s="813" t="s">
        <v>106</v>
      </c>
      <c r="X1236" s="813" t="s">
        <v>106</v>
      </c>
      <c r="Y1236" s="813" t="s">
        <v>106</v>
      </c>
      <c r="Z1236" s="813" t="s">
        <v>106</v>
      </c>
      <c r="AA1236" s="813" t="s">
        <v>106</v>
      </c>
      <c r="AB1236" s="813" t="s">
        <v>106</v>
      </c>
      <c r="AC1236" s="813" t="s">
        <v>106</v>
      </c>
      <c r="AD1236" s="813" t="s">
        <v>106</v>
      </c>
      <c r="AE1236" s="813" t="s">
        <v>106</v>
      </c>
      <c r="AF1236" s="813" t="s">
        <v>106</v>
      </c>
      <c r="AG1236" s="813" t="s">
        <v>106</v>
      </c>
      <c r="AH1236" s="813" t="s">
        <v>106</v>
      </c>
      <c r="AI1236" s="813" t="s">
        <v>106</v>
      </c>
      <c r="AJ1236" s="813" t="s">
        <v>106</v>
      </c>
      <c r="AK1236" s="813" t="s">
        <v>106</v>
      </c>
      <c r="AL1236" s="813" t="s">
        <v>106</v>
      </c>
    </row>
    <row r="1237" spans="1:38" s="797" customFormat="1" ht="12.95">
      <c r="A1237" s="992" t="s">
        <v>760</v>
      </c>
      <c r="B1237" s="796"/>
      <c r="C1237" s="796"/>
      <c r="D1237" s="796"/>
      <c r="E1237" s="796"/>
      <c r="F1237" s="795"/>
      <c r="G1237" s="795"/>
      <c r="H1237" s="795"/>
      <c r="I1237" s="795"/>
      <c r="J1237" s="795"/>
      <c r="K1237" s="795"/>
      <c r="L1237" s="795"/>
      <c r="M1237" s="795"/>
      <c r="N1237" s="795"/>
      <c r="O1237" s="795"/>
      <c r="P1237" s="795"/>
      <c r="Q1237" s="795"/>
      <c r="R1237" s="795"/>
      <c r="S1237" s="795"/>
      <c r="T1237" s="795"/>
      <c r="U1237" s="795"/>
      <c r="V1237" s="795"/>
      <c r="W1237" s="795"/>
      <c r="X1237" s="795"/>
      <c r="Y1237" s="795"/>
      <c r="Z1237" s="795"/>
      <c r="AA1237" s="795"/>
      <c r="AB1237" s="795"/>
      <c r="AC1237" s="795"/>
      <c r="AD1237" s="795"/>
      <c r="AE1237" s="795"/>
      <c r="AF1237" s="795"/>
      <c r="AG1237" s="795"/>
      <c r="AH1237" s="795"/>
      <c r="AI1237" s="795"/>
      <c r="AJ1237" s="795"/>
      <c r="AK1237" s="795"/>
      <c r="AL1237" s="795"/>
    </row>
    <row r="1238" spans="1:38" s="797" customFormat="1" ht="12.95">
      <c r="A1238" s="989" t="s">
        <v>729</v>
      </c>
      <c r="B1238" s="796"/>
      <c r="C1238" s="796"/>
      <c r="D1238" s="796"/>
      <c r="E1238" s="796"/>
      <c r="F1238" s="795"/>
      <c r="G1238" s="795"/>
      <c r="H1238" s="795"/>
      <c r="I1238" s="795"/>
      <c r="J1238" s="795"/>
      <c r="K1238" s="795"/>
      <c r="L1238" s="795"/>
      <c r="M1238" s="795"/>
      <c r="N1238" s="795"/>
      <c r="O1238" s="795"/>
      <c r="P1238" s="795"/>
      <c r="Q1238" s="795"/>
      <c r="R1238" s="795"/>
      <c r="S1238" s="795"/>
      <c r="T1238" s="795"/>
      <c r="U1238" s="795"/>
      <c r="V1238" s="795"/>
      <c r="W1238" s="795"/>
      <c r="X1238" s="795"/>
      <c r="Y1238" s="795"/>
      <c r="Z1238" s="795"/>
      <c r="AA1238" s="795"/>
      <c r="AB1238" s="795"/>
      <c r="AC1238" s="795"/>
      <c r="AD1238" s="795"/>
      <c r="AE1238" s="795"/>
      <c r="AF1238" s="795"/>
      <c r="AG1238" s="795"/>
      <c r="AH1238" s="795"/>
      <c r="AI1238" s="795"/>
      <c r="AJ1238" s="795"/>
      <c r="AK1238" s="795"/>
      <c r="AL1238" s="795"/>
    </row>
    <row r="1239" spans="1:38" ht="12.6">
      <c r="A1239" s="990" t="s">
        <v>1334</v>
      </c>
      <c r="B1239" s="991" t="s">
        <v>1335</v>
      </c>
      <c r="C1239" s="991" t="s">
        <v>1058</v>
      </c>
      <c r="D1239" s="991" t="s">
        <v>129</v>
      </c>
      <c r="E1239" s="991"/>
      <c r="F1239" s="813" t="s">
        <v>1319</v>
      </c>
      <c r="G1239" s="813" t="s">
        <v>1319</v>
      </c>
      <c r="H1239" s="813" t="s">
        <v>1319</v>
      </c>
      <c r="I1239" s="813" t="s">
        <v>1319</v>
      </c>
      <c r="J1239" s="813" t="s">
        <v>1319</v>
      </c>
      <c r="K1239" s="813" t="s">
        <v>1319</v>
      </c>
      <c r="L1239" s="813" t="s">
        <v>1319</v>
      </c>
      <c r="M1239" s="813" t="s">
        <v>1319</v>
      </c>
      <c r="N1239" s="813" t="s">
        <v>1319</v>
      </c>
      <c r="O1239" s="813" t="s">
        <v>1319</v>
      </c>
      <c r="P1239" s="813" t="s">
        <v>1319</v>
      </c>
      <c r="Q1239" s="813" t="s">
        <v>1319</v>
      </c>
      <c r="R1239" s="813" t="s">
        <v>1319</v>
      </c>
      <c r="S1239" s="813" t="s">
        <v>1319</v>
      </c>
      <c r="T1239" s="813" t="s">
        <v>1319</v>
      </c>
      <c r="U1239" s="813" t="s">
        <v>1319</v>
      </c>
      <c r="V1239" s="813" t="s">
        <v>1319</v>
      </c>
      <c r="W1239" s="813" t="s">
        <v>1319</v>
      </c>
      <c r="X1239" s="813" t="s">
        <v>1319</v>
      </c>
      <c r="Y1239" s="813" t="s">
        <v>1319</v>
      </c>
      <c r="Z1239" s="813" t="s">
        <v>1319</v>
      </c>
      <c r="AA1239" s="813" t="s">
        <v>1319</v>
      </c>
      <c r="AB1239" s="813" t="s">
        <v>1319</v>
      </c>
      <c r="AC1239" s="813" t="s">
        <v>1319</v>
      </c>
      <c r="AD1239" s="813" t="s">
        <v>1319</v>
      </c>
      <c r="AE1239" s="813" t="s">
        <v>1319</v>
      </c>
      <c r="AF1239" s="813" t="s">
        <v>1319</v>
      </c>
      <c r="AG1239" s="813" t="s">
        <v>1319</v>
      </c>
      <c r="AH1239" s="813" t="s">
        <v>1319</v>
      </c>
      <c r="AI1239" s="813" t="s">
        <v>1319</v>
      </c>
      <c r="AJ1239" s="813" t="s">
        <v>1319</v>
      </c>
      <c r="AK1239" s="813" t="s">
        <v>1319</v>
      </c>
      <c r="AL1239" s="813" t="s">
        <v>1320</v>
      </c>
    </row>
    <row r="1240" spans="1:38" ht="12.6">
      <c r="A1240" s="990" t="s">
        <v>1336</v>
      </c>
      <c r="B1240" s="991" t="s">
        <v>1335</v>
      </c>
      <c r="C1240" s="991" t="s">
        <v>1062</v>
      </c>
      <c r="D1240" s="991" t="s">
        <v>129</v>
      </c>
      <c r="E1240" s="991"/>
      <c r="F1240" s="813" t="s">
        <v>1063</v>
      </c>
      <c r="G1240" s="813" t="s">
        <v>1063</v>
      </c>
      <c r="H1240" s="813" t="s">
        <v>1063</v>
      </c>
      <c r="I1240" s="813" t="s">
        <v>1063</v>
      </c>
      <c r="J1240" s="813" t="s">
        <v>1063</v>
      </c>
      <c r="K1240" s="813" t="s">
        <v>1063</v>
      </c>
      <c r="L1240" s="813" t="s">
        <v>1063</v>
      </c>
      <c r="M1240" s="813" t="s">
        <v>1063</v>
      </c>
      <c r="N1240" s="813" t="s">
        <v>1063</v>
      </c>
      <c r="O1240" s="813" t="s">
        <v>1063</v>
      </c>
      <c r="P1240" s="813" t="s">
        <v>1063</v>
      </c>
      <c r="Q1240" s="813" t="s">
        <v>1063</v>
      </c>
      <c r="R1240" s="813" t="s">
        <v>1063</v>
      </c>
      <c r="S1240" s="813" t="s">
        <v>1063</v>
      </c>
      <c r="T1240" s="813" t="s">
        <v>1063</v>
      </c>
      <c r="U1240" s="813" t="s">
        <v>1063</v>
      </c>
      <c r="V1240" s="813" t="s">
        <v>1063</v>
      </c>
      <c r="W1240" s="813" t="s">
        <v>1063</v>
      </c>
      <c r="X1240" s="813" t="s">
        <v>1063</v>
      </c>
      <c r="Y1240" s="813" t="s">
        <v>1063</v>
      </c>
      <c r="Z1240" s="813" t="s">
        <v>1063</v>
      </c>
      <c r="AA1240" s="813" t="s">
        <v>1063</v>
      </c>
      <c r="AB1240" s="813" t="s">
        <v>1063</v>
      </c>
      <c r="AC1240" s="813" t="s">
        <v>1063</v>
      </c>
      <c r="AD1240" s="813" t="s">
        <v>1063</v>
      </c>
      <c r="AE1240" s="813" t="s">
        <v>1063</v>
      </c>
      <c r="AF1240" s="813" t="s">
        <v>1063</v>
      </c>
      <c r="AG1240" s="813" t="s">
        <v>1063</v>
      </c>
      <c r="AH1240" s="813" t="s">
        <v>1063</v>
      </c>
      <c r="AI1240" s="813" t="s">
        <v>1063</v>
      </c>
      <c r="AJ1240" s="813" t="s">
        <v>1063</v>
      </c>
      <c r="AK1240" s="813" t="s">
        <v>1063</v>
      </c>
      <c r="AL1240" s="813" t="s">
        <v>1063</v>
      </c>
    </row>
    <row r="1241" spans="1:38" s="797" customFormat="1" ht="12.95">
      <c r="A1241" s="989" t="s">
        <v>736</v>
      </c>
      <c r="B1241" s="796"/>
      <c r="C1241" s="796"/>
      <c r="D1241" s="796"/>
      <c r="E1241" s="796"/>
      <c r="F1241" s="795"/>
      <c r="G1241" s="795"/>
      <c r="H1241" s="795"/>
      <c r="I1241" s="795"/>
      <c r="J1241" s="795"/>
      <c r="K1241" s="795"/>
      <c r="L1241" s="795"/>
      <c r="M1241" s="795"/>
      <c r="N1241" s="795"/>
      <c r="O1241" s="795"/>
      <c r="P1241" s="795"/>
      <c r="Q1241" s="795"/>
      <c r="R1241" s="795"/>
      <c r="S1241" s="795"/>
      <c r="T1241" s="795"/>
      <c r="U1241" s="795"/>
      <c r="V1241" s="795"/>
      <c r="W1241" s="795"/>
      <c r="X1241" s="795"/>
      <c r="Y1241" s="795"/>
      <c r="Z1241" s="795"/>
      <c r="AA1241" s="795"/>
      <c r="AB1241" s="795"/>
      <c r="AC1241" s="795"/>
      <c r="AD1241" s="795"/>
      <c r="AE1241" s="795"/>
      <c r="AF1241" s="795"/>
      <c r="AG1241" s="795"/>
      <c r="AH1241" s="795"/>
      <c r="AI1241" s="795"/>
      <c r="AJ1241" s="795"/>
      <c r="AK1241" s="795"/>
      <c r="AL1241" s="795"/>
    </row>
    <row r="1242" spans="1:38" ht="12.6">
      <c r="A1242" s="990" t="s">
        <v>1337</v>
      </c>
      <c r="B1242" s="991" t="s">
        <v>1338</v>
      </c>
      <c r="C1242" s="991" t="s">
        <v>1062</v>
      </c>
      <c r="D1242" s="991" t="s">
        <v>129</v>
      </c>
      <c r="E1242" s="991"/>
      <c r="F1242" s="813" t="s">
        <v>1063</v>
      </c>
      <c r="G1242" s="813" t="s">
        <v>1063</v>
      </c>
      <c r="H1242" s="813" t="s">
        <v>1063</v>
      </c>
      <c r="I1242" s="813" t="s">
        <v>1063</v>
      </c>
      <c r="J1242" s="813" t="s">
        <v>1063</v>
      </c>
      <c r="K1242" s="813" t="s">
        <v>1063</v>
      </c>
      <c r="L1242" s="813" t="s">
        <v>1063</v>
      </c>
      <c r="M1242" s="813" t="s">
        <v>1063</v>
      </c>
      <c r="N1242" s="813" t="s">
        <v>1063</v>
      </c>
      <c r="O1242" s="813" t="s">
        <v>1063</v>
      </c>
      <c r="P1242" s="813" t="s">
        <v>1063</v>
      </c>
      <c r="Q1242" s="813" t="s">
        <v>1063</v>
      </c>
      <c r="R1242" s="813" t="s">
        <v>1063</v>
      </c>
      <c r="S1242" s="813" t="s">
        <v>1063</v>
      </c>
      <c r="T1242" s="813" t="s">
        <v>1063</v>
      </c>
      <c r="U1242" s="813" t="s">
        <v>1063</v>
      </c>
      <c r="V1242" s="813" t="s">
        <v>1063</v>
      </c>
      <c r="W1242" s="813" t="s">
        <v>1063</v>
      </c>
      <c r="X1242" s="813" t="s">
        <v>1063</v>
      </c>
      <c r="Y1242" s="813" t="s">
        <v>1063</v>
      </c>
      <c r="Z1242" s="813" t="s">
        <v>1063</v>
      </c>
      <c r="AA1242" s="813" t="s">
        <v>1063</v>
      </c>
      <c r="AB1242" s="813" t="s">
        <v>1063</v>
      </c>
      <c r="AC1242" s="813" t="s">
        <v>1063</v>
      </c>
      <c r="AD1242" s="813" t="s">
        <v>1063</v>
      </c>
      <c r="AE1242" s="813" t="s">
        <v>1063</v>
      </c>
      <c r="AF1242" s="813" t="s">
        <v>1063</v>
      </c>
      <c r="AG1242" s="813" t="s">
        <v>1063</v>
      </c>
      <c r="AH1242" s="813" t="s">
        <v>1063</v>
      </c>
      <c r="AI1242" s="813" t="s">
        <v>1063</v>
      </c>
      <c r="AJ1242" s="813" t="s">
        <v>1063</v>
      </c>
      <c r="AK1242" s="813" t="s">
        <v>1063</v>
      </c>
      <c r="AL1242" s="813" t="s">
        <v>1063</v>
      </c>
    </row>
    <row r="1243" spans="1:38" ht="12.6">
      <c r="A1243" s="990" t="s">
        <v>1339</v>
      </c>
      <c r="B1243" s="991" t="s">
        <v>1338</v>
      </c>
      <c r="C1243" s="991" t="s">
        <v>1058</v>
      </c>
      <c r="D1243" s="991" t="s">
        <v>129</v>
      </c>
      <c r="E1243" s="991"/>
      <c r="F1243" s="813" t="s">
        <v>1319</v>
      </c>
      <c r="G1243" s="813" t="s">
        <v>1319</v>
      </c>
      <c r="H1243" s="813" t="s">
        <v>1319</v>
      </c>
      <c r="I1243" s="813" t="s">
        <v>1319</v>
      </c>
      <c r="J1243" s="813" t="s">
        <v>1319</v>
      </c>
      <c r="K1243" s="813" t="s">
        <v>1319</v>
      </c>
      <c r="L1243" s="813" t="s">
        <v>1319</v>
      </c>
      <c r="M1243" s="813" t="s">
        <v>1319</v>
      </c>
      <c r="N1243" s="813" t="s">
        <v>1319</v>
      </c>
      <c r="O1243" s="813" t="s">
        <v>1319</v>
      </c>
      <c r="P1243" s="813" t="s">
        <v>1319</v>
      </c>
      <c r="Q1243" s="813" t="s">
        <v>1319</v>
      </c>
      <c r="R1243" s="813" t="s">
        <v>1319</v>
      </c>
      <c r="S1243" s="813" t="s">
        <v>1319</v>
      </c>
      <c r="T1243" s="813" t="s">
        <v>1319</v>
      </c>
      <c r="U1243" s="813" t="s">
        <v>1319</v>
      </c>
      <c r="V1243" s="813" t="s">
        <v>1319</v>
      </c>
      <c r="W1243" s="813" t="s">
        <v>1319</v>
      </c>
      <c r="X1243" s="813" t="s">
        <v>1319</v>
      </c>
      <c r="Y1243" s="813" t="s">
        <v>1319</v>
      </c>
      <c r="Z1243" s="813" t="s">
        <v>1319</v>
      </c>
      <c r="AA1243" s="813" t="s">
        <v>1319</v>
      </c>
      <c r="AB1243" s="813" t="s">
        <v>1319</v>
      </c>
      <c r="AC1243" s="813" t="s">
        <v>1319</v>
      </c>
      <c r="AD1243" s="813" t="s">
        <v>1319</v>
      </c>
      <c r="AE1243" s="813" t="s">
        <v>1319</v>
      </c>
      <c r="AF1243" s="813" t="s">
        <v>1319</v>
      </c>
      <c r="AG1243" s="813" t="s">
        <v>1319</v>
      </c>
      <c r="AH1243" s="813" t="s">
        <v>1319</v>
      </c>
      <c r="AI1243" s="813" t="s">
        <v>1319</v>
      </c>
      <c r="AJ1243" s="813" t="s">
        <v>1319</v>
      </c>
      <c r="AK1243" s="813" t="s">
        <v>1319</v>
      </c>
      <c r="AL1243" s="813" t="s">
        <v>1319</v>
      </c>
    </row>
    <row r="1244" spans="1:38" s="797" customFormat="1" ht="12.95">
      <c r="A1244" s="989" t="s">
        <v>742</v>
      </c>
      <c r="B1244" s="796"/>
      <c r="C1244" s="796"/>
      <c r="D1244" s="796"/>
      <c r="E1244" s="796"/>
      <c r="F1244" s="795"/>
      <c r="G1244" s="795"/>
      <c r="H1244" s="795"/>
      <c r="I1244" s="795"/>
      <c r="J1244" s="795"/>
      <c r="K1244" s="795"/>
      <c r="L1244" s="795"/>
      <c r="M1244" s="795"/>
      <c r="N1244" s="795"/>
      <c r="O1244" s="795"/>
      <c r="P1244" s="795"/>
      <c r="Q1244" s="795"/>
      <c r="R1244" s="795"/>
      <c r="S1244" s="795"/>
      <c r="T1244" s="795"/>
      <c r="U1244" s="795"/>
      <c r="V1244" s="795"/>
      <c r="W1244" s="795"/>
      <c r="X1244" s="795"/>
      <c r="Y1244" s="795"/>
      <c r="Z1244" s="795"/>
      <c r="AA1244" s="795"/>
      <c r="AB1244" s="795"/>
      <c r="AC1244" s="795"/>
      <c r="AD1244" s="795"/>
      <c r="AE1244" s="795"/>
      <c r="AF1244" s="795"/>
      <c r="AG1244" s="795"/>
      <c r="AH1244" s="795"/>
      <c r="AI1244" s="795"/>
      <c r="AJ1244" s="795"/>
      <c r="AK1244" s="795"/>
      <c r="AL1244" s="795"/>
    </row>
    <row r="1245" spans="1:38" ht="12.6">
      <c r="A1245" s="990" t="s">
        <v>1340</v>
      </c>
      <c r="B1245" s="991" t="s">
        <v>1341</v>
      </c>
      <c r="C1245" s="991" t="s">
        <v>1058</v>
      </c>
      <c r="D1245" s="991" t="s">
        <v>129</v>
      </c>
      <c r="E1245" s="991"/>
      <c r="F1245" s="813" t="s">
        <v>1319</v>
      </c>
      <c r="G1245" s="813" t="s">
        <v>1319</v>
      </c>
      <c r="H1245" s="813" t="s">
        <v>1319</v>
      </c>
      <c r="I1245" s="813" t="s">
        <v>1319</v>
      </c>
      <c r="J1245" s="813" t="s">
        <v>1319</v>
      </c>
      <c r="K1245" s="813" t="s">
        <v>1319</v>
      </c>
      <c r="L1245" s="813" t="s">
        <v>1319</v>
      </c>
      <c r="M1245" s="813" t="s">
        <v>1319</v>
      </c>
      <c r="N1245" s="813" t="s">
        <v>1319</v>
      </c>
      <c r="O1245" s="813" t="s">
        <v>1319</v>
      </c>
      <c r="P1245" s="813" t="s">
        <v>1319</v>
      </c>
      <c r="Q1245" s="813" t="s">
        <v>1319</v>
      </c>
      <c r="R1245" s="813" t="s">
        <v>1319</v>
      </c>
      <c r="S1245" s="813" t="s">
        <v>1319</v>
      </c>
      <c r="T1245" s="813" t="s">
        <v>1319</v>
      </c>
      <c r="U1245" s="813" t="s">
        <v>1319</v>
      </c>
      <c r="V1245" s="813" t="s">
        <v>1319</v>
      </c>
      <c r="W1245" s="813" t="s">
        <v>1319</v>
      </c>
      <c r="X1245" s="813" t="s">
        <v>1319</v>
      </c>
      <c r="Y1245" s="813" t="s">
        <v>1319</v>
      </c>
      <c r="Z1245" s="813" t="s">
        <v>1319</v>
      </c>
      <c r="AA1245" s="813" t="s">
        <v>1319</v>
      </c>
      <c r="AB1245" s="813" t="s">
        <v>1319</v>
      </c>
      <c r="AC1245" s="813" t="s">
        <v>1319</v>
      </c>
      <c r="AD1245" s="813" t="s">
        <v>1319</v>
      </c>
      <c r="AE1245" s="813" t="s">
        <v>1319</v>
      </c>
      <c r="AF1245" s="813" t="s">
        <v>1319</v>
      </c>
      <c r="AG1245" s="813" t="s">
        <v>1319</v>
      </c>
      <c r="AH1245" s="813" t="s">
        <v>1319</v>
      </c>
      <c r="AI1245" s="813" t="s">
        <v>1319</v>
      </c>
      <c r="AJ1245" s="813" t="s">
        <v>1319</v>
      </c>
      <c r="AK1245" s="813" t="s">
        <v>1319</v>
      </c>
      <c r="AL1245" s="813" t="s">
        <v>1319</v>
      </c>
    </row>
    <row r="1246" spans="1:38" ht="12.6">
      <c r="A1246" s="990" t="s">
        <v>1342</v>
      </c>
      <c r="B1246" s="991" t="s">
        <v>1343</v>
      </c>
      <c r="C1246" s="991" t="s">
        <v>1062</v>
      </c>
      <c r="D1246" s="991" t="s">
        <v>129</v>
      </c>
      <c r="E1246" s="991"/>
      <c r="F1246" s="813" t="s">
        <v>1063</v>
      </c>
      <c r="G1246" s="813" t="s">
        <v>1063</v>
      </c>
      <c r="H1246" s="813" t="s">
        <v>1063</v>
      </c>
      <c r="I1246" s="813" t="s">
        <v>1063</v>
      </c>
      <c r="J1246" s="813" t="s">
        <v>1063</v>
      </c>
      <c r="K1246" s="813" t="s">
        <v>1063</v>
      </c>
      <c r="L1246" s="813" t="s">
        <v>1063</v>
      </c>
      <c r="M1246" s="813" t="s">
        <v>1063</v>
      </c>
      <c r="N1246" s="813" t="s">
        <v>1063</v>
      </c>
      <c r="O1246" s="813" t="s">
        <v>1063</v>
      </c>
      <c r="P1246" s="813" t="s">
        <v>1063</v>
      </c>
      <c r="Q1246" s="813" t="s">
        <v>1063</v>
      </c>
      <c r="R1246" s="813" t="s">
        <v>1063</v>
      </c>
      <c r="S1246" s="813" t="s">
        <v>1063</v>
      </c>
      <c r="T1246" s="813" t="s">
        <v>1063</v>
      </c>
      <c r="U1246" s="813" t="s">
        <v>1063</v>
      </c>
      <c r="V1246" s="813" t="s">
        <v>1063</v>
      </c>
      <c r="W1246" s="813" t="s">
        <v>1063</v>
      </c>
      <c r="X1246" s="813" t="s">
        <v>1063</v>
      </c>
      <c r="Y1246" s="813" t="s">
        <v>1063</v>
      </c>
      <c r="Z1246" s="813" t="s">
        <v>1063</v>
      </c>
      <c r="AA1246" s="813" t="s">
        <v>1063</v>
      </c>
      <c r="AB1246" s="813" t="s">
        <v>1063</v>
      </c>
      <c r="AC1246" s="813" t="s">
        <v>1063</v>
      </c>
      <c r="AD1246" s="813" t="s">
        <v>1063</v>
      </c>
      <c r="AE1246" s="813" t="s">
        <v>1063</v>
      </c>
      <c r="AF1246" s="813" t="s">
        <v>1063</v>
      </c>
      <c r="AG1246" s="813" t="s">
        <v>1063</v>
      </c>
      <c r="AH1246" s="813" t="s">
        <v>1063</v>
      </c>
      <c r="AI1246" s="813" t="s">
        <v>1063</v>
      </c>
      <c r="AJ1246" s="813" t="s">
        <v>1063</v>
      </c>
      <c r="AK1246" s="813" t="s">
        <v>1063</v>
      </c>
      <c r="AL1246" s="813" t="s">
        <v>1063</v>
      </c>
    </row>
    <row r="1247" spans="1:38" s="797" customFormat="1" ht="12.95">
      <c r="A1247" s="989" t="s">
        <v>748</v>
      </c>
      <c r="B1247" s="796"/>
      <c r="C1247" s="796"/>
      <c r="D1247" s="796"/>
      <c r="E1247" s="796"/>
      <c r="F1247" s="795"/>
      <c r="G1247" s="795"/>
      <c r="H1247" s="795"/>
      <c r="I1247" s="795"/>
      <c r="J1247" s="795"/>
      <c r="K1247" s="795"/>
      <c r="L1247" s="795"/>
      <c r="M1247" s="795"/>
      <c r="N1247" s="795"/>
      <c r="O1247" s="795"/>
      <c r="P1247" s="795"/>
      <c r="Q1247" s="795"/>
      <c r="R1247" s="795"/>
      <c r="S1247" s="795"/>
      <c r="T1247" s="795"/>
      <c r="U1247" s="795"/>
      <c r="V1247" s="795"/>
      <c r="W1247" s="795"/>
      <c r="X1247" s="795"/>
      <c r="Y1247" s="795"/>
      <c r="Z1247" s="795"/>
      <c r="AA1247" s="795"/>
      <c r="AB1247" s="795"/>
      <c r="AC1247" s="795"/>
      <c r="AD1247" s="795"/>
      <c r="AE1247" s="795"/>
      <c r="AF1247" s="795"/>
      <c r="AG1247" s="795"/>
      <c r="AH1247" s="795"/>
      <c r="AI1247" s="795"/>
      <c r="AJ1247" s="795"/>
      <c r="AK1247" s="795"/>
      <c r="AL1247" s="795"/>
    </row>
    <row r="1248" spans="1:38" ht="12.6">
      <c r="A1248" s="990" t="s">
        <v>1344</v>
      </c>
      <c r="B1248" s="991" t="s">
        <v>1345</v>
      </c>
      <c r="C1248" s="991" t="s">
        <v>1058</v>
      </c>
      <c r="D1248" s="991" t="s">
        <v>129</v>
      </c>
      <c r="E1248" s="991"/>
      <c r="F1248" s="813" t="s">
        <v>106</v>
      </c>
      <c r="G1248" s="813" t="s">
        <v>106</v>
      </c>
      <c r="H1248" s="813" t="s">
        <v>106</v>
      </c>
      <c r="I1248" s="813" t="s">
        <v>106</v>
      </c>
      <c r="J1248" s="813" t="s">
        <v>106</v>
      </c>
      <c r="K1248" s="813" t="s">
        <v>106</v>
      </c>
      <c r="L1248" s="813" t="s">
        <v>106</v>
      </c>
      <c r="M1248" s="813" t="s">
        <v>106</v>
      </c>
      <c r="N1248" s="813" t="s">
        <v>106</v>
      </c>
      <c r="O1248" s="813" t="s">
        <v>106</v>
      </c>
      <c r="P1248" s="813" t="s">
        <v>106</v>
      </c>
      <c r="Q1248" s="813" t="s">
        <v>106</v>
      </c>
      <c r="R1248" s="813" t="s">
        <v>106</v>
      </c>
      <c r="S1248" s="813" t="s">
        <v>106</v>
      </c>
      <c r="T1248" s="813" t="s">
        <v>106</v>
      </c>
      <c r="U1248" s="813" t="s">
        <v>106</v>
      </c>
      <c r="V1248" s="813" t="s">
        <v>106</v>
      </c>
      <c r="W1248" s="813" t="s">
        <v>106</v>
      </c>
      <c r="X1248" s="813" t="s">
        <v>106</v>
      </c>
      <c r="Y1248" s="813" t="s">
        <v>106</v>
      </c>
      <c r="Z1248" s="813" t="s">
        <v>106</v>
      </c>
      <c r="AA1248" s="813" t="s">
        <v>106</v>
      </c>
      <c r="AB1248" s="813" t="s">
        <v>106</v>
      </c>
      <c r="AC1248" s="813" t="s">
        <v>106</v>
      </c>
      <c r="AD1248" s="813" t="s">
        <v>106</v>
      </c>
      <c r="AE1248" s="813" t="s">
        <v>106</v>
      </c>
      <c r="AF1248" s="813" t="s">
        <v>106</v>
      </c>
      <c r="AG1248" s="813" t="s">
        <v>106</v>
      </c>
      <c r="AH1248" s="813" t="s">
        <v>106</v>
      </c>
      <c r="AI1248" s="813" t="s">
        <v>106</v>
      </c>
      <c r="AJ1248" s="813" t="s">
        <v>106</v>
      </c>
      <c r="AK1248" s="813" t="s">
        <v>106</v>
      </c>
      <c r="AL1248" s="813" t="s">
        <v>106</v>
      </c>
    </row>
    <row r="1249" spans="1:38" ht="12.6">
      <c r="A1249" s="990" t="s">
        <v>1346</v>
      </c>
      <c r="B1249" s="991" t="s">
        <v>1345</v>
      </c>
      <c r="C1249" s="991" t="s">
        <v>1062</v>
      </c>
      <c r="D1249" s="991" t="s">
        <v>129</v>
      </c>
      <c r="E1249" s="991"/>
      <c r="F1249" s="813" t="s">
        <v>106</v>
      </c>
      <c r="G1249" s="813" t="s">
        <v>106</v>
      </c>
      <c r="H1249" s="813" t="s">
        <v>106</v>
      </c>
      <c r="I1249" s="813" t="s">
        <v>106</v>
      </c>
      <c r="J1249" s="813" t="s">
        <v>106</v>
      </c>
      <c r="K1249" s="813" t="s">
        <v>106</v>
      </c>
      <c r="L1249" s="813" t="s">
        <v>106</v>
      </c>
      <c r="M1249" s="813" t="s">
        <v>106</v>
      </c>
      <c r="N1249" s="813" t="s">
        <v>106</v>
      </c>
      <c r="O1249" s="813" t="s">
        <v>106</v>
      </c>
      <c r="P1249" s="813" t="s">
        <v>106</v>
      </c>
      <c r="Q1249" s="813" t="s">
        <v>106</v>
      </c>
      <c r="R1249" s="813" t="s">
        <v>106</v>
      </c>
      <c r="S1249" s="813" t="s">
        <v>106</v>
      </c>
      <c r="T1249" s="813" t="s">
        <v>106</v>
      </c>
      <c r="U1249" s="813" t="s">
        <v>106</v>
      </c>
      <c r="V1249" s="813" t="s">
        <v>106</v>
      </c>
      <c r="W1249" s="813" t="s">
        <v>106</v>
      </c>
      <c r="X1249" s="813" t="s">
        <v>106</v>
      </c>
      <c r="Y1249" s="813" t="s">
        <v>106</v>
      </c>
      <c r="Z1249" s="813" t="s">
        <v>106</v>
      </c>
      <c r="AA1249" s="813" t="s">
        <v>106</v>
      </c>
      <c r="AB1249" s="813" t="s">
        <v>106</v>
      </c>
      <c r="AC1249" s="813" t="s">
        <v>106</v>
      </c>
      <c r="AD1249" s="813" t="s">
        <v>106</v>
      </c>
      <c r="AE1249" s="813" t="s">
        <v>106</v>
      </c>
      <c r="AF1249" s="813" t="s">
        <v>106</v>
      </c>
      <c r="AG1249" s="813" t="s">
        <v>106</v>
      </c>
      <c r="AH1249" s="813" t="s">
        <v>106</v>
      </c>
      <c r="AI1249" s="813" t="s">
        <v>106</v>
      </c>
      <c r="AJ1249" s="813" t="s">
        <v>106</v>
      </c>
      <c r="AK1249" s="813" t="s">
        <v>106</v>
      </c>
      <c r="AL1249" s="813" t="s">
        <v>106</v>
      </c>
    </row>
    <row r="1250" spans="1:38" s="797" customFormat="1" ht="12.95">
      <c r="A1250" s="989" t="s">
        <v>754</v>
      </c>
      <c r="B1250" s="796"/>
      <c r="C1250" s="796"/>
      <c r="D1250" s="796"/>
      <c r="E1250" s="796"/>
      <c r="F1250" s="795"/>
      <c r="G1250" s="795"/>
      <c r="H1250" s="795"/>
      <c r="I1250" s="795"/>
      <c r="J1250" s="795"/>
      <c r="K1250" s="795"/>
      <c r="L1250" s="795"/>
      <c r="M1250" s="795"/>
      <c r="N1250" s="795"/>
      <c r="O1250" s="795"/>
      <c r="P1250" s="795"/>
      <c r="Q1250" s="795"/>
      <c r="R1250" s="795"/>
      <c r="S1250" s="795"/>
      <c r="T1250" s="795"/>
      <c r="U1250" s="795"/>
      <c r="V1250" s="795"/>
      <c r="W1250" s="795"/>
      <c r="X1250" s="795"/>
      <c r="Y1250" s="795"/>
      <c r="Z1250" s="795"/>
      <c r="AA1250" s="795"/>
      <c r="AB1250" s="795"/>
      <c r="AC1250" s="795"/>
      <c r="AD1250" s="795"/>
      <c r="AE1250" s="795"/>
      <c r="AF1250" s="795"/>
      <c r="AG1250" s="795"/>
      <c r="AH1250" s="795"/>
      <c r="AI1250" s="795"/>
      <c r="AJ1250" s="795"/>
      <c r="AK1250" s="795"/>
      <c r="AL1250" s="795"/>
    </row>
    <row r="1251" spans="1:38" ht="12.6">
      <c r="A1251" s="990" t="s">
        <v>1347</v>
      </c>
      <c r="B1251" s="991" t="s">
        <v>1348</v>
      </c>
      <c r="C1251" s="991" t="s">
        <v>1058</v>
      </c>
      <c r="D1251" s="991" t="s">
        <v>129</v>
      </c>
      <c r="E1251" s="991"/>
      <c r="F1251" s="813" t="s">
        <v>106</v>
      </c>
      <c r="G1251" s="813" t="s">
        <v>106</v>
      </c>
      <c r="H1251" s="813" t="s">
        <v>106</v>
      </c>
      <c r="I1251" s="813" t="s">
        <v>106</v>
      </c>
      <c r="J1251" s="813" t="s">
        <v>106</v>
      </c>
      <c r="K1251" s="813" t="s">
        <v>106</v>
      </c>
      <c r="L1251" s="813" t="s">
        <v>106</v>
      </c>
      <c r="M1251" s="813" t="s">
        <v>106</v>
      </c>
      <c r="N1251" s="813" t="s">
        <v>106</v>
      </c>
      <c r="O1251" s="813" t="s">
        <v>106</v>
      </c>
      <c r="P1251" s="813" t="s">
        <v>106</v>
      </c>
      <c r="Q1251" s="813" t="s">
        <v>106</v>
      </c>
      <c r="R1251" s="813" t="s">
        <v>106</v>
      </c>
      <c r="S1251" s="813" t="s">
        <v>106</v>
      </c>
      <c r="T1251" s="813" t="s">
        <v>106</v>
      </c>
      <c r="U1251" s="813" t="s">
        <v>106</v>
      </c>
      <c r="V1251" s="813" t="s">
        <v>106</v>
      </c>
      <c r="W1251" s="813" t="s">
        <v>106</v>
      </c>
      <c r="X1251" s="813" t="s">
        <v>106</v>
      </c>
      <c r="Y1251" s="813" t="s">
        <v>106</v>
      </c>
      <c r="Z1251" s="813" t="s">
        <v>106</v>
      </c>
      <c r="AA1251" s="813" t="s">
        <v>106</v>
      </c>
      <c r="AB1251" s="813" t="s">
        <v>106</v>
      </c>
      <c r="AC1251" s="813" t="s">
        <v>106</v>
      </c>
      <c r="AD1251" s="813" t="s">
        <v>106</v>
      </c>
      <c r="AE1251" s="813" t="s">
        <v>106</v>
      </c>
      <c r="AF1251" s="813" t="s">
        <v>106</v>
      </c>
      <c r="AG1251" s="813" t="s">
        <v>106</v>
      </c>
      <c r="AH1251" s="813" t="s">
        <v>106</v>
      </c>
      <c r="AI1251" s="813" t="s">
        <v>106</v>
      </c>
      <c r="AJ1251" s="813" t="s">
        <v>106</v>
      </c>
      <c r="AK1251" s="813" t="s">
        <v>106</v>
      </c>
      <c r="AL1251" s="813" t="s">
        <v>106</v>
      </c>
    </row>
    <row r="1252" spans="1:38" ht="12.6">
      <c r="A1252" s="990" t="s">
        <v>1349</v>
      </c>
      <c r="B1252" s="991" t="s">
        <v>1348</v>
      </c>
      <c r="C1252" s="991" t="s">
        <v>1062</v>
      </c>
      <c r="D1252" s="991" t="s">
        <v>129</v>
      </c>
      <c r="E1252" s="991"/>
      <c r="F1252" s="813" t="s">
        <v>106</v>
      </c>
      <c r="G1252" s="813" t="s">
        <v>106</v>
      </c>
      <c r="H1252" s="813" t="s">
        <v>106</v>
      </c>
      <c r="I1252" s="813" t="s">
        <v>106</v>
      </c>
      <c r="J1252" s="813" t="s">
        <v>106</v>
      </c>
      <c r="K1252" s="813" t="s">
        <v>106</v>
      </c>
      <c r="L1252" s="813" t="s">
        <v>106</v>
      </c>
      <c r="M1252" s="813" t="s">
        <v>106</v>
      </c>
      <c r="N1252" s="813" t="s">
        <v>106</v>
      </c>
      <c r="O1252" s="813" t="s">
        <v>106</v>
      </c>
      <c r="P1252" s="813" t="s">
        <v>106</v>
      </c>
      <c r="Q1252" s="813" t="s">
        <v>106</v>
      </c>
      <c r="R1252" s="813" t="s">
        <v>106</v>
      </c>
      <c r="S1252" s="813" t="s">
        <v>106</v>
      </c>
      <c r="T1252" s="813" t="s">
        <v>106</v>
      </c>
      <c r="U1252" s="813" t="s">
        <v>106</v>
      </c>
      <c r="V1252" s="813" t="s">
        <v>106</v>
      </c>
      <c r="W1252" s="813" t="s">
        <v>106</v>
      </c>
      <c r="X1252" s="813" t="s">
        <v>106</v>
      </c>
      <c r="Y1252" s="813" t="s">
        <v>106</v>
      </c>
      <c r="Z1252" s="813" t="s">
        <v>106</v>
      </c>
      <c r="AA1252" s="813" t="s">
        <v>106</v>
      </c>
      <c r="AB1252" s="813" t="s">
        <v>106</v>
      </c>
      <c r="AC1252" s="813" t="s">
        <v>106</v>
      </c>
      <c r="AD1252" s="813" t="s">
        <v>106</v>
      </c>
      <c r="AE1252" s="813" t="s">
        <v>106</v>
      </c>
      <c r="AF1252" s="813" t="s">
        <v>106</v>
      </c>
      <c r="AG1252" s="813" t="s">
        <v>106</v>
      </c>
      <c r="AH1252" s="813" t="s">
        <v>106</v>
      </c>
      <c r="AI1252" s="813" t="s">
        <v>106</v>
      </c>
      <c r="AJ1252" s="813" t="s">
        <v>106</v>
      </c>
      <c r="AK1252" s="813" t="s">
        <v>106</v>
      </c>
      <c r="AL1252" s="813" t="s">
        <v>106</v>
      </c>
    </row>
    <row r="1253" spans="1:38" s="797" customFormat="1" ht="12.95">
      <c r="A1253" s="992" t="s">
        <v>787</v>
      </c>
      <c r="B1253" s="796"/>
      <c r="C1253" s="796"/>
      <c r="D1253" s="796"/>
      <c r="E1253" s="796"/>
      <c r="F1253" s="795"/>
      <c r="G1253" s="795"/>
      <c r="H1253" s="795"/>
      <c r="I1253" s="795"/>
      <c r="J1253" s="795"/>
      <c r="K1253" s="795"/>
      <c r="L1253" s="795"/>
      <c r="M1253" s="795"/>
      <c r="N1253" s="795"/>
      <c r="O1253" s="795"/>
      <c r="P1253" s="795"/>
      <c r="Q1253" s="795"/>
      <c r="R1253" s="795"/>
      <c r="S1253" s="795"/>
      <c r="T1253" s="795"/>
      <c r="U1253" s="795"/>
      <c r="V1253" s="795"/>
      <c r="W1253" s="795"/>
      <c r="X1253" s="795"/>
      <c r="Y1253" s="795"/>
      <c r="Z1253" s="795"/>
      <c r="AA1253" s="795"/>
      <c r="AB1253" s="795"/>
      <c r="AC1253" s="795"/>
      <c r="AD1253" s="795"/>
      <c r="AE1253" s="795"/>
      <c r="AF1253" s="795"/>
      <c r="AG1253" s="795"/>
      <c r="AH1253" s="795"/>
      <c r="AI1253" s="795"/>
      <c r="AJ1253" s="795"/>
      <c r="AK1253" s="795"/>
      <c r="AL1253" s="795"/>
    </row>
    <row r="1254" spans="1:38" s="797" customFormat="1" ht="12.95">
      <c r="A1254" s="989" t="s">
        <v>748</v>
      </c>
      <c r="B1254" s="796"/>
      <c r="C1254" s="796"/>
      <c r="D1254" s="796"/>
      <c r="E1254" s="796"/>
      <c r="F1254" s="795"/>
      <c r="G1254" s="795"/>
      <c r="H1254" s="795"/>
      <c r="I1254" s="795"/>
      <c r="J1254" s="795"/>
      <c r="K1254" s="795"/>
      <c r="L1254" s="795"/>
      <c r="M1254" s="795"/>
      <c r="N1254" s="795"/>
      <c r="O1254" s="795"/>
      <c r="P1254" s="795"/>
      <c r="Q1254" s="795"/>
      <c r="R1254" s="795"/>
      <c r="S1254" s="795"/>
      <c r="T1254" s="795"/>
      <c r="U1254" s="795"/>
      <c r="V1254" s="795"/>
      <c r="W1254" s="795"/>
      <c r="X1254" s="795"/>
      <c r="Y1254" s="795"/>
      <c r="Z1254" s="795"/>
      <c r="AA1254" s="795"/>
      <c r="AB1254" s="795"/>
      <c r="AC1254" s="795"/>
      <c r="AD1254" s="795"/>
      <c r="AE1254" s="795"/>
      <c r="AF1254" s="795"/>
      <c r="AG1254" s="795"/>
      <c r="AH1254" s="795"/>
      <c r="AI1254" s="795"/>
      <c r="AJ1254" s="795"/>
      <c r="AK1254" s="795"/>
      <c r="AL1254" s="795"/>
    </row>
    <row r="1255" spans="1:38" ht="12.6">
      <c r="A1255" s="990" t="s">
        <v>1350</v>
      </c>
      <c r="B1255" s="991" t="s">
        <v>1351</v>
      </c>
      <c r="C1255" s="991" t="s">
        <v>1058</v>
      </c>
      <c r="D1255" s="991" t="s">
        <v>129</v>
      </c>
      <c r="E1255" s="991"/>
      <c r="F1255" s="813" t="s">
        <v>1319</v>
      </c>
      <c r="G1255" s="813" t="s">
        <v>1319</v>
      </c>
      <c r="H1255" s="813" t="s">
        <v>1319</v>
      </c>
      <c r="I1255" s="813" t="s">
        <v>1319</v>
      </c>
      <c r="J1255" s="813" t="s">
        <v>1319</v>
      </c>
      <c r="K1255" s="813" t="s">
        <v>1319</v>
      </c>
      <c r="L1255" s="813" t="s">
        <v>1319</v>
      </c>
      <c r="M1255" s="813" t="s">
        <v>1319</v>
      </c>
      <c r="N1255" s="813" t="s">
        <v>1319</v>
      </c>
      <c r="O1255" s="813" t="s">
        <v>1319</v>
      </c>
      <c r="P1255" s="813" t="s">
        <v>1319</v>
      </c>
      <c r="Q1255" s="813" t="s">
        <v>1319</v>
      </c>
      <c r="R1255" s="813" t="s">
        <v>1319</v>
      </c>
      <c r="S1255" s="813" t="s">
        <v>1319</v>
      </c>
      <c r="T1255" s="813" t="s">
        <v>1319</v>
      </c>
      <c r="U1255" s="813" t="s">
        <v>1319</v>
      </c>
      <c r="V1255" s="813" t="s">
        <v>1319</v>
      </c>
      <c r="W1255" s="813" t="s">
        <v>1319</v>
      </c>
      <c r="X1255" s="813" t="s">
        <v>1319</v>
      </c>
      <c r="Y1255" s="813" t="s">
        <v>1319</v>
      </c>
      <c r="Z1255" s="813" t="s">
        <v>1319</v>
      </c>
      <c r="AA1255" s="813" t="s">
        <v>1319</v>
      </c>
      <c r="AB1255" s="813" t="s">
        <v>1319</v>
      </c>
      <c r="AC1255" s="813" t="s">
        <v>1319</v>
      </c>
      <c r="AD1255" s="813" t="s">
        <v>1319</v>
      </c>
      <c r="AE1255" s="813" t="s">
        <v>1319</v>
      </c>
      <c r="AF1255" s="813" t="s">
        <v>1319</v>
      </c>
      <c r="AG1255" s="813" t="s">
        <v>1319</v>
      </c>
      <c r="AH1255" s="813" t="s">
        <v>1319</v>
      </c>
      <c r="AI1255" s="813" t="s">
        <v>1319</v>
      </c>
      <c r="AJ1255" s="813" t="s">
        <v>1319</v>
      </c>
      <c r="AK1255" s="813" t="s">
        <v>1319</v>
      </c>
      <c r="AL1255" s="813" t="s">
        <v>1320</v>
      </c>
    </row>
    <row r="1256" spans="1:38" ht="12.6">
      <c r="A1256" s="990" t="s">
        <v>1352</v>
      </c>
      <c r="B1256" s="991" t="s">
        <v>1351</v>
      </c>
      <c r="C1256" s="991" t="s">
        <v>1062</v>
      </c>
      <c r="D1256" s="991" t="s">
        <v>129</v>
      </c>
      <c r="E1256" s="991"/>
      <c r="F1256" s="813" t="s">
        <v>1063</v>
      </c>
      <c r="G1256" s="813" t="s">
        <v>1063</v>
      </c>
      <c r="H1256" s="813" t="s">
        <v>1063</v>
      </c>
      <c r="I1256" s="813" t="s">
        <v>1063</v>
      </c>
      <c r="J1256" s="813" t="s">
        <v>1063</v>
      </c>
      <c r="K1256" s="813" t="s">
        <v>1063</v>
      </c>
      <c r="L1256" s="813" t="s">
        <v>1063</v>
      </c>
      <c r="M1256" s="813" t="s">
        <v>1063</v>
      </c>
      <c r="N1256" s="813" t="s">
        <v>1063</v>
      </c>
      <c r="O1256" s="813" t="s">
        <v>1063</v>
      </c>
      <c r="P1256" s="813" t="s">
        <v>1063</v>
      </c>
      <c r="Q1256" s="813" t="s">
        <v>1063</v>
      </c>
      <c r="R1256" s="813" t="s">
        <v>1063</v>
      </c>
      <c r="S1256" s="813" t="s">
        <v>1063</v>
      </c>
      <c r="T1256" s="813" t="s">
        <v>1063</v>
      </c>
      <c r="U1256" s="813" t="s">
        <v>1063</v>
      </c>
      <c r="V1256" s="813" t="s">
        <v>1063</v>
      </c>
      <c r="W1256" s="813" t="s">
        <v>1063</v>
      </c>
      <c r="X1256" s="813" t="s">
        <v>1063</v>
      </c>
      <c r="Y1256" s="813" t="s">
        <v>1063</v>
      </c>
      <c r="Z1256" s="813" t="s">
        <v>1063</v>
      </c>
      <c r="AA1256" s="813" t="s">
        <v>1063</v>
      </c>
      <c r="AB1256" s="813" t="s">
        <v>1063</v>
      </c>
      <c r="AC1256" s="813" t="s">
        <v>1063</v>
      </c>
      <c r="AD1256" s="813" t="s">
        <v>1063</v>
      </c>
      <c r="AE1256" s="813" t="s">
        <v>1063</v>
      </c>
      <c r="AF1256" s="813" t="s">
        <v>1063</v>
      </c>
      <c r="AG1256" s="813" t="s">
        <v>1063</v>
      </c>
      <c r="AH1256" s="813" t="s">
        <v>1063</v>
      </c>
      <c r="AI1256" s="813" t="s">
        <v>1063</v>
      </c>
      <c r="AJ1256" s="813" t="s">
        <v>1063</v>
      </c>
      <c r="AK1256" s="813" t="s">
        <v>1063</v>
      </c>
      <c r="AL1256" s="813" t="s">
        <v>1063</v>
      </c>
    </row>
    <row r="1257" spans="1:38" s="797" customFormat="1" ht="12.95">
      <c r="A1257" s="989" t="s">
        <v>729</v>
      </c>
      <c r="B1257" s="796"/>
      <c r="C1257" s="796"/>
      <c r="D1257" s="796"/>
      <c r="E1257" s="796"/>
      <c r="F1257" s="795"/>
      <c r="G1257" s="795"/>
      <c r="H1257" s="795"/>
      <c r="I1257" s="795"/>
      <c r="J1257" s="795"/>
      <c r="K1257" s="795"/>
      <c r="L1257" s="795"/>
      <c r="M1257" s="795"/>
      <c r="N1257" s="795"/>
      <c r="O1257" s="795"/>
      <c r="P1257" s="795"/>
      <c r="Q1257" s="795"/>
      <c r="R1257" s="795"/>
      <c r="S1257" s="795"/>
      <c r="T1257" s="795"/>
      <c r="U1257" s="795"/>
      <c r="V1257" s="795"/>
      <c r="W1257" s="795"/>
      <c r="X1257" s="795"/>
      <c r="Y1257" s="795"/>
      <c r="Z1257" s="795"/>
      <c r="AA1257" s="795"/>
      <c r="AB1257" s="795"/>
      <c r="AC1257" s="795"/>
      <c r="AD1257" s="795"/>
      <c r="AE1257" s="795"/>
      <c r="AF1257" s="795"/>
      <c r="AG1257" s="795"/>
      <c r="AH1257" s="795"/>
      <c r="AI1257" s="795"/>
      <c r="AJ1257" s="795"/>
      <c r="AK1257" s="795"/>
      <c r="AL1257" s="795"/>
    </row>
    <row r="1258" spans="1:38" ht="12.6">
      <c r="A1258" s="990" t="s">
        <v>1353</v>
      </c>
      <c r="B1258" s="991" t="s">
        <v>1354</v>
      </c>
      <c r="C1258" s="991" t="s">
        <v>1058</v>
      </c>
      <c r="D1258" s="991" t="s">
        <v>129</v>
      </c>
      <c r="E1258" s="991"/>
      <c r="F1258" s="813" t="s">
        <v>106</v>
      </c>
      <c r="G1258" s="813" t="s">
        <v>106</v>
      </c>
      <c r="H1258" s="813" t="s">
        <v>106</v>
      </c>
      <c r="I1258" s="813" t="s">
        <v>106</v>
      </c>
      <c r="J1258" s="813" t="s">
        <v>106</v>
      </c>
      <c r="K1258" s="813" t="s">
        <v>106</v>
      </c>
      <c r="L1258" s="813" t="s">
        <v>106</v>
      </c>
      <c r="M1258" s="813" t="s">
        <v>106</v>
      </c>
      <c r="N1258" s="813" t="s">
        <v>106</v>
      </c>
      <c r="O1258" s="813" t="s">
        <v>106</v>
      </c>
      <c r="P1258" s="813" t="s">
        <v>106</v>
      </c>
      <c r="Q1258" s="813" t="s">
        <v>106</v>
      </c>
      <c r="R1258" s="813" t="s">
        <v>106</v>
      </c>
      <c r="S1258" s="813" t="s">
        <v>106</v>
      </c>
      <c r="T1258" s="813" t="s">
        <v>106</v>
      </c>
      <c r="U1258" s="813" t="s">
        <v>106</v>
      </c>
      <c r="V1258" s="813" t="s">
        <v>106</v>
      </c>
      <c r="W1258" s="813" t="s">
        <v>106</v>
      </c>
      <c r="X1258" s="813" t="s">
        <v>106</v>
      </c>
      <c r="Y1258" s="813" t="s">
        <v>106</v>
      </c>
      <c r="Z1258" s="813" t="s">
        <v>106</v>
      </c>
      <c r="AA1258" s="813" t="s">
        <v>106</v>
      </c>
      <c r="AB1258" s="813" t="s">
        <v>106</v>
      </c>
      <c r="AC1258" s="813" t="s">
        <v>106</v>
      </c>
      <c r="AD1258" s="813" t="s">
        <v>106</v>
      </c>
      <c r="AE1258" s="813" t="s">
        <v>106</v>
      </c>
      <c r="AF1258" s="813" t="s">
        <v>106</v>
      </c>
      <c r="AG1258" s="813" t="s">
        <v>106</v>
      </c>
      <c r="AH1258" s="813" t="s">
        <v>106</v>
      </c>
      <c r="AI1258" s="813" t="s">
        <v>106</v>
      </c>
      <c r="AJ1258" s="813" t="s">
        <v>106</v>
      </c>
      <c r="AK1258" s="813" t="s">
        <v>106</v>
      </c>
      <c r="AL1258" s="813" t="s">
        <v>106</v>
      </c>
    </row>
    <row r="1259" spans="1:38" ht="12.6">
      <c r="A1259" s="990" t="s">
        <v>1355</v>
      </c>
      <c r="B1259" s="991" t="s">
        <v>1354</v>
      </c>
      <c r="C1259" s="991" t="s">
        <v>1062</v>
      </c>
      <c r="D1259" s="991" t="s">
        <v>129</v>
      </c>
      <c r="E1259" s="991"/>
      <c r="F1259" s="813" t="s">
        <v>106</v>
      </c>
      <c r="G1259" s="813" t="s">
        <v>106</v>
      </c>
      <c r="H1259" s="813" t="s">
        <v>106</v>
      </c>
      <c r="I1259" s="813" t="s">
        <v>106</v>
      </c>
      <c r="J1259" s="813" t="s">
        <v>106</v>
      </c>
      <c r="K1259" s="813" t="s">
        <v>106</v>
      </c>
      <c r="L1259" s="813" t="s">
        <v>106</v>
      </c>
      <c r="M1259" s="813" t="s">
        <v>106</v>
      </c>
      <c r="N1259" s="813" t="s">
        <v>106</v>
      </c>
      <c r="O1259" s="813" t="s">
        <v>106</v>
      </c>
      <c r="P1259" s="813" t="s">
        <v>106</v>
      </c>
      <c r="Q1259" s="813" t="s">
        <v>106</v>
      </c>
      <c r="R1259" s="813" t="s">
        <v>106</v>
      </c>
      <c r="S1259" s="813" t="s">
        <v>106</v>
      </c>
      <c r="T1259" s="813" t="s">
        <v>106</v>
      </c>
      <c r="U1259" s="813" t="s">
        <v>106</v>
      </c>
      <c r="V1259" s="813" t="s">
        <v>106</v>
      </c>
      <c r="W1259" s="813" t="s">
        <v>106</v>
      </c>
      <c r="X1259" s="813" t="s">
        <v>106</v>
      </c>
      <c r="Y1259" s="813" t="s">
        <v>106</v>
      </c>
      <c r="Z1259" s="813" t="s">
        <v>106</v>
      </c>
      <c r="AA1259" s="813" t="s">
        <v>106</v>
      </c>
      <c r="AB1259" s="813" t="s">
        <v>106</v>
      </c>
      <c r="AC1259" s="813" t="s">
        <v>106</v>
      </c>
      <c r="AD1259" s="813" t="s">
        <v>106</v>
      </c>
      <c r="AE1259" s="813" t="s">
        <v>106</v>
      </c>
      <c r="AF1259" s="813" t="s">
        <v>106</v>
      </c>
      <c r="AG1259" s="813" t="s">
        <v>106</v>
      </c>
      <c r="AH1259" s="813" t="s">
        <v>106</v>
      </c>
      <c r="AI1259" s="813" t="s">
        <v>106</v>
      </c>
      <c r="AJ1259" s="813" t="s">
        <v>106</v>
      </c>
      <c r="AK1259" s="813" t="s">
        <v>106</v>
      </c>
      <c r="AL1259" s="813" t="s">
        <v>106</v>
      </c>
    </row>
    <row r="1260" spans="1:38" s="797" customFormat="1" ht="12.95">
      <c r="A1260" s="989" t="s">
        <v>736</v>
      </c>
      <c r="B1260" s="796"/>
      <c r="C1260" s="796"/>
      <c r="D1260" s="796"/>
      <c r="E1260" s="796"/>
      <c r="F1260" s="795"/>
      <c r="G1260" s="795"/>
      <c r="H1260" s="795"/>
      <c r="I1260" s="795"/>
      <c r="J1260" s="795"/>
      <c r="K1260" s="795"/>
      <c r="L1260" s="795"/>
      <c r="M1260" s="795"/>
      <c r="N1260" s="795"/>
      <c r="O1260" s="795"/>
      <c r="P1260" s="795"/>
      <c r="Q1260" s="795"/>
      <c r="R1260" s="795"/>
      <c r="S1260" s="795"/>
      <c r="T1260" s="795"/>
      <c r="U1260" s="795"/>
      <c r="V1260" s="795"/>
      <c r="W1260" s="795"/>
      <c r="X1260" s="795"/>
      <c r="Y1260" s="795"/>
      <c r="Z1260" s="795"/>
      <c r="AA1260" s="795"/>
      <c r="AB1260" s="795"/>
      <c r="AC1260" s="795"/>
      <c r="AD1260" s="795"/>
      <c r="AE1260" s="795"/>
      <c r="AF1260" s="795"/>
      <c r="AG1260" s="795"/>
      <c r="AH1260" s="795"/>
      <c r="AI1260" s="795"/>
      <c r="AJ1260" s="795"/>
      <c r="AK1260" s="795"/>
      <c r="AL1260" s="795"/>
    </row>
    <row r="1261" spans="1:38" ht="12.6">
      <c r="A1261" s="990" t="s">
        <v>1356</v>
      </c>
      <c r="B1261" s="991" t="s">
        <v>1357</v>
      </c>
      <c r="C1261" s="991" t="s">
        <v>1058</v>
      </c>
      <c r="D1261" s="991" t="s">
        <v>129</v>
      </c>
      <c r="E1261" s="991"/>
      <c r="F1261" s="813" t="s">
        <v>106</v>
      </c>
      <c r="G1261" s="813" t="s">
        <v>106</v>
      </c>
      <c r="H1261" s="813" t="s">
        <v>106</v>
      </c>
      <c r="I1261" s="813" t="s">
        <v>106</v>
      </c>
      <c r="J1261" s="813" t="s">
        <v>106</v>
      </c>
      <c r="K1261" s="813" t="s">
        <v>106</v>
      </c>
      <c r="L1261" s="813" t="s">
        <v>106</v>
      </c>
      <c r="M1261" s="813" t="s">
        <v>106</v>
      </c>
      <c r="N1261" s="813" t="s">
        <v>106</v>
      </c>
      <c r="O1261" s="813" t="s">
        <v>106</v>
      </c>
      <c r="P1261" s="813" t="s">
        <v>106</v>
      </c>
      <c r="Q1261" s="813" t="s">
        <v>106</v>
      </c>
      <c r="R1261" s="813" t="s">
        <v>106</v>
      </c>
      <c r="S1261" s="813" t="s">
        <v>106</v>
      </c>
      <c r="T1261" s="813" t="s">
        <v>106</v>
      </c>
      <c r="U1261" s="813" t="s">
        <v>106</v>
      </c>
      <c r="V1261" s="813" t="s">
        <v>106</v>
      </c>
      <c r="W1261" s="813" t="s">
        <v>106</v>
      </c>
      <c r="X1261" s="813" t="s">
        <v>106</v>
      </c>
      <c r="Y1261" s="813" t="s">
        <v>106</v>
      </c>
      <c r="Z1261" s="813" t="s">
        <v>106</v>
      </c>
      <c r="AA1261" s="813" t="s">
        <v>106</v>
      </c>
      <c r="AB1261" s="813" t="s">
        <v>106</v>
      </c>
      <c r="AC1261" s="813" t="s">
        <v>106</v>
      </c>
      <c r="AD1261" s="813" t="s">
        <v>106</v>
      </c>
      <c r="AE1261" s="813" t="s">
        <v>106</v>
      </c>
      <c r="AF1261" s="813" t="s">
        <v>106</v>
      </c>
      <c r="AG1261" s="813" t="s">
        <v>106</v>
      </c>
      <c r="AH1261" s="813" t="s">
        <v>106</v>
      </c>
      <c r="AI1261" s="813" t="s">
        <v>106</v>
      </c>
      <c r="AJ1261" s="813" t="s">
        <v>106</v>
      </c>
      <c r="AK1261" s="813" t="s">
        <v>106</v>
      </c>
      <c r="AL1261" s="813" t="s">
        <v>106</v>
      </c>
    </row>
    <row r="1262" spans="1:38" ht="12.6">
      <c r="A1262" s="990" t="s">
        <v>1358</v>
      </c>
      <c r="B1262" s="991" t="s">
        <v>1357</v>
      </c>
      <c r="C1262" s="991" t="s">
        <v>1062</v>
      </c>
      <c r="D1262" s="991" t="s">
        <v>129</v>
      </c>
      <c r="E1262" s="991"/>
      <c r="F1262" s="813" t="s">
        <v>106</v>
      </c>
      <c r="G1262" s="813" t="s">
        <v>106</v>
      </c>
      <c r="H1262" s="813" t="s">
        <v>106</v>
      </c>
      <c r="I1262" s="813" t="s">
        <v>106</v>
      </c>
      <c r="J1262" s="813" t="s">
        <v>106</v>
      </c>
      <c r="K1262" s="813" t="s">
        <v>106</v>
      </c>
      <c r="L1262" s="813" t="s">
        <v>106</v>
      </c>
      <c r="M1262" s="813" t="s">
        <v>106</v>
      </c>
      <c r="N1262" s="813" t="s">
        <v>106</v>
      </c>
      <c r="O1262" s="813" t="s">
        <v>106</v>
      </c>
      <c r="P1262" s="813" t="s">
        <v>106</v>
      </c>
      <c r="Q1262" s="813" t="s">
        <v>106</v>
      </c>
      <c r="R1262" s="813" t="s">
        <v>106</v>
      </c>
      <c r="S1262" s="813" t="s">
        <v>106</v>
      </c>
      <c r="T1262" s="813" t="s">
        <v>106</v>
      </c>
      <c r="U1262" s="813" t="s">
        <v>106</v>
      </c>
      <c r="V1262" s="813" t="s">
        <v>106</v>
      </c>
      <c r="W1262" s="813" t="s">
        <v>106</v>
      </c>
      <c r="X1262" s="813" t="s">
        <v>106</v>
      </c>
      <c r="Y1262" s="813" t="s">
        <v>106</v>
      </c>
      <c r="Z1262" s="813" t="s">
        <v>106</v>
      </c>
      <c r="AA1262" s="813" t="s">
        <v>106</v>
      </c>
      <c r="AB1262" s="813" t="s">
        <v>106</v>
      </c>
      <c r="AC1262" s="813" t="s">
        <v>106</v>
      </c>
      <c r="AD1262" s="813" t="s">
        <v>106</v>
      </c>
      <c r="AE1262" s="813" t="s">
        <v>106</v>
      </c>
      <c r="AF1262" s="813" t="s">
        <v>106</v>
      </c>
      <c r="AG1262" s="813" t="s">
        <v>106</v>
      </c>
      <c r="AH1262" s="813" t="s">
        <v>106</v>
      </c>
      <c r="AI1262" s="813" t="s">
        <v>106</v>
      </c>
      <c r="AJ1262" s="813" t="s">
        <v>106</v>
      </c>
      <c r="AK1262" s="813" t="s">
        <v>106</v>
      </c>
      <c r="AL1262" s="813" t="s">
        <v>106</v>
      </c>
    </row>
    <row r="1263" spans="1:38" s="797" customFormat="1" ht="12.95">
      <c r="A1263" s="989" t="s">
        <v>742</v>
      </c>
      <c r="B1263" s="796"/>
      <c r="C1263" s="796"/>
      <c r="D1263" s="796"/>
      <c r="E1263" s="796"/>
      <c r="F1263" s="795"/>
      <c r="G1263" s="795"/>
      <c r="H1263" s="795"/>
      <c r="I1263" s="795"/>
      <c r="J1263" s="795"/>
      <c r="K1263" s="795"/>
      <c r="L1263" s="795"/>
      <c r="M1263" s="795"/>
      <c r="N1263" s="795"/>
      <c r="O1263" s="795"/>
      <c r="P1263" s="795"/>
      <c r="Q1263" s="795"/>
      <c r="R1263" s="795"/>
      <c r="S1263" s="795"/>
      <c r="T1263" s="795"/>
      <c r="U1263" s="795"/>
      <c r="V1263" s="795"/>
      <c r="W1263" s="795"/>
      <c r="X1263" s="795"/>
      <c r="Y1263" s="795"/>
      <c r="Z1263" s="795"/>
      <c r="AA1263" s="795"/>
      <c r="AB1263" s="795"/>
      <c r="AC1263" s="795"/>
      <c r="AD1263" s="795"/>
      <c r="AE1263" s="795"/>
      <c r="AF1263" s="795"/>
      <c r="AG1263" s="795"/>
      <c r="AH1263" s="795"/>
      <c r="AI1263" s="795"/>
      <c r="AJ1263" s="795"/>
      <c r="AK1263" s="795"/>
      <c r="AL1263" s="795"/>
    </row>
    <row r="1264" spans="1:38" ht="12.6">
      <c r="A1264" s="990" t="s">
        <v>1359</v>
      </c>
      <c r="B1264" s="991" t="s">
        <v>1360</v>
      </c>
      <c r="C1264" s="991" t="s">
        <v>1058</v>
      </c>
      <c r="D1264" s="991" t="s">
        <v>129</v>
      </c>
      <c r="E1264" s="991"/>
      <c r="F1264" s="813" t="s">
        <v>106</v>
      </c>
      <c r="G1264" s="813" t="s">
        <v>106</v>
      </c>
      <c r="H1264" s="813" t="s">
        <v>106</v>
      </c>
      <c r="I1264" s="813" t="s">
        <v>106</v>
      </c>
      <c r="J1264" s="813" t="s">
        <v>106</v>
      </c>
      <c r="K1264" s="813" t="s">
        <v>106</v>
      </c>
      <c r="L1264" s="813" t="s">
        <v>106</v>
      </c>
      <c r="M1264" s="813" t="s">
        <v>106</v>
      </c>
      <c r="N1264" s="813" t="s">
        <v>106</v>
      </c>
      <c r="O1264" s="813" t="s">
        <v>106</v>
      </c>
      <c r="P1264" s="813" t="s">
        <v>106</v>
      </c>
      <c r="Q1264" s="813" t="s">
        <v>106</v>
      </c>
      <c r="R1264" s="813" t="s">
        <v>106</v>
      </c>
      <c r="S1264" s="813" t="s">
        <v>106</v>
      </c>
      <c r="T1264" s="813" t="s">
        <v>106</v>
      </c>
      <c r="U1264" s="813" t="s">
        <v>106</v>
      </c>
      <c r="V1264" s="813" t="s">
        <v>106</v>
      </c>
      <c r="W1264" s="813" t="s">
        <v>106</v>
      </c>
      <c r="X1264" s="813" t="s">
        <v>106</v>
      </c>
      <c r="Y1264" s="813" t="s">
        <v>106</v>
      </c>
      <c r="Z1264" s="813" t="s">
        <v>106</v>
      </c>
      <c r="AA1264" s="813" t="s">
        <v>106</v>
      </c>
      <c r="AB1264" s="813" t="s">
        <v>106</v>
      </c>
      <c r="AC1264" s="813" t="s">
        <v>106</v>
      </c>
      <c r="AD1264" s="813" t="s">
        <v>106</v>
      </c>
      <c r="AE1264" s="813" t="s">
        <v>106</v>
      </c>
      <c r="AF1264" s="813" t="s">
        <v>106</v>
      </c>
      <c r="AG1264" s="813" t="s">
        <v>106</v>
      </c>
      <c r="AH1264" s="813" t="s">
        <v>106</v>
      </c>
      <c r="AI1264" s="813" t="s">
        <v>106</v>
      </c>
      <c r="AJ1264" s="813" t="s">
        <v>106</v>
      </c>
      <c r="AK1264" s="813" t="s">
        <v>106</v>
      </c>
      <c r="AL1264" s="813" t="s">
        <v>106</v>
      </c>
    </row>
    <row r="1265" spans="1:38" ht="12.6">
      <c r="A1265" s="990" t="s">
        <v>1361</v>
      </c>
      <c r="B1265" s="991" t="s">
        <v>1360</v>
      </c>
      <c r="C1265" s="991" t="s">
        <v>1062</v>
      </c>
      <c r="D1265" s="991" t="s">
        <v>129</v>
      </c>
      <c r="E1265" s="991"/>
      <c r="F1265" s="813" t="s">
        <v>106</v>
      </c>
      <c r="G1265" s="813" t="s">
        <v>106</v>
      </c>
      <c r="H1265" s="813" t="s">
        <v>106</v>
      </c>
      <c r="I1265" s="813" t="s">
        <v>106</v>
      </c>
      <c r="J1265" s="813" t="s">
        <v>106</v>
      </c>
      <c r="K1265" s="813" t="s">
        <v>106</v>
      </c>
      <c r="L1265" s="813" t="s">
        <v>106</v>
      </c>
      <c r="M1265" s="813" t="s">
        <v>106</v>
      </c>
      <c r="N1265" s="813" t="s">
        <v>106</v>
      </c>
      <c r="O1265" s="813" t="s">
        <v>106</v>
      </c>
      <c r="P1265" s="813" t="s">
        <v>106</v>
      </c>
      <c r="Q1265" s="813" t="s">
        <v>106</v>
      </c>
      <c r="R1265" s="813" t="s">
        <v>106</v>
      </c>
      <c r="S1265" s="813" t="s">
        <v>106</v>
      </c>
      <c r="T1265" s="813" t="s">
        <v>106</v>
      </c>
      <c r="U1265" s="813" t="s">
        <v>106</v>
      </c>
      <c r="V1265" s="813" t="s">
        <v>106</v>
      </c>
      <c r="W1265" s="813" t="s">
        <v>106</v>
      </c>
      <c r="X1265" s="813" t="s">
        <v>106</v>
      </c>
      <c r="Y1265" s="813" t="s">
        <v>106</v>
      </c>
      <c r="Z1265" s="813" t="s">
        <v>106</v>
      </c>
      <c r="AA1265" s="813" t="s">
        <v>106</v>
      </c>
      <c r="AB1265" s="813" t="s">
        <v>106</v>
      </c>
      <c r="AC1265" s="813" t="s">
        <v>106</v>
      </c>
      <c r="AD1265" s="813" t="s">
        <v>106</v>
      </c>
      <c r="AE1265" s="813" t="s">
        <v>106</v>
      </c>
      <c r="AF1265" s="813" t="s">
        <v>106</v>
      </c>
      <c r="AG1265" s="813" t="s">
        <v>106</v>
      </c>
      <c r="AH1265" s="813" t="s">
        <v>106</v>
      </c>
      <c r="AI1265" s="813" t="s">
        <v>106</v>
      </c>
      <c r="AJ1265" s="813" t="s">
        <v>106</v>
      </c>
      <c r="AK1265" s="813" t="s">
        <v>106</v>
      </c>
      <c r="AL1265" s="813" t="s">
        <v>106</v>
      </c>
    </row>
    <row r="1266" spans="1:38" s="797" customFormat="1" ht="12.95">
      <c r="A1266" s="989" t="s">
        <v>754</v>
      </c>
      <c r="B1266" s="796"/>
      <c r="C1266" s="796"/>
      <c r="D1266" s="796"/>
      <c r="E1266" s="796"/>
      <c r="F1266" s="795"/>
      <c r="G1266" s="795"/>
      <c r="H1266" s="795"/>
      <c r="I1266" s="795"/>
      <c r="J1266" s="795"/>
      <c r="K1266" s="795"/>
      <c r="L1266" s="795"/>
      <c r="M1266" s="795"/>
      <c r="N1266" s="795"/>
      <c r="O1266" s="795"/>
      <c r="P1266" s="795"/>
      <c r="Q1266" s="795"/>
      <c r="R1266" s="795"/>
      <c r="S1266" s="795"/>
      <c r="T1266" s="795"/>
      <c r="U1266" s="795"/>
      <c r="V1266" s="795"/>
      <c r="W1266" s="795"/>
      <c r="X1266" s="795"/>
      <c r="Y1266" s="795"/>
      <c r="Z1266" s="795"/>
      <c r="AA1266" s="795"/>
      <c r="AB1266" s="795"/>
      <c r="AC1266" s="795"/>
      <c r="AD1266" s="795"/>
      <c r="AE1266" s="795"/>
      <c r="AF1266" s="795"/>
      <c r="AG1266" s="795"/>
      <c r="AH1266" s="795"/>
      <c r="AI1266" s="795"/>
      <c r="AJ1266" s="795"/>
      <c r="AK1266" s="795"/>
      <c r="AL1266" s="795"/>
    </row>
    <row r="1267" spans="1:38" ht="12.6">
      <c r="A1267" s="990" t="s">
        <v>1362</v>
      </c>
      <c r="B1267" s="991" t="s">
        <v>1363</v>
      </c>
      <c r="C1267" s="991" t="s">
        <v>1058</v>
      </c>
      <c r="D1267" s="991" t="s">
        <v>129</v>
      </c>
      <c r="E1267" s="991"/>
      <c r="F1267" s="813" t="s">
        <v>106</v>
      </c>
      <c r="G1267" s="813" t="s">
        <v>106</v>
      </c>
      <c r="H1267" s="813" t="s">
        <v>106</v>
      </c>
      <c r="I1267" s="813" t="s">
        <v>106</v>
      </c>
      <c r="J1267" s="813" t="s">
        <v>106</v>
      </c>
      <c r="K1267" s="813" t="s">
        <v>106</v>
      </c>
      <c r="L1267" s="813" t="s">
        <v>106</v>
      </c>
      <c r="M1267" s="813" t="s">
        <v>106</v>
      </c>
      <c r="N1267" s="813" t="s">
        <v>106</v>
      </c>
      <c r="O1267" s="813" t="s">
        <v>106</v>
      </c>
      <c r="P1267" s="813" t="s">
        <v>106</v>
      </c>
      <c r="Q1267" s="813" t="s">
        <v>106</v>
      </c>
      <c r="R1267" s="813" t="s">
        <v>106</v>
      </c>
      <c r="S1267" s="813" t="s">
        <v>106</v>
      </c>
      <c r="T1267" s="813" t="s">
        <v>106</v>
      </c>
      <c r="U1267" s="813" t="s">
        <v>106</v>
      </c>
      <c r="V1267" s="813" t="s">
        <v>106</v>
      </c>
      <c r="W1267" s="813" t="s">
        <v>106</v>
      </c>
      <c r="X1267" s="813" t="s">
        <v>106</v>
      </c>
      <c r="Y1267" s="813" t="s">
        <v>106</v>
      </c>
      <c r="Z1267" s="813" t="s">
        <v>106</v>
      </c>
      <c r="AA1267" s="813" t="s">
        <v>106</v>
      </c>
      <c r="AB1267" s="813" t="s">
        <v>106</v>
      </c>
      <c r="AC1267" s="813" t="s">
        <v>106</v>
      </c>
      <c r="AD1267" s="813" t="s">
        <v>106</v>
      </c>
      <c r="AE1267" s="813" t="s">
        <v>106</v>
      </c>
      <c r="AF1267" s="813" t="s">
        <v>106</v>
      </c>
      <c r="AG1267" s="813" t="s">
        <v>106</v>
      </c>
      <c r="AH1267" s="813" t="s">
        <v>106</v>
      </c>
      <c r="AI1267" s="813" t="s">
        <v>106</v>
      </c>
      <c r="AJ1267" s="813" t="s">
        <v>106</v>
      </c>
      <c r="AK1267" s="813" t="s">
        <v>106</v>
      </c>
      <c r="AL1267" s="813" t="s">
        <v>106</v>
      </c>
    </row>
    <row r="1268" spans="1:38" ht="12.6">
      <c r="A1268" s="990" t="s">
        <v>1364</v>
      </c>
      <c r="B1268" s="991" t="s">
        <v>1363</v>
      </c>
      <c r="C1268" s="991" t="s">
        <v>1062</v>
      </c>
      <c r="D1268" s="991" t="s">
        <v>129</v>
      </c>
      <c r="E1268" s="991"/>
      <c r="F1268" s="813" t="s">
        <v>106</v>
      </c>
      <c r="G1268" s="813" t="s">
        <v>106</v>
      </c>
      <c r="H1268" s="813" t="s">
        <v>106</v>
      </c>
      <c r="I1268" s="813" t="s">
        <v>106</v>
      </c>
      <c r="J1268" s="813" t="s">
        <v>106</v>
      </c>
      <c r="K1268" s="813" t="s">
        <v>106</v>
      </c>
      <c r="L1268" s="813" t="s">
        <v>106</v>
      </c>
      <c r="M1268" s="813" t="s">
        <v>106</v>
      </c>
      <c r="N1268" s="813" t="s">
        <v>106</v>
      </c>
      <c r="O1268" s="813" t="s">
        <v>106</v>
      </c>
      <c r="P1268" s="813" t="s">
        <v>106</v>
      </c>
      <c r="Q1268" s="813" t="s">
        <v>106</v>
      </c>
      <c r="R1268" s="813" t="s">
        <v>106</v>
      </c>
      <c r="S1268" s="813" t="s">
        <v>106</v>
      </c>
      <c r="T1268" s="813" t="s">
        <v>106</v>
      </c>
      <c r="U1268" s="813" t="s">
        <v>106</v>
      </c>
      <c r="V1268" s="813" t="s">
        <v>106</v>
      </c>
      <c r="W1268" s="813" t="s">
        <v>106</v>
      </c>
      <c r="X1268" s="813" t="s">
        <v>106</v>
      </c>
      <c r="Y1268" s="813" t="s">
        <v>106</v>
      </c>
      <c r="Z1268" s="813" t="s">
        <v>106</v>
      </c>
      <c r="AA1268" s="813" t="s">
        <v>106</v>
      </c>
      <c r="AB1268" s="813" t="s">
        <v>106</v>
      </c>
      <c r="AC1268" s="813" t="s">
        <v>106</v>
      </c>
      <c r="AD1268" s="813" t="s">
        <v>106</v>
      </c>
      <c r="AE1268" s="813" t="s">
        <v>106</v>
      </c>
      <c r="AF1268" s="813" t="s">
        <v>106</v>
      </c>
      <c r="AG1268" s="813" t="s">
        <v>106</v>
      </c>
      <c r="AH1268" s="813" t="s">
        <v>106</v>
      </c>
      <c r="AI1268" s="813" t="s">
        <v>106</v>
      </c>
      <c r="AJ1268" s="813" t="s">
        <v>106</v>
      </c>
      <c r="AK1268" s="813" t="s">
        <v>106</v>
      </c>
      <c r="AL1268" s="813" t="s">
        <v>106</v>
      </c>
    </row>
    <row r="1269" spans="1:38" ht="12.95">
      <c r="A1269" s="998"/>
      <c r="B1269" s="999"/>
    </row>
    <row r="1270" spans="1:38" ht="12.95">
      <c r="A1270" s="998"/>
      <c r="B1270" s="999"/>
    </row>
    <row r="1271" spans="1:38" s="311" customFormat="1" ht="18">
      <c r="A1271" s="310" t="s">
        <v>1365</v>
      </c>
      <c r="D1271" s="312"/>
    </row>
    <row r="1272" spans="1:38" s="320" customFormat="1" ht="6" customHeight="1">
      <c r="A1272" s="983"/>
      <c r="D1272" s="984"/>
    </row>
    <row r="1273" spans="1:38" s="320" customFormat="1" ht="77.45" customHeight="1">
      <c r="A1273" s="983"/>
      <c r="D1273" s="984"/>
    </row>
    <row r="1274" spans="1:38" s="320" customFormat="1" ht="12.6">
      <c r="A1274" s="319"/>
      <c r="B1274" s="1172"/>
      <c r="C1274" s="1172"/>
      <c r="D1274" s="1172"/>
      <c r="E1274" s="1172"/>
      <c r="F1274" s="1172"/>
      <c r="G1274" s="1172"/>
      <c r="H1274" s="1172"/>
      <c r="I1274" s="1172"/>
    </row>
    <row r="1275" spans="1:38" s="320" customFormat="1" ht="12.6">
      <c r="A1275" s="319"/>
      <c r="B1275" s="1172"/>
      <c r="C1275" s="1172"/>
      <c r="D1275" s="1172"/>
      <c r="E1275" s="1172"/>
      <c r="F1275" s="1172"/>
      <c r="G1275" s="1172"/>
      <c r="H1275" s="1172"/>
      <c r="I1275" s="1172"/>
    </row>
    <row r="1276" spans="1:38" s="320" customFormat="1" ht="12.6">
      <c r="B1276" s="1172"/>
      <c r="C1276" s="1172"/>
      <c r="D1276" s="1172"/>
      <c r="E1276" s="1172"/>
      <c r="F1276" s="1172"/>
      <c r="G1276" s="1172"/>
      <c r="H1276" s="1172"/>
      <c r="I1276" s="1172"/>
    </row>
    <row r="1277" spans="1:38" s="320" customFormat="1" ht="12.6">
      <c r="B1277" s="1172"/>
      <c r="C1277" s="1172"/>
      <c r="D1277" s="1172"/>
      <c r="E1277" s="1172"/>
      <c r="F1277" s="1172"/>
      <c r="G1277" s="1172"/>
      <c r="H1277" s="1172"/>
      <c r="I1277" s="1172"/>
    </row>
    <row r="1278" spans="1:38" s="320" customFormat="1" ht="12.6">
      <c r="B1278" s="1172"/>
      <c r="C1278" s="1172"/>
      <c r="D1278" s="1172"/>
      <c r="E1278" s="1172"/>
      <c r="F1278" s="1172"/>
      <c r="G1278" s="1172"/>
      <c r="H1278" s="1172"/>
      <c r="I1278" s="1172"/>
    </row>
    <row r="1279" spans="1:38" s="320" customFormat="1" ht="12.6">
      <c r="B1279" s="1172"/>
      <c r="C1279" s="1172"/>
      <c r="D1279" s="1172"/>
      <c r="E1279" s="1172"/>
      <c r="F1279" s="1172"/>
      <c r="G1279" s="1172"/>
      <c r="H1279" s="1172"/>
      <c r="I1279" s="1172"/>
    </row>
    <row r="1280" spans="1:38" s="320" customFormat="1" ht="12.6">
      <c r="B1280" s="1172"/>
      <c r="C1280" s="1172"/>
      <c r="D1280" s="1172"/>
      <c r="E1280" s="1172"/>
      <c r="F1280" s="1172"/>
      <c r="G1280" s="1172"/>
      <c r="H1280" s="1172"/>
      <c r="I1280" s="1172"/>
    </row>
    <row r="1281" spans="1:17" s="320" customFormat="1" ht="12.6">
      <c r="B1281" s="1172"/>
      <c r="C1281" s="1172"/>
      <c r="D1281" s="1172"/>
      <c r="E1281" s="1172"/>
      <c r="F1281" s="1172"/>
      <c r="G1281" s="1172"/>
      <c r="H1281" s="1172"/>
      <c r="I1281" s="1172"/>
    </row>
    <row r="1282" spans="1:17" s="320" customFormat="1" ht="12.6">
      <c r="A1282" s="321"/>
    </row>
    <row r="1283" spans="1:17" s="323" customFormat="1" ht="18">
      <c r="A1283" s="322" t="s">
        <v>1366</v>
      </c>
    </row>
    <row r="1284" spans="1:17" s="320" customFormat="1" ht="12.6"/>
    <row r="1285" spans="1:17" s="320" customFormat="1" ht="12.95">
      <c r="A1285" s="324" t="s">
        <v>1367</v>
      </c>
    </row>
    <row r="1286" spans="1:17" s="320" customFormat="1" ht="12.6">
      <c r="B1286" s="325"/>
      <c r="C1286" s="325"/>
      <c r="D1286" s="325"/>
      <c r="E1286" s="325"/>
      <c r="F1286" s="325"/>
      <c r="G1286" s="325"/>
      <c r="H1286" s="325"/>
      <c r="I1286" s="325"/>
      <c r="J1286" s="325"/>
      <c r="K1286" s="325"/>
      <c r="L1286" s="325"/>
      <c r="M1286" s="325"/>
      <c r="N1286" s="325"/>
      <c r="O1286" s="325"/>
      <c r="P1286" s="325"/>
      <c r="Q1286" s="325"/>
    </row>
    <row r="1287" spans="1:17" s="320" customFormat="1" ht="12.6">
      <c r="B1287" s="325"/>
      <c r="C1287" s="325"/>
      <c r="D1287" s="325"/>
      <c r="E1287" s="325"/>
      <c r="F1287" s="325"/>
      <c r="G1287" s="325"/>
      <c r="H1287" s="325"/>
      <c r="I1287" s="325"/>
      <c r="J1287" s="325"/>
      <c r="K1287" s="325"/>
      <c r="L1287" s="325"/>
      <c r="M1287" s="325"/>
      <c r="N1287" s="325"/>
      <c r="O1287" s="325"/>
      <c r="P1287" s="325"/>
      <c r="Q1287" s="325"/>
    </row>
    <row r="1288" spans="1:17" s="320" customFormat="1" ht="12.6">
      <c r="B1288" s="325"/>
      <c r="C1288" s="325"/>
      <c r="D1288" s="325"/>
      <c r="E1288" s="325"/>
      <c r="F1288" s="325"/>
      <c r="G1288" s="325"/>
      <c r="H1288" s="325"/>
      <c r="I1288" s="325"/>
      <c r="J1288" s="325"/>
      <c r="K1288" s="325"/>
      <c r="L1288" s="325"/>
      <c r="M1288" s="325"/>
      <c r="N1288" s="325"/>
      <c r="O1288" s="325"/>
      <c r="P1288" s="325"/>
      <c r="Q1288" s="325"/>
    </row>
    <row r="1289" spans="1:17" s="320" customFormat="1" ht="12.6">
      <c r="B1289" s="325"/>
      <c r="C1289" s="325"/>
      <c r="D1289" s="325"/>
      <c r="E1289" s="325"/>
      <c r="F1289" s="325"/>
      <c r="G1289" s="325"/>
      <c r="H1289" s="325"/>
      <c r="I1289" s="325"/>
      <c r="J1289" s="325"/>
      <c r="K1289" s="325"/>
      <c r="L1289" s="325"/>
      <c r="M1289" s="325"/>
      <c r="N1289" s="325"/>
      <c r="O1289" s="325"/>
      <c r="P1289" s="325"/>
      <c r="Q1289" s="325"/>
    </row>
    <row r="1290" spans="1:17" s="320" customFormat="1" ht="12.6">
      <c r="B1290" s="325"/>
      <c r="C1290" s="325"/>
      <c r="D1290" s="325"/>
      <c r="E1290" s="325"/>
      <c r="F1290" s="325"/>
      <c r="G1290" s="325"/>
      <c r="H1290" s="325"/>
      <c r="I1290" s="325"/>
      <c r="J1290" s="325"/>
      <c r="K1290" s="325"/>
      <c r="L1290" s="325"/>
      <c r="M1290" s="325"/>
      <c r="N1290" s="325"/>
      <c r="O1290" s="325"/>
      <c r="P1290" s="325"/>
      <c r="Q1290" s="325"/>
    </row>
    <row r="1291" spans="1:17" s="320" customFormat="1" ht="13.5" customHeight="1">
      <c r="B1291" s="325"/>
      <c r="C1291" s="325"/>
      <c r="D1291" s="325"/>
      <c r="E1291" s="325"/>
      <c r="F1291" s="325"/>
      <c r="G1291" s="325"/>
      <c r="H1291" s="325"/>
      <c r="I1291" s="325"/>
      <c r="J1291" s="325"/>
      <c r="K1291" s="325"/>
      <c r="L1291" s="325"/>
      <c r="M1291" s="325"/>
      <c r="N1291" s="325"/>
      <c r="O1291" s="325"/>
      <c r="P1291" s="325"/>
      <c r="Q1291" s="325"/>
    </row>
    <row r="1292" spans="1:17" s="320" customFormat="1" ht="12.6">
      <c r="B1292" s="325"/>
      <c r="C1292" s="325"/>
      <c r="D1292" s="325"/>
      <c r="E1292" s="325"/>
      <c r="F1292" s="325"/>
      <c r="G1292" s="325"/>
      <c r="H1292" s="325"/>
      <c r="I1292" s="325"/>
      <c r="J1292" s="325"/>
      <c r="K1292" s="325"/>
      <c r="L1292" s="325"/>
      <c r="M1292" s="325"/>
      <c r="N1292" s="325"/>
      <c r="O1292" s="325"/>
      <c r="P1292" s="325"/>
      <c r="Q1292" s="325"/>
    </row>
    <row r="1293" spans="1:17" s="320" customFormat="1" ht="12.6">
      <c r="B1293" s="325"/>
      <c r="C1293" s="325"/>
      <c r="D1293" s="325"/>
      <c r="E1293" s="325"/>
      <c r="F1293" s="325"/>
      <c r="G1293" s="325"/>
      <c r="H1293" s="325"/>
      <c r="I1293" s="325"/>
      <c r="J1293" s="325"/>
      <c r="K1293" s="325"/>
      <c r="L1293" s="325"/>
      <c r="M1293" s="325"/>
      <c r="N1293" s="325"/>
      <c r="O1293" s="325"/>
      <c r="P1293" s="325"/>
      <c r="Q1293" s="325"/>
    </row>
    <row r="1294" spans="1:17" s="320" customFormat="1" ht="12.6">
      <c r="B1294" s="325"/>
      <c r="C1294" s="325"/>
      <c r="D1294" s="325"/>
      <c r="E1294" s="325"/>
      <c r="F1294" s="325"/>
      <c r="G1294" s="325"/>
      <c r="H1294" s="325"/>
      <c r="I1294" s="325"/>
      <c r="J1294" s="325"/>
      <c r="K1294" s="325"/>
      <c r="L1294" s="325"/>
      <c r="M1294" s="325"/>
      <c r="N1294" s="325"/>
      <c r="O1294" s="325"/>
      <c r="P1294" s="325"/>
      <c r="Q1294" s="325"/>
    </row>
    <row r="1295" spans="1:17" s="320" customFormat="1" ht="12.6">
      <c r="B1295" s="325"/>
      <c r="C1295" s="325"/>
      <c r="D1295" s="325"/>
      <c r="E1295" s="325"/>
      <c r="F1295" s="325"/>
      <c r="G1295" s="325"/>
      <c r="H1295" s="325"/>
      <c r="I1295" s="325"/>
      <c r="J1295" s="325"/>
      <c r="K1295" s="325"/>
      <c r="L1295" s="325"/>
      <c r="M1295" s="325"/>
      <c r="N1295" s="325"/>
      <c r="O1295" s="325"/>
      <c r="P1295" s="325"/>
      <c r="Q1295" s="325"/>
    </row>
    <row r="1296" spans="1:17" s="320" customFormat="1" ht="12.6"/>
    <row r="1297" spans="1:12" s="320" customFormat="1" ht="12.95">
      <c r="A1297" s="324" t="s">
        <v>1368</v>
      </c>
    </row>
    <row r="1298" spans="1:12" s="320" customFormat="1" ht="27.75" customHeight="1">
      <c r="B1298" s="326" t="s">
        <v>108</v>
      </c>
      <c r="C1298" s="1173" t="s">
        <v>1369</v>
      </c>
      <c r="D1298" s="1173"/>
      <c r="E1298" s="1173"/>
      <c r="F1298" s="1173"/>
      <c r="G1298" s="1173"/>
      <c r="H1298" s="1173"/>
      <c r="I1298" s="1173"/>
      <c r="J1298" s="1173"/>
      <c r="K1298" s="1173"/>
      <c r="L1298" s="1173"/>
    </row>
    <row r="1299" spans="1:12" s="320" customFormat="1" ht="12.95">
      <c r="B1299" s="326" t="s">
        <v>106</v>
      </c>
      <c r="C1299" s="1168" t="s">
        <v>1370</v>
      </c>
      <c r="D1299" s="1168"/>
      <c r="E1299" s="1168"/>
      <c r="F1299" s="1168"/>
      <c r="G1299" s="1168"/>
      <c r="H1299" s="1168"/>
      <c r="I1299" s="1168"/>
      <c r="J1299" s="1168"/>
      <c r="K1299" s="1168"/>
      <c r="L1299" s="1168"/>
    </row>
    <row r="1300" spans="1:12" s="320" customFormat="1" ht="12.95">
      <c r="B1300" s="326"/>
      <c r="C1300" s="1168"/>
      <c r="D1300" s="1168"/>
      <c r="E1300" s="1168"/>
      <c r="F1300" s="1168"/>
      <c r="G1300" s="1168"/>
      <c r="H1300" s="1168"/>
      <c r="I1300" s="1168"/>
      <c r="J1300" s="1168"/>
      <c r="K1300" s="1168"/>
      <c r="L1300" s="1168"/>
    </row>
    <row r="1301" spans="1:12" s="320" customFormat="1" ht="12.95">
      <c r="B1301" s="326" t="s">
        <v>99</v>
      </c>
      <c r="C1301" s="1168" t="s">
        <v>1371</v>
      </c>
      <c r="D1301" s="1168"/>
      <c r="E1301" s="1168"/>
      <c r="F1301" s="1168"/>
      <c r="G1301" s="1168"/>
      <c r="H1301" s="1168"/>
      <c r="I1301" s="1168"/>
      <c r="J1301" s="1168"/>
      <c r="K1301" s="1168"/>
      <c r="L1301" s="1168"/>
    </row>
    <row r="1302" spans="1:12" s="320" customFormat="1" ht="12.95">
      <c r="B1302" s="326"/>
      <c r="C1302" s="1168"/>
      <c r="D1302" s="1168"/>
      <c r="E1302" s="1168"/>
      <c r="F1302" s="1168"/>
      <c r="G1302" s="1168"/>
      <c r="H1302" s="1168"/>
      <c r="I1302" s="1168"/>
      <c r="J1302" s="1168"/>
      <c r="K1302" s="1168"/>
      <c r="L1302" s="1168"/>
    </row>
    <row r="1303" spans="1:12" s="320" customFormat="1" ht="12.95">
      <c r="B1303" s="326"/>
      <c r="C1303" s="1168"/>
      <c r="D1303" s="1168"/>
      <c r="E1303" s="1168"/>
      <c r="F1303" s="1168"/>
      <c r="G1303" s="1168"/>
      <c r="H1303" s="1168"/>
      <c r="I1303" s="1168"/>
      <c r="J1303" s="1168"/>
      <c r="K1303" s="1168"/>
      <c r="L1303" s="1168"/>
    </row>
    <row r="1304" spans="1:12" s="320" customFormat="1" ht="12.95">
      <c r="B1304" s="326" t="s">
        <v>103</v>
      </c>
      <c r="C1304" s="1168" t="s">
        <v>1372</v>
      </c>
      <c r="D1304" s="1168"/>
      <c r="E1304" s="1168"/>
      <c r="F1304" s="1168"/>
      <c r="G1304" s="1168"/>
      <c r="H1304" s="1168"/>
      <c r="I1304" s="1168"/>
      <c r="J1304" s="1168"/>
      <c r="K1304" s="1168"/>
      <c r="L1304" s="1168"/>
    </row>
    <row r="1305" spans="1:12" s="320" customFormat="1" ht="12.95">
      <c r="B1305" s="326"/>
      <c r="C1305" s="1168"/>
      <c r="D1305" s="1168"/>
      <c r="E1305" s="1168"/>
      <c r="F1305" s="1168"/>
      <c r="G1305" s="1168"/>
      <c r="H1305" s="1168"/>
      <c r="I1305" s="1168"/>
      <c r="J1305" s="1168"/>
      <c r="K1305" s="1168"/>
      <c r="L1305" s="1168"/>
    </row>
    <row r="1306" spans="1:12" s="320" customFormat="1" ht="12.95">
      <c r="B1306" s="326"/>
      <c r="C1306" s="1168"/>
      <c r="D1306" s="1168"/>
      <c r="E1306" s="1168"/>
      <c r="F1306" s="1168"/>
      <c r="G1306" s="1168"/>
      <c r="H1306" s="1168"/>
      <c r="I1306" s="1168"/>
      <c r="J1306" s="1168"/>
      <c r="K1306" s="1168"/>
      <c r="L1306" s="1168"/>
    </row>
    <row r="1307" spans="1:12" s="320" customFormat="1" ht="52.5" customHeight="1">
      <c r="B1307" s="326"/>
      <c r="C1307" s="1168"/>
      <c r="D1307" s="1168"/>
      <c r="E1307" s="1168"/>
      <c r="F1307" s="1168"/>
      <c r="G1307" s="1168"/>
      <c r="H1307" s="1168"/>
      <c r="I1307" s="1168"/>
      <c r="J1307" s="1168"/>
      <c r="K1307" s="1168"/>
      <c r="L1307" s="1168"/>
    </row>
    <row r="1308" spans="1:12" s="320" customFormat="1" ht="24.75" customHeight="1">
      <c r="B1308" s="326" t="s">
        <v>109</v>
      </c>
      <c r="C1308" s="1168" t="s">
        <v>1373</v>
      </c>
      <c r="D1308" s="1168"/>
      <c r="E1308" s="1168"/>
      <c r="F1308" s="1168"/>
      <c r="G1308" s="1168"/>
      <c r="H1308" s="1168"/>
      <c r="I1308" s="1168"/>
      <c r="J1308" s="1168"/>
      <c r="K1308" s="1168"/>
      <c r="L1308" s="1168"/>
    </row>
    <row r="1309" spans="1:12" s="320" customFormat="1" ht="12.6"/>
    <row r="1310" spans="1:12" s="320" customFormat="1" ht="12.95">
      <c r="A1310" s="324" t="s">
        <v>1374</v>
      </c>
      <c r="B1310" s="324"/>
    </row>
    <row r="1311" spans="1:12" s="320" customFormat="1" ht="13.5" customHeight="1">
      <c r="B1311" s="327"/>
      <c r="C1311" s="328" t="s">
        <v>1375</v>
      </c>
      <c r="D1311" s="327"/>
      <c r="E1311" s="329" t="s">
        <v>1376</v>
      </c>
      <c r="F1311" s="330"/>
      <c r="G1311" s="330"/>
      <c r="H1311" s="330"/>
    </row>
    <row r="1312" spans="1:12" s="320" customFormat="1" ht="13.5" customHeight="1">
      <c r="B1312" s="326" t="s">
        <v>1377</v>
      </c>
      <c r="C1312" s="1119" t="s">
        <v>1378</v>
      </c>
      <c r="D1312" s="326" t="s">
        <v>1377</v>
      </c>
      <c r="E1312" s="325" t="s">
        <v>1378</v>
      </c>
      <c r="F1312" s="1120"/>
      <c r="G1312" s="1120"/>
      <c r="H1312" s="1120"/>
    </row>
    <row r="1313" spans="1:21" s="320" customFormat="1" ht="13.5" customHeight="1">
      <c r="B1313" s="326" t="s">
        <v>1379</v>
      </c>
      <c r="C1313" s="1119" t="s">
        <v>1380</v>
      </c>
      <c r="D1313" s="326" t="s">
        <v>1381</v>
      </c>
      <c r="E1313" s="325" t="s">
        <v>1382</v>
      </c>
      <c r="F1313" s="1120"/>
      <c r="G1313" s="1120"/>
      <c r="H1313" s="1120"/>
    </row>
    <row r="1314" spans="1:21" s="320" customFormat="1" ht="13.5" customHeight="1">
      <c r="B1314" s="326" t="s">
        <v>1383</v>
      </c>
      <c r="C1314" s="1119" t="s">
        <v>1384</v>
      </c>
      <c r="D1314" s="326" t="s">
        <v>1063</v>
      </c>
      <c r="E1314" s="325" t="s">
        <v>1385</v>
      </c>
      <c r="F1314" s="1120"/>
      <c r="G1314" s="1120"/>
      <c r="H1314" s="1120"/>
    </row>
    <row r="1315" spans="1:21" s="320" customFormat="1" ht="13.5" customHeight="1">
      <c r="B1315" s="326" t="s">
        <v>1386</v>
      </c>
      <c r="C1315" s="1119" t="s">
        <v>1387</v>
      </c>
      <c r="D1315" s="326" t="s">
        <v>1388</v>
      </c>
      <c r="E1315" s="325" t="s">
        <v>1389</v>
      </c>
      <c r="F1315" s="1120"/>
      <c r="G1315" s="1120"/>
      <c r="H1315" s="1120"/>
    </row>
    <row r="1316" spans="1:21" s="320" customFormat="1" ht="13.5" customHeight="1">
      <c r="B1316" s="326" t="s">
        <v>1059</v>
      </c>
      <c r="C1316" s="1119" t="s">
        <v>1390</v>
      </c>
      <c r="D1316" s="326" t="s">
        <v>1391</v>
      </c>
      <c r="E1316" s="325" t="s">
        <v>1392</v>
      </c>
      <c r="F1316" s="1120"/>
      <c r="G1316" s="1120"/>
      <c r="H1316" s="1120"/>
    </row>
    <row r="1317" spans="1:21" s="320" customFormat="1" ht="12.95">
      <c r="B1317" s="326" t="s">
        <v>1060</v>
      </c>
      <c r="C1317" s="1119" t="s">
        <v>1393</v>
      </c>
      <c r="D1317" s="326" t="s">
        <v>1394</v>
      </c>
      <c r="E1317" s="325" t="s">
        <v>1395</v>
      </c>
      <c r="F1317" s="1120"/>
      <c r="G1317" s="1120"/>
      <c r="H1317" s="1120"/>
    </row>
    <row r="1318" spans="1:21" s="320" customFormat="1" ht="12.95">
      <c r="B1318" s="326" t="s">
        <v>1381</v>
      </c>
      <c r="C1318" s="1119" t="s">
        <v>1382</v>
      </c>
      <c r="D1318" s="1000"/>
      <c r="E1318" s="1000"/>
      <c r="F1318" s="1000"/>
      <c r="G1318" s="1000"/>
      <c r="H1318" s="1000"/>
    </row>
    <row r="1319" spans="1:21" s="320" customFormat="1" ht="12.95">
      <c r="B1319" s="326" t="s">
        <v>1063</v>
      </c>
      <c r="C1319" s="1119" t="s">
        <v>1385</v>
      </c>
      <c r="D1319" s="1000"/>
      <c r="E1319" s="1000"/>
      <c r="F1319" s="1000"/>
      <c r="G1319" s="1000"/>
      <c r="H1319" s="1000"/>
    </row>
    <row r="1320" spans="1:21" s="320" customFormat="1" ht="12.95">
      <c r="B1320" s="326" t="s">
        <v>1394</v>
      </c>
      <c r="C1320" s="1119" t="s">
        <v>1395</v>
      </c>
      <c r="D1320" s="1000"/>
      <c r="E1320" s="1000"/>
      <c r="F1320" s="1000"/>
      <c r="G1320" s="1000"/>
      <c r="H1320" s="1000"/>
    </row>
    <row r="1321" spans="1:21" s="320" customFormat="1" ht="12.95">
      <c r="B1321" s="326" t="s">
        <v>1391</v>
      </c>
      <c r="C1321" s="1119" t="s">
        <v>1392</v>
      </c>
      <c r="D1321" s="1000"/>
      <c r="E1321" s="1000"/>
      <c r="F1321" s="1000"/>
      <c r="G1321" s="1000"/>
      <c r="H1321" s="1000"/>
    </row>
    <row r="1322" spans="1:21" ht="60" customHeight="1">
      <c r="A1322" s="1169"/>
      <c r="B1322" s="1169"/>
      <c r="C1322" s="1169"/>
      <c r="D1322" s="1169"/>
      <c r="E1322" s="1001"/>
      <c r="F1322" s="1002"/>
      <c r="G1322" s="1002"/>
      <c r="H1322" s="1002"/>
      <c r="I1322" s="1002"/>
      <c r="J1322" s="1002"/>
      <c r="K1322" s="1002"/>
      <c r="L1322" s="1002"/>
      <c r="M1322" s="1002"/>
      <c r="N1322" s="1002"/>
      <c r="O1322" s="1002"/>
      <c r="P1322" s="1002"/>
      <c r="Q1322" s="1002"/>
      <c r="R1322" s="1002"/>
      <c r="S1322" s="1002"/>
      <c r="T1322" s="1002"/>
      <c r="U1322" s="1002"/>
    </row>
    <row r="1323" spans="1:21" ht="55.5" customHeight="1">
      <c r="A1323" s="1169"/>
      <c r="B1323" s="1169"/>
      <c r="C1323" s="1169"/>
      <c r="D1323" s="1169"/>
      <c r="E1323" s="1001"/>
      <c r="F1323" s="1002"/>
      <c r="G1323" s="1002"/>
      <c r="H1323" s="1002"/>
      <c r="I1323" s="1002"/>
      <c r="J1323" s="1002"/>
      <c r="K1323" s="1002"/>
      <c r="L1323" s="1002"/>
      <c r="M1323" s="1002"/>
      <c r="N1323" s="1002"/>
      <c r="O1323" s="1002"/>
      <c r="P1323" s="1002"/>
      <c r="Q1323" s="1002"/>
      <c r="R1323" s="1002"/>
      <c r="S1323" s="1002"/>
      <c r="T1323" s="1002"/>
      <c r="U1323" s="1002"/>
    </row>
    <row r="1324" spans="1:21" ht="12.6">
      <c r="F1324" s="1002"/>
      <c r="G1324" s="1002"/>
      <c r="H1324" s="1002"/>
      <c r="I1324" s="1002"/>
      <c r="J1324" s="1002"/>
      <c r="K1324" s="1002"/>
      <c r="L1324" s="1002"/>
      <c r="M1324" s="1002"/>
      <c r="N1324" s="1002"/>
      <c r="O1324" s="1002"/>
      <c r="P1324" s="1002"/>
      <c r="Q1324" s="1002"/>
      <c r="R1324" s="1002"/>
      <c r="S1324" s="1002"/>
      <c r="T1324" s="1002"/>
      <c r="U1324" s="1002"/>
    </row>
    <row r="1325" spans="1:21" ht="12.6">
      <c r="F1325" s="1002"/>
      <c r="G1325" s="1002"/>
      <c r="H1325" s="1002"/>
      <c r="I1325" s="1002"/>
      <c r="J1325" s="1002"/>
      <c r="K1325" s="1002"/>
      <c r="L1325" s="1002"/>
      <c r="M1325" s="1002"/>
      <c r="N1325" s="1002"/>
      <c r="O1325" s="1002"/>
      <c r="P1325" s="1002"/>
      <c r="Q1325" s="1002"/>
      <c r="R1325" s="1002"/>
      <c r="S1325" s="1002"/>
      <c r="T1325" s="1002"/>
      <c r="U1325" s="1002"/>
    </row>
    <row r="1326" spans="1:21" ht="12.6">
      <c r="F1326" s="1002"/>
      <c r="G1326" s="1002"/>
      <c r="H1326" s="1002"/>
      <c r="I1326" s="1002"/>
      <c r="J1326" s="1002"/>
      <c r="K1326" s="1002"/>
      <c r="L1326" s="1002"/>
      <c r="M1326" s="1002"/>
      <c r="N1326" s="1002"/>
      <c r="O1326" s="1002"/>
      <c r="P1326" s="1002"/>
      <c r="Q1326" s="1002"/>
      <c r="R1326" s="1002"/>
      <c r="S1326" s="1002"/>
      <c r="T1326" s="1002"/>
      <c r="U1326" s="1002"/>
    </row>
    <row r="1327" spans="1:21" ht="12.6">
      <c r="F1327" s="1002"/>
      <c r="G1327" s="1002"/>
      <c r="H1327" s="1002"/>
      <c r="I1327" s="1002"/>
      <c r="J1327" s="1002"/>
      <c r="K1327" s="1002"/>
      <c r="L1327" s="1002"/>
      <c r="M1327" s="1002"/>
      <c r="N1327" s="1002"/>
      <c r="O1327" s="1002"/>
      <c r="P1327" s="1002"/>
      <c r="Q1327" s="1002"/>
      <c r="R1327" s="1002"/>
      <c r="S1327" s="1002"/>
      <c r="T1327" s="1002"/>
      <c r="U1327" s="1002"/>
    </row>
    <row r="1328" spans="1:21" ht="12.6">
      <c r="F1328" s="1002"/>
      <c r="G1328" s="1002"/>
      <c r="H1328" s="1002"/>
      <c r="I1328" s="1002"/>
      <c r="J1328" s="1002"/>
      <c r="K1328" s="1002"/>
      <c r="L1328" s="1002"/>
      <c r="M1328" s="1002"/>
      <c r="N1328" s="1002"/>
      <c r="O1328" s="1002"/>
      <c r="P1328" s="1002"/>
      <c r="Q1328" s="1002"/>
      <c r="R1328" s="1002"/>
      <c r="S1328" s="1002"/>
      <c r="T1328" s="1002"/>
      <c r="U1328" s="1002"/>
    </row>
    <row r="1329" spans="6:21" ht="12.6">
      <c r="F1329" s="1002"/>
      <c r="G1329" s="1002"/>
      <c r="H1329" s="1002"/>
      <c r="I1329" s="1002"/>
      <c r="J1329" s="1002"/>
      <c r="K1329" s="1002"/>
      <c r="L1329" s="1002"/>
      <c r="M1329" s="1002"/>
      <c r="N1329" s="1002"/>
      <c r="O1329" s="1002"/>
      <c r="P1329" s="1002"/>
      <c r="Q1329" s="1002"/>
      <c r="R1329" s="1002"/>
      <c r="S1329" s="1002"/>
      <c r="T1329" s="1002"/>
      <c r="U1329" s="1002"/>
    </row>
    <row r="1330" spans="6:21" ht="12.6">
      <c r="F1330" s="1002"/>
      <c r="G1330" s="1002"/>
      <c r="H1330" s="1002"/>
      <c r="I1330" s="1002"/>
      <c r="J1330" s="1002"/>
      <c r="K1330" s="1002"/>
      <c r="L1330" s="1002"/>
      <c r="M1330" s="1002"/>
      <c r="N1330" s="1002"/>
      <c r="O1330" s="1002"/>
      <c r="P1330" s="1002"/>
      <c r="Q1330" s="1002"/>
      <c r="R1330" s="1002"/>
      <c r="S1330" s="1002"/>
      <c r="T1330" s="1002"/>
      <c r="U1330" s="1002"/>
    </row>
    <row r="1331" spans="6:21" ht="12.6">
      <c r="F1331" s="1002"/>
      <c r="G1331" s="1002"/>
      <c r="H1331" s="1002"/>
      <c r="I1331" s="1002"/>
      <c r="J1331" s="1002"/>
      <c r="K1331" s="1002"/>
      <c r="L1331" s="1002"/>
      <c r="M1331" s="1002"/>
      <c r="N1331" s="1002"/>
      <c r="O1331" s="1002"/>
      <c r="P1331" s="1002"/>
      <c r="Q1331" s="1002"/>
      <c r="R1331" s="1002"/>
      <c r="S1331" s="1002"/>
      <c r="T1331" s="1002"/>
      <c r="U1331" s="1002"/>
    </row>
    <row r="1332" spans="6:21" ht="12.6">
      <c r="F1332" s="1002"/>
      <c r="G1332" s="1002"/>
      <c r="H1332" s="1002"/>
      <c r="I1332" s="1002"/>
      <c r="J1332" s="1002"/>
      <c r="K1332" s="1002"/>
      <c r="L1332" s="1002"/>
      <c r="M1332" s="1002"/>
      <c r="N1332" s="1002"/>
      <c r="O1332" s="1002"/>
      <c r="P1332" s="1002"/>
      <c r="Q1332" s="1002"/>
      <c r="R1332" s="1002"/>
      <c r="S1332" s="1002"/>
      <c r="T1332" s="1002"/>
      <c r="U1332" s="1002"/>
    </row>
    <row r="1333" spans="6:21" ht="12.6">
      <c r="F1333" s="1002"/>
      <c r="G1333" s="1002"/>
      <c r="H1333" s="1002"/>
      <c r="I1333" s="1002"/>
      <c r="J1333" s="1002"/>
      <c r="K1333" s="1002"/>
      <c r="L1333" s="1002"/>
      <c r="M1333" s="1002"/>
      <c r="N1333" s="1002"/>
      <c r="O1333" s="1002"/>
      <c r="P1333" s="1002"/>
      <c r="Q1333" s="1002"/>
      <c r="R1333" s="1002"/>
      <c r="S1333" s="1002"/>
      <c r="T1333" s="1002"/>
      <c r="U1333" s="1002"/>
    </row>
    <row r="1334" spans="6:21" ht="12.6">
      <c r="F1334" s="1002"/>
      <c r="G1334" s="1002"/>
      <c r="H1334" s="1002"/>
      <c r="I1334" s="1002"/>
      <c r="J1334" s="1002"/>
      <c r="K1334" s="1002"/>
      <c r="L1334" s="1002"/>
      <c r="M1334" s="1002"/>
      <c r="N1334" s="1002"/>
      <c r="O1334" s="1002"/>
      <c r="P1334" s="1002"/>
      <c r="Q1334" s="1002"/>
      <c r="R1334" s="1002"/>
      <c r="S1334" s="1002"/>
      <c r="T1334" s="1002"/>
      <c r="U1334" s="1002"/>
    </row>
    <row r="1335" spans="6:21" ht="12.6">
      <c r="F1335" s="1002"/>
      <c r="G1335" s="1002"/>
      <c r="H1335" s="1002"/>
      <c r="I1335" s="1002"/>
      <c r="J1335" s="1002"/>
      <c r="K1335" s="1002"/>
      <c r="L1335" s="1002"/>
      <c r="M1335" s="1002"/>
      <c r="N1335" s="1002"/>
      <c r="O1335" s="1002"/>
      <c r="P1335" s="1002"/>
      <c r="Q1335" s="1002"/>
      <c r="R1335" s="1002"/>
      <c r="S1335" s="1002"/>
      <c r="T1335" s="1002"/>
      <c r="U1335" s="1002"/>
    </row>
    <row r="1336" spans="6:21" ht="12.6">
      <c r="F1336" s="1002"/>
      <c r="G1336" s="1002"/>
      <c r="H1336" s="1002"/>
      <c r="I1336" s="1002"/>
      <c r="J1336" s="1002"/>
      <c r="K1336" s="1002"/>
      <c r="L1336" s="1002"/>
      <c r="M1336" s="1002"/>
      <c r="N1336" s="1002"/>
      <c r="O1336" s="1002"/>
      <c r="P1336" s="1002"/>
      <c r="Q1336" s="1002"/>
      <c r="R1336" s="1002"/>
      <c r="S1336" s="1002"/>
      <c r="T1336" s="1002"/>
      <c r="U1336" s="1002"/>
    </row>
    <row r="1337" spans="6:21" ht="12.6">
      <c r="F1337" s="1002"/>
      <c r="G1337" s="1002"/>
      <c r="H1337" s="1002"/>
      <c r="I1337" s="1002"/>
      <c r="J1337" s="1002"/>
      <c r="K1337" s="1002"/>
      <c r="L1337" s="1002"/>
      <c r="M1337" s="1002"/>
      <c r="N1337" s="1002"/>
      <c r="O1337" s="1002"/>
      <c r="P1337" s="1002"/>
      <c r="Q1337" s="1002"/>
      <c r="R1337" s="1002"/>
      <c r="S1337" s="1002"/>
      <c r="T1337" s="1002"/>
      <c r="U1337" s="1002"/>
    </row>
    <row r="1338" spans="6:21" ht="12.6">
      <c r="F1338" s="1002"/>
      <c r="G1338" s="1002"/>
      <c r="H1338" s="1002"/>
      <c r="I1338" s="1002"/>
      <c r="J1338" s="1002"/>
      <c r="K1338" s="1002"/>
      <c r="L1338" s="1002"/>
      <c r="M1338" s="1002"/>
      <c r="N1338" s="1002"/>
      <c r="O1338" s="1002"/>
      <c r="P1338" s="1002"/>
      <c r="Q1338" s="1002"/>
      <c r="R1338" s="1002"/>
      <c r="S1338" s="1002"/>
      <c r="T1338" s="1002"/>
      <c r="U1338" s="1002"/>
    </row>
    <row r="1339" spans="6:21" ht="12.6">
      <c r="F1339" s="1002"/>
      <c r="G1339" s="1002"/>
      <c r="H1339" s="1002"/>
      <c r="I1339" s="1002"/>
      <c r="J1339" s="1002"/>
      <c r="K1339" s="1002"/>
      <c r="L1339" s="1002"/>
      <c r="M1339" s="1002"/>
      <c r="N1339" s="1002"/>
      <c r="O1339" s="1002"/>
      <c r="P1339" s="1002"/>
      <c r="Q1339" s="1002"/>
      <c r="R1339" s="1002"/>
      <c r="S1339" s="1002"/>
      <c r="T1339" s="1002"/>
      <c r="U1339" s="1002"/>
    </row>
    <row r="1340" spans="6:21" ht="12.6">
      <c r="F1340" s="1002"/>
      <c r="G1340" s="1002"/>
      <c r="H1340" s="1002"/>
      <c r="I1340" s="1002"/>
      <c r="J1340" s="1002"/>
      <c r="K1340" s="1002"/>
      <c r="L1340" s="1002"/>
      <c r="M1340" s="1002"/>
      <c r="N1340" s="1002"/>
      <c r="O1340" s="1002"/>
      <c r="P1340" s="1002"/>
      <c r="Q1340" s="1002"/>
      <c r="R1340" s="1002"/>
      <c r="S1340" s="1002"/>
      <c r="T1340" s="1002"/>
      <c r="U1340" s="1002"/>
    </row>
    <row r="1341" spans="6:21" ht="12.6">
      <c r="F1341" s="1002"/>
      <c r="G1341" s="1002"/>
      <c r="H1341" s="1002"/>
      <c r="I1341" s="1002"/>
      <c r="J1341" s="1002"/>
      <c r="K1341" s="1002"/>
      <c r="L1341" s="1002"/>
      <c r="M1341" s="1002"/>
      <c r="N1341" s="1002"/>
      <c r="O1341" s="1002"/>
      <c r="P1341" s="1002"/>
      <c r="Q1341" s="1002"/>
      <c r="R1341" s="1002"/>
      <c r="S1341" s="1002"/>
      <c r="T1341" s="1002"/>
      <c r="U1341" s="1002"/>
    </row>
    <row r="1342" spans="6:21" ht="12.6">
      <c r="F1342" s="1002"/>
      <c r="G1342" s="1002"/>
      <c r="H1342" s="1002"/>
      <c r="I1342" s="1002"/>
      <c r="J1342" s="1002"/>
      <c r="K1342" s="1002"/>
      <c r="L1342" s="1002"/>
      <c r="M1342" s="1002"/>
      <c r="N1342" s="1002"/>
      <c r="O1342" s="1002"/>
      <c r="P1342" s="1002"/>
      <c r="Q1342" s="1002"/>
      <c r="R1342" s="1002"/>
      <c r="S1342" s="1002"/>
      <c r="T1342" s="1002"/>
      <c r="U1342" s="1002"/>
    </row>
    <row r="1343" spans="6:21" ht="12.6">
      <c r="F1343" s="1002"/>
      <c r="G1343" s="1002"/>
      <c r="H1343" s="1002"/>
      <c r="I1343" s="1002"/>
      <c r="J1343" s="1002"/>
      <c r="K1343" s="1002"/>
      <c r="L1343" s="1002"/>
      <c r="M1343" s="1002"/>
      <c r="N1343" s="1002"/>
      <c r="O1343" s="1002"/>
      <c r="P1343" s="1002"/>
      <c r="Q1343" s="1002"/>
      <c r="R1343" s="1002"/>
      <c r="S1343" s="1002"/>
      <c r="T1343" s="1002"/>
      <c r="U1343" s="1002"/>
    </row>
    <row r="1344" spans="6:21" ht="12.6">
      <c r="F1344" s="1002"/>
      <c r="G1344" s="1002"/>
      <c r="H1344" s="1002"/>
      <c r="I1344" s="1002"/>
      <c r="J1344" s="1002"/>
      <c r="K1344" s="1002"/>
      <c r="L1344" s="1002"/>
      <c r="M1344" s="1002"/>
      <c r="N1344" s="1002"/>
      <c r="O1344" s="1002"/>
      <c r="P1344" s="1002"/>
      <c r="Q1344" s="1002"/>
      <c r="R1344" s="1002"/>
      <c r="S1344" s="1002"/>
      <c r="T1344" s="1002"/>
      <c r="U1344" s="1002"/>
    </row>
    <row r="1345" spans="6:21" ht="12.6">
      <c r="F1345" s="1002"/>
      <c r="G1345" s="1002"/>
      <c r="H1345" s="1002"/>
      <c r="I1345" s="1002"/>
      <c r="J1345" s="1002"/>
      <c r="K1345" s="1002"/>
      <c r="L1345" s="1002"/>
      <c r="M1345" s="1002"/>
      <c r="N1345" s="1002"/>
      <c r="O1345" s="1002"/>
      <c r="P1345" s="1002"/>
      <c r="Q1345" s="1002"/>
      <c r="R1345" s="1002"/>
      <c r="S1345" s="1002"/>
      <c r="T1345" s="1002"/>
      <c r="U1345" s="1002"/>
    </row>
    <row r="1346" spans="6:21" ht="12.6">
      <c r="F1346" s="1002"/>
      <c r="G1346" s="1002"/>
      <c r="H1346" s="1002"/>
      <c r="I1346" s="1002"/>
      <c r="J1346" s="1002"/>
      <c r="K1346" s="1002"/>
      <c r="L1346" s="1002"/>
      <c r="M1346" s="1002"/>
      <c r="N1346" s="1002"/>
      <c r="O1346" s="1002"/>
      <c r="P1346" s="1002"/>
      <c r="Q1346" s="1002"/>
      <c r="R1346" s="1002"/>
      <c r="S1346" s="1002"/>
      <c r="T1346" s="1002"/>
      <c r="U1346" s="1002"/>
    </row>
    <row r="1347" spans="6:21" ht="12.6">
      <c r="F1347" s="1002"/>
      <c r="G1347" s="1002"/>
      <c r="H1347" s="1002"/>
      <c r="I1347" s="1002"/>
      <c r="J1347" s="1002"/>
      <c r="K1347" s="1002"/>
      <c r="L1347" s="1002"/>
      <c r="M1347" s="1002"/>
      <c r="N1347" s="1002"/>
      <c r="O1347" s="1002"/>
      <c r="P1347" s="1002"/>
      <c r="Q1347" s="1002"/>
      <c r="R1347" s="1002"/>
      <c r="S1347" s="1002"/>
      <c r="T1347" s="1002"/>
      <c r="U1347" s="1002"/>
    </row>
    <row r="1348" spans="6:21" ht="12.6">
      <c r="F1348" s="1002"/>
      <c r="G1348" s="1002"/>
      <c r="H1348" s="1002"/>
      <c r="I1348" s="1002"/>
      <c r="J1348" s="1002"/>
      <c r="K1348" s="1002"/>
      <c r="L1348" s="1002"/>
      <c r="M1348" s="1002"/>
      <c r="N1348" s="1002"/>
      <c r="O1348" s="1002"/>
      <c r="P1348" s="1002"/>
      <c r="Q1348" s="1002"/>
      <c r="R1348" s="1002"/>
      <c r="S1348" s="1002"/>
      <c r="T1348" s="1002"/>
      <c r="U1348" s="1002"/>
    </row>
    <row r="1349" spans="6:21" ht="12.6">
      <c r="F1349" s="1002"/>
      <c r="G1349" s="1002"/>
      <c r="H1349" s="1002"/>
      <c r="I1349" s="1002"/>
      <c r="J1349" s="1002"/>
      <c r="K1349" s="1002"/>
      <c r="L1349" s="1002"/>
      <c r="M1349" s="1002"/>
      <c r="N1349" s="1002"/>
      <c r="O1349" s="1002"/>
      <c r="P1349" s="1002"/>
      <c r="Q1349" s="1002"/>
      <c r="R1349" s="1002"/>
      <c r="S1349" s="1002"/>
      <c r="T1349" s="1002"/>
      <c r="U1349" s="1002"/>
    </row>
    <row r="1350" spans="6:21" ht="12.6">
      <c r="F1350" s="1002"/>
      <c r="G1350" s="1002"/>
      <c r="H1350" s="1002"/>
      <c r="I1350" s="1002"/>
      <c r="J1350" s="1002"/>
      <c r="K1350" s="1002"/>
      <c r="L1350" s="1002"/>
      <c r="M1350" s="1002"/>
      <c r="N1350" s="1002"/>
      <c r="O1350" s="1002"/>
      <c r="P1350" s="1002"/>
      <c r="Q1350" s="1002"/>
      <c r="R1350" s="1002"/>
      <c r="S1350" s="1002"/>
      <c r="T1350" s="1002"/>
      <c r="U1350" s="1002"/>
    </row>
    <row r="1351" spans="6:21" ht="12.6">
      <c r="F1351" s="1002"/>
      <c r="G1351" s="1002"/>
      <c r="H1351" s="1002"/>
      <c r="I1351" s="1002"/>
      <c r="J1351" s="1002"/>
      <c r="K1351" s="1002"/>
      <c r="L1351" s="1002"/>
      <c r="M1351" s="1002"/>
      <c r="N1351" s="1002"/>
      <c r="O1351" s="1002"/>
      <c r="P1351" s="1002"/>
      <c r="Q1351" s="1002"/>
      <c r="R1351" s="1002"/>
      <c r="S1351" s="1002"/>
      <c r="T1351" s="1002"/>
      <c r="U1351" s="1002"/>
    </row>
    <row r="1352" spans="6:21" ht="12.6">
      <c r="F1352" s="1002"/>
      <c r="G1352" s="1002"/>
      <c r="H1352" s="1002"/>
      <c r="I1352" s="1002"/>
      <c r="J1352" s="1002"/>
      <c r="K1352" s="1002"/>
      <c r="L1352" s="1002"/>
      <c r="M1352" s="1002"/>
      <c r="N1352" s="1002"/>
      <c r="O1352" s="1002"/>
      <c r="P1352" s="1002"/>
      <c r="Q1352" s="1002"/>
      <c r="R1352" s="1002"/>
      <c r="S1352" s="1002"/>
      <c r="T1352" s="1002"/>
      <c r="U1352" s="1002"/>
    </row>
    <row r="1353" spans="6:21" ht="12.6">
      <c r="F1353" s="1002"/>
      <c r="G1353" s="1002"/>
      <c r="H1353" s="1002"/>
      <c r="I1353" s="1002"/>
      <c r="J1353" s="1002"/>
      <c r="K1353" s="1002"/>
      <c r="L1353" s="1002"/>
      <c r="M1353" s="1002"/>
      <c r="N1353" s="1002"/>
      <c r="O1353" s="1002"/>
      <c r="P1353" s="1002"/>
      <c r="Q1353" s="1002"/>
      <c r="R1353" s="1002"/>
      <c r="S1353" s="1002"/>
      <c r="T1353" s="1002"/>
      <c r="U1353" s="1002"/>
    </row>
    <row r="1354" spans="6:21" ht="12.6">
      <c r="F1354" s="1002"/>
      <c r="G1354" s="1002"/>
      <c r="H1354" s="1002"/>
      <c r="I1354" s="1002"/>
      <c r="J1354" s="1002"/>
      <c r="K1354" s="1002"/>
      <c r="L1354" s="1002"/>
      <c r="M1354" s="1002"/>
      <c r="N1354" s="1002"/>
      <c r="O1354" s="1002"/>
      <c r="P1354" s="1002"/>
      <c r="Q1354" s="1002"/>
      <c r="R1354" s="1002"/>
      <c r="S1354" s="1002"/>
      <c r="T1354" s="1002"/>
      <c r="U1354" s="1002"/>
    </row>
    <row r="1355" spans="6:21" ht="12.6">
      <c r="F1355" s="1002"/>
      <c r="G1355" s="1002"/>
      <c r="H1355" s="1002"/>
      <c r="I1355" s="1002"/>
      <c r="J1355" s="1002"/>
      <c r="K1355" s="1002"/>
      <c r="L1355" s="1002"/>
      <c r="M1355" s="1002"/>
      <c r="N1355" s="1002"/>
      <c r="O1355" s="1002"/>
      <c r="P1355" s="1002"/>
      <c r="Q1355" s="1002"/>
      <c r="R1355" s="1002"/>
      <c r="S1355" s="1002"/>
      <c r="T1355" s="1002"/>
      <c r="U1355" s="1002"/>
    </row>
    <row r="1356" spans="6:21" ht="12.6">
      <c r="F1356" s="1002"/>
      <c r="G1356" s="1002"/>
      <c r="H1356" s="1002"/>
      <c r="I1356" s="1002"/>
      <c r="J1356" s="1002"/>
      <c r="K1356" s="1002"/>
      <c r="L1356" s="1002"/>
      <c r="M1356" s="1002"/>
      <c r="N1356" s="1002"/>
      <c r="O1356" s="1002"/>
      <c r="P1356" s="1002"/>
      <c r="Q1356" s="1002"/>
      <c r="R1356" s="1002"/>
      <c r="S1356" s="1002"/>
      <c r="T1356" s="1002"/>
      <c r="U1356" s="1002"/>
    </row>
    <row r="1357" spans="6:21" ht="12.6">
      <c r="F1357" s="1002"/>
      <c r="G1357" s="1002"/>
      <c r="H1357" s="1002"/>
      <c r="I1357" s="1002"/>
      <c r="J1357" s="1002"/>
      <c r="K1357" s="1002"/>
      <c r="L1357" s="1002"/>
      <c r="M1357" s="1002"/>
      <c r="N1357" s="1002"/>
      <c r="O1357" s="1002"/>
      <c r="P1357" s="1002"/>
      <c r="Q1357" s="1002"/>
      <c r="R1357" s="1002"/>
      <c r="S1357" s="1002"/>
      <c r="T1357" s="1002"/>
      <c r="U1357" s="1002"/>
    </row>
    <row r="1358" spans="6:21" ht="12.6">
      <c r="F1358" s="1002"/>
      <c r="G1358" s="1002"/>
      <c r="H1358" s="1002"/>
      <c r="I1358" s="1002"/>
      <c r="J1358" s="1002"/>
      <c r="K1358" s="1002"/>
      <c r="L1358" s="1002"/>
      <c r="M1358" s="1002"/>
      <c r="N1358" s="1002"/>
      <c r="O1358" s="1002"/>
      <c r="P1358" s="1002"/>
      <c r="Q1358" s="1002"/>
      <c r="R1358" s="1002"/>
      <c r="S1358" s="1002"/>
      <c r="T1358" s="1002"/>
      <c r="U1358" s="1002"/>
    </row>
    <row r="1359" spans="6:21" ht="12.6">
      <c r="F1359" s="1002"/>
      <c r="G1359" s="1002"/>
      <c r="H1359" s="1002"/>
      <c r="I1359" s="1002"/>
      <c r="J1359" s="1002"/>
      <c r="K1359" s="1002"/>
      <c r="L1359" s="1002"/>
      <c r="M1359" s="1002"/>
      <c r="N1359" s="1002"/>
      <c r="O1359" s="1002"/>
      <c r="P1359" s="1002"/>
      <c r="Q1359" s="1002"/>
      <c r="R1359" s="1002"/>
      <c r="S1359" s="1002"/>
      <c r="T1359" s="1002"/>
      <c r="U1359" s="1002"/>
    </row>
    <row r="1360" spans="6:21" ht="12.6">
      <c r="F1360" s="1002"/>
      <c r="G1360" s="1002"/>
      <c r="H1360" s="1002"/>
      <c r="I1360" s="1002"/>
      <c r="J1360" s="1002"/>
      <c r="K1360" s="1002"/>
      <c r="L1360" s="1002"/>
      <c r="M1360" s="1002"/>
      <c r="N1360" s="1002"/>
      <c r="O1360" s="1002"/>
      <c r="P1360" s="1002"/>
      <c r="Q1360" s="1002"/>
      <c r="R1360" s="1002"/>
      <c r="S1360" s="1002"/>
      <c r="T1360" s="1002"/>
      <c r="U1360" s="1002"/>
    </row>
    <row r="1361" spans="6:21" ht="12.6">
      <c r="F1361" s="1002"/>
      <c r="G1361" s="1002"/>
      <c r="H1361" s="1002"/>
      <c r="I1361" s="1002"/>
      <c r="J1361" s="1002"/>
      <c r="K1361" s="1002"/>
      <c r="L1361" s="1002"/>
      <c r="M1361" s="1002"/>
      <c r="N1361" s="1002"/>
      <c r="O1361" s="1002"/>
      <c r="P1361" s="1002"/>
      <c r="Q1361" s="1002"/>
      <c r="R1361" s="1002"/>
      <c r="S1361" s="1002"/>
      <c r="T1361" s="1002"/>
      <c r="U1361" s="1002"/>
    </row>
    <row r="1362" spans="6:21" ht="12.6">
      <c r="F1362" s="1002"/>
      <c r="G1362" s="1002"/>
      <c r="H1362" s="1002"/>
      <c r="I1362" s="1002"/>
      <c r="J1362" s="1002"/>
      <c r="K1362" s="1002"/>
      <c r="L1362" s="1002"/>
      <c r="M1362" s="1002"/>
      <c r="N1362" s="1002"/>
      <c r="O1362" s="1002"/>
      <c r="P1362" s="1002"/>
      <c r="Q1362" s="1002"/>
      <c r="R1362" s="1002"/>
      <c r="S1362" s="1002"/>
      <c r="T1362" s="1002"/>
      <c r="U1362" s="1002"/>
    </row>
    <row r="1363" spans="6:21" ht="12.6">
      <c r="F1363" s="1002"/>
      <c r="G1363" s="1002"/>
      <c r="H1363" s="1002"/>
      <c r="I1363" s="1002"/>
      <c r="J1363" s="1002"/>
      <c r="K1363" s="1002"/>
      <c r="L1363" s="1002"/>
      <c r="M1363" s="1002"/>
      <c r="N1363" s="1002"/>
      <c r="O1363" s="1002"/>
      <c r="P1363" s="1002"/>
      <c r="Q1363" s="1002"/>
      <c r="R1363" s="1002"/>
      <c r="S1363" s="1002"/>
      <c r="T1363" s="1002"/>
      <c r="U1363" s="1002"/>
    </row>
    <row r="1364" spans="6:21" ht="12.6">
      <c r="F1364" s="1002"/>
      <c r="G1364" s="1002"/>
      <c r="H1364" s="1002"/>
      <c r="I1364" s="1002"/>
      <c r="J1364" s="1002"/>
      <c r="K1364" s="1002"/>
      <c r="L1364" s="1002"/>
      <c r="M1364" s="1002"/>
      <c r="N1364" s="1002"/>
      <c r="O1364" s="1002"/>
      <c r="P1364" s="1002"/>
      <c r="Q1364" s="1002"/>
      <c r="R1364" s="1002"/>
      <c r="S1364" s="1002"/>
      <c r="T1364" s="1002"/>
      <c r="U1364" s="1002"/>
    </row>
    <row r="1365" spans="6:21" ht="12.6">
      <c r="F1365" s="1002"/>
      <c r="G1365" s="1002"/>
      <c r="H1365" s="1002"/>
      <c r="I1365" s="1002"/>
      <c r="J1365" s="1002"/>
      <c r="K1365" s="1002"/>
      <c r="L1365" s="1002"/>
      <c r="M1365" s="1002"/>
      <c r="N1365" s="1002"/>
      <c r="O1365" s="1002"/>
      <c r="P1365" s="1002"/>
      <c r="Q1365" s="1002"/>
      <c r="R1365" s="1002"/>
      <c r="S1365" s="1002"/>
      <c r="T1365" s="1002"/>
      <c r="U1365" s="1002"/>
    </row>
    <row r="1366" spans="6:21" ht="12.6">
      <c r="F1366" s="1002"/>
      <c r="G1366" s="1002"/>
      <c r="H1366" s="1002"/>
      <c r="I1366" s="1002"/>
      <c r="J1366" s="1002"/>
      <c r="K1366" s="1002"/>
      <c r="L1366" s="1002"/>
      <c r="M1366" s="1002"/>
      <c r="N1366" s="1002"/>
      <c r="O1366" s="1002"/>
      <c r="P1366" s="1002"/>
      <c r="Q1366" s="1002"/>
      <c r="R1366" s="1002"/>
      <c r="S1366" s="1002"/>
      <c r="T1366" s="1002"/>
      <c r="U1366" s="1002"/>
    </row>
    <row r="1367" spans="6:21" ht="12.6">
      <c r="F1367" s="1002"/>
      <c r="G1367" s="1002"/>
      <c r="H1367" s="1002"/>
      <c r="I1367" s="1002"/>
      <c r="J1367" s="1002"/>
      <c r="K1367" s="1002"/>
      <c r="L1367" s="1002"/>
      <c r="M1367" s="1002"/>
      <c r="N1367" s="1002"/>
      <c r="O1367" s="1002"/>
      <c r="P1367" s="1002"/>
      <c r="Q1367" s="1002"/>
      <c r="R1367" s="1002"/>
      <c r="S1367" s="1002"/>
      <c r="T1367" s="1002"/>
      <c r="U1367" s="1002"/>
    </row>
    <row r="1368" spans="6:21" ht="12.6">
      <c r="F1368" s="1002"/>
      <c r="G1368" s="1002"/>
      <c r="H1368" s="1002"/>
      <c r="I1368" s="1002"/>
      <c r="J1368" s="1002"/>
      <c r="K1368" s="1002"/>
      <c r="L1368" s="1002"/>
      <c r="M1368" s="1002"/>
      <c r="N1368" s="1002"/>
      <c r="O1368" s="1002"/>
      <c r="P1368" s="1002"/>
      <c r="Q1368" s="1002"/>
      <c r="R1368" s="1002"/>
      <c r="S1368" s="1002"/>
      <c r="T1368" s="1002"/>
      <c r="U1368" s="1002"/>
    </row>
    <row r="1369" spans="6:21" ht="12.6">
      <c r="F1369" s="1002"/>
      <c r="G1369" s="1002"/>
      <c r="H1369" s="1002"/>
      <c r="I1369" s="1002"/>
      <c r="J1369" s="1002"/>
      <c r="K1369" s="1002"/>
      <c r="L1369" s="1002"/>
      <c r="M1369" s="1002"/>
      <c r="N1369" s="1002"/>
      <c r="O1369" s="1002"/>
      <c r="P1369" s="1002"/>
      <c r="Q1369" s="1002"/>
      <c r="R1369" s="1002"/>
      <c r="S1369" s="1002"/>
      <c r="T1369" s="1002"/>
      <c r="U1369" s="1002"/>
    </row>
    <row r="1370" spans="6:21" ht="12.6">
      <c r="F1370" s="1002"/>
      <c r="G1370" s="1002"/>
      <c r="H1370" s="1002"/>
      <c r="I1370" s="1002"/>
      <c r="J1370" s="1002"/>
      <c r="K1370" s="1002"/>
      <c r="L1370" s="1002"/>
      <c r="M1370" s="1002"/>
      <c r="N1370" s="1002"/>
      <c r="O1370" s="1002"/>
      <c r="P1370" s="1002"/>
      <c r="Q1370" s="1002"/>
      <c r="R1370" s="1002"/>
      <c r="S1370" s="1002"/>
      <c r="T1370" s="1002"/>
      <c r="U1370" s="1002"/>
    </row>
    <row r="1371" spans="6:21" ht="12.6">
      <c r="F1371" s="1002"/>
      <c r="G1371" s="1002"/>
      <c r="H1371" s="1002"/>
      <c r="I1371" s="1002"/>
      <c r="J1371" s="1002"/>
      <c r="K1371" s="1002"/>
      <c r="L1371" s="1002"/>
      <c r="M1371" s="1002"/>
      <c r="N1371" s="1002"/>
      <c r="O1371" s="1002"/>
      <c r="P1371" s="1002"/>
      <c r="Q1371" s="1002"/>
      <c r="R1371" s="1002"/>
      <c r="S1371" s="1002"/>
      <c r="T1371" s="1002"/>
      <c r="U1371" s="1002"/>
    </row>
    <row r="1372" spans="6:21" ht="12.6">
      <c r="F1372" s="1002"/>
      <c r="G1372" s="1002"/>
      <c r="H1372" s="1002"/>
      <c r="I1372" s="1002"/>
      <c r="J1372" s="1002"/>
      <c r="K1372" s="1002"/>
      <c r="L1372" s="1002"/>
      <c r="M1372" s="1002"/>
      <c r="N1372" s="1002"/>
      <c r="O1372" s="1002"/>
      <c r="P1372" s="1002"/>
      <c r="Q1372" s="1002"/>
      <c r="R1372" s="1002"/>
      <c r="S1372" s="1002"/>
      <c r="T1372" s="1002"/>
      <c r="U1372" s="1002"/>
    </row>
    <row r="1373" spans="6:21" ht="12.6">
      <c r="F1373" s="1002"/>
      <c r="G1373" s="1002"/>
      <c r="H1373" s="1002"/>
      <c r="I1373" s="1002"/>
      <c r="J1373" s="1002"/>
      <c r="K1373" s="1002"/>
      <c r="L1373" s="1002"/>
      <c r="M1373" s="1002"/>
      <c r="N1373" s="1002"/>
      <c r="O1373" s="1002"/>
      <c r="P1373" s="1002"/>
      <c r="Q1373" s="1002"/>
      <c r="R1373" s="1002"/>
      <c r="S1373" s="1002"/>
      <c r="T1373" s="1002"/>
      <c r="U1373" s="1002"/>
    </row>
    <row r="1374" spans="6:21" ht="12.6">
      <c r="F1374" s="1002"/>
      <c r="G1374" s="1002"/>
      <c r="H1374" s="1002"/>
      <c r="I1374" s="1002"/>
      <c r="J1374" s="1002"/>
      <c r="K1374" s="1002"/>
      <c r="L1374" s="1002"/>
      <c r="M1374" s="1002"/>
      <c r="N1374" s="1002"/>
      <c r="O1374" s="1002"/>
      <c r="P1374" s="1002"/>
      <c r="Q1374" s="1002"/>
      <c r="R1374" s="1002"/>
      <c r="S1374" s="1002"/>
      <c r="T1374" s="1002"/>
      <c r="U1374" s="1002"/>
    </row>
    <row r="1375" spans="6:21" ht="12.6">
      <c r="F1375" s="1002"/>
      <c r="G1375" s="1002"/>
      <c r="H1375" s="1002"/>
      <c r="I1375" s="1002"/>
      <c r="J1375" s="1002"/>
      <c r="K1375" s="1002"/>
      <c r="L1375" s="1002"/>
      <c r="M1375" s="1002"/>
      <c r="N1375" s="1002"/>
      <c r="O1375" s="1002"/>
      <c r="P1375" s="1002"/>
      <c r="Q1375" s="1002"/>
      <c r="R1375" s="1002"/>
      <c r="S1375" s="1002"/>
      <c r="T1375" s="1002"/>
      <c r="U1375" s="1002"/>
    </row>
    <row r="1376" spans="6:21" ht="12.6">
      <c r="F1376" s="1002"/>
      <c r="G1376" s="1002"/>
      <c r="H1376" s="1002"/>
      <c r="I1376" s="1002"/>
      <c r="J1376" s="1002"/>
      <c r="K1376" s="1002"/>
      <c r="L1376" s="1002"/>
      <c r="M1376" s="1002"/>
      <c r="N1376" s="1002"/>
      <c r="O1376" s="1002"/>
      <c r="P1376" s="1002"/>
      <c r="Q1376" s="1002"/>
      <c r="R1376" s="1002"/>
      <c r="S1376" s="1002"/>
      <c r="T1376" s="1002"/>
      <c r="U1376" s="1002"/>
    </row>
    <row r="1377" spans="6:21" ht="12.6">
      <c r="F1377" s="1002"/>
      <c r="G1377" s="1002"/>
      <c r="H1377" s="1002"/>
      <c r="I1377" s="1002"/>
      <c r="J1377" s="1002"/>
      <c r="K1377" s="1002"/>
      <c r="L1377" s="1002"/>
      <c r="M1377" s="1002"/>
      <c r="N1377" s="1002"/>
      <c r="O1377" s="1002"/>
      <c r="P1377" s="1002"/>
      <c r="Q1377" s="1002"/>
      <c r="R1377" s="1002"/>
      <c r="S1377" s="1002"/>
      <c r="T1377" s="1002"/>
      <c r="U1377" s="1002"/>
    </row>
    <row r="1378" spans="6:21" ht="12.6">
      <c r="F1378" s="1002"/>
      <c r="G1378" s="1002"/>
      <c r="H1378" s="1002"/>
      <c r="I1378" s="1002"/>
      <c r="J1378" s="1002"/>
      <c r="K1378" s="1002"/>
      <c r="L1378" s="1002"/>
      <c r="M1378" s="1002"/>
      <c r="N1378" s="1002"/>
      <c r="O1378" s="1002"/>
      <c r="P1378" s="1002"/>
      <c r="Q1378" s="1002"/>
      <c r="R1378" s="1002"/>
      <c r="S1378" s="1002"/>
      <c r="T1378" s="1002"/>
      <c r="U1378" s="1002"/>
    </row>
    <row r="1379" spans="6:21" ht="12.6">
      <c r="F1379" s="1002"/>
      <c r="G1379" s="1002"/>
      <c r="H1379" s="1002"/>
      <c r="I1379" s="1002"/>
      <c r="J1379" s="1002"/>
      <c r="K1379" s="1002"/>
      <c r="L1379" s="1002"/>
      <c r="M1379" s="1002"/>
      <c r="N1379" s="1002"/>
      <c r="O1379" s="1002"/>
      <c r="P1379" s="1002"/>
      <c r="Q1379" s="1002"/>
      <c r="R1379" s="1002"/>
      <c r="S1379" s="1002"/>
      <c r="T1379" s="1002"/>
      <c r="U1379" s="1002"/>
    </row>
    <row r="1380" spans="6:21" ht="12.6">
      <c r="F1380" s="1002"/>
      <c r="G1380" s="1002"/>
      <c r="H1380" s="1002"/>
      <c r="I1380" s="1002"/>
      <c r="J1380" s="1002"/>
      <c r="K1380" s="1002"/>
      <c r="L1380" s="1002"/>
      <c r="M1380" s="1002"/>
      <c r="N1380" s="1002"/>
      <c r="O1380" s="1002"/>
      <c r="P1380" s="1002"/>
      <c r="Q1380" s="1002"/>
      <c r="R1380" s="1002"/>
      <c r="S1380" s="1002"/>
      <c r="T1380" s="1002"/>
      <c r="U1380" s="1002"/>
    </row>
    <row r="1381" spans="6:21" ht="12.6">
      <c r="F1381" s="1002"/>
      <c r="G1381" s="1002"/>
      <c r="H1381" s="1002"/>
      <c r="I1381" s="1002"/>
      <c r="J1381" s="1002"/>
      <c r="K1381" s="1002"/>
      <c r="L1381" s="1002"/>
      <c r="M1381" s="1002"/>
      <c r="N1381" s="1002"/>
      <c r="O1381" s="1002"/>
      <c r="P1381" s="1002"/>
      <c r="Q1381" s="1002"/>
      <c r="R1381" s="1002"/>
      <c r="S1381" s="1002"/>
      <c r="T1381" s="1002"/>
      <c r="U1381" s="1002"/>
    </row>
    <row r="1382" spans="6:21" ht="12.6">
      <c r="F1382" s="1002"/>
      <c r="G1382" s="1002"/>
      <c r="H1382" s="1002"/>
      <c r="I1382" s="1002"/>
      <c r="J1382" s="1002"/>
      <c r="K1382" s="1002"/>
      <c r="L1382" s="1002"/>
      <c r="M1382" s="1002"/>
      <c r="N1382" s="1002"/>
      <c r="O1382" s="1002"/>
      <c r="P1382" s="1002"/>
      <c r="Q1382" s="1002"/>
      <c r="R1382" s="1002"/>
      <c r="S1382" s="1002"/>
      <c r="T1382" s="1002"/>
      <c r="U1382" s="1002"/>
    </row>
    <row r="1383" spans="6:21" ht="12.6">
      <c r="F1383" s="1002"/>
      <c r="G1383" s="1002"/>
      <c r="H1383" s="1002"/>
      <c r="I1383" s="1002"/>
      <c r="J1383" s="1002"/>
      <c r="K1383" s="1002"/>
      <c r="L1383" s="1002"/>
      <c r="M1383" s="1002"/>
      <c r="N1383" s="1002"/>
      <c r="O1383" s="1002"/>
      <c r="P1383" s="1002"/>
      <c r="Q1383" s="1002"/>
      <c r="R1383" s="1002"/>
      <c r="S1383" s="1002"/>
      <c r="T1383" s="1002"/>
      <c r="U1383" s="1002"/>
    </row>
    <row r="1384" spans="6:21" ht="12.6">
      <c r="F1384" s="1002"/>
      <c r="G1384" s="1002"/>
      <c r="H1384" s="1002"/>
      <c r="I1384" s="1002"/>
      <c r="J1384" s="1002"/>
      <c r="K1384" s="1002"/>
      <c r="L1384" s="1002"/>
      <c r="M1384" s="1002"/>
      <c r="N1384" s="1002"/>
      <c r="O1384" s="1002"/>
      <c r="P1384" s="1002"/>
      <c r="Q1384" s="1002"/>
      <c r="R1384" s="1002"/>
      <c r="S1384" s="1002"/>
      <c r="T1384" s="1002"/>
      <c r="U1384" s="1002"/>
    </row>
    <row r="1385" spans="6:21" ht="12.6">
      <c r="F1385" s="1002"/>
      <c r="G1385" s="1002"/>
      <c r="H1385" s="1002"/>
      <c r="I1385" s="1002"/>
      <c r="J1385" s="1002"/>
      <c r="K1385" s="1002"/>
      <c r="L1385" s="1002"/>
      <c r="M1385" s="1002"/>
      <c r="N1385" s="1002"/>
      <c r="O1385" s="1002"/>
      <c r="P1385" s="1002"/>
      <c r="Q1385" s="1002"/>
      <c r="R1385" s="1002"/>
      <c r="S1385" s="1002"/>
      <c r="T1385" s="1002"/>
      <c r="U1385" s="1002"/>
    </row>
    <row r="1386" spans="6:21" ht="12.6">
      <c r="F1386" s="1002"/>
      <c r="G1386" s="1002"/>
      <c r="H1386" s="1002"/>
      <c r="I1386" s="1002"/>
      <c r="J1386" s="1002"/>
      <c r="K1386" s="1002"/>
      <c r="L1386" s="1002"/>
      <c r="M1386" s="1002"/>
      <c r="N1386" s="1002"/>
      <c r="O1386" s="1002"/>
      <c r="P1386" s="1002"/>
      <c r="Q1386" s="1002"/>
      <c r="R1386" s="1002"/>
      <c r="S1386" s="1002"/>
      <c r="T1386" s="1002"/>
      <c r="U1386" s="1002"/>
    </row>
    <row r="1387" spans="6:21" ht="12.6">
      <c r="F1387" s="1002"/>
      <c r="G1387" s="1002"/>
      <c r="H1387" s="1002"/>
      <c r="I1387" s="1002"/>
      <c r="J1387" s="1002"/>
      <c r="K1387" s="1002"/>
      <c r="L1387" s="1002"/>
      <c r="M1387" s="1002"/>
      <c r="N1387" s="1002"/>
      <c r="O1387" s="1002"/>
      <c r="P1387" s="1002"/>
      <c r="Q1387" s="1002"/>
      <c r="R1387" s="1002"/>
      <c r="S1387" s="1002"/>
      <c r="T1387" s="1002"/>
      <c r="U1387" s="1002"/>
    </row>
    <row r="1388" spans="6:21" ht="12.6">
      <c r="F1388" s="1002"/>
      <c r="G1388" s="1002"/>
      <c r="H1388" s="1002"/>
      <c r="I1388" s="1002"/>
      <c r="J1388" s="1002"/>
      <c r="K1388" s="1002"/>
      <c r="L1388" s="1002"/>
      <c r="M1388" s="1002"/>
      <c r="N1388" s="1002"/>
      <c r="O1388" s="1002"/>
      <c r="P1388" s="1002"/>
      <c r="Q1388" s="1002"/>
      <c r="R1388" s="1002"/>
      <c r="S1388" s="1002"/>
      <c r="T1388" s="1002"/>
      <c r="U1388" s="1002"/>
    </row>
    <row r="1389" spans="6:21" ht="12.6">
      <c r="F1389" s="1002"/>
      <c r="G1389" s="1002"/>
      <c r="H1389" s="1002"/>
      <c r="I1389" s="1002"/>
      <c r="J1389" s="1002"/>
      <c r="K1389" s="1002"/>
      <c r="L1389" s="1002"/>
      <c r="M1389" s="1002"/>
      <c r="N1389" s="1002"/>
      <c r="O1389" s="1002"/>
      <c r="P1389" s="1002"/>
      <c r="Q1389" s="1002"/>
      <c r="R1389" s="1002"/>
      <c r="S1389" s="1002"/>
      <c r="T1389" s="1002"/>
      <c r="U1389" s="1002"/>
    </row>
    <row r="1390" spans="6:21" ht="12.6">
      <c r="F1390" s="1002"/>
      <c r="G1390" s="1002"/>
      <c r="H1390" s="1002"/>
      <c r="I1390" s="1002"/>
      <c r="J1390" s="1002"/>
      <c r="K1390" s="1002"/>
      <c r="L1390" s="1002"/>
      <c r="M1390" s="1002"/>
      <c r="N1390" s="1002"/>
      <c r="O1390" s="1002"/>
      <c r="P1390" s="1002"/>
      <c r="Q1390" s="1002"/>
      <c r="R1390" s="1002"/>
      <c r="S1390" s="1002"/>
      <c r="T1390" s="1002"/>
      <c r="U1390" s="1002"/>
    </row>
    <row r="1391" spans="6:21" ht="12.6">
      <c r="F1391" s="1002"/>
      <c r="G1391" s="1002"/>
      <c r="H1391" s="1002"/>
      <c r="I1391" s="1002"/>
      <c r="J1391" s="1002"/>
      <c r="K1391" s="1002"/>
      <c r="L1391" s="1002"/>
      <c r="M1391" s="1002"/>
      <c r="N1391" s="1002"/>
      <c r="O1391" s="1002"/>
      <c r="P1391" s="1002"/>
      <c r="Q1391" s="1002"/>
      <c r="R1391" s="1002"/>
      <c r="S1391" s="1002"/>
      <c r="T1391" s="1002"/>
      <c r="U1391" s="1002"/>
    </row>
    <row r="1392" spans="6:21" ht="12.6">
      <c r="F1392" s="1002"/>
      <c r="G1392" s="1002"/>
      <c r="H1392" s="1002"/>
      <c r="I1392" s="1002"/>
      <c r="J1392" s="1002"/>
      <c r="K1392" s="1002"/>
      <c r="L1392" s="1002"/>
      <c r="M1392" s="1002"/>
      <c r="N1392" s="1002"/>
      <c r="O1392" s="1002"/>
      <c r="P1392" s="1002"/>
      <c r="Q1392" s="1002"/>
      <c r="R1392" s="1002"/>
      <c r="S1392" s="1002"/>
      <c r="T1392" s="1002"/>
      <c r="U1392" s="1002"/>
    </row>
    <row r="1393" spans="6:21" ht="12.6">
      <c r="F1393" s="1002"/>
      <c r="G1393" s="1002"/>
      <c r="H1393" s="1002"/>
      <c r="I1393" s="1002"/>
      <c r="J1393" s="1002"/>
      <c r="K1393" s="1002"/>
      <c r="L1393" s="1002"/>
      <c r="M1393" s="1002"/>
      <c r="N1393" s="1002"/>
      <c r="O1393" s="1002"/>
      <c r="P1393" s="1002"/>
      <c r="Q1393" s="1002"/>
      <c r="R1393" s="1002"/>
      <c r="S1393" s="1002"/>
      <c r="T1393" s="1002"/>
      <c r="U1393" s="1002"/>
    </row>
    <row r="1394" spans="6:21" ht="12.6">
      <c r="F1394" s="1002"/>
      <c r="G1394" s="1002"/>
      <c r="H1394" s="1002"/>
      <c r="I1394" s="1002"/>
      <c r="J1394" s="1002"/>
      <c r="K1394" s="1002"/>
      <c r="L1394" s="1002"/>
      <c r="M1394" s="1002"/>
      <c r="N1394" s="1002"/>
      <c r="O1394" s="1002"/>
      <c r="P1394" s="1002"/>
      <c r="Q1394" s="1002"/>
      <c r="R1394" s="1002"/>
      <c r="S1394" s="1002"/>
      <c r="T1394" s="1002"/>
      <c r="U1394" s="1002"/>
    </row>
    <row r="1395" spans="6:21" ht="12.6">
      <c r="F1395" s="1002"/>
      <c r="G1395" s="1002"/>
      <c r="H1395" s="1002"/>
      <c r="I1395" s="1002"/>
      <c r="J1395" s="1002"/>
      <c r="K1395" s="1002"/>
      <c r="L1395" s="1002"/>
      <c r="M1395" s="1002"/>
      <c r="N1395" s="1002"/>
      <c r="O1395" s="1002"/>
      <c r="P1395" s="1002"/>
      <c r="Q1395" s="1002"/>
      <c r="R1395" s="1002"/>
      <c r="S1395" s="1002"/>
      <c r="T1395" s="1002"/>
      <c r="U1395" s="1002"/>
    </row>
    <row r="1396" spans="6:21" ht="12.6">
      <c r="F1396" s="1002"/>
      <c r="G1396" s="1002"/>
      <c r="H1396" s="1002"/>
      <c r="I1396" s="1002"/>
      <c r="J1396" s="1002"/>
      <c r="K1396" s="1002"/>
      <c r="L1396" s="1002"/>
      <c r="M1396" s="1002"/>
      <c r="N1396" s="1002"/>
      <c r="O1396" s="1002"/>
      <c r="P1396" s="1002"/>
      <c r="Q1396" s="1002"/>
      <c r="R1396" s="1002"/>
      <c r="S1396" s="1002"/>
      <c r="T1396" s="1002"/>
      <c r="U1396" s="1002"/>
    </row>
    <row r="1397" spans="6:21" ht="12.6">
      <c r="F1397" s="1002"/>
      <c r="G1397" s="1002"/>
      <c r="H1397" s="1002"/>
      <c r="I1397" s="1002"/>
      <c r="J1397" s="1002"/>
      <c r="K1397" s="1002"/>
      <c r="L1397" s="1002"/>
      <c r="M1397" s="1002"/>
      <c r="N1397" s="1002"/>
      <c r="O1397" s="1002"/>
      <c r="P1397" s="1002"/>
      <c r="Q1397" s="1002"/>
      <c r="R1397" s="1002"/>
      <c r="S1397" s="1002"/>
      <c r="T1397" s="1002"/>
      <c r="U1397" s="1002"/>
    </row>
    <row r="1398" spans="6:21" ht="12.6">
      <c r="F1398" s="1002"/>
      <c r="G1398" s="1002"/>
      <c r="H1398" s="1002"/>
      <c r="I1398" s="1002"/>
      <c r="J1398" s="1002"/>
      <c r="K1398" s="1002"/>
      <c r="L1398" s="1002"/>
      <c r="M1398" s="1002"/>
      <c r="N1398" s="1002"/>
      <c r="O1398" s="1002"/>
      <c r="P1398" s="1002"/>
      <c r="Q1398" s="1002"/>
      <c r="R1398" s="1002"/>
      <c r="S1398" s="1002"/>
      <c r="T1398" s="1002"/>
      <c r="U1398" s="1002"/>
    </row>
    <row r="1399" spans="6:21" ht="12.6">
      <c r="F1399" s="1002"/>
      <c r="G1399" s="1002"/>
      <c r="H1399" s="1002"/>
      <c r="I1399" s="1002"/>
      <c r="J1399" s="1002"/>
      <c r="K1399" s="1002"/>
      <c r="L1399" s="1002"/>
      <c r="M1399" s="1002"/>
      <c r="N1399" s="1002"/>
      <c r="O1399" s="1002"/>
      <c r="P1399" s="1002"/>
      <c r="Q1399" s="1002"/>
      <c r="R1399" s="1002"/>
      <c r="S1399" s="1002"/>
      <c r="T1399" s="1002"/>
      <c r="U1399" s="1002"/>
    </row>
    <row r="1400" spans="6:21" ht="12.6">
      <c r="F1400" s="1002"/>
      <c r="G1400" s="1002"/>
      <c r="H1400" s="1002"/>
      <c r="I1400" s="1002"/>
      <c r="J1400" s="1002"/>
      <c r="K1400" s="1002"/>
      <c r="L1400" s="1002"/>
      <c r="M1400" s="1002"/>
      <c r="N1400" s="1002"/>
      <c r="O1400" s="1002"/>
      <c r="P1400" s="1002"/>
      <c r="Q1400" s="1002"/>
      <c r="R1400" s="1002"/>
      <c r="S1400" s="1002"/>
      <c r="T1400" s="1002"/>
      <c r="U1400" s="1002"/>
    </row>
    <row r="1401" spans="6:21" ht="12.6">
      <c r="F1401" s="1002"/>
      <c r="G1401" s="1002"/>
      <c r="H1401" s="1002"/>
      <c r="I1401" s="1002"/>
      <c r="J1401" s="1002"/>
      <c r="K1401" s="1002"/>
      <c r="L1401" s="1002"/>
      <c r="M1401" s="1002"/>
      <c r="N1401" s="1002"/>
      <c r="O1401" s="1002"/>
      <c r="P1401" s="1002"/>
      <c r="Q1401" s="1002"/>
      <c r="R1401" s="1002"/>
      <c r="S1401" s="1002"/>
      <c r="T1401" s="1002"/>
      <c r="U1401" s="1002"/>
    </row>
    <row r="1402" spans="6:21" ht="12.6">
      <c r="F1402" s="1002"/>
      <c r="G1402" s="1002"/>
      <c r="H1402" s="1002"/>
      <c r="I1402" s="1002"/>
      <c r="J1402" s="1002"/>
      <c r="K1402" s="1002"/>
      <c r="L1402" s="1002"/>
      <c r="M1402" s="1002"/>
      <c r="N1402" s="1002"/>
      <c r="O1402" s="1002"/>
      <c r="P1402" s="1002"/>
      <c r="Q1402" s="1002"/>
      <c r="R1402" s="1002"/>
      <c r="S1402" s="1002"/>
      <c r="T1402" s="1002"/>
      <c r="U1402" s="1002"/>
    </row>
    <row r="1403" spans="6:21" ht="12.6">
      <c r="F1403" s="1002"/>
      <c r="G1403" s="1002"/>
      <c r="H1403" s="1002"/>
      <c r="I1403" s="1002"/>
      <c r="J1403" s="1002"/>
      <c r="K1403" s="1002"/>
      <c r="L1403" s="1002"/>
      <c r="M1403" s="1002"/>
      <c r="N1403" s="1002"/>
      <c r="O1403" s="1002"/>
      <c r="P1403" s="1002"/>
      <c r="Q1403" s="1002"/>
      <c r="R1403" s="1002"/>
      <c r="S1403" s="1002"/>
      <c r="T1403" s="1002"/>
      <c r="U1403" s="1002"/>
    </row>
    <row r="1404" spans="6:21" ht="12.6">
      <c r="F1404" s="1002"/>
      <c r="G1404" s="1002"/>
      <c r="H1404" s="1002"/>
      <c r="I1404" s="1002"/>
      <c r="J1404" s="1002"/>
      <c r="K1404" s="1002"/>
      <c r="L1404" s="1002"/>
      <c r="M1404" s="1002"/>
      <c r="N1404" s="1002"/>
      <c r="O1404" s="1002"/>
      <c r="P1404" s="1002"/>
      <c r="Q1404" s="1002"/>
      <c r="R1404" s="1002"/>
      <c r="S1404" s="1002"/>
      <c r="T1404" s="1002"/>
      <c r="U1404" s="1002"/>
    </row>
    <row r="1405" spans="6:21" ht="12.6">
      <c r="F1405" s="1002"/>
      <c r="G1405" s="1002"/>
      <c r="H1405" s="1002"/>
      <c r="I1405" s="1002"/>
      <c r="J1405" s="1002"/>
      <c r="K1405" s="1002"/>
      <c r="L1405" s="1002"/>
      <c r="M1405" s="1002"/>
      <c r="N1405" s="1002"/>
      <c r="O1405" s="1002"/>
      <c r="P1405" s="1002"/>
      <c r="Q1405" s="1002"/>
      <c r="R1405" s="1002"/>
      <c r="S1405" s="1002"/>
      <c r="T1405" s="1002"/>
      <c r="U1405" s="1002"/>
    </row>
    <row r="1406" spans="6:21" ht="12.6">
      <c r="F1406" s="1002"/>
      <c r="G1406" s="1002"/>
      <c r="H1406" s="1002"/>
      <c r="I1406" s="1002"/>
      <c r="J1406" s="1002"/>
      <c r="K1406" s="1002"/>
      <c r="L1406" s="1002"/>
      <c r="M1406" s="1002"/>
      <c r="N1406" s="1002"/>
      <c r="O1406" s="1002"/>
      <c r="P1406" s="1002"/>
      <c r="Q1406" s="1002"/>
      <c r="R1406" s="1002"/>
      <c r="S1406" s="1002"/>
      <c r="T1406" s="1002"/>
      <c r="U1406" s="1002"/>
    </row>
    <row r="1407" spans="6:21" ht="12.6">
      <c r="F1407" s="1002"/>
      <c r="G1407" s="1002"/>
      <c r="H1407" s="1002"/>
      <c r="I1407" s="1002"/>
      <c r="J1407" s="1002"/>
      <c r="K1407" s="1002"/>
      <c r="L1407" s="1002"/>
      <c r="M1407" s="1002"/>
      <c r="N1407" s="1002"/>
      <c r="O1407" s="1002"/>
      <c r="P1407" s="1002"/>
      <c r="Q1407" s="1002"/>
      <c r="R1407" s="1002"/>
      <c r="S1407" s="1002"/>
      <c r="T1407" s="1002"/>
      <c r="U1407" s="1002"/>
    </row>
    <row r="1408" spans="6:21" ht="12.6">
      <c r="F1408" s="1002"/>
      <c r="G1408" s="1002"/>
      <c r="H1408" s="1002"/>
      <c r="I1408" s="1002"/>
      <c r="J1408" s="1002"/>
      <c r="K1408" s="1002"/>
      <c r="L1408" s="1002"/>
      <c r="M1408" s="1002"/>
      <c r="N1408" s="1002"/>
      <c r="O1408" s="1002"/>
      <c r="P1408" s="1002"/>
      <c r="Q1408" s="1002"/>
      <c r="R1408" s="1002"/>
      <c r="S1408" s="1002"/>
      <c r="T1408" s="1002"/>
      <c r="U1408" s="1002"/>
    </row>
    <row r="1409" spans="6:21" ht="12.6">
      <c r="F1409" s="1002"/>
      <c r="G1409" s="1002"/>
      <c r="H1409" s="1002"/>
      <c r="I1409" s="1002"/>
      <c r="J1409" s="1002"/>
      <c r="K1409" s="1002"/>
      <c r="L1409" s="1002"/>
      <c r="M1409" s="1002"/>
      <c r="N1409" s="1002"/>
      <c r="O1409" s="1002"/>
      <c r="P1409" s="1002"/>
      <c r="Q1409" s="1002"/>
      <c r="R1409" s="1002"/>
      <c r="S1409" s="1002"/>
      <c r="T1409" s="1002"/>
      <c r="U1409" s="1002"/>
    </row>
    <row r="1410" spans="6:21" ht="12.6">
      <c r="F1410" s="1002"/>
      <c r="G1410" s="1002"/>
      <c r="H1410" s="1002"/>
      <c r="I1410" s="1002"/>
      <c r="J1410" s="1002"/>
      <c r="K1410" s="1002"/>
      <c r="L1410" s="1002"/>
      <c r="M1410" s="1002"/>
      <c r="N1410" s="1002"/>
      <c r="O1410" s="1002"/>
      <c r="P1410" s="1002"/>
      <c r="Q1410" s="1002"/>
      <c r="R1410" s="1002"/>
      <c r="S1410" s="1002"/>
      <c r="T1410" s="1002"/>
      <c r="U1410" s="1002"/>
    </row>
    <row r="1411" spans="6:21" ht="12.6">
      <c r="F1411" s="1002"/>
      <c r="G1411" s="1002"/>
      <c r="H1411" s="1002"/>
      <c r="I1411" s="1002"/>
      <c r="J1411" s="1002"/>
      <c r="K1411" s="1002"/>
      <c r="L1411" s="1002"/>
      <c r="M1411" s="1002"/>
      <c r="N1411" s="1002"/>
      <c r="O1411" s="1002"/>
      <c r="P1411" s="1002"/>
      <c r="Q1411" s="1002"/>
      <c r="R1411" s="1002"/>
      <c r="S1411" s="1002"/>
      <c r="T1411" s="1002"/>
      <c r="U1411" s="1002"/>
    </row>
    <row r="1412" spans="6:21" ht="12.6">
      <c r="F1412" s="1002"/>
      <c r="G1412" s="1002"/>
      <c r="H1412" s="1002"/>
      <c r="I1412" s="1002"/>
      <c r="J1412" s="1002"/>
      <c r="K1412" s="1002"/>
      <c r="L1412" s="1002"/>
      <c r="M1412" s="1002"/>
      <c r="N1412" s="1002"/>
      <c r="O1412" s="1002"/>
      <c r="P1412" s="1002"/>
      <c r="Q1412" s="1002"/>
      <c r="R1412" s="1002"/>
      <c r="S1412" s="1002"/>
      <c r="T1412" s="1002"/>
      <c r="U1412" s="1002"/>
    </row>
    <row r="1413" spans="6:21" ht="12.6">
      <c r="F1413" s="1002"/>
      <c r="G1413" s="1002"/>
      <c r="H1413" s="1002"/>
      <c r="I1413" s="1002"/>
      <c r="J1413" s="1002"/>
      <c r="K1413" s="1002"/>
      <c r="L1413" s="1002"/>
      <c r="M1413" s="1002"/>
      <c r="N1413" s="1002"/>
      <c r="O1413" s="1002"/>
      <c r="P1413" s="1002"/>
      <c r="Q1413" s="1002"/>
      <c r="R1413" s="1002"/>
      <c r="S1413" s="1002"/>
      <c r="T1413" s="1002"/>
      <c r="U1413" s="1002"/>
    </row>
    <row r="1414" spans="6:21" ht="12.6">
      <c r="F1414" s="1002"/>
      <c r="G1414" s="1002"/>
      <c r="H1414" s="1002"/>
      <c r="I1414" s="1002"/>
      <c r="J1414" s="1002"/>
      <c r="K1414" s="1002"/>
      <c r="L1414" s="1002"/>
      <c r="M1414" s="1002"/>
      <c r="N1414" s="1002"/>
      <c r="O1414" s="1002"/>
      <c r="P1414" s="1002"/>
      <c r="Q1414" s="1002"/>
      <c r="R1414" s="1002"/>
      <c r="S1414" s="1002"/>
      <c r="T1414" s="1002"/>
      <c r="U1414" s="1002"/>
    </row>
    <row r="1415" spans="6:21" ht="12.6">
      <c r="F1415" s="1002"/>
      <c r="G1415" s="1002"/>
      <c r="H1415" s="1002"/>
      <c r="I1415" s="1002"/>
      <c r="J1415" s="1002"/>
      <c r="K1415" s="1002"/>
      <c r="L1415" s="1002"/>
      <c r="M1415" s="1002"/>
      <c r="N1415" s="1002"/>
      <c r="O1415" s="1002"/>
      <c r="P1415" s="1002"/>
      <c r="Q1415" s="1002"/>
      <c r="R1415" s="1002"/>
      <c r="S1415" s="1002"/>
      <c r="T1415" s="1002"/>
      <c r="U1415" s="1002"/>
    </row>
    <row r="1416" spans="6:21" ht="12.6">
      <c r="F1416" s="1002"/>
      <c r="G1416" s="1002"/>
      <c r="H1416" s="1002"/>
      <c r="I1416" s="1002"/>
      <c r="J1416" s="1002"/>
      <c r="K1416" s="1002"/>
      <c r="L1416" s="1002"/>
      <c r="M1416" s="1002"/>
      <c r="N1416" s="1002"/>
      <c r="O1416" s="1002"/>
      <c r="P1416" s="1002"/>
      <c r="Q1416" s="1002"/>
      <c r="R1416" s="1002"/>
      <c r="S1416" s="1002"/>
      <c r="T1416" s="1002"/>
      <c r="U1416" s="1002"/>
    </row>
    <row r="1417" spans="6:21" ht="12.6">
      <c r="F1417" s="1002"/>
      <c r="G1417" s="1002"/>
      <c r="H1417" s="1002"/>
      <c r="I1417" s="1002"/>
      <c r="J1417" s="1002"/>
      <c r="K1417" s="1002"/>
      <c r="L1417" s="1002"/>
      <c r="M1417" s="1002"/>
      <c r="N1417" s="1002"/>
      <c r="O1417" s="1002"/>
      <c r="P1417" s="1002"/>
      <c r="Q1417" s="1002"/>
      <c r="R1417" s="1002"/>
      <c r="S1417" s="1002"/>
      <c r="T1417" s="1002"/>
      <c r="U1417" s="1002"/>
    </row>
    <row r="1418" spans="6:21" ht="12.6">
      <c r="F1418" s="1002"/>
      <c r="G1418" s="1002"/>
      <c r="H1418" s="1002"/>
      <c r="I1418" s="1002"/>
      <c r="J1418" s="1002"/>
      <c r="K1418" s="1002"/>
      <c r="L1418" s="1002"/>
      <c r="M1418" s="1002"/>
      <c r="N1418" s="1002"/>
      <c r="O1418" s="1002"/>
      <c r="P1418" s="1002"/>
      <c r="Q1418" s="1002"/>
      <c r="R1418" s="1002"/>
      <c r="S1418" s="1002"/>
      <c r="T1418" s="1002"/>
      <c r="U1418" s="1002"/>
    </row>
    <row r="1419" spans="6:21" ht="12.6">
      <c r="F1419" s="1002"/>
      <c r="G1419" s="1002"/>
      <c r="H1419" s="1002"/>
      <c r="I1419" s="1002"/>
      <c r="J1419" s="1002"/>
      <c r="K1419" s="1002"/>
      <c r="L1419" s="1002"/>
      <c r="M1419" s="1002"/>
      <c r="N1419" s="1002"/>
      <c r="O1419" s="1002"/>
      <c r="P1419" s="1002"/>
      <c r="Q1419" s="1002"/>
      <c r="R1419" s="1002"/>
      <c r="S1419" s="1002"/>
      <c r="T1419" s="1002"/>
      <c r="U1419" s="1002"/>
    </row>
    <row r="1420" spans="6:21" ht="12.6">
      <c r="F1420" s="1002"/>
      <c r="G1420" s="1002"/>
      <c r="H1420" s="1002"/>
      <c r="I1420" s="1002"/>
      <c r="J1420" s="1002"/>
      <c r="K1420" s="1002"/>
      <c r="L1420" s="1002"/>
      <c r="M1420" s="1002"/>
      <c r="N1420" s="1002"/>
      <c r="O1420" s="1002"/>
      <c r="P1420" s="1002"/>
      <c r="Q1420" s="1002"/>
      <c r="R1420" s="1002"/>
      <c r="S1420" s="1002"/>
      <c r="T1420" s="1002"/>
      <c r="U1420" s="1002"/>
    </row>
    <row r="1421" spans="6:21" ht="12.6">
      <c r="F1421" s="1002"/>
      <c r="G1421" s="1002"/>
      <c r="H1421" s="1002"/>
      <c r="I1421" s="1002"/>
      <c r="J1421" s="1002"/>
      <c r="K1421" s="1002"/>
      <c r="L1421" s="1002"/>
      <c r="M1421" s="1002"/>
      <c r="N1421" s="1002"/>
      <c r="O1421" s="1002"/>
      <c r="P1421" s="1002"/>
      <c r="Q1421" s="1002"/>
      <c r="R1421" s="1002"/>
      <c r="S1421" s="1002"/>
      <c r="T1421" s="1002"/>
      <c r="U1421" s="1002"/>
    </row>
    <row r="1422" spans="6:21" ht="12.6">
      <c r="F1422" s="1002"/>
      <c r="G1422" s="1002"/>
      <c r="H1422" s="1002"/>
      <c r="I1422" s="1002"/>
      <c r="J1422" s="1002"/>
      <c r="K1422" s="1002"/>
      <c r="L1422" s="1002"/>
      <c r="M1422" s="1002"/>
      <c r="N1422" s="1002"/>
      <c r="O1422" s="1002"/>
      <c r="P1422" s="1002"/>
      <c r="Q1422" s="1002"/>
      <c r="R1422" s="1002"/>
      <c r="S1422" s="1002"/>
      <c r="T1422" s="1002"/>
      <c r="U1422" s="1002"/>
    </row>
    <row r="1423" spans="6:21" ht="12.6">
      <c r="F1423" s="1002"/>
      <c r="G1423" s="1002"/>
      <c r="H1423" s="1002"/>
      <c r="I1423" s="1002"/>
      <c r="J1423" s="1002"/>
      <c r="K1423" s="1002"/>
      <c r="L1423" s="1002"/>
      <c r="M1423" s="1002"/>
      <c r="N1423" s="1002"/>
      <c r="O1423" s="1002"/>
      <c r="P1423" s="1002"/>
      <c r="Q1423" s="1002"/>
      <c r="R1423" s="1002"/>
      <c r="S1423" s="1002"/>
      <c r="T1423" s="1002"/>
      <c r="U1423" s="1002"/>
    </row>
    <row r="1424" spans="6:21" ht="12.6">
      <c r="F1424" s="1002"/>
      <c r="G1424" s="1002"/>
      <c r="H1424" s="1002"/>
      <c r="I1424" s="1002"/>
      <c r="J1424" s="1002"/>
      <c r="K1424" s="1002"/>
      <c r="L1424" s="1002"/>
      <c r="M1424" s="1002"/>
      <c r="N1424" s="1002"/>
      <c r="O1424" s="1002"/>
      <c r="P1424" s="1002"/>
      <c r="Q1424" s="1002"/>
      <c r="R1424" s="1002"/>
      <c r="S1424" s="1002"/>
      <c r="T1424" s="1002"/>
      <c r="U1424" s="1002"/>
    </row>
    <row r="1425" spans="6:21" ht="12.6">
      <c r="F1425" s="1002"/>
      <c r="G1425" s="1002"/>
      <c r="H1425" s="1002"/>
      <c r="I1425" s="1002"/>
      <c r="J1425" s="1002"/>
      <c r="K1425" s="1002"/>
      <c r="L1425" s="1002"/>
      <c r="M1425" s="1002"/>
      <c r="N1425" s="1002"/>
      <c r="O1425" s="1002"/>
      <c r="P1425" s="1002"/>
      <c r="Q1425" s="1002"/>
      <c r="R1425" s="1002"/>
      <c r="S1425" s="1002"/>
      <c r="T1425" s="1002"/>
      <c r="U1425" s="1002"/>
    </row>
    <row r="1426" spans="6:21" ht="12.6">
      <c r="F1426" s="1002"/>
      <c r="G1426" s="1002"/>
      <c r="H1426" s="1002"/>
      <c r="I1426" s="1002"/>
      <c r="J1426" s="1002"/>
      <c r="K1426" s="1002"/>
      <c r="L1426" s="1002"/>
      <c r="M1426" s="1002"/>
      <c r="N1426" s="1002"/>
      <c r="O1426" s="1002"/>
      <c r="P1426" s="1002"/>
      <c r="Q1426" s="1002"/>
      <c r="R1426" s="1002"/>
      <c r="S1426" s="1002"/>
      <c r="T1426" s="1002"/>
      <c r="U1426" s="1002"/>
    </row>
    <row r="1427" spans="6:21" ht="12.6">
      <c r="F1427" s="1002"/>
      <c r="G1427" s="1002"/>
      <c r="H1427" s="1002"/>
      <c r="I1427" s="1002"/>
      <c r="J1427" s="1002"/>
      <c r="K1427" s="1002"/>
      <c r="L1427" s="1002"/>
      <c r="M1427" s="1002"/>
      <c r="N1427" s="1002"/>
      <c r="O1427" s="1002"/>
      <c r="P1427" s="1002"/>
      <c r="Q1427" s="1002"/>
      <c r="R1427" s="1002"/>
      <c r="S1427" s="1002"/>
      <c r="T1427" s="1002"/>
      <c r="U1427" s="1002"/>
    </row>
    <row r="1428" spans="6:21" ht="12.6">
      <c r="F1428" s="1002"/>
      <c r="G1428" s="1002"/>
      <c r="H1428" s="1002"/>
      <c r="I1428" s="1002"/>
      <c r="J1428" s="1002"/>
      <c r="K1428" s="1002"/>
      <c r="L1428" s="1002"/>
      <c r="M1428" s="1002"/>
      <c r="N1428" s="1002"/>
      <c r="O1428" s="1002"/>
      <c r="P1428" s="1002"/>
      <c r="Q1428" s="1002"/>
      <c r="R1428" s="1002"/>
      <c r="S1428" s="1002"/>
      <c r="T1428" s="1002"/>
      <c r="U1428" s="1002"/>
    </row>
    <row r="1429" spans="6:21" ht="12.6">
      <c r="F1429" s="1002"/>
      <c r="G1429" s="1002"/>
      <c r="H1429" s="1002"/>
      <c r="I1429" s="1002"/>
      <c r="J1429" s="1002"/>
      <c r="K1429" s="1002"/>
      <c r="L1429" s="1002"/>
      <c r="M1429" s="1002"/>
      <c r="N1429" s="1002"/>
      <c r="O1429" s="1002"/>
      <c r="P1429" s="1002"/>
      <c r="Q1429" s="1002"/>
      <c r="R1429" s="1002"/>
      <c r="S1429" s="1002"/>
      <c r="T1429" s="1002"/>
      <c r="U1429" s="1002"/>
    </row>
    <row r="1430" spans="6:21" ht="12.6">
      <c r="F1430" s="1002"/>
      <c r="G1430" s="1002"/>
      <c r="H1430" s="1002"/>
      <c r="I1430" s="1002"/>
      <c r="J1430" s="1002"/>
      <c r="K1430" s="1002"/>
      <c r="L1430" s="1002"/>
      <c r="M1430" s="1002"/>
      <c r="N1430" s="1002"/>
      <c r="O1430" s="1002"/>
      <c r="P1430" s="1002"/>
      <c r="Q1430" s="1002"/>
      <c r="R1430" s="1002"/>
      <c r="S1430" s="1002"/>
      <c r="T1430" s="1002"/>
      <c r="U1430" s="1002"/>
    </row>
    <row r="1431" spans="6:21" ht="12.6">
      <c r="F1431" s="1002"/>
      <c r="G1431" s="1002"/>
      <c r="H1431" s="1002"/>
      <c r="I1431" s="1002"/>
      <c r="J1431" s="1002"/>
      <c r="K1431" s="1002"/>
      <c r="L1431" s="1002"/>
      <c r="M1431" s="1002"/>
      <c r="N1431" s="1002"/>
      <c r="O1431" s="1002"/>
      <c r="P1431" s="1002"/>
      <c r="Q1431" s="1002"/>
      <c r="R1431" s="1002"/>
      <c r="S1431" s="1002"/>
      <c r="T1431" s="1002"/>
      <c r="U1431" s="1002"/>
    </row>
    <row r="1432" spans="6:21" ht="12.6">
      <c r="F1432" s="1002"/>
      <c r="G1432" s="1002"/>
      <c r="H1432" s="1002"/>
      <c r="I1432" s="1002"/>
      <c r="J1432" s="1002"/>
      <c r="K1432" s="1002"/>
      <c r="L1432" s="1002"/>
      <c r="M1432" s="1002"/>
      <c r="N1432" s="1002"/>
      <c r="O1432" s="1002"/>
      <c r="P1432" s="1002"/>
      <c r="Q1432" s="1002"/>
      <c r="R1432" s="1002"/>
      <c r="S1432" s="1002"/>
      <c r="T1432" s="1002"/>
      <c r="U1432" s="1002"/>
    </row>
    <row r="1433" spans="6:21" ht="12.6">
      <c r="F1433" s="1002"/>
      <c r="G1433" s="1002"/>
      <c r="H1433" s="1002"/>
      <c r="I1433" s="1002"/>
      <c r="J1433" s="1002"/>
      <c r="K1433" s="1002"/>
      <c r="L1433" s="1002"/>
      <c r="M1433" s="1002"/>
      <c r="N1433" s="1002"/>
      <c r="O1433" s="1002"/>
      <c r="P1433" s="1002"/>
      <c r="Q1433" s="1002"/>
      <c r="R1433" s="1002"/>
      <c r="S1433" s="1002"/>
      <c r="T1433" s="1002"/>
      <c r="U1433" s="1002"/>
    </row>
    <row r="1434" spans="6:21" ht="12.6">
      <c r="F1434" s="1002"/>
      <c r="G1434" s="1002"/>
      <c r="H1434" s="1002"/>
      <c r="I1434" s="1002"/>
      <c r="J1434" s="1002"/>
      <c r="K1434" s="1002"/>
      <c r="L1434" s="1002"/>
      <c r="M1434" s="1002"/>
      <c r="N1434" s="1002"/>
      <c r="O1434" s="1002"/>
      <c r="P1434" s="1002"/>
      <c r="Q1434" s="1002"/>
      <c r="R1434" s="1002"/>
      <c r="S1434" s="1002"/>
      <c r="T1434" s="1002"/>
      <c r="U1434" s="1002"/>
    </row>
    <row r="1435" spans="6:21" ht="12.6">
      <c r="F1435" s="1002"/>
      <c r="G1435" s="1002"/>
      <c r="H1435" s="1002"/>
      <c r="I1435" s="1002"/>
      <c r="J1435" s="1002"/>
      <c r="K1435" s="1002"/>
      <c r="L1435" s="1002"/>
      <c r="M1435" s="1002"/>
      <c r="N1435" s="1002"/>
      <c r="O1435" s="1002"/>
      <c r="P1435" s="1002"/>
      <c r="Q1435" s="1002"/>
      <c r="R1435" s="1002"/>
      <c r="S1435" s="1002"/>
      <c r="T1435" s="1002"/>
      <c r="U1435" s="1002"/>
    </row>
    <row r="1436" spans="6:21" ht="12.6">
      <c r="F1436" s="1002"/>
      <c r="G1436" s="1002"/>
      <c r="H1436" s="1002"/>
      <c r="I1436" s="1002"/>
      <c r="J1436" s="1002"/>
      <c r="K1436" s="1002"/>
      <c r="L1436" s="1002"/>
      <c r="M1436" s="1002"/>
      <c r="N1436" s="1002"/>
      <c r="O1436" s="1002"/>
      <c r="P1436" s="1002"/>
      <c r="Q1436" s="1002"/>
      <c r="R1436" s="1002"/>
      <c r="S1436" s="1002"/>
      <c r="T1436" s="1002"/>
      <c r="U1436" s="1002"/>
    </row>
    <row r="1437" spans="6:21" ht="12.6">
      <c r="F1437" s="1002"/>
      <c r="G1437" s="1002"/>
      <c r="H1437" s="1002"/>
      <c r="I1437" s="1002"/>
      <c r="J1437" s="1002"/>
      <c r="K1437" s="1002"/>
      <c r="L1437" s="1002"/>
      <c r="M1437" s="1002"/>
      <c r="N1437" s="1002"/>
      <c r="O1437" s="1002"/>
      <c r="P1437" s="1002"/>
      <c r="Q1437" s="1002"/>
      <c r="R1437" s="1002"/>
      <c r="S1437" s="1002"/>
      <c r="T1437" s="1002"/>
      <c r="U1437" s="1002"/>
    </row>
    <row r="1438" spans="6:21" ht="12.6">
      <c r="F1438" s="1002"/>
      <c r="G1438" s="1002"/>
      <c r="H1438" s="1002"/>
      <c r="I1438" s="1002"/>
      <c r="J1438" s="1002"/>
      <c r="K1438" s="1002"/>
      <c r="L1438" s="1002"/>
      <c r="M1438" s="1002"/>
      <c r="N1438" s="1002"/>
      <c r="O1438" s="1002"/>
      <c r="P1438" s="1002"/>
      <c r="Q1438" s="1002"/>
      <c r="R1438" s="1002"/>
      <c r="S1438" s="1002"/>
      <c r="T1438" s="1002"/>
      <c r="U1438" s="1002"/>
    </row>
    <row r="1439" spans="6:21" ht="12.6">
      <c r="F1439" s="1002"/>
      <c r="G1439" s="1002"/>
      <c r="H1439" s="1002"/>
      <c r="I1439" s="1002"/>
      <c r="J1439" s="1002"/>
      <c r="K1439" s="1002"/>
      <c r="L1439" s="1002"/>
      <c r="M1439" s="1002"/>
      <c r="N1439" s="1002"/>
      <c r="O1439" s="1002"/>
      <c r="P1439" s="1002"/>
      <c r="Q1439" s="1002"/>
      <c r="R1439" s="1002"/>
      <c r="S1439" s="1002"/>
      <c r="T1439" s="1002"/>
      <c r="U1439" s="1002"/>
    </row>
    <row r="1440" spans="6:21" ht="12.6">
      <c r="F1440" s="1002"/>
      <c r="G1440" s="1002"/>
      <c r="H1440" s="1002"/>
      <c r="I1440" s="1002"/>
      <c r="J1440" s="1002"/>
      <c r="K1440" s="1002"/>
      <c r="L1440" s="1002"/>
      <c r="M1440" s="1002"/>
      <c r="N1440" s="1002"/>
      <c r="O1440" s="1002"/>
      <c r="P1440" s="1002"/>
      <c r="Q1440" s="1002"/>
      <c r="R1440" s="1002"/>
      <c r="S1440" s="1002"/>
      <c r="T1440" s="1002"/>
      <c r="U1440" s="1002"/>
    </row>
    <row r="1441" spans="6:21" ht="12.6">
      <c r="F1441" s="1002"/>
      <c r="G1441" s="1002"/>
      <c r="H1441" s="1002"/>
      <c r="I1441" s="1002"/>
      <c r="J1441" s="1002"/>
      <c r="K1441" s="1002"/>
      <c r="L1441" s="1002"/>
      <c r="M1441" s="1002"/>
      <c r="N1441" s="1002"/>
      <c r="O1441" s="1002"/>
      <c r="P1441" s="1002"/>
      <c r="Q1441" s="1002"/>
      <c r="R1441" s="1002"/>
      <c r="S1441" s="1002"/>
      <c r="T1441" s="1002"/>
      <c r="U1441" s="1002"/>
    </row>
    <row r="1442" spans="6:21" ht="12.6">
      <c r="F1442" s="1002"/>
      <c r="G1442" s="1002"/>
      <c r="H1442" s="1002"/>
      <c r="I1442" s="1002"/>
      <c r="J1442" s="1002"/>
      <c r="K1442" s="1002"/>
      <c r="L1442" s="1002"/>
      <c r="M1442" s="1002"/>
      <c r="N1442" s="1002"/>
      <c r="O1442" s="1002"/>
      <c r="P1442" s="1002"/>
      <c r="Q1442" s="1002"/>
      <c r="R1442" s="1002"/>
      <c r="S1442" s="1002"/>
      <c r="T1442" s="1002"/>
      <c r="U1442" s="1002"/>
    </row>
    <row r="1443" spans="6:21" ht="12.6">
      <c r="F1443" s="1002"/>
      <c r="G1443" s="1002"/>
      <c r="H1443" s="1002"/>
      <c r="I1443" s="1002"/>
      <c r="J1443" s="1002"/>
      <c r="K1443" s="1002"/>
      <c r="L1443" s="1002"/>
      <c r="M1443" s="1002"/>
      <c r="N1443" s="1002"/>
      <c r="O1443" s="1002"/>
      <c r="P1443" s="1002"/>
      <c r="Q1443" s="1002"/>
      <c r="R1443" s="1002"/>
      <c r="S1443" s="1002"/>
      <c r="T1443" s="1002"/>
      <c r="U1443" s="1002"/>
    </row>
    <row r="1444" spans="6:21" ht="12.6">
      <c r="F1444" s="1002"/>
      <c r="G1444" s="1002"/>
      <c r="H1444" s="1002"/>
      <c r="I1444" s="1002"/>
      <c r="J1444" s="1002"/>
      <c r="K1444" s="1002"/>
      <c r="L1444" s="1002"/>
      <c r="M1444" s="1002"/>
      <c r="N1444" s="1002"/>
      <c r="O1444" s="1002"/>
      <c r="P1444" s="1002"/>
      <c r="Q1444" s="1002"/>
      <c r="R1444" s="1002"/>
      <c r="S1444" s="1002"/>
      <c r="T1444" s="1002"/>
      <c r="U1444" s="1002"/>
    </row>
    <row r="1445" spans="6:21" ht="12.6">
      <c r="F1445" s="1002"/>
      <c r="G1445" s="1002"/>
      <c r="H1445" s="1002"/>
      <c r="I1445" s="1002"/>
      <c r="J1445" s="1002"/>
      <c r="K1445" s="1002"/>
      <c r="L1445" s="1002"/>
      <c r="M1445" s="1002"/>
      <c r="N1445" s="1002"/>
      <c r="O1445" s="1002"/>
      <c r="P1445" s="1002"/>
      <c r="Q1445" s="1002"/>
      <c r="R1445" s="1002"/>
      <c r="S1445" s="1002"/>
      <c r="T1445" s="1002"/>
      <c r="U1445" s="1002"/>
    </row>
    <row r="1446" spans="6:21" ht="12.6">
      <c r="F1446" s="1002"/>
      <c r="G1446" s="1002"/>
      <c r="H1446" s="1002"/>
      <c r="I1446" s="1002"/>
      <c r="J1446" s="1002"/>
      <c r="K1446" s="1002"/>
      <c r="L1446" s="1002"/>
      <c r="M1446" s="1002"/>
      <c r="N1446" s="1002"/>
      <c r="O1446" s="1002"/>
      <c r="P1446" s="1002"/>
      <c r="Q1446" s="1002"/>
      <c r="R1446" s="1002"/>
      <c r="S1446" s="1002"/>
      <c r="T1446" s="1002"/>
      <c r="U1446" s="1002"/>
    </row>
    <row r="1447" spans="6:21" ht="12.6">
      <c r="F1447" s="1002"/>
      <c r="G1447" s="1002"/>
      <c r="H1447" s="1002"/>
      <c r="I1447" s="1002"/>
      <c r="J1447" s="1002"/>
      <c r="K1447" s="1002"/>
      <c r="L1447" s="1002"/>
      <c r="M1447" s="1002"/>
      <c r="N1447" s="1002"/>
      <c r="O1447" s="1002"/>
      <c r="P1447" s="1002"/>
      <c r="Q1447" s="1002"/>
      <c r="R1447" s="1002"/>
      <c r="S1447" s="1002"/>
      <c r="T1447" s="1002"/>
      <c r="U1447" s="1002"/>
    </row>
    <row r="1448" spans="6:21" ht="12.6">
      <c r="F1448" s="1002"/>
      <c r="G1448" s="1002"/>
      <c r="H1448" s="1002"/>
      <c r="I1448" s="1002"/>
      <c r="J1448" s="1002"/>
      <c r="K1448" s="1002"/>
      <c r="L1448" s="1002"/>
      <c r="M1448" s="1002"/>
      <c r="N1448" s="1002"/>
      <c r="O1448" s="1002"/>
      <c r="P1448" s="1002"/>
      <c r="Q1448" s="1002"/>
      <c r="R1448" s="1002"/>
      <c r="S1448" s="1002"/>
      <c r="T1448" s="1002"/>
      <c r="U1448" s="1002"/>
    </row>
    <row r="1449" spans="6:21" ht="12.6">
      <c r="F1449" s="1002"/>
      <c r="G1449" s="1002"/>
      <c r="H1449" s="1002"/>
      <c r="I1449" s="1002"/>
      <c r="J1449" s="1002"/>
      <c r="K1449" s="1002"/>
      <c r="L1449" s="1002"/>
      <c r="M1449" s="1002"/>
      <c r="N1449" s="1002"/>
      <c r="O1449" s="1002"/>
      <c r="P1449" s="1002"/>
      <c r="Q1449" s="1002"/>
      <c r="R1449" s="1002"/>
      <c r="S1449" s="1002"/>
      <c r="T1449" s="1002"/>
      <c r="U1449" s="1002"/>
    </row>
    <row r="1450" spans="6:21" ht="12.6">
      <c r="F1450" s="1002"/>
      <c r="G1450" s="1002"/>
      <c r="H1450" s="1002"/>
      <c r="I1450" s="1002"/>
      <c r="J1450" s="1002"/>
      <c r="K1450" s="1002"/>
      <c r="L1450" s="1002"/>
      <c r="M1450" s="1002"/>
      <c r="N1450" s="1002"/>
      <c r="O1450" s="1002"/>
      <c r="P1450" s="1002"/>
      <c r="Q1450" s="1002"/>
      <c r="R1450" s="1002"/>
      <c r="S1450" s="1002"/>
      <c r="T1450" s="1002"/>
      <c r="U1450" s="1002"/>
    </row>
    <row r="1451" spans="6:21" ht="12.6">
      <c r="F1451" s="1002"/>
      <c r="G1451" s="1002"/>
      <c r="H1451" s="1002"/>
      <c r="I1451" s="1002"/>
      <c r="J1451" s="1002"/>
      <c r="K1451" s="1002"/>
      <c r="L1451" s="1002"/>
      <c r="M1451" s="1002"/>
      <c r="N1451" s="1002"/>
      <c r="O1451" s="1002"/>
      <c r="P1451" s="1002"/>
      <c r="Q1451" s="1002"/>
      <c r="R1451" s="1002"/>
      <c r="S1451" s="1002"/>
      <c r="T1451" s="1002"/>
      <c r="U1451" s="1002"/>
    </row>
    <row r="1452" spans="6:21" ht="12.6">
      <c r="F1452" s="1002"/>
      <c r="G1452" s="1002"/>
      <c r="H1452" s="1002"/>
      <c r="I1452" s="1002"/>
      <c r="J1452" s="1002"/>
      <c r="K1452" s="1002"/>
      <c r="L1452" s="1002"/>
      <c r="M1452" s="1002"/>
      <c r="N1452" s="1002"/>
      <c r="O1452" s="1002"/>
      <c r="P1452" s="1002"/>
      <c r="Q1452" s="1002"/>
      <c r="R1452" s="1002"/>
      <c r="S1452" s="1002"/>
      <c r="T1452" s="1002"/>
      <c r="U1452" s="1002"/>
    </row>
    <row r="1453" spans="6:21" ht="12.6">
      <c r="F1453" s="1002"/>
      <c r="G1453" s="1002"/>
      <c r="H1453" s="1002"/>
      <c r="I1453" s="1002"/>
      <c r="J1453" s="1002"/>
      <c r="K1453" s="1002"/>
      <c r="L1453" s="1002"/>
      <c r="M1453" s="1002"/>
      <c r="N1453" s="1002"/>
      <c r="O1453" s="1002"/>
      <c r="P1453" s="1002"/>
      <c r="Q1453" s="1002"/>
      <c r="R1453" s="1002"/>
      <c r="S1453" s="1002"/>
      <c r="T1453" s="1002"/>
      <c r="U1453" s="1002"/>
    </row>
    <row r="1454" spans="6:21" ht="12.6">
      <c r="F1454" s="1002"/>
      <c r="G1454" s="1002"/>
      <c r="H1454" s="1002"/>
      <c r="I1454" s="1002"/>
      <c r="J1454" s="1002"/>
      <c r="K1454" s="1002"/>
      <c r="L1454" s="1002"/>
      <c r="M1454" s="1002"/>
      <c r="N1454" s="1002"/>
      <c r="O1454" s="1002"/>
      <c r="P1454" s="1002"/>
      <c r="Q1454" s="1002"/>
      <c r="R1454" s="1002"/>
      <c r="S1454" s="1002"/>
      <c r="T1454" s="1002"/>
      <c r="U1454" s="1002"/>
    </row>
    <row r="1455" spans="6:21" ht="12.6">
      <c r="F1455" s="1002"/>
      <c r="G1455" s="1002"/>
      <c r="H1455" s="1002"/>
      <c r="I1455" s="1002"/>
      <c r="J1455" s="1002"/>
      <c r="K1455" s="1002"/>
      <c r="L1455" s="1002"/>
      <c r="M1455" s="1002"/>
      <c r="N1455" s="1002"/>
      <c r="O1455" s="1002"/>
      <c r="P1455" s="1002"/>
      <c r="Q1455" s="1002"/>
      <c r="R1455" s="1002"/>
      <c r="S1455" s="1002"/>
      <c r="T1455" s="1002"/>
      <c r="U1455" s="1002"/>
    </row>
    <row r="1456" spans="6:21" ht="12.6">
      <c r="F1456" s="1002"/>
      <c r="G1456" s="1002"/>
      <c r="H1456" s="1002"/>
      <c r="I1456" s="1002"/>
      <c r="J1456" s="1002"/>
      <c r="K1456" s="1002"/>
      <c r="L1456" s="1002"/>
      <c r="M1456" s="1002"/>
      <c r="N1456" s="1002"/>
      <c r="O1456" s="1002"/>
      <c r="P1456" s="1002"/>
      <c r="Q1456" s="1002"/>
      <c r="R1456" s="1002"/>
      <c r="S1456" s="1002"/>
      <c r="T1456" s="1002"/>
      <c r="U1456" s="1002"/>
    </row>
    <row r="1457" spans="6:21" ht="12.6">
      <c r="F1457" s="1002"/>
      <c r="G1457" s="1002"/>
      <c r="H1457" s="1002"/>
      <c r="I1457" s="1002"/>
      <c r="J1457" s="1002"/>
      <c r="K1457" s="1002"/>
      <c r="L1457" s="1002"/>
      <c r="M1457" s="1002"/>
      <c r="N1457" s="1002"/>
      <c r="O1457" s="1002"/>
      <c r="P1457" s="1002"/>
      <c r="Q1457" s="1002"/>
      <c r="R1457" s="1002"/>
      <c r="S1457" s="1002"/>
      <c r="T1457" s="1002"/>
      <c r="U1457" s="1002"/>
    </row>
    <row r="1458" spans="6:21" ht="12.6">
      <c r="F1458" s="1002"/>
      <c r="G1458" s="1002"/>
      <c r="H1458" s="1002"/>
      <c r="I1458" s="1002"/>
      <c r="J1458" s="1002"/>
      <c r="K1458" s="1002"/>
      <c r="L1458" s="1002"/>
      <c r="M1458" s="1002"/>
      <c r="N1458" s="1002"/>
      <c r="O1458" s="1002"/>
      <c r="P1458" s="1002"/>
      <c r="Q1458" s="1002"/>
      <c r="R1458" s="1002"/>
      <c r="S1458" s="1002"/>
      <c r="T1458" s="1002"/>
      <c r="U1458" s="1002"/>
    </row>
    <row r="1459" spans="6:21" ht="12.6">
      <c r="F1459" s="1002"/>
      <c r="G1459" s="1002"/>
      <c r="H1459" s="1002"/>
      <c r="I1459" s="1002"/>
      <c r="J1459" s="1002"/>
      <c r="K1459" s="1002"/>
      <c r="L1459" s="1002"/>
      <c r="M1459" s="1002"/>
      <c r="N1459" s="1002"/>
      <c r="O1459" s="1002"/>
      <c r="P1459" s="1002"/>
      <c r="Q1459" s="1002"/>
      <c r="R1459" s="1002"/>
      <c r="S1459" s="1002"/>
      <c r="T1459" s="1002"/>
      <c r="U1459" s="1002"/>
    </row>
    <row r="1460" spans="6:21" ht="12.6">
      <c r="F1460" s="1002"/>
      <c r="G1460" s="1002"/>
      <c r="H1460" s="1002"/>
      <c r="I1460" s="1002"/>
      <c r="J1460" s="1002"/>
      <c r="K1460" s="1002"/>
      <c r="L1460" s="1002"/>
      <c r="M1460" s="1002"/>
      <c r="N1460" s="1002"/>
      <c r="O1460" s="1002"/>
      <c r="P1460" s="1002"/>
      <c r="Q1460" s="1002"/>
      <c r="R1460" s="1002"/>
      <c r="S1460" s="1002"/>
      <c r="T1460" s="1002"/>
      <c r="U1460" s="1002"/>
    </row>
    <row r="1461" spans="6:21" ht="12.6">
      <c r="F1461" s="1002"/>
      <c r="G1461" s="1002"/>
      <c r="H1461" s="1002"/>
      <c r="I1461" s="1002"/>
      <c r="J1461" s="1002"/>
      <c r="K1461" s="1002"/>
      <c r="L1461" s="1002"/>
      <c r="M1461" s="1002"/>
      <c r="N1461" s="1002"/>
      <c r="O1461" s="1002"/>
      <c r="P1461" s="1002"/>
      <c r="Q1461" s="1002"/>
      <c r="R1461" s="1002"/>
      <c r="S1461" s="1002"/>
      <c r="T1461" s="1002"/>
      <c r="U1461" s="1002"/>
    </row>
    <row r="1462" spans="6:21" ht="12.6">
      <c r="F1462" s="1002"/>
      <c r="G1462" s="1002"/>
      <c r="H1462" s="1002"/>
      <c r="I1462" s="1002"/>
      <c r="J1462" s="1002"/>
      <c r="K1462" s="1002"/>
      <c r="L1462" s="1002"/>
      <c r="M1462" s="1002"/>
      <c r="N1462" s="1002"/>
      <c r="O1462" s="1002"/>
      <c r="P1462" s="1002"/>
      <c r="Q1462" s="1002"/>
      <c r="R1462" s="1002"/>
      <c r="S1462" s="1002"/>
      <c r="T1462" s="1002"/>
      <c r="U1462" s="1002"/>
    </row>
    <row r="1463" spans="6:21" ht="12.6">
      <c r="F1463" s="1002"/>
      <c r="G1463" s="1002"/>
      <c r="H1463" s="1002"/>
      <c r="I1463" s="1002"/>
      <c r="J1463" s="1002"/>
      <c r="K1463" s="1002"/>
      <c r="L1463" s="1002"/>
      <c r="M1463" s="1002"/>
      <c r="N1463" s="1002"/>
      <c r="O1463" s="1002"/>
      <c r="P1463" s="1002"/>
      <c r="Q1463" s="1002"/>
      <c r="R1463" s="1002"/>
      <c r="S1463" s="1002"/>
      <c r="T1463" s="1002"/>
      <c r="U1463" s="1002"/>
    </row>
    <row r="1464" spans="6:21" ht="12.6">
      <c r="F1464" s="1002"/>
      <c r="G1464" s="1002"/>
      <c r="H1464" s="1002"/>
      <c r="I1464" s="1002"/>
      <c r="J1464" s="1002"/>
      <c r="K1464" s="1002"/>
      <c r="L1464" s="1002"/>
      <c r="M1464" s="1002"/>
      <c r="N1464" s="1002"/>
      <c r="O1464" s="1002"/>
      <c r="P1464" s="1002"/>
      <c r="Q1464" s="1002"/>
      <c r="R1464" s="1002"/>
      <c r="S1464" s="1002"/>
      <c r="T1464" s="1002"/>
      <c r="U1464" s="1002"/>
    </row>
    <row r="1465" spans="6:21" ht="12.6">
      <c r="F1465" s="1002"/>
      <c r="G1465" s="1002"/>
      <c r="H1465" s="1002"/>
      <c r="I1465" s="1002"/>
      <c r="J1465" s="1002"/>
      <c r="K1465" s="1002"/>
      <c r="L1465" s="1002"/>
      <c r="M1465" s="1002"/>
      <c r="N1465" s="1002"/>
      <c r="O1465" s="1002"/>
      <c r="P1465" s="1002"/>
      <c r="Q1465" s="1002"/>
      <c r="R1465" s="1002"/>
      <c r="S1465" s="1002"/>
      <c r="T1465" s="1002"/>
      <c r="U1465" s="1002"/>
    </row>
    <row r="1466" spans="6:21" ht="12.6">
      <c r="F1466" s="1002"/>
      <c r="G1466" s="1002"/>
      <c r="H1466" s="1002"/>
      <c r="I1466" s="1002"/>
      <c r="J1466" s="1002"/>
      <c r="K1466" s="1002"/>
      <c r="L1466" s="1002"/>
      <c r="M1466" s="1002"/>
      <c r="N1466" s="1002"/>
      <c r="O1466" s="1002"/>
      <c r="P1466" s="1002"/>
      <c r="Q1466" s="1002"/>
      <c r="R1466" s="1002"/>
      <c r="S1466" s="1002"/>
      <c r="T1466" s="1002"/>
      <c r="U1466" s="1002"/>
    </row>
    <row r="1467" spans="6:21" ht="12.6">
      <c r="F1467" s="1002"/>
      <c r="G1467" s="1002"/>
      <c r="H1467" s="1002"/>
      <c r="I1467" s="1002"/>
      <c r="J1467" s="1002"/>
      <c r="K1467" s="1002"/>
      <c r="L1467" s="1002"/>
      <c r="M1467" s="1002"/>
      <c r="N1467" s="1002"/>
      <c r="O1467" s="1002"/>
      <c r="P1467" s="1002"/>
      <c r="Q1467" s="1002"/>
      <c r="R1467" s="1002"/>
      <c r="S1467" s="1002"/>
      <c r="T1467" s="1002"/>
      <c r="U1467" s="1002"/>
    </row>
    <row r="1468" spans="6:21" ht="12.6">
      <c r="F1468" s="1002"/>
      <c r="G1468" s="1002"/>
      <c r="H1468" s="1002"/>
      <c r="I1468" s="1002"/>
      <c r="J1468" s="1002"/>
      <c r="K1468" s="1002"/>
      <c r="L1468" s="1002"/>
      <c r="M1468" s="1002"/>
      <c r="N1468" s="1002"/>
      <c r="O1468" s="1002"/>
      <c r="P1468" s="1002"/>
      <c r="Q1468" s="1002"/>
      <c r="R1468" s="1002"/>
      <c r="S1468" s="1002"/>
      <c r="T1468" s="1002"/>
      <c r="U1468" s="1002"/>
    </row>
    <row r="1469" spans="6:21" ht="12.6">
      <c r="F1469" s="1002"/>
      <c r="G1469" s="1002"/>
      <c r="H1469" s="1002"/>
      <c r="I1469" s="1002"/>
      <c r="J1469" s="1002"/>
      <c r="K1469" s="1002"/>
      <c r="L1469" s="1002"/>
      <c r="M1469" s="1002"/>
      <c r="N1469" s="1002"/>
      <c r="O1469" s="1002"/>
      <c r="P1469" s="1002"/>
      <c r="Q1469" s="1002"/>
      <c r="R1469" s="1002"/>
      <c r="S1469" s="1002"/>
      <c r="T1469" s="1002"/>
      <c r="U1469" s="1002"/>
    </row>
    <row r="1470" spans="6:21" ht="12.6">
      <c r="F1470" s="1002"/>
      <c r="G1470" s="1002"/>
      <c r="H1470" s="1002"/>
      <c r="I1470" s="1002"/>
      <c r="J1470" s="1002"/>
      <c r="K1470" s="1002"/>
      <c r="L1470" s="1002"/>
      <c r="M1470" s="1002"/>
      <c r="N1470" s="1002"/>
      <c r="O1470" s="1002"/>
      <c r="P1470" s="1002"/>
      <c r="Q1470" s="1002"/>
      <c r="R1470" s="1002"/>
      <c r="S1470" s="1002"/>
      <c r="T1470" s="1002"/>
      <c r="U1470" s="1002"/>
    </row>
    <row r="1471" spans="6:21" ht="12.6">
      <c r="F1471" s="1002"/>
      <c r="G1471" s="1002"/>
      <c r="H1471" s="1002"/>
      <c r="I1471" s="1002"/>
      <c r="J1471" s="1002"/>
      <c r="K1471" s="1002"/>
      <c r="L1471" s="1002"/>
      <c r="M1471" s="1002"/>
      <c r="N1471" s="1002"/>
      <c r="O1471" s="1002"/>
      <c r="P1471" s="1002"/>
      <c r="Q1471" s="1002"/>
      <c r="R1471" s="1002"/>
      <c r="S1471" s="1002"/>
      <c r="T1471" s="1002"/>
      <c r="U1471" s="1002"/>
    </row>
    <row r="1472" spans="6:21" ht="12.6">
      <c r="F1472" s="1002"/>
      <c r="G1472" s="1002"/>
      <c r="H1472" s="1002"/>
      <c r="I1472" s="1002"/>
      <c r="J1472" s="1002"/>
      <c r="K1472" s="1002"/>
      <c r="L1472" s="1002"/>
      <c r="M1472" s="1002"/>
      <c r="N1472" s="1002"/>
      <c r="O1472" s="1002"/>
      <c r="P1472" s="1002"/>
      <c r="Q1472" s="1002"/>
      <c r="R1472" s="1002"/>
      <c r="S1472" s="1002"/>
      <c r="T1472" s="1002"/>
      <c r="U1472" s="1002"/>
    </row>
    <row r="1473" spans="6:21" ht="12.6">
      <c r="F1473" s="1002"/>
      <c r="G1473" s="1002"/>
      <c r="H1473" s="1002"/>
      <c r="I1473" s="1002"/>
      <c r="J1473" s="1002"/>
      <c r="K1473" s="1002"/>
      <c r="L1473" s="1002"/>
      <c r="M1473" s="1002"/>
      <c r="N1473" s="1002"/>
      <c r="O1473" s="1002"/>
      <c r="P1473" s="1002"/>
      <c r="Q1473" s="1002"/>
      <c r="R1473" s="1002"/>
      <c r="S1473" s="1002"/>
      <c r="T1473" s="1002"/>
      <c r="U1473" s="1002"/>
    </row>
    <row r="1474" spans="6:21" ht="12.6">
      <c r="F1474" s="1002"/>
      <c r="G1474" s="1002"/>
      <c r="H1474" s="1002"/>
      <c r="I1474" s="1002"/>
      <c r="J1474" s="1002"/>
      <c r="K1474" s="1002"/>
      <c r="L1474" s="1002"/>
      <c r="M1474" s="1002"/>
      <c r="N1474" s="1002"/>
      <c r="O1474" s="1002"/>
      <c r="P1474" s="1002"/>
      <c r="Q1474" s="1002"/>
      <c r="R1474" s="1002"/>
      <c r="S1474" s="1002"/>
      <c r="T1474" s="1002"/>
      <c r="U1474" s="1002"/>
    </row>
    <row r="1475" spans="6:21" ht="12.6">
      <c r="F1475" s="1002"/>
      <c r="G1475" s="1002"/>
      <c r="H1475" s="1002"/>
      <c r="I1475" s="1002"/>
      <c r="J1475" s="1002"/>
      <c r="K1475" s="1002"/>
      <c r="L1475" s="1002"/>
      <c r="M1475" s="1002"/>
      <c r="N1475" s="1002"/>
      <c r="O1475" s="1002"/>
      <c r="P1475" s="1002"/>
      <c r="Q1475" s="1002"/>
      <c r="R1475" s="1002"/>
      <c r="S1475" s="1002"/>
      <c r="T1475" s="1002"/>
      <c r="U1475" s="1002"/>
    </row>
    <row r="1476" spans="6:21" ht="12.6">
      <c r="F1476" s="1002"/>
      <c r="G1476" s="1002"/>
      <c r="H1476" s="1002"/>
      <c r="I1476" s="1002"/>
      <c r="J1476" s="1002"/>
      <c r="K1476" s="1002"/>
      <c r="L1476" s="1002"/>
      <c r="M1476" s="1002"/>
      <c r="N1476" s="1002"/>
      <c r="O1476" s="1002"/>
      <c r="P1476" s="1002"/>
      <c r="Q1476" s="1002"/>
      <c r="R1476" s="1002"/>
      <c r="S1476" s="1002"/>
      <c r="T1476" s="1002"/>
      <c r="U1476" s="1002"/>
    </row>
    <row r="1477" spans="6:21" ht="12.6">
      <c r="F1477" s="1002"/>
      <c r="G1477" s="1002"/>
      <c r="H1477" s="1002"/>
      <c r="I1477" s="1002"/>
      <c r="J1477" s="1002"/>
      <c r="K1477" s="1002"/>
      <c r="L1477" s="1002"/>
      <c r="M1477" s="1002"/>
      <c r="N1477" s="1002"/>
      <c r="O1477" s="1002"/>
      <c r="P1477" s="1002"/>
      <c r="Q1477" s="1002"/>
      <c r="R1477" s="1002"/>
      <c r="S1477" s="1002"/>
      <c r="T1477" s="1002"/>
      <c r="U1477" s="1002"/>
    </row>
    <row r="1478" spans="6:21" ht="12.6">
      <c r="F1478" s="1002"/>
      <c r="G1478" s="1002"/>
      <c r="H1478" s="1002"/>
      <c r="I1478" s="1002"/>
      <c r="J1478" s="1002"/>
      <c r="K1478" s="1002"/>
      <c r="L1478" s="1002"/>
      <c r="M1478" s="1002"/>
      <c r="N1478" s="1002"/>
      <c r="O1478" s="1002"/>
      <c r="P1478" s="1002"/>
      <c r="Q1478" s="1002"/>
      <c r="R1478" s="1002"/>
      <c r="S1478" s="1002"/>
      <c r="T1478" s="1002"/>
      <c r="U1478" s="1002"/>
    </row>
    <row r="1479" spans="6:21" ht="12.6">
      <c r="F1479" s="1002"/>
      <c r="G1479" s="1002"/>
      <c r="H1479" s="1002"/>
      <c r="I1479" s="1002"/>
      <c r="J1479" s="1002"/>
      <c r="K1479" s="1002"/>
      <c r="L1479" s="1002"/>
      <c r="M1479" s="1002"/>
      <c r="N1479" s="1002"/>
      <c r="O1479" s="1002"/>
      <c r="P1479" s="1002"/>
      <c r="Q1479" s="1002"/>
      <c r="R1479" s="1002"/>
      <c r="S1479" s="1002"/>
      <c r="T1479" s="1002"/>
      <c r="U1479" s="1002"/>
    </row>
    <row r="1480" spans="6:21" ht="12.6">
      <c r="F1480" s="1002"/>
      <c r="G1480" s="1002"/>
      <c r="H1480" s="1002"/>
      <c r="I1480" s="1002"/>
      <c r="J1480" s="1002"/>
      <c r="K1480" s="1002"/>
      <c r="L1480" s="1002"/>
      <c r="M1480" s="1002"/>
      <c r="N1480" s="1002"/>
      <c r="O1480" s="1002"/>
      <c r="P1480" s="1002"/>
      <c r="Q1480" s="1002"/>
      <c r="R1480" s="1002"/>
      <c r="S1480" s="1002"/>
      <c r="T1480" s="1002"/>
      <c r="U1480" s="1002"/>
    </row>
    <row r="1481" spans="6:21" ht="12.6">
      <c r="F1481" s="1002"/>
      <c r="G1481" s="1002"/>
      <c r="H1481" s="1002"/>
      <c r="I1481" s="1002"/>
      <c r="J1481" s="1002"/>
      <c r="K1481" s="1002"/>
      <c r="L1481" s="1002"/>
      <c r="M1481" s="1002"/>
      <c r="N1481" s="1002"/>
      <c r="O1481" s="1002"/>
      <c r="P1481" s="1002"/>
      <c r="Q1481" s="1002"/>
      <c r="R1481" s="1002"/>
      <c r="S1481" s="1002"/>
      <c r="T1481" s="1002"/>
      <c r="U1481" s="1002"/>
    </row>
    <row r="1482" spans="6:21" ht="12.6">
      <c r="F1482" s="1002"/>
      <c r="G1482" s="1002"/>
      <c r="H1482" s="1002"/>
      <c r="I1482" s="1002"/>
      <c r="J1482" s="1002"/>
      <c r="K1482" s="1002"/>
      <c r="L1482" s="1002"/>
      <c r="M1482" s="1002"/>
      <c r="N1482" s="1002"/>
      <c r="O1482" s="1002"/>
      <c r="P1482" s="1002"/>
      <c r="Q1482" s="1002"/>
      <c r="R1482" s="1002"/>
      <c r="S1482" s="1002"/>
      <c r="T1482" s="1002"/>
      <c r="U1482" s="1002"/>
    </row>
    <row r="1483" spans="6:21" ht="12.6">
      <c r="F1483" s="1002"/>
      <c r="G1483" s="1002"/>
      <c r="H1483" s="1002"/>
      <c r="I1483" s="1002"/>
      <c r="J1483" s="1002"/>
      <c r="K1483" s="1002"/>
      <c r="L1483" s="1002"/>
      <c r="M1483" s="1002"/>
      <c r="N1483" s="1002"/>
      <c r="O1483" s="1002"/>
      <c r="P1483" s="1002"/>
      <c r="Q1483" s="1002"/>
      <c r="R1483" s="1002"/>
      <c r="S1483" s="1002"/>
      <c r="T1483" s="1002"/>
      <c r="U1483" s="1002"/>
    </row>
    <row r="1484" spans="6:21" ht="12.6">
      <c r="F1484" s="1002"/>
      <c r="G1484" s="1002"/>
      <c r="H1484" s="1002"/>
      <c r="I1484" s="1002"/>
      <c r="J1484" s="1002"/>
      <c r="K1484" s="1002"/>
      <c r="L1484" s="1002"/>
      <c r="M1484" s="1002"/>
      <c r="N1484" s="1002"/>
      <c r="O1484" s="1002"/>
      <c r="P1484" s="1002"/>
      <c r="Q1484" s="1002"/>
      <c r="R1484" s="1002"/>
      <c r="S1484" s="1002"/>
      <c r="T1484" s="1002"/>
      <c r="U1484" s="1002"/>
    </row>
    <row r="1485" spans="6:21" ht="12.6">
      <c r="F1485" s="1002"/>
      <c r="G1485" s="1002"/>
      <c r="H1485" s="1002"/>
      <c r="I1485" s="1002"/>
      <c r="J1485" s="1002"/>
      <c r="K1485" s="1002"/>
      <c r="L1485" s="1002"/>
      <c r="M1485" s="1002"/>
      <c r="N1485" s="1002"/>
      <c r="O1485" s="1002"/>
      <c r="P1485" s="1002"/>
      <c r="Q1485" s="1002"/>
      <c r="R1485" s="1002"/>
      <c r="S1485" s="1002"/>
      <c r="T1485" s="1002"/>
      <c r="U1485" s="1002"/>
    </row>
    <row r="1486" spans="6:21" ht="12.6">
      <c r="F1486" s="1002"/>
      <c r="G1486" s="1002"/>
      <c r="H1486" s="1002"/>
      <c r="I1486" s="1002"/>
      <c r="J1486" s="1002"/>
      <c r="K1486" s="1002"/>
      <c r="L1486" s="1002"/>
      <c r="M1486" s="1002"/>
      <c r="N1486" s="1002"/>
      <c r="O1486" s="1002"/>
      <c r="P1486" s="1002"/>
      <c r="Q1486" s="1002"/>
      <c r="R1486" s="1002"/>
      <c r="S1486" s="1002"/>
      <c r="T1486" s="1002"/>
      <c r="U1486" s="1002"/>
    </row>
    <row r="1487" spans="6:21" ht="12.6">
      <c r="F1487" s="1002"/>
      <c r="G1487" s="1002"/>
      <c r="H1487" s="1002"/>
      <c r="I1487" s="1002"/>
      <c r="J1487" s="1002"/>
      <c r="K1487" s="1002"/>
      <c r="L1487" s="1002"/>
      <c r="M1487" s="1002"/>
      <c r="N1487" s="1002"/>
      <c r="O1487" s="1002"/>
      <c r="P1487" s="1002"/>
      <c r="Q1487" s="1002"/>
      <c r="R1487" s="1002"/>
      <c r="S1487" s="1002"/>
      <c r="T1487" s="1002"/>
      <c r="U1487" s="1002"/>
    </row>
    <row r="1488" spans="6:21" ht="12.6">
      <c r="F1488" s="1002"/>
      <c r="G1488" s="1002"/>
      <c r="H1488" s="1002"/>
      <c r="I1488" s="1002"/>
      <c r="J1488" s="1002"/>
      <c r="K1488" s="1002"/>
      <c r="L1488" s="1002"/>
      <c r="M1488" s="1002"/>
      <c r="N1488" s="1002"/>
      <c r="O1488" s="1002"/>
      <c r="P1488" s="1002"/>
      <c r="Q1488" s="1002"/>
      <c r="R1488" s="1002"/>
      <c r="S1488" s="1002"/>
      <c r="T1488" s="1002"/>
      <c r="U1488" s="1002"/>
    </row>
    <row r="1489" spans="6:21" ht="12.6">
      <c r="F1489" s="1002"/>
      <c r="G1489" s="1002"/>
      <c r="H1489" s="1002"/>
      <c r="I1489" s="1002"/>
      <c r="J1489" s="1002"/>
      <c r="K1489" s="1002"/>
      <c r="L1489" s="1002"/>
      <c r="M1489" s="1002"/>
      <c r="N1489" s="1002"/>
      <c r="O1489" s="1002"/>
      <c r="P1489" s="1002"/>
      <c r="Q1489" s="1002"/>
      <c r="R1489" s="1002"/>
      <c r="S1489" s="1002"/>
      <c r="T1489" s="1002"/>
      <c r="U1489" s="1002"/>
    </row>
    <row r="1490" spans="6:21" ht="12.6">
      <c r="F1490" s="1002"/>
      <c r="G1490" s="1002"/>
      <c r="H1490" s="1002"/>
      <c r="I1490" s="1002"/>
      <c r="J1490" s="1002"/>
      <c r="K1490" s="1002"/>
      <c r="L1490" s="1002"/>
      <c r="M1490" s="1002"/>
      <c r="N1490" s="1002"/>
      <c r="O1490" s="1002"/>
      <c r="P1490" s="1002"/>
      <c r="Q1490" s="1002"/>
      <c r="R1490" s="1002"/>
      <c r="S1490" s="1002"/>
      <c r="T1490" s="1002"/>
      <c r="U1490" s="1002"/>
    </row>
    <row r="1491" spans="6:21" ht="12.6">
      <c r="F1491" s="1002"/>
      <c r="G1491" s="1002"/>
      <c r="H1491" s="1002"/>
      <c r="I1491" s="1002"/>
      <c r="J1491" s="1002"/>
      <c r="K1491" s="1002"/>
      <c r="L1491" s="1002"/>
      <c r="M1491" s="1002"/>
      <c r="N1491" s="1002"/>
      <c r="O1491" s="1002"/>
      <c r="P1491" s="1002"/>
      <c r="Q1491" s="1002"/>
      <c r="R1491" s="1002"/>
      <c r="S1491" s="1002"/>
      <c r="T1491" s="1002"/>
      <c r="U1491" s="1002"/>
    </row>
    <row r="1492" spans="6:21" ht="12.6">
      <c r="F1492" s="1002"/>
      <c r="G1492" s="1002"/>
      <c r="H1492" s="1002"/>
      <c r="I1492" s="1002"/>
      <c r="J1492" s="1002"/>
      <c r="K1492" s="1002"/>
      <c r="L1492" s="1002"/>
      <c r="M1492" s="1002"/>
      <c r="N1492" s="1002"/>
      <c r="O1492" s="1002"/>
      <c r="P1492" s="1002"/>
      <c r="Q1492" s="1002"/>
      <c r="R1492" s="1002"/>
      <c r="S1492" s="1002"/>
      <c r="T1492" s="1002"/>
      <c r="U1492" s="1002"/>
    </row>
    <row r="1493" spans="6:21" ht="12.6">
      <c r="F1493" s="1002"/>
      <c r="G1493" s="1002"/>
      <c r="H1493" s="1002"/>
      <c r="I1493" s="1002"/>
      <c r="J1493" s="1002"/>
      <c r="K1493" s="1002"/>
      <c r="L1493" s="1002"/>
      <c r="M1493" s="1002"/>
      <c r="N1493" s="1002"/>
      <c r="O1493" s="1002"/>
      <c r="P1493" s="1002"/>
      <c r="Q1493" s="1002"/>
      <c r="R1493" s="1002"/>
      <c r="S1493" s="1002"/>
      <c r="T1493" s="1002"/>
      <c r="U1493" s="1002"/>
    </row>
    <row r="1494" spans="6:21" ht="12.6">
      <c r="F1494" s="1002"/>
      <c r="G1494" s="1002"/>
      <c r="H1494" s="1002"/>
      <c r="I1494" s="1002"/>
      <c r="J1494" s="1002"/>
      <c r="K1494" s="1002"/>
      <c r="L1494" s="1002"/>
      <c r="M1494" s="1002"/>
      <c r="N1494" s="1002"/>
      <c r="O1494" s="1002"/>
      <c r="P1494" s="1002"/>
      <c r="Q1494" s="1002"/>
      <c r="R1494" s="1002"/>
      <c r="S1494" s="1002"/>
      <c r="T1494" s="1002"/>
      <c r="U1494" s="1002"/>
    </row>
    <row r="1495" spans="6:21" ht="12.6">
      <c r="F1495" s="1002"/>
      <c r="G1495" s="1002"/>
      <c r="H1495" s="1002"/>
      <c r="I1495" s="1002"/>
      <c r="J1495" s="1002"/>
      <c r="K1495" s="1002"/>
      <c r="L1495" s="1002"/>
      <c r="M1495" s="1002"/>
      <c r="N1495" s="1002"/>
      <c r="O1495" s="1002"/>
      <c r="P1495" s="1002"/>
      <c r="Q1495" s="1002"/>
      <c r="R1495" s="1002"/>
      <c r="S1495" s="1002"/>
      <c r="T1495" s="1002"/>
      <c r="U1495" s="1002"/>
    </row>
    <row r="1496" spans="6:21" ht="12.6">
      <c r="F1496" s="1002"/>
      <c r="G1496" s="1002"/>
      <c r="H1496" s="1002"/>
      <c r="I1496" s="1002"/>
      <c r="J1496" s="1002"/>
      <c r="K1496" s="1002"/>
      <c r="L1496" s="1002"/>
      <c r="M1496" s="1002"/>
      <c r="N1496" s="1002"/>
      <c r="O1496" s="1002"/>
      <c r="P1496" s="1002"/>
      <c r="Q1496" s="1002"/>
      <c r="R1496" s="1002"/>
      <c r="S1496" s="1002"/>
      <c r="T1496" s="1002"/>
      <c r="U1496" s="1002"/>
    </row>
    <row r="1497" spans="6:21" ht="12.6">
      <c r="F1497" s="1002"/>
      <c r="G1497" s="1002"/>
      <c r="H1497" s="1002"/>
      <c r="I1497" s="1002"/>
      <c r="J1497" s="1002"/>
      <c r="K1497" s="1002"/>
      <c r="L1497" s="1002"/>
      <c r="M1497" s="1002"/>
      <c r="N1497" s="1002"/>
      <c r="O1497" s="1002"/>
      <c r="P1497" s="1002"/>
      <c r="Q1497" s="1002"/>
      <c r="R1497" s="1002"/>
      <c r="S1497" s="1002"/>
      <c r="T1497" s="1002"/>
      <c r="U1497" s="1002"/>
    </row>
    <row r="1498" spans="6:21" ht="12.6">
      <c r="F1498" s="1002"/>
      <c r="G1498" s="1002"/>
      <c r="H1498" s="1002"/>
      <c r="I1498" s="1002"/>
      <c r="J1498" s="1002"/>
      <c r="K1498" s="1002"/>
      <c r="L1498" s="1002"/>
      <c r="M1498" s="1002"/>
      <c r="N1498" s="1002"/>
      <c r="O1498" s="1002"/>
      <c r="P1498" s="1002"/>
      <c r="Q1498" s="1002"/>
      <c r="R1498" s="1002"/>
      <c r="S1498" s="1002"/>
      <c r="T1498" s="1002"/>
      <c r="U1498" s="1002"/>
    </row>
    <row r="1499" spans="6:21" ht="12.6">
      <c r="F1499" s="1002"/>
      <c r="G1499" s="1002"/>
      <c r="H1499" s="1002"/>
      <c r="I1499" s="1002"/>
      <c r="J1499" s="1002"/>
      <c r="K1499" s="1002"/>
      <c r="L1499" s="1002"/>
      <c r="M1499" s="1002"/>
      <c r="N1499" s="1002"/>
      <c r="O1499" s="1002"/>
      <c r="P1499" s="1002"/>
      <c r="Q1499" s="1002"/>
      <c r="R1499" s="1002"/>
      <c r="S1499" s="1002"/>
      <c r="T1499" s="1002"/>
      <c r="U1499" s="1002"/>
    </row>
    <row r="1500" spans="6:21" ht="12.6">
      <c r="F1500" s="1002"/>
      <c r="G1500" s="1002"/>
      <c r="H1500" s="1002"/>
      <c r="I1500" s="1002"/>
      <c r="J1500" s="1002"/>
      <c r="K1500" s="1002"/>
      <c r="L1500" s="1002"/>
      <c r="M1500" s="1002"/>
      <c r="N1500" s="1002"/>
      <c r="O1500" s="1002"/>
      <c r="P1500" s="1002"/>
      <c r="Q1500" s="1002"/>
      <c r="R1500" s="1002"/>
      <c r="S1500" s="1002"/>
      <c r="T1500" s="1002"/>
      <c r="U1500" s="1002"/>
    </row>
    <row r="1501" spans="6:21" ht="12.6">
      <c r="F1501" s="1002"/>
      <c r="G1501" s="1002"/>
      <c r="H1501" s="1002"/>
      <c r="I1501" s="1002"/>
      <c r="J1501" s="1002"/>
      <c r="K1501" s="1002"/>
      <c r="L1501" s="1002"/>
      <c r="M1501" s="1002"/>
      <c r="N1501" s="1002"/>
      <c r="O1501" s="1002"/>
      <c r="P1501" s="1002"/>
      <c r="Q1501" s="1002"/>
      <c r="R1501" s="1002"/>
      <c r="S1501" s="1002"/>
      <c r="T1501" s="1002"/>
      <c r="U1501" s="1002"/>
    </row>
    <row r="1502" spans="6:21" ht="12.6">
      <c r="F1502" s="1002"/>
      <c r="G1502" s="1002"/>
      <c r="H1502" s="1002"/>
      <c r="I1502" s="1002"/>
      <c r="J1502" s="1002"/>
      <c r="K1502" s="1002"/>
      <c r="L1502" s="1002"/>
      <c r="M1502" s="1002"/>
      <c r="N1502" s="1002"/>
      <c r="O1502" s="1002"/>
      <c r="P1502" s="1002"/>
      <c r="Q1502" s="1002"/>
      <c r="R1502" s="1002"/>
      <c r="S1502" s="1002"/>
      <c r="T1502" s="1002"/>
      <c r="U1502" s="1002"/>
    </row>
    <row r="1503" spans="6:21" ht="12.6">
      <c r="F1503" s="1002"/>
      <c r="G1503" s="1002"/>
      <c r="H1503" s="1002"/>
      <c r="I1503" s="1002"/>
      <c r="J1503" s="1002"/>
      <c r="K1503" s="1002"/>
      <c r="L1503" s="1002"/>
      <c r="M1503" s="1002"/>
      <c r="N1503" s="1002"/>
      <c r="O1503" s="1002"/>
      <c r="P1503" s="1002"/>
      <c r="Q1503" s="1002"/>
      <c r="R1503" s="1002"/>
      <c r="S1503" s="1002"/>
      <c r="T1503" s="1002"/>
      <c r="U1503" s="1002"/>
    </row>
    <row r="1504" spans="6:21" ht="12.6">
      <c r="F1504" s="1002"/>
      <c r="G1504" s="1002"/>
      <c r="H1504" s="1002"/>
      <c r="I1504" s="1002"/>
      <c r="J1504" s="1002"/>
      <c r="K1504" s="1002"/>
      <c r="L1504" s="1002"/>
      <c r="M1504" s="1002"/>
      <c r="N1504" s="1002"/>
      <c r="O1504" s="1002"/>
      <c r="P1504" s="1002"/>
      <c r="Q1504" s="1002"/>
      <c r="R1504" s="1002"/>
      <c r="S1504" s="1002"/>
      <c r="T1504" s="1002"/>
      <c r="U1504" s="1002"/>
    </row>
    <row r="1505" spans="6:21" ht="12.6">
      <c r="F1505" s="1002"/>
      <c r="G1505" s="1002"/>
      <c r="H1505" s="1002"/>
      <c r="I1505" s="1002"/>
      <c r="J1505" s="1002"/>
      <c r="K1505" s="1002"/>
      <c r="L1505" s="1002"/>
      <c r="M1505" s="1002"/>
      <c r="N1505" s="1002"/>
      <c r="O1505" s="1002"/>
      <c r="P1505" s="1002"/>
      <c r="Q1505" s="1002"/>
      <c r="R1505" s="1002"/>
      <c r="S1505" s="1002"/>
      <c r="T1505" s="1002"/>
      <c r="U1505" s="1002"/>
    </row>
    <row r="1506" spans="6:21" ht="12.6">
      <c r="F1506" s="1002"/>
      <c r="G1506" s="1002"/>
      <c r="H1506" s="1002"/>
      <c r="I1506" s="1002"/>
      <c r="J1506" s="1002"/>
      <c r="K1506" s="1002"/>
      <c r="L1506" s="1002"/>
      <c r="M1506" s="1002"/>
      <c r="N1506" s="1002"/>
      <c r="O1506" s="1002"/>
      <c r="P1506" s="1002"/>
      <c r="Q1506" s="1002"/>
      <c r="R1506" s="1002"/>
      <c r="S1506" s="1002"/>
      <c r="T1506" s="1002"/>
      <c r="U1506" s="1002"/>
    </row>
    <row r="1507" spans="6:21" ht="12.6">
      <c r="F1507" s="1002"/>
      <c r="G1507" s="1002"/>
      <c r="H1507" s="1002"/>
      <c r="I1507" s="1002"/>
      <c r="J1507" s="1002"/>
      <c r="K1507" s="1002"/>
      <c r="L1507" s="1002"/>
      <c r="M1507" s="1002"/>
      <c r="N1507" s="1002"/>
      <c r="O1507" s="1002"/>
      <c r="P1507" s="1002"/>
      <c r="Q1507" s="1002"/>
      <c r="R1507" s="1002"/>
      <c r="S1507" s="1002"/>
      <c r="T1507" s="1002"/>
      <c r="U1507" s="1002"/>
    </row>
    <row r="1508" spans="6:21" ht="12.6">
      <c r="F1508" s="1002"/>
      <c r="G1508" s="1002"/>
      <c r="H1508" s="1002"/>
      <c r="I1508" s="1002"/>
      <c r="J1508" s="1002"/>
      <c r="K1508" s="1002"/>
      <c r="L1508" s="1002"/>
      <c r="M1508" s="1002"/>
      <c r="N1508" s="1002"/>
      <c r="O1508" s="1002"/>
      <c r="P1508" s="1002"/>
      <c r="Q1508" s="1002"/>
      <c r="R1508" s="1002"/>
      <c r="S1508" s="1002"/>
      <c r="T1508" s="1002"/>
      <c r="U1508" s="1002"/>
    </row>
    <row r="1509" spans="6:21" ht="12.6">
      <c r="F1509" s="1002"/>
      <c r="G1509" s="1002"/>
      <c r="H1509" s="1002"/>
      <c r="I1509" s="1002"/>
      <c r="J1509" s="1002"/>
      <c r="K1509" s="1002"/>
      <c r="L1509" s="1002"/>
      <c r="M1509" s="1002"/>
      <c r="N1509" s="1002"/>
      <c r="O1509" s="1002"/>
      <c r="P1509" s="1002"/>
      <c r="Q1509" s="1002"/>
      <c r="R1509" s="1002"/>
      <c r="S1509" s="1002"/>
      <c r="T1509" s="1002"/>
      <c r="U1509" s="1002"/>
    </row>
    <row r="1510" spans="6:21" ht="12.6">
      <c r="F1510" s="1002"/>
      <c r="G1510" s="1002"/>
      <c r="H1510" s="1002"/>
      <c r="I1510" s="1002"/>
      <c r="J1510" s="1002"/>
      <c r="K1510" s="1002"/>
      <c r="L1510" s="1002"/>
      <c r="M1510" s="1002"/>
      <c r="N1510" s="1002"/>
      <c r="O1510" s="1002"/>
      <c r="P1510" s="1002"/>
      <c r="Q1510" s="1002"/>
      <c r="R1510" s="1002"/>
      <c r="S1510" s="1002"/>
      <c r="T1510" s="1002"/>
      <c r="U1510" s="1002"/>
    </row>
    <row r="1511" spans="6:21" ht="12.6">
      <c r="F1511" s="1002"/>
      <c r="G1511" s="1002"/>
      <c r="H1511" s="1002"/>
      <c r="I1511" s="1002"/>
      <c r="J1511" s="1002"/>
      <c r="K1511" s="1002"/>
      <c r="L1511" s="1002"/>
      <c r="M1511" s="1002"/>
      <c r="N1511" s="1002"/>
      <c r="O1511" s="1002"/>
      <c r="P1511" s="1002"/>
      <c r="Q1511" s="1002"/>
      <c r="R1511" s="1002"/>
      <c r="S1511" s="1002"/>
      <c r="T1511" s="1002"/>
      <c r="U1511" s="1002"/>
    </row>
    <row r="1512" spans="6:21" ht="12.6">
      <c r="F1512" s="1002"/>
      <c r="G1512" s="1002"/>
      <c r="H1512" s="1002"/>
      <c r="I1512" s="1002"/>
      <c r="J1512" s="1002"/>
      <c r="K1512" s="1002"/>
      <c r="L1512" s="1002"/>
      <c r="M1512" s="1002"/>
      <c r="N1512" s="1002"/>
      <c r="O1512" s="1002"/>
      <c r="P1512" s="1002"/>
      <c r="Q1512" s="1002"/>
      <c r="R1512" s="1002"/>
      <c r="S1512" s="1002"/>
      <c r="T1512" s="1002"/>
      <c r="U1512" s="1002"/>
    </row>
    <row r="1513" spans="6:21" ht="12.6">
      <c r="F1513" s="1002"/>
      <c r="G1513" s="1002"/>
      <c r="H1513" s="1002"/>
      <c r="I1513" s="1002"/>
      <c r="J1513" s="1002"/>
      <c r="K1513" s="1002"/>
      <c r="L1513" s="1002"/>
      <c r="M1513" s="1002"/>
      <c r="N1513" s="1002"/>
      <c r="O1513" s="1002"/>
      <c r="P1513" s="1002"/>
      <c r="Q1513" s="1002"/>
      <c r="R1513" s="1002"/>
      <c r="S1513" s="1002"/>
      <c r="T1513" s="1002"/>
      <c r="U1513" s="1002"/>
    </row>
    <row r="1514" spans="6:21" ht="12.6">
      <c r="F1514" s="1002"/>
      <c r="G1514" s="1002"/>
      <c r="H1514" s="1002"/>
      <c r="I1514" s="1002"/>
      <c r="J1514" s="1002"/>
      <c r="K1514" s="1002"/>
      <c r="L1514" s="1002"/>
      <c r="M1514" s="1002"/>
      <c r="N1514" s="1002"/>
      <c r="O1514" s="1002"/>
      <c r="P1514" s="1002"/>
      <c r="Q1514" s="1002"/>
      <c r="R1514" s="1002"/>
      <c r="S1514" s="1002"/>
      <c r="T1514" s="1002"/>
      <c r="U1514" s="1002"/>
    </row>
    <row r="1515" spans="6:21" ht="12.6">
      <c r="F1515" s="1002"/>
      <c r="G1515" s="1002"/>
      <c r="H1515" s="1002"/>
      <c r="I1515" s="1002"/>
      <c r="J1515" s="1002"/>
      <c r="K1515" s="1002"/>
      <c r="L1515" s="1002"/>
      <c r="M1515" s="1002"/>
      <c r="N1515" s="1002"/>
      <c r="O1515" s="1002"/>
      <c r="P1515" s="1002"/>
      <c r="Q1515" s="1002"/>
      <c r="R1515" s="1002"/>
      <c r="S1515" s="1002"/>
      <c r="T1515" s="1002"/>
      <c r="U1515" s="1002"/>
    </row>
    <row r="1516" spans="6:21" ht="12.6">
      <c r="F1516" s="1002"/>
      <c r="G1516" s="1002"/>
      <c r="H1516" s="1002"/>
      <c r="I1516" s="1002"/>
      <c r="J1516" s="1002"/>
      <c r="K1516" s="1002"/>
      <c r="L1516" s="1002"/>
      <c r="M1516" s="1002"/>
      <c r="N1516" s="1002"/>
      <c r="O1516" s="1002"/>
      <c r="P1516" s="1002"/>
      <c r="Q1516" s="1002"/>
      <c r="R1516" s="1002"/>
      <c r="S1516" s="1002"/>
      <c r="T1516" s="1002"/>
      <c r="U1516" s="1002"/>
    </row>
    <row r="1517" spans="6:21" ht="12.6">
      <c r="F1517" s="1002"/>
      <c r="G1517" s="1002"/>
      <c r="H1517" s="1002"/>
      <c r="I1517" s="1002"/>
      <c r="J1517" s="1002"/>
      <c r="K1517" s="1002"/>
      <c r="L1517" s="1002"/>
      <c r="M1517" s="1002"/>
      <c r="N1517" s="1002"/>
      <c r="O1517" s="1002"/>
      <c r="P1517" s="1002"/>
      <c r="Q1517" s="1002"/>
      <c r="R1517" s="1002"/>
      <c r="S1517" s="1002"/>
      <c r="T1517" s="1002"/>
      <c r="U1517" s="1002"/>
    </row>
    <row r="1518" spans="6:21" ht="12.6">
      <c r="F1518" s="1002"/>
      <c r="G1518" s="1002"/>
      <c r="H1518" s="1002"/>
      <c r="I1518" s="1002"/>
      <c r="J1518" s="1002"/>
      <c r="K1518" s="1002"/>
      <c r="L1518" s="1002"/>
      <c r="M1518" s="1002"/>
      <c r="N1518" s="1002"/>
      <c r="O1518" s="1002"/>
      <c r="P1518" s="1002"/>
      <c r="Q1518" s="1002"/>
      <c r="R1518" s="1002"/>
      <c r="S1518" s="1002"/>
      <c r="T1518" s="1002"/>
      <c r="U1518" s="1002"/>
    </row>
    <row r="1519" spans="6:21" ht="12.6">
      <c r="F1519" s="1002"/>
      <c r="G1519" s="1002"/>
      <c r="H1519" s="1002"/>
      <c r="I1519" s="1002"/>
      <c r="J1519" s="1002"/>
      <c r="K1519" s="1002"/>
      <c r="L1519" s="1002"/>
      <c r="M1519" s="1002"/>
      <c r="N1519" s="1002"/>
      <c r="O1519" s="1002"/>
      <c r="P1519" s="1002"/>
      <c r="Q1519" s="1002"/>
      <c r="R1519" s="1002"/>
      <c r="S1519" s="1002"/>
      <c r="T1519" s="1002"/>
      <c r="U1519" s="1002"/>
    </row>
    <row r="1520" spans="6:21" ht="12.6">
      <c r="F1520" s="1002"/>
      <c r="G1520" s="1002"/>
      <c r="H1520" s="1002"/>
      <c r="I1520" s="1002"/>
      <c r="J1520" s="1002"/>
      <c r="K1520" s="1002"/>
      <c r="L1520" s="1002"/>
      <c r="M1520" s="1002"/>
      <c r="N1520" s="1002"/>
      <c r="O1520" s="1002"/>
      <c r="P1520" s="1002"/>
      <c r="Q1520" s="1002"/>
      <c r="R1520" s="1002"/>
      <c r="S1520" s="1002"/>
      <c r="T1520" s="1002"/>
      <c r="U1520" s="1002"/>
    </row>
    <row r="1521" spans="6:21" ht="12.6">
      <c r="F1521" s="1002"/>
      <c r="G1521" s="1002"/>
      <c r="H1521" s="1002"/>
      <c r="I1521" s="1002"/>
      <c r="J1521" s="1002"/>
      <c r="K1521" s="1002"/>
      <c r="L1521" s="1002"/>
      <c r="M1521" s="1002"/>
      <c r="N1521" s="1002"/>
      <c r="O1521" s="1002"/>
      <c r="P1521" s="1002"/>
      <c r="Q1521" s="1002"/>
      <c r="R1521" s="1002"/>
      <c r="S1521" s="1002"/>
      <c r="T1521" s="1002"/>
      <c r="U1521" s="1002"/>
    </row>
    <row r="1522" spans="6:21" ht="12.6">
      <c r="F1522" s="1002"/>
      <c r="G1522" s="1002"/>
      <c r="H1522" s="1002"/>
      <c r="I1522" s="1002"/>
      <c r="J1522" s="1002"/>
      <c r="K1522" s="1002"/>
      <c r="L1522" s="1002"/>
      <c r="M1522" s="1002"/>
      <c r="N1522" s="1002"/>
      <c r="O1522" s="1002"/>
      <c r="P1522" s="1002"/>
      <c r="Q1522" s="1002"/>
      <c r="R1522" s="1002"/>
      <c r="S1522" s="1002"/>
      <c r="T1522" s="1002"/>
      <c r="U1522" s="1002"/>
    </row>
    <row r="1523" spans="6:21" ht="12.6">
      <c r="F1523" s="1002"/>
      <c r="G1523" s="1002"/>
      <c r="H1523" s="1002"/>
      <c r="I1523" s="1002"/>
      <c r="J1523" s="1002"/>
      <c r="K1523" s="1002"/>
      <c r="L1523" s="1002"/>
      <c r="M1523" s="1002"/>
      <c r="N1523" s="1002"/>
      <c r="O1523" s="1002"/>
      <c r="P1523" s="1002"/>
      <c r="Q1523" s="1002"/>
      <c r="R1523" s="1002"/>
      <c r="S1523" s="1002"/>
      <c r="T1523" s="1002"/>
      <c r="U1523" s="1002"/>
    </row>
    <row r="1524" spans="6:21" ht="12.6">
      <c r="F1524" s="1002"/>
      <c r="G1524" s="1002"/>
      <c r="H1524" s="1002"/>
      <c r="I1524" s="1002"/>
      <c r="J1524" s="1002"/>
      <c r="K1524" s="1002"/>
      <c r="L1524" s="1002"/>
      <c r="M1524" s="1002"/>
      <c r="N1524" s="1002"/>
      <c r="O1524" s="1002"/>
      <c r="P1524" s="1002"/>
      <c r="Q1524" s="1002"/>
      <c r="R1524" s="1002"/>
      <c r="S1524" s="1002"/>
      <c r="T1524" s="1002"/>
      <c r="U1524" s="1002"/>
    </row>
    <row r="1525" spans="6:21" ht="12.6">
      <c r="F1525" s="1002"/>
      <c r="G1525" s="1002"/>
      <c r="H1525" s="1002"/>
      <c r="I1525" s="1002"/>
      <c r="J1525" s="1002"/>
      <c r="K1525" s="1002"/>
      <c r="L1525" s="1002"/>
      <c r="M1525" s="1002"/>
      <c r="N1525" s="1002"/>
      <c r="O1525" s="1002"/>
      <c r="P1525" s="1002"/>
      <c r="Q1525" s="1002"/>
      <c r="R1525" s="1002"/>
      <c r="S1525" s="1002"/>
      <c r="T1525" s="1002"/>
      <c r="U1525" s="1002"/>
    </row>
    <row r="1526" spans="6:21" ht="12.6">
      <c r="F1526" s="1002"/>
      <c r="G1526" s="1002"/>
      <c r="H1526" s="1002"/>
      <c r="I1526" s="1002"/>
      <c r="J1526" s="1002"/>
      <c r="K1526" s="1002"/>
      <c r="L1526" s="1002"/>
      <c r="M1526" s="1002"/>
      <c r="N1526" s="1002"/>
      <c r="O1526" s="1002"/>
      <c r="P1526" s="1002"/>
      <c r="Q1526" s="1002"/>
      <c r="R1526" s="1002"/>
      <c r="S1526" s="1002"/>
      <c r="T1526" s="1002"/>
      <c r="U1526" s="1002"/>
    </row>
    <row r="1527" spans="6:21" ht="12.6">
      <c r="F1527" s="1002"/>
      <c r="G1527" s="1002"/>
      <c r="H1527" s="1002"/>
      <c r="I1527" s="1002"/>
      <c r="J1527" s="1002"/>
      <c r="K1527" s="1002"/>
      <c r="L1527" s="1002"/>
      <c r="M1527" s="1002"/>
      <c r="N1527" s="1002"/>
      <c r="O1527" s="1002"/>
      <c r="P1527" s="1002"/>
      <c r="Q1527" s="1002"/>
      <c r="R1527" s="1002"/>
      <c r="S1527" s="1002"/>
      <c r="T1527" s="1002"/>
      <c r="U1527" s="1002"/>
    </row>
    <row r="1528" spans="6:21" ht="12.6">
      <c r="F1528" s="1002"/>
      <c r="G1528" s="1002"/>
      <c r="H1528" s="1002"/>
      <c r="I1528" s="1002"/>
      <c r="J1528" s="1002"/>
      <c r="K1528" s="1002"/>
      <c r="L1528" s="1002"/>
      <c r="M1528" s="1002"/>
      <c r="N1528" s="1002"/>
      <c r="O1528" s="1002"/>
      <c r="P1528" s="1002"/>
      <c r="Q1528" s="1002"/>
      <c r="R1528" s="1002"/>
      <c r="S1528" s="1002"/>
      <c r="T1528" s="1002"/>
      <c r="U1528" s="1002"/>
    </row>
    <row r="1529" spans="6:21" ht="12.6">
      <c r="F1529" s="1002"/>
      <c r="G1529" s="1002"/>
      <c r="H1529" s="1002"/>
      <c r="I1529" s="1002"/>
      <c r="J1529" s="1002"/>
      <c r="K1529" s="1002"/>
      <c r="L1529" s="1002"/>
      <c r="M1529" s="1002"/>
      <c r="N1529" s="1002"/>
      <c r="O1529" s="1002"/>
      <c r="P1529" s="1002"/>
      <c r="Q1529" s="1002"/>
      <c r="R1529" s="1002"/>
      <c r="S1529" s="1002"/>
      <c r="T1529" s="1002"/>
      <c r="U1529" s="1002"/>
    </row>
    <row r="1530" spans="6:21" ht="12.6">
      <c r="F1530" s="1002"/>
      <c r="G1530" s="1002"/>
      <c r="H1530" s="1002"/>
      <c r="I1530" s="1002"/>
      <c r="J1530" s="1002"/>
      <c r="K1530" s="1002"/>
      <c r="L1530" s="1002"/>
      <c r="M1530" s="1002"/>
      <c r="N1530" s="1002"/>
      <c r="O1530" s="1002"/>
      <c r="P1530" s="1002"/>
      <c r="Q1530" s="1002"/>
      <c r="R1530" s="1002"/>
      <c r="S1530" s="1002"/>
      <c r="T1530" s="1002"/>
      <c r="U1530" s="1002"/>
    </row>
    <row r="1531" spans="6:21" ht="12.6">
      <c r="F1531" s="1002"/>
      <c r="G1531" s="1002"/>
      <c r="H1531" s="1002"/>
      <c r="I1531" s="1002"/>
      <c r="J1531" s="1002"/>
      <c r="K1531" s="1002"/>
      <c r="L1531" s="1002"/>
      <c r="M1531" s="1002"/>
      <c r="N1531" s="1002"/>
      <c r="O1531" s="1002"/>
      <c r="P1531" s="1002"/>
      <c r="Q1531" s="1002"/>
      <c r="R1531" s="1002"/>
      <c r="S1531" s="1002"/>
      <c r="T1531" s="1002"/>
      <c r="U1531" s="1002"/>
    </row>
    <row r="1532" spans="6:21" ht="12.6">
      <c r="F1532" s="1002"/>
      <c r="G1532" s="1002"/>
      <c r="H1532" s="1002"/>
      <c r="I1532" s="1002"/>
      <c r="J1532" s="1002"/>
      <c r="K1532" s="1002"/>
      <c r="L1532" s="1002"/>
      <c r="M1532" s="1002"/>
      <c r="N1532" s="1002"/>
      <c r="O1532" s="1002"/>
      <c r="P1532" s="1002"/>
      <c r="Q1532" s="1002"/>
      <c r="R1532" s="1002"/>
      <c r="S1532" s="1002"/>
      <c r="T1532" s="1002"/>
      <c r="U1532" s="1002"/>
    </row>
    <row r="1533" spans="6:21" ht="12.6">
      <c r="F1533" s="1002"/>
      <c r="G1533" s="1002"/>
      <c r="H1533" s="1002"/>
      <c r="I1533" s="1002"/>
      <c r="J1533" s="1002"/>
      <c r="K1533" s="1002"/>
      <c r="L1533" s="1002"/>
      <c r="M1533" s="1002"/>
      <c r="N1533" s="1002"/>
      <c r="O1533" s="1002"/>
      <c r="P1533" s="1002"/>
      <c r="Q1533" s="1002"/>
      <c r="R1533" s="1002"/>
      <c r="S1533" s="1002"/>
      <c r="T1533" s="1002"/>
      <c r="U1533" s="1002"/>
    </row>
    <row r="1534" spans="6:21" ht="12.6">
      <c r="F1534" s="1002"/>
      <c r="G1534" s="1002"/>
      <c r="H1534" s="1002"/>
      <c r="I1534" s="1002"/>
      <c r="J1534" s="1002"/>
      <c r="K1534" s="1002"/>
      <c r="L1534" s="1002"/>
      <c r="M1534" s="1002"/>
      <c r="N1534" s="1002"/>
      <c r="O1534" s="1002"/>
      <c r="P1534" s="1002"/>
      <c r="Q1534" s="1002"/>
      <c r="R1534" s="1002"/>
      <c r="S1534" s="1002"/>
      <c r="T1534" s="1002"/>
      <c r="U1534" s="1002"/>
    </row>
    <row r="1535" spans="6:21" ht="12.6">
      <c r="F1535" s="1002"/>
      <c r="G1535" s="1002"/>
      <c r="H1535" s="1002"/>
      <c r="I1535" s="1002"/>
      <c r="J1535" s="1002"/>
      <c r="K1535" s="1002"/>
      <c r="L1535" s="1002"/>
      <c r="M1535" s="1002"/>
      <c r="N1535" s="1002"/>
      <c r="O1535" s="1002"/>
      <c r="P1535" s="1002"/>
      <c r="Q1535" s="1002"/>
      <c r="R1535" s="1002"/>
      <c r="S1535" s="1002"/>
      <c r="T1535" s="1002"/>
      <c r="U1535" s="1002"/>
    </row>
    <row r="1536" spans="6:21" ht="12.6">
      <c r="F1536" s="1002"/>
      <c r="G1536" s="1002"/>
      <c r="H1536" s="1002"/>
      <c r="I1536" s="1002"/>
      <c r="J1536" s="1002"/>
      <c r="K1536" s="1002"/>
      <c r="L1536" s="1002"/>
      <c r="M1536" s="1002"/>
      <c r="N1536" s="1002"/>
      <c r="O1536" s="1002"/>
      <c r="P1536" s="1002"/>
      <c r="Q1536" s="1002"/>
      <c r="R1536" s="1002"/>
      <c r="S1536" s="1002"/>
      <c r="T1536" s="1002"/>
      <c r="U1536" s="1002"/>
    </row>
    <row r="1537" spans="6:21" ht="12.6">
      <c r="F1537" s="1002"/>
      <c r="G1537" s="1002"/>
      <c r="H1537" s="1002"/>
      <c r="I1537" s="1002"/>
      <c r="J1537" s="1002"/>
      <c r="K1537" s="1002"/>
      <c r="L1537" s="1002"/>
      <c r="M1537" s="1002"/>
      <c r="N1537" s="1002"/>
      <c r="O1537" s="1002"/>
      <c r="P1537" s="1002"/>
      <c r="Q1537" s="1002"/>
      <c r="R1537" s="1002"/>
      <c r="S1537" s="1002"/>
      <c r="T1537" s="1002"/>
      <c r="U1537" s="1002"/>
    </row>
    <row r="1538" spans="6:21" ht="12.6">
      <c r="F1538" s="1002"/>
      <c r="G1538" s="1002"/>
      <c r="H1538" s="1002"/>
      <c r="I1538" s="1002"/>
      <c r="J1538" s="1002"/>
      <c r="K1538" s="1002"/>
      <c r="L1538" s="1002"/>
      <c r="M1538" s="1002"/>
      <c r="N1538" s="1002"/>
      <c r="O1538" s="1002"/>
      <c r="P1538" s="1002"/>
      <c r="Q1538" s="1002"/>
      <c r="R1538" s="1002"/>
      <c r="S1538" s="1002"/>
      <c r="T1538" s="1002"/>
      <c r="U1538" s="1002"/>
    </row>
    <row r="1539" spans="6:21" ht="12.6">
      <c r="F1539" s="1002"/>
      <c r="G1539" s="1002"/>
      <c r="H1539" s="1002"/>
      <c r="I1539" s="1002"/>
      <c r="J1539" s="1002"/>
      <c r="K1539" s="1002"/>
      <c r="L1539" s="1002"/>
      <c r="M1539" s="1002"/>
      <c r="N1539" s="1002"/>
      <c r="O1539" s="1002"/>
      <c r="P1539" s="1002"/>
      <c r="Q1539" s="1002"/>
      <c r="R1539" s="1002"/>
      <c r="S1539" s="1002"/>
      <c r="T1539" s="1002"/>
      <c r="U1539" s="1002"/>
    </row>
    <row r="1540" spans="6:21" ht="12.6">
      <c r="F1540" s="1002"/>
      <c r="G1540" s="1002"/>
      <c r="H1540" s="1002"/>
      <c r="I1540" s="1002"/>
      <c r="J1540" s="1002"/>
      <c r="K1540" s="1002"/>
      <c r="L1540" s="1002"/>
      <c r="M1540" s="1002"/>
      <c r="N1540" s="1002"/>
      <c r="O1540" s="1002"/>
      <c r="P1540" s="1002"/>
      <c r="Q1540" s="1002"/>
      <c r="R1540" s="1002"/>
      <c r="S1540" s="1002"/>
      <c r="T1540" s="1002"/>
      <c r="U1540" s="1002"/>
    </row>
    <row r="1541" spans="6:21" ht="12.6">
      <c r="F1541" s="1002"/>
      <c r="G1541" s="1002"/>
      <c r="H1541" s="1002"/>
      <c r="I1541" s="1002"/>
      <c r="J1541" s="1002"/>
      <c r="K1541" s="1002"/>
      <c r="L1541" s="1002"/>
      <c r="M1541" s="1002"/>
      <c r="N1541" s="1002"/>
      <c r="O1541" s="1002"/>
      <c r="P1541" s="1002"/>
      <c r="Q1541" s="1002"/>
      <c r="R1541" s="1002"/>
      <c r="S1541" s="1002"/>
      <c r="T1541" s="1002"/>
      <c r="U1541" s="1002"/>
    </row>
    <row r="1542" spans="6:21" ht="12.6">
      <c r="F1542" s="1002"/>
      <c r="G1542" s="1002"/>
      <c r="H1542" s="1002"/>
      <c r="I1542" s="1002"/>
      <c r="J1542" s="1002"/>
      <c r="K1542" s="1002"/>
      <c r="L1542" s="1002"/>
      <c r="M1542" s="1002"/>
      <c r="N1542" s="1002"/>
      <c r="O1542" s="1002"/>
      <c r="P1542" s="1002"/>
      <c r="Q1542" s="1002"/>
      <c r="R1542" s="1002"/>
      <c r="S1542" s="1002"/>
      <c r="T1542" s="1002"/>
      <c r="U1542" s="1002"/>
    </row>
    <row r="1543" spans="6:21" ht="12.6">
      <c r="F1543" s="1002"/>
      <c r="G1543" s="1002"/>
      <c r="H1543" s="1002"/>
      <c r="I1543" s="1002"/>
      <c r="J1543" s="1002"/>
      <c r="K1543" s="1002"/>
      <c r="L1543" s="1002"/>
      <c r="M1543" s="1002"/>
      <c r="N1543" s="1002"/>
      <c r="O1543" s="1002"/>
      <c r="P1543" s="1002"/>
      <c r="Q1543" s="1002"/>
      <c r="R1543" s="1002"/>
      <c r="S1543" s="1002"/>
      <c r="T1543" s="1002"/>
      <c r="U1543" s="1002"/>
    </row>
    <row r="1544" spans="6:21" ht="12.6">
      <c r="F1544" s="1002"/>
      <c r="G1544" s="1002"/>
      <c r="H1544" s="1002"/>
      <c r="I1544" s="1002"/>
      <c r="J1544" s="1002"/>
      <c r="K1544" s="1002"/>
      <c r="L1544" s="1002"/>
      <c r="M1544" s="1002"/>
      <c r="N1544" s="1002"/>
      <c r="O1544" s="1002"/>
      <c r="P1544" s="1002"/>
      <c r="Q1544" s="1002"/>
      <c r="R1544" s="1002"/>
      <c r="S1544" s="1002"/>
      <c r="T1544" s="1002"/>
      <c r="U1544" s="1002"/>
    </row>
    <row r="1545" spans="6:21" ht="12.6">
      <c r="F1545" s="1002"/>
      <c r="G1545" s="1002"/>
      <c r="H1545" s="1002"/>
      <c r="I1545" s="1002"/>
      <c r="J1545" s="1002"/>
      <c r="K1545" s="1002"/>
      <c r="L1545" s="1002"/>
      <c r="M1545" s="1002"/>
      <c r="N1545" s="1002"/>
      <c r="O1545" s="1002"/>
      <c r="P1545" s="1002"/>
      <c r="Q1545" s="1002"/>
      <c r="R1545" s="1002"/>
      <c r="S1545" s="1002"/>
      <c r="T1545" s="1002"/>
      <c r="U1545" s="1002"/>
    </row>
    <row r="1546" spans="6:21" ht="12.6">
      <c r="F1546" s="1002"/>
      <c r="G1546" s="1002"/>
      <c r="H1546" s="1002"/>
      <c r="I1546" s="1002"/>
      <c r="J1546" s="1002"/>
      <c r="K1546" s="1002"/>
      <c r="L1546" s="1002"/>
      <c r="M1546" s="1002"/>
      <c r="N1546" s="1002"/>
      <c r="O1546" s="1002"/>
      <c r="P1546" s="1002"/>
      <c r="Q1546" s="1002"/>
      <c r="R1546" s="1002"/>
      <c r="S1546" s="1002"/>
      <c r="T1546" s="1002"/>
      <c r="U1546" s="1002"/>
    </row>
    <row r="1547" spans="6:21" ht="12.6">
      <c r="F1547" s="1002"/>
      <c r="G1547" s="1002"/>
      <c r="H1547" s="1002"/>
      <c r="I1547" s="1002"/>
      <c r="J1547" s="1002"/>
      <c r="K1547" s="1002"/>
      <c r="L1547" s="1002"/>
      <c r="M1547" s="1002"/>
      <c r="N1547" s="1002"/>
      <c r="O1547" s="1002"/>
      <c r="P1547" s="1002"/>
      <c r="Q1547" s="1002"/>
      <c r="R1547" s="1002"/>
      <c r="S1547" s="1002"/>
      <c r="T1547" s="1002"/>
      <c r="U1547" s="1002"/>
    </row>
    <row r="1548" spans="6:21" ht="12.6">
      <c r="F1548" s="1002"/>
      <c r="G1548" s="1002"/>
      <c r="H1548" s="1002"/>
      <c r="I1548" s="1002"/>
      <c r="J1548" s="1002"/>
      <c r="K1548" s="1002"/>
      <c r="L1548" s="1002"/>
      <c r="M1548" s="1002"/>
      <c r="N1548" s="1002"/>
      <c r="O1548" s="1002"/>
      <c r="P1548" s="1002"/>
      <c r="Q1548" s="1002"/>
      <c r="R1548" s="1002"/>
      <c r="S1548" s="1002"/>
      <c r="T1548" s="1002"/>
      <c r="U1548" s="1002"/>
    </row>
    <row r="1549" spans="6:21" ht="12.6">
      <c r="F1549" s="1002"/>
      <c r="G1549" s="1002"/>
      <c r="H1549" s="1002"/>
      <c r="I1549" s="1002"/>
      <c r="J1549" s="1002"/>
      <c r="K1549" s="1002"/>
      <c r="L1549" s="1002"/>
      <c r="M1549" s="1002"/>
      <c r="N1549" s="1002"/>
      <c r="O1549" s="1002"/>
      <c r="P1549" s="1002"/>
      <c r="Q1549" s="1002"/>
      <c r="R1549" s="1002"/>
      <c r="S1549" s="1002"/>
      <c r="T1549" s="1002"/>
      <c r="U1549" s="1002"/>
    </row>
    <row r="1550" spans="6:21" ht="12.6">
      <c r="F1550" s="1002"/>
      <c r="G1550" s="1002"/>
      <c r="H1550" s="1002"/>
      <c r="I1550" s="1002"/>
      <c r="J1550" s="1002"/>
      <c r="K1550" s="1002"/>
      <c r="L1550" s="1002"/>
      <c r="M1550" s="1002"/>
      <c r="N1550" s="1002"/>
      <c r="O1550" s="1002"/>
      <c r="P1550" s="1002"/>
      <c r="Q1550" s="1002"/>
      <c r="R1550" s="1002"/>
      <c r="S1550" s="1002"/>
      <c r="T1550" s="1002"/>
      <c r="U1550" s="1002"/>
    </row>
    <row r="1551" spans="6:21" ht="12.6">
      <c r="F1551" s="1002"/>
      <c r="G1551" s="1002"/>
      <c r="H1551" s="1002"/>
      <c r="I1551" s="1002"/>
      <c r="J1551" s="1002"/>
      <c r="K1551" s="1002"/>
      <c r="L1551" s="1002"/>
      <c r="M1551" s="1002"/>
      <c r="N1551" s="1002"/>
      <c r="O1551" s="1002"/>
      <c r="P1551" s="1002"/>
      <c r="Q1551" s="1002"/>
      <c r="R1551" s="1002"/>
      <c r="S1551" s="1002"/>
      <c r="T1551" s="1002"/>
      <c r="U1551" s="1002"/>
    </row>
    <row r="1552" spans="6:21" ht="12.6">
      <c r="F1552" s="1002"/>
      <c r="G1552" s="1002"/>
      <c r="H1552" s="1002"/>
      <c r="I1552" s="1002"/>
      <c r="J1552" s="1002"/>
      <c r="K1552" s="1002"/>
      <c r="L1552" s="1002"/>
      <c r="M1552" s="1002"/>
      <c r="N1552" s="1002"/>
      <c r="O1552" s="1002"/>
      <c r="P1552" s="1002"/>
      <c r="Q1552" s="1002"/>
      <c r="R1552" s="1002"/>
      <c r="S1552" s="1002"/>
      <c r="T1552" s="1002"/>
      <c r="U1552" s="1002"/>
    </row>
    <row r="1553" spans="6:21" ht="12.6">
      <c r="F1553" s="1002"/>
      <c r="G1553" s="1002"/>
      <c r="H1553" s="1002"/>
      <c r="I1553" s="1002"/>
      <c r="J1553" s="1002"/>
      <c r="K1553" s="1002"/>
      <c r="L1553" s="1002"/>
      <c r="M1553" s="1002"/>
      <c r="N1553" s="1002"/>
      <c r="O1553" s="1002"/>
      <c r="P1553" s="1002"/>
      <c r="Q1553" s="1002"/>
      <c r="R1553" s="1002"/>
      <c r="S1553" s="1002"/>
      <c r="T1553" s="1002"/>
      <c r="U1553" s="1002"/>
    </row>
    <row r="1554" spans="6:21" ht="12.6">
      <c r="F1554" s="1002"/>
      <c r="G1554" s="1002"/>
      <c r="H1554" s="1002"/>
      <c r="I1554" s="1002"/>
      <c r="J1554" s="1002"/>
      <c r="K1554" s="1002"/>
      <c r="L1554" s="1002"/>
      <c r="M1554" s="1002"/>
      <c r="N1554" s="1002"/>
      <c r="O1554" s="1002"/>
      <c r="P1554" s="1002"/>
      <c r="Q1554" s="1002"/>
      <c r="R1554" s="1002"/>
      <c r="S1554" s="1002"/>
      <c r="T1554" s="1002"/>
      <c r="U1554" s="1002"/>
    </row>
    <row r="1555" spans="6:21" ht="12.6">
      <c r="F1555" s="1002"/>
      <c r="G1555" s="1002"/>
      <c r="H1555" s="1002"/>
      <c r="I1555" s="1002"/>
      <c r="J1555" s="1002"/>
      <c r="K1555" s="1002"/>
      <c r="L1555" s="1002"/>
      <c r="M1555" s="1002"/>
      <c r="N1555" s="1002"/>
      <c r="O1555" s="1002"/>
      <c r="P1555" s="1002"/>
      <c r="Q1555" s="1002"/>
      <c r="R1555" s="1002"/>
      <c r="S1555" s="1002"/>
      <c r="T1555" s="1002"/>
      <c r="U1555" s="1002"/>
    </row>
    <row r="1556" spans="6:21" ht="12.6">
      <c r="F1556" s="1002"/>
      <c r="G1556" s="1002"/>
      <c r="H1556" s="1002"/>
      <c r="I1556" s="1002"/>
      <c r="J1556" s="1002"/>
      <c r="K1556" s="1002"/>
      <c r="L1556" s="1002"/>
      <c r="M1556" s="1002"/>
      <c r="N1556" s="1002"/>
      <c r="O1556" s="1002"/>
      <c r="P1556" s="1002"/>
      <c r="Q1556" s="1002"/>
      <c r="R1556" s="1002"/>
      <c r="S1556" s="1002"/>
      <c r="T1556" s="1002"/>
      <c r="U1556" s="1002"/>
    </row>
    <row r="1557" spans="6:21" ht="12.6">
      <c r="F1557" s="1002"/>
      <c r="G1557" s="1002"/>
      <c r="H1557" s="1002"/>
      <c r="I1557" s="1002"/>
      <c r="J1557" s="1002"/>
      <c r="K1557" s="1002"/>
      <c r="L1557" s="1002"/>
      <c r="M1557" s="1002"/>
      <c r="N1557" s="1002"/>
      <c r="O1557" s="1002"/>
      <c r="P1557" s="1002"/>
      <c r="Q1557" s="1002"/>
      <c r="R1557" s="1002"/>
      <c r="S1557" s="1002"/>
      <c r="T1557" s="1002"/>
      <c r="U1557" s="1002"/>
    </row>
    <row r="1558" spans="6:21" ht="12.6">
      <c r="F1558" s="1002"/>
      <c r="G1558" s="1002"/>
      <c r="H1558" s="1002"/>
      <c r="I1558" s="1002"/>
      <c r="J1558" s="1002"/>
      <c r="K1558" s="1002"/>
      <c r="L1558" s="1002"/>
      <c r="M1558" s="1002"/>
      <c r="N1558" s="1002"/>
      <c r="O1558" s="1002"/>
      <c r="P1558" s="1002"/>
      <c r="Q1558" s="1002"/>
      <c r="R1558" s="1002"/>
      <c r="S1558" s="1002"/>
      <c r="T1558" s="1002"/>
      <c r="U1558" s="1002"/>
    </row>
    <row r="1559" spans="6:21" ht="12.6">
      <c r="F1559" s="1002"/>
      <c r="G1559" s="1002"/>
      <c r="H1559" s="1002"/>
      <c r="I1559" s="1002"/>
      <c r="J1559" s="1002"/>
      <c r="K1559" s="1002"/>
      <c r="L1559" s="1002"/>
      <c r="M1559" s="1002"/>
      <c r="N1559" s="1002"/>
      <c r="O1559" s="1002"/>
      <c r="P1559" s="1002"/>
      <c r="Q1559" s="1002"/>
      <c r="R1559" s="1002"/>
      <c r="S1559" s="1002"/>
      <c r="T1559" s="1002"/>
      <c r="U1559" s="1002"/>
    </row>
    <row r="1560" spans="6:21" ht="12.6">
      <c r="F1560" s="1002"/>
      <c r="G1560" s="1002"/>
      <c r="H1560" s="1002"/>
      <c r="I1560" s="1002"/>
      <c r="J1560" s="1002"/>
      <c r="K1560" s="1002"/>
      <c r="L1560" s="1002"/>
      <c r="M1560" s="1002"/>
      <c r="N1560" s="1002"/>
      <c r="O1560" s="1002"/>
      <c r="P1560" s="1002"/>
      <c r="Q1560" s="1002"/>
      <c r="R1560" s="1002"/>
      <c r="S1560" s="1002"/>
      <c r="T1560" s="1002"/>
      <c r="U1560" s="1002"/>
    </row>
    <row r="1561" spans="6:21" ht="12.6">
      <c r="F1561" s="1002"/>
      <c r="G1561" s="1002"/>
      <c r="H1561" s="1002"/>
      <c r="I1561" s="1002"/>
      <c r="J1561" s="1002"/>
      <c r="K1561" s="1002"/>
      <c r="L1561" s="1002"/>
      <c r="M1561" s="1002"/>
      <c r="N1561" s="1002"/>
      <c r="O1561" s="1002"/>
      <c r="P1561" s="1002"/>
      <c r="Q1561" s="1002"/>
      <c r="R1561" s="1002"/>
      <c r="S1561" s="1002"/>
      <c r="T1561" s="1002"/>
      <c r="U1561" s="1002"/>
    </row>
    <row r="1562" spans="6:21" ht="12.6">
      <c r="F1562" s="1002"/>
      <c r="G1562" s="1002"/>
      <c r="H1562" s="1002"/>
      <c r="I1562" s="1002"/>
      <c r="J1562" s="1002"/>
      <c r="K1562" s="1002"/>
      <c r="L1562" s="1002"/>
      <c r="M1562" s="1002"/>
      <c r="N1562" s="1002"/>
      <c r="O1562" s="1002"/>
      <c r="P1562" s="1002"/>
      <c r="Q1562" s="1002"/>
      <c r="R1562" s="1002"/>
      <c r="S1562" s="1002"/>
      <c r="T1562" s="1002"/>
      <c r="U1562" s="1002"/>
    </row>
    <row r="1563" spans="6:21" ht="12.6">
      <c r="F1563" s="1002"/>
      <c r="G1563" s="1002"/>
      <c r="H1563" s="1002"/>
      <c r="I1563" s="1002"/>
      <c r="J1563" s="1002"/>
      <c r="K1563" s="1002"/>
      <c r="L1563" s="1002"/>
      <c r="M1563" s="1002"/>
      <c r="N1563" s="1002"/>
      <c r="O1563" s="1002"/>
      <c r="P1563" s="1002"/>
      <c r="Q1563" s="1002"/>
      <c r="R1563" s="1002"/>
      <c r="S1563" s="1002"/>
      <c r="T1563" s="1002"/>
      <c r="U1563" s="1002"/>
    </row>
    <row r="1564" spans="6:21" ht="12.6">
      <c r="F1564" s="1002"/>
      <c r="G1564" s="1002"/>
      <c r="H1564" s="1002"/>
      <c r="I1564" s="1002"/>
      <c r="J1564" s="1002"/>
      <c r="K1564" s="1002"/>
      <c r="L1564" s="1002"/>
      <c r="M1564" s="1002"/>
      <c r="N1564" s="1002"/>
      <c r="O1564" s="1002"/>
      <c r="P1564" s="1002"/>
      <c r="Q1564" s="1002"/>
      <c r="R1564" s="1002"/>
      <c r="S1564" s="1002"/>
      <c r="T1564" s="1002"/>
      <c r="U1564" s="1002"/>
    </row>
    <row r="1565" spans="6:21" ht="12.6">
      <c r="F1565" s="1002"/>
      <c r="G1565" s="1002"/>
      <c r="H1565" s="1002"/>
      <c r="I1565" s="1002"/>
      <c r="J1565" s="1002"/>
      <c r="K1565" s="1002"/>
      <c r="L1565" s="1002"/>
      <c r="M1565" s="1002"/>
      <c r="N1565" s="1002"/>
      <c r="O1565" s="1002"/>
      <c r="P1565" s="1002"/>
      <c r="Q1565" s="1002"/>
      <c r="R1565" s="1002"/>
      <c r="S1565" s="1002"/>
      <c r="T1565" s="1002"/>
      <c r="U1565" s="1002"/>
    </row>
    <row r="1566" spans="6:21" ht="12.6">
      <c r="F1566" s="1002"/>
      <c r="G1566" s="1002"/>
      <c r="H1566" s="1002"/>
      <c r="I1566" s="1002"/>
      <c r="J1566" s="1002"/>
      <c r="K1566" s="1002"/>
      <c r="L1566" s="1002"/>
      <c r="M1566" s="1002"/>
      <c r="N1566" s="1002"/>
      <c r="O1566" s="1002"/>
      <c r="P1566" s="1002"/>
      <c r="Q1566" s="1002"/>
      <c r="R1566" s="1002"/>
      <c r="S1566" s="1002"/>
      <c r="T1566" s="1002"/>
      <c r="U1566" s="1002"/>
    </row>
    <row r="1567" spans="6:21" ht="12.6">
      <c r="F1567" s="1002"/>
      <c r="G1567" s="1002"/>
      <c r="H1567" s="1002"/>
      <c r="I1567" s="1002"/>
      <c r="J1567" s="1002"/>
      <c r="K1567" s="1002"/>
      <c r="L1567" s="1002"/>
      <c r="M1567" s="1002"/>
      <c r="N1567" s="1002"/>
      <c r="O1567" s="1002"/>
      <c r="P1567" s="1002"/>
      <c r="Q1567" s="1002"/>
      <c r="R1567" s="1002"/>
      <c r="S1567" s="1002"/>
      <c r="T1567" s="1002"/>
      <c r="U1567" s="1002"/>
    </row>
    <row r="1568" spans="6:21" ht="12.6">
      <c r="F1568" s="1002"/>
      <c r="G1568" s="1002"/>
      <c r="H1568" s="1002"/>
      <c r="I1568" s="1002"/>
      <c r="J1568" s="1002"/>
      <c r="K1568" s="1002"/>
      <c r="L1568" s="1002"/>
      <c r="M1568" s="1002"/>
      <c r="N1568" s="1002"/>
      <c r="O1568" s="1002"/>
      <c r="P1568" s="1002"/>
      <c r="Q1568" s="1002"/>
      <c r="R1568" s="1002"/>
      <c r="S1568" s="1002"/>
      <c r="T1568" s="1002"/>
      <c r="U1568" s="1002"/>
    </row>
    <row r="1569" spans="6:21" ht="12.6">
      <c r="F1569" s="1002"/>
      <c r="G1569" s="1002"/>
      <c r="H1569" s="1002"/>
      <c r="I1569" s="1002"/>
      <c r="J1569" s="1002"/>
      <c r="K1569" s="1002"/>
      <c r="L1569" s="1002"/>
      <c r="M1569" s="1002"/>
      <c r="N1569" s="1002"/>
      <c r="O1569" s="1002"/>
      <c r="P1569" s="1002"/>
      <c r="Q1569" s="1002"/>
      <c r="R1569" s="1002"/>
      <c r="S1569" s="1002"/>
      <c r="T1569" s="1002"/>
      <c r="U1569" s="1002"/>
    </row>
    <row r="1570" spans="6:21" ht="12.6">
      <c r="F1570" s="1002"/>
      <c r="G1570" s="1002"/>
      <c r="H1570" s="1002"/>
      <c r="I1570" s="1002"/>
      <c r="J1570" s="1002"/>
      <c r="K1570" s="1002"/>
      <c r="L1570" s="1002"/>
      <c r="M1570" s="1002"/>
      <c r="N1570" s="1002"/>
      <c r="O1570" s="1002"/>
      <c r="P1570" s="1002"/>
      <c r="Q1570" s="1002"/>
      <c r="R1570" s="1002"/>
      <c r="S1570" s="1002"/>
      <c r="T1570" s="1002"/>
      <c r="U1570" s="1002"/>
    </row>
    <row r="1571" spans="6:21" ht="12.6">
      <c r="F1571" s="1002"/>
      <c r="G1571" s="1002"/>
      <c r="H1571" s="1002"/>
      <c r="I1571" s="1002"/>
      <c r="J1571" s="1002"/>
      <c r="K1571" s="1002"/>
      <c r="L1571" s="1002"/>
      <c r="M1571" s="1002"/>
      <c r="N1571" s="1002"/>
      <c r="O1571" s="1002"/>
      <c r="P1571" s="1002"/>
      <c r="Q1571" s="1002"/>
      <c r="R1571" s="1002"/>
      <c r="S1571" s="1002"/>
      <c r="T1571" s="1002"/>
      <c r="U1571" s="1002"/>
    </row>
    <row r="1572" spans="6:21" ht="12.6">
      <c r="F1572" s="1002"/>
      <c r="G1572" s="1002"/>
      <c r="H1572" s="1002"/>
      <c r="I1572" s="1002"/>
      <c r="J1572" s="1002"/>
      <c r="K1572" s="1002"/>
      <c r="L1572" s="1002"/>
      <c r="M1572" s="1002"/>
      <c r="N1572" s="1002"/>
      <c r="O1572" s="1002"/>
      <c r="P1572" s="1002"/>
      <c r="Q1572" s="1002"/>
      <c r="R1572" s="1002"/>
      <c r="S1572" s="1002"/>
      <c r="T1572" s="1002"/>
      <c r="U1572" s="1002"/>
    </row>
    <row r="1573" spans="6:21" ht="12.6">
      <c r="F1573" s="1002"/>
      <c r="G1573" s="1002"/>
      <c r="H1573" s="1002"/>
      <c r="I1573" s="1002"/>
      <c r="J1573" s="1002"/>
      <c r="K1573" s="1002"/>
      <c r="L1573" s="1002"/>
      <c r="M1573" s="1002"/>
      <c r="N1573" s="1002"/>
      <c r="O1573" s="1002"/>
      <c r="P1573" s="1002"/>
      <c r="Q1573" s="1002"/>
      <c r="R1573" s="1002"/>
      <c r="S1573" s="1002"/>
      <c r="T1573" s="1002"/>
      <c r="U1573" s="1002"/>
    </row>
    <row r="1574" spans="6:21" ht="12.6">
      <c r="F1574" s="1002"/>
      <c r="G1574" s="1002"/>
      <c r="H1574" s="1002"/>
      <c r="I1574" s="1002"/>
      <c r="J1574" s="1002"/>
      <c r="K1574" s="1002"/>
      <c r="L1574" s="1002"/>
      <c r="M1574" s="1002"/>
      <c r="N1574" s="1002"/>
      <c r="O1574" s="1002"/>
      <c r="P1574" s="1002"/>
      <c r="Q1574" s="1002"/>
      <c r="R1574" s="1002"/>
      <c r="S1574" s="1002"/>
      <c r="T1574" s="1002"/>
      <c r="U1574" s="1002"/>
    </row>
    <row r="1575" spans="6:21" ht="12.6">
      <c r="F1575" s="1002"/>
      <c r="G1575" s="1002"/>
      <c r="H1575" s="1002"/>
      <c r="I1575" s="1002"/>
      <c r="J1575" s="1002"/>
      <c r="K1575" s="1002"/>
      <c r="L1575" s="1002"/>
      <c r="M1575" s="1002"/>
      <c r="N1575" s="1002"/>
      <c r="O1575" s="1002"/>
      <c r="P1575" s="1002"/>
      <c r="Q1575" s="1002"/>
      <c r="R1575" s="1002"/>
      <c r="S1575" s="1002"/>
      <c r="T1575" s="1002"/>
      <c r="U1575" s="1002"/>
    </row>
    <row r="1576" spans="6:21" ht="12.6">
      <c r="F1576" s="1002"/>
      <c r="G1576" s="1002"/>
      <c r="H1576" s="1002"/>
      <c r="I1576" s="1002"/>
      <c r="J1576" s="1002"/>
      <c r="K1576" s="1002"/>
      <c r="L1576" s="1002"/>
      <c r="M1576" s="1002"/>
      <c r="N1576" s="1002"/>
      <c r="O1576" s="1002"/>
      <c r="P1576" s="1002"/>
      <c r="Q1576" s="1002"/>
      <c r="R1576" s="1002"/>
      <c r="S1576" s="1002"/>
      <c r="T1576" s="1002"/>
      <c r="U1576" s="1002"/>
    </row>
    <row r="1577" spans="6:21" ht="12.6">
      <c r="F1577" s="1002"/>
      <c r="G1577" s="1002"/>
      <c r="H1577" s="1002"/>
      <c r="I1577" s="1002"/>
      <c r="J1577" s="1002"/>
      <c r="K1577" s="1002"/>
      <c r="L1577" s="1002"/>
      <c r="M1577" s="1002"/>
      <c r="N1577" s="1002"/>
      <c r="O1577" s="1002"/>
      <c r="P1577" s="1002"/>
      <c r="Q1577" s="1002"/>
      <c r="R1577" s="1002"/>
      <c r="S1577" s="1002"/>
      <c r="T1577" s="1002"/>
      <c r="U1577" s="1002"/>
    </row>
    <row r="1578" spans="6:21" ht="12.6">
      <c r="F1578" s="1002"/>
      <c r="G1578" s="1002"/>
      <c r="H1578" s="1002"/>
      <c r="I1578" s="1002"/>
      <c r="J1578" s="1002"/>
      <c r="K1578" s="1002"/>
      <c r="L1578" s="1002"/>
      <c r="M1578" s="1002"/>
      <c r="N1578" s="1002"/>
      <c r="O1578" s="1002"/>
      <c r="P1578" s="1002"/>
      <c r="Q1578" s="1002"/>
      <c r="R1578" s="1002"/>
      <c r="S1578" s="1002"/>
      <c r="T1578" s="1002"/>
      <c r="U1578" s="1002"/>
    </row>
    <row r="1579" spans="6:21" ht="12.6">
      <c r="F1579" s="1002"/>
      <c r="G1579" s="1002"/>
      <c r="H1579" s="1002"/>
      <c r="I1579" s="1002"/>
      <c r="J1579" s="1002"/>
      <c r="K1579" s="1002"/>
      <c r="L1579" s="1002"/>
      <c r="M1579" s="1002"/>
      <c r="N1579" s="1002"/>
      <c r="O1579" s="1002"/>
      <c r="P1579" s="1002"/>
      <c r="Q1579" s="1002"/>
      <c r="R1579" s="1002"/>
      <c r="S1579" s="1002"/>
      <c r="T1579" s="1002"/>
      <c r="U1579" s="1002"/>
    </row>
    <row r="1580" spans="6:21" ht="12.6">
      <c r="F1580" s="1002"/>
      <c r="G1580" s="1002"/>
      <c r="H1580" s="1002"/>
      <c r="I1580" s="1002"/>
      <c r="J1580" s="1002"/>
      <c r="K1580" s="1002"/>
      <c r="L1580" s="1002"/>
      <c r="M1580" s="1002"/>
      <c r="N1580" s="1002"/>
      <c r="O1580" s="1002"/>
      <c r="P1580" s="1002"/>
      <c r="Q1580" s="1002"/>
      <c r="R1580" s="1002"/>
      <c r="S1580" s="1002"/>
      <c r="T1580" s="1002"/>
      <c r="U1580" s="1002"/>
    </row>
    <row r="1581" spans="6:21" ht="12.6">
      <c r="F1581" s="1002"/>
      <c r="G1581" s="1002"/>
      <c r="H1581" s="1002"/>
      <c r="I1581" s="1002"/>
      <c r="J1581" s="1002"/>
      <c r="K1581" s="1002"/>
      <c r="L1581" s="1002"/>
      <c r="M1581" s="1002"/>
      <c r="N1581" s="1002"/>
      <c r="O1581" s="1002"/>
      <c r="P1581" s="1002"/>
      <c r="Q1581" s="1002"/>
      <c r="R1581" s="1002"/>
      <c r="S1581" s="1002"/>
      <c r="T1581" s="1002"/>
      <c r="U1581" s="1002"/>
    </row>
    <row r="1582" spans="6:21" ht="12.6">
      <c r="F1582" s="1002"/>
      <c r="G1582" s="1002"/>
      <c r="H1582" s="1002"/>
      <c r="I1582" s="1002"/>
      <c r="J1582" s="1002"/>
      <c r="K1582" s="1002"/>
      <c r="L1582" s="1002"/>
      <c r="M1582" s="1002"/>
      <c r="N1582" s="1002"/>
      <c r="O1582" s="1002"/>
      <c r="P1582" s="1002"/>
      <c r="Q1582" s="1002"/>
      <c r="R1582" s="1002"/>
      <c r="S1582" s="1002"/>
      <c r="T1582" s="1002"/>
      <c r="U1582" s="1002"/>
    </row>
    <row r="1583" spans="6:21" ht="12.6">
      <c r="F1583" s="1002"/>
      <c r="G1583" s="1002"/>
      <c r="H1583" s="1002"/>
      <c r="I1583" s="1002"/>
      <c r="J1583" s="1002"/>
      <c r="K1583" s="1002"/>
      <c r="L1583" s="1002"/>
      <c r="M1583" s="1002"/>
      <c r="N1583" s="1002"/>
      <c r="O1583" s="1002"/>
      <c r="P1583" s="1002"/>
      <c r="Q1583" s="1002"/>
      <c r="R1583" s="1002"/>
      <c r="S1583" s="1002"/>
      <c r="T1583" s="1002"/>
      <c r="U1583" s="1002"/>
    </row>
    <row r="1584" spans="6:21" ht="12.6">
      <c r="F1584" s="1002"/>
      <c r="G1584" s="1002"/>
      <c r="H1584" s="1002"/>
      <c r="I1584" s="1002"/>
      <c r="J1584" s="1002"/>
      <c r="K1584" s="1002"/>
      <c r="L1584" s="1002"/>
      <c r="M1584" s="1002"/>
      <c r="N1584" s="1002"/>
      <c r="O1584" s="1002"/>
      <c r="P1584" s="1002"/>
      <c r="Q1584" s="1002"/>
      <c r="R1584" s="1002"/>
      <c r="S1584" s="1002"/>
      <c r="T1584" s="1002"/>
      <c r="U1584" s="1002"/>
    </row>
    <row r="1586" spans="21:21">
      <c r="U1586" s="1003"/>
    </row>
    <row r="1587" spans="21:21">
      <c r="U1587" s="1003"/>
    </row>
  </sheetData>
  <autoFilter ref="A14:AN932" xr:uid="{00000000-0009-0000-0000-000002000000}"/>
  <mergeCells count="10">
    <mergeCell ref="C1304:L1307"/>
    <mergeCell ref="C1308:L1308"/>
    <mergeCell ref="A1322:D1322"/>
    <mergeCell ref="A1323:D1323"/>
    <mergeCell ref="K2:L2"/>
    <mergeCell ref="B4:L7"/>
    <mergeCell ref="B1274:I1281"/>
    <mergeCell ref="C1298:L1298"/>
    <mergeCell ref="C1299:L1300"/>
    <mergeCell ref="C1301:L1303"/>
  </mergeCells>
  <phoneticPr fontId="0" type="noConversion"/>
  <conditionalFormatting sqref="AN17">
    <cfRule type="expression" dxfId="62" priority="1">
      <formula>AM17&lt;&gt;"IE"</formula>
    </cfRule>
  </conditionalFormatting>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671C8-72FF-4CEC-93D0-99BCB6525C85}">
  <dimension ref="A1:BZ38"/>
  <sheetViews>
    <sheetView tabSelected="1" topLeftCell="G5" workbookViewId="0">
      <selection activeCell="P17" sqref="P17"/>
    </sheetView>
  </sheetViews>
  <sheetFormatPr defaultColWidth="10.6640625" defaultRowHeight="15.6"/>
  <cols>
    <col min="1" max="1" width="21.6640625" style="1088" customWidth="1"/>
    <col min="2" max="2" width="29.83203125" style="1088" customWidth="1"/>
    <col min="3" max="3" width="36.6640625" style="1088" bestFit="1" customWidth="1"/>
    <col min="4" max="4" width="32.6640625" style="1088" customWidth="1"/>
    <col min="5" max="5" width="27.5" style="1088" bestFit="1" customWidth="1"/>
    <col min="6" max="6" width="23" style="1088" bestFit="1" customWidth="1"/>
    <col min="7" max="8" width="18.33203125" style="1088" customWidth="1"/>
    <col min="9" max="9" width="20.1640625" style="1088" customWidth="1"/>
    <col min="10" max="10" width="12.5" style="1088" customWidth="1"/>
    <col min="11" max="11" width="14.5" style="1088" customWidth="1"/>
    <col min="12" max="12" width="10.33203125" style="1088" customWidth="1"/>
    <col min="13" max="13" width="11" style="1088" customWidth="1"/>
    <col min="14" max="14" width="50.83203125" style="1088" customWidth="1"/>
    <col min="15" max="15" width="55.33203125" style="1088" customWidth="1"/>
    <col min="16" max="16" width="40.83203125" style="1088" customWidth="1"/>
    <col min="17" max="17" width="27.1640625" style="1088" customWidth="1"/>
    <col min="18" max="19" width="10.6640625" style="1088"/>
    <col min="20" max="46" width="11.83203125" style="1088" customWidth="1"/>
    <col min="47" max="47" width="13.5" style="1088" customWidth="1"/>
    <col min="48" max="48" width="13" style="1088" customWidth="1"/>
    <col min="49" max="51" width="11.1640625" style="1088" bestFit="1" customWidth="1"/>
    <col min="52" max="52" width="13.83203125" style="1088" customWidth="1"/>
    <col min="53" max="53" width="11.5" style="1088" customWidth="1"/>
    <col min="54" max="61" width="11.1640625" style="1088" hidden="1" customWidth="1"/>
    <col min="62" max="68" width="10.6640625" style="1088"/>
    <col min="69" max="69" width="16.1640625" style="1088" customWidth="1"/>
    <col min="70" max="70" width="13.83203125" style="1088" customWidth="1"/>
    <col min="71" max="71" width="36.33203125" style="1088" customWidth="1"/>
    <col min="72" max="72" width="21.6640625" style="1088" customWidth="1"/>
    <col min="73" max="73" width="21.5" style="1088" customWidth="1"/>
    <col min="74" max="74" width="22.33203125" style="1088" customWidth="1"/>
    <col min="75" max="75" width="21.5" style="1088" customWidth="1"/>
    <col min="76" max="78" width="11.1640625" style="1088" customWidth="1"/>
    <col min="79" max="16384" width="10.6640625" style="1088"/>
  </cols>
  <sheetData>
    <row r="1" spans="1:78">
      <c r="A1" s="1086" t="s">
        <v>1396</v>
      </c>
      <c r="B1" s="1087"/>
      <c r="R1" s="1089"/>
      <c r="S1" s="1089"/>
    </row>
    <row r="2" spans="1:78" ht="15.95" thickBot="1">
      <c r="B2" s="1087"/>
      <c r="BQ2" s="1090"/>
      <c r="BR2" s="1090"/>
      <c r="BS2" s="1090"/>
      <c r="BT2" s="1090"/>
      <c r="BU2" s="1090"/>
      <c r="BV2" s="1090"/>
      <c r="BW2" s="1090"/>
      <c r="BX2" s="1090"/>
      <c r="BZ2" s="1090"/>
    </row>
    <row r="3" spans="1:78" ht="15.95" thickBot="1">
      <c r="A3" s="1189" t="s">
        <v>1397</v>
      </c>
      <c r="B3" s="1190"/>
      <c r="C3" s="1190"/>
      <c r="D3" s="1190"/>
      <c r="E3" s="1190"/>
      <c r="F3" s="1190"/>
      <c r="G3" s="1190"/>
      <c r="H3" s="1191"/>
      <c r="J3" s="1091" t="s">
        <v>1398</v>
      </c>
      <c r="K3" s="1092"/>
    </row>
    <row r="4" spans="1:78">
      <c r="A4" s="1192" t="s">
        <v>1399</v>
      </c>
      <c r="B4" s="1193"/>
      <c r="C4" s="1193"/>
      <c r="D4" s="1193"/>
      <c r="E4" s="1193"/>
      <c r="F4" s="1193"/>
      <c r="G4" s="1193"/>
      <c r="H4" s="1194"/>
      <c r="J4" s="1093" t="s">
        <v>1400</v>
      </c>
      <c r="K4" s="1094">
        <v>1000</v>
      </c>
    </row>
    <row r="5" spans="1:78" ht="43.5" customHeight="1" thickBot="1">
      <c r="A5" s="1195"/>
      <c r="B5" s="1196"/>
      <c r="C5" s="1196"/>
      <c r="D5" s="1196"/>
      <c r="E5" s="1196"/>
      <c r="F5" s="1196"/>
      <c r="G5" s="1196"/>
      <c r="H5" s="1197"/>
      <c r="J5" s="1093" t="s">
        <v>1401</v>
      </c>
      <c r="K5" s="1094">
        <v>-1</v>
      </c>
    </row>
    <row r="6" spans="1:78">
      <c r="J6" s="1093" t="s">
        <v>1402</v>
      </c>
      <c r="K6" s="1094"/>
    </row>
    <row r="7" spans="1:78" ht="15.95" thickBot="1"/>
    <row r="8" spans="1:78">
      <c r="A8" s="1198" t="s">
        <v>1403</v>
      </c>
      <c r="B8" s="1199"/>
      <c r="C8" s="1200" t="s">
        <v>1404</v>
      </c>
      <c r="D8" s="1201"/>
      <c r="E8" s="1202"/>
      <c r="F8" s="1095"/>
      <c r="G8" s="1095"/>
      <c r="H8" s="1095"/>
      <c r="I8" s="1095"/>
    </row>
    <row r="9" spans="1:78">
      <c r="A9" s="1203" t="s">
        <v>1405</v>
      </c>
      <c r="B9" s="1204"/>
      <c r="C9" s="1205" t="s">
        <v>1406</v>
      </c>
      <c r="D9" s="1206"/>
      <c r="E9" s="1207"/>
      <c r="F9" s="1095"/>
      <c r="G9" s="1095"/>
      <c r="H9" s="1095"/>
      <c r="I9" s="1095"/>
    </row>
    <row r="10" spans="1:78">
      <c r="A10" s="1176" t="s">
        <v>1407</v>
      </c>
      <c r="B10" s="1177"/>
      <c r="C10" s="1178" t="s">
        <v>1408</v>
      </c>
      <c r="D10" s="1179"/>
      <c r="E10" s="1180"/>
      <c r="F10" s="1096"/>
      <c r="G10" s="1096"/>
      <c r="H10" s="1096"/>
      <c r="I10" s="1096"/>
    </row>
    <row r="11" spans="1:78">
      <c r="A11" s="1181" t="s">
        <v>1409</v>
      </c>
      <c r="B11" s="1182"/>
      <c r="C11" s="1183">
        <v>2024</v>
      </c>
      <c r="D11" s="1179"/>
      <c r="E11" s="1180"/>
      <c r="F11" s="1096"/>
      <c r="G11" s="1096"/>
      <c r="H11" s="1096"/>
      <c r="I11" s="1096"/>
    </row>
    <row r="12" spans="1:78" ht="15.95" thickBot="1">
      <c r="A12" s="1184" t="s">
        <v>1410</v>
      </c>
      <c r="B12" s="1185"/>
      <c r="C12" s="1186"/>
      <c r="D12" s="1187"/>
      <c r="E12" s="1188"/>
      <c r="F12" s="1095"/>
      <c r="G12" s="1095"/>
      <c r="H12" s="1095"/>
      <c r="I12" s="1095"/>
      <c r="J12" s="1095"/>
      <c r="K12" s="1095"/>
      <c r="T12" s="1087"/>
      <c r="U12" s="1087"/>
      <c r="X12" s="1097"/>
      <c r="BQ12" s="1090"/>
      <c r="BR12" s="1090"/>
    </row>
    <row r="13" spans="1:78">
      <c r="T13" s="1098"/>
      <c r="U13" s="1098"/>
      <c r="V13" s="1098"/>
      <c r="W13" s="1098"/>
      <c r="X13" s="1098"/>
      <c r="Y13" s="1098"/>
      <c r="Z13" s="1098"/>
      <c r="AA13" s="1098"/>
      <c r="AB13" s="1098"/>
      <c r="AC13" s="1098"/>
      <c r="AD13" s="1098"/>
      <c r="AE13" s="1098"/>
      <c r="AF13" s="1098"/>
      <c r="AG13" s="1098"/>
      <c r="AH13" s="1098"/>
      <c r="AI13" s="1098"/>
      <c r="AJ13" s="1098"/>
      <c r="AK13" s="1098"/>
      <c r="AL13" s="1098"/>
      <c r="AM13" s="1098"/>
      <c r="AN13" s="1098"/>
      <c r="AO13" s="1098"/>
      <c r="AP13" s="1098"/>
      <c r="AQ13" s="1098"/>
      <c r="AR13" s="1098"/>
      <c r="AS13" s="1098"/>
      <c r="AT13" s="1098"/>
      <c r="AU13" s="1098"/>
      <c r="AV13" s="1098"/>
      <c r="AW13" s="1098"/>
      <c r="AX13" s="1098"/>
      <c r="AY13" s="1098"/>
    </row>
    <row r="14" spans="1:78">
      <c r="T14" s="1099"/>
      <c r="U14" s="1099"/>
      <c r="V14" s="1099"/>
      <c r="W14" s="1099"/>
      <c r="X14" s="1099"/>
      <c r="Y14" s="1099"/>
      <c r="Z14" s="1099"/>
      <c r="AA14" s="1099"/>
      <c r="AB14" s="1099"/>
      <c r="AC14" s="1099"/>
      <c r="AD14" s="1099"/>
      <c r="AE14" s="1099"/>
      <c r="AF14" s="1099"/>
      <c r="AG14" s="1099"/>
      <c r="AH14" s="1099"/>
      <c r="AI14" s="1099"/>
      <c r="AJ14" s="1099"/>
      <c r="AK14" s="1099"/>
      <c r="AL14" s="1099"/>
      <c r="AM14" s="1099"/>
      <c r="AN14" s="1099"/>
      <c r="AO14" s="1099"/>
      <c r="AP14" s="1099"/>
      <c r="AQ14" s="1099"/>
      <c r="AR14" s="1099"/>
      <c r="AS14" s="1099"/>
      <c r="AT14" s="1099"/>
      <c r="AU14" s="1099"/>
      <c r="AV14" s="1099"/>
      <c r="AW14" s="1099"/>
      <c r="AX14" s="1099"/>
      <c r="AY14" s="1099"/>
      <c r="BB14" s="1174" t="s">
        <v>1411</v>
      </c>
      <c r="BC14" s="1174"/>
      <c r="BD14" s="1174"/>
      <c r="BE14" s="1174"/>
      <c r="BF14" s="1174"/>
      <c r="BG14" s="1174"/>
      <c r="BH14" s="1174"/>
      <c r="BI14" s="1174"/>
    </row>
    <row r="15" spans="1:78">
      <c r="A15" s="1100"/>
      <c r="R15" s="1101"/>
      <c r="S15" s="1101"/>
      <c r="T15" s="1099"/>
      <c r="U15" s="1099"/>
      <c r="V15" s="1099"/>
      <c r="W15" s="1099"/>
      <c r="X15" s="1099"/>
      <c r="Y15" s="1099"/>
      <c r="Z15" s="1099"/>
      <c r="AA15" s="1099"/>
      <c r="AB15" s="1099"/>
      <c r="AC15" s="1099"/>
      <c r="AD15" s="1099"/>
      <c r="AE15" s="1099"/>
      <c r="AF15" s="1099"/>
      <c r="AG15" s="1099"/>
      <c r="AH15" s="1099"/>
      <c r="AI15" s="1099"/>
      <c r="AJ15" s="1099"/>
      <c r="AK15" s="1099"/>
      <c r="AL15" s="1099"/>
      <c r="AM15" s="1099"/>
      <c r="AN15" s="1099"/>
      <c r="AO15" s="1099"/>
      <c r="AP15" s="1099"/>
      <c r="AQ15" s="1099"/>
      <c r="AR15" s="1099"/>
      <c r="AS15" s="1099"/>
      <c r="AT15" s="1099"/>
      <c r="AU15" s="1099"/>
      <c r="AV15" s="1099"/>
      <c r="AW15" s="1099"/>
      <c r="AX15" s="1099"/>
      <c r="AY15" s="1099"/>
      <c r="BB15" s="1175"/>
      <c r="BC15" s="1175"/>
      <c r="BD15" s="1175"/>
      <c r="BE15" s="1175"/>
      <c r="BF15" s="1175"/>
      <c r="BG15" s="1175"/>
      <c r="BH15" s="1175"/>
      <c r="BI15" s="1175"/>
    </row>
    <row r="16" spans="1:78" ht="30.95">
      <c r="A16" s="1102" t="s">
        <v>1412</v>
      </c>
      <c r="B16" s="1102" t="s">
        <v>1413</v>
      </c>
      <c r="C16" s="1103" t="s">
        <v>1414</v>
      </c>
      <c r="D16" s="1102" t="s">
        <v>1415</v>
      </c>
      <c r="E16" s="1102" t="s">
        <v>1416</v>
      </c>
      <c r="F16" s="1102" t="s">
        <v>1417</v>
      </c>
      <c r="G16" s="1102" t="s">
        <v>1418</v>
      </c>
      <c r="H16" s="1102" t="s">
        <v>1419</v>
      </c>
      <c r="I16" s="1102" t="s">
        <v>1420</v>
      </c>
      <c r="J16" s="1102" t="s">
        <v>1421</v>
      </c>
      <c r="K16" s="1102" t="s">
        <v>1422</v>
      </c>
      <c r="L16" s="1102" t="s">
        <v>1423</v>
      </c>
      <c r="M16" s="1102" t="s">
        <v>1424</v>
      </c>
      <c r="N16" s="1102" t="s">
        <v>1425</v>
      </c>
      <c r="O16" s="1102" t="s">
        <v>1426</v>
      </c>
      <c r="P16" s="1103" t="s">
        <v>1427</v>
      </c>
      <c r="Q16" s="1103" t="s">
        <v>1428</v>
      </c>
      <c r="R16" s="1103" t="s">
        <v>1429</v>
      </c>
      <c r="S16" s="1102" t="s">
        <v>1430</v>
      </c>
      <c r="T16" s="1102" t="s">
        <v>1431</v>
      </c>
      <c r="U16" s="1104">
        <v>1990</v>
      </c>
      <c r="V16" s="1104">
        <v>1991</v>
      </c>
      <c r="W16" s="1104">
        <v>1992</v>
      </c>
      <c r="X16" s="1104">
        <v>1993</v>
      </c>
      <c r="Y16" s="1104">
        <v>1994</v>
      </c>
      <c r="Z16" s="1104">
        <v>1995</v>
      </c>
      <c r="AA16" s="1104">
        <v>1996</v>
      </c>
      <c r="AB16" s="1104">
        <v>1997</v>
      </c>
      <c r="AC16" s="1104">
        <v>1998</v>
      </c>
      <c r="AD16" s="1104">
        <v>1999</v>
      </c>
      <c r="AE16" s="1104">
        <v>2000</v>
      </c>
      <c r="AF16" s="1104">
        <v>2001</v>
      </c>
      <c r="AG16" s="1104">
        <v>2002</v>
      </c>
      <c r="AH16" s="1104">
        <v>2003</v>
      </c>
      <c r="AI16" s="1104">
        <v>2004</v>
      </c>
      <c r="AJ16" s="1104">
        <v>2005</v>
      </c>
      <c r="AK16" s="1104">
        <v>2006</v>
      </c>
      <c r="AL16" s="1104">
        <v>2007</v>
      </c>
      <c r="AM16" s="1104">
        <v>2008</v>
      </c>
      <c r="AN16" s="1104">
        <v>2009</v>
      </c>
      <c r="AO16" s="1104">
        <v>2010</v>
      </c>
      <c r="AP16" s="1104">
        <v>2011</v>
      </c>
      <c r="AQ16" s="1104">
        <v>2012</v>
      </c>
      <c r="AR16" s="1104">
        <v>2013</v>
      </c>
      <c r="AS16" s="1104">
        <v>2014</v>
      </c>
      <c r="AT16" s="1104">
        <v>2015</v>
      </c>
      <c r="AU16" s="1104">
        <v>2016</v>
      </c>
      <c r="AV16" s="1104">
        <v>2017</v>
      </c>
      <c r="AW16" s="1104">
        <v>2018</v>
      </c>
      <c r="AX16" s="1104">
        <v>2019</v>
      </c>
      <c r="AY16" s="1104">
        <v>2020</v>
      </c>
      <c r="AZ16" s="1104">
        <v>2021</v>
      </c>
      <c r="BA16" s="1104">
        <v>2022</v>
      </c>
      <c r="BB16" s="1105">
        <v>2023</v>
      </c>
      <c r="BC16" s="1105">
        <v>2024</v>
      </c>
      <c r="BD16" s="1105">
        <v>2025</v>
      </c>
      <c r="BE16" s="1105">
        <v>2026</v>
      </c>
      <c r="BF16" s="1105">
        <v>2027</v>
      </c>
      <c r="BG16" s="1105">
        <v>2028</v>
      </c>
      <c r="BH16" s="1105">
        <v>2029</v>
      </c>
      <c r="BI16" s="1105">
        <v>2030</v>
      </c>
    </row>
    <row r="17" spans="1:53">
      <c r="A17" s="1092" t="s">
        <v>1430</v>
      </c>
      <c r="B17" s="1092" t="s">
        <v>1432</v>
      </c>
      <c r="C17" s="1092" t="s">
        <v>1433</v>
      </c>
      <c r="D17" s="1092" t="s">
        <v>1434</v>
      </c>
      <c r="E17" s="1092"/>
      <c r="F17" s="1092"/>
      <c r="G17" s="1092"/>
      <c r="H17" s="1092"/>
      <c r="I17" s="1092"/>
      <c r="J17" s="1092"/>
      <c r="K17" s="1092" t="s">
        <v>1435</v>
      </c>
      <c r="L17" s="1092"/>
      <c r="M17" s="1106" t="s">
        <v>1436</v>
      </c>
      <c r="N17" s="1107"/>
      <c r="O17" s="1106" t="s">
        <v>1437</v>
      </c>
      <c r="P17" s="1106"/>
      <c r="Q17" s="1108"/>
      <c r="R17" s="1109" t="s">
        <v>1438</v>
      </c>
      <c r="S17" s="1127" t="s">
        <v>129</v>
      </c>
      <c r="T17" s="1104">
        <v>1</v>
      </c>
      <c r="U17" s="1110">
        <f>('Summary Table'!C8)</f>
        <v>2.9876952520607118</v>
      </c>
      <c r="V17" s="1110">
        <f>('Summary Table'!D8)</f>
        <v>2.4418665673276769</v>
      </c>
      <c r="W17" s="1110">
        <f>('Summary Table'!E8)</f>
        <v>2.4754382193886699</v>
      </c>
      <c r="X17" s="1110">
        <f>('Summary Table'!F8)</f>
        <v>2.4697527866952389</v>
      </c>
      <c r="Y17" s="1110">
        <f>('Summary Table'!G8)</f>
        <v>1.9941820840028137</v>
      </c>
      <c r="Z17" s="1110">
        <f>('Summary Table'!H8)</f>
        <v>1.6716718149582452</v>
      </c>
      <c r="AA17" s="1110">
        <f>('Summary Table'!I8)</f>
        <v>1.5825801930815993</v>
      </c>
      <c r="AB17" s="1110">
        <f>('Summary Table'!J8)</f>
        <v>1.5181715699565763</v>
      </c>
      <c r="AC17" s="1110">
        <f>('Summary Table'!K8)</f>
        <v>1.1032453604176209</v>
      </c>
      <c r="AD17" s="1110">
        <f>('Summary Table'!L8)</f>
        <v>1.3314380787302316</v>
      </c>
      <c r="AE17" s="1110">
        <f>('Summary Table'!M8)</f>
        <v>1.0827568764835389</v>
      </c>
      <c r="AF17" s="1110">
        <f>('Summary Table'!N8)</f>
        <v>1.1408450183687231</v>
      </c>
      <c r="AG17" s="1110">
        <f>('Summary Table'!O8)</f>
        <v>1.1660507086849294</v>
      </c>
      <c r="AH17" s="1110">
        <f>('Summary Table'!P8)</f>
        <v>1.1687672828281666</v>
      </c>
      <c r="AI17" s="1110">
        <f>('Summary Table'!Q8)</f>
        <v>1.0852533688090795</v>
      </c>
      <c r="AJ17" s="1110">
        <f>('Summary Table'!R8)</f>
        <v>0.80525533457459764</v>
      </c>
      <c r="AK17" s="1110">
        <f>('Summary Table'!S8)</f>
        <v>0.61705166323197502</v>
      </c>
      <c r="AL17" s="1110">
        <f>('Summary Table'!T8)</f>
        <v>0.73943487324772961</v>
      </c>
      <c r="AM17" s="1110">
        <f>('Summary Table'!U8)</f>
        <v>0</v>
      </c>
      <c r="AN17" s="1110">
        <f>('Summary Table'!V8)</f>
        <v>0</v>
      </c>
      <c r="AO17" s="1110">
        <f>('Summary Table'!W8)</f>
        <v>0</v>
      </c>
      <c r="AP17" s="1110">
        <f>('Summary Table'!X8)</f>
        <v>0</v>
      </c>
      <c r="AQ17" s="1110">
        <f>('Summary Table'!Y8)</f>
        <v>0</v>
      </c>
      <c r="AR17" s="1110">
        <f>('Summary Table'!Z8)</f>
        <v>0</v>
      </c>
      <c r="AS17" s="1110">
        <f>('Summary Table'!AA8)</f>
        <v>0</v>
      </c>
      <c r="AT17" s="1110">
        <f>('Summary Table'!AB8)</f>
        <v>0</v>
      </c>
      <c r="AU17" s="1110">
        <f>('Summary Table'!AC8)</f>
        <v>0</v>
      </c>
      <c r="AV17" s="1110">
        <f>('Summary Table'!AD8)</f>
        <v>0</v>
      </c>
      <c r="AW17" s="1110">
        <f>('Summary Table'!AE8)</f>
        <v>0</v>
      </c>
      <c r="AX17" s="1110">
        <f>('Summary Table'!AF8)</f>
        <v>0</v>
      </c>
      <c r="AY17" s="1110">
        <f>('Summary Table'!AG8)</f>
        <v>0</v>
      </c>
      <c r="AZ17" s="1110">
        <f>('Summary Table'!AH8)</f>
        <v>0</v>
      </c>
      <c r="BA17" s="1110">
        <f>('Summary Table'!AI8)</f>
        <v>0</v>
      </c>
    </row>
    <row r="18" spans="1:53">
      <c r="A18" s="1092" t="s">
        <v>1430</v>
      </c>
      <c r="B18" s="1092" t="s">
        <v>1432</v>
      </c>
      <c r="C18" s="1092" t="s">
        <v>1433</v>
      </c>
      <c r="D18" s="1092" t="s">
        <v>1434</v>
      </c>
      <c r="E18" s="1092"/>
      <c r="F18" s="1092"/>
      <c r="G18" s="1092"/>
      <c r="H18" s="1092"/>
      <c r="I18" s="1092"/>
      <c r="J18" s="1092"/>
      <c r="K18" s="1092" t="s">
        <v>1439</v>
      </c>
      <c r="L18" s="1092"/>
      <c r="M18" s="1106" t="s">
        <v>1436</v>
      </c>
      <c r="N18" s="1106"/>
      <c r="O18" s="1106" t="s">
        <v>1437</v>
      </c>
      <c r="P18" s="1106"/>
      <c r="Q18" s="1106"/>
      <c r="R18" s="1109" t="s">
        <v>1438</v>
      </c>
      <c r="S18" s="1127" t="s">
        <v>129</v>
      </c>
      <c r="T18" s="1104">
        <v>1</v>
      </c>
      <c r="U18" s="1110">
        <f>('Summary Table'!C15)</f>
        <v>237.79751316701928</v>
      </c>
      <c r="V18" s="1110">
        <f>('Summary Table'!D15)</f>
        <v>247.3163708646733</v>
      </c>
      <c r="W18" s="1110">
        <f>('Summary Table'!E15)</f>
        <v>254.59497787985759</v>
      </c>
      <c r="X18" s="1110">
        <f>('Summary Table'!F15)</f>
        <v>268.22932615115491</v>
      </c>
      <c r="Y18" s="1110">
        <f>('Summary Table'!G15)</f>
        <v>262.94355944535857</v>
      </c>
      <c r="Z18" s="1110">
        <f>('Summary Table'!H15)</f>
        <v>262.76570850496319</v>
      </c>
      <c r="AA18" s="1110">
        <f>('Summary Table'!I15)</f>
        <v>283.99195492868381</v>
      </c>
      <c r="AB18" s="1110">
        <f>('Summary Table'!J15)</f>
        <v>270.12382236394063</v>
      </c>
      <c r="AC18" s="1110">
        <f>('Summary Table'!K15)</f>
        <v>246.13967860387044</v>
      </c>
      <c r="AD18" s="1110">
        <f>('Summary Table'!L15)</f>
        <v>256.37921536804282</v>
      </c>
      <c r="AE18" s="1110">
        <f>('Summary Table'!M15)</f>
        <v>270.80589926201588</v>
      </c>
      <c r="AF18" s="1110">
        <f>('Summary Table'!N15)</f>
        <v>259.1889647876601</v>
      </c>
      <c r="AG18" s="1110">
        <f>('Summary Table'!O15)</f>
        <v>265.05318507540636</v>
      </c>
      <c r="AH18" s="1110">
        <f>('Summary Table'!P15)</f>
        <v>276.17534859880868</v>
      </c>
      <c r="AI18" s="1110">
        <f>('Summary Table'!Q15)</f>
        <v>264.17877611421051</v>
      </c>
      <c r="AJ18" s="1110">
        <f>('Summary Table'!R15)</f>
        <v>262.2286055672738</v>
      </c>
      <c r="AK18" s="1110">
        <f>('Summary Table'!S15)</f>
        <v>237.28839962332515</v>
      </c>
      <c r="AL18" s="1110">
        <f>('Summary Table'!T15)</f>
        <v>256.4079028660679</v>
      </c>
      <c r="AM18" s="1110">
        <f>('Summary Table'!U15)</f>
        <v>265.66749545875354</v>
      </c>
      <c r="AN18" s="1110">
        <f>('Summary Table'!V15)</f>
        <v>259.05601805220141</v>
      </c>
      <c r="AO18" s="1110">
        <f>('Summary Table'!W15)</f>
        <v>258.91127602274685</v>
      </c>
      <c r="AP18" s="1110">
        <f>('Summary Table'!X15)</f>
        <v>255.06803132826391</v>
      </c>
      <c r="AQ18" s="1110">
        <f>('Summary Table'!Y15)</f>
        <v>225.10147681644284</v>
      </c>
      <c r="AR18" s="1110">
        <f>('Summary Table'!Z15)</f>
        <v>266.35053365110366</v>
      </c>
      <c r="AS18" s="1110">
        <f>('Summary Table'!AA15)</f>
        <v>277.6716054191445</v>
      </c>
      <c r="AT18" s="1110">
        <f>('Summary Table'!AB15)</f>
        <v>252.72391355879935</v>
      </c>
      <c r="AU18" s="1110">
        <f>('Summary Table'!AC15)</f>
        <v>238.38223392683929</v>
      </c>
      <c r="AV18" s="1110">
        <f>('Summary Table'!AD15)</f>
        <v>241.48609403530835</v>
      </c>
      <c r="AW18" s="1110">
        <f>('Summary Table'!AE15)</f>
        <v>273.81436679347121</v>
      </c>
      <c r="AX18" s="1110">
        <f>('Summary Table'!AF15)</f>
        <v>275.46887973202541</v>
      </c>
      <c r="AY18" s="1110">
        <f>('Summary Table'!AG15)</f>
        <v>256.36135242960933</v>
      </c>
      <c r="AZ18" s="1110">
        <f>('Summary Table'!AH15)</f>
        <v>258.64706539139297</v>
      </c>
      <c r="BA18" s="1110">
        <f>('Summary Table'!AI15)</f>
        <v>271.98681887741003</v>
      </c>
    </row>
    <row r="19" spans="1:53">
      <c r="A19" s="1092" t="s">
        <v>1430</v>
      </c>
      <c r="B19" s="1092" t="s">
        <v>1432</v>
      </c>
      <c r="C19" s="1092" t="s">
        <v>1433</v>
      </c>
      <c r="D19" s="1092" t="s">
        <v>1434</v>
      </c>
      <c r="E19" s="1092"/>
      <c r="F19" s="1092"/>
      <c r="G19" s="1092"/>
      <c r="H19" s="1092"/>
      <c r="I19" s="1092"/>
      <c r="J19" s="1092"/>
      <c r="K19" s="1092" t="s">
        <v>1440</v>
      </c>
      <c r="L19" s="1092"/>
      <c r="M19" s="1106" t="s">
        <v>1436</v>
      </c>
      <c r="N19" s="1106"/>
      <c r="O19" s="1106" t="s">
        <v>1437</v>
      </c>
      <c r="P19" s="1106"/>
      <c r="Q19" s="1106"/>
      <c r="R19" s="1109" t="s">
        <v>1438</v>
      </c>
      <c r="S19" s="1127" t="s">
        <v>129</v>
      </c>
      <c r="T19" s="1104">
        <v>1</v>
      </c>
      <c r="U19" s="1110">
        <f>('Summary Table'!C22)</f>
        <v>97.78241223079533</v>
      </c>
      <c r="V19" s="1110">
        <f>('Summary Table'!D22)</f>
        <v>97.952169988467361</v>
      </c>
      <c r="W19" s="1110">
        <f>('Summary Table'!E22)</f>
        <v>96.897397560708882</v>
      </c>
      <c r="X19" s="1110">
        <f>('Summary Table'!F22)</f>
        <v>95.38268325283164</v>
      </c>
      <c r="Y19" s="1110">
        <f>('Summary Table'!G22)</f>
        <v>92.109480052541898</v>
      </c>
      <c r="Z19" s="1110">
        <f>('Summary Table'!H22)</f>
        <v>88.696195308228212</v>
      </c>
      <c r="AA19" s="1110">
        <f>('Summary Table'!I22)</f>
        <v>97.899890710711531</v>
      </c>
      <c r="AB19" s="1110">
        <f>('Summary Table'!J22)</f>
        <v>93.391358622908527</v>
      </c>
      <c r="AC19" s="1110">
        <f>('Summary Table'!K22)</f>
        <v>84.367234993758103</v>
      </c>
      <c r="AD19" s="1110">
        <f>('Summary Table'!L22)</f>
        <v>93.19613012040945</v>
      </c>
      <c r="AE19" s="1110">
        <f>('Summary Table'!M22)</f>
        <v>99.814277951232029</v>
      </c>
      <c r="AF19" s="1110">
        <f>('Summary Table'!N22)</f>
        <v>102.69033732360053</v>
      </c>
      <c r="AG19" s="1110">
        <f>('Summary Table'!O22)</f>
        <v>94.809824998097724</v>
      </c>
      <c r="AH19" s="1110">
        <f>('Summary Table'!P22)</f>
        <v>102.73524037201688</v>
      </c>
      <c r="AI19" s="1110">
        <f>('Summary Table'!Q22)</f>
        <v>103.70575945407543</v>
      </c>
      <c r="AJ19" s="1110">
        <f>('Summary Table'!R22)</f>
        <v>95.575442274390966</v>
      </c>
      <c r="AK19" s="1110">
        <f>('Summary Table'!S22)</f>
        <v>83.076643788508392</v>
      </c>
      <c r="AL19" s="1110">
        <f>('Summary Table'!T22)</f>
        <v>82.999286658834436</v>
      </c>
      <c r="AM19" s="1110">
        <f>('Summary Table'!U22)</f>
        <v>81.35310743989055</v>
      </c>
      <c r="AN19" s="1110">
        <f>('Summary Table'!V22)</f>
        <v>76.871691567355754</v>
      </c>
      <c r="AO19" s="1110">
        <f>('Summary Table'!W22)</f>
        <v>75.584117715666224</v>
      </c>
      <c r="AP19" s="1110">
        <f>('Summary Table'!X22)</f>
        <v>71.264898165119661</v>
      </c>
      <c r="AQ19" s="1110">
        <f>('Summary Table'!Y22)</f>
        <v>57.430156749728859</v>
      </c>
      <c r="AR19" s="1110">
        <f>('Summary Table'!Z22)</f>
        <v>62.914302900543817</v>
      </c>
      <c r="AS19" s="1110">
        <f>('Summary Table'!AA22)</f>
        <v>69.062290446070193</v>
      </c>
      <c r="AT19" s="1110">
        <f>('Summary Table'!AB22)</f>
        <v>64.893287996969548</v>
      </c>
      <c r="AU19" s="1110">
        <f>('Summary Table'!AC22)</f>
        <v>54.808963118601646</v>
      </c>
      <c r="AV19" s="1110">
        <f>('Summary Table'!AD22)</f>
        <v>52.479502214743725</v>
      </c>
      <c r="AW19" s="1110">
        <f>('Summary Table'!AE22)</f>
        <v>65.12530568088124</v>
      </c>
      <c r="AX19" s="1110">
        <f>('Summary Table'!AF22)</f>
        <v>67.435980875494991</v>
      </c>
      <c r="AY19" s="1110">
        <f>('Summary Table'!AG22)</f>
        <v>58.433675778621101</v>
      </c>
      <c r="AZ19" s="1110">
        <f>('Summary Table'!AH22)</f>
        <v>59.38652650747968</v>
      </c>
      <c r="BA19" s="1110">
        <f>('Summary Table'!AI22)</f>
        <v>61.113011543269025</v>
      </c>
    </row>
    <row r="20" spans="1:53">
      <c r="A20" s="1092" t="s">
        <v>1430</v>
      </c>
      <c r="B20" s="1092" t="s">
        <v>1432</v>
      </c>
      <c r="C20" s="1092" t="s">
        <v>1433</v>
      </c>
      <c r="D20" s="1092" t="s">
        <v>1441</v>
      </c>
      <c r="E20" s="1092"/>
      <c r="F20" s="1092"/>
      <c r="G20" s="1092"/>
      <c r="H20" s="1092"/>
      <c r="I20" s="1092"/>
      <c r="J20" s="1092"/>
      <c r="K20" s="1092" t="s">
        <v>1435</v>
      </c>
      <c r="L20" s="1092"/>
      <c r="M20" s="1106" t="s">
        <v>1436</v>
      </c>
      <c r="N20" s="1106"/>
      <c r="O20" s="1106" t="s">
        <v>1442</v>
      </c>
      <c r="P20" s="1106"/>
      <c r="Q20" s="1106"/>
      <c r="R20" s="1109" t="s">
        <v>1438</v>
      </c>
      <c r="S20" s="1127" t="s">
        <v>129</v>
      </c>
      <c r="T20" s="1104">
        <v>1</v>
      </c>
      <c r="U20" s="1110">
        <f>('Summary Table'!C9)</f>
        <v>11.950781008242847</v>
      </c>
      <c r="V20" s="1110">
        <f>('Summary Table'!D9)</f>
        <v>11.123951798824036</v>
      </c>
      <c r="W20" s="1110">
        <f>('Summary Table'!E9)</f>
        <v>11.2767921073171</v>
      </c>
      <c r="X20" s="1110">
        <f>('Summary Table'!F9)</f>
        <v>11.251191944732801</v>
      </c>
      <c r="Y20" s="1110">
        <f>('Summary Table'!G9)</f>
        <v>11.300110030238828</v>
      </c>
      <c r="Z20" s="1110">
        <f>('Summary Table'!H9)</f>
        <v>11.187393726740217</v>
      </c>
      <c r="AA20" s="1110">
        <f>('Summary Table'!I9)</f>
        <v>11.605301798192992</v>
      </c>
      <c r="AB20" s="1110">
        <f>('Summary Table'!J9)</f>
        <v>12.283500350691053</v>
      </c>
      <c r="AC20" s="1110">
        <f>('Summary Table'!K9)</f>
        <v>8.9264663574628376</v>
      </c>
      <c r="AD20" s="1110">
        <f>('Summary Table'!L9)</f>
        <v>9.7635618041440733</v>
      </c>
      <c r="AE20" s="1110">
        <f>('Summary Table'!M9)</f>
        <v>8.7603401271750982</v>
      </c>
      <c r="AF20" s="1110">
        <f>('Summary Table'!N9)</f>
        <v>9.2306379407867158</v>
      </c>
      <c r="AG20" s="1110">
        <f>('Summary Table'!O9)</f>
        <v>8.5511654681646281</v>
      </c>
      <c r="AH20" s="1110">
        <f>('Summary Table'!P9)</f>
        <v>7.8219705072625967</v>
      </c>
      <c r="AI20" s="1110">
        <f>('Summary Table'!Q9)</f>
        <v>9.7670904901110305</v>
      </c>
      <c r="AJ20" s="1110">
        <f>('Summary Table'!R9)</f>
        <v>9.2601022167636504</v>
      </c>
      <c r="AK20" s="1110">
        <f>('Summary Table'!S9)</f>
        <v>6.2387890463696039</v>
      </c>
      <c r="AL20" s="1110">
        <f>('Summary Table'!T9)</f>
        <v>6.6546288033802021</v>
      </c>
      <c r="AM20" s="1110">
        <f>('Summary Table'!U9)</f>
        <v>7.6116885807047296</v>
      </c>
      <c r="AN20" s="1110">
        <f>('Summary Table'!V9)</f>
        <v>6.9212944879527454</v>
      </c>
      <c r="AO20" s="1110">
        <f>('Summary Table'!W9)</f>
        <v>6.5764502150490669</v>
      </c>
      <c r="AP20" s="1110">
        <f>('Summary Table'!X9)</f>
        <v>5.8411054745380699</v>
      </c>
      <c r="AQ20" s="1110">
        <f>('Summary Table'!Y9)</f>
        <v>4.1332779377363469</v>
      </c>
      <c r="AR20" s="1110">
        <f>('Summary Table'!Z9)</f>
        <v>3.9349591086762437</v>
      </c>
      <c r="AS20" s="1110">
        <f>('Summary Table'!AA9)</f>
        <v>3.815747352827314</v>
      </c>
      <c r="AT20" s="1110">
        <f>('Summary Table'!AB9)</f>
        <v>2.9645721255676034</v>
      </c>
      <c r="AU20" s="1110">
        <f>('Summary Table'!AC9)</f>
        <v>2.2649918397973812</v>
      </c>
      <c r="AV20" s="1110">
        <f>('Summary Table'!AD9)</f>
        <v>1.9759169500269727</v>
      </c>
      <c r="AW20" s="1110">
        <f>('Summary Table'!AE9)</f>
        <v>1.7911940979329957</v>
      </c>
      <c r="AX20" s="1110">
        <f>('Summary Table'!AF9)</f>
        <v>1.6000991942164422</v>
      </c>
      <c r="AY20" s="1110">
        <f>('Summary Table'!AG9)</f>
        <v>1.3945916740834434</v>
      </c>
      <c r="AZ20" s="1110">
        <f>('Summary Table'!AH9)</f>
        <v>1.4304169328982714</v>
      </c>
      <c r="BA20" s="1110">
        <f>('Summary Table'!AI9)</f>
        <v>1.3881296839221755</v>
      </c>
    </row>
    <row r="21" spans="1:53">
      <c r="A21" s="1092" t="s">
        <v>1430</v>
      </c>
      <c r="B21" s="1092" t="s">
        <v>1432</v>
      </c>
      <c r="C21" s="1092" t="s">
        <v>1433</v>
      </c>
      <c r="D21" s="1092" t="s">
        <v>1441</v>
      </c>
      <c r="E21" s="1092"/>
      <c r="F21" s="1092"/>
      <c r="G21" s="1092"/>
      <c r="H21" s="1092"/>
      <c r="I21" s="1092"/>
      <c r="J21" s="1092"/>
      <c r="K21" s="1092" t="s">
        <v>1439</v>
      </c>
      <c r="L21" s="1092"/>
      <c r="M21" s="1106" t="s">
        <v>1436</v>
      </c>
      <c r="N21" s="1106"/>
      <c r="O21" s="1106" t="s">
        <v>1442</v>
      </c>
      <c r="P21" s="1106"/>
      <c r="Q21" s="1106"/>
      <c r="R21" s="1109" t="s">
        <v>1438</v>
      </c>
      <c r="S21" s="1127" t="s">
        <v>129</v>
      </c>
      <c r="T21" s="1104">
        <v>1</v>
      </c>
      <c r="U21" s="1110">
        <f>('Summary Table'!C16)</f>
        <v>142.02473544607753</v>
      </c>
      <c r="V21" s="1110">
        <f>('Summary Table'!D16)</f>
        <v>148.12843320995771</v>
      </c>
      <c r="W21" s="1110">
        <f>('Summary Table'!E16)</f>
        <v>152.1442839987414</v>
      </c>
      <c r="X21" s="1110">
        <f>('Summary Table'!F16)</f>
        <v>154.86031096580882</v>
      </c>
      <c r="Y21" s="1110">
        <f>('Summary Table'!G16)</f>
        <v>157.02801444190189</v>
      </c>
      <c r="Z21" s="1110">
        <f>('Summary Table'!H16)</f>
        <v>164.20845936813723</v>
      </c>
      <c r="AA21" s="1110">
        <f>('Summary Table'!I16)</f>
        <v>171.12093873822886</v>
      </c>
      <c r="AB21" s="1110">
        <f>('Summary Table'!J16)</f>
        <v>174.25040454967009</v>
      </c>
      <c r="AC21" s="1110">
        <f>('Summary Table'!K16)</f>
        <v>163.32937279129024</v>
      </c>
      <c r="AD21" s="1110">
        <f>('Summary Table'!L16)</f>
        <v>165.18012136905648</v>
      </c>
      <c r="AE21" s="1110">
        <f>('Summary Table'!M16)</f>
        <v>172.49806642837646</v>
      </c>
      <c r="AF21" s="1110">
        <f>('Summary Table'!N16)</f>
        <v>164.19987233758553</v>
      </c>
      <c r="AG21" s="1110">
        <f>('Summary Table'!O16)</f>
        <v>170.46500850943963</v>
      </c>
      <c r="AH21" s="1110">
        <f>('Summary Table'!P16)</f>
        <v>172.87591133833368</v>
      </c>
      <c r="AI21" s="1110">
        <f>('Summary Table'!Q16)</f>
        <v>169.77666283715638</v>
      </c>
      <c r="AJ21" s="1110">
        <f>('Summary Table'!R16)</f>
        <v>162.92508508024997</v>
      </c>
      <c r="AK21" s="1110">
        <f>('Summary Table'!S16)</f>
        <v>153.83155669866855</v>
      </c>
      <c r="AL21" s="1110">
        <f>('Summary Table'!T16)</f>
        <v>163.59043097479622</v>
      </c>
      <c r="AM21" s="1110">
        <f>('Summary Table'!U16)</f>
        <v>171.19325427303346</v>
      </c>
      <c r="AN21" s="1110">
        <f>('Summary Table'!V16)</f>
        <v>169.05333172555467</v>
      </c>
      <c r="AO21" s="1110">
        <f>('Summary Table'!W16)</f>
        <v>167.96887548912161</v>
      </c>
      <c r="AP21" s="1110">
        <f>('Summary Table'!X16)</f>
        <v>170.73801795221382</v>
      </c>
      <c r="AQ21" s="1110">
        <f>('Summary Table'!Y16)</f>
        <v>157.04279460910288</v>
      </c>
      <c r="AR21" s="1110">
        <f>('Summary Table'!Z16)</f>
        <v>179.21960261143067</v>
      </c>
      <c r="AS21" s="1110">
        <f>('Summary Table'!AA16)</f>
        <v>189.18938777422409</v>
      </c>
      <c r="AT21" s="1110">
        <f>('Summary Table'!AB16)</f>
        <v>175.4117517978259</v>
      </c>
      <c r="AU21" s="1110">
        <f>('Summary Table'!AC16)</f>
        <v>170.54056544370894</v>
      </c>
      <c r="AV21" s="1110">
        <f>('Summary Table'!AD16)</f>
        <v>173.19011617374824</v>
      </c>
      <c r="AW21" s="1110">
        <f>('Summary Table'!AE16)</f>
        <v>192.5283840865653</v>
      </c>
      <c r="AX21" s="1110">
        <f>('Summary Table'!AF16)</f>
        <v>192.91620874877498</v>
      </c>
      <c r="AY21" s="1110">
        <f>('Summary Table'!AG16)</f>
        <v>173.45008271834308</v>
      </c>
      <c r="AZ21" s="1110">
        <f>('Summary Table'!AH16)</f>
        <v>180.36282488864072</v>
      </c>
      <c r="BA21" s="1110">
        <f>('Summary Table'!AI16)</f>
        <v>192.26242231258678</v>
      </c>
    </row>
    <row r="22" spans="1:53">
      <c r="A22" s="1092" t="s">
        <v>1430</v>
      </c>
      <c r="B22" s="1092" t="s">
        <v>1432</v>
      </c>
      <c r="C22" s="1092" t="s">
        <v>1433</v>
      </c>
      <c r="D22" s="1092" t="s">
        <v>1441</v>
      </c>
      <c r="E22" s="1092"/>
      <c r="F22" s="1092"/>
      <c r="G22" s="1092"/>
      <c r="H22" s="1092"/>
      <c r="I22" s="1092"/>
      <c r="J22" s="1092"/>
      <c r="K22" s="1092" t="s">
        <v>1440</v>
      </c>
      <c r="L22" s="1092"/>
      <c r="M22" s="1106" t="s">
        <v>1436</v>
      </c>
      <c r="N22" s="1106"/>
      <c r="O22" s="1106" t="s">
        <v>1442</v>
      </c>
      <c r="P22" s="1106"/>
      <c r="Q22" s="1106"/>
      <c r="R22" s="1109" t="s">
        <v>1438</v>
      </c>
      <c r="S22" s="1127" t="s">
        <v>129</v>
      </c>
      <c r="T22" s="1104">
        <v>1</v>
      </c>
      <c r="U22" s="1110">
        <f>('Summary Table'!C23)</f>
        <v>74.317009238006435</v>
      </c>
      <c r="V22" s="1110">
        <f>('Summary Table'!D23)</f>
        <v>73.407833850551555</v>
      </c>
      <c r="W22" s="1110">
        <f>('Summary Table'!E23)</f>
        <v>64.616730035679041</v>
      </c>
      <c r="X22" s="1110">
        <f>('Summary Table'!F23)</f>
        <v>56.873975020454345</v>
      </c>
      <c r="Y22" s="1110">
        <f>('Summary Table'!G23)</f>
        <v>56.369484996221161</v>
      </c>
      <c r="Z22" s="1110">
        <f>('Summary Table'!H23)</f>
        <v>52.391239933514434</v>
      </c>
      <c r="AA22" s="1110">
        <f>('Summary Table'!I23)</f>
        <v>54.832060684371058</v>
      </c>
      <c r="AB22" s="1110">
        <f>('Summary Table'!J23)</f>
        <v>51.284956381041496</v>
      </c>
      <c r="AC22" s="1110">
        <f>('Summary Table'!K23)</f>
        <v>47.862168349800406</v>
      </c>
      <c r="AD22" s="1110">
        <f>('Summary Table'!L23)</f>
        <v>45.78669586341524</v>
      </c>
      <c r="AE22" s="1110">
        <f>('Summary Table'!M23)</f>
        <v>55.272252292626497</v>
      </c>
      <c r="AF22" s="1110">
        <f>('Summary Table'!N23)</f>
        <v>55.007529049391842</v>
      </c>
      <c r="AG22" s="1110">
        <f>('Summary Table'!O23)</f>
        <v>49.963577276939134</v>
      </c>
      <c r="AH22" s="1110">
        <f>('Summary Table'!P23)</f>
        <v>59.413372710105818</v>
      </c>
      <c r="AI22" s="1110">
        <f>('Summary Table'!Q23)</f>
        <v>58.386082462551457</v>
      </c>
      <c r="AJ22" s="1110">
        <f>('Summary Table'!R23)</f>
        <v>54.793864419601839</v>
      </c>
      <c r="AK22" s="1110">
        <f>('Summary Table'!S23)</f>
        <v>51.31612703743734</v>
      </c>
      <c r="AL22" s="1110">
        <f>('Summary Table'!T23)</f>
        <v>52.302199112446594</v>
      </c>
      <c r="AM22" s="1110">
        <f>('Summary Table'!U23)</f>
        <v>48.260774591540994</v>
      </c>
      <c r="AN22" s="1110">
        <f>('Summary Table'!V23)</f>
        <v>51.732975084881019</v>
      </c>
      <c r="AO22" s="1110">
        <f>('Summary Table'!W23)</f>
        <v>49.736176633621213</v>
      </c>
      <c r="AP22" s="1110">
        <f>('Summary Table'!X23)</f>
        <v>48.019411873386588</v>
      </c>
      <c r="AQ22" s="1110">
        <f>('Summary Table'!Y23)</f>
        <v>39.253041337374341</v>
      </c>
      <c r="AR22" s="1110">
        <f>('Summary Table'!Z23)</f>
        <v>41.171116981845458</v>
      </c>
      <c r="AS22" s="1110">
        <f>('Summary Table'!AA23)</f>
        <v>39.547045254145807</v>
      </c>
      <c r="AT22" s="1110">
        <f>('Summary Table'!AB23)</f>
        <v>66.428800315750649</v>
      </c>
      <c r="AU22" s="1110">
        <f>('Summary Table'!AC23)</f>
        <v>59.055150951147297</v>
      </c>
      <c r="AV22" s="1110">
        <f>('Summary Table'!AD23)</f>
        <v>57.247196778983692</v>
      </c>
      <c r="AW22" s="1110">
        <f>('Summary Table'!AE23)</f>
        <v>51.977488359870641</v>
      </c>
      <c r="AX22" s="1110">
        <f>('Summary Table'!AF23)</f>
        <v>57.233006553301081</v>
      </c>
      <c r="AY22" s="1110">
        <f>('Summary Table'!AG23)</f>
        <v>54.41904448356302</v>
      </c>
      <c r="AZ22" s="1110">
        <f>('Summary Table'!AH23)</f>
        <v>55.734392755355948</v>
      </c>
      <c r="BA22" s="1110">
        <f>('Summary Table'!AI23)</f>
        <v>51.063464820652335</v>
      </c>
    </row>
    <row r="23" spans="1:53">
      <c r="A23" s="1092" t="s">
        <v>1430</v>
      </c>
      <c r="B23" s="1092" t="s">
        <v>1432</v>
      </c>
      <c r="C23" s="1092" t="s">
        <v>1433</v>
      </c>
      <c r="D23" s="1092" t="s">
        <v>1443</v>
      </c>
      <c r="E23" s="1092"/>
      <c r="F23" s="1092"/>
      <c r="G23" s="1092"/>
      <c r="H23" s="1092"/>
      <c r="I23" s="1092"/>
      <c r="J23" s="1092"/>
      <c r="K23" s="1092" t="s">
        <v>1435</v>
      </c>
      <c r="L23" s="1092"/>
      <c r="M23" s="1106" t="s">
        <v>1436</v>
      </c>
      <c r="N23" s="1106"/>
      <c r="O23" s="1106" t="s">
        <v>1444</v>
      </c>
      <c r="P23" s="1106"/>
      <c r="Q23" s="1106"/>
      <c r="R23" s="1109" t="s">
        <v>1438</v>
      </c>
      <c r="S23" s="1127" t="s">
        <v>129</v>
      </c>
      <c r="T23" s="1104">
        <v>1</v>
      </c>
      <c r="U23" s="1110">
        <f>('Summary Table'!C10)</f>
        <v>157.83904177851264</v>
      </c>
      <c r="V23" s="1110">
        <f>('Summary Table'!D10)</f>
        <v>154.63821661006179</v>
      </c>
      <c r="W23" s="1110">
        <f>('Summary Table'!E10)</f>
        <v>150.2749647363666</v>
      </c>
      <c r="X23" s="1110">
        <f>('Summary Table'!F10)</f>
        <v>152.54778954502495</v>
      </c>
      <c r="Y23" s="1110">
        <f>('Summary Table'!G10)</f>
        <v>153.46902592244419</v>
      </c>
      <c r="Z23" s="1110">
        <f>('Summary Table'!H10)</f>
        <v>147.21568642995061</v>
      </c>
      <c r="AA23" s="1110">
        <f>('Summary Table'!I10)</f>
        <v>140.08937876434783</v>
      </c>
      <c r="AB23" s="1110">
        <f>('Summary Table'!J10)</f>
        <v>140.23965311448606</v>
      </c>
      <c r="AC23" s="1110">
        <f>('Summary Table'!K10)</f>
        <v>141.75560347689387</v>
      </c>
      <c r="AD23" s="1110">
        <f>('Summary Table'!L10)</f>
        <v>132.48068946628473</v>
      </c>
      <c r="AE23" s="1110">
        <f>('Summary Table'!M10)</f>
        <v>128.48390763754276</v>
      </c>
      <c r="AF23" s="1110">
        <f>('Summary Table'!N10)</f>
        <v>130.18161126003045</v>
      </c>
      <c r="AG23" s="1110">
        <f>('Summary Table'!O10)</f>
        <v>119.05774285576179</v>
      </c>
      <c r="AH23" s="1110">
        <f>('Summary Table'!P10)</f>
        <v>119.43854006261547</v>
      </c>
      <c r="AI23" s="1110">
        <f>('Summary Table'!Q10)</f>
        <v>120.43424047781994</v>
      </c>
      <c r="AJ23" s="1110">
        <f>('Summary Table'!R10)</f>
        <v>117.84136322777762</v>
      </c>
      <c r="AK23" s="1110">
        <f>('Summary Table'!S10)</f>
        <v>115.57937880961637</v>
      </c>
      <c r="AL23" s="1110">
        <f>('Summary Table'!T10)</f>
        <v>110.7742334657229</v>
      </c>
      <c r="AM23" s="1110">
        <f>('Summary Table'!U10)</f>
        <v>106.0748691930491</v>
      </c>
      <c r="AN23" s="1110">
        <f>('Summary Table'!V10)</f>
        <v>87.066994880340218</v>
      </c>
      <c r="AO23" s="1110">
        <f>('Summary Table'!W10)</f>
        <v>94.164426530393271</v>
      </c>
      <c r="AP23" s="1110">
        <f>('Summary Table'!X10)</f>
        <v>85.953690906971573</v>
      </c>
      <c r="AQ23" s="1110">
        <f>('Summary Table'!Y10)</f>
        <v>78.224309760947136</v>
      </c>
      <c r="AR23" s="1110">
        <f>('Summary Table'!Z10)</f>
        <v>79.543821123315311</v>
      </c>
      <c r="AS23" s="1110">
        <f>('Summary Table'!AA10)</f>
        <v>79.242788637601819</v>
      </c>
      <c r="AT23" s="1110">
        <f>('Summary Table'!AB10)</f>
        <v>69.970403927797904</v>
      </c>
      <c r="AU23" s="1110">
        <f>('Summary Table'!AC10)</f>
        <v>63.150304482426023</v>
      </c>
      <c r="AV23" s="1110">
        <f>('Summary Table'!AD10)</f>
        <v>58.672866160806755</v>
      </c>
      <c r="AW23" s="1110">
        <f>('Summary Table'!AE10)</f>
        <v>54.41675515263988</v>
      </c>
      <c r="AX23" s="1110">
        <f>('Summary Table'!AF10)</f>
        <v>49.458189949163135</v>
      </c>
      <c r="AY23" s="1110">
        <f>('Summary Table'!AG10)</f>
        <v>42.966294417900514</v>
      </c>
      <c r="AZ23" s="1110">
        <f>('Summary Table'!AH10)</f>
        <v>43.026401331772739</v>
      </c>
      <c r="BA23" s="1110">
        <f>('Summary Table'!AI10)</f>
        <v>42.659992596041015</v>
      </c>
    </row>
    <row r="24" spans="1:53">
      <c r="A24" s="1092" t="s">
        <v>1430</v>
      </c>
      <c r="B24" s="1092" t="s">
        <v>1432</v>
      </c>
      <c r="C24" s="1092" t="s">
        <v>1433</v>
      </c>
      <c r="D24" s="1092" t="s">
        <v>1443</v>
      </c>
      <c r="E24" s="1092"/>
      <c r="F24" s="1092"/>
      <c r="G24" s="1092"/>
      <c r="H24" s="1092"/>
      <c r="I24" s="1092"/>
      <c r="J24" s="1092"/>
      <c r="K24" s="1092" t="s">
        <v>1439</v>
      </c>
      <c r="L24" s="1092"/>
      <c r="M24" s="1106" t="s">
        <v>1436</v>
      </c>
      <c r="N24" s="1106"/>
      <c r="O24" s="1106" t="s">
        <v>1444</v>
      </c>
      <c r="P24" s="1106"/>
      <c r="Q24" s="1106"/>
      <c r="R24" s="1109" t="s">
        <v>1438</v>
      </c>
      <c r="S24" s="1127" t="s">
        <v>129</v>
      </c>
      <c r="T24" s="1104">
        <v>1</v>
      </c>
      <c r="U24" s="1110">
        <f>('Summary Table'!C17)</f>
        <v>407.44057591552206</v>
      </c>
      <c r="V24" s="1110">
        <f>('Summary Table'!D17)</f>
        <v>413.59445395561858</v>
      </c>
      <c r="W24" s="1110">
        <f>('Summary Table'!E17)</f>
        <v>429.30737763379256</v>
      </c>
      <c r="X24" s="1110">
        <f>('Summary Table'!F17)</f>
        <v>436.98219553873059</v>
      </c>
      <c r="Y24" s="1110">
        <f>('Summary Table'!G17)</f>
        <v>438.20865393150382</v>
      </c>
      <c r="Z24" s="1110">
        <f>('Summary Table'!H17)</f>
        <v>461.4680033053877</v>
      </c>
      <c r="AA24" s="1110">
        <f>('Summary Table'!I17)</f>
        <v>477.22704593798659</v>
      </c>
      <c r="AB24" s="1110">
        <f>('Summary Table'!J17)</f>
        <v>477.88613017996011</v>
      </c>
      <c r="AC24" s="1110">
        <f>('Summary Table'!K17)</f>
        <v>466.22857939809182</v>
      </c>
      <c r="AD24" s="1110">
        <f>('Summary Table'!L17)</f>
        <v>445.62145311258905</v>
      </c>
      <c r="AE24" s="1110">
        <f>('Summary Table'!M17)</f>
        <v>458.18470970362125</v>
      </c>
      <c r="AF24" s="1110">
        <f>('Summary Table'!N17)</f>
        <v>420.60012891527748</v>
      </c>
      <c r="AG24" s="1110">
        <f>('Summary Table'!O17)</f>
        <v>428.10994471518688</v>
      </c>
      <c r="AH24" s="1110">
        <f>('Summary Table'!P17)</f>
        <v>415.08604298191261</v>
      </c>
      <c r="AI24" s="1110">
        <f>('Summary Table'!Q17)</f>
        <v>418.88608808286688</v>
      </c>
      <c r="AJ24" s="1110">
        <f>('Summary Table'!R17)</f>
        <v>387.78439069369989</v>
      </c>
      <c r="AK24" s="1110">
        <f>('Summary Table'!S17)</f>
        <v>387.43556914859869</v>
      </c>
      <c r="AL24" s="1110">
        <f>('Summary Table'!T17)</f>
        <v>396.96908687881142</v>
      </c>
      <c r="AM24" s="1110">
        <f>('Summary Table'!U17)</f>
        <v>398.65113463252698</v>
      </c>
      <c r="AN24" s="1110">
        <f>('Summary Table'!V17)</f>
        <v>374.19964007784171</v>
      </c>
      <c r="AO24" s="1110">
        <f>('Summary Table'!W17)</f>
        <v>407.08948538432492</v>
      </c>
      <c r="AP24" s="1110">
        <f>('Summary Table'!X17)</f>
        <v>417.16969084127084</v>
      </c>
      <c r="AQ24" s="1110">
        <f>('Summary Table'!Y17)</f>
        <v>433.87411357806093</v>
      </c>
      <c r="AR24" s="1110">
        <f>('Summary Table'!Z17)</f>
        <v>450.93611572282049</v>
      </c>
      <c r="AS24" s="1110">
        <f>('Summary Table'!AA17)</f>
        <v>465.9360743641227</v>
      </c>
      <c r="AT24" s="1110">
        <f>('Summary Table'!AB17)</f>
        <v>459.64627978150747</v>
      </c>
      <c r="AU24" s="1110">
        <f>('Summary Table'!AC17)</f>
        <v>463.98257891833475</v>
      </c>
      <c r="AV24" s="1110">
        <f>('Summary Table'!AD17)</f>
        <v>468.13315809622293</v>
      </c>
      <c r="AW24" s="1110">
        <f>('Summary Table'!AE17)</f>
        <v>493.46897972996544</v>
      </c>
      <c r="AX24" s="1110">
        <f>('Summary Table'!AF17)</f>
        <v>501.50851576791644</v>
      </c>
      <c r="AY24" s="1110">
        <f>('Summary Table'!AG17)</f>
        <v>489.71696452157283</v>
      </c>
      <c r="AZ24" s="1110">
        <f>('Summary Table'!AH17)</f>
        <v>501.1666660948701</v>
      </c>
      <c r="BA24" s="1110">
        <f>('Summary Table'!AI17)</f>
        <v>511.44589460637036</v>
      </c>
    </row>
    <row r="25" spans="1:53">
      <c r="A25" s="1092" t="s">
        <v>1430</v>
      </c>
      <c r="B25" s="1092" t="s">
        <v>1432</v>
      </c>
      <c r="C25" s="1092" t="s">
        <v>1433</v>
      </c>
      <c r="D25" s="1092" t="s">
        <v>1443</v>
      </c>
      <c r="E25" s="1092"/>
      <c r="F25" s="1092"/>
      <c r="G25" s="1092"/>
      <c r="H25" s="1092"/>
      <c r="I25" s="1092"/>
      <c r="J25" s="1092"/>
      <c r="K25" s="1092" t="s">
        <v>1440</v>
      </c>
      <c r="L25" s="1092"/>
      <c r="M25" s="1106" t="s">
        <v>1436</v>
      </c>
      <c r="N25" s="1106"/>
      <c r="O25" s="1106" t="s">
        <v>1444</v>
      </c>
      <c r="P25" s="1106"/>
      <c r="Q25" s="1106"/>
      <c r="R25" s="1109" t="s">
        <v>1438</v>
      </c>
      <c r="S25" s="1127" t="s">
        <v>129</v>
      </c>
      <c r="T25" s="1104">
        <v>1</v>
      </c>
      <c r="U25" s="1110">
        <f>'Summary Table'!C24</f>
        <v>305.86837004185293</v>
      </c>
      <c r="V25" s="1110">
        <f>'Summary Table'!D24</f>
        <v>292.78503629653778</v>
      </c>
      <c r="W25" s="1110">
        <f>'Summary Table'!E24</f>
        <v>301.0309862925227</v>
      </c>
      <c r="X25" s="1110">
        <f>'Summary Table'!F24</f>
        <v>293.109363986299</v>
      </c>
      <c r="Y25" s="1110">
        <f>'Summary Table'!G24</f>
        <v>288.92185498045387</v>
      </c>
      <c r="Z25" s="1110">
        <f>'Summary Table'!H24</f>
        <v>291.98616883550289</v>
      </c>
      <c r="AA25" s="1110">
        <f>'Summary Table'!I24</f>
        <v>300.13887686398715</v>
      </c>
      <c r="AB25" s="1110">
        <f>'Summary Table'!J24</f>
        <v>294.15680944417926</v>
      </c>
      <c r="AC25" s="1110">
        <f>'Summary Table'!K24</f>
        <v>294.66981451825228</v>
      </c>
      <c r="AD25" s="1110">
        <f>'Summary Table'!L24</f>
        <v>272.94393939947111</v>
      </c>
      <c r="AE25" s="1110">
        <f>'Summary Table'!M24</f>
        <v>300.26569092616825</v>
      </c>
      <c r="AF25" s="1110">
        <f>'Summary Table'!N24</f>
        <v>312.50708100300676</v>
      </c>
      <c r="AG25" s="1110">
        <f>'Summary Table'!O24</f>
        <v>307.61140351199276</v>
      </c>
      <c r="AH25" s="1110">
        <f>'Summary Table'!P24</f>
        <v>313.67173867621773</v>
      </c>
      <c r="AI25" s="1110">
        <f>'Summary Table'!Q24</f>
        <v>334.05993630344665</v>
      </c>
      <c r="AJ25" s="1110">
        <f>'Summary Table'!R24</f>
        <v>337.87694040171903</v>
      </c>
      <c r="AK25" s="1110">
        <f>'Summary Table'!S24</f>
        <v>360.76703849769871</v>
      </c>
      <c r="AL25" s="1110">
        <f>'Summary Table'!T24</f>
        <v>345.90561733347892</v>
      </c>
      <c r="AM25" s="1110">
        <f>'Summary Table'!U24</f>
        <v>311.56970424060825</v>
      </c>
      <c r="AN25" s="1110">
        <f>'Summary Table'!V24</f>
        <v>281.82543519496528</v>
      </c>
      <c r="AO25" s="1110">
        <f>'Summary Table'!W24</f>
        <v>286.78396176303283</v>
      </c>
      <c r="AP25" s="1110">
        <f>'Summary Table'!X24</f>
        <v>287.98261274237649</v>
      </c>
      <c r="AQ25" s="1110">
        <f>'Summary Table'!Y24</f>
        <v>287.17585056713943</v>
      </c>
      <c r="AR25" s="1110">
        <f>'Summary Table'!Z24</f>
        <v>299.65492060422906</v>
      </c>
      <c r="AS25" s="1110">
        <f>'Summary Table'!AA24</f>
        <v>271.87026978437501</v>
      </c>
      <c r="AT25" s="1110">
        <f>'Summary Table'!AB24</f>
        <v>264.74084752094535</v>
      </c>
      <c r="AU25" s="1110">
        <f>'Summary Table'!AC24</f>
        <v>262.20220123464566</v>
      </c>
      <c r="AV25" s="1110">
        <f>'Summary Table'!AD24</f>
        <v>252.01898543113069</v>
      </c>
      <c r="AW25" s="1110">
        <f>'Summary Table'!AE24</f>
        <v>257.32814684532644</v>
      </c>
      <c r="AX25" s="1110">
        <f>'Summary Table'!AF24</f>
        <v>247.15861528492468</v>
      </c>
      <c r="AY25" s="1110">
        <f>'Summary Table'!AG24</f>
        <v>216.83444622153593</v>
      </c>
      <c r="AZ25" s="1110">
        <f>'Summary Table'!AH24</f>
        <v>224.64023657742564</v>
      </c>
      <c r="BA25" s="1110">
        <f>'Summary Table'!AI24</f>
        <v>221.75314639126401</v>
      </c>
    </row>
    <row r="26" spans="1:53">
      <c r="A26" s="1092" t="s">
        <v>1430</v>
      </c>
      <c r="B26" s="1092" t="s">
        <v>1432</v>
      </c>
      <c r="C26" s="1092" t="s">
        <v>1433</v>
      </c>
      <c r="D26" s="1092" t="s">
        <v>1445</v>
      </c>
      <c r="E26" s="1092"/>
      <c r="F26" s="1092"/>
      <c r="G26" s="1092"/>
      <c r="H26" s="1092"/>
      <c r="I26" s="1092"/>
      <c r="J26" s="1092"/>
      <c r="K26" s="1092" t="s">
        <v>1435</v>
      </c>
      <c r="L26" s="1092"/>
      <c r="M26" s="1106" t="s">
        <v>1436</v>
      </c>
      <c r="N26" s="1106"/>
      <c r="O26" s="1106" t="s">
        <v>1446</v>
      </c>
      <c r="P26" s="1106"/>
      <c r="Q26" s="1106"/>
      <c r="R26" s="1109" t="s">
        <v>1438</v>
      </c>
      <c r="S26" s="1127" t="s">
        <v>129</v>
      </c>
      <c r="T26" s="1104">
        <v>1</v>
      </c>
      <c r="U26" s="1110" t="str">
        <f>('Summary Table'!C11)</f>
        <v>NO</v>
      </c>
      <c r="V26" s="1110" t="str">
        <f>('Summary Table'!D11)</f>
        <v>NO</v>
      </c>
      <c r="W26" s="1110" t="str">
        <f>('Summary Table'!E11)</f>
        <v>NO</v>
      </c>
      <c r="X26" s="1110" t="str">
        <f>('Summary Table'!F11)</f>
        <v>NO</v>
      </c>
      <c r="Y26" s="1110" t="str">
        <f>('Summary Table'!G11)</f>
        <v>NO</v>
      </c>
      <c r="Z26" s="1110" t="str">
        <f>('Summary Table'!H11)</f>
        <v>NO</v>
      </c>
      <c r="AA26" s="1110" t="str">
        <f>('Summary Table'!I11)</f>
        <v>NO</v>
      </c>
      <c r="AB26" s="1110" t="str">
        <f>('Summary Table'!J11)</f>
        <v>NO</v>
      </c>
      <c r="AC26" s="1110" t="str">
        <f>('Summary Table'!K11)</f>
        <v>NO</v>
      </c>
      <c r="AD26" s="1110" t="str">
        <f>('Summary Table'!L11)</f>
        <v>NO</v>
      </c>
      <c r="AE26" s="1110" t="str">
        <f>('Summary Table'!M11)</f>
        <v>NO</v>
      </c>
      <c r="AF26" s="1110" t="str">
        <f>('Summary Table'!N11)</f>
        <v>NO</v>
      </c>
      <c r="AG26" s="1110" t="str">
        <f>('Summary Table'!O11)</f>
        <v>NO</v>
      </c>
      <c r="AH26" s="1110" t="str">
        <f>('Summary Table'!P11)</f>
        <v>NO</v>
      </c>
      <c r="AI26" s="1110" t="str">
        <f>('Summary Table'!Q11)</f>
        <v>NO</v>
      </c>
      <c r="AJ26" s="1110" t="str">
        <f>('Summary Table'!R11)</f>
        <v>NO</v>
      </c>
      <c r="AK26" s="1110" t="str">
        <f>('Summary Table'!S11)</f>
        <v>NO</v>
      </c>
      <c r="AL26" s="1110" t="str">
        <f>('Summary Table'!T11)</f>
        <v>NO</v>
      </c>
      <c r="AM26" s="1110" t="str">
        <f>('Summary Table'!U11)</f>
        <v>NO</v>
      </c>
      <c r="AN26" s="1110" t="str">
        <f>('Summary Table'!V11)</f>
        <v>NO</v>
      </c>
      <c r="AO26" s="1110" t="str">
        <f>('Summary Table'!W11)</f>
        <v>NO</v>
      </c>
      <c r="AP26" s="1110" t="str">
        <f>('Summary Table'!X11)</f>
        <v>NO</v>
      </c>
      <c r="AQ26" s="1110" t="str">
        <f>('Summary Table'!Y11)</f>
        <v>NO</v>
      </c>
      <c r="AR26" s="1110" t="str">
        <f>('Summary Table'!Z11)</f>
        <v>NO</v>
      </c>
      <c r="AS26" s="1110" t="str">
        <f>('Summary Table'!AA11)</f>
        <v>NO</v>
      </c>
      <c r="AT26" s="1110" t="str">
        <f>('Summary Table'!AB11)</f>
        <v>NO</v>
      </c>
      <c r="AU26" s="1110" t="str">
        <f>('Summary Table'!AC11)</f>
        <v>NO</v>
      </c>
      <c r="AV26" s="1110" t="str">
        <f>('Summary Table'!AD11)</f>
        <v>NO</v>
      </c>
      <c r="AW26" s="1110" t="str">
        <f>('Summary Table'!AE11)</f>
        <v>NO</v>
      </c>
      <c r="AX26" s="1110" t="str">
        <f>('Summary Table'!AF11)</f>
        <v>NO</v>
      </c>
      <c r="AY26" s="1110" t="str">
        <f>('Summary Table'!AG11)</f>
        <v>NO</v>
      </c>
      <c r="AZ26" s="1110" t="str">
        <f>('Summary Table'!AH11)</f>
        <v>NO</v>
      </c>
      <c r="BA26" s="1110" t="str">
        <f>('Summary Table'!AI11)</f>
        <v>NO</v>
      </c>
    </row>
    <row r="27" spans="1:53">
      <c r="A27" s="1092" t="s">
        <v>1430</v>
      </c>
      <c r="B27" s="1092" t="s">
        <v>1432</v>
      </c>
      <c r="C27" s="1092" t="s">
        <v>1433</v>
      </c>
      <c r="D27" s="1092" t="s">
        <v>1445</v>
      </c>
      <c r="E27" s="1092"/>
      <c r="F27" s="1092"/>
      <c r="G27" s="1092"/>
      <c r="H27" s="1092"/>
      <c r="I27" s="1092"/>
      <c r="J27" s="1092"/>
      <c r="K27" s="1092" t="s">
        <v>1439</v>
      </c>
      <c r="L27" s="1092"/>
      <c r="M27" s="1106" t="s">
        <v>1436</v>
      </c>
      <c r="N27" s="1106"/>
      <c r="O27" s="1106" t="s">
        <v>1446</v>
      </c>
      <c r="P27" s="1106"/>
      <c r="Q27" s="1106"/>
      <c r="R27" s="1109" t="s">
        <v>1438</v>
      </c>
      <c r="S27" s="1127" t="s">
        <v>129</v>
      </c>
      <c r="T27" s="1104">
        <v>1</v>
      </c>
      <c r="U27" s="1110">
        <f>('Summary Table'!C18)</f>
        <v>36.000628828726228</v>
      </c>
      <c r="V27" s="1110">
        <f>('Summary Table'!D18)</f>
        <v>32.870998544585845</v>
      </c>
      <c r="W27" s="1110">
        <f>('Summary Table'!E18)</f>
        <v>32.223566137943912</v>
      </c>
      <c r="X27" s="1110">
        <f>('Summary Table'!F18)</f>
        <v>34.15461398423664</v>
      </c>
      <c r="Y27" s="1110">
        <f>('Summary Table'!G18)</f>
        <v>37.56280519579169</v>
      </c>
      <c r="Z27" s="1110">
        <f>('Summary Table'!H18)</f>
        <v>38.397759997364879</v>
      </c>
      <c r="AA27" s="1110">
        <f>('Summary Table'!I18)</f>
        <v>39.083767671638746</v>
      </c>
      <c r="AB27" s="1110">
        <f>('Summary Table'!J18)</f>
        <v>41.387043476727435</v>
      </c>
      <c r="AC27" s="1110">
        <f>('Summary Table'!K18)</f>
        <v>35.288383859149057</v>
      </c>
      <c r="AD27" s="1110">
        <f>('Summary Table'!L18)</f>
        <v>35.810853010699333</v>
      </c>
      <c r="AE27" s="1110">
        <f>('Summary Table'!M18)</f>
        <v>35.650075735907123</v>
      </c>
      <c r="AF27" s="1110">
        <f>('Summary Table'!N18)</f>
        <v>34.885995822200002</v>
      </c>
      <c r="AG27" s="1110">
        <f>('Summary Table'!O18)</f>
        <v>37.087113998567915</v>
      </c>
      <c r="AH27" s="1110">
        <f>('Summary Table'!P18)</f>
        <v>33.263751370962055</v>
      </c>
      <c r="AI27" s="1110">
        <f>('Summary Table'!Q18)</f>
        <v>31.927149340306773</v>
      </c>
      <c r="AJ27" s="1110">
        <f>('Summary Table'!R18)</f>
        <v>33.075920910480484</v>
      </c>
      <c r="AK27" s="1110">
        <f>('Summary Table'!S18)</f>
        <v>33.132752480798366</v>
      </c>
      <c r="AL27" s="1110">
        <f>('Summary Table'!T18)</f>
        <v>35.181265831305353</v>
      </c>
      <c r="AM27" s="1110">
        <f>('Summary Table'!U18)</f>
        <v>36.701650199837665</v>
      </c>
      <c r="AN27" s="1110">
        <f>('Summary Table'!V18)</f>
        <v>37.924973610479</v>
      </c>
      <c r="AO27" s="1110">
        <f>('Summary Table'!W18)</f>
        <v>38.159193121908444</v>
      </c>
      <c r="AP27" s="1110">
        <f>('Summary Table'!X18)</f>
        <v>38.942984233329362</v>
      </c>
      <c r="AQ27" s="1110">
        <f>('Summary Table'!Y18)</f>
        <v>41.37800918377787</v>
      </c>
      <c r="AR27" s="1110">
        <f>('Summary Table'!Z18)</f>
        <v>47.049246645534772</v>
      </c>
      <c r="AS27" s="1110">
        <f>('Summary Table'!AA18)</f>
        <v>40.238122656789713</v>
      </c>
      <c r="AT27" s="1110">
        <f>('Summary Table'!AB18)</f>
        <v>39.405905197849926</v>
      </c>
      <c r="AU27" s="1110">
        <f>('Summary Table'!AC18)</f>
        <v>40.058807328702912</v>
      </c>
      <c r="AV27" s="1110">
        <f>('Summary Table'!AD18)</f>
        <v>42.257759266894162</v>
      </c>
      <c r="AW27" s="1110">
        <f>('Summary Table'!AE18)</f>
        <v>50.915434140965644</v>
      </c>
      <c r="AX27" s="1110">
        <f>('Summary Table'!AF18)</f>
        <v>58.928767923685299</v>
      </c>
      <c r="AY27" s="1110">
        <f>('Summary Table'!AG18)</f>
        <v>58.653794375777238</v>
      </c>
      <c r="AZ27" s="1110">
        <f>('Summary Table'!AH18)</f>
        <v>65.191015978471412</v>
      </c>
      <c r="BA27" s="1110">
        <f>('Summary Table'!AI18)</f>
        <v>70.161308648019386</v>
      </c>
    </row>
    <row r="28" spans="1:53">
      <c r="A28" s="1092" t="s">
        <v>1430</v>
      </c>
      <c r="B28" s="1092" t="s">
        <v>1432</v>
      </c>
      <c r="C28" s="1092" t="s">
        <v>1433</v>
      </c>
      <c r="D28" s="1092" t="s">
        <v>1445</v>
      </c>
      <c r="E28" s="1092"/>
      <c r="F28" s="1092"/>
      <c r="G28" s="1092"/>
      <c r="H28" s="1092"/>
      <c r="I28" s="1092"/>
      <c r="J28" s="1092"/>
      <c r="K28" s="1092" t="s">
        <v>1440</v>
      </c>
      <c r="L28" s="1092"/>
      <c r="M28" s="1106" t="s">
        <v>1436</v>
      </c>
      <c r="N28" s="1106"/>
      <c r="O28" s="1106" t="s">
        <v>1446</v>
      </c>
      <c r="P28" s="1106"/>
      <c r="Q28" s="1106"/>
      <c r="R28" s="1109" t="s">
        <v>1438</v>
      </c>
      <c r="S28" s="1127" t="s">
        <v>129</v>
      </c>
      <c r="T28" s="1104">
        <v>1</v>
      </c>
      <c r="U28" s="1110">
        <f>'Summary Table'!C25</f>
        <v>1432.9432652886276</v>
      </c>
      <c r="V28" s="1110">
        <f>'Summary Table'!D25</f>
        <v>1389.4564060937773</v>
      </c>
      <c r="W28" s="1110">
        <f>'Summary Table'!E25</f>
        <v>1445.4198600226605</v>
      </c>
      <c r="X28" s="1110">
        <f>'Summary Table'!F25</f>
        <v>1474.4524204610232</v>
      </c>
      <c r="Y28" s="1110">
        <f>'Summary Table'!G25</f>
        <v>1516.3845483799519</v>
      </c>
      <c r="Z28" s="1110">
        <f>'Summary Table'!H25</f>
        <v>1542.280097691809</v>
      </c>
      <c r="AA28" s="1110">
        <f>'Summary Table'!I25</f>
        <v>1588.2793374504231</v>
      </c>
      <c r="AB28" s="1110">
        <f>'Summary Table'!J25</f>
        <v>1602.1285102616407</v>
      </c>
      <c r="AC28" s="1110">
        <f>'Summary Table'!K25</f>
        <v>1643.631953718932</v>
      </c>
      <c r="AD28" s="1110">
        <f>'Summary Table'!L25</f>
        <v>1710.533470614638</v>
      </c>
      <c r="AE28" s="1110">
        <f>'Summary Table'!M25</f>
        <v>1756.5518161208734</v>
      </c>
      <c r="AF28" s="1110">
        <f>'Summary Table'!N25</f>
        <v>1727.5780724003682</v>
      </c>
      <c r="AG28" s="1110">
        <f>'Summary Table'!O25</f>
        <v>1765.9312304048144</v>
      </c>
      <c r="AH28" s="1110">
        <f>'Summary Table'!P25</f>
        <v>1778.7205356811112</v>
      </c>
      <c r="AI28" s="1110">
        <f>'Summary Table'!Q25</f>
        <v>1813.2935615739598</v>
      </c>
      <c r="AJ28" s="1110">
        <f>'Summary Table'!R25</f>
        <v>1825.4762484604264</v>
      </c>
      <c r="AK28" s="1110">
        <f>'Summary Table'!S25</f>
        <v>1826.0002540005557</v>
      </c>
      <c r="AL28" s="1110">
        <f>'Summary Table'!T25</f>
        <v>1825.5562316874011</v>
      </c>
      <c r="AM28" s="1110">
        <f>'Summary Table'!U25</f>
        <v>1722.979673561545</v>
      </c>
      <c r="AN28" s="1110">
        <f>'Summary Table'!V25</f>
        <v>1650.5556008859128</v>
      </c>
      <c r="AO28" s="1110">
        <f>'Summary Table'!W25</f>
        <v>1658.4553294190557</v>
      </c>
      <c r="AP28" s="1110">
        <f>'Summary Table'!X25</f>
        <v>1631.4345760286221</v>
      </c>
      <c r="AQ28" s="1110">
        <f>'Summary Table'!Y25</f>
        <v>1618.0233222872737</v>
      </c>
      <c r="AR28" s="1110">
        <f>'Summary Table'!Z25</f>
        <v>1621.9966735810883</v>
      </c>
      <c r="AS28" s="1110">
        <f>'Summary Table'!AA25</f>
        <v>1667.1086070610122</v>
      </c>
      <c r="AT28" s="1110">
        <f>'Summary Table'!AB25</f>
        <v>1678.9752558374032</v>
      </c>
      <c r="AU28" s="1110">
        <f>'Summary Table'!AC25</f>
        <v>1717.8477376887884</v>
      </c>
      <c r="AV28" s="1110">
        <f>'Summary Table'!AD25</f>
        <v>1738.0500649093556</v>
      </c>
      <c r="AW28" s="1110">
        <f>'Summary Table'!AE25</f>
        <v>1762.2192146418806</v>
      </c>
      <c r="AX28" s="1110">
        <f>'Summary Table'!AF25</f>
        <v>1757.7069059853736</v>
      </c>
      <c r="AY28" s="1110">
        <f>'Summary Table'!AG25</f>
        <v>1514.1664116985837</v>
      </c>
      <c r="AZ28" s="1110">
        <f>'Summary Table'!AH25</f>
        <v>1688.3549089409773</v>
      </c>
      <c r="BA28" s="1110">
        <f>'Summary Table'!AI25</f>
        <v>1710.6018856605253</v>
      </c>
    </row>
    <row r="29" spans="1:53">
      <c r="A29" s="1092" t="s">
        <v>1430</v>
      </c>
      <c r="B29" s="1092" t="s">
        <v>1432</v>
      </c>
      <c r="C29" s="1092" t="s">
        <v>1433</v>
      </c>
      <c r="D29" s="1092" t="s">
        <v>1447</v>
      </c>
      <c r="E29" s="1092"/>
      <c r="F29" s="1092"/>
      <c r="G29" s="1092"/>
      <c r="H29" s="1092"/>
      <c r="I29" s="1092"/>
      <c r="J29" s="1092"/>
      <c r="K29" s="1092" t="s">
        <v>1435</v>
      </c>
      <c r="L29" s="1092"/>
      <c r="M29" s="1106" t="s">
        <v>1436</v>
      </c>
      <c r="N29" s="1106"/>
      <c r="O29" s="1106" t="s">
        <v>1448</v>
      </c>
      <c r="P29" s="1106"/>
      <c r="Q29" s="1106"/>
      <c r="R29" s="1109" t="s">
        <v>1438</v>
      </c>
      <c r="S29" s="1127" t="s">
        <v>129</v>
      </c>
      <c r="T29" s="1104">
        <v>1</v>
      </c>
      <c r="U29" s="1110">
        <f>('Summary Table'!C12)</f>
        <v>1546.5138658365147</v>
      </c>
      <c r="V29" s="1110">
        <f>('Summary Table'!D12)</f>
        <v>1547.1744736994474</v>
      </c>
      <c r="W29" s="1110">
        <f>('Summary Table'!E12)</f>
        <v>1568.5414841172681</v>
      </c>
      <c r="X29" s="1110">
        <f>('Summary Table'!F12)</f>
        <v>1631.6188101341861</v>
      </c>
      <c r="Y29" s="1110">
        <f>('Summary Table'!G12)</f>
        <v>1637.8528422171717</v>
      </c>
      <c r="Z29" s="1110">
        <f>('Summary Table'!H12)</f>
        <v>1659.8609103723704</v>
      </c>
      <c r="AA29" s="1110">
        <f>('Summary Table'!I12)</f>
        <v>1751.5233947269828</v>
      </c>
      <c r="AB29" s="1110">
        <f>('Summary Table'!J12)</f>
        <v>1796.0188853915236</v>
      </c>
      <c r="AC29" s="1110">
        <f>('Summary Table'!K12)</f>
        <v>1827.1476965735826</v>
      </c>
      <c r="AD29" s="1110">
        <f>('Summary Table'!L12)</f>
        <v>1835.4022340292524</v>
      </c>
      <c r="AE29" s="1110">
        <f>('Summary Table'!M12)</f>
        <v>1926.3651342158976</v>
      </c>
      <c r="AF29" s="1110">
        <f>('Summary Table'!N12)</f>
        <v>1868.8345135593859</v>
      </c>
      <c r="AG29" s="1110">
        <f>('Summary Table'!O12)</f>
        <v>1888.8946691071951</v>
      </c>
      <c r="AH29" s="1110">
        <f>('Summary Table'!P12)</f>
        <v>1929.9566599629634</v>
      </c>
      <c r="AI29" s="1110">
        <f>('Summary Table'!Q12)</f>
        <v>1942.0197985409238</v>
      </c>
      <c r="AJ29" s="1110">
        <f>('Summary Table'!R12)</f>
        <v>1982.7713676303179</v>
      </c>
      <c r="AK29" s="1110">
        <f>('Summary Table'!S12)</f>
        <v>1952.6895189382972</v>
      </c>
      <c r="AL29" s="1110">
        <f>('Summary Table'!T12)</f>
        <v>1986.2497853491975</v>
      </c>
      <c r="AM29" s="1110">
        <f>('Summary Table'!U12)</f>
        <v>1958.3876061335875</v>
      </c>
      <c r="AN29" s="1110">
        <f>('Summary Table'!V12)</f>
        <v>1740.1526692444147</v>
      </c>
      <c r="AO29" s="1110">
        <f>('Summary Table'!W12)</f>
        <v>1827.2452396274032</v>
      </c>
      <c r="AP29" s="1110">
        <f>('Summary Table'!X12)</f>
        <v>1722.3698705628942</v>
      </c>
      <c r="AQ29" s="1110">
        <f>('Summary Table'!Y12)</f>
        <v>1511.6931055686455</v>
      </c>
      <c r="AR29" s="1110">
        <f>('Summary Table'!Z12)</f>
        <v>1571.2511273959044</v>
      </c>
      <c r="AS29" s="1110">
        <f>('Summary Table'!AA12)</f>
        <v>1568.556173908122</v>
      </c>
      <c r="AT29" s="1110">
        <f>('Summary Table'!AB12)</f>
        <v>1351.3884116145925</v>
      </c>
      <c r="AU29" s="1110">
        <f>('Summary Table'!AC12)</f>
        <v>1242.0166623259897</v>
      </c>
      <c r="AV29" s="1110">
        <f>('Summary Table'!AD12)</f>
        <v>1207.0667392920539</v>
      </c>
      <c r="AW29" s="1110">
        <f>('Summary Table'!AE12)</f>
        <v>1152.8764230464151</v>
      </c>
      <c r="AX29" s="1110">
        <f>('Summary Table'!AF12)</f>
        <v>973.5397823880611</v>
      </c>
      <c r="AY29" s="1110">
        <f>('Summary Table'!AG12)</f>
        <v>788.15962639841325</v>
      </c>
      <c r="AZ29" s="1110">
        <f>('Summary Table'!AH12)</f>
        <v>910.06445819817407</v>
      </c>
      <c r="BA29" s="1110">
        <f>('Summary Table'!AI12)</f>
        <v>851.47205640141203</v>
      </c>
    </row>
    <row r="30" spans="1:53">
      <c r="A30" s="1092" t="s">
        <v>1430</v>
      </c>
      <c r="B30" s="1092" t="s">
        <v>1432</v>
      </c>
      <c r="C30" s="1092" t="s">
        <v>1433</v>
      </c>
      <c r="D30" s="1092" t="s">
        <v>1447</v>
      </c>
      <c r="E30" s="1092"/>
      <c r="F30" s="1092"/>
      <c r="G30" s="1092"/>
      <c r="H30" s="1092"/>
      <c r="I30" s="1092"/>
      <c r="J30" s="1092"/>
      <c r="K30" s="1092" t="s">
        <v>1439</v>
      </c>
      <c r="L30" s="1092"/>
      <c r="M30" s="1106" t="s">
        <v>1436</v>
      </c>
      <c r="N30" s="1106"/>
      <c r="O30" s="1106" t="s">
        <v>1448</v>
      </c>
      <c r="P30" s="1106"/>
      <c r="Q30" s="1106"/>
      <c r="R30" s="1109" t="s">
        <v>1438</v>
      </c>
      <c r="S30" s="1127" t="s">
        <v>129</v>
      </c>
      <c r="T30" s="1104">
        <v>1</v>
      </c>
      <c r="U30" s="1110">
        <f>('Summary Table'!C19)</f>
        <v>175.3600389026015</v>
      </c>
      <c r="V30" s="1110">
        <f>('Summary Table'!D19)</f>
        <v>178.96641557241685</v>
      </c>
      <c r="W30" s="1110">
        <f>('Summary Table'!E19)</f>
        <v>186.07465958323442</v>
      </c>
      <c r="X30" s="1110">
        <f>('Summary Table'!F19)</f>
        <v>187.58235295994123</v>
      </c>
      <c r="Y30" s="1110">
        <f>('Summary Table'!G19)</f>
        <v>210.85461547922213</v>
      </c>
      <c r="Z30" s="1110">
        <f>('Summary Table'!H19)</f>
        <v>228.17265505672165</v>
      </c>
      <c r="AA30" s="1110">
        <f>('Summary Table'!I19)</f>
        <v>204.86080527999366</v>
      </c>
      <c r="AB30" s="1110">
        <f>('Summary Table'!J19)</f>
        <v>218.81342912547896</v>
      </c>
      <c r="AC30" s="1110">
        <f>('Summary Table'!K19)</f>
        <v>247.66612926215842</v>
      </c>
      <c r="AD30" s="1110">
        <f>('Summary Table'!L19)</f>
        <v>259.94521454492025</v>
      </c>
      <c r="AE30" s="1110">
        <f>('Summary Table'!M19)</f>
        <v>280.82105213992054</v>
      </c>
      <c r="AF30" s="1110">
        <f>('Summary Table'!N19)</f>
        <v>289.35862946229537</v>
      </c>
      <c r="AG30" s="1110">
        <f>('Summary Table'!O19)</f>
        <v>306.00875363034964</v>
      </c>
      <c r="AH30" s="1110">
        <f>('Summary Table'!P19)</f>
        <v>278.12739640727375</v>
      </c>
      <c r="AI30" s="1110">
        <f>('Summary Table'!Q19)</f>
        <v>296.75029743802992</v>
      </c>
      <c r="AJ30" s="1110">
        <f>('Summary Table'!R19)</f>
        <v>318.85840260471355</v>
      </c>
      <c r="AK30" s="1110">
        <f>('Summary Table'!S19)</f>
        <v>337.97496302681611</v>
      </c>
      <c r="AL30" s="1110">
        <f>('Summary Table'!T19)</f>
        <v>371.46513223741312</v>
      </c>
      <c r="AM30" s="1110">
        <f>('Summary Table'!U19)</f>
        <v>362.11597738194661</v>
      </c>
      <c r="AN30" s="1110">
        <f>('Summary Table'!V19)</f>
        <v>372.54775041195018</v>
      </c>
      <c r="AO30" s="1110">
        <f>('Summary Table'!W19)</f>
        <v>399.53808692568629</v>
      </c>
      <c r="AP30" s="1110">
        <f>('Summary Table'!X19)</f>
        <v>409.42961840152782</v>
      </c>
      <c r="AQ30" s="1110">
        <f>('Summary Table'!Y19)</f>
        <v>492.79219630413746</v>
      </c>
      <c r="AR30" s="1110">
        <f>('Summary Table'!Z19)</f>
        <v>444.16593360966391</v>
      </c>
      <c r="AS30" s="1110">
        <f>('Summary Table'!AA19)</f>
        <v>442.88200596411235</v>
      </c>
      <c r="AT30" s="1110">
        <f>('Summary Table'!AB19)</f>
        <v>525.16054071183544</v>
      </c>
      <c r="AU30" s="1110">
        <f>('Summary Table'!AC19)</f>
        <v>544.99213211889321</v>
      </c>
      <c r="AV30" s="1110">
        <f>('Summary Table'!AD19)</f>
        <v>505.63466065505327</v>
      </c>
      <c r="AW30" s="1110">
        <f>('Summary Table'!AE19)</f>
        <v>577.93546402725235</v>
      </c>
      <c r="AX30" s="1110">
        <f>('Summary Table'!AF19)</f>
        <v>616.64869033042908</v>
      </c>
      <c r="AY30" s="1110">
        <f>('Summary Table'!AG19)</f>
        <v>634.84915679760923</v>
      </c>
      <c r="AZ30" s="1110">
        <f>('Summary Table'!AH19)</f>
        <v>612.7780915068297</v>
      </c>
      <c r="BA30" s="1110">
        <f>('Summary Table'!AI19)</f>
        <v>659.30521463869627</v>
      </c>
    </row>
    <row r="31" spans="1:53">
      <c r="A31" s="1092" t="s">
        <v>1430</v>
      </c>
      <c r="B31" s="1092" t="s">
        <v>1432</v>
      </c>
      <c r="C31" s="1092" t="s">
        <v>1433</v>
      </c>
      <c r="D31" s="1092" t="s">
        <v>1447</v>
      </c>
      <c r="E31" s="1092"/>
      <c r="F31" s="1092"/>
      <c r="G31" s="1092"/>
      <c r="H31" s="1092"/>
      <c r="I31" s="1092"/>
      <c r="J31" s="1092"/>
      <c r="K31" s="1092" t="s">
        <v>1440</v>
      </c>
      <c r="L31" s="1092"/>
      <c r="M31" s="1106" t="s">
        <v>1436</v>
      </c>
      <c r="N31" s="1106"/>
      <c r="O31" s="1106" t="s">
        <v>1448</v>
      </c>
      <c r="P31" s="1106"/>
      <c r="Q31" s="1106"/>
      <c r="R31" s="1109" t="s">
        <v>1438</v>
      </c>
      <c r="S31" s="1127" t="s">
        <v>129</v>
      </c>
      <c r="T31" s="1104">
        <v>1</v>
      </c>
      <c r="U31" s="1110">
        <f>('Summary Table'!C26)</f>
        <v>97.538490680398411</v>
      </c>
      <c r="V31" s="1110">
        <f>('Summary Table'!D26)</f>
        <v>90.678661907118197</v>
      </c>
      <c r="W31" s="1110">
        <f>('Summary Table'!E26)</f>
        <v>75.527743357330678</v>
      </c>
      <c r="X31" s="1110">
        <f>('Summary Table'!F26)</f>
        <v>86.415412739867193</v>
      </c>
      <c r="Y31" s="1110">
        <f>('Summary Table'!G26)</f>
        <v>81.246850001075686</v>
      </c>
      <c r="Z31" s="1110">
        <f>('Summary Table'!H26)</f>
        <v>58.71177506316068</v>
      </c>
      <c r="AA31" s="1110">
        <f>('Summary Table'!I26)</f>
        <v>63.3962927596016</v>
      </c>
      <c r="AB31" s="1110">
        <f>('Summary Table'!J26)</f>
        <v>72.207404234661354</v>
      </c>
      <c r="AC31" s="1110">
        <f>('Summary Table'!K26)</f>
        <v>101.26271580049136</v>
      </c>
      <c r="AD31" s="1110">
        <f>('Summary Table'!L26)</f>
        <v>93.83330481405045</v>
      </c>
      <c r="AE31" s="1110">
        <f>('Summary Table'!M26)</f>
        <v>88.524423740199197</v>
      </c>
      <c r="AF31" s="1110">
        <f>('Summary Table'!N26)</f>
        <v>98.561015855192565</v>
      </c>
      <c r="AG31" s="1110">
        <f>('Summary Table'!O26)</f>
        <v>76.854861578857893</v>
      </c>
      <c r="AH31" s="1110">
        <f>('Summary Table'!P26)</f>
        <v>95.127634817888449</v>
      </c>
      <c r="AI31" s="1110">
        <f>('Summary Table'!Q26)</f>
        <v>95.845222101221793</v>
      </c>
      <c r="AJ31" s="1110">
        <f>('Summary Table'!R26)</f>
        <v>97.96669769888446</v>
      </c>
      <c r="AK31" s="1110">
        <f>('Summary Table'!S26)</f>
        <v>53.276122434926961</v>
      </c>
      <c r="AL31" s="1110">
        <f>('Summary Table'!T26)</f>
        <v>52.964488890730408</v>
      </c>
      <c r="AM31" s="1110">
        <f>('Summary Table'!U26)</f>
        <v>38.386647737556437</v>
      </c>
      <c r="AN31" s="1110">
        <f>('Summary Table'!V26)</f>
        <v>32.211435291660024</v>
      </c>
      <c r="AO31" s="1110">
        <f>('Summary Table'!W26)</f>
        <v>31.428996559920311</v>
      </c>
      <c r="AP31" s="1110">
        <f>('Summary Table'!X26)</f>
        <v>25.831553656440903</v>
      </c>
      <c r="AQ31" s="1110">
        <f>('Summary Table'!Y26)</f>
        <v>18.333108585152722</v>
      </c>
      <c r="AR31" s="1110">
        <f>('Summary Table'!Z26)</f>
        <v>22.420050113678617</v>
      </c>
      <c r="AS31" s="1110">
        <f>('Summary Table'!AA26)</f>
        <v>25.304369663240369</v>
      </c>
      <c r="AT31" s="1110">
        <f>('Summary Table'!AB26)</f>
        <v>23.674448825350165</v>
      </c>
      <c r="AU31" s="1110">
        <f>('Summary Table'!AC26)</f>
        <v>21.458011279651984</v>
      </c>
      <c r="AV31" s="1110">
        <f>('Summary Table'!AD26)</f>
        <v>18.920639478904537</v>
      </c>
      <c r="AW31" s="1110">
        <f>('Summary Table'!AE26)</f>
        <v>22.215728844761522</v>
      </c>
      <c r="AX31" s="1110">
        <f>('Summary Table'!AF26)</f>
        <v>16.161308535890104</v>
      </c>
      <c r="AY31" s="1110">
        <f>('Summary Table'!AG26)</f>
        <v>16.166104737697388</v>
      </c>
      <c r="AZ31" s="1110">
        <f>('Summary Table'!AH26)</f>
        <v>17.713212252599575</v>
      </c>
      <c r="BA31" s="1110">
        <f>('Summary Table'!AI26)</f>
        <v>20.522249226051947</v>
      </c>
    </row>
    <row r="32" spans="1:53">
      <c r="A32" s="1092" t="s">
        <v>1430</v>
      </c>
      <c r="B32" s="1092" t="s">
        <v>1432</v>
      </c>
      <c r="C32" s="1092" t="s">
        <v>1433</v>
      </c>
      <c r="D32" s="1092" t="s">
        <v>1447</v>
      </c>
      <c r="E32" s="1092"/>
      <c r="F32" s="1092"/>
      <c r="G32" s="1092"/>
      <c r="H32" s="1092"/>
      <c r="I32" s="1092"/>
      <c r="J32" s="1092"/>
      <c r="K32" s="1092" t="s">
        <v>82</v>
      </c>
      <c r="L32" s="1092"/>
      <c r="M32" s="1106" t="s">
        <v>1436</v>
      </c>
      <c r="N32" s="1106"/>
      <c r="O32" s="1106" t="s">
        <v>1448</v>
      </c>
      <c r="P32" s="1106"/>
      <c r="Q32" s="1106"/>
      <c r="R32" s="1109" t="s">
        <v>1438</v>
      </c>
      <c r="S32" s="1127" t="s">
        <v>129</v>
      </c>
      <c r="T32" s="1104">
        <v>1</v>
      </c>
      <c r="U32" s="1110">
        <f>('Summary Table'!C28)</f>
        <v>0.53819391898531332</v>
      </c>
      <c r="V32" s="1110">
        <f>('Summary Table'!D28)</f>
        <v>0.53913328761937329</v>
      </c>
      <c r="W32" s="1110">
        <f>('Summary Table'!E28)</f>
        <v>0.54407238576943517</v>
      </c>
      <c r="X32" s="1110">
        <f>('Summary Table'!F28)</f>
        <v>0.55549804438478367</v>
      </c>
      <c r="Y32" s="1110">
        <f>('Summary Table'!G28)</f>
        <v>0.51416615280727973</v>
      </c>
      <c r="Z32" s="1110">
        <f>('Summary Table'!H28)</f>
        <v>0.42789739562582274</v>
      </c>
      <c r="AA32" s="1110">
        <f>('Summary Table'!I28)</f>
        <v>0.46247774297699551</v>
      </c>
      <c r="AB32" s="1110">
        <f>('Summary Table'!J28)</f>
        <v>0.48008445222437274</v>
      </c>
      <c r="AC32" s="1110">
        <f>('Summary Table'!K28)</f>
        <v>0.47808351702318308</v>
      </c>
      <c r="AD32" s="1110">
        <f>('Summary Table'!L28)</f>
        <v>0.48506929832140988</v>
      </c>
      <c r="AE32" s="1110">
        <f>('Summary Table'!M28)</f>
        <v>0.46106105539886988</v>
      </c>
      <c r="AF32" s="1110">
        <f>('Summary Table'!N28)</f>
        <v>0.44952386597193894</v>
      </c>
      <c r="AG32" s="1110">
        <f>('Summary Table'!O28)</f>
        <v>0.46881399496422538</v>
      </c>
      <c r="AH32" s="1110">
        <f>('Summary Table'!P28)</f>
        <v>0.46668759381997493</v>
      </c>
      <c r="AI32" s="1110">
        <f>('Summary Table'!Q28)</f>
        <v>0.46734375342683254</v>
      </c>
      <c r="AJ32" s="1110">
        <f>('Summary Table'!R28)</f>
        <v>0.46101770673125719</v>
      </c>
      <c r="AK32" s="1110">
        <f>('Summary Table'!S28)</f>
        <v>0.45493035004951315</v>
      </c>
      <c r="AL32" s="1110">
        <f>('Summary Table'!T28)</f>
        <v>0.45791243059931558</v>
      </c>
      <c r="AM32" s="1110">
        <f>('Summary Table'!U28)</f>
        <v>0.44186045906642402</v>
      </c>
      <c r="AN32" s="1110">
        <f>('Summary Table'!V28)</f>
        <v>0.43404580842672003</v>
      </c>
      <c r="AO32" s="1110">
        <f>('Summary Table'!W28)</f>
        <v>0.42666894035695202</v>
      </c>
      <c r="AP32" s="1110">
        <f>('Summary Table'!X28)</f>
        <v>0.436098145690272</v>
      </c>
      <c r="AQ32" s="1110">
        <f>('Summary Table'!Y28)</f>
        <v>0.43740649120955999</v>
      </c>
      <c r="AR32" s="1110">
        <f>('Summary Table'!Z28)</f>
        <v>0.43301642728912798</v>
      </c>
      <c r="AS32" s="1110">
        <f>('Summary Table'!AA28)</f>
        <v>0.42329941039188002</v>
      </c>
      <c r="AT32" s="1110">
        <f>('Summary Table'!AB28)</f>
        <v>0.41438842328750403</v>
      </c>
      <c r="AU32" s="1110">
        <f>('Summary Table'!AC28)</f>
        <v>0.40471025909529595</v>
      </c>
      <c r="AV32" s="1110">
        <f>('Summary Table'!AD28)</f>
        <v>0.410679019378689</v>
      </c>
      <c r="AW32" s="1110">
        <f>('Summary Table'!AE28)</f>
        <v>0.40475222088763196</v>
      </c>
      <c r="AX32" s="1110">
        <f>('Summary Table'!AF28)</f>
        <v>0.37101446085844803</v>
      </c>
      <c r="AY32" s="1110">
        <f>('Summary Table'!AG28)</f>
        <v>0.39082596898509597</v>
      </c>
      <c r="AZ32" s="1110">
        <f>('Summary Table'!AH28)</f>
        <v>0.37701789288105603</v>
      </c>
      <c r="BA32" s="1110">
        <f>('Summary Table'!AI28)</f>
        <v>0.38055713481468001</v>
      </c>
    </row>
    <row r="33" spans="1:53">
      <c r="A33" s="1092" t="s">
        <v>1430</v>
      </c>
      <c r="B33" s="1092" t="s">
        <v>1432</v>
      </c>
      <c r="C33" s="1092" t="s">
        <v>1433</v>
      </c>
      <c r="D33" s="1092" t="s">
        <v>74</v>
      </c>
      <c r="E33" s="1092"/>
      <c r="F33" s="1092"/>
      <c r="G33" s="1092"/>
      <c r="H33" s="1092"/>
      <c r="I33" s="1092"/>
      <c r="J33" s="1092"/>
      <c r="K33" s="1092" t="s">
        <v>1435</v>
      </c>
      <c r="L33" s="1092"/>
      <c r="M33" s="1106" t="s">
        <v>1436</v>
      </c>
      <c r="N33" s="1106"/>
      <c r="O33" s="1106" t="s">
        <v>1449</v>
      </c>
      <c r="P33" s="1106"/>
      <c r="Q33" s="1106"/>
      <c r="R33" s="1109" t="s">
        <v>1438</v>
      </c>
      <c r="S33" s="1127" t="s">
        <v>129</v>
      </c>
      <c r="T33" s="1104">
        <v>1</v>
      </c>
      <c r="U33" s="1110">
        <f>('Summary Table'!C13)</f>
        <v>0.49918364487950195</v>
      </c>
      <c r="V33" s="1110">
        <f>('Summary Table'!D13)</f>
        <v>0.46298199444111593</v>
      </c>
      <c r="W33" s="1110">
        <f>('Summary Table'!E13)</f>
        <v>0.39540420426145789</v>
      </c>
      <c r="X33" s="1110">
        <f>('Summary Table'!F13)</f>
        <v>0.414664583865334</v>
      </c>
      <c r="Y33" s="1110">
        <f>('Summary Table'!G13)</f>
        <v>0.4225953215157458</v>
      </c>
      <c r="Z33" s="1110">
        <f>('Summary Table'!H13)</f>
        <v>0.43052605711056213</v>
      </c>
      <c r="AA33" s="1110">
        <f>('Summary Table'!I13)</f>
        <v>0.44185569700838989</v>
      </c>
      <c r="AB33" s="1110">
        <f>('Summary Table'!J13)</f>
        <v>0.44910667394322812</v>
      </c>
      <c r="AC33" s="1110">
        <f>('Summary Table'!K13)</f>
        <v>0.45409170850918595</v>
      </c>
      <c r="AD33" s="1110">
        <f>('Summary Table'!L13)</f>
        <v>0.42032940175863998</v>
      </c>
      <c r="AE33" s="1110">
        <f>('Summary Table'!M13)</f>
        <v>0.47500388702083407</v>
      </c>
      <c r="AF33" s="1110">
        <f>('Summary Table'!N13)</f>
        <v>0.59682902437400609</v>
      </c>
      <c r="AG33" s="1110">
        <f>('Summary Table'!O13)</f>
        <v>2.0233696387959919</v>
      </c>
      <c r="AH33" s="1110">
        <f>('Summary Table'!P13)</f>
        <v>2.6638948248182412</v>
      </c>
      <c r="AI33" s="1110">
        <f>('Summary Table'!Q13)</f>
        <v>2.9457046672788625</v>
      </c>
      <c r="AJ33" s="1110">
        <f>('Summary Table'!R13)</f>
        <v>3.0136824655534786</v>
      </c>
      <c r="AK33" s="1110">
        <f>('Summary Table'!S13)</f>
        <v>3.3988899959624983</v>
      </c>
      <c r="AL33" s="1110">
        <f>('Summary Table'!T13)</f>
        <v>3.4023708872877636</v>
      </c>
      <c r="AM33" s="1110">
        <f>('Summary Table'!U13)</f>
        <v>3.4334171477753794</v>
      </c>
      <c r="AN33" s="1110">
        <f>('Summary Table'!V13)</f>
        <v>3.4095811621519387</v>
      </c>
      <c r="AO33" s="1110">
        <f>('Summary Table'!W13)</f>
        <v>3.1957130259780819</v>
      </c>
      <c r="AP33" s="1110">
        <f>('Summary Table'!X13)</f>
        <v>3.4382816448199178</v>
      </c>
      <c r="AQ33" s="1110">
        <f>('Summary Table'!Y13)</f>
        <v>3.2878464692658049</v>
      </c>
      <c r="AR33" s="1110">
        <f>('Summary Table'!Z13)</f>
        <v>3.275549300432385</v>
      </c>
      <c r="AS33" s="1110">
        <f>('Summary Table'!AA13)</f>
        <v>3.4423529910979647</v>
      </c>
      <c r="AT33" s="1110">
        <f>('Summary Table'!AB13)</f>
        <v>3.3100766326055582</v>
      </c>
      <c r="AU33" s="1110">
        <f>('Summary Table'!AC13)</f>
        <v>3.2706872988139057</v>
      </c>
      <c r="AV33" s="1110">
        <f>('Summary Table'!AD13)</f>
        <v>2.3004828509080002</v>
      </c>
      <c r="AW33" s="1110">
        <f>('Summary Table'!AE13)</f>
        <v>2.5567788600420003</v>
      </c>
      <c r="AX33" s="1110">
        <f>('Summary Table'!AF13)</f>
        <v>3.5604735078220004</v>
      </c>
      <c r="AY33" s="1110">
        <f>('Summary Table'!AG13)</f>
        <v>3.0825890668051215</v>
      </c>
      <c r="AZ33" s="1110">
        <f>('Summary Table'!AH13)</f>
        <v>2.8885689791967102</v>
      </c>
      <c r="BA33" s="1110">
        <f>('Summary Table'!AI13)</f>
        <v>2.8885689791967102</v>
      </c>
    </row>
    <row r="34" spans="1:53">
      <c r="A34" s="1092" t="s">
        <v>1430</v>
      </c>
      <c r="B34" s="1092" t="s">
        <v>1432</v>
      </c>
      <c r="C34" s="1092" t="s">
        <v>1433</v>
      </c>
      <c r="D34" s="1092" t="s">
        <v>74</v>
      </c>
      <c r="E34" s="1092"/>
      <c r="F34" s="1092"/>
      <c r="G34" s="1092"/>
      <c r="H34" s="1092"/>
      <c r="I34" s="1092"/>
      <c r="J34" s="1092"/>
      <c r="K34" s="1092" t="s">
        <v>1439</v>
      </c>
      <c r="L34" s="1092"/>
      <c r="M34" s="1106" t="s">
        <v>1436</v>
      </c>
      <c r="N34" s="1106"/>
      <c r="O34" s="1106" t="s">
        <v>1449</v>
      </c>
      <c r="P34" s="1106"/>
      <c r="Q34" s="1106"/>
      <c r="R34" s="1109" t="s">
        <v>1438</v>
      </c>
      <c r="S34" s="1127" t="s">
        <v>129</v>
      </c>
      <c r="T34" s="1104">
        <v>1</v>
      </c>
      <c r="U34" s="1110" t="str">
        <f>('Summary Table'!C20)</f>
        <v>NO</v>
      </c>
      <c r="V34" s="1110" t="str">
        <f>('Summary Table'!D20)</f>
        <v>NO</v>
      </c>
      <c r="W34" s="1110" t="str">
        <f>('Summary Table'!E20)</f>
        <v>NO</v>
      </c>
      <c r="X34" s="1110" t="str">
        <f>('Summary Table'!F20)</f>
        <v>NO</v>
      </c>
      <c r="Y34" s="1110" t="str">
        <f>('Summary Table'!G20)</f>
        <v>NO</v>
      </c>
      <c r="Z34" s="1110" t="str">
        <f>('Summary Table'!H20)</f>
        <v>NO</v>
      </c>
      <c r="AA34" s="1110" t="str">
        <f>('Summary Table'!I20)</f>
        <v>NO</v>
      </c>
      <c r="AB34" s="1110" t="str">
        <f>('Summary Table'!J20)</f>
        <v>NO</v>
      </c>
      <c r="AC34" s="1110" t="str">
        <f>('Summary Table'!K20)</f>
        <v>NO</v>
      </c>
      <c r="AD34" s="1110" t="str">
        <f>('Summary Table'!L20)</f>
        <v>NO</v>
      </c>
      <c r="AE34" s="1110">
        <f>('Summary Table'!M20)</f>
        <v>0.67212201477417799</v>
      </c>
      <c r="AF34" s="1110">
        <f>('Summary Table'!N20)</f>
        <v>1.2125167466946647</v>
      </c>
      <c r="AG34" s="1110">
        <f>('Summary Table'!O20)</f>
        <v>1.2089205865598054</v>
      </c>
      <c r="AH34" s="1110">
        <f>('Summary Table'!P20)</f>
        <v>1.4242260199270667</v>
      </c>
      <c r="AI34" s="1110">
        <f>('Summary Table'!Q20)</f>
        <v>1.3068074496928888</v>
      </c>
      <c r="AJ34" s="1110">
        <f>('Summary Table'!R20)</f>
        <v>1.2895019369609928</v>
      </c>
      <c r="AK34" s="1110">
        <f>('Summary Table'!S20)</f>
        <v>1.3857334247939026</v>
      </c>
      <c r="AL34" s="1110">
        <f>('Summary Table'!T20)</f>
        <v>1.415921575354</v>
      </c>
      <c r="AM34" s="1110">
        <f>('Summary Table'!U20)</f>
        <v>1.5513054613666941</v>
      </c>
      <c r="AN34" s="1110">
        <f>('Summary Table'!V20)</f>
        <v>1.4531353816314685</v>
      </c>
      <c r="AO34" s="1110">
        <f>('Summary Table'!W20)</f>
        <v>1.4764952126860063</v>
      </c>
      <c r="AP34" s="1110">
        <f>('Summary Table'!X20)</f>
        <v>1.4370506029671137</v>
      </c>
      <c r="AQ34" s="1110">
        <f>('Summary Table'!Y20)</f>
        <v>2.6097333297164047</v>
      </c>
      <c r="AR34" s="1110">
        <f>('Summary Table'!Z20)</f>
        <v>3.0881755478141319</v>
      </c>
      <c r="AS34" s="1110">
        <f>('Summary Table'!AA20)</f>
        <v>3.2092986456579755</v>
      </c>
      <c r="AT34" s="1110">
        <f>('Summary Table'!AB20)</f>
        <v>3.0379310176521801</v>
      </c>
      <c r="AU34" s="1110">
        <f>('Summary Table'!AC20)</f>
        <v>3.3649958579027071</v>
      </c>
      <c r="AV34" s="1110">
        <f>('Summary Table'!AD20)</f>
        <v>2.5455513992585312</v>
      </c>
      <c r="AW34" s="1110">
        <f>('Summary Table'!AE20)</f>
        <v>3.3040677421953082</v>
      </c>
      <c r="AX34" s="1110">
        <f>('Summary Table'!AF20)</f>
        <v>3.773022660515549</v>
      </c>
      <c r="AY34" s="1110">
        <f>('Summary Table'!AG20)</f>
        <v>2.647583744073164</v>
      </c>
      <c r="AZ34" s="1110">
        <f>('Summary Table'!AH20)</f>
        <v>3.9226452440549542</v>
      </c>
      <c r="BA34" s="1110">
        <f>('Summary Table'!AI20)</f>
        <v>3.9197560160609353</v>
      </c>
    </row>
    <row r="35" spans="1:53">
      <c r="A35" s="1092" t="s">
        <v>1430</v>
      </c>
      <c r="B35" s="1092" t="s">
        <v>1432</v>
      </c>
      <c r="C35" s="1092" t="s">
        <v>1433</v>
      </c>
      <c r="D35" s="1092" t="s">
        <v>74</v>
      </c>
      <c r="E35" s="1092"/>
      <c r="F35" s="1092"/>
      <c r="G35" s="1092"/>
      <c r="H35" s="1092"/>
      <c r="I35" s="1092"/>
      <c r="J35" s="1092"/>
      <c r="K35" s="1092" t="s">
        <v>1440</v>
      </c>
      <c r="L35" s="1092"/>
      <c r="M35" s="1106" t="s">
        <v>1436</v>
      </c>
      <c r="N35" s="1106"/>
      <c r="O35" s="1106" t="s">
        <v>1449</v>
      </c>
      <c r="P35" s="1106"/>
      <c r="Q35" s="1106"/>
      <c r="R35" s="1109" t="s">
        <v>1438</v>
      </c>
      <c r="S35" s="1127" t="s">
        <v>129</v>
      </c>
      <c r="T35" s="1104">
        <v>1</v>
      </c>
      <c r="U35" s="1110">
        <f>('Summary Table'!C27)</f>
        <v>19.508959997567821</v>
      </c>
      <c r="V35" s="1110">
        <f>('Summary Table'!D27)</f>
        <v>18.719462787601117</v>
      </c>
      <c r="W35" s="1110">
        <f>('Summary Table'!E27)</f>
        <v>21.550453172158644</v>
      </c>
      <c r="X35" s="1110">
        <f>('Summary Table'!F27)</f>
        <v>22.209565820159433</v>
      </c>
      <c r="Y35" s="1110">
        <f>('Summary Table'!G27)</f>
        <v>24.309329766534255</v>
      </c>
      <c r="Z35" s="1110">
        <f>('Summary Table'!H27)</f>
        <v>21.11806308104892</v>
      </c>
      <c r="AA35" s="1110">
        <f>('Summary Table'!I27)</f>
        <v>19.336238272987909</v>
      </c>
      <c r="AB35" s="1110">
        <f>('Summary Table'!J27)</f>
        <v>19.632812588792206</v>
      </c>
      <c r="AC35" s="1110">
        <f>('Summary Table'!K27)</f>
        <v>18.991174385790437</v>
      </c>
      <c r="AD35" s="1110">
        <f>('Summary Table'!L27)</f>
        <v>15.05096583845658</v>
      </c>
      <c r="AE35" s="1110">
        <f>('Summary Table'!M27)</f>
        <v>35.882449882897561</v>
      </c>
      <c r="AF35" s="1110">
        <f>('Summary Table'!N27)</f>
        <v>47.84126149792592</v>
      </c>
      <c r="AG35" s="1110">
        <f>('Summary Table'!O27)</f>
        <v>41.918924234670499</v>
      </c>
      <c r="AH35" s="1110">
        <f>('Summary Table'!P27)</f>
        <v>46.275896176518664</v>
      </c>
      <c r="AI35" s="1110">
        <f>('Summary Table'!Q27)</f>
        <v>48.662481315630998</v>
      </c>
      <c r="AJ35" s="1110">
        <f>('Summary Table'!R27)</f>
        <v>47.552669878629565</v>
      </c>
      <c r="AK35" s="1110">
        <f>('Summary Table'!S27)</f>
        <v>46.476346066172155</v>
      </c>
      <c r="AL35" s="1110">
        <f>('Summary Table'!T27)</f>
        <v>41.828251627125084</v>
      </c>
      <c r="AM35" s="1110">
        <f>('Summary Table'!U27)</f>
        <v>33.478967793935858</v>
      </c>
      <c r="AN35" s="1110">
        <f>('Summary Table'!V27)</f>
        <v>34.095301754220401</v>
      </c>
      <c r="AO35" s="1110">
        <f>('Summary Table'!W27)</f>
        <v>29.831092711053437</v>
      </c>
      <c r="AP35" s="1110">
        <f>('Summary Table'!X27)</f>
        <v>29.187061284242123</v>
      </c>
      <c r="AQ35" s="1110">
        <f>('Summary Table'!Y27)</f>
        <v>27.056320471856431</v>
      </c>
      <c r="AR35" s="1110">
        <f>('Summary Table'!Z27)</f>
        <v>21.764648413326455</v>
      </c>
      <c r="AS35" s="1110">
        <f>('Summary Table'!AA27)</f>
        <v>21.626600043234902</v>
      </c>
      <c r="AT35" s="1110">
        <f>('Summary Table'!AB27)</f>
        <v>22.186278560353131</v>
      </c>
      <c r="AU35" s="1110">
        <f>('Summary Table'!AC27)</f>
        <v>19.529039380245276</v>
      </c>
      <c r="AV35" s="1110">
        <f>('Summary Table'!AD27)</f>
        <v>21.099650390484019</v>
      </c>
      <c r="AW35" s="1110">
        <f>('Summary Table'!AE27)</f>
        <v>20.061671070602724</v>
      </c>
      <c r="AX35" s="1110">
        <f>('Summary Table'!AF27)</f>
        <v>17.47925018767976</v>
      </c>
      <c r="AY35" s="1110">
        <f>('Summary Table'!AG27)</f>
        <v>17.548655495362741</v>
      </c>
      <c r="AZ35" s="1110">
        <f>('Summary Table'!AH27)</f>
        <v>16.96048967609271</v>
      </c>
      <c r="BA35" s="1110">
        <f>('Summary Table'!AI27)</f>
        <v>16.958327323098519</v>
      </c>
    </row>
    <row r="36" spans="1:53">
      <c r="A36" s="1092" t="s">
        <v>1430</v>
      </c>
      <c r="B36" s="1092" t="s">
        <v>1432</v>
      </c>
      <c r="C36" s="1092" t="s">
        <v>1450</v>
      </c>
      <c r="D36" s="1092" t="s">
        <v>1443</v>
      </c>
      <c r="E36" s="1092"/>
      <c r="F36" s="1092"/>
      <c r="G36" s="1092"/>
      <c r="H36" s="1092"/>
      <c r="I36" s="1092"/>
      <c r="J36" s="1092"/>
      <c r="K36" s="1092"/>
      <c r="L36" s="1092"/>
      <c r="M36" s="1106" t="s">
        <v>1436</v>
      </c>
      <c r="N36" s="1106"/>
      <c r="O36" s="1106" t="s">
        <v>1449</v>
      </c>
      <c r="P36" s="1106"/>
      <c r="Q36" s="1106"/>
      <c r="R36" s="1109" t="s">
        <v>1438</v>
      </c>
      <c r="S36" s="1127" t="s">
        <v>129</v>
      </c>
      <c r="T36" s="1104">
        <v>1</v>
      </c>
      <c r="U36" s="1110">
        <f>'Non-Energy Use'!E157</f>
        <v>88.302765434312505</v>
      </c>
      <c r="V36" s="1110">
        <f>'Non-Energy Use'!F157</f>
        <v>92.387602317060157</v>
      </c>
      <c r="W36" s="1110">
        <f>'Non-Energy Use'!G157</f>
        <v>99.548101302642465</v>
      </c>
      <c r="X36" s="1110">
        <f>'Non-Energy Use'!H157</f>
        <v>87.596890482114404</v>
      </c>
      <c r="Y36" s="1110">
        <f>'Non-Energy Use'!I157</f>
        <v>98.135911100322659</v>
      </c>
      <c r="Z36" s="1110">
        <f>'Non-Energy Use'!J157</f>
        <v>94.070485944993678</v>
      </c>
      <c r="AA36" s="1110">
        <f>'Non-Energy Use'!K157</f>
        <v>89.727852600692273</v>
      </c>
      <c r="AB36" s="1110">
        <f>'Non-Energy Use'!L157</f>
        <v>100.61527807783369</v>
      </c>
      <c r="AC36" s="1110">
        <f>'Non-Energy Use'!M157</f>
        <v>106.34068281015661</v>
      </c>
      <c r="AD36" s="1110">
        <f>'Non-Energy Use'!N157</f>
        <v>123.25489948982934</v>
      </c>
      <c r="AE36" s="1110">
        <f>'Non-Energy Use'!O157</f>
        <v>101.65137475590112</v>
      </c>
      <c r="AF36" s="1110">
        <f>'Non-Energy Use'!P157</f>
        <v>102.01238243891636</v>
      </c>
      <c r="AG36" s="1110">
        <f>'Non-Energy Use'!Q157</f>
        <v>101.20608516773078</v>
      </c>
      <c r="AH36" s="1110">
        <f>'Non-Energy Use'!R157</f>
        <v>97.335079492743077</v>
      </c>
      <c r="AI36" s="1110">
        <f>'Non-Energy Use'!S157</f>
        <v>115.48206211028976</v>
      </c>
      <c r="AJ36" s="1110">
        <f>'Non-Energy Use'!T157</f>
        <v>108.17955285360736</v>
      </c>
      <c r="AK36" s="1110">
        <f>'Non-Energy Use'!U157</f>
        <v>108.22020765810684</v>
      </c>
      <c r="AL36" s="1110">
        <f>'Non-Energy Use'!V157</f>
        <v>95.633334651264192</v>
      </c>
      <c r="AM36" s="1110">
        <f>'Non-Energy Use'!W157</f>
        <v>94.625289972210965</v>
      </c>
      <c r="AN36" s="1110">
        <f>'Non-Energy Use'!X157</f>
        <v>80.813050121206558</v>
      </c>
      <c r="AO36" s="1110">
        <f>'Non-Energy Use'!Y157</f>
        <v>79.502435694475977</v>
      </c>
      <c r="AP36" s="1110">
        <f>'Non-Energy Use'!Z157</f>
        <v>78.10694374454792</v>
      </c>
      <c r="AQ36" s="1110">
        <f>'Non-Energy Use'!AA157</f>
        <v>78.94216217639611</v>
      </c>
      <c r="AR36" s="1110">
        <f>'Non-Energy Use'!AB157</f>
        <v>88.585357853193855</v>
      </c>
      <c r="AS36" s="1110">
        <f>'Non-Energy Use'!AC157</f>
        <v>83.875150723384181</v>
      </c>
      <c r="AT36" s="1110">
        <f>'Non-Energy Use'!AD157</f>
        <v>91.407658367430244</v>
      </c>
      <c r="AU36" s="1110">
        <f>'Non-Energy Use'!AE157</f>
        <v>85.101147291353129</v>
      </c>
      <c r="AV36" s="1110">
        <f>'Non-Energy Use'!AF157</f>
        <v>97.174546254151224</v>
      </c>
      <c r="AW36" s="1110">
        <f>'Non-Energy Use'!AG157</f>
        <v>112.27141958876972</v>
      </c>
      <c r="AX36" s="1110">
        <f>'Non-Energy Use'!AH157</f>
        <v>106.89843064940777</v>
      </c>
      <c r="AY36" s="1110">
        <f>'Non-Energy Use'!AI157</f>
        <v>100.07453942904878</v>
      </c>
      <c r="AZ36" s="1110">
        <f>'Non-Energy Use'!AJ157</f>
        <v>112.77845043270125</v>
      </c>
      <c r="BA36" s="1110">
        <f>'Non-Energy Use'!AK157</f>
        <v>107.52288824830759</v>
      </c>
    </row>
    <row r="37" spans="1:53">
      <c r="A37" s="1092" t="s">
        <v>1430</v>
      </c>
      <c r="B37" s="1092" t="s">
        <v>1432</v>
      </c>
      <c r="C37" s="1092" t="s">
        <v>1450</v>
      </c>
      <c r="D37" s="1092" t="s">
        <v>1445</v>
      </c>
      <c r="E37" s="1092"/>
      <c r="F37" s="1092"/>
      <c r="G37" s="1092"/>
      <c r="H37" s="1092"/>
      <c r="I37" s="1092"/>
      <c r="J37" s="1092"/>
      <c r="K37" s="1092"/>
      <c r="L37" s="1092"/>
      <c r="M37" s="1106" t="s">
        <v>1436</v>
      </c>
      <c r="N37" s="1106"/>
      <c r="O37" s="1106" t="s">
        <v>1449</v>
      </c>
      <c r="P37" s="1106"/>
      <c r="Q37" s="1106"/>
      <c r="R37" s="1109" t="s">
        <v>1438</v>
      </c>
      <c r="S37" s="1127" t="s">
        <v>129</v>
      </c>
      <c r="T37" s="1104">
        <v>1</v>
      </c>
      <c r="U37" s="1110">
        <f>'Non-Energy Use'!E174</f>
        <v>11.83867525803792</v>
      </c>
      <c r="V37" s="1110">
        <f>'Non-Energy Use'!F174</f>
        <v>10.590905791920855</v>
      </c>
      <c r="W37" s="1110">
        <f>'Non-Energy Use'!G174</f>
        <v>10.797880813335526</v>
      </c>
      <c r="X37" s="1110">
        <f>'Non-Energy Use'!H174</f>
        <v>10.995035115502057</v>
      </c>
      <c r="Y37" s="1110">
        <f>'Non-Energy Use'!I174</f>
        <v>11.491990415538332</v>
      </c>
      <c r="Z37" s="1110">
        <f>'Non-Energy Use'!J174</f>
        <v>11.294701582971145</v>
      </c>
      <c r="AA37" s="1110">
        <f>'Non-Energy Use'!K174</f>
        <v>10.961335250136848</v>
      </c>
      <c r="AB37" s="1110">
        <f>'Non-Energy Use'!L174</f>
        <v>11.579435175967021</v>
      </c>
      <c r="AC37" s="1110">
        <f>'Non-Energy Use'!M174</f>
        <v>12.121996281826874</v>
      </c>
      <c r="AD37" s="1110">
        <f>'Non-Energy Use'!N174</f>
        <v>12.248791184448473</v>
      </c>
      <c r="AE37" s="1110">
        <f>'Non-Energy Use'!O174</f>
        <v>12.065089922347896</v>
      </c>
      <c r="AF37" s="1110">
        <f>'Non-Energy Use'!P174</f>
        <v>11.054295756992577</v>
      </c>
      <c r="AG37" s="1110">
        <f>'Non-Energy Use'!Q174</f>
        <v>10.923330411950532</v>
      </c>
      <c r="AH37" s="1110">
        <f>'Non-Energy Use'!R174</f>
        <v>10.098793586308323</v>
      </c>
      <c r="AI37" s="1110">
        <f>'Non-Energy Use'!S174</f>
        <v>10.231171500557293</v>
      </c>
      <c r="AJ37" s="1110">
        <f>'Non-Energy Use'!T174</f>
        <v>10.177695666295135</v>
      </c>
      <c r="AK37" s="1110">
        <f>'Non-Energy Use'!U174</f>
        <v>9.9158322414113744</v>
      </c>
      <c r="AL37" s="1110">
        <f>'Non-Energy Use'!V174</f>
        <v>10.239848711399834</v>
      </c>
      <c r="AM37" s="1110">
        <f>'Non-Energy Use'!W174</f>
        <v>9.5065907626051107</v>
      </c>
      <c r="AN37" s="1110">
        <f>'Non-Energy Use'!X174</f>
        <v>8.5470526799010713</v>
      </c>
      <c r="AO37" s="1110">
        <f>'Non-Energy Use'!Y174</f>
        <v>10.410836850638086</v>
      </c>
      <c r="AP37" s="1110">
        <f>'Non-Energy Use'!Z174</f>
        <v>9.9802723033272844</v>
      </c>
      <c r="AQ37" s="1110">
        <f>'Non-Energy Use'!AA174</f>
        <v>9.1082462462522642</v>
      </c>
      <c r="AR37" s="1110">
        <f>'Non-Energy Use'!AB174</f>
        <v>9.643206384474853</v>
      </c>
      <c r="AS37" s="1110">
        <f>'Non-Energy Use'!AC174</f>
        <v>10.046797586453419</v>
      </c>
      <c r="AT37" s="1110">
        <f>'Non-Energy Use'!AD174</f>
        <v>10.951514530888703</v>
      </c>
      <c r="AU37" s="1110">
        <f>'Non-Energy Use'!AE174</f>
        <v>10.382450936098925</v>
      </c>
      <c r="AV37" s="1110">
        <f>'Non-Energy Use'!AF174</f>
        <v>9.5505149384204433</v>
      </c>
      <c r="AW37" s="1110">
        <f>'Non-Energy Use'!AG174</f>
        <v>9.2143907323726282</v>
      </c>
      <c r="AX37" s="1110">
        <f>'Non-Energy Use'!AH174</f>
        <v>8.8338714941071714</v>
      </c>
      <c r="AY37" s="1110">
        <f>'Non-Energy Use'!AI174</f>
        <v>7.7768661361253066</v>
      </c>
      <c r="AZ37" s="1110">
        <f>'Non-Energy Use'!AJ174</f>
        <v>8.0071149168540767</v>
      </c>
      <c r="BA37" s="1110">
        <f>'Non-Energy Use'!AK174</f>
        <v>8.4341144085474014</v>
      </c>
    </row>
    <row r="38" spans="1:53">
      <c r="A38" s="1092" t="s">
        <v>1430</v>
      </c>
      <c r="B38" s="1092" t="s">
        <v>1432</v>
      </c>
      <c r="C38" s="1092" t="s">
        <v>1450</v>
      </c>
      <c r="D38" s="1092" t="s">
        <v>74</v>
      </c>
      <c r="E38" s="1092"/>
      <c r="F38" s="1092"/>
      <c r="G38" s="1092"/>
      <c r="H38" s="1092"/>
      <c r="I38" s="1092"/>
      <c r="J38" s="1092"/>
      <c r="K38" s="1092"/>
      <c r="L38" s="1092"/>
      <c r="M38" s="1106" t="s">
        <v>1436</v>
      </c>
      <c r="N38" s="1106"/>
      <c r="O38" s="1106" t="s">
        <v>1449</v>
      </c>
      <c r="P38" s="1106"/>
      <c r="Q38" s="1106"/>
      <c r="R38" s="1109" t="s">
        <v>1438</v>
      </c>
      <c r="S38" s="1127" t="s">
        <v>129</v>
      </c>
      <c r="T38" s="1104">
        <v>1</v>
      </c>
      <c r="U38" s="1110">
        <f>'Non-Energy Use'!E176</f>
        <v>3.3548470430008166</v>
      </c>
      <c r="V38" s="1110">
        <f>'Non-Energy Use'!F176</f>
        <v>4.2506398475696647</v>
      </c>
      <c r="W38" s="1110">
        <f>'Non-Energy Use'!G176</f>
        <v>2.3504529425133871</v>
      </c>
      <c r="X38" s="1110">
        <f>'Non-Energy Use'!H176</f>
        <v>2.564758168410584</v>
      </c>
      <c r="Y38" s="1110">
        <f>'Non-Energy Use'!I176</f>
        <v>2.0077955833003638</v>
      </c>
      <c r="Z38" s="1110">
        <f>'Non-Energy Use'!J176</f>
        <v>3.6616385077429556</v>
      </c>
      <c r="AA38" s="1110">
        <f>'Non-Energy Use'!K176</f>
        <v>4.8027989908123798</v>
      </c>
      <c r="AB38" s="1110">
        <f>'Non-Energy Use'!L176</f>
        <v>5.1118096075107005</v>
      </c>
      <c r="AC38" s="1110">
        <f>'Non-Energy Use'!M176</f>
        <v>5.0573593072302625</v>
      </c>
      <c r="AD38" s="1110">
        <f>'Non-Energy Use'!N176</f>
        <v>8.9278636363727841</v>
      </c>
      <c r="AE38" s="1110">
        <f>'Non-Energy Use'!O176</f>
        <v>9.2983357859485896</v>
      </c>
      <c r="AF38" s="1110">
        <f>'Non-Energy Use'!P176</f>
        <v>5.64706452714693</v>
      </c>
      <c r="AG38" s="1110">
        <f>'Non-Energy Use'!Q176</f>
        <v>9.2591227892368035</v>
      </c>
      <c r="AH38" s="1110">
        <f>'Non-Energy Use'!R176</f>
        <v>7.9672673364502948</v>
      </c>
      <c r="AI38" s="1110">
        <f>'Non-Energy Use'!S176</f>
        <v>7.4903866402009127</v>
      </c>
      <c r="AJ38" s="1110">
        <f>'Non-Energy Use'!T176</f>
        <v>7.5911567033889051</v>
      </c>
      <c r="AK38" s="1110">
        <f>'Non-Energy Use'!U176</f>
        <v>6.5127349477537626</v>
      </c>
      <c r="AL38" s="1110">
        <f>'Non-Energy Use'!V176</f>
        <v>7.3322339278656106</v>
      </c>
      <c r="AM38" s="1110">
        <f>'Non-Energy Use'!W176</f>
        <v>5.1525462474638886</v>
      </c>
      <c r="AN38" s="1110">
        <f>'Non-Energy Use'!X176</f>
        <v>2.6642344558136202</v>
      </c>
      <c r="AO38" s="1110">
        <f>'Non-Energy Use'!Y176</f>
        <v>1.8108634504127736</v>
      </c>
      <c r="AP38" s="1110">
        <f>'Non-Energy Use'!Z176</f>
        <v>0.96491867416989852</v>
      </c>
      <c r="AQ38" s="1110">
        <f>'Non-Energy Use'!AA176</f>
        <v>1.1642501635348419</v>
      </c>
      <c r="AR38" s="1110">
        <f>'Non-Energy Use'!AB176</f>
        <v>0.69663405488456376</v>
      </c>
      <c r="AS38" s="1110">
        <f>'Non-Energy Use'!AC176</f>
        <v>0.70444519418935037</v>
      </c>
      <c r="AT38" s="1110">
        <f>'Non-Energy Use'!AD176</f>
        <v>0.68433442912085773</v>
      </c>
      <c r="AU38" s="1110">
        <f>'Non-Energy Use'!AE176</f>
        <v>0.69512829208615257</v>
      </c>
      <c r="AV38" s="1110">
        <f>'Non-Energy Use'!AF176</f>
        <v>0.23172729642228673</v>
      </c>
      <c r="AW38" s="1110">
        <f>'Non-Energy Use'!AG176</f>
        <v>0.23724339198385783</v>
      </c>
      <c r="AX38" s="1110">
        <f>'Non-Energy Use'!AH176</f>
        <v>0.24172689021955107</v>
      </c>
      <c r="AY38" s="1110">
        <f>'Non-Energy Use'!AI176</f>
        <v>7.0273152103199982E-2</v>
      </c>
      <c r="AZ38" s="1110">
        <f>'Non-Energy Use'!AJ176</f>
        <v>7.0310902882199974E-2</v>
      </c>
      <c r="BA38" s="1110">
        <f>'Non-Energy Use'!AK176</f>
        <v>7.0310902882199974E-2</v>
      </c>
    </row>
  </sheetData>
  <mergeCells count="13">
    <mergeCell ref="A3:H3"/>
    <mergeCell ref="A4:H5"/>
    <mergeCell ref="A8:B8"/>
    <mergeCell ref="C8:E8"/>
    <mergeCell ref="A9:B9"/>
    <mergeCell ref="C9:E9"/>
    <mergeCell ref="BB14:BI15"/>
    <mergeCell ref="A10:B10"/>
    <mergeCell ref="C10:E10"/>
    <mergeCell ref="A11:B11"/>
    <mergeCell ref="C11:E11"/>
    <mergeCell ref="A12:B12"/>
    <mergeCell ref="C12:E12"/>
  </mergeCells>
  <dataValidations count="4">
    <dataValidation type="list" allowBlank="1" showInputMessage="1" showErrorMessage="1" sqref="A17:A38" xr:uid="{247BA829-9AF4-44CB-A5AE-09C890E8081A}">
      <formula1>"GHG"</formula1>
    </dataValidation>
    <dataValidation type="list" allowBlank="1" showInputMessage="1" showErrorMessage="1" sqref="C11:E11" xr:uid="{0FD6B53F-FBDD-4C87-B6D7-3C7D066BB312}">
      <formula1>"2024, 2025, 2025, 2026, 2027"</formula1>
    </dataValidation>
    <dataValidation type="list" allowBlank="1" showInputMessage="1" showErrorMessage="1" sqref="C12:K12" xr:uid="{333DBF73-41B7-4453-9270-0AFCAC943F5F}">
      <formula1>"DRAFT,INTERIM,FINAL"</formula1>
    </dataValidation>
    <dataValidation type="list" allowBlank="1" showInputMessage="1" showErrorMessage="1" sqref="F11:K11" xr:uid="{205ECB82-3E04-4057-BAD3-FF3D6F467CD2}">
      <formula1>"2014,2015,2016,2017,2018,2019,2020,2021,2022,2023,2024"</formula1>
    </dataValidation>
  </dataValidations>
  <hyperlinks>
    <hyperlink ref="C10" r:id="rId1" xr:uid="{A0796209-3312-487B-8277-F049017C9851}"/>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8"/>
  <dimension ref="A1:AP421"/>
  <sheetViews>
    <sheetView workbookViewId="0">
      <selection activeCell="AP32" sqref="AP32"/>
    </sheetView>
  </sheetViews>
  <sheetFormatPr defaultRowHeight="9.9499999999999993"/>
  <cols>
    <col min="1" max="1" width="15" customWidth="1"/>
    <col min="2" max="2" width="34" bestFit="1" customWidth="1"/>
    <col min="3" max="3" width="22" bestFit="1" customWidth="1"/>
    <col min="4" max="4" width="13" bestFit="1" customWidth="1"/>
    <col min="5" max="5" width="9.6640625" bestFit="1" customWidth="1"/>
    <col min="6" max="7" width="9.6640625" customWidth="1"/>
    <col min="8" max="9" width="11.6640625" customWidth="1"/>
    <col min="10" max="37" width="10.6640625" customWidth="1"/>
    <col min="38" max="40" width="10.6640625" bestFit="1" customWidth="1"/>
    <col min="41" max="42" width="10.6640625" customWidth="1"/>
  </cols>
  <sheetData>
    <row r="1" spans="1:42" ht="14.1">
      <c r="A1" s="345" t="s">
        <v>1396</v>
      </c>
      <c r="B1" s="346"/>
      <c r="I1" s="347"/>
    </row>
    <row r="2" spans="1:42" ht="15" customHeight="1">
      <c r="B2" s="346"/>
    </row>
    <row r="3" spans="1:42" ht="11.25" customHeight="1">
      <c r="A3" s="1220" t="s">
        <v>1451</v>
      </c>
      <c r="B3" s="1220"/>
      <c r="C3" s="1220"/>
      <c r="D3" s="1220"/>
      <c r="E3" s="1220"/>
      <c r="F3" s="1220"/>
      <c r="G3" s="1220"/>
      <c r="H3" s="1220"/>
      <c r="I3" s="1220"/>
      <c r="J3" s="1220"/>
      <c r="K3" s="1220"/>
      <c r="L3" s="1220"/>
    </row>
    <row r="4" spans="1:42" ht="26.25" customHeight="1">
      <c r="A4" s="1221" t="s">
        <v>1452</v>
      </c>
      <c r="B4" s="1221"/>
      <c r="C4" s="1221"/>
      <c r="D4" s="1221"/>
      <c r="E4" s="1221"/>
      <c r="F4" s="1221"/>
      <c r="G4" s="1221"/>
      <c r="H4" s="1221"/>
      <c r="I4" s="1221"/>
      <c r="J4" s="1221"/>
      <c r="K4" s="1221"/>
      <c r="L4" s="1221"/>
    </row>
    <row r="5" spans="1:42" ht="26.25" customHeight="1">
      <c r="A5" s="1221"/>
      <c r="B5" s="1221"/>
      <c r="C5" s="1221"/>
      <c r="D5" s="1221"/>
      <c r="E5" s="1221"/>
      <c r="F5" s="1221"/>
      <c r="G5" s="1221"/>
      <c r="H5" s="1221"/>
      <c r="I5" s="1221"/>
      <c r="J5" s="1221"/>
      <c r="K5" s="1221"/>
      <c r="L5" s="1221"/>
    </row>
    <row r="6" spans="1:42" ht="26.25" customHeight="1">
      <c r="A6" s="1221"/>
      <c r="B6" s="1221"/>
      <c r="C6" s="1221"/>
      <c r="D6" s="1221"/>
      <c r="E6" s="1221"/>
      <c r="F6" s="1221"/>
      <c r="G6" s="1221"/>
      <c r="H6" s="1221"/>
      <c r="I6" s="1221"/>
      <c r="J6" s="1221"/>
      <c r="K6" s="1221"/>
      <c r="L6" s="1221"/>
    </row>
    <row r="7" spans="1:42" ht="10.5" thickBot="1"/>
    <row r="8" spans="1:42" ht="14.1">
      <c r="A8" s="1222" t="s">
        <v>1453</v>
      </c>
      <c r="B8" s="1223"/>
      <c r="C8" s="1224" t="s">
        <v>1404</v>
      </c>
      <c r="D8" s="1225"/>
      <c r="E8" s="1226"/>
      <c r="F8" s="1014"/>
      <c r="G8" s="1014"/>
    </row>
    <row r="9" spans="1:42" ht="14.1">
      <c r="A9" s="1227" t="s">
        <v>1405</v>
      </c>
      <c r="B9" s="1228"/>
      <c r="C9" s="1229"/>
      <c r="D9" s="1230"/>
      <c r="E9" s="1231"/>
      <c r="F9" s="1014"/>
      <c r="G9" s="1014"/>
      <c r="K9" s="1128" t="s">
        <v>1454</v>
      </c>
      <c r="L9" s="348"/>
    </row>
    <row r="10" spans="1:42" ht="14.1">
      <c r="A10" s="1208" t="s">
        <v>1455</v>
      </c>
      <c r="B10" s="1209"/>
      <c r="C10" s="1210"/>
      <c r="D10" s="1211"/>
      <c r="E10" s="1212"/>
      <c r="F10" s="1015"/>
      <c r="G10" s="1015"/>
      <c r="K10" s="349" t="s">
        <v>1400</v>
      </c>
      <c r="L10" s="350">
        <v>1000</v>
      </c>
    </row>
    <row r="11" spans="1:42" ht="14.1">
      <c r="A11" s="1213" t="s">
        <v>1409</v>
      </c>
      <c r="B11" s="1214"/>
      <c r="C11" s="1210">
        <v>2024</v>
      </c>
      <c r="D11" s="1211"/>
      <c r="E11" s="1212"/>
      <c r="F11" s="1015"/>
      <c r="G11" s="1015"/>
    </row>
    <row r="12" spans="1:42" ht="14.45" thickBot="1">
      <c r="A12" s="1215" t="s">
        <v>1456</v>
      </c>
      <c r="B12" s="1216"/>
      <c r="C12" s="1217" t="s">
        <v>1457</v>
      </c>
      <c r="D12" s="1218"/>
      <c r="E12" s="1219"/>
      <c r="F12" s="1014"/>
      <c r="G12" s="1014"/>
      <c r="J12" s="346"/>
    </row>
    <row r="15" spans="1:42" ht="12.95">
      <c r="A15" s="351" t="s">
        <v>1458</v>
      </c>
    </row>
    <row r="16" spans="1:42" ht="27.95">
      <c r="A16" s="1129" t="s">
        <v>1413</v>
      </c>
      <c r="B16" s="1129" t="s">
        <v>1459</v>
      </c>
      <c r="C16" s="1129" t="s">
        <v>1460</v>
      </c>
      <c r="D16" s="1129" t="s">
        <v>1461</v>
      </c>
      <c r="E16" s="1129" t="s">
        <v>1462</v>
      </c>
      <c r="F16" s="1129" t="s">
        <v>1463</v>
      </c>
      <c r="G16" s="1129" t="s">
        <v>1464</v>
      </c>
      <c r="H16" s="1129" t="s">
        <v>1425</v>
      </c>
      <c r="I16" s="1129" t="s">
        <v>1430</v>
      </c>
      <c r="J16" s="1127">
        <v>1990</v>
      </c>
      <c r="K16" s="1127">
        <v>1991</v>
      </c>
      <c r="L16" s="1127">
        <v>1992</v>
      </c>
      <c r="M16" s="1127">
        <v>1993</v>
      </c>
      <c r="N16" s="1127">
        <v>1994</v>
      </c>
      <c r="O16" s="1127">
        <v>1995</v>
      </c>
      <c r="P16" s="1127">
        <v>1996</v>
      </c>
      <c r="Q16" s="1127">
        <v>1997</v>
      </c>
      <c r="R16" s="1127">
        <v>1998</v>
      </c>
      <c r="S16" s="1127">
        <v>1999</v>
      </c>
      <c r="T16" s="1127">
        <v>2000</v>
      </c>
      <c r="U16" s="1127">
        <v>2001</v>
      </c>
      <c r="V16" s="1127">
        <v>2002</v>
      </c>
      <c r="W16" s="1127">
        <v>2003</v>
      </c>
      <c r="X16" s="1127">
        <v>2004</v>
      </c>
      <c r="Y16" s="1127">
        <v>2005</v>
      </c>
      <c r="Z16" s="1127">
        <v>2006</v>
      </c>
      <c r="AA16" s="1127">
        <v>2007</v>
      </c>
      <c r="AB16" s="1127">
        <v>2008</v>
      </c>
      <c r="AC16" s="1127">
        <v>2009</v>
      </c>
      <c r="AD16" s="1127">
        <v>2010</v>
      </c>
      <c r="AE16" s="1127">
        <v>2011</v>
      </c>
      <c r="AF16" s="1127">
        <v>2012</v>
      </c>
      <c r="AG16" s="1127">
        <v>2013</v>
      </c>
      <c r="AH16" s="1127">
        <v>2014</v>
      </c>
      <c r="AI16" s="1127">
        <v>2015</v>
      </c>
      <c r="AJ16" s="1127">
        <v>2016</v>
      </c>
      <c r="AK16" s="1127">
        <v>2017</v>
      </c>
      <c r="AL16" s="1127">
        <v>2018</v>
      </c>
      <c r="AM16" s="1127">
        <v>2019</v>
      </c>
      <c r="AN16" s="1127">
        <v>2020</v>
      </c>
      <c r="AO16" s="1127">
        <v>2021</v>
      </c>
      <c r="AP16" s="1127">
        <v>2022</v>
      </c>
    </row>
    <row r="17" spans="1:42" ht="11.45">
      <c r="A17" s="1130" t="s">
        <v>1432</v>
      </c>
      <c r="B17" s="1130" t="s">
        <v>1433</v>
      </c>
      <c r="C17" s="1130" t="s">
        <v>1434</v>
      </c>
      <c r="D17" s="1130" t="s">
        <v>1435</v>
      </c>
      <c r="E17" s="1130" t="s">
        <v>107</v>
      </c>
      <c r="F17" s="1130"/>
      <c r="G17" s="1130"/>
      <c r="H17" s="1130"/>
      <c r="I17" s="1127" t="s">
        <v>129</v>
      </c>
      <c r="J17" s="1131">
        <f>('Summary Table'!C8)</f>
        <v>2.9876952520607118</v>
      </c>
      <c r="K17" s="1131">
        <f>('Summary Table'!D8)</f>
        <v>2.4418665673276769</v>
      </c>
      <c r="L17" s="1131">
        <f>('Summary Table'!E8)</f>
        <v>2.4754382193886699</v>
      </c>
      <c r="M17" s="1131">
        <f>('Summary Table'!F8)</f>
        <v>2.4697527866952389</v>
      </c>
      <c r="N17" s="1131">
        <f>('Summary Table'!G8)</f>
        <v>1.9941820840028137</v>
      </c>
      <c r="O17" s="1131">
        <f>('Summary Table'!H8)</f>
        <v>1.6716718149582452</v>
      </c>
      <c r="P17" s="1131">
        <f>('Summary Table'!I8)</f>
        <v>1.5825801930815993</v>
      </c>
      <c r="Q17" s="1131">
        <f>('Summary Table'!J8)</f>
        <v>1.5181715699565763</v>
      </c>
      <c r="R17" s="1131">
        <f>('Summary Table'!K8)</f>
        <v>1.1032453604176209</v>
      </c>
      <c r="S17" s="1131">
        <f>('Summary Table'!L8)</f>
        <v>1.3314380787302316</v>
      </c>
      <c r="T17" s="1131">
        <f>('Summary Table'!M8)</f>
        <v>1.0827568764835389</v>
      </c>
      <c r="U17" s="1131">
        <f>('Summary Table'!N8)</f>
        <v>1.1408450183687231</v>
      </c>
      <c r="V17" s="1131">
        <f>('Summary Table'!O8)</f>
        <v>1.1660507086849294</v>
      </c>
      <c r="W17" s="1131">
        <f>('Summary Table'!P8)</f>
        <v>1.1687672828281666</v>
      </c>
      <c r="X17" s="1131">
        <f>('Summary Table'!Q8)</f>
        <v>1.0852533688090795</v>
      </c>
      <c r="Y17" s="1131">
        <f>('Summary Table'!R8)</f>
        <v>0.80525533457459764</v>
      </c>
      <c r="Z17" s="1131">
        <f>('Summary Table'!S8)</f>
        <v>0.61705166323197502</v>
      </c>
      <c r="AA17" s="1131">
        <f>('Summary Table'!T8)</f>
        <v>0.73943487324772961</v>
      </c>
      <c r="AB17" s="1131">
        <f>('Summary Table'!U8)</f>
        <v>0</v>
      </c>
      <c r="AC17" s="1131">
        <f>('Summary Table'!V8)</f>
        <v>0</v>
      </c>
      <c r="AD17" s="1131">
        <f>('Summary Table'!W8)</f>
        <v>0</v>
      </c>
      <c r="AE17" s="1131">
        <f>('Summary Table'!X8)</f>
        <v>0</v>
      </c>
      <c r="AF17" s="1131">
        <f>('Summary Table'!Y8)</f>
        <v>0</v>
      </c>
      <c r="AG17" s="1131">
        <f>('Summary Table'!Z8)</f>
        <v>0</v>
      </c>
      <c r="AH17" s="1131">
        <f>('Summary Table'!AA8)</f>
        <v>0</v>
      </c>
      <c r="AI17" s="1131">
        <f>('Summary Table'!AB8)</f>
        <v>0</v>
      </c>
      <c r="AJ17" s="1131">
        <f>('Summary Table'!AC8)</f>
        <v>0</v>
      </c>
      <c r="AK17" s="1131">
        <f>('Summary Table'!AD8)</f>
        <v>0</v>
      </c>
      <c r="AL17" s="1131">
        <f>('Summary Table'!AE8)</f>
        <v>0</v>
      </c>
      <c r="AM17" s="1131">
        <f>('Summary Table'!AF8)</f>
        <v>0</v>
      </c>
      <c r="AN17" s="1131">
        <f>('Summary Table'!AG8)</f>
        <v>0</v>
      </c>
      <c r="AO17" s="1131">
        <f>('Summary Table'!AH8)</f>
        <v>0</v>
      </c>
      <c r="AP17" s="1131">
        <f>('Summary Table'!AI8)</f>
        <v>0</v>
      </c>
    </row>
    <row r="18" spans="1:42" ht="11.45">
      <c r="A18" s="1130" t="s">
        <v>1432</v>
      </c>
      <c r="B18" s="1130" t="s">
        <v>1433</v>
      </c>
      <c r="C18" s="1130" t="s">
        <v>1434</v>
      </c>
      <c r="D18" s="1130" t="s">
        <v>1439</v>
      </c>
      <c r="E18" s="1130" t="s">
        <v>107</v>
      </c>
      <c r="F18" s="1130"/>
      <c r="G18" s="1130"/>
      <c r="H18" s="1130"/>
      <c r="I18" s="1127" t="s">
        <v>129</v>
      </c>
      <c r="J18" s="1131">
        <f>('Summary Table'!C15)</f>
        <v>237.79751316701928</v>
      </c>
      <c r="K18" s="1131">
        <f>('Summary Table'!D15)</f>
        <v>247.3163708646733</v>
      </c>
      <c r="L18" s="1131">
        <f>('Summary Table'!E15)</f>
        <v>254.59497787985759</v>
      </c>
      <c r="M18" s="1131">
        <f>('Summary Table'!F15)</f>
        <v>268.22932615115491</v>
      </c>
      <c r="N18" s="1131">
        <f>('Summary Table'!G15)</f>
        <v>262.94355944535857</v>
      </c>
      <c r="O18" s="1131">
        <f>('Summary Table'!H15)</f>
        <v>262.76570850496319</v>
      </c>
      <c r="P18" s="1131">
        <f>('Summary Table'!I15)</f>
        <v>283.99195492868381</v>
      </c>
      <c r="Q18" s="1131">
        <f>('Summary Table'!J15)</f>
        <v>270.12382236394063</v>
      </c>
      <c r="R18" s="1131">
        <f>('Summary Table'!K15)</f>
        <v>246.13967860387044</v>
      </c>
      <c r="S18" s="1131">
        <f>('Summary Table'!L15)</f>
        <v>256.37921536804282</v>
      </c>
      <c r="T18" s="1131">
        <f>('Summary Table'!M15)</f>
        <v>270.80589926201588</v>
      </c>
      <c r="U18" s="1131">
        <f>('Summary Table'!N15)</f>
        <v>259.1889647876601</v>
      </c>
      <c r="V18" s="1131">
        <f>('Summary Table'!O15)</f>
        <v>265.05318507540636</v>
      </c>
      <c r="W18" s="1131">
        <f>('Summary Table'!P15)</f>
        <v>276.17534859880868</v>
      </c>
      <c r="X18" s="1131">
        <f>('Summary Table'!Q15)</f>
        <v>264.17877611421051</v>
      </c>
      <c r="Y18" s="1131">
        <f>('Summary Table'!R15)</f>
        <v>262.2286055672738</v>
      </c>
      <c r="Z18" s="1131">
        <f>('Summary Table'!S15)</f>
        <v>237.28839962332515</v>
      </c>
      <c r="AA18" s="1131">
        <f>('Summary Table'!T15)</f>
        <v>256.4079028660679</v>
      </c>
      <c r="AB18" s="1131">
        <f>('Summary Table'!U15)</f>
        <v>265.66749545875354</v>
      </c>
      <c r="AC18" s="1131">
        <f>('Summary Table'!V15)</f>
        <v>259.05601805220141</v>
      </c>
      <c r="AD18" s="1131">
        <f>('Summary Table'!W15)</f>
        <v>258.91127602274685</v>
      </c>
      <c r="AE18" s="1131">
        <f>('Summary Table'!X15)</f>
        <v>255.06803132826391</v>
      </c>
      <c r="AF18" s="1131">
        <f>('Summary Table'!Y15)</f>
        <v>225.10147681644284</v>
      </c>
      <c r="AG18" s="1131">
        <f>('Summary Table'!Z15)</f>
        <v>266.35053365110366</v>
      </c>
      <c r="AH18" s="1131">
        <f>('Summary Table'!AA15)</f>
        <v>277.6716054191445</v>
      </c>
      <c r="AI18" s="1131">
        <f>('Summary Table'!AB15)</f>
        <v>252.72391355879935</v>
      </c>
      <c r="AJ18" s="1131">
        <f>('Summary Table'!AC15)</f>
        <v>238.38223392683929</v>
      </c>
      <c r="AK18" s="1131">
        <f>('Summary Table'!AD15)</f>
        <v>241.48609403530835</v>
      </c>
      <c r="AL18" s="1131">
        <f>('Summary Table'!AE15)</f>
        <v>273.81436679347121</v>
      </c>
      <c r="AM18" s="1131">
        <f>('Summary Table'!AF15)</f>
        <v>275.46887973202541</v>
      </c>
      <c r="AN18" s="1131">
        <f>('Summary Table'!AG15)</f>
        <v>256.36135242960933</v>
      </c>
      <c r="AO18" s="1131">
        <f>('Summary Table'!AH15)</f>
        <v>258.64706539139297</v>
      </c>
      <c r="AP18" s="1131">
        <f>('Summary Table'!AI15)</f>
        <v>271.98681887741003</v>
      </c>
    </row>
    <row r="19" spans="1:42" ht="11.45">
      <c r="A19" s="1130" t="s">
        <v>1432</v>
      </c>
      <c r="B19" s="1130" t="s">
        <v>1433</v>
      </c>
      <c r="C19" s="1130" t="s">
        <v>1434</v>
      </c>
      <c r="D19" s="1130" t="s">
        <v>1440</v>
      </c>
      <c r="E19" s="1130" t="s">
        <v>107</v>
      </c>
      <c r="F19" s="1130"/>
      <c r="G19" s="1130"/>
      <c r="H19" s="1130"/>
      <c r="I19" s="1127" t="s">
        <v>129</v>
      </c>
      <c r="J19" s="1131">
        <f>('Summary Table'!C22)</f>
        <v>97.78241223079533</v>
      </c>
      <c r="K19" s="1131">
        <f>('Summary Table'!D22)</f>
        <v>97.952169988467361</v>
      </c>
      <c r="L19" s="1131">
        <f>('Summary Table'!E22)</f>
        <v>96.897397560708882</v>
      </c>
      <c r="M19" s="1131">
        <f>('Summary Table'!F22)</f>
        <v>95.38268325283164</v>
      </c>
      <c r="N19" s="1131">
        <f>('Summary Table'!G22)</f>
        <v>92.109480052541898</v>
      </c>
      <c r="O19" s="1131">
        <f>('Summary Table'!H22)</f>
        <v>88.696195308228212</v>
      </c>
      <c r="P19" s="1131">
        <f>('Summary Table'!I22)</f>
        <v>97.899890710711531</v>
      </c>
      <c r="Q19" s="1131">
        <f>('Summary Table'!J22)</f>
        <v>93.391358622908527</v>
      </c>
      <c r="R19" s="1131">
        <f>('Summary Table'!K22)</f>
        <v>84.367234993758103</v>
      </c>
      <c r="S19" s="1131">
        <f>('Summary Table'!L22)</f>
        <v>93.19613012040945</v>
      </c>
      <c r="T19" s="1131">
        <f>('Summary Table'!M22)</f>
        <v>99.814277951232029</v>
      </c>
      <c r="U19" s="1131">
        <f>('Summary Table'!N22)</f>
        <v>102.69033732360053</v>
      </c>
      <c r="V19" s="1131">
        <f>('Summary Table'!O22)</f>
        <v>94.809824998097724</v>
      </c>
      <c r="W19" s="1131">
        <f>('Summary Table'!P22)</f>
        <v>102.73524037201688</v>
      </c>
      <c r="X19" s="1131">
        <f>('Summary Table'!Q22)</f>
        <v>103.70575945407543</v>
      </c>
      <c r="Y19" s="1131">
        <f>('Summary Table'!R22)</f>
        <v>95.575442274390966</v>
      </c>
      <c r="Z19" s="1131">
        <f>('Summary Table'!S22)</f>
        <v>83.076643788508392</v>
      </c>
      <c r="AA19" s="1131">
        <f>('Summary Table'!T22)</f>
        <v>82.999286658834436</v>
      </c>
      <c r="AB19" s="1131">
        <f>('Summary Table'!U22)</f>
        <v>81.35310743989055</v>
      </c>
      <c r="AC19" s="1131">
        <f>('Summary Table'!V22)</f>
        <v>76.871691567355754</v>
      </c>
      <c r="AD19" s="1131">
        <f>('Summary Table'!W22)</f>
        <v>75.584117715666224</v>
      </c>
      <c r="AE19" s="1131">
        <f>('Summary Table'!X22)</f>
        <v>71.264898165119661</v>
      </c>
      <c r="AF19" s="1131">
        <f>('Summary Table'!Y22)</f>
        <v>57.430156749728859</v>
      </c>
      <c r="AG19" s="1131">
        <f>('Summary Table'!Z22)</f>
        <v>62.914302900543817</v>
      </c>
      <c r="AH19" s="1131">
        <f>('Summary Table'!AA22)</f>
        <v>69.062290446070193</v>
      </c>
      <c r="AI19" s="1131">
        <f>('Summary Table'!AB22)</f>
        <v>64.893287996969548</v>
      </c>
      <c r="AJ19" s="1131">
        <f>('Summary Table'!AC22)</f>
        <v>54.808963118601646</v>
      </c>
      <c r="AK19" s="1131">
        <f>('Summary Table'!AD22)</f>
        <v>52.479502214743725</v>
      </c>
      <c r="AL19" s="1131">
        <f>('Summary Table'!AE22)</f>
        <v>65.12530568088124</v>
      </c>
      <c r="AM19" s="1131">
        <f>('Summary Table'!AF22)</f>
        <v>67.435980875494991</v>
      </c>
      <c r="AN19" s="1131">
        <f>('Summary Table'!AG22)</f>
        <v>58.433675778621101</v>
      </c>
      <c r="AO19" s="1131">
        <f>('Summary Table'!AH22)</f>
        <v>59.38652650747968</v>
      </c>
      <c r="AP19" s="1131">
        <f>('Summary Table'!AI22)</f>
        <v>61.113011543269025</v>
      </c>
    </row>
    <row r="20" spans="1:42" ht="11.45">
      <c r="A20" s="1130" t="s">
        <v>1432</v>
      </c>
      <c r="B20" s="1130" t="s">
        <v>1433</v>
      </c>
      <c r="C20" s="1130" t="s">
        <v>1441</v>
      </c>
      <c r="D20" s="1130" t="s">
        <v>1435</v>
      </c>
      <c r="E20" s="1130" t="s">
        <v>107</v>
      </c>
      <c r="F20" s="1130"/>
      <c r="G20" s="1130"/>
      <c r="H20" s="1130"/>
      <c r="I20" s="1127" t="s">
        <v>129</v>
      </c>
      <c r="J20" s="1131">
        <f>('Summary Table'!C9)</f>
        <v>11.950781008242847</v>
      </c>
      <c r="K20" s="1131">
        <f>('Summary Table'!D9)</f>
        <v>11.123951798824036</v>
      </c>
      <c r="L20" s="1131">
        <f>('Summary Table'!E9)</f>
        <v>11.2767921073171</v>
      </c>
      <c r="M20" s="1131">
        <f>('Summary Table'!F9)</f>
        <v>11.251191944732801</v>
      </c>
      <c r="N20" s="1131">
        <f>('Summary Table'!G9)</f>
        <v>11.300110030238828</v>
      </c>
      <c r="O20" s="1131">
        <f>('Summary Table'!H9)</f>
        <v>11.187393726740217</v>
      </c>
      <c r="P20" s="1131">
        <f>('Summary Table'!I9)</f>
        <v>11.605301798192992</v>
      </c>
      <c r="Q20" s="1131">
        <f>('Summary Table'!J9)</f>
        <v>12.283500350691053</v>
      </c>
      <c r="R20" s="1131">
        <f>('Summary Table'!K9)</f>
        <v>8.9264663574628376</v>
      </c>
      <c r="S20" s="1131">
        <f>('Summary Table'!L9)</f>
        <v>9.7635618041440733</v>
      </c>
      <c r="T20" s="1131">
        <f>('Summary Table'!M9)</f>
        <v>8.7603401271750982</v>
      </c>
      <c r="U20" s="1131">
        <f>('Summary Table'!N9)</f>
        <v>9.2306379407867158</v>
      </c>
      <c r="V20" s="1131">
        <f>('Summary Table'!O9)</f>
        <v>8.5511654681646281</v>
      </c>
      <c r="W20" s="1131">
        <f>('Summary Table'!P9)</f>
        <v>7.8219705072625967</v>
      </c>
      <c r="X20" s="1131">
        <f>('Summary Table'!Q9)</f>
        <v>9.7670904901110305</v>
      </c>
      <c r="Y20" s="1131">
        <f>('Summary Table'!R9)</f>
        <v>9.2601022167636504</v>
      </c>
      <c r="Z20" s="1131">
        <f>('Summary Table'!S9)</f>
        <v>6.2387890463696039</v>
      </c>
      <c r="AA20" s="1131">
        <f>('Summary Table'!T9)</f>
        <v>6.6546288033802021</v>
      </c>
      <c r="AB20" s="1131">
        <f>('Summary Table'!U9)</f>
        <v>7.6116885807047296</v>
      </c>
      <c r="AC20" s="1131">
        <f>('Summary Table'!V9)</f>
        <v>6.9212944879527454</v>
      </c>
      <c r="AD20" s="1131">
        <f>('Summary Table'!W9)</f>
        <v>6.5764502150490669</v>
      </c>
      <c r="AE20" s="1131">
        <f>('Summary Table'!X9)</f>
        <v>5.8411054745380699</v>
      </c>
      <c r="AF20" s="1131">
        <f>('Summary Table'!Y9)</f>
        <v>4.1332779377363469</v>
      </c>
      <c r="AG20" s="1131">
        <f>('Summary Table'!Z9)</f>
        <v>3.9349591086762437</v>
      </c>
      <c r="AH20" s="1131">
        <f>('Summary Table'!AA9)</f>
        <v>3.815747352827314</v>
      </c>
      <c r="AI20" s="1131">
        <f>('Summary Table'!AB9)</f>
        <v>2.9645721255676034</v>
      </c>
      <c r="AJ20" s="1131">
        <f>('Summary Table'!AC9)</f>
        <v>2.2649918397973812</v>
      </c>
      <c r="AK20" s="1131">
        <f>('Summary Table'!AD9)</f>
        <v>1.9759169500269727</v>
      </c>
      <c r="AL20" s="1131">
        <f>('Summary Table'!AE9)</f>
        <v>1.7911940979329957</v>
      </c>
      <c r="AM20" s="1131">
        <f>('Summary Table'!AF9)</f>
        <v>1.6000991942164422</v>
      </c>
      <c r="AN20" s="1131">
        <f>('Summary Table'!AG9)</f>
        <v>1.3945916740834434</v>
      </c>
      <c r="AO20" s="1131">
        <f>('Summary Table'!AH9)</f>
        <v>1.4304169328982714</v>
      </c>
      <c r="AP20" s="1131">
        <f>('Summary Table'!AI9)</f>
        <v>1.3881296839221755</v>
      </c>
    </row>
    <row r="21" spans="1:42" ht="11.45">
      <c r="A21" s="1130" t="s">
        <v>1432</v>
      </c>
      <c r="B21" s="1130" t="s">
        <v>1433</v>
      </c>
      <c r="C21" s="1130" t="s">
        <v>1441</v>
      </c>
      <c r="D21" s="1130" t="s">
        <v>1439</v>
      </c>
      <c r="E21" s="1130" t="s">
        <v>107</v>
      </c>
      <c r="F21" s="1130"/>
      <c r="G21" s="1130"/>
      <c r="H21" s="1130"/>
      <c r="I21" s="1127" t="s">
        <v>129</v>
      </c>
      <c r="J21" s="1131">
        <f>('Summary Table'!C16)</f>
        <v>142.02473544607753</v>
      </c>
      <c r="K21" s="1131">
        <f>('Summary Table'!D16)</f>
        <v>148.12843320995771</v>
      </c>
      <c r="L21" s="1131">
        <f>('Summary Table'!E16)</f>
        <v>152.1442839987414</v>
      </c>
      <c r="M21" s="1131">
        <f>('Summary Table'!F16)</f>
        <v>154.86031096580882</v>
      </c>
      <c r="N21" s="1131">
        <f>('Summary Table'!G16)</f>
        <v>157.02801444190189</v>
      </c>
      <c r="O21" s="1131">
        <f>('Summary Table'!H16)</f>
        <v>164.20845936813723</v>
      </c>
      <c r="P21" s="1131">
        <f>('Summary Table'!I16)</f>
        <v>171.12093873822886</v>
      </c>
      <c r="Q21" s="1131">
        <f>('Summary Table'!J16)</f>
        <v>174.25040454967009</v>
      </c>
      <c r="R21" s="1131">
        <f>('Summary Table'!K16)</f>
        <v>163.32937279129024</v>
      </c>
      <c r="S21" s="1131">
        <f>('Summary Table'!L16)</f>
        <v>165.18012136905648</v>
      </c>
      <c r="T21" s="1131">
        <f>('Summary Table'!M16)</f>
        <v>172.49806642837646</v>
      </c>
      <c r="U21" s="1131">
        <f>('Summary Table'!N16)</f>
        <v>164.19987233758553</v>
      </c>
      <c r="V21" s="1131">
        <f>('Summary Table'!O16)</f>
        <v>170.46500850943963</v>
      </c>
      <c r="W21" s="1131">
        <f>('Summary Table'!P16)</f>
        <v>172.87591133833368</v>
      </c>
      <c r="X21" s="1131">
        <f>('Summary Table'!Q16)</f>
        <v>169.77666283715638</v>
      </c>
      <c r="Y21" s="1131">
        <f>('Summary Table'!R16)</f>
        <v>162.92508508024997</v>
      </c>
      <c r="Z21" s="1131">
        <f>('Summary Table'!S16)</f>
        <v>153.83155669866855</v>
      </c>
      <c r="AA21" s="1131">
        <f>('Summary Table'!T16)</f>
        <v>163.59043097479622</v>
      </c>
      <c r="AB21" s="1131">
        <f>('Summary Table'!U16)</f>
        <v>171.19325427303346</v>
      </c>
      <c r="AC21" s="1131">
        <f>('Summary Table'!V16)</f>
        <v>169.05333172555467</v>
      </c>
      <c r="AD21" s="1131">
        <f>('Summary Table'!W16)</f>
        <v>167.96887548912161</v>
      </c>
      <c r="AE21" s="1131">
        <f>('Summary Table'!X16)</f>
        <v>170.73801795221382</v>
      </c>
      <c r="AF21" s="1131">
        <f>('Summary Table'!Y16)</f>
        <v>157.04279460910288</v>
      </c>
      <c r="AG21" s="1131">
        <f>('Summary Table'!Z16)</f>
        <v>179.21960261143067</v>
      </c>
      <c r="AH21" s="1131">
        <f>('Summary Table'!AA16)</f>
        <v>189.18938777422409</v>
      </c>
      <c r="AI21" s="1131">
        <f>('Summary Table'!AB16)</f>
        <v>175.4117517978259</v>
      </c>
      <c r="AJ21" s="1131">
        <f>('Summary Table'!AC16)</f>
        <v>170.54056544370894</v>
      </c>
      <c r="AK21" s="1131">
        <f>('Summary Table'!AD16)</f>
        <v>173.19011617374824</v>
      </c>
      <c r="AL21" s="1131">
        <f>('Summary Table'!AE16)</f>
        <v>192.5283840865653</v>
      </c>
      <c r="AM21" s="1131">
        <f>('Summary Table'!AF16)</f>
        <v>192.91620874877498</v>
      </c>
      <c r="AN21" s="1131">
        <f>('Summary Table'!AG16)</f>
        <v>173.45008271834308</v>
      </c>
      <c r="AO21" s="1131">
        <f>('Summary Table'!AH16)</f>
        <v>180.36282488864072</v>
      </c>
      <c r="AP21" s="1131">
        <f>('Summary Table'!AI16)</f>
        <v>192.26242231258678</v>
      </c>
    </row>
    <row r="22" spans="1:42" ht="11.45">
      <c r="A22" s="1130" t="s">
        <v>1432</v>
      </c>
      <c r="B22" s="1130" t="s">
        <v>1433</v>
      </c>
      <c r="C22" s="1130" t="s">
        <v>1441</v>
      </c>
      <c r="D22" s="1130" t="s">
        <v>1440</v>
      </c>
      <c r="E22" s="1130" t="s">
        <v>107</v>
      </c>
      <c r="F22" s="1130"/>
      <c r="G22" s="1130"/>
      <c r="H22" s="1130"/>
      <c r="I22" s="1127" t="s">
        <v>129</v>
      </c>
      <c r="J22" s="1131">
        <f>('Summary Table'!C23)</f>
        <v>74.317009238006435</v>
      </c>
      <c r="K22" s="1131">
        <f>('Summary Table'!D23)</f>
        <v>73.407833850551555</v>
      </c>
      <c r="L22" s="1131">
        <f>('Summary Table'!E23)</f>
        <v>64.616730035679041</v>
      </c>
      <c r="M22" s="1131">
        <f>('Summary Table'!F23)</f>
        <v>56.873975020454345</v>
      </c>
      <c r="N22" s="1131">
        <f>('Summary Table'!G23)</f>
        <v>56.369484996221161</v>
      </c>
      <c r="O22" s="1131">
        <f>('Summary Table'!H23)</f>
        <v>52.391239933514434</v>
      </c>
      <c r="P22" s="1131">
        <f>('Summary Table'!I23)</f>
        <v>54.832060684371058</v>
      </c>
      <c r="Q22" s="1131">
        <f>('Summary Table'!J23)</f>
        <v>51.284956381041496</v>
      </c>
      <c r="R22" s="1131">
        <f>('Summary Table'!K23)</f>
        <v>47.862168349800406</v>
      </c>
      <c r="S22" s="1131">
        <f>('Summary Table'!L23)</f>
        <v>45.78669586341524</v>
      </c>
      <c r="T22" s="1131">
        <f>('Summary Table'!M23)</f>
        <v>55.272252292626497</v>
      </c>
      <c r="U22" s="1131">
        <f>('Summary Table'!N23)</f>
        <v>55.007529049391842</v>
      </c>
      <c r="V22" s="1131">
        <f>('Summary Table'!O23)</f>
        <v>49.963577276939134</v>
      </c>
      <c r="W22" s="1131">
        <f>('Summary Table'!P23)</f>
        <v>59.413372710105818</v>
      </c>
      <c r="X22" s="1131">
        <f>('Summary Table'!Q23)</f>
        <v>58.386082462551457</v>
      </c>
      <c r="Y22" s="1131">
        <f>('Summary Table'!R23)</f>
        <v>54.793864419601839</v>
      </c>
      <c r="Z22" s="1131">
        <f>('Summary Table'!S23)</f>
        <v>51.31612703743734</v>
      </c>
      <c r="AA22" s="1131">
        <f>('Summary Table'!T23)</f>
        <v>52.302199112446594</v>
      </c>
      <c r="AB22" s="1131">
        <f>('Summary Table'!U23)</f>
        <v>48.260774591540994</v>
      </c>
      <c r="AC22" s="1131">
        <f>('Summary Table'!V23)</f>
        <v>51.732975084881019</v>
      </c>
      <c r="AD22" s="1131">
        <f>('Summary Table'!W23)</f>
        <v>49.736176633621213</v>
      </c>
      <c r="AE22" s="1131">
        <f>('Summary Table'!X23)</f>
        <v>48.019411873386588</v>
      </c>
      <c r="AF22" s="1131">
        <f>('Summary Table'!Y23)</f>
        <v>39.253041337374341</v>
      </c>
      <c r="AG22" s="1131">
        <f>('Summary Table'!Z23)</f>
        <v>41.171116981845458</v>
      </c>
      <c r="AH22" s="1131">
        <f>('Summary Table'!AA23)</f>
        <v>39.547045254145807</v>
      </c>
      <c r="AI22" s="1131">
        <f>('Summary Table'!AB23)</f>
        <v>66.428800315750649</v>
      </c>
      <c r="AJ22" s="1131">
        <f>('Summary Table'!AC23)</f>
        <v>59.055150951147297</v>
      </c>
      <c r="AK22" s="1131">
        <f>('Summary Table'!AD23)</f>
        <v>57.247196778983692</v>
      </c>
      <c r="AL22" s="1131">
        <f>('Summary Table'!AE23)</f>
        <v>51.977488359870641</v>
      </c>
      <c r="AM22" s="1131">
        <f>('Summary Table'!AF23)</f>
        <v>57.233006553301081</v>
      </c>
      <c r="AN22" s="1131">
        <f>('Summary Table'!AG23)</f>
        <v>54.41904448356302</v>
      </c>
      <c r="AO22" s="1131">
        <f>('Summary Table'!AH23)</f>
        <v>55.734392755355948</v>
      </c>
      <c r="AP22" s="1131">
        <f>('Summary Table'!AI23)</f>
        <v>51.063464820652335</v>
      </c>
    </row>
    <row r="23" spans="1:42" ht="11.45">
      <c r="A23" s="1130" t="s">
        <v>1432</v>
      </c>
      <c r="B23" s="1130" t="s">
        <v>1433</v>
      </c>
      <c r="C23" s="1130" t="s">
        <v>1443</v>
      </c>
      <c r="D23" s="1130" t="s">
        <v>1435</v>
      </c>
      <c r="E23" s="1130" t="s">
        <v>107</v>
      </c>
      <c r="F23" s="1130"/>
      <c r="G23" s="1130"/>
      <c r="H23" s="1130"/>
      <c r="I23" s="1127" t="s">
        <v>129</v>
      </c>
      <c r="J23" s="1131">
        <f>('Summary Table'!C10)</f>
        <v>157.83904177851264</v>
      </c>
      <c r="K23" s="1131">
        <f>('Summary Table'!D10)</f>
        <v>154.63821661006179</v>
      </c>
      <c r="L23" s="1131">
        <f>('Summary Table'!E10)</f>
        <v>150.2749647363666</v>
      </c>
      <c r="M23" s="1131">
        <f>('Summary Table'!F10)</f>
        <v>152.54778954502495</v>
      </c>
      <c r="N23" s="1131">
        <f>('Summary Table'!G10)</f>
        <v>153.46902592244419</v>
      </c>
      <c r="O23" s="1131">
        <f>('Summary Table'!H10)</f>
        <v>147.21568642995061</v>
      </c>
      <c r="P23" s="1131">
        <f>('Summary Table'!I10)</f>
        <v>140.08937876434783</v>
      </c>
      <c r="Q23" s="1131">
        <f>('Summary Table'!J10)</f>
        <v>140.23965311448606</v>
      </c>
      <c r="R23" s="1131">
        <f>('Summary Table'!K10)</f>
        <v>141.75560347689387</v>
      </c>
      <c r="S23" s="1131">
        <f>('Summary Table'!L10)</f>
        <v>132.48068946628473</v>
      </c>
      <c r="T23" s="1131">
        <f>('Summary Table'!M10)</f>
        <v>128.48390763754276</v>
      </c>
      <c r="U23" s="1131">
        <f>('Summary Table'!N10)</f>
        <v>130.18161126003045</v>
      </c>
      <c r="V23" s="1131">
        <f>('Summary Table'!O10)</f>
        <v>119.05774285576179</v>
      </c>
      <c r="W23" s="1131">
        <f>('Summary Table'!P10)</f>
        <v>119.43854006261547</v>
      </c>
      <c r="X23" s="1131">
        <f>('Summary Table'!Q10)</f>
        <v>120.43424047781994</v>
      </c>
      <c r="Y23" s="1131">
        <f>('Summary Table'!R10)</f>
        <v>117.84136322777762</v>
      </c>
      <c r="Z23" s="1131">
        <f>('Summary Table'!S10)</f>
        <v>115.57937880961637</v>
      </c>
      <c r="AA23" s="1131">
        <f>('Summary Table'!T10)</f>
        <v>110.7742334657229</v>
      </c>
      <c r="AB23" s="1131">
        <f>('Summary Table'!U10)</f>
        <v>106.0748691930491</v>
      </c>
      <c r="AC23" s="1131">
        <f>('Summary Table'!V10)</f>
        <v>87.066994880340218</v>
      </c>
      <c r="AD23" s="1131">
        <f>('Summary Table'!W10)</f>
        <v>94.164426530393271</v>
      </c>
      <c r="AE23" s="1131">
        <f>('Summary Table'!X10)</f>
        <v>85.953690906971573</v>
      </c>
      <c r="AF23" s="1131">
        <f>('Summary Table'!Y10)</f>
        <v>78.224309760947136</v>
      </c>
      <c r="AG23" s="1131">
        <f>('Summary Table'!Z10)</f>
        <v>79.543821123315311</v>
      </c>
      <c r="AH23" s="1131">
        <f>('Summary Table'!AA10)</f>
        <v>79.242788637601819</v>
      </c>
      <c r="AI23" s="1131">
        <f>('Summary Table'!AB10)</f>
        <v>69.970403927797904</v>
      </c>
      <c r="AJ23" s="1131">
        <f>('Summary Table'!AC10)</f>
        <v>63.150304482426023</v>
      </c>
      <c r="AK23" s="1131">
        <f>('Summary Table'!AD10)</f>
        <v>58.672866160806755</v>
      </c>
      <c r="AL23" s="1131">
        <f>('Summary Table'!AE10)</f>
        <v>54.41675515263988</v>
      </c>
      <c r="AM23" s="1131">
        <f>('Summary Table'!AF10)</f>
        <v>49.458189949163135</v>
      </c>
      <c r="AN23" s="1131">
        <f>('Summary Table'!AG10)</f>
        <v>42.966294417900514</v>
      </c>
      <c r="AO23" s="1131">
        <f>('Summary Table'!AH10)</f>
        <v>43.026401331772739</v>
      </c>
      <c r="AP23" s="1131">
        <f>('Summary Table'!AI10)</f>
        <v>42.659992596041015</v>
      </c>
    </row>
    <row r="24" spans="1:42" ht="11.45">
      <c r="A24" s="1130" t="s">
        <v>1432</v>
      </c>
      <c r="B24" s="1130" t="s">
        <v>1433</v>
      </c>
      <c r="C24" s="1130" t="s">
        <v>1443</v>
      </c>
      <c r="D24" s="1130" t="s">
        <v>1439</v>
      </c>
      <c r="E24" s="1130" t="s">
        <v>107</v>
      </c>
      <c r="F24" s="1130"/>
      <c r="G24" s="1130"/>
      <c r="H24" s="1130"/>
      <c r="I24" s="1127" t="s">
        <v>129</v>
      </c>
      <c r="J24" s="1131">
        <f>('Summary Table'!C17)</f>
        <v>407.44057591552206</v>
      </c>
      <c r="K24" s="1131">
        <f>('Summary Table'!D17)</f>
        <v>413.59445395561858</v>
      </c>
      <c r="L24" s="1131">
        <f>('Summary Table'!E17)</f>
        <v>429.30737763379256</v>
      </c>
      <c r="M24" s="1131">
        <f>('Summary Table'!F17)</f>
        <v>436.98219553873059</v>
      </c>
      <c r="N24" s="1131">
        <f>('Summary Table'!G17)</f>
        <v>438.20865393150382</v>
      </c>
      <c r="O24" s="1131">
        <f>('Summary Table'!H17)</f>
        <v>461.4680033053877</v>
      </c>
      <c r="P24" s="1131">
        <f>('Summary Table'!I17)</f>
        <v>477.22704593798659</v>
      </c>
      <c r="Q24" s="1131">
        <f>('Summary Table'!J17)</f>
        <v>477.88613017996011</v>
      </c>
      <c r="R24" s="1131">
        <f>('Summary Table'!K17)</f>
        <v>466.22857939809182</v>
      </c>
      <c r="S24" s="1131">
        <f>('Summary Table'!L17)</f>
        <v>445.62145311258905</v>
      </c>
      <c r="T24" s="1131">
        <f>('Summary Table'!M17)</f>
        <v>458.18470970362125</v>
      </c>
      <c r="U24" s="1131">
        <f>('Summary Table'!N17)</f>
        <v>420.60012891527748</v>
      </c>
      <c r="V24" s="1131">
        <f>('Summary Table'!O17)</f>
        <v>428.10994471518688</v>
      </c>
      <c r="W24" s="1131">
        <f>('Summary Table'!P17)</f>
        <v>415.08604298191261</v>
      </c>
      <c r="X24" s="1131">
        <f>('Summary Table'!Q17)</f>
        <v>418.88608808286688</v>
      </c>
      <c r="Y24" s="1131">
        <f>('Summary Table'!R17)</f>
        <v>387.78439069369989</v>
      </c>
      <c r="Z24" s="1131">
        <f>('Summary Table'!S17)</f>
        <v>387.43556914859869</v>
      </c>
      <c r="AA24" s="1131">
        <f>('Summary Table'!T17)</f>
        <v>396.96908687881142</v>
      </c>
      <c r="AB24" s="1131">
        <f>('Summary Table'!U17)</f>
        <v>398.65113463252698</v>
      </c>
      <c r="AC24" s="1131">
        <f>('Summary Table'!V17)</f>
        <v>374.19964007784171</v>
      </c>
      <c r="AD24" s="1131">
        <f>('Summary Table'!W17)</f>
        <v>407.08948538432492</v>
      </c>
      <c r="AE24" s="1131">
        <f>('Summary Table'!X17)</f>
        <v>417.16969084127084</v>
      </c>
      <c r="AF24" s="1131">
        <f>('Summary Table'!Y17)</f>
        <v>433.87411357806093</v>
      </c>
      <c r="AG24" s="1131">
        <f>('Summary Table'!Z17)</f>
        <v>450.93611572282049</v>
      </c>
      <c r="AH24" s="1131">
        <f>('Summary Table'!AA17)</f>
        <v>465.9360743641227</v>
      </c>
      <c r="AI24" s="1131">
        <f>('Summary Table'!AB17)</f>
        <v>459.64627978150747</v>
      </c>
      <c r="AJ24" s="1131">
        <f>('Summary Table'!AC17)</f>
        <v>463.98257891833475</v>
      </c>
      <c r="AK24" s="1131">
        <f>('Summary Table'!AD17)</f>
        <v>468.13315809622293</v>
      </c>
      <c r="AL24" s="1131">
        <f>('Summary Table'!AE17)</f>
        <v>493.46897972996544</v>
      </c>
      <c r="AM24" s="1131">
        <f>('Summary Table'!AF17)</f>
        <v>501.50851576791644</v>
      </c>
      <c r="AN24" s="1131">
        <f>('Summary Table'!AG17)</f>
        <v>489.71696452157283</v>
      </c>
      <c r="AO24" s="1131">
        <f>('Summary Table'!AH17)</f>
        <v>501.1666660948701</v>
      </c>
      <c r="AP24" s="1131">
        <f>('Summary Table'!AI17)</f>
        <v>511.44589460637036</v>
      </c>
    </row>
    <row r="25" spans="1:42" ht="11.45">
      <c r="A25" s="1130" t="s">
        <v>1432</v>
      </c>
      <c r="B25" s="1130" t="s">
        <v>1433</v>
      </c>
      <c r="C25" s="1130" t="s">
        <v>1443</v>
      </c>
      <c r="D25" s="1130" t="s">
        <v>1440</v>
      </c>
      <c r="E25" s="1130" t="s">
        <v>107</v>
      </c>
      <c r="F25" s="1130"/>
      <c r="G25" s="1130"/>
      <c r="H25" s="1130"/>
      <c r="I25" s="1127" t="s">
        <v>129</v>
      </c>
      <c r="J25" s="1131">
        <f>'Summary Table'!C24</f>
        <v>305.86837004185293</v>
      </c>
      <c r="K25" s="1131">
        <f>'Summary Table'!D24</f>
        <v>292.78503629653778</v>
      </c>
      <c r="L25" s="1131">
        <f>'Summary Table'!E24</f>
        <v>301.0309862925227</v>
      </c>
      <c r="M25" s="1131">
        <f>'Summary Table'!F24</f>
        <v>293.109363986299</v>
      </c>
      <c r="N25" s="1131">
        <f>'Summary Table'!G24</f>
        <v>288.92185498045387</v>
      </c>
      <c r="O25" s="1131">
        <f>'Summary Table'!H24</f>
        <v>291.98616883550289</v>
      </c>
      <c r="P25" s="1131">
        <f>'Summary Table'!I24</f>
        <v>300.13887686398715</v>
      </c>
      <c r="Q25" s="1131">
        <f>'Summary Table'!J24</f>
        <v>294.15680944417926</v>
      </c>
      <c r="R25" s="1131">
        <f>'Summary Table'!K24</f>
        <v>294.66981451825228</v>
      </c>
      <c r="S25" s="1131">
        <f>'Summary Table'!L24</f>
        <v>272.94393939947111</v>
      </c>
      <c r="T25" s="1131">
        <f>'Summary Table'!M24</f>
        <v>300.26569092616825</v>
      </c>
      <c r="U25" s="1131">
        <f>'Summary Table'!N24</f>
        <v>312.50708100300676</v>
      </c>
      <c r="V25" s="1131">
        <f>'Summary Table'!O24</f>
        <v>307.61140351199276</v>
      </c>
      <c r="W25" s="1131">
        <f>'Summary Table'!P24</f>
        <v>313.67173867621773</v>
      </c>
      <c r="X25" s="1131">
        <f>'Summary Table'!Q24</f>
        <v>334.05993630344665</v>
      </c>
      <c r="Y25" s="1131">
        <f>'Summary Table'!R24</f>
        <v>337.87694040171903</v>
      </c>
      <c r="Z25" s="1131">
        <f>'Summary Table'!S24</f>
        <v>360.76703849769871</v>
      </c>
      <c r="AA25" s="1131">
        <f>'Summary Table'!T24</f>
        <v>345.90561733347892</v>
      </c>
      <c r="AB25" s="1131">
        <f>'Summary Table'!U24</f>
        <v>311.56970424060825</v>
      </c>
      <c r="AC25" s="1131">
        <f>'Summary Table'!V24</f>
        <v>281.82543519496528</v>
      </c>
      <c r="AD25" s="1131">
        <f>'Summary Table'!W24</f>
        <v>286.78396176303283</v>
      </c>
      <c r="AE25" s="1131">
        <f>'Summary Table'!X24</f>
        <v>287.98261274237649</v>
      </c>
      <c r="AF25" s="1131">
        <f>'Summary Table'!Y24</f>
        <v>287.17585056713943</v>
      </c>
      <c r="AG25" s="1131">
        <f>'Summary Table'!Z24</f>
        <v>299.65492060422906</v>
      </c>
      <c r="AH25" s="1131">
        <f>'Summary Table'!AA24</f>
        <v>271.87026978437501</v>
      </c>
      <c r="AI25" s="1131">
        <f>'Summary Table'!AB24</f>
        <v>264.74084752094535</v>
      </c>
      <c r="AJ25" s="1131">
        <f>'Summary Table'!AC24</f>
        <v>262.20220123464566</v>
      </c>
      <c r="AK25" s="1131">
        <f>'Summary Table'!AD24</f>
        <v>252.01898543113069</v>
      </c>
      <c r="AL25" s="1131">
        <f>'Summary Table'!AE24</f>
        <v>257.32814684532644</v>
      </c>
      <c r="AM25" s="1131">
        <f>'Summary Table'!AF24</f>
        <v>247.15861528492468</v>
      </c>
      <c r="AN25" s="1131">
        <f>'Summary Table'!AG24</f>
        <v>216.83444622153593</v>
      </c>
      <c r="AO25" s="1131">
        <f>'Summary Table'!AH24</f>
        <v>224.64023657742564</v>
      </c>
      <c r="AP25" s="1131">
        <f>'Summary Table'!AI24</f>
        <v>221.75314639126401</v>
      </c>
    </row>
    <row r="26" spans="1:42" ht="11.45">
      <c r="A26" s="1130" t="s">
        <v>1432</v>
      </c>
      <c r="B26" s="1130" t="s">
        <v>1433</v>
      </c>
      <c r="C26" s="1130" t="s">
        <v>1445</v>
      </c>
      <c r="D26" s="1130" t="s">
        <v>1435</v>
      </c>
      <c r="E26" s="1130" t="s">
        <v>107</v>
      </c>
      <c r="F26" s="1130"/>
      <c r="G26" s="1130"/>
      <c r="H26" s="1130"/>
      <c r="I26" s="1127" t="s">
        <v>129</v>
      </c>
      <c r="J26" s="1131" t="str">
        <f>('Summary Table'!C11)</f>
        <v>NO</v>
      </c>
      <c r="K26" s="1131" t="str">
        <f>('Summary Table'!D11)</f>
        <v>NO</v>
      </c>
      <c r="L26" s="1131" t="str">
        <f>('Summary Table'!E11)</f>
        <v>NO</v>
      </c>
      <c r="M26" s="1131" t="str">
        <f>('Summary Table'!F11)</f>
        <v>NO</v>
      </c>
      <c r="N26" s="1131" t="str">
        <f>('Summary Table'!G11)</f>
        <v>NO</v>
      </c>
      <c r="O26" s="1131" t="str">
        <f>('Summary Table'!H11)</f>
        <v>NO</v>
      </c>
      <c r="P26" s="1131" t="str">
        <f>('Summary Table'!I11)</f>
        <v>NO</v>
      </c>
      <c r="Q26" s="1131" t="str">
        <f>('Summary Table'!J11)</f>
        <v>NO</v>
      </c>
      <c r="R26" s="1131" t="str">
        <f>('Summary Table'!K11)</f>
        <v>NO</v>
      </c>
      <c r="S26" s="1131" t="str">
        <f>('Summary Table'!L11)</f>
        <v>NO</v>
      </c>
      <c r="T26" s="1131" t="str">
        <f>('Summary Table'!M11)</f>
        <v>NO</v>
      </c>
      <c r="U26" s="1131" t="str">
        <f>('Summary Table'!N11)</f>
        <v>NO</v>
      </c>
      <c r="V26" s="1131" t="str">
        <f>('Summary Table'!O11)</f>
        <v>NO</v>
      </c>
      <c r="W26" s="1131" t="str">
        <f>('Summary Table'!P11)</f>
        <v>NO</v>
      </c>
      <c r="X26" s="1131" t="str">
        <f>('Summary Table'!Q11)</f>
        <v>NO</v>
      </c>
      <c r="Y26" s="1131" t="str">
        <f>('Summary Table'!R11)</f>
        <v>NO</v>
      </c>
      <c r="Z26" s="1131" t="str">
        <f>('Summary Table'!S11)</f>
        <v>NO</v>
      </c>
      <c r="AA26" s="1131" t="str">
        <f>('Summary Table'!T11)</f>
        <v>NO</v>
      </c>
      <c r="AB26" s="1131" t="str">
        <f>('Summary Table'!U11)</f>
        <v>NO</v>
      </c>
      <c r="AC26" s="1131" t="str">
        <f>('Summary Table'!V11)</f>
        <v>NO</v>
      </c>
      <c r="AD26" s="1131" t="str">
        <f>('Summary Table'!W11)</f>
        <v>NO</v>
      </c>
      <c r="AE26" s="1131" t="str">
        <f>('Summary Table'!X11)</f>
        <v>NO</v>
      </c>
      <c r="AF26" s="1131" t="str">
        <f>('Summary Table'!Y11)</f>
        <v>NO</v>
      </c>
      <c r="AG26" s="1131" t="str">
        <f>('Summary Table'!Z11)</f>
        <v>NO</v>
      </c>
      <c r="AH26" s="1131" t="str">
        <f>('Summary Table'!AA11)</f>
        <v>NO</v>
      </c>
      <c r="AI26" s="1131" t="str">
        <f>('Summary Table'!AB11)</f>
        <v>NO</v>
      </c>
      <c r="AJ26" s="1131" t="str">
        <f>('Summary Table'!AC11)</f>
        <v>NO</v>
      </c>
      <c r="AK26" s="1131" t="str">
        <f>('Summary Table'!AD11)</f>
        <v>NO</v>
      </c>
      <c r="AL26" s="1131" t="str">
        <f>('Summary Table'!AE11)</f>
        <v>NO</v>
      </c>
      <c r="AM26" s="1131" t="str">
        <f>('Summary Table'!AF11)</f>
        <v>NO</v>
      </c>
      <c r="AN26" s="1131" t="str">
        <f>('Summary Table'!AG11)</f>
        <v>NO</v>
      </c>
      <c r="AO26" s="1131" t="str">
        <f>('Summary Table'!AH11)</f>
        <v>NO</v>
      </c>
      <c r="AP26" s="1131" t="str">
        <f>('Summary Table'!AI11)</f>
        <v>NO</v>
      </c>
    </row>
    <row r="27" spans="1:42" ht="11.45">
      <c r="A27" s="1130" t="s">
        <v>1432</v>
      </c>
      <c r="B27" s="1130" t="s">
        <v>1433</v>
      </c>
      <c r="C27" s="1130" t="s">
        <v>1445</v>
      </c>
      <c r="D27" s="1130" t="s">
        <v>1439</v>
      </c>
      <c r="E27" s="1130" t="s">
        <v>107</v>
      </c>
      <c r="F27" s="1130"/>
      <c r="G27" s="1130"/>
      <c r="H27" s="1130"/>
      <c r="I27" s="1127" t="s">
        <v>129</v>
      </c>
      <c r="J27" s="1131">
        <f>('Summary Table'!C18)</f>
        <v>36.000628828726228</v>
      </c>
      <c r="K27" s="1131">
        <f>('Summary Table'!D18)</f>
        <v>32.870998544585845</v>
      </c>
      <c r="L27" s="1131">
        <f>('Summary Table'!E18)</f>
        <v>32.223566137943912</v>
      </c>
      <c r="M27" s="1131">
        <f>('Summary Table'!F18)</f>
        <v>34.15461398423664</v>
      </c>
      <c r="N27" s="1131">
        <f>('Summary Table'!G18)</f>
        <v>37.56280519579169</v>
      </c>
      <c r="O27" s="1131">
        <f>('Summary Table'!H18)</f>
        <v>38.397759997364879</v>
      </c>
      <c r="P27" s="1131">
        <f>('Summary Table'!I18)</f>
        <v>39.083767671638746</v>
      </c>
      <c r="Q27" s="1131">
        <f>('Summary Table'!J18)</f>
        <v>41.387043476727435</v>
      </c>
      <c r="R27" s="1131">
        <f>('Summary Table'!K18)</f>
        <v>35.288383859149057</v>
      </c>
      <c r="S27" s="1131">
        <f>('Summary Table'!L18)</f>
        <v>35.810853010699333</v>
      </c>
      <c r="T27" s="1131">
        <f>('Summary Table'!M18)</f>
        <v>35.650075735907123</v>
      </c>
      <c r="U27" s="1131">
        <f>('Summary Table'!N18)</f>
        <v>34.885995822200002</v>
      </c>
      <c r="V27" s="1131">
        <f>('Summary Table'!O18)</f>
        <v>37.087113998567915</v>
      </c>
      <c r="W27" s="1131">
        <f>('Summary Table'!P18)</f>
        <v>33.263751370962055</v>
      </c>
      <c r="X27" s="1131">
        <f>('Summary Table'!Q18)</f>
        <v>31.927149340306773</v>
      </c>
      <c r="Y27" s="1131">
        <f>('Summary Table'!R18)</f>
        <v>33.075920910480484</v>
      </c>
      <c r="Z27" s="1131">
        <f>('Summary Table'!S18)</f>
        <v>33.132752480798366</v>
      </c>
      <c r="AA27" s="1131">
        <f>('Summary Table'!T18)</f>
        <v>35.181265831305353</v>
      </c>
      <c r="AB27" s="1131">
        <f>('Summary Table'!U18)</f>
        <v>36.701650199837665</v>
      </c>
      <c r="AC27" s="1131">
        <f>('Summary Table'!V18)</f>
        <v>37.924973610479</v>
      </c>
      <c r="AD27" s="1131">
        <f>('Summary Table'!W18)</f>
        <v>38.159193121908444</v>
      </c>
      <c r="AE27" s="1131">
        <f>('Summary Table'!X18)</f>
        <v>38.942984233329362</v>
      </c>
      <c r="AF27" s="1131">
        <f>('Summary Table'!Y18)</f>
        <v>41.37800918377787</v>
      </c>
      <c r="AG27" s="1131">
        <f>('Summary Table'!Z18)</f>
        <v>47.049246645534772</v>
      </c>
      <c r="AH27" s="1131">
        <f>('Summary Table'!AA18)</f>
        <v>40.238122656789713</v>
      </c>
      <c r="AI27" s="1131">
        <f>('Summary Table'!AB18)</f>
        <v>39.405905197849926</v>
      </c>
      <c r="AJ27" s="1131">
        <f>('Summary Table'!AC18)</f>
        <v>40.058807328702912</v>
      </c>
      <c r="AK27" s="1131">
        <f>('Summary Table'!AD18)</f>
        <v>42.257759266894162</v>
      </c>
      <c r="AL27" s="1131">
        <f>('Summary Table'!AE18)</f>
        <v>50.915434140965644</v>
      </c>
      <c r="AM27" s="1131">
        <f>('Summary Table'!AF18)</f>
        <v>58.928767923685299</v>
      </c>
      <c r="AN27" s="1131">
        <f>('Summary Table'!AG18)</f>
        <v>58.653794375777238</v>
      </c>
      <c r="AO27" s="1131">
        <f>('Summary Table'!AH18)</f>
        <v>65.191015978471412</v>
      </c>
      <c r="AP27" s="1131">
        <f>('Summary Table'!AI18)</f>
        <v>70.161308648019386</v>
      </c>
    </row>
    <row r="28" spans="1:42" ht="11.45">
      <c r="A28" s="1130" t="s">
        <v>1432</v>
      </c>
      <c r="B28" s="1130" t="s">
        <v>1433</v>
      </c>
      <c r="C28" s="1130" t="s">
        <v>1445</v>
      </c>
      <c r="D28" s="1130" t="s">
        <v>1440</v>
      </c>
      <c r="E28" s="1130" t="s">
        <v>107</v>
      </c>
      <c r="F28" s="1130"/>
      <c r="G28" s="1130"/>
      <c r="H28" s="1130"/>
      <c r="I28" s="1127" t="s">
        <v>129</v>
      </c>
      <c r="J28" s="1131">
        <f>'Summary Table'!C25</f>
        <v>1432.9432652886276</v>
      </c>
      <c r="K28" s="1131">
        <f>'Summary Table'!D25</f>
        <v>1389.4564060937773</v>
      </c>
      <c r="L28" s="1131">
        <f>'Summary Table'!E25</f>
        <v>1445.4198600226605</v>
      </c>
      <c r="M28" s="1131">
        <f>'Summary Table'!F25</f>
        <v>1474.4524204610232</v>
      </c>
      <c r="N28" s="1131">
        <f>'Summary Table'!G25</f>
        <v>1516.3845483799519</v>
      </c>
      <c r="O28" s="1131">
        <f>'Summary Table'!H25</f>
        <v>1542.280097691809</v>
      </c>
      <c r="P28" s="1131">
        <f>'Summary Table'!I25</f>
        <v>1588.2793374504231</v>
      </c>
      <c r="Q28" s="1131">
        <f>'Summary Table'!J25</f>
        <v>1602.1285102616407</v>
      </c>
      <c r="R28" s="1131">
        <f>'Summary Table'!K25</f>
        <v>1643.631953718932</v>
      </c>
      <c r="S28" s="1131">
        <f>'Summary Table'!L25</f>
        <v>1710.533470614638</v>
      </c>
      <c r="T28" s="1131">
        <f>'Summary Table'!M25</f>
        <v>1756.5518161208734</v>
      </c>
      <c r="U28" s="1131">
        <f>'Summary Table'!N25</f>
        <v>1727.5780724003682</v>
      </c>
      <c r="V28" s="1131">
        <f>'Summary Table'!O25</f>
        <v>1765.9312304048144</v>
      </c>
      <c r="W28" s="1131">
        <f>'Summary Table'!P25</f>
        <v>1778.7205356811112</v>
      </c>
      <c r="X28" s="1131">
        <f>'Summary Table'!Q25</f>
        <v>1813.2935615739598</v>
      </c>
      <c r="Y28" s="1131">
        <f>'Summary Table'!R25</f>
        <v>1825.4762484604264</v>
      </c>
      <c r="Z28" s="1131">
        <f>'Summary Table'!S25</f>
        <v>1826.0002540005557</v>
      </c>
      <c r="AA28" s="1131">
        <f>'Summary Table'!T25</f>
        <v>1825.5562316874011</v>
      </c>
      <c r="AB28" s="1131">
        <f>'Summary Table'!U25</f>
        <v>1722.979673561545</v>
      </c>
      <c r="AC28" s="1131">
        <f>'Summary Table'!V25</f>
        <v>1650.5556008859128</v>
      </c>
      <c r="AD28" s="1131">
        <f>'Summary Table'!W25</f>
        <v>1658.4553294190557</v>
      </c>
      <c r="AE28" s="1131">
        <f>'Summary Table'!X25</f>
        <v>1631.4345760286221</v>
      </c>
      <c r="AF28" s="1131">
        <f>'Summary Table'!Y25</f>
        <v>1618.0233222872737</v>
      </c>
      <c r="AG28" s="1131">
        <f>'Summary Table'!Z25</f>
        <v>1621.9966735810883</v>
      </c>
      <c r="AH28" s="1131">
        <f>'Summary Table'!AA25</f>
        <v>1667.1086070610122</v>
      </c>
      <c r="AI28" s="1131">
        <f>'Summary Table'!AB25</f>
        <v>1678.9752558374032</v>
      </c>
      <c r="AJ28" s="1131">
        <f>'Summary Table'!AC25</f>
        <v>1717.8477376887884</v>
      </c>
      <c r="AK28" s="1131">
        <f>'Summary Table'!AD25</f>
        <v>1738.0500649093556</v>
      </c>
      <c r="AL28" s="1131">
        <f>'Summary Table'!AE25</f>
        <v>1762.2192146418806</v>
      </c>
      <c r="AM28" s="1131">
        <f>'Summary Table'!AF25</f>
        <v>1757.7069059853736</v>
      </c>
      <c r="AN28" s="1131">
        <f>'Summary Table'!AG25</f>
        <v>1514.1664116985837</v>
      </c>
      <c r="AO28" s="1131">
        <f>'Summary Table'!AH25</f>
        <v>1688.3549089409773</v>
      </c>
      <c r="AP28" s="1131">
        <f>'Summary Table'!AI25</f>
        <v>1710.6018856605253</v>
      </c>
    </row>
    <row r="29" spans="1:42" ht="11.45">
      <c r="A29" s="1130" t="s">
        <v>1432</v>
      </c>
      <c r="B29" s="1130" t="s">
        <v>1433</v>
      </c>
      <c r="C29" s="1130" t="s">
        <v>1447</v>
      </c>
      <c r="D29" s="1130" t="s">
        <v>1435</v>
      </c>
      <c r="E29" s="1130" t="s">
        <v>107</v>
      </c>
      <c r="F29" s="1130"/>
      <c r="G29" s="1130"/>
      <c r="H29" s="1130"/>
      <c r="I29" s="1127" t="s">
        <v>129</v>
      </c>
      <c r="J29" s="1131">
        <f>('Summary Table'!C12)</f>
        <v>1546.5138658365147</v>
      </c>
      <c r="K29" s="1131">
        <f>('Summary Table'!D12)</f>
        <v>1547.1744736994474</v>
      </c>
      <c r="L29" s="1131">
        <f>('Summary Table'!E12)</f>
        <v>1568.5414841172681</v>
      </c>
      <c r="M29" s="1131">
        <f>('Summary Table'!F12)</f>
        <v>1631.6188101341861</v>
      </c>
      <c r="N29" s="1131">
        <f>('Summary Table'!G12)</f>
        <v>1637.8528422171717</v>
      </c>
      <c r="O29" s="1131">
        <f>('Summary Table'!H12)</f>
        <v>1659.8609103723704</v>
      </c>
      <c r="P29" s="1131">
        <f>('Summary Table'!I12)</f>
        <v>1751.5233947269828</v>
      </c>
      <c r="Q29" s="1131">
        <f>('Summary Table'!J12)</f>
        <v>1796.0188853915236</v>
      </c>
      <c r="R29" s="1131">
        <f>('Summary Table'!K12)</f>
        <v>1827.1476965735826</v>
      </c>
      <c r="S29" s="1131">
        <f>('Summary Table'!L12)</f>
        <v>1835.4022340292524</v>
      </c>
      <c r="T29" s="1131">
        <f>('Summary Table'!M12)</f>
        <v>1926.3651342158976</v>
      </c>
      <c r="U29" s="1131">
        <f>('Summary Table'!N12)</f>
        <v>1868.8345135593859</v>
      </c>
      <c r="V29" s="1131">
        <f>('Summary Table'!O12)</f>
        <v>1888.8946691071951</v>
      </c>
      <c r="W29" s="1131">
        <f>('Summary Table'!P12)</f>
        <v>1929.9566599629634</v>
      </c>
      <c r="X29" s="1131">
        <f>('Summary Table'!Q12)</f>
        <v>1942.0197985409238</v>
      </c>
      <c r="Y29" s="1131">
        <f>('Summary Table'!R12)</f>
        <v>1982.7713676303179</v>
      </c>
      <c r="Z29" s="1131">
        <f>('Summary Table'!S12)</f>
        <v>1952.6895189382972</v>
      </c>
      <c r="AA29" s="1131">
        <f>('Summary Table'!T12)</f>
        <v>1986.2497853491975</v>
      </c>
      <c r="AB29" s="1131">
        <f>('Summary Table'!U12)</f>
        <v>1958.3876061335875</v>
      </c>
      <c r="AC29" s="1131">
        <f>('Summary Table'!V12)</f>
        <v>1740.1526692444147</v>
      </c>
      <c r="AD29" s="1131">
        <f>('Summary Table'!W12)</f>
        <v>1827.2452396274032</v>
      </c>
      <c r="AE29" s="1131">
        <f>('Summary Table'!X12)</f>
        <v>1722.3698705628942</v>
      </c>
      <c r="AF29" s="1131">
        <f>('Summary Table'!Y12)</f>
        <v>1511.6931055686455</v>
      </c>
      <c r="AG29" s="1131">
        <f>('Summary Table'!Z12)</f>
        <v>1571.2511273959044</v>
      </c>
      <c r="AH29" s="1131">
        <f>('Summary Table'!AA12)</f>
        <v>1568.556173908122</v>
      </c>
      <c r="AI29" s="1131">
        <f>('Summary Table'!AB12)</f>
        <v>1351.3884116145925</v>
      </c>
      <c r="AJ29" s="1131">
        <f>('Summary Table'!AC12)</f>
        <v>1242.0166623259897</v>
      </c>
      <c r="AK29" s="1131">
        <f>('Summary Table'!AD12)</f>
        <v>1207.0667392920539</v>
      </c>
      <c r="AL29" s="1131">
        <f>('Summary Table'!AE12)</f>
        <v>1152.8764230464151</v>
      </c>
      <c r="AM29" s="1131">
        <f>('Summary Table'!AF12)</f>
        <v>973.5397823880611</v>
      </c>
      <c r="AN29" s="1131">
        <f>('Summary Table'!AG12)</f>
        <v>788.15962639841325</v>
      </c>
      <c r="AO29" s="1131">
        <f>('Summary Table'!AH12)</f>
        <v>910.06445819817407</v>
      </c>
      <c r="AP29" s="1131">
        <f>('Summary Table'!AI12)</f>
        <v>851.47205640141203</v>
      </c>
    </row>
    <row r="30" spans="1:42" ht="11.45">
      <c r="A30" s="1130" t="s">
        <v>1432</v>
      </c>
      <c r="B30" s="1130" t="s">
        <v>1433</v>
      </c>
      <c r="C30" s="1130" t="s">
        <v>1447</v>
      </c>
      <c r="D30" s="1130" t="s">
        <v>1439</v>
      </c>
      <c r="E30" s="1130" t="s">
        <v>107</v>
      </c>
      <c r="F30" s="1130"/>
      <c r="G30" s="1130"/>
      <c r="H30" s="1130"/>
      <c r="I30" s="1127" t="s">
        <v>129</v>
      </c>
      <c r="J30" s="1131">
        <f>('Summary Table'!C19)</f>
        <v>175.3600389026015</v>
      </c>
      <c r="K30" s="1131">
        <f>('Summary Table'!D19)</f>
        <v>178.96641557241685</v>
      </c>
      <c r="L30" s="1131">
        <f>('Summary Table'!E19)</f>
        <v>186.07465958323442</v>
      </c>
      <c r="M30" s="1131">
        <f>('Summary Table'!F19)</f>
        <v>187.58235295994123</v>
      </c>
      <c r="N30" s="1131">
        <f>('Summary Table'!G19)</f>
        <v>210.85461547922213</v>
      </c>
      <c r="O30" s="1131">
        <f>('Summary Table'!H19)</f>
        <v>228.17265505672165</v>
      </c>
      <c r="P30" s="1131">
        <f>('Summary Table'!I19)</f>
        <v>204.86080527999366</v>
      </c>
      <c r="Q30" s="1131">
        <f>('Summary Table'!J19)</f>
        <v>218.81342912547896</v>
      </c>
      <c r="R30" s="1131">
        <f>('Summary Table'!K19)</f>
        <v>247.66612926215842</v>
      </c>
      <c r="S30" s="1131">
        <f>('Summary Table'!L19)</f>
        <v>259.94521454492025</v>
      </c>
      <c r="T30" s="1131">
        <f>('Summary Table'!M19)</f>
        <v>280.82105213992054</v>
      </c>
      <c r="U30" s="1131">
        <f>('Summary Table'!N19)</f>
        <v>289.35862946229537</v>
      </c>
      <c r="V30" s="1131">
        <f>('Summary Table'!O19)</f>
        <v>306.00875363034964</v>
      </c>
      <c r="W30" s="1131">
        <f>('Summary Table'!P19)</f>
        <v>278.12739640727375</v>
      </c>
      <c r="X30" s="1131">
        <f>('Summary Table'!Q19)</f>
        <v>296.75029743802992</v>
      </c>
      <c r="Y30" s="1131">
        <f>('Summary Table'!R19)</f>
        <v>318.85840260471355</v>
      </c>
      <c r="Z30" s="1131">
        <f>('Summary Table'!S19)</f>
        <v>337.97496302681611</v>
      </c>
      <c r="AA30" s="1131">
        <f>('Summary Table'!T19)</f>
        <v>371.46513223741312</v>
      </c>
      <c r="AB30" s="1131">
        <f>('Summary Table'!U19)</f>
        <v>362.11597738194661</v>
      </c>
      <c r="AC30" s="1131">
        <f>('Summary Table'!V19)</f>
        <v>372.54775041195018</v>
      </c>
      <c r="AD30" s="1131">
        <f>('Summary Table'!W19)</f>
        <v>399.53808692568629</v>
      </c>
      <c r="AE30" s="1131">
        <f>('Summary Table'!X19)</f>
        <v>409.42961840152782</v>
      </c>
      <c r="AF30" s="1131">
        <f>('Summary Table'!Y19)</f>
        <v>492.79219630413746</v>
      </c>
      <c r="AG30" s="1131">
        <f>('Summary Table'!Z19)</f>
        <v>444.16593360966391</v>
      </c>
      <c r="AH30" s="1131">
        <f>('Summary Table'!AA19)</f>
        <v>442.88200596411235</v>
      </c>
      <c r="AI30" s="1131">
        <f>('Summary Table'!AB19)</f>
        <v>525.16054071183544</v>
      </c>
      <c r="AJ30" s="1131">
        <f>('Summary Table'!AC19)</f>
        <v>544.99213211889321</v>
      </c>
      <c r="AK30" s="1131">
        <f>('Summary Table'!AD19)</f>
        <v>505.63466065505327</v>
      </c>
      <c r="AL30" s="1131">
        <f>('Summary Table'!AE19)</f>
        <v>577.93546402725235</v>
      </c>
      <c r="AM30" s="1131">
        <f>('Summary Table'!AF19)</f>
        <v>616.64869033042908</v>
      </c>
      <c r="AN30" s="1131">
        <f>('Summary Table'!AG19)</f>
        <v>634.84915679760923</v>
      </c>
      <c r="AO30" s="1131">
        <f>('Summary Table'!AH19)</f>
        <v>612.7780915068297</v>
      </c>
      <c r="AP30" s="1131">
        <f>('Summary Table'!AI19)</f>
        <v>659.30521463869627</v>
      </c>
    </row>
    <row r="31" spans="1:42" ht="11.45">
      <c r="A31" s="1130" t="s">
        <v>1432</v>
      </c>
      <c r="B31" s="1130" t="s">
        <v>1433</v>
      </c>
      <c r="C31" s="1130" t="s">
        <v>1447</v>
      </c>
      <c r="D31" s="1130" t="s">
        <v>1440</v>
      </c>
      <c r="E31" s="1130" t="s">
        <v>107</v>
      </c>
      <c r="F31" s="1130"/>
      <c r="G31" s="1130"/>
      <c r="H31" s="1130"/>
      <c r="I31" s="1127" t="s">
        <v>129</v>
      </c>
      <c r="J31" s="1131">
        <f>('Summary Table'!C26)</f>
        <v>97.538490680398411</v>
      </c>
      <c r="K31" s="1131">
        <f>('Summary Table'!D26)</f>
        <v>90.678661907118197</v>
      </c>
      <c r="L31" s="1131">
        <f>('Summary Table'!E26)</f>
        <v>75.527743357330678</v>
      </c>
      <c r="M31" s="1131">
        <f>('Summary Table'!F26)</f>
        <v>86.415412739867193</v>
      </c>
      <c r="N31" s="1131">
        <f>('Summary Table'!G26)</f>
        <v>81.246850001075686</v>
      </c>
      <c r="O31" s="1131">
        <f>('Summary Table'!H26)</f>
        <v>58.71177506316068</v>
      </c>
      <c r="P31" s="1131">
        <f>('Summary Table'!I26)</f>
        <v>63.3962927596016</v>
      </c>
      <c r="Q31" s="1131">
        <f>('Summary Table'!J26)</f>
        <v>72.207404234661354</v>
      </c>
      <c r="R31" s="1131">
        <f>('Summary Table'!K26)</f>
        <v>101.26271580049136</v>
      </c>
      <c r="S31" s="1131">
        <f>('Summary Table'!L26)</f>
        <v>93.83330481405045</v>
      </c>
      <c r="T31" s="1131">
        <f>('Summary Table'!M26)</f>
        <v>88.524423740199197</v>
      </c>
      <c r="U31" s="1131">
        <f>('Summary Table'!N26)</f>
        <v>98.561015855192565</v>
      </c>
      <c r="V31" s="1131">
        <f>('Summary Table'!O26)</f>
        <v>76.854861578857893</v>
      </c>
      <c r="W31" s="1131">
        <f>('Summary Table'!P26)</f>
        <v>95.127634817888449</v>
      </c>
      <c r="X31" s="1131">
        <f>('Summary Table'!Q26)</f>
        <v>95.845222101221793</v>
      </c>
      <c r="Y31" s="1131">
        <f>('Summary Table'!R26)</f>
        <v>97.96669769888446</v>
      </c>
      <c r="Z31" s="1131">
        <f>('Summary Table'!S26)</f>
        <v>53.276122434926961</v>
      </c>
      <c r="AA31" s="1131">
        <f>('Summary Table'!T26)</f>
        <v>52.964488890730408</v>
      </c>
      <c r="AB31" s="1131">
        <f>('Summary Table'!U26)</f>
        <v>38.386647737556437</v>
      </c>
      <c r="AC31" s="1131">
        <f>('Summary Table'!V26)</f>
        <v>32.211435291660024</v>
      </c>
      <c r="AD31" s="1131">
        <f>('Summary Table'!W26)</f>
        <v>31.428996559920311</v>
      </c>
      <c r="AE31" s="1131">
        <f>('Summary Table'!X26)</f>
        <v>25.831553656440903</v>
      </c>
      <c r="AF31" s="1131">
        <f>('Summary Table'!Y26)</f>
        <v>18.333108585152722</v>
      </c>
      <c r="AG31" s="1131">
        <f>('Summary Table'!Z26)</f>
        <v>22.420050113678617</v>
      </c>
      <c r="AH31" s="1131">
        <f>('Summary Table'!AA26)</f>
        <v>25.304369663240369</v>
      </c>
      <c r="AI31" s="1131">
        <f>('Summary Table'!AB26)</f>
        <v>23.674448825350165</v>
      </c>
      <c r="AJ31" s="1131">
        <f>('Summary Table'!AC26)</f>
        <v>21.458011279651984</v>
      </c>
      <c r="AK31" s="1131">
        <f>('Summary Table'!AD26)</f>
        <v>18.920639478904537</v>
      </c>
      <c r="AL31" s="1131">
        <f>('Summary Table'!AE26)</f>
        <v>22.215728844761522</v>
      </c>
      <c r="AM31" s="1131">
        <f>('Summary Table'!AF26)</f>
        <v>16.161308535890104</v>
      </c>
      <c r="AN31" s="1131">
        <f>('Summary Table'!AG26)</f>
        <v>16.166104737697388</v>
      </c>
      <c r="AO31" s="1131">
        <f>('Summary Table'!AH26)</f>
        <v>17.713212252599575</v>
      </c>
      <c r="AP31" s="1131">
        <f>('Summary Table'!AI26)</f>
        <v>20.522249226051947</v>
      </c>
    </row>
    <row r="32" spans="1:42" ht="11.45">
      <c r="A32" s="1130" t="s">
        <v>1432</v>
      </c>
      <c r="B32" s="1130" t="s">
        <v>1433</v>
      </c>
      <c r="C32" s="1130" t="s">
        <v>1447</v>
      </c>
      <c r="D32" s="1130" t="s">
        <v>82</v>
      </c>
      <c r="E32" s="1130" t="s">
        <v>107</v>
      </c>
      <c r="F32" s="1130"/>
      <c r="G32" s="1130"/>
      <c r="H32" s="1130"/>
      <c r="I32" s="1127" t="s">
        <v>129</v>
      </c>
      <c r="J32" s="1131">
        <f>('Summary Table'!C28)</f>
        <v>0.53819391898531332</v>
      </c>
      <c r="K32" s="1131">
        <f>('Summary Table'!D28)</f>
        <v>0.53913328761937329</v>
      </c>
      <c r="L32" s="1131">
        <f>('Summary Table'!E28)</f>
        <v>0.54407238576943517</v>
      </c>
      <c r="M32" s="1131">
        <f>('Summary Table'!F28)</f>
        <v>0.55549804438478367</v>
      </c>
      <c r="N32" s="1131">
        <f>('Summary Table'!G28)</f>
        <v>0.51416615280727973</v>
      </c>
      <c r="O32" s="1131">
        <f>('Summary Table'!H28)</f>
        <v>0.42789739562582274</v>
      </c>
      <c r="P32" s="1131">
        <f>('Summary Table'!I28)</f>
        <v>0.46247774297699551</v>
      </c>
      <c r="Q32" s="1131">
        <f>('Summary Table'!J28)</f>
        <v>0.48008445222437274</v>
      </c>
      <c r="R32" s="1131">
        <f>('Summary Table'!K28)</f>
        <v>0.47808351702318308</v>
      </c>
      <c r="S32" s="1131">
        <f>('Summary Table'!L28)</f>
        <v>0.48506929832140988</v>
      </c>
      <c r="T32" s="1131">
        <f>('Summary Table'!M28)</f>
        <v>0.46106105539886988</v>
      </c>
      <c r="U32" s="1131">
        <f>('Summary Table'!N28)</f>
        <v>0.44952386597193894</v>
      </c>
      <c r="V32" s="1131">
        <f>('Summary Table'!O28)</f>
        <v>0.46881399496422538</v>
      </c>
      <c r="W32" s="1131">
        <f>('Summary Table'!P28)</f>
        <v>0.46668759381997493</v>
      </c>
      <c r="X32" s="1131">
        <f>('Summary Table'!Q28)</f>
        <v>0.46734375342683254</v>
      </c>
      <c r="Y32" s="1131">
        <f>('Summary Table'!R28)</f>
        <v>0.46101770673125719</v>
      </c>
      <c r="Z32" s="1131">
        <f>('Summary Table'!S28)</f>
        <v>0.45493035004951315</v>
      </c>
      <c r="AA32" s="1131">
        <f>('Summary Table'!T28)</f>
        <v>0.45791243059931558</v>
      </c>
      <c r="AB32" s="1131">
        <f>('Summary Table'!U28)</f>
        <v>0.44186045906642402</v>
      </c>
      <c r="AC32" s="1131">
        <f>('Summary Table'!V28)</f>
        <v>0.43404580842672003</v>
      </c>
      <c r="AD32" s="1131">
        <f>('Summary Table'!W28)</f>
        <v>0.42666894035695202</v>
      </c>
      <c r="AE32" s="1131">
        <f>('Summary Table'!X28)</f>
        <v>0.436098145690272</v>
      </c>
      <c r="AF32" s="1131">
        <f>('Summary Table'!Y28)</f>
        <v>0.43740649120955999</v>
      </c>
      <c r="AG32" s="1131">
        <f>('Summary Table'!Z28)</f>
        <v>0.43301642728912798</v>
      </c>
      <c r="AH32" s="1131">
        <f>('Summary Table'!AA28)</f>
        <v>0.42329941039188002</v>
      </c>
      <c r="AI32" s="1131">
        <f>('Summary Table'!AB28)</f>
        <v>0.41438842328750403</v>
      </c>
      <c r="AJ32" s="1131">
        <f>('Summary Table'!AC28)</f>
        <v>0.40471025909529595</v>
      </c>
      <c r="AK32" s="1131">
        <f>('Summary Table'!AD28)</f>
        <v>0.410679019378689</v>
      </c>
      <c r="AL32" s="1131">
        <f>('Summary Table'!AE28)</f>
        <v>0.40475222088763196</v>
      </c>
      <c r="AM32" s="1131">
        <f>('Summary Table'!AF28)</f>
        <v>0.37101446085844803</v>
      </c>
      <c r="AN32" s="1131">
        <f>('Summary Table'!AG28)</f>
        <v>0.39082596898509597</v>
      </c>
      <c r="AO32" s="1131">
        <f>('Summary Table'!AH28)</f>
        <v>0.37701789288105603</v>
      </c>
      <c r="AP32" s="1131">
        <f>('Summary Table'!AI28)</f>
        <v>0.38055713481468001</v>
      </c>
    </row>
    <row r="33" spans="1:42" ht="11.45">
      <c r="A33" s="1130" t="s">
        <v>1432</v>
      </c>
      <c r="B33" s="1130" t="s">
        <v>1433</v>
      </c>
      <c r="C33" s="1130" t="s">
        <v>74</v>
      </c>
      <c r="D33" s="1130" t="s">
        <v>1435</v>
      </c>
      <c r="E33" s="1130" t="s">
        <v>107</v>
      </c>
      <c r="F33" s="1130"/>
      <c r="G33" s="1130"/>
      <c r="H33" s="1130"/>
      <c r="I33" s="1127" t="s">
        <v>129</v>
      </c>
      <c r="J33" s="1131">
        <f>('Summary Table'!C13)</f>
        <v>0.49918364487950195</v>
      </c>
      <c r="K33" s="1131">
        <f>('Summary Table'!D13)</f>
        <v>0.46298199444111593</v>
      </c>
      <c r="L33" s="1131">
        <f>('Summary Table'!E13)</f>
        <v>0.39540420426145789</v>
      </c>
      <c r="M33" s="1131">
        <f>('Summary Table'!F13)</f>
        <v>0.414664583865334</v>
      </c>
      <c r="N33" s="1131">
        <f>('Summary Table'!G13)</f>
        <v>0.4225953215157458</v>
      </c>
      <c r="O33" s="1131">
        <f>('Summary Table'!H13)</f>
        <v>0.43052605711056213</v>
      </c>
      <c r="P33" s="1131">
        <f>('Summary Table'!I13)</f>
        <v>0.44185569700838989</v>
      </c>
      <c r="Q33" s="1131">
        <f>('Summary Table'!J13)</f>
        <v>0.44910667394322812</v>
      </c>
      <c r="R33" s="1131">
        <f>('Summary Table'!K13)</f>
        <v>0.45409170850918595</v>
      </c>
      <c r="S33" s="1131">
        <f>('Summary Table'!L13)</f>
        <v>0.42032940175863998</v>
      </c>
      <c r="T33" s="1131">
        <f>('Summary Table'!M13)</f>
        <v>0.47500388702083407</v>
      </c>
      <c r="U33" s="1131">
        <f>('Summary Table'!N13)</f>
        <v>0.59682902437400609</v>
      </c>
      <c r="V33" s="1131">
        <f>('Summary Table'!O13)</f>
        <v>2.0233696387959919</v>
      </c>
      <c r="W33" s="1131">
        <f>('Summary Table'!P13)</f>
        <v>2.6638948248182412</v>
      </c>
      <c r="X33" s="1131">
        <f>('Summary Table'!Q13)</f>
        <v>2.9457046672788625</v>
      </c>
      <c r="Y33" s="1131">
        <f>('Summary Table'!R13)</f>
        <v>3.0136824655534786</v>
      </c>
      <c r="Z33" s="1131">
        <f>('Summary Table'!S13)</f>
        <v>3.3988899959624983</v>
      </c>
      <c r="AA33" s="1131">
        <f>('Summary Table'!T13)</f>
        <v>3.4023708872877636</v>
      </c>
      <c r="AB33" s="1131">
        <f>('Summary Table'!U13)</f>
        <v>3.4334171477753794</v>
      </c>
      <c r="AC33" s="1131">
        <f>('Summary Table'!V13)</f>
        <v>3.4095811621519387</v>
      </c>
      <c r="AD33" s="1131">
        <f>('Summary Table'!W13)</f>
        <v>3.1957130259780819</v>
      </c>
      <c r="AE33" s="1131">
        <f>('Summary Table'!X13)</f>
        <v>3.4382816448199178</v>
      </c>
      <c r="AF33" s="1131">
        <f>('Summary Table'!Y13)</f>
        <v>3.2878464692658049</v>
      </c>
      <c r="AG33" s="1131">
        <f>('Summary Table'!Z13)</f>
        <v>3.275549300432385</v>
      </c>
      <c r="AH33" s="1131">
        <f>('Summary Table'!AA13)</f>
        <v>3.4423529910979647</v>
      </c>
      <c r="AI33" s="1131">
        <f>('Summary Table'!AB13)</f>
        <v>3.3100766326055582</v>
      </c>
      <c r="AJ33" s="1131">
        <f>('Summary Table'!AC13)</f>
        <v>3.2706872988139057</v>
      </c>
      <c r="AK33" s="1131">
        <f>('Summary Table'!AD13)</f>
        <v>2.3004828509080002</v>
      </c>
      <c r="AL33" s="1131">
        <f>('Summary Table'!AE13)</f>
        <v>2.5567788600420003</v>
      </c>
      <c r="AM33" s="1131">
        <f>('Summary Table'!AF13)</f>
        <v>3.5604735078220004</v>
      </c>
      <c r="AN33" s="1131">
        <f>('Summary Table'!AG13)</f>
        <v>3.0825890668051215</v>
      </c>
      <c r="AO33" s="1131">
        <f>('Summary Table'!AH13)</f>
        <v>2.8885689791967102</v>
      </c>
      <c r="AP33" s="1131">
        <f>('Summary Table'!AI13)</f>
        <v>2.8885689791967102</v>
      </c>
    </row>
    <row r="34" spans="1:42" ht="11.45">
      <c r="A34" s="1130" t="s">
        <v>1432</v>
      </c>
      <c r="B34" s="1130" t="s">
        <v>1433</v>
      </c>
      <c r="C34" s="1130" t="s">
        <v>74</v>
      </c>
      <c r="D34" s="1130" t="s">
        <v>1439</v>
      </c>
      <c r="E34" s="1130" t="s">
        <v>107</v>
      </c>
      <c r="F34" s="1130"/>
      <c r="G34" s="1130"/>
      <c r="H34" s="1130"/>
      <c r="I34" s="1127" t="s">
        <v>129</v>
      </c>
      <c r="J34" s="1131" t="str">
        <f>('Summary Table'!C20)</f>
        <v>NO</v>
      </c>
      <c r="K34" s="1131" t="str">
        <f>('Summary Table'!D20)</f>
        <v>NO</v>
      </c>
      <c r="L34" s="1131" t="str">
        <f>('Summary Table'!E20)</f>
        <v>NO</v>
      </c>
      <c r="M34" s="1131" t="str">
        <f>('Summary Table'!F20)</f>
        <v>NO</v>
      </c>
      <c r="N34" s="1131" t="str">
        <f>('Summary Table'!G20)</f>
        <v>NO</v>
      </c>
      <c r="O34" s="1131" t="str">
        <f>('Summary Table'!H20)</f>
        <v>NO</v>
      </c>
      <c r="P34" s="1131" t="str">
        <f>('Summary Table'!I20)</f>
        <v>NO</v>
      </c>
      <c r="Q34" s="1131" t="str">
        <f>('Summary Table'!J20)</f>
        <v>NO</v>
      </c>
      <c r="R34" s="1131" t="str">
        <f>('Summary Table'!K20)</f>
        <v>NO</v>
      </c>
      <c r="S34" s="1131" t="str">
        <f>('Summary Table'!L20)</f>
        <v>NO</v>
      </c>
      <c r="T34" s="1131">
        <f>('Summary Table'!M20)</f>
        <v>0.67212201477417799</v>
      </c>
      <c r="U34" s="1131">
        <f>('Summary Table'!N20)</f>
        <v>1.2125167466946647</v>
      </c>
      <c r="V34" s="1131">
        <f>('Summary Table'!O20)</f>
        <v>1.2089205865598054</v>
      </c>
      <c r="W34" s="1131">
        <f>('Summary Table'!P20)</f>
        <v>1.4242260199270667</v>
      </c>
      <c r="X34" s="1131">
        <f>('Summary Table'!Q20)</f>
        <v>1.3068074496928888</v>
      </c>
      <c r="Y34" s="1131">
        <f>('Summary Table'!R20)</f>
        <v>1.2895019369609928</v>
      </c>
      <c r="Z34" s="1131">
        <f>('Summary Table'!S20)</f>
        <v>1.3857334247939026</v>
      </c>
      <c r="AA34" s="1131">
        <f>('Summary Table'!T20)</f>
        <v>1.415921575354</v>
      </c>
      <c r="AB34" s="1131">
        <f>('Summary Table'!U20)</f>
        <v>1.5513054613666941</v>
      </c>
      <c r="AC34" s="1131">
        <f>('Summary Table'!V20)</f>
        <v>1.4531353816314685</v>
      </c>
      <c r="AD34" s="1131">
        <f>('Summary Table'!W20)</f>
        <v>1.4764952126860063</v>
      </c>
      <c r="AE34" s="1131">
        <f>('Summary Table'!X20)</f>
        <v>1.4370506029671137</v>
      </c>
      <c r="AF34" s="1131">
        <f>('Summary Table'!Y20)</f>
        <v>2.6097333297164047</v>
      </c>
      <c r="AG34" s="1131">
        <f>('Summary Table'!Z20)</f>
        <v>3.0881755478141319</v>
      </c>
      <c r="AH34" s="1131">
        <f>('Summary Table'!AA20)</f>
        <v>3.2092986456579755</v>
      </c>
      <c r="AI34" s="1131">
        <f>('Summary Table'!AB20)</f>
        <v>3.0379310176521801</v>
      </c>
      <c r="AJ34" s="1131">
        <f>('Summary Table'!AC20)</f>
        <v>3.3649958579027071</v>
      </c>
      <c r="AK34" s="1131">
        <f>('Summary Table'!AD20)</f>
        <v>2.5455513992585312</v>
      </c>
      <c r="AL34" s="1131">
        <f>('Summary Table'!AE20)</f>
        <v>3.3040677421953082</v>
      </c>
      <c r="AM34" s="1131">
        <f>('Summary Table'!AF20)</f>
        <v>3.773022660515549</v>
      </c>
      <c r="AN34" s="1131">
        <f>('Summary Table'!AG20)</f>
        <v>2.647583744073164</v>
      </c>
      <c r="AO34" s="1131">
        <f>('Summary Table'!AH20)</f>
        <v>3.9226452440549542</v>
      </c>
      <c r="AP34" s="1131">
        <f>('Summary Table'!AI20)</f>
        <v>3.9197560160609353</v>
      </c>
    </row>
    <row r="35" spans="1:42" ht="11.45">
      <c r="A35" s="1130" t="s">
        <v>1432</v>
      </c>
      <c r="B35" s="1130" t="s">
        <v>1433</v>
      </c>
      <c r="C35" s="1130" t="s">
        <v>74</v>
      </c>
      <c r="D35" s="1130" t="s">
        <v>1440</v>
      </c>
      <c r="E35" s="1130" t="s">
        <v>107</v>
      </c>
      <c r="F35" s="1130"/>
      <c r="G35" s="1130"/>
      <c r="H35" s="1130"/>
      <c r="I35" s="1127" t="s">
        <v>129</v>
      </c>
      <c r="J35" s="1131">
        <f>('Summary Table'!C27)</f>
        <v>19.508959997567821</v>
      </c>
      <c r="K35" s="1131">
        <f>('Summary Table'!D27)</f>
        <v>18.719462787601117</v>
      </c>
      <c r="L35" s="1131">
        <f>('Summary Table'!E27)</f>
        <v>21.550453172158644</v>
      </c>
      <c r="M35" s="1131">
        <f>('Summary Table'!F27)</f>
        <v>22.209565820159433</v>
      </c>
      <c r="N35" s="1131">
        <f>('Summary Table'!G27)</f>
        <v>24.309329766534255</v>
      </c>
      <c r="O35" s="1131">
        <f>('Summary Table'!H27)</f>
        <v>21.11806308104892</v>
      </c>
      <c r="P35" s="1131">
        <f>('Summary Table'!I27)</f>
        <v>19.336238272987909</v>
      </c>
      <c r="Q35" s="1131">
        <f>('Summary Table'!J27)</f>
        <v>19.632812588792206</v>
      </c>
      <c r="R35" s="1131">
        <f>('Summary Table'!K27)</f>
        <v>18.991174385790437</v>
      </c>
      <c r="S35" s="1131">
        <f>('Summary Table'!L27)</f>
        <v>15.05096583845658</v>
      </c>
      <c r="T35" s="1131">
        <f>('Summary Table'!M27)</f>
        <v>35.882449882897561</v>
      </c>
      <c r="U35" s="1131">
        <f>('Summary Table'!N27)</f>
        <v>47.84126149792592</v>
      </c>
      <c r="V35" s="1131">
        <f>('Summary Table'!O27)</f>
        <v>41.918924234670499</v>
      </c>
      <c r="W35" s="1131">
        <f>('Summary Table'!P27)</f>
        <v>46.275896176518664</v>
      </c>
      <c r="X35" s="1131">
        <f>('Summary Table'!Q27)</f>
        <v>48.662481315630998</v>
      </c>
      <c r="Y35" s="1131">
        <f>('Summary Table'!R27)</f>
        <v>47.552669878629565</v>
      </c>
      <c r="Z35" s="1131">
        <f>('Summary Table'!S27)</f>
        <v>46.476346066172155</v>
      </c>
      <c r="AA35" s="1131">
        <f>('Summary Table'!T27)</f>
        <v>41.828251627125084</v>
      </c>
      <c r="AB35" s="1131">
        <f>('Summary Table'!U27)</f>
        <v>33.478967793935858</v>
      </c>
      <c r="AC35" s="1131">
        <f>('Summary Table'!V27)</f>
        <v>34.095301754220401</v>
      </c>
      <c r="AD35" s="1131">
        <f>('Summary Table'!W27)</f>
        <v>29.831092711053437</v>
      </c>
      <c r="AE35" s="1131">
        <f>('Summary Table'!X27)</f>
        <v>29.187061284242123</v>
      </c>
      <c r="AF35" s="1131">
        <f>('Summary Table'!Y27)</f>
        <v>27.056320471856431</v>
      </c>
      <c r="AG35" s="1131">
        <f>('Summary Table'!Z27)</f>
        <v>21.764648413326455</v>
      </c>
      <c r="AH35" s="1131">
        <f>('Summary Table'!AA27)</f>
        <v>21.626600043234902</v>
      </c>
      <c r="AI35" s="1131">
        <f>('Summary Table'!AB27)</f>
        <v>22.186278560353131</v>
      </c>
      <c r="AJ35" s="1131">
        <f>('Summary Table'!AC27)</f>
        <v>19.529039380245276</v>
      </c>
      <c r="AK35" s="1131">
        <f>('Summary Table'!AD27)</f>
        <v>21.099650390484019</v>
      </c>
      <c r="AL35" s="1131">
        <f>('Summary Table'!AE27)</f>
        <v>20.061671070602724</v>
      </c>
      <c r="AM35" s="1131">
        <f>('Summary Table'!AF27)</f>
        <v>17.47925018767976</v>
      </c>
      <c r="AN35" s="1131">
        <f>('Summary Table'!AG27)</f>
        <v>17.548655495362741</v>
      </c>
      <c r="AO35" s="1131">
        <f>('Summary Table'!AH27)</f>
        <v>16.96048967609271</v>
      </c>
      <c r="AP35" s="1131">
        <f>('Summary Table'!AI27)</f>
        <v>16.958327323098519</v>
      </c>
    </row>
    <row r="36" spans="1:42" ht="14.25" customHeight="1">
      <c r="A36" s="1130" t="s">
        <v>1432</v>
      </c>
      <c r="B36" s="1130" t="s">
        <v>1450</v>
      </c>
      <c r="C36" s="1130" t="s">
        <v>1443</v>
      </c>
      <c r="D36" s="1130" t="s">
        <v>107</v>
      </c>
      <c r="E36" s="1130" t="s">
        <v>107</v>
      </c>
      <c r="F36" s="1130"/>
      <c r="G36" s="1130"/>
      <c r="H36" s="1130"/>
      <c r="I36" s="1127" t="s">
        <v>129</v>
      </c>
      <c r="J36" s="1131">
        <f>'Non-Energy Use'!E157</f>
        <v>88.302765434312505</v>
      </c>
      <c r="K36" s="1131">
        <f>'Non-Energy Use'!F157</f>
        <v>92.387602317060157</v>
      </c>
      <c r="L36" s="1131">
        <f>'Non-Energy Use'!G157</f>
        <v>99.548101302642465</v>
      </c>
      <c r="M36" s="1131">
        <f>'Non-Energy Use'!H157</f>
        <v>87.596890482114404</v>
      </c>
      <c r="N36" s="1131">
        <f>'Non-Energy Use'!I157</f>
        <v>98.135911100322659</v>
      </c>
      <c r="O36" s="1131">
        <f>'Non-Energy Use'!J157</f>
        <v>94.070485944993678</v>
      </c>
      <c r="P36" s="1131">
        <f>'Non-Energy Use'!K157</f>
        <v>89.727852600692273</v>
      </c>
      <c r="Q36" s="1131">
        <f>'Non-Energy Use'!L157</f>
        <v>100.61527807783369</v>
      </c>
      <c r="R36" s="1131">
        <f>'Non-Energy Use'!M157</f>
        <v>106.34068281015661</v>
      </c>
      <c r="S36" s="1131">
        <f>'Non-Energy Use'!N157</f>
        <v>123.25489948982934</v>
      </c>
      <c r="T36" s="1131">
        <f>'Non-Energy Use'!O157</f>
        <v>101.65137475590112</v>
      </c>
      <c r="U36" s="1131">
        <f>'Non-Energy Use'!P157</f>
        <v>102.01238243891636</v>
      </c>
      <c r="V36" s="1131">
        <f>'Non-Energy Use'!Q157</f>
        <v>101.20608516773078</v>
      </c>
      <c r="W36" s="1131">
        <f>'Non-Energy Use'!R157</f>
        <v>97.335079492743077</v>
      </c>
      <c r="X36" s="1131">
        <f>'Non-Energy Use'!S157</f>
        <v>115.48206211028976</v>
      </c>
      <c r="Y36" s="1131">
        <f>'Non-Energy Use'!T157</f>
        <v>108.17955285360736</v>
      </c>
      <c r="Z36" s="1131">
        <f>'Non-Energy Use'!U157</f>
        <v>108.22020765810684</v>
      </c>
      <c r="AA36" s="1131">
        <f>'Non-Energy Use'!V157</f>
        <v>95.633334651264192</v>
      </c>
      <c r="AB36" s="1131">
        <f>'Non-Energy Use'!W157</f>
        <v>94.625289972210965</v>
      </c>
      <c r="AC36" s="1131">
        <f>'Non-Energy Use'!X157</f>
        <v>80.813050121206558</v>
      </c>
      <c r="AD36" s="1131">
        <f>'Non-Energy Use'!Y157</f>
        <v>79.502435694475977</v>
      </c>
      <c r="AE36" s="1131">
        <f>'Non-Energy Use'!Z157</f>
        <v>78.10694374454792</v>
      </c>
      <c r="AF36" s="1131">
        <f>'Non-Energy Use'!AA157</f>
        <v>78.94216217639611</v>
      </c>
      <c r="AG36" s="1131">
        <f>'Non-Energy Use'!AB157</f>
        <v>88.585357853193855</v>
      </c>
      <c r="AH36" s="1131">
        <f>'Non-Energy Use'!AC157</f>
        <v>83.875150723384181</v>
      </c>
      <c r="AI36" s="1131">
        <f>'Non-Energy Use'!AD157</f>
        <v>91.407658367430244</v>
      </c>
      <c r="AJ36" s="1131">
        <f>'Non-Energy Use'!AE157</f>
        <v>85.101147291353129</v>
      </c>
      <c r="AK36" s="1131">
        <f>'Non-Energy Use'!AF157</f>
        <v>97.174546254151224</v>
      </c>
      <c r="AL36" s="1131">
        <f>'Non-Energy Use'!AG157</f>
        <v>112.27141958876972</v>
      </c>
      <c r="AM36" s="1131">
        <f>'Non-Energy Use'!AH157</f>
        <v>106.89843064940777</v>
      </c>
      <c r="AN36" s="1131">
        <f>'Non-Energy Use'!AI157</f>
        <v>100.07453942904878</v>
      </c>
      <c r="AO36" s="1131">
        <f>'Non-Energy Use'!AJ157</f>
        <v>112.77845043270125</v>
      </c>
      <c r="AP36" s="1131">
        <f>'Non-Energy Use'!AK157</f>
        <v>107.52288824830759</v>
      </c>
    </row>
    <row r="37" spans="1:42" ht="13.5" customHeight="1">
      <c r="A37" s="1130" t="s">
        <v>1432</v>
      </c>
      <c r="B37" s="1130" t="s">
        <v>1450</v>
      </c>
      <c r="C37" s="1130" t="s">
        <v>1445</v>
      </c>
      <c r="D37" s="1130" t="s">
        <v>107</v>
      </c>
      <c r="E37" s="1130" t="s">
        <v>107</v>
      </c>
      <c r="F37" s="1130"/>
      <c r="G37" s="1130"/>
      <c r="H37" s="1130"/>
      <c r="I37" s="1127" t="s">
        <v>129</v>
      </c>
      <c r="J37" s="1131">
        <f>'Non-Energy Use'!E174</f>
        <v>11.83867525803792</v>
      </c>
      <c r="K37" s="1131">
        <f>'Non-Energy Use'!F174</f>
        <v>10.590905791920855</v>
      </c>
      <c r="L37" s="1131">
        <f>'Non-Energy Use'!G174</f>
        <v>10.797880813335526</v>
      </c>
      <c r="M37" s="1131">
        <f>'Non-Energy Use'!H174</f>
        <v>10.995035115502057</v>
      </c>
      <c r="N37" s="1131">
        <f>'Non-Energy Use'!I174</f>
        <v>11.491990415538332</v>
      </c>
      <c r="O37" s="1131">
        <f>'Non-Energy Use'!J174</f>
        <v>11.294701582971145</v>
      </c>
      <c r="P37" s="1131">
        <f>'Non-Energy Use'!K174</f>
        <v>10.961335250136848</v>
      </c>
      <c r="Q37" s="1131">
        <f>'Non-Energy Use'!L174</f>
        <v>11.579435175967021</v>
      </c>
      <c r="R37" s="1131">
        <f>'Non-Energy Use'!M174</f>
        <v>12.121996281826874</v>
      </c>
      <c r="S37" s="1131">
        <f>'Non-Energy Use'!N174</f>
        <v>12.248791184448473</v>
      </c>
      <c r="T37" s="1131">
        <f>'Non-Energy Use'!O174</f>
        <v>12.065089922347896</v>
      </c>
      <c r="U37" s="1131">
        <f>'Non-Energy Use'!P174</f>
        <v>11.054295756992577</v>
      </c>
      <c r="V37" s="1131">
        <f>'Non-Energy Use'!Q174</f>
        <v>10.923330411950532</v>
      </c>
      <c r="W37" s="1131">
        <f>'Non-Energy Use'!R174</f>
        <v>10.098793586308323</v>
      </c>
      <c r="X37" s="1131">
        <f>'Non-Energy Use'!S174</f>
        <v>10.231171500557293</v>
      </c>
      <c r="Y37" s="1131">
        <f>'Non-Energy Use'!T174</f>
        <v>10.177695666295135</v>
      </c>
      <c r="Z37" s="1131">
        <f>'Non-Energy Use'!U174</f>
        <v>9.9158322414113744</v>
      </c>
      <c r="AA37" s="1131">
        <f>'Non-Energy Use'!V174</f>
        <v>10.239848711399834</v>
      </c>
      <c r="AB37" s="1131">
        <f>'Non-Energy Use'!W174</f>
        <v>9.5065907626051107</v>
      </c>
      <c r="AC37" s="1131">
        <f>'Non-Energy Use'!X174</f>
        <v>8.5470526799010713</v>
      </c>
      <c r="AD37" s="1131">
        <f>'Non-Energy Use'!Y174</f>
        <v>10.410836850638086</v>
      </c>
      <c r="AE37" s="1131">
        <f>'Non-Energy Use'!Z174</f>
        <v>9.9802723033272844</v>
      </c>
      <c r="AF37" s="1131">
        <f>'Non-Energy Use'!AA174</f>
        <v>9.1082462462522642</v>
      </c>
      <c r="AG37" s="1131">
        <f>'Non-Energy Use'!AB174</f>
        <v>9.643206384474853</v>
      </c>
      <c r="AH37" s="1131">
        <f>'Non-Energy Use'!AC174</f>
        <v>10.046797586453419</v>
      </c>
      <c r="AI37" s="1131">
        <f>'Non-Energy Use'!AD174</f>
        <v>10.951514530888703</v>
      </c>
      <c r="AJ37" s="1131">
        <f>'Non-Energy Use'!AE174</f>
        <v>10.382450936098925</v>
      </c>
      <c r="AK37" s="1131">
        <f>'Non-Energy Use'!AF174</f>
        <v>9.5505149384204433</v>
      </c>
      <c r="AL37" s="1131">
        <f>'Non-Energy Use'!AG174</f>
        <v>9.2143907323726282</v>
      </c>
      <c r="AM37" s="1131">
        <f>'Non-Energy Use'!AH174</f>
        <v>8.8338714941071714</v>
      </c>
      <c r="AN37" s="1131">
        <f>'Non-Energy Use'!AI174</f>
        <v>7.7768661361253066</v>
      </c>
      <c r="AO37" s="1131">
        <f>'Non-Energy Use'!AJ174</f>
        <v>8.0071149168540767</v>
      </c>
      <c r="AP37" s="1131">
        <f>'Non-Energy Use'!AK174</f>
        <v>8.4341144085474014</v>
      </c>
    </row>
    <row r="38" spans="1:42" ht="14.25" customHeight="1">
      <c r="A38" s="1130" t="s">
        <v>1432</v>
      </c>
      <c r="B38" s="1130" t="s">
        <v>1450</v>
      </c>
      <c r="C38" s="1130" t="s">
        <v>74</v>
      </c>
      <c r="D38" s="1130" t="s">
        <v>107</v>
      </c>
      <c r="E38" s="1130" t="s">
        <v>107</v>
      </c>
      <c r="F38" s="1130"/>
      <c r="G38" s="1130"/>
      <c r="H38" s="1130"/>
      <c r="I38" s="1127" t="s">
        <v>129</v>
      </c>
      <c r="J38" s="1131">
        <f>'Non-Energy Use'!E176</f>
        <v>3.3548470430008166</v>
      </c>
      <c r="K38" s="1131">
        <f>'Non-Energy Use'!F176</f>
        <v>4.2506398475696647</v>
      </c>
      <c r="L38" s="1131">
        <f>'Non-Energy Use'!G176</f>
        <v>2.3504529425133871</v>
      </c>
      <c r="M38" s="1131">
        <f>'Non-Energy Use'!H176</f>
        <v>2.564758168410584</v>
      </c>
      <c r="N38" s="1131">
        <f>'Non-Energy Use'!I176</f>
        <v>2.0077955833003638</v>
      </c>
      <c r="O38" s="1131">
        <f>'Non-Energy Use'!J176</f>
        <v>3.6616385077429556</v>
      </c>
      <c r="P38" s="1131">
        <f>'Non-Energy Use'!K176</f>
        <v>4.8027989908123798</v>
      </c>
      <c r="Q38" s="1131">
        <f>'Non-Energy Use'!L176</f>
        <v>5.1118096075107005</v>
      </c>
      <c r="R38" s="1131">
        <f>'Non-Energy Use'!M176</f>
        <v>5.0573593072302625</v>
      </c>
      <c r="S38" s="1131">
        <f>'Non-Energy Use'!N176</f>
        <v>8.9278636363727841</v>
      </c>
      <c r="T38" s="1131">
        <f>'Non-Energy Use'!O176</f>
        <v>9.2983357859485896</v>
      </c>
      <c r="U38" s="1131">
        <f>'Non-Energy Use'!P176</f>
        <v>5.64706452714693</v>
      </c>
      <c r="V38" s="1131">
        <f>'Non-Energy Use'!Q176</f>
        <v>9.2591227892368035</v>
      </c>
      <c r="W38" s="1131">
        <f>'Non-Energy Use'!R176</f>
        <v>7.9672673364502948</v>
      </c>
      <c r="X38" s="1131">
        <f>'Non-Energy Use'!S176</f>
        <v>7.4903866402009127</v>
      </c>
      <c r="Y38" s="1131">
        <f>'Non-Energy Use'!T176</f>
        <v>7.5911567033889051</v>
      </c>
      <c r="Z38" s="1131">
        <f>'Non-Energy Use'!U176</f>
        <v>6.5127349477537626</v>
      </c>
      <c r="AA38" s="1131">
        <f>'Non-Energy Use'!V176</f>
        <v>7.3322339278656106</v>
      </c>
      <c r="AB38" s="1131">
        <f>'Non-Energy Use'!W176</f>
        <v>5.1525462474638886</v>
      </c>
      <c r="AC38" s="1131">
        <f>'Non-Energy Use'!X176</f>
        <v>2.6642344558136202</v>
      </c>
      <c r="AD38" s="1131">
        <f>'Non-Energy Use'!Y176</f>
        <v>1.8108634504127736</v>
      </c>
      <c r="AE38" s="1131">
        <f>'Non-Energy Use'!Z176</f>
        <v>0.96491867416989852</v>
      </c>
      <c r="AF38" s="1131">
        <f>'Non-Energy Use'!AA176</f>
        <v>1.1642501635348419</v>
      </c>
      <c r="AG38" s="1131">
        <f>'Non-Energy Use'!AB176</f>
        <v>0.69663405488456376</v>
      </c>
      <c r="AH38" s="1131">
        <f>'Non-Energy Use'!AC176</f>
        <v>0.70444519418935037</v>
      </c>
      <c r="AI38" s="1131">
        <f>'Non-Energy Use'!AD176</f>
        <v>0.68433442912085773</v>
      </c>
      <c r="AJ38" s="1131">
        <f>'Non-Energy Use'!AE176</f>
        <v>0.69512829208615257</v>
      </c>
      <c r="AK38" s="1131">
        <f>'Non-Energy Use'!AF176</f>
        <v>0.23172729642228673</v>
      </c>
      <c r="AL38" s="1131">
        <f>'Non-Energy Use'!AG176</f>
        <v>0.23724339198385783</v>
      </c>
      <c r="AM38" s="1131">
        <f>'Non-Energy Use'!AH176</f>
        <v>0.24172689021955107</v>
      </c>
      <c r="AN38" s="1131">
        <f>'Non-Energy Use'!AI176</f>
        <v>7.0273152103199982E-2</v>
      </c>
      <c r="AO38" s="1131">
        <f>'Non-Energy Use'!AJ176</f>
        <v>7.0310902882199974E-2</v>
      </c>
      <c r="AP38" s="1131">
        <f>'Non-Energy Use'!AK176</f>
        <v>7.0310902882199974E-2</v>
      </c>
    </row>
    <row r="266" spans="6:35">
      <c r="F266">
        <f>'[5]Non-Ferrous Metals'!C16</f>
        <v>186.78980583671665</v>
      </c>
      <c r="G266">
        <f>'[5]Non-Ferrous Metals'!D16</f>
        <v>186.78980583671665</v>
      </c>
      <c r="H266">
        <f>'[5]Non-Ferrous Metals'!E16</f>
        <v>228.7317856124705</v>
      </c>
      <c r="I266">
        <f>'[5]Non-Ferrous Metals'!F16</f>
        <v>270.67376538822441</v>
      </c>
      <c r="J266">
        <f>'[5]Non-Ferrous Metals'!G16</f>
        <v>312.6157451639782</v>
      </c>
      <c r="K266">
        <f>'[5]Non-Ferrous Metals'!H16</f>
        <v>403.80427991838798</v>
      </c>
      <c r="L266">
        <f>'[5]Non-Ferrous Metals'!I16</f>
        <v>494.99281467279775</v>
      </c>
      <c r="M266">
        <f>'[5]Non-Ferrous Metals'!J16</f>
        <v>586.18134942720758</v>
      </c>
      <c r="N266">
        <f>'[5]Non-Ferrous Metals'!K16</f>
        <v>677.36988418161741</v>
      </c>
      <c r="O266">
        <f>'[5]Non-Ferrous Metals'!L16</f>
        <v>737.91413158282728</v>
      </c>
      <c r="P266">
        <f>'[5]Non-Ferrous Metals'!M16</f>
        <v>798.45837898403704</v>
      </c>
      <c r="Q266">
        <f>'[5]Non-Ferrous Metals'!N16</f>
        <v>859.0026263852468</v>
      </c>
      <c r="R266">
        <f>'[5]Non-Ferrous Metals'!O16</f>
        <v>919.54687378645667</v>
      </c>
      <c r="S266">
        <f>'[5]Non-Ferrous Metals'!P16</f>
        <v>890.65942968005493</v>
      </c>
      <c r="T266">
        <f>'[5]Non-Ferrous Metals'!Q16</f>
        <v>861.77198557365307</v>
      </c>
      <c r="U266">
        <f>'[5]Non-Ferrous Metals'!R16</f>
        <v>832.8845414672511</v>
      </c>
      <c r="V266">
        <f>'[5]Non-Ferrous Metals'!S16</f>
        <v>803.99709736084947</v>
      </c>
      <c r="W266">
        <f>'[5]Non-Ferrous Metals'!T16</f>
        <v>822.67044853707034</v>
      </c>
      <c r="X266">
        <f>'[5]Non-Ferrous Metals'!U16</f>
        <v>841.34379971329156</v>
      </c>
      <c r="Y266">
        <f>'[5]Non-Ferrous Metals'!V16</f>
        <v>860.01715088951255</v>
      </c>
      <c r="Z266">
        <f>'[5]Non-Ferrous Metals'!W16</f>
        <v>878.69050206573365</v>
      </c>
      <c r="AA266">
        <f>'[5]Non-Ferrous Metals'!X16</f>
        <v>815.97669016458201</v>
      </c>
      <c r="AB266">
        <f>'[5]Non-Ferrous Metals'!Y16</f>
        <v>766.39756480281062</v>
      </c>
      <c r="AC266">
        <f>'[5]Non-Ferrous Metals'!Z16</f>
        <v>1411.0419492284352</v>
      </c>
      <c r="AD266">
        <f>'[5]Non-Ferrous Metals'!AA16</f>
        <v>739.35993721808688</v>
      </c>
      <c r="AE266">
        <f>'[5]Non-Ferrous Metals'!AB16</f>
        <v>698.68463793056731</v>
      </c>
      <c r="AF266">
        <f>'[5]Non-Ferrous Metals'!AC16</f>
        <v>633.35660243696373</v>
      </c>
      <c r="AG266">
        <f>'[5]Non-Ferrous Metals'!AD16</f>
        <v>875.3040490032904</v>
      </c>
      <c r="AH266">
        <f>'[5]Non-Ferrous Metals'!AE16</f>
        <v>923.35228131533324</v>
      </c>
      <c r="AI266">
        <f>'[5]Non-Ferrous Metals'!AF16</f>
        <v>740.59180886334866</v>
      </c>
    </row>
    <row r="268" spans="6:35">
      <c r="F268">
        <f>'[5]Non-Ferrous Metals'!C21</f>
        <v>14.054457690188254</v>
      </c>
      <c r="G268">
        <f>'[5]Non-Ferrous Metals'!D21</f>
        <v>13.837901638796149</v>
      </c>
      <c r="H268">
        <f>'[5]Non-Ferrous Metals'!E21</f>
        <v>17.151318269876636</v>
      </c>
      <c r="I268">
        <f>'[5]Non-Ferrous Metals'!F21</f>
        <v>20.103424340285503</v>
      </c>
      <c r="J268">
        <f>'[5]Non-Ferrous Metals'!G21</f>
        <v>23.278720570060788</v>
      </c>
      <c r="K268">
        <f>'[5]Non-Ferrous Metals'!H21</f>
        <v>29.540173516312787</v>
      </c>
      <c r="L268">
        <f>'[5]Non-Ferrous Metals'!I21</f>
        <v>37.116037381204364</v>
      </c>
      <c r="M268">
        <f>'[5]Non-Ferrous Metals'!J21</f>
        <v>44.11636581037245</v>
      </c>
      <c r="N268">
        <f>'[5]Non-Ferrous Metals'!K21</f>
        <v>51.807538346094638</v>
      </c>
      <c r="O268">
        <f>'[5]Non-Ferrous Metals'!L21</f>
        <v>57.081705154741947</v>
      </c>
      <c r="P268">
        <f>'[5]Non-Ferrous Metals'!M21</f>
        <v>60.731577881324355</v>
      </c>
      <c r="Q268">
        <f>'[5]Non-Ferrous Metals'!N21</f>
        <v>64.282146534944602</v>
      </c>
      <c r="R268">
        <f>'[5]Non-Ferrous Metals'!O21</f>
        <v>68.629947702367133</v>
      </c>
      <c r="S268">
        <f>'[5]Non-Ferrous Metals'!P21</f>
        <v>68.358744326317264</v>
      </c>
      <c r="T268">
        <f>'[5]Non-Ferrous Metals'!Q21</f>
        <v>65.66282989688311</v>
      </c>
      <c r="U268">
        <f>'[5]Non-Ferrous Metals'!R21</f>
        <v>62.100348810138762</v>
      </c>
      <c r="V268">
        <f>'[5]Non-Ferrous Metals'!S21</f>
        <v>60.667140307485525</v>
      </c>
      <c r="W268">
        <f>'[5]Non-Ferrous Metals'!T21</f>
        <v>61.94816743238836</v>
      </c>
      <c r="X268">
        <f>'[5]Non-Ferrous Metals'!U21</f>
        <v>62.859863122319865</v>
      </c>
      <c r="Y268">
        <f>'[5]Non-Ferrous Metals'!V21</f>
        <v>62.616373243626619</v>
      </c>
      <c r="Z268">
        <f>'[5]Non-Ferrous Metals'!W21</f>
        <v>63.896131110136281</v>
      </c>
      <c r="AA268">
        <f>'[5]Non-Ferrous Metals'!X21</f>
        <v>59.203644043583267</v>
      </c>
      <c r="AB268">
        <f>'[5]Non-Ferrous Metals'!Y21</f>
        <v>55.562812440883306</v>
      </c>
      <c r="AC268">
        <f>'[5]Non-Ferrous Metals'!Z21</f>
        <v>102.73280540713782</v>
      </c>
      <c r="AD268">
        <f>'[5]Non-Ferrous Metals'!AA21</f>
        <v>54.575237928324817</v>
      </c>
      <c r="AE268">
        <f>'[5]Non-Ferrous Metals'!AB21</f>
        <v>50.847672480566636</v>
      </c>
      <c r="AF268">
        <f>'[5]Non-Ferrous Metals'!AC21</f>
        <v>48.251377732735826</v>
      </c>
      <c r="AG268">
        <f>'[5]Non-Ferrous Metals'!AD21</f>
        <v>65.894836539628528</v>
      </c>
      <c r="AH268">
        <f>'[5]Non-Ferrous Metals'!AE21</f>
        <v>70.660348444439208</v>
      </c>
      <c r="AI268">
        <f>'[5]Non-Ferrous Metals'!AF21</f>
        <v>54.865877644385051</v>
      </c>
    </row>
    <row r="272" spans="6:35">
      <c r="F272">
        <f>'[5]Non-Ferrous Metals'!C17</f>
        <v>1119.1272145137464</v>
      </c>
      <c r="G272">
        <f>'[5]Non-Ferrous Metals'!D17</f>
        <v>1119.1272145137464</v>
      </c>
      <c r="H272">
        <f>'[5]Non-Ferrous Metals'!E17</f>
        <v>2137.5055878150347</v>
      </c>
      <c r="I272">
        <f>'[5]Non-Ferrous Metals'!F17</f>
        <v>3155.883961116323</v>
      </c>
      <c r="J272">
        <f>'[5]Non-Ferrous Metals'!G17</f>
        <v>4174.2623344176109</v>
      </c>
      <c r="K272">
        <f>'[5]Non-Ferrous Metals'!H17</f>
        <v>7467.3147070539762</v>
      </c>
      <c r="L272">
        <f>'[5]Non-Ferrous Metals'!I17</f>
        <v>10760.367079690341</v>
      </c>
      <c r="M272">
        <f>'[5]Non-Ferrous Metals'!J17</f>
        <v>14053.419452326703</v>
      </c>
      <c r="N272">
        <f>'[5]Non-Ferrous Metals'!K17</f>
        <v>17346.471824963068</v>
      </c>
      <c r="O272">
        <f>'[5]Non-Ferrous Metals'!L17</f>
        <v>19184.964890135554</v>
      </c>
      <c r="P272">
        <f>'[5]Non-Ferrous Metals'!M17</f>
        <v>21023.457955308051</v>
      </c>
      <c r="Q272">
        <f>'[5]Non-Ferrous Metals'!N17</f>
        <v>22861.951020480537</v>
      </c>
      <c r="R272">
        <f>'[5]Non-Ferrous Metals'!O17</f>
        <v>24700.444085653027</v>
      </c>
      <c r="S272">
        <f>'[5]Non-Ferrous Metals'!P17</f>
        <v>23803.406517725391</v>
      </c>
      <c r="T272">
        <f>'[5]Non-Ferrous Metals'!Q17</f>
        <v>22906.368949797761</v>
      </c>
      <c r="U272">
        <f>'[5]Non-Ferrous Metals'!R17</f>
        <v>22009.331381870124</v>
      </c>
      <c r="V272">
        <f>'[5]Non-Ferrous Metals'!S17</f>
        <v>21112.293813942491</v>
      </c>
      <c r="W272">
        <f>'[5]Non-Ferrous Metals'!T17</f>
        <v>18572.677600706389</v>
      </c>
      <c r="X272">
        <f>'[5]Non-Ferrous Metals'!U17</f>
        <v>16033.061387470289</v>
      </c>
      <c r="Y272">
        <f>'[5]Non-Ferrous Metals'!V17</f>
        <v>13493.44517423419</v>
      </c>
      <c r="Z272">
        <f>'[5]Non-Ferrous Metals'!W17</f>
        <v>10953.828960998086</v>
      </c>
      <c r="AA272">
        <f>'[5]Non-Ferrous Metals'!X17</f>
        <v>13625.011923865201</v>
      </c>
      <c r="AB272">
        <f>'[5]Non-Ferrous Metals'!Y17</f>
        <v>14082.243493629254</v>
      </c>
      <c r="AC272">
        <f>'[5]Non-Ferrous Metals'!Z17</f>
        <v>14059.00148077528</v>
      </c>
      <c r="AD272">
        <f>'[5]Non-Ferrous Metals'!AA17</f>
        <v>14092.322148790063</v>
      </c>
      <c r="AE272">
        <f>'[5]Non-Ferrous Metals'!AB17</f>
        <v>13338.378927921882</v>
      </c>
      <c r="AF272">
        <f>'[5]Non-Ferrous Metals'!AC17</f>
        <v>12940.947272996087</v>
      </c>
      <c r="AG272">
        <f>'[5]Non-Ferrous Metals'!AD17</f>
        <v>12754.119450386301</v>
      </c>
      <c r="AH272">
        <f>'[5]Non-Ferrous Metals'!AE17</f>
        <v>13007.708566421567</v>
      </c>
      <c r="AI272">
        <f>'[5]Non-Ferrous Metals'!AF17</f>
        <v>11680.489474546601</v>
      </c>
    </row>
    <row r="274" spans="6:35">
      <c r="F274">
        <f>'[5]Non-Ferrous Metals'!C22</f>
        <v>100.36680896629531</v>
      </c>
      <c r="G274">
        <f>'[5]Non-Ferrous Metals'!D22</f>
        <v>100.62443377803145</v>
      </c>
      <c r="H274">
        <f>'[5]Non-Ferrous Metals'!E22</f>
        <v>192.07170927745923</v>
      </c>
      <c r="I274">
        <f>'[5]Non-Ferrous Metals'!F22</f>
        <v>282.52482543912703</v>
      </c>
      <c r="J274">
        <f>'[5]Non-Ferrous Metals'!G22</f>
        <v>373.71172072876976</v>
      </c>
      <c r="K274">
        <f>'[5]Non-Ferrous Metals'!H22</f>
        <v>669.19559627063597</v>
      </c>
      <c r="L274">
        <f>'[5]Non-Ferrous Metals'!I22</f>
        <v>962.70493532655814</v>
      </c>
      <c r="M274">
        <f>'[5]Non-Ferrous Metals'!J22</f>
        <v>1257.489437741008</v>
      </c>
      <c r="N274">
        <f>'[5]Non-Ferrous Metals'!K22</f>
        <v>1554.428658031977</v>
      </c>
      <c r="O274">
        <f>'[5]Non-Ferrous Metals'!L22</f>
        <v>1719.9171692083441</v>
      </c>
      <c r="P274">
        <f>'[5]Non-Ferrous Metals'!M22</f>
        <v>1880.3951844170842</v>
      </c>
      <c r="Q274">
        <f>'[5]Non-Ferrous Metals'!N22</f>
        <v>2038.3093170922614</v>
      </c>
      <c r="R274">
        <f>'[5]Non-Ferrous Metals'!O22</f>
        <v>2194.2810593520003</v>
      </c>
      <c r="S274">
        <f>'[5]Non-Ferrous Metals'!P22</f>
        <v>2112.8610132881918</v>
      </c>
      <c r="T274">
        <f>'[5]Non-Ferrous Metals'!Q22</f>
        <v>2033.8247406996043</v>
      </c>
      <c r="U274">
        <f>'[5]Non-Ferrous Metals'!R22</f>
        <v>1973.0316597789988</v>
      </c>
      <c r="V274">
        <f>'[5]Non-Ferrous Metals'!S22</f>
        <v>1895.4111747972672</v>
      </c>
      <c r="W274">
        <f>'[5]Non-Ferrous Metals'!T22</f>
        <v>1666.0903413856483</v>
      </c>
      <c r="X274">
        <f>'[5]Non-Ferrous Metals'!U22</f>
        <v>1438.2397170080001</v>
      </c>
      <c r="Y274">
        <f>'[5]Non-Ferrous Metals'!V22</f>
        <v>1212.8046249556164</v>
      </c>
      <c r="Z274">
        <f>'[5]Non-Ferrous Metals'!W22</f>
        <v>984.53786546620267</v>
      </c>
      <c r="AA274">
        <f>'[5]Non-Ferrous Metals'!X22</f>
        <v>1225.5535251120784</v>
      </c>
      <c r="AB274">
        <f>'[5]Non-Ferrous Metals'!Y22</f>
        <v>1269.2923289641169</v>
      </c>
      <c r="AC274">
        <f>'[5]Non-Ferrous Metals'!Z22</f>
        <v>1266.7112819701863</v>
      </c>
      <c r="AD274">
        <f>'[5]Non-Ferrous Metals'!AA22</f>
        <v>1270.699158366036</v>
      </c>
      <c r="AE274">
        <f>'[5]Non-Ferrous Metals'!AB22</f>
        <v>1205.4298722583412</v>
      </c>
      <c r="AF274">
        <f>'[5]Non-Ferrous Metals'!AC22</f>
        <v>1170.8809766948048</v>
      </c>
      <c r="AG274">
        <f>'[5]Non-Ferrous Metals'!AD22</f>
        <v>1155.070650105511</v>
      </c>
      <c r="AH274">
        <f>'[5]Non-Ferrous Metals'!AE22</f>
        <v>1179.0033953504494</v>
      </c>
      <c r="AI274">
        <f>'[5]Non-Ferrous Metals'!AF22</f>
        <v>1058.3066688462243</v>
      </c>
    </row>
    <row r="278" spans="6:35">
      <c r="F278">
        <f>'[5]Non-Ferrous Metals'!C18</f>
        <v>53013.756626760129</v>
      </c>
      <c r="G278">
        <f>'[5]Non-Ferrous Metals'!D18</f>
        <v>54004.658470440598</v>
      </c>
      <c r="H278">
        <f>'[5]Non-Ferrous Metals'!E18</f>
        <v>54995.560314121067</v>
      </c>
      <c r="I278">
        <f>'[5]Non-Ferrous Metals'!F18</f>
        <v>55986.462157801536</v>
      </c>
      <c r="J278">
        <f>'[5]Non-Ferrous Metals'!G18</f>
        <v>56977.364001482005</v>
      </c>
      <c r="K278">
        <f>'[5]Non-Ferrous Metals'!H18</f>
        <v>59704.185534827542</v>
      </c>
      <c r="L278">
        <f>'[5]Non-Ferrous Metals'!I18</f>
        <v>62431.007068173087</v>
      </c>
      <c r="M278">
        <f>'[5]Non-Ferrous Metals'!J18</f>
        <v>65157.828601518631</v>
      </c>
      <c r="N278">
        <f>'[5]Non-Ferrous Metals'!K18</f>
        <v>67884.650134864176</v>
      </c>
      <c r="O278">
        <f>'[5]Non-Ferrous Metals'!L18</f>
        <v>65903.29093862632</v>
      </c>
      <c r="P278">
        <f>'[5]Non-Ferrous Metals'!M18</f>
        <v>63921.931742388493</v>
      </c>
      <c r="Q278">
        <f>'[5]Non-Ferrous Metals'!N18</f>
        <v>61940.572546150644</v>
      </c>
      <c r="R278">
        <f>'[5]Non-Ferrous Metals'!O18</f>
        <v>59959.213349912796</v>
      </c>
      <c r="S278">
        <f>'[5]Non-Ferrous Metals'!P18</f>
        <v>59215.846470956822</v>
      </c>
      <c r="T278">
        <f>'[5]Non-Ferrous Metals'!Q18</f>
        <v>58472.479592000862</v>
      </c>
      <c r="U278">
        <f>'[5]Non-Ferrous Metals'!R18</f>
        <v>57729.112713044895</v>
      </c>
      <c r="V278">
        <f>'[5]Non-Ferrous Metals'!S18</f>
        <v>56985.745834088928</v>
      </c>
      <c r="W278">
        <f>'[5]Non-Ferrous Metals'!T18</f>
        <v>52237.154782559162</v>
      </c>
      <c r="X278">
        <f>'[5]Non-Ferrous Metals'!U18</f>
        <v>47488.563731029397</v>
      </c>
      <c r="Y278">
        <f>'[5]Non-Ferrous Metals'!V18</f>
        <v>42739.972679499631</v>
      </c>
      <c r="Z278">
        <f>'[5]Non-Ferrous Metals'!W18</f>
        <v>37991.381627969859</v>
      </c>
      <c r="AA278">
        <f>'[5]Non-Ferrous Metals'!X18</f>
        <v>47965.853789672758</v>
      </c>
      <c r="AB278">
        <f>'[5]Non-Ferrous Metals'!Y18</f>
        <v>48600.521025980706</v>
      </c>
      <c r="AC278">
        <f>'[5]Non-Ferrous Metals'!Z18</f>
        <v>50080.494832259712</v>
      </c>
      <c r="AD278">
        <f>'[5]Non-Ferrous Metals'!AA18</f>
        <v>50306.154695709185</v>
      </c>
      <c r="AE278">
        <f>'[5]Non-Ferrous Metals'!AB18</f>
        <v>48574.471203147696</v>
      </c>
      <c r="AF278">
        <f>'[5]Non-Ferrous Metals'!AC18</f>
        <v>48323.553671637339</v>
      </c>
      <c r="AG278">
        <f>'[5]Non-Ferrous Metals'!AD18</f>
        <v>47147.624480299055</v>
      </c>
      <c r="AH278">
        <f>'[5]Non-Ferrous Metals'!AE18</f>
        <v>49566.244855915313</v>
      </c>
      <c r="AI278">
        <f>'[5]Non-Ferrous Metals'!AF18</f>
        <v>44919.162097950102</v>
      </c>
    </row>
    <row r="280" spans="6:35">
      <c r="F280">
        <f>'[5]Non-Ferrous Metals'!C23</f>
        <v>2771.7209235437435</v>
      </c>
      <c r="G280">
        <f>'[5]Non-Ferrous Metals'!D23</f>
        <v>2837.1118201196814</v>
      </c>
      <c r="H280">
        <f>'[5]Non-Ferrous Metals'!E23</f>
        <v>2875.3500418900853</v>
      </c>
      <c r="I280">
        <f>'[5]Non-Ferrous Metals'!F23</f>
        <v>2937.45816837435</v>
      </c>
      <c r="J280">
        <f>'[5]Non-Ferrous Metals'!G23</f>
        <v>2982.5347321774721</v>
      </c>
      <c r="K280">
        <f>'[5]Non-Ferrous Metals'!H23</f>
        <v>3131.7707692897015</v>
      </c>
      <c r="L280">
        <f>'[5]Non-Ferrous Metals'!I23</f>
        <v>3250.3998623929265</v>
      </c>
      <c r="M280">
        <f>'[5]Non-Ferrous Metals'!J23</f>
        <v>3392.2103076226058</v>
      </c>
      <c r="N280">
        <f>'[5]Non-Ferrous Metals'!K23</f>
        <v>3534.6403556053101</v>
      </c>
      <c r="O280">
        <f>'[5]Non-Ferrous Metals'!L23</f>
        <v>3444.9499403028503</v>
      </c>
      <c r="P280">
        <f>'[5]Non-Ferrous Metals'!M23</f>
        <v>3334.0021125591479</v>
      </c>
      <c r="Q280">
        <f>'[5]Non-Ferrous Metals'!N23</f>
        <v>3242.3460906251394</v>
      </c>
      <c r="R280">
        <f>'[5]Non-Ferrous Metals'!O23</f>
        <v>3145.1812958699711</v>
      </c>
      <c r="S280">
        <f>'[5]Non-Ferrous Metals'!P23</f>
        <v>3081.1345282515354</v>
      </c>
      <c r="T280">
        <f>'[5]Non-Ferrous Metals'!Q23</f>
        <v>3040.9034707070241</v>
      </c>
      <c r="U280">
        <f>'[5]Non-Ferrous Metals'!R23</f>
        <v>3026.2882777688533</v>
      </c>
      <c r="V280">
        <f>'[5]Non-Ferrous Metals'!S23</f>
        <v>2964.7694771936181</v>
      </c>
      <c r="W280">
        <f>'[5]Non-Ferrous Metals'!T23</f>
        <v>2720.4737427410587</v>
      </c>
      <c r="X280">
        <f>'[5]Non-Ferrous Metals'!U23</f>
        <v>2489.3694804816027</v>
      </c>
      <c r="Y280">
        <f>'[5]Non-Ferrous Metals'!V23</f>
        <v>2273.6468463687761</v>
      </c>
      <c r="Z280">
        <f>'[5]Non-Ferrous Metals'!W23</f>
        <v>2013.5559259786639</v>
      </c>
      <c r="AA280">
        <f>'[5]Non-Ferrous Metals'!X23</f>
        <v>2540.2172265623276</v>
      </c>
      <c r="AB280">
        <f>'[5]Non-Ferrous Metals'!Y23</f>
        <v>2569.4121841589927</v>
      </c>
      <c r="AC280">
        <f>'[5]Non-Ferrous Metals'!Z23</f>
        <v>2628.369734477561</v>
      </c>
      <c r="AD280">
        <f>'[5]Non-Ferrous Metals'!AA23</f>
        <v>2639.1777258179732</v>
      </c>
      <c r="AE280">
        <f>'[5]Non-Ferrous Metals'!AB23</f>
        <v>2552.0745373536975</v>
      </c>
      <c r="AF280">
        <f>'[5]Non-Ferrous Metals'!AC23</f>
        <v>2511.6688024420773</v>
      </c>
      <c r="AG280">
        <f>'[5]Non-Ferrous Metals'!AD23</f>
        <v>2455.0522727871053</v>
      </c>
      <c r="AH280">
        <f>'[5]Non-Ferrous Metals'!AE23</f>
        <v>2570.4705358524343</v>
      </c>
      <c r="AI280">
        <f>'[5]Non-Ferrous Metals'!AF23</f>
        <v>2342.6126998854593</v>
      </c>
    </row>
    <row r="297" spans="6:35">
      <c r="F297">
        <f>[5]Chemicals!C16</f>
        <v>32405.324325923917</v>
      </c>
      <c r="G297">
        <f>[5]Chemicals!D16</f>
        <v>34694.879470940337</v>
      </c>
      <c r="H297">
        <f>[5]Chemicals!E16</f>
        <v>36984.434615956765</v>
      </c>
      <c r="I297">
        <f>[5]Chemicals!F16</f>
        <v>39273.989760973185</v>
      </c>
      <c r="J297">
        <f>[5]Chemicals!G16</f>
        <v>41563.544905989605</v>
      </c>
      <c r="K297">
        <f>[5]Chemicals!H16</f>
        <v>40312.731080678248</v>
      </c>
      <c r="L297">
        <f>[5]Chemicals!I16</f>
        <v>39061.917255366898</v>
      </c>
      <c r="M297">
        <f>[5]Chemicals!J16</f>
        <v>37811.103430055533</v>
      </c>
      <c r="N297">
        <f>[5]Chemicals!K16</f>
        <v>36560.289604744183</v>
      </c>
      <c r="O297">
        <f>[5]Chemicals!L16</f>
        <v>36370.884873311872</v>
      </c>
      <c r="P297">
        <f>[5]Chemicals!M16</f>
        <v>36181.480141879576</v>
      </c>
      <c r="Q297">
        <f>[5]Chemicals!N16</f>
        <v>35992.07541044728</v>
      </c>
      <c r="R297">
        <f>[5]Chemicals!O16</f>
        <v>35802.670679014984</v>
      </c>
      <c r="S297">
        <f>[5]Chemicals!P16</f>
        <v>32090.586993849858</v>
      </c>
      <c r="T297">
        <f>[5]Chemicals!Q16</f>
        <v>28378.503308684736</v>
      </c>
      <c r="U297">
        <f>[5]Chemicals!R16</f>
        <v>24666.419623519614</v>
      </c>
      <c r="V297">
        <f>[5]Chemicals!S16</f>
        <v>20954.335938354492</v>
      </c>
      <c r="W297">
        <f>[5]Chemicals!T16</f>
        <v>18566.425499271681</v>
      </c>
      <c r="X297">
        <f>[5]Chemicals!U16</f>
        <v>16178.515060188864</v>
      </c>
      <c r="Y297">
        <f>[5]Chemicals!V16</f>
        <v>13790.604621106049</v>
      </c>
      <c r="Z297">
        <f>[5]Chemicals!W16</f>
        <v>11402.694182023235</v>
      </c>
      <c r="AA297">
        <f>[5]Chemicals!X16</f>
        <v>11363.453837958123</v>
      </c>
      <c r="AB297">
        <f>[5]Chemicals!Y16</f>
        <v>10958.685669935176</v>
      </c>
      <c r="AC297">
        <f>[5]Chemicals!Z16</f>
        <v>15492.560101424308</v>
      </c>
      <c r="AD297">
        <f>[5]Chemicals!AA16</f>
        <v>8015.1217045044423</v>
      </c>
      <c r="AE297">
        <f>[5]Chemicals!AB16</f>
        <v>8760.997370009256</v>
      </c>
      <c r="AF297">
        <f>[5]Chemicals!AC16</f>
        <v>6658.4880069136689</v>
      </c>
      <c r="AG297">
        <f>[5]Chemicals!AD16</f>
        <v>5302.8781844985651</v>
      </c>
      <c r="AH297">
        <f>[5]Chemicals!AE16</f>
        <v>5908.6315791123907</v>
      </c>
      <c r="AI297">
        <f>[5]Chemicals!AF16</f>
        <v>7935.4136424754597</v>
      </c>
    </row>
    <row r="299" spans="6:35">
      <c r="F299">
        <f>[5]Chemicals!C21</f>
        <v>2438.2447298738061</v>
      </c>
      <c r="G299">
        <f>[5]Chemicals!D21</f>
        <v>2570.291924327209</v>
      </c>
      <c r="H299">
        <f>[5]Chemicals!E21</f>
        <v>2773.2560537276431</v>
      </c>
      <c r="I299">
        <f>[5]Chemicals!F21</f>
        <v>2916.9494153540923</v>
      </c>
      <c r="J299">
        <f>[5]Chemicals!G21</f>
        <v>3095.001332259169</v>
      </c>
      <c r="K299">
        <f>[5]Chemicals!H21</f>
        <v>2949.0650056516738</v>
      </c>
      <c r="L299">
        <f>[5]Chemicals!I21</f>
        <v>2928.9790438474915</v>
      </c>
      <c r="M299">
        <f>[5]Chemicals!J21</f>
        <v>2845.6867012984058</v>
      </c>
      <c r="N299">
        <f>[5]Chemicals!K21</f>
        <v>2796.2545278057578</v>
      </c>
      <c r="O299">
        <f>[5]Chemicals!L21</f>
        <v>2813.4874204159601</v>
      </c>
      <c r="P299">
        <f>[5]Chemicals!M21</f>
        <v>2752.0011523882827</v>
      </c>
      <c r="Q299">
        <f>[5]Chemicals!N21</f>
        <v>2693.4118646029842</v>
      </c>
      <c r="R299">
        <f>[5]Chemicals!O21</f>
        <v>2672.1154585497334</v>
      </c>
      <c r="S299">
        <f>[5]Chemicals!P21</f>
        <v>2462.9753624031596</v>
      </c>
      <c r="T299">
        <f>[5]Chemicals!Q21</f>
        <v>2162.3037957608799</v>
      </c>
      <c r="U299">
        <f>[5]Chemicals!R21</f>
        <v>1839.1423855932492</v>
      </c>
      <c r="V299">
        <f>[5]Chemicals!S21</f>
        <v>1581.1495372249851</v>
      </c>
      <c r="W299">
        <f>[5]Chemicals!T21</f>
        <v>1398.0762740355315</v>
      </c>
      <c r="X299">
        <f>[5]Chemicals!U21</f>
        <v>1208.7558529015405</v>
      </c>
      <c r="Y299">
        <f>[5]Chemicals!V21</f>
        <v>1004.0702622236374</v>
      </c>
      <c r="Z299">
        <f>[5]Chemicals!W21</f>
        <v>829.1748240711496</v>
      </c>
      <c r="AA299">
        <f>[5]Chemicals!X21</f>
        <v>824.48173365401885</v>
      </c>
      <c r="AB299">
        <f>[5]Chemicals!Y21</f>
        <v>794.49025472030144</v>
      </c>
      <c r="AC299">
        <f>[5]Chemicals!Z21</f>
        <v>1127.9566585729804</v>
      </c>
      <c r="AD299">
        <f>[5]Chemicals!AA21</f>
        <v>591.62953255713626</v>
      </c>
      <c r="AE299">
        <f>[5]Chemicals!AB21</f>
        <v>637.59284330737796</v>
      </c>
      <c r="AF299">
        <f>[5]Chemicals!AC21</f>
        <v>507.26749940600644</v>
      </c>
      <c r="AG299">
        <f>[5]Chemicals!AD21</f>
        <v>399.21246971837263</v>
      </c>
      <c r="AH299">
        <f>[5]Chemicals!AE21</f>
        <v>452.16324761244238</v>
      </c>
      <c r="AI299">
        <f>[5]Chemicals!AF21</f>
        <v>587.88583502410552</v>
      </c>
    </row>
    <row r="303" spans="6:35">
      <c r="F303">
        <f>[5]Chemicals!C17</f>
        <v>125867.88537816667</v>
      </c>
      <c r="G303">
        <f>[5]Chemicals!D17</f>
        <v>126527.69517464598</v>
      </c>
      <c r="H303">
        <f>[5]Chemicals!E17</f>
        <v>127187.50497112529</v>
      </c>
      <c r="I303">
        <f>[5]Chemicals!F17</f>
        <v>127847.31476760459</v>
      </c>
      <c r="J303">
        <f>[5]Chemicals!G17</f>
        <v>128507.1245640839</v>
      </c>
      <c r="K303">
        <f>[5]Chemicals!H17</f>
        <v>129393.33550113524</v>
      </c>
      <c r="L303">
        <f>[5]Chemicals!I17</f>
        <v>130279.54643818659</v>
      </c>
      <c r="M303">
        <f>[5]Chemicals!J17</f>
        <v>131165.75737523791</v>
      </c>
      <c r="N303">
        <f>[5]Chemicals!K17</f>
        <v>132051.96831228927</v>
      </c>
      <c r="O303">
        <f>[5]Chemicals!L17</f>
        <v>138318.63287164547</v>
      </c>
      <c r="P303">
        <f>[5]Chemicals!M17</f>
        <v>144585.29743100167</v>
      </c>
      <c r="Q303">
        <f>[5]Chemicals!N17</f>
        <v>150851.96199035787</v>
      </c>
      <c r="R303">
        <f>[5]Chemicals!O17</f>
        <v>157118.62654971404</v>
      </c>
      <c r="S303">
        <f>[5]Chemicals!P17</f>
        <v>138754.0439429227</v>
      </c>
      <c r="T303">
        <f>[5]Chemicals!Q17</f>
        <v>120389.46133613135</v>
      </c>
      <c r="U303">
        <f>[5]Chemicals!R17</f>
        <v>102024.87872933999</v>
      </c>
      <c r="V303">
        <f>[5]Chemicals!S17</f>
        <v>83660.29612254868</v>
      </c>
      <c r="W303">
        <f>[5]Chemicals!T17</f>
        <v>93697.607973145961</v>
      </c>
      <c r="X303">
        <f>[5]Chemicals!U17</f>
        <v>103734.91982374326</v>
      </c>
      <c r="Y303">
        <f>[5]Chemicals!V17</f>
        <v>113772.23167434052</v>
      </c>
      <c r="Z303">
        <f>[5]Chemicals!W17</f>
        <v>123809.54352493781</v>
      </c>
      <c r="AA303">
        <f>[5]Chemicals!X17</f>
        <v>160380.12620162687</v>
      </c>
      <c r="AB303">
        <f>[5]Chemicals!Y17</f>
        <v>139335.27251784396</v>
      </c>
      <c r="AC303">
        <f>[5]Chemicals!Z17</f>
        <v>127416.17152993701</v>
      </c>
      <c r="AD303">
        <f>[5]Chemicals!AA17</f>
        <v>123446.54591990136</v>
      </c>
      <c r="AE303">
        <f>[5]Chemicals!AB17</f>
        <v>98098.334767220163</v>
      </c>
      <c r="AF303">
        <f>[5]Chemicals!AC17</f>
        <v>71454.07563565865</v>
      </c>
      <c r="AG303">
        <f>[5]Chemicals!AD17</f>
        <v>46931.636668250059</v>
      </c>
      <c r="AH303">
        <f>[5]Chemicals!AE17</f>
        <v>40915.543346902195</v>
      </c>
      <c r="AI303">
        <f>[5]Chemicals!AF17</f>
        <v>33021.010791337954</v>
      </c>
    </row>
    <row r="305" spans="6:35">
      <c r="F305">
        <f>[5]Chemicals!C22</f>
        <v>11288.223396685915</v>
      </c>
      <c r="G305">
        <f>[5]Chemicals!D22</f>
        <v>11376.524061851173</v>
      </c>
      <c r="H305">
        <f>[5]Chemicals!E22</f>
        <v>11428.798884924043</v>
      </c>
      <c r="I305">
        <f>[5]Chemicals!F22</f>
        <v>11445.300503001372</v>
      </c>
      <c r="J305">
        <f>[5]Chemicals!G22</f>
        <v>11504.93543512533</v>
      </c>
      <c r="K305">
        <f>[5]Chemicals!H22</f>
        <v>11595.7949679464</v>
      </c>
      <c r="L305">
        <f>[5]Chemicals!I22</f>
        <v>11655.807036999066</v>
      </c>
      <c r="M305">
        <f>[5]Chemicals!J22</f>
        <v>11736.613644258214</v>
      </c>
      <c r="N305">
        <f>[5]Chemicals!K22</f>
        <v>11833.263038467478</v>
      </c>
      <c r="O305">
        <f>[5]Chemicals!L22</f>
        <v>12400.157772490342</v>
      </c>
      <c r="P305">
        <f>[5]Chemicals!M22</f>
        <v>12932.10173153856</v>
      </c>
      <c r="Q305">
        <f>[5]Chemicals!N22</f>
        <v>13449.550274652416</v>
      </c>
      <c r="R305">
        <f>[5]Chemicals!O22</f>
        <v>13957.742019289813</v>
      </c>
      <c r="S305">
        <f>[5]Chemicals!P22</f>
        <v>12316.220775575466</v>
      </c>
      <c r="T305">
        <f>[5]Chemicals!Q22</f>
        <v>10689.213359024507</v>
      </c>
      <c r="U305">
        <f>[5]Chemicals!R22</f>
        <v>9146.0441176290078</v>
      </c>
      <c r="V305">
        <f>[5]Chemicals!S22</f>
        <v>7510.8210199693085</v>
      </c>
      <c r="W305">
        <f>[5]Chemicals!T22</f>
        <v>8405.2866803147444</v>
      </c>
      <c r="X305">
        <f>[5]Chemicals!U22</f>
        <v>9305.5018081414783</v>
      </c>
      <c r="Y305">
        <f>[5]Chemicals!V22</f>
        <v>10225.964309666615</v>
      </c>
      <c r="Z305">
        <f>[5]Chemicals!W22</f>
        <v>11128.089012563913</v>
      </c>
      <c r="AA305">
        <f>[5]Chemicals!X22</f>
        <v>14426.00051454226</v>
      </c>
      <c r="AB305">
        <f>[5]Chemicals!Y22</f>
        <v>12558.879033801219</v>
      </c>
      <c r="AC305">
        <f>[5]Chemicals!Z22</f>
        <v>11480.15399266601</v>
      </c>
      <c r="AD305">
        <f>[5]Chemicals!AA22</f>
        <v>11131.126605495663</v>
      </c>
      <c r="AE305">
        <f>[5]Chemicals!AB22</f>
        <v>8865.4448779878549</v>
      </c>
      <c r="AF305">
        <f>[5]Chemicals!AC22</f>
        <v>6465.0767910697568</v>
      </c>
      <c r="AG305">
        <f>[5]Chemicals!AD22</f>
        <v>4250.3409418256097</v>
      </c>
      <c r="AH305">
        <f>[5]Chemicals!AE22</f>
        <v>3708.5366943977378</v>
      </c>
      <c r="AI305">
        <f>[5]Chemicals!AF22</f>
        <v>2991.8571485098319</v>
      </c>
    </row>
    <row r="309" spans="6:35">
      <c r="F309">
        <f>[5]Chemicals!C18</f>
        <v>1169603.8421984653</v>
      </c>
      <c r="G309">
        <f>[5]Chemicals!D18</f>
        <v>1224891.5368934772</v>
      </c>
      <c r="H309">
        <f>[5]Chemicals!E18</f>
        <v>1280179.2315884894</v>
      </c>
      <c r="I309">
        <f>[5]Chemicals!F18</f>
        <v>1335466.9262835016</v>
      </c>
      <c r="J309">
        <f>[5]Chemicals!G18</f>
        <v>1390754.6209785137</v>
      </c>
      <c r="K309">
        <f>[5]Chemicals!H18</f>
        <v>1415890.9511993658</v>
      </c>
      <c r="L309">
        <f>[5]Chemicals!I18</f>
        <v>1441027.2814202174</v>
      </c>
      <c r="M309">
        <f>[5]Chemicals!J18</f>
        <v>1466163.6116410689</v>
      </c>
      <c r="N309">
        <f>[5]Chemicals!K18</f>
        <v>1491299.9418619208</v>
      </c>
      <c r="O309">
        <f>[5]Chemicals!L18</f>
        <v>1426349.1323861433</v>
      </c>
      <c r="P309">
        <f>[5]Chemicals!M18</f>
        <v>1361398.3229103656</v>
      </c>
      <c r="Q309">
        <f>[5]Chemicals!N18</f>
        <v>1296447.513434588</v>
      </c>
      <c r="R309">
        <f>[5]Chemicals!O18</f>
        <v>1231496.7039588108</v>
      </c>
      <c r="S309">
        <f>[5]Chemicals!P18</f>
        <v>1179389.2748878479</v>
      </c>
      <c r="T309">
        <f>[5]Chemicals!Q18</f>
        <v>1127281.8458168851</v>
      </c>
      <c r="U309">
        <f>[5]Chemicals!R18</f>
        <v>1075174.4167459225</v>
      </c>
      <c r="V309">
        <f>[5]Chemicals!S18</f>
        <v>1023066.9876749595</v>
      </c>
      <c r="W309">
        <f>[5]Chemicals!T18</f>
        <v>1044778.5846293495</v>
      </c>
      <c r="X309">
        <f>[5]Chemicals!U18</f>
        <v>1066490.1815837396</v>
      </c>
      <c r="Y309">
        <f>[5]Chemicals!V18</f>
        <v>1088201.7785381298</v>
      </c>
      <c r="Z309">
        <f>[5]Chemicals!W18</f>
        <v>1109913.3754925195</v>
      </c>
      <c r="AA309">
        <f>[5]Chemicals!X18</f>
        <v>1330950.5484659628</v>
      </c>
      <c r="AB309">
        <f>[5]Chemicals!Y18</f>
        <v>1315915.9578888803</v>
      </c>
      <c r="AC309">
        <f>[5]Chemicals!Z18</f>
        <v>1343134.6521435936</v>
      </c>
      <c r="AD309">
        <f>[5]Chemicals!AA18</f>
        <v>1780239.6694944978</v>
      </c>
      <c r="AE309">
        <f>[5]Chemicals!AB18</f>
        <v>1441404.9277349734</v>
      </c>
      <c r="AF309">
        <f>[5]Chemicals!AC18</f>
        <v>1478972.2735307901</v>
      </c>
      <c r="AG309">
        <f>[5]Chemicals!AD18</f>
        <v>1526466.5808383548</v>
      </c>
      <c r="AH309">
        <f>[5]Chemicals!AE18</f>
        <v>1618163.9870523573</v>
      </c>
      <c r="AI309">
        <f>[5]Chemicals!AF18</f>
        <v>1598021.2761124934</v>
      </c>
    </row>
    <row r="311" spans="6:35">
      <c r="F311">
        <f>[5]Chemicals!C23</f>
        <v>61150.456937100869</v>
      </c>
      <c r="G311">
        <f>[5]Chemicals!D23</f>
        <v>64349.157204413576</v>
      </c>
      <c r="H311">
        <f>[5]Chemicals!E23</f>
        <v>66932.010259555973</v>
      </c>
      <c r="I311">
        <f>[5]Chemicals!F23</f>
        <v>70068.335808545409</v>
      </c>
      <c r="J311">
        <f>[5]Chemicals!G23</f>
        <v>72800.383690913513</v>
      </c>
      <c r="K311">
        <f>[5]Chemicals!H23</f>
        <v>74270.268553974558</v>
      </c>
      <c r="L311">
        <f>[5]Chemicals!I23</f>
        <v>75025.457656289451</v>
      </c>
      <c r="M311">
        <f>[5]Chemicals!J23</f>
        <v>76330.587172975604</v>
      </c>
      <c r="N311">
        <f>[5]Chemicals!K23</f>
        <v>77649.497292022017</v>
      </c>
      <c r="O311">
        <f>[5]Chemicals!L23</f>
        <v>74559.271448836196</v>
      </c>
      <c r="P311">
        <f>[5]Chemicals!M23</f>
        <v>71007.004339447391</v>
      </c>
      <c r="Q311">
        <f>[5]Chemicals!N23</f>
        <v>67863.943681717734</v>
      </c>
      <c r="R311">
        <f>[5]Chemicals!O23</f>
        <v>64598.585985658261</v>
      </c>
      <c r="S311">
        <f>[5]Chemicals!P23</f>
        <v>61366.293545913628</v>
      </c>
      <c r="T311">
        <f>[5]Chemicals!Q23</f>
        <v>58625.105371425656</v>
      </c>
      <c r="U311">
        <f>[5]Chemicals!R23</f>
        <v>56363.030385185521</v>
      </c>
      <c r="V311">
        <f>[5]Chemicals!S23</f>
        <v>53226.604895442142</v>
      </c>
      <c r="W311">
        <f>[5]Chemicals!T23</f>
        <v>54411.323095477848</v>
      </c>
      <c r="X311">
        <f>[5]Chemicals!U23</f>
        <v>55905.841336976882</v>
      </c>
      <c r="Y311">
        <f>[5]Chemicals!V23</f>
        <v>57889.286933794967</v>
      </c>
      <c r="Z311">
        <f>[5]Chemicals!W23</f>
        <v>58825.779921112313</v>
      </c>
      <c r="AA311">
        <f>[5]Chemicals!X23</f>
        <v>70485.631835948647</v>
      </c>
      <c r="AB311">
        <f>[5]Chemicals!Y23</f>
        <v>69569.840490423288</v>
      </c>
      <c r="AC311">
        <f>[5]Chemicals!Z23</f>
        <v>70491.605181748921</v>
      </c>
      <c r="AD311">
        <f>[5]Chemicals!AA23</f>
        <v>93395.508179204393</v>
      </c>
      <c r="AE311">
        <f>[5]Chemicals!AB23</f>
        <v>75730.578696453114</v>
      </c>
      <c r="AF311">
        <f>[5]Chemicals!AC23</f>
        <v>76871.178480492992</v>
      </c>
      <c r="AG311">
        <f>[5]Chemicals!AD23</f>
        <v>79485.558178794454</v>
      </c>
      <c r="AH311">
        <f>[5]Chemicals!AE23</f>
        <v>83916.844275508804</v>
      </c>
      <c r="AI311">
        <f>[5]Chemicals!AF23</f>
        <v>83339.59854249224</v>
      </c>
    </row>
    <row r="328" spans="6:35">
      <c r="F328">
        <f>'[5]Pulp, Paper and Print'!C16</f>
        <v>57567.878522252417</v>
      </c>
      <c r="G328">
        <f>'[5]Pulp, Paper and Print'!D16</f>
        <v>59645.679741458596</v>
      </c>
      <c r="H328">
        <f>'[5]Pulp, Paper and Print'!E16</f>
        <v>61729.095406508168</v>
      </c>
      <c r="I328">
        <f>'[5]Pulp, Paper and Print'!F16</f>
        <v>63812.511071557747</v>
      </c>
      <c r="J328">
        <f>'[5]Pulp, Paper and Print'!G16</f>
        <v>65895.926736607333</v>
      </c>
      <c r="K328">
        <f>'[5]Pulp, Paper and Print'!H16</f>
        <v>63926.669250701671</v>
      </c>
      <c r="L328">
        <f>'[5]Pulp, Paper and Print'!I16</f>
        <v>61957.411764796023</v>
      </c>
      <c r="M328">
        <f>'[5]Pulp, Paper and Print'!J16</f>
        <v>59988.154278890383</v>
      </c>
      <c r="N328">
        <f>'[5]Pulp, Paper and Print'!K16</f>
        <v>58018.896792984728</v>
      </c>
      <c r="O328">
        <f>'[5]Pulp, Paper and Print'!L16</f>
        <v>53586.922730958853</v>
      </c>
      <c r="P328">
        <f>'[5]Pulp, Paper and Print'!M16</f>
        <v>49154.948668932986</v>
      </c>
      <c r="Q328">
        <f>'[5]Pulp, Paper and Print'!N16</f>
        <v>44722.974606907112</v>
      </c>
      <c r="R328">
        <f>'[5]Pulp, Paper and Print'!O16</f>
        <v>40291.000544881237</v>
      </c>
      <c r="S328">
        <f>'[5]Pulp, Paper and Print'!P16</f>
        <v>39478.98128355098</v>
      </c>
      <c r="T328">
        <f>'[5]Pulp, Paper and Print'!Q16</f>
        <v>38666.962022220723</v>
      </c>
      <c r="U328">
        <f>'[5]Pulp, Paper and Print'!R16</f>
        <v>37854.942760890459</v>
      </c>
      <c r="V328">
        <f>'[5]Pulp, Paper and Print'!S16</f>
        <v>37042.923499560216</v>
      </c>
      <c r="W328">
        <f>'[5]Pulp, Paper and Print'!T16</f>
        <v>32426.92690651162</v>
      </c>
      <c r="X328">
        <f>'[5]Pulp, Paper and Print'!U16</f>
        <v>27810.930313463028</v>
      </c>
      <c r="Y328">
        <f>'[5]Pulp, Paper and Print'!V16</f>
        <v>23194.933720414436</v>
      </c>
      <c r="Z328">
        <f>'[5]Pulp, Paper and Print'!W16</f>
        <v>18578.937127365851</v>
      </c>
      <c r="AA328">
        <f>'[5]Pulp, Paper and Print'!X16</f>
        <v>14457.992736156346</v>
      </c>
      <c r="AB328">
        <f>'[5]Pulp, Paper and Print'!Y16</f>
        <v>10046.998769424385</v>
      </c>
      <c r="AC328">
        <f>'[5]Pulp, Paper and Print'!Z16</f>
        <v>10811.455055061308</v>
      </c>
      <c r="AD328">
        <f>'[5]Pulp, Paper and Print'!AA16</f>
        <v>7690.3076507070664</v>
      </c>
      <c r="AE328">
        <f>'[5]Pulp, Paper and Print'!AB16</f>
        <v>5758.3437332016783</v>
      </c>
      <c r="AF328">
        <f>'[5]Pulp, Paper and Print'!AC16</f>
        <v>4882.019772472031</v>
      </c>
      <c r="AG328">
        <f>'[5]Pulp, Paper and Print'!AD16</f>
        <v>4083.7873579184488</v>
      </c>
      <c r="AH328">
        <f>'[5]Pulp, Paper and Print'!AE16</f>
        <v>3902.7195270216725</v>
      </c>
      <c r="AI328">
        <f>'[5]Pulp, Paper and Print'!AF16</f>
        <v>2855.4156385800593</v>
      </c>
    </row>
    <row r="330" spans="6:35">
      <c r="F330">
        <f>'[5]Pulp, Paper and Print'!C21</f>
        <v>4331.5282083014754</v>
      </c>
      <c r="G330">
        <f>'[5]Pulp, Paper and Print'!D21</f>
        <v>4418.7157095871862</v>
      </c>
      <c r="H330">
        <f>'[5]Pulp, Paper and Print'!E21</f>
        <v>4628.7198737755107</v>
      </c>
      <c r="I330">
        <f>'[5]Pulp, Paper and Print'!F21</f>
        <v>4739.4692516680161</v>
      </c>
      <c r="J330">
        <f>'[5]Pulp, Paper and Print'!G21</f>
        <v>4906.8957304183632</v>
      </c>
      <c r="K330">
        <f>'[5]Pulp, Paper and Print'!H21</f>
        <v>4676.5351332267355</v>
      </c>
      <c r="L330">
        <f>'[5]Pulp, Paper and Print'!I21</f>
        <v>4645.7514996958907</v>
      </c>
      <c r="M330">
        <f>'[5]Pulp, Paper and Print'!J21</f>
        <v>4514.745071713045</v>
      </c>
      <c r="N330">
        <f>'[5]Pulp, Paper and Print'!K21</f>
        <v>4437.4813386222813</v>
      </c>
      <c r="O330">
        <f>'[5]Pulp, Paper and Print'!L21</f>
        <v>4145.2423697555832</v>
      </c>
      <c r="P330">
        <f>'[5]Pulp, Paper and Print'!M21</f>
        <v>3738.7767126174608</v>
      </c>
      <c r="Q330">
        <f>'[5]Pulp, Paper and Print'!N21</f>
        <v>3346.7753402077196</v>
      </c>
      <c r="R330">
        <f>'[5]Pulp, Paper and Print'!O21</f>
        <v>3007.0998435185707</v>
      </c>
      <c r="S330">
        <f>'[5]Pulp, Paper and Print'!P21</f>
        <v>3030.0398759547998</v>
      </c>
      <c r="T330">
        <f>'[5]Pulp, Paper and Print'!Q21</f>
        <v>2946.2342619599108</v>
      </c>
      <c r="U330">
        <f>'[5]Pulp, Paper and Print'!R21</f>
        <v>2822.4862302016541</v>
      </c>
      <c r="V330">
        <f>'[5]Pulp, Paper and Print'!S21</f>
        <v>2795.1447147310359</v>
      </c>
      <c r="W330">
        <f>'[5]Pulp, Paper and Print'!T21</f>
        <v>2441.7902708120469</v>
      </c>
      <c r="X330">
        <f>'[5]Pulp, Paper and Print'!U21</f>
        <v>2077.856012493824</v>
      </c>
      <c r="Y330">
        <f>'[5]Pulp, Paper and Print'!V21</f>
        <v>1688.7833291422819</v>
      </c>
      <c r="Z330">
        <f>'[5]Pulp, Paper and Print'!W21</f>
        <v>1351.0128990655007</v>
      </c>
      <c r="AA330">
        <f>'[5]Pulp, Paper and Print'!X21</f>
        <v>1049.007730065751</v>
      </c>
      <c r="AB330">
        <f>'[5]Pulp, Paper and Print'!Y21</f>
        <v>728.39415710166566</v>
      </c>
      <c r="AC330">
        <f>'[5]Pulp, Paper and Print'!Z21</f>
        <v>787.14251475440631</v>
      </c>
      <c r="AD330">
        <f>'[5]Pulp, Paper and Print'!AA21</f>
        <v>567.65365372448764</v>
      </c>
      <c r="AE330">
        <f>'[5]Pulp, Paper and Print'!AB21</f>
        <v>419.07086585387265</v>
      </c>
      <c r="AF330">
        <f>'[5]Pulp, Paper and Print'!AC21</f>
        <v>371.92977737005282</v>
      </c>
      <c r="AG330">
        <f>'[5]Pulp, Paper and Print'!AD21</f>
        <v>307.43659956681643</v>
      </c>
      <c r="AH330">
        <f>'[5]Pulp, Paper and Print'!AE21</f>
        <v>298.65905704747075</v>
      </c>
      <c r="AI330">
        <f>'[5]Pulp, Paper and Print'!AF21</f>
        <v>211.54012665984587</v>
      </c>
    </row>
    <row r="334" spans="6:35">
      <c r="F334">
        <f>'[5]Pulp, Paper and Print'!C17</f>
        <v>354904.63722993445</v>
      </c>
      <c r="G334">
        <f>'[5]Pulp, Paper and Print'!D17</f>
        <v>359657.06395611149</v>
      </c>
      <c r="H334">
        <f>'[5]Pulp, Paper and Print'!E17</f>
        <v>364409.4906822886</v>
      </c>
      <c r="I334">
        <f>'[5]Pulp, Paper and Print'!F17</f>
        <v>369161.9174084657</v>
      </c>
      <c r="J334">
        <f>'[5]Pulp, Paper and Print'!G17</f>
        <v>373914.3441346428</v>
      </c>
      <c r="K334">
        <f>'[5]Pulp, Paper and Print'!H17</f>
        <v>366278.88820606493</v>
      </c>
      <c r="L334">
        <f>'[5]Pulp, Paper and Print'!I17</f>
        <v>358643.43227748718</v>
      </c>
      <c r="M334">
        <f>'[5]Pulp, Paper and Print'!J17</f>
        <v>351007.97634890937</v>
      </c>
      <c r="N334">
        <f>'[5]Pulp, Paper and Print'!K17</f>
        <v>343372.52042033157</v>
      </c>
      <c r="O334">
        <f>'[5]Pulp, Paper and Print'!L17</f>
        <v>330211.95163871848</v>
      </c>
      <c r="P334">
        <f>'[5]Pulp, Paper and Print'!M17</f>
        <v>317051.38285710546</v>
      </c>
      <c r="Q334">
        <f>'[5]Pulp, Paper and Print'!N17</f>
        <v>303890.8140754925</v>
      </c>
      <c r="R334">
        <f>'[5]Pulp, Paper and Print'!O17</f>
        <v>290730.24529387936</v>
      </c>
      <c r="S334">
        <f>'[5]Pulp, Paper and Print'!P17</f>
        <v>287247.73719099653</v>
      </c>
      <c r="T334">
        <f>'[5]Pulp, Paper and Print'!Q17</f>
        <v>283765.22908811376</v>
      </c>
      <c r="U334">
        <f>'[5]Pulp, Paper and Print'!R17</f>
        <v>280282.72098523093</v>
      </c>
      <c r="V334">
        <f>'[5]Pulp, Paper and Print'!S17</f>
        <v>276800.21288234816</v>
      </c>
      <c r="W334">
        <f>'[5]Pulp, Paper and Print'!T17</f>
        <v>270015.67788004287</v>
      </c>
      <c r="X334">
        <f>'[5]Pulp, Paper and Print'!U17</f>
        <v>263231.14287773758</v>
      </c>
      <c r="Y334">
        <f>'[5]Pulp, Paper and Print'!V17</f>
        <v>256446.60787543224</v>
      </c>
      <c r="Z334">
        <f>'[5]Pulp, Paper and Print'!W17</f>
        <v>249662.07287312695</v>
      </c>
      <c r="AA334">
        <f>'[5]Pulp, Paper and Print'!X17</f>
        <v>243383.17532311965</v>
      </c>
      <c r="AB334">
        <f>'[5]Pulp, Paper and Print'!Y17</f>
        <v>203743.08139699447</v>
      </c>
      <c r="AC334">
        <f>'[5]Pulp, Paper and Print'!Z17</f>
        <v>189751.73215994093</v>
      </c>
      <c r="AD334">
        <f>'[5]Pulp, Paper and Print'!AA17</f>
        <v>184241.15972627624</v>
      </c>
      <c r="AE334">
        <f>'[5]Pulp, Paper and Print'!AB17</f>
        <v>157973.24826048056</v>
      </c>
      <c r="AF334">
        <f>'[5]Pulp, Paper and Print'!AC17</f>
        <v>127489.64057086212</v>
      </c>
      <c r="AG334">
        <f>'[5]Pulp, Paper and Print'!AD17</f>
        <v>101141.65221273978</v>
      </c>
      <c r="AH334">
        <f>'[5]Pulp, Paper and Print'!AE17</f>
        <v>87064.391386068382</v>
      </c>
      <c r="AI334">
        <f>'[5]Pulp, Paper and Print'!AF17</f>
        <v>77430.72613102269</v>
      </c>
    </row>
    <row r="336" spans="6:35">
      <c r="F336">
        <f>'[5]Pulp, Paper and Print'!C22</f>
        <v>31828.951583119269</v>
      </c>
      <c r="G336">
        <f>'[5]Pulp, Paper and Print'!D22</f>
        <v>32337.957602592491</v>
      </c>
      <c r="H336">
        <f>'[5]Pulp, Paper and Print'!E22</f>
        <v>32745.062352712888</v>
      </c>
      <c r="I336">
        <f>'[5]Pulp, Paper and Print'!F22</f>
        <v>33048.55551080127</v>
      </c>
      <c r="J336">
        <f>'[5]Pulp, Paper and Print'!G22</f>
        <v>33475.656716535188</v>
      </c>
      <c r="K336">
        <f>'[5]Pulp, Paper and Print'!H22</f>
        <v>32824.680438720323</v>
      </c>
      <c r="L336">
        <f>'[5]Pulp, Paper and Print'!I22</f>
        <v>32086.991058852353</v>
      </c>
      <c r="M336">
        <f>'[5]Pulp, Paper and Print'!J22</f>
        <v>31407.930597881794</v>
      </c>
      <c r="N336">
        <f>'[5]Pulp, Paper and Print'!K22</f>
        <v>30769.835590077982</v>
      </c>
      <c r="O336">
        <f>'[5]Pulp, Paper and Print'!L22</f>
        <v>29603.244434043605</v>
      </c>
      <c r="P336">
        <f>'[5]Pulp, Paper and Print'!M22</f>
        <v>28357.936872452185</v>
      </c>
      <c r="Q336">
        <f>'[5]Pulp, Paper and Print'!N22</f>
        <v>27094.077716898581</v>
      </c>
      <c r="R336">
        <f>'[5]Pulp, Paper and Print'!O22</f>
        <v>25827.222717815948</v>
      </c>
      <c r="S336">
        <f>'[5]Pulp, Paper and Print'!P22</f>
        <v>25496.961731681786</v>
      </c>
      <c r="T336">
        <f>'[5]Pulp, Paper and Print'!Q22</f>
        <v>25195.121266689988</v>
      </c>
      <c r="U336">
        <f>'[5]Pulp, Paper and Print'!R22</f>
        <v>25126.010081723594</v>
      </c>
      <c r="V336">
        <f>'[5]Pulp, Paper and Print'!S22</f>
        <v>24850.460177708774</v>
      </c>
      <c r="W336">
        <f>'[5]Pulp, Paper and Print'!T22</f>
        <v>24222.167778410563</v>
      </c>
      <c r="X336">
        <f>'[5]Pulp, Paper and Print'!U22</f>
        <v>23613.050264750713</v>
      </c>
      <c r="Y336">
        <f>'[5]Pulp, Paper and Print'!V22</f>
        <v>23049.682869679375</v>
      </c>
      <c r="Z336">
        <f>'[5]Pulp, Paper and Print'!W22</f>
        <v>22439.803030481049</v>
      </c>
      <c r="AA336">
        <f>'[5]Pulp, Paper and Print'!X22</f>
        <v>21892.025499644718</v>
      </c>
      <c r="AB336">
        <f>'[5]Pulp, Paper and Print'!Y22</f>
        <v>18364.228002001993</v>
      </c>
      <c r="AC336">
        <f>'[5]Pulp, Paper and Print'!Z22</f>
        <v>17096.566938203894</v>
      </c>
      <c r="AD336">
        <f>'[5]Pulp, Paper and Print'!AA22</f>
        <v>16612.953076768987</v>
      </c>
      <c r="AE336">
        <f>'[5]Pulp, Paper and Print'!AB22</f>
        <v>14276.522919306102</v>
      </c>
      <c r="AF336">
        <f>'[5]Pulp, Paper and Print'!AC22</f>
        <v>11535.105716841428</v>
      </c>
      <c r="AG336">
        <f>'[5]Pulp, Paper and Print'!AD22</f>
        <v>9159.844741031995</v>
      </c>
      <c r="AH336">
        <f>'[5]Pulp, Paper and Print'!AE22</f>
        <v>7891.4139668900916</v>
      </c>
      <c r="AI336">
        <f>'[5]Pulp, Paper and Print'!AF22</f>
        <v>7015.58389454803</v>
      </c>
    </row>
    <row r="340" spans="6:35">
      <c r="F340">
        <f>'[5]Pulp, Paper and Print'!C18</f>
        <v>366351.46758504777</v>
      </c>
      <c r="G340">
        <f>'[5]Pulp, Paper and Print'!D18</f>
        <v>372238.45037689648</v>
      </c>
      <c r="H340">
        <f>'[5]Pulp, Paper and Print'!E18</f>
        <v>378125.43316874513</v>
      </c>
      <c r="I340">
        <f>'[5]Pulp, Paper and Print'!F18</f>
        <v>384012.41596059385</v>
      </c>
      <c r="J340">
        <f>'[5]Pulp, Paper and Print'!G18</f>
        <v>389899.39875244262</v>
      </c>
      <c r="K340">
        <f>'[5]Pulp, Paper and Print'!H18</f>
        <v>392446.65092199255</v>
      </c>
      <c r="L340">
        <f>'[5]Pulp, Paper and Print'!I18</f>
        <v>394993.90309154248</v>
      </c>
      <c r="M340">
        <f>'[5]Pulp, Paper and Print'!J18</f>
        <v>397541.15526109247</v>
      </c>
      <c r="N340">
        <f>'[5]Pulp, Paper and Print'!K18</f>
        <v>400088.40743064234</v>
      </c>
      <c r="O340">
        <f>'[5]Pulp, Paper and Print'!L18</f>
        <v>385653.9784698594</v>
      </c>
      <c r="P340">
        <f>'[5]Pulp, Paper and Print'!M18</f>
        <v>371219.54950907652</v>
      </c>
      <c r="Q340">
        <f>'[5]Pulp, Paper and Print'!N18</f>
        <v>356785.12054829358</v>
      </c>
      <c r="R340">
        <f>'[5]Pulp, Paper and Print'!O18</f>
        <v>342350.69158751058</v>
      </c>
      <c r="S340">
        <f>'[5]Pulp, Paper and Print'!P18</f>
        <v>337256.18724841077</v>
      </c>
      <c r="T340">
        <f>'[5]Pulp, Paper and Print'!Q18</f>
        <v>332161.68290931091</v>
      </c>
      <c r="U340">
        <f>'[5]Pulp, Paper and Print'!R18</f>
        <v>327067.17857021105</v>
      </c>
      <c r="V340">
        <f>'[5]Pulp, Paper and Print'!S18</f>
        <v>321972.67423111119</v>
      </c>
      <c r="W340">
        <f>'[5]Pulp, Paper and Print'!T18</f>
        <v>299784.72833661147</v>
      </c>
      <c r="X340">
        <f>'[5]Pulp, Paper and Print'!U18</f>
        <v>277596.7824421117</v>
      </c>
      <c r="Y340">
        <f>'[5]Pulp, Paper and Print'!V18</f>
        <v>255408.83654761198</v>
      </c>
      <c r="Z340">
        <f>'[5]Pulp, Paper and Print'!W18</f>
        <v>233220.89065311232</v>
      </c>
      <c r="AA340">
        <f>'[5]Pulp, Paper and Print'!X18</f>
        <v>257040.30766843382</v>
      </c>
      <c r="AB340">
        <f>'[5]Pulp, Paper and Print'!Y18</f>
        <v>309257.07008836558</v>
      </c>
      <c r="AC340">
        <f>'[5]Pulp, Paper and Print'!Z18</f>
        <v>309128.23092951643</v>
      </c>
      <c r="AD340">
        <f>'[5]Pulp, Paper and Print'!AA18</f>
        <v>313658.50135990354</v>
      </c>
      <c r="AE340">
        <f>'[5]Pulp, Paper and Print'!AB18</f>
        <v>348217.31219734222</v>
      </c>
      <c r="AF340">
        <f>'[5]Pulp, Paper and Print'!AC18</f>
        <v>390804.06932671071</v>
      </c>
      <c r="AG340">
        <f>'[5]Pulp, Paper and Print'!AD18</f>
        <v>395530.47668294946</v>
      </c>
      <c r="AH340">
        <f>'[5]Pulp, Paper and Print'!AE18</f>
        <v>419783.93185545853</v>
      </c>
      <c r="AI340">
        <f>'[5]Pulp, Paper and Print'!AF18</f>
        <v>439094.52816305478</v>
      </c>
    </row>
    <row r="342" spans="6:35">
      <c r="F342">
        <f>'[5]Pulp, Paper and Print'!C23</f>
        <v>19153.972340150514</v>
      </c>
      <c r="G342">
        <f>'[5]Pulp, Paper and Print'!D23</f>
        <v>19555.389060471</v>
      </c>
      <c r="H342">
        <f>'[5]Pulp, Paper and Print'!E23</f>
        <v>19769.650020681569</v>
      </c>
      <c r="I342">
        <f>'[5]Pulp, Paper and Print'!F23</f>
        <v>20148.092316339174</v>
      </c>
      <c r="J342">
        <f>'[5]Pulp, Paper and Print'!G23</f>
        <v>20409.65775117337</v>
      </c>
      <c r="K342">
        <f>'[5]Pulp, Paper and Print'!H23</f>
        <v>20585.708336079486</v>
      </c>
      <c r="L342">
        <f>'[5]Pulp, Paper and Print'!I23</f>
        <v>20564.911388548018</v>
      </c>
      <c r="M342">
        <f>'[5]Pulp, Paper and Print'!J23</f>
        <v>20696.56453452542</v>
      </c>
      <c r="N342">
        <f>'[5]Pulp, Paper and Print'!K23</f>
        <v>20831.935170980865</v>
      </c>
      <c r="O342">
        <f>'[5]Pulp, Paper and Print'!L23</f>
        <v>20159.215589772961</v>
      </c>
      <c r="P342">
        <f>'[5]Pulp, Paper and Print'!M23</f>
        <v>19361.848563562678</v>
      </c>
      <c r="Q342">
        <f>'[5]Pulp, Paper and Print'!N23</f>
        <v>18676.302030321975</v>
      </c>
      <c r="R342">
        <f>'[5]Pulp, Paper and Print'!O23</f>
        <v>17958.124058856643</v>
      </c>
      <c r="S342">
        <f>'[5]Pulp, Paper and Print'!P23</f>
        <v>17548.202809313876</v>
      </c>
      <c r="T342">
        <f>'[5]Pulp, Paper and Print'!Q23</f>
        <v>17274.307870005043</v>
      </c>
      <c r="U342">
        <f>'[5]Pulp, Paper and Print'!R23</f>
        <v>17145.587763837215</v>
      </c>
      <c r="V342">
        <f>'[5]Pulp, Paper and Print'!S23</f>
        <v>16751.114565210712</v>
      </c>
      <c r="W342">
        <f>'[5]Pulp, Paper and Print'!T23</f>
        <v>15612.574714479077</v>
      </c>
      <c r="X342">
        <f>'[5]Pulp, Paper and Print'!U23</f>
        <v>14551.734223954905</v>
      </c>
      <c r="Y342">
        <f>'[5]Pulp, Paper and Print'!V23</f>
        <v>13587.034790729647</v>
      </c>
      <c r="Z342">
        <f>'[5]Pulp, Paper and Print'!W23</f>
        <v>12360.785165308831</v>
      </c>
      <c r="AA342">
        <f>'[5]Pulp, Paper and Print'!X23</f>
        <v>13612.563227235132</v>
      </c>
      <c r="AB342">
        <f>'[5]Pulp, Paper and Print'!Y23</f>
        <v>16349.801754133021</v>
      </c>
      <c r="AC342">
        <f>'[5]Pulp, Paper and Print'!Z23</f>
        <v>16223.946847353262</v>
      </c>
      <c r="AD342">
        <f>'[5]Pulp, Paper and Print'!AA23</f>
        <v>16455.253543223218</v>
      </c>
      <c r="AE342">
        <f>'[5]Pulp, Paper and Print'!AB23</f>
        <v>18295.135570451515</v>
      </c>
      <c r="AF342">
        <f>'[5]Pulp, Paper and Print'!AC23</f>
        <v>20312.462851245677</v>
      </c>
      <c r="AG342">
        <f>'[5]Pulp, Paper and Print'!AD23</f>
        <v>20595.905020470353</v>
      </c>
      <c r="AH342">
        <f>'[5]Pulp, Paper and Print'!AE23</f>
        <v>21769.698943210697</v>
      </c>
      <c r="AI342">
        <f>'[5]Pulp, Paper and Print'!AF23</f>
        <v>22899.545986231282</v>
      </c>
    </row>
    <row r="359" spans="6:35">
      <c r="F359">
        <f>'[5]Food Processing, Beverages, Tob'!C16</f>
        <v>10386.63584764318</v>
      </c>
      <c r="G359">
        <f>'[5]Food Processing, Beverages, Tob'!D16</f>
        <v>10755.442753128164</v>
      </c>
      <c r="H359">
        <f>'[5]Food Processing, Beverages, Tob'!E16</f>
        <v>11124.249658613147</v>
      </c>
      <c r="I359">
        <f>'[5]Food Processing, Beverages, Tob'!F16</f>
        <v>11493.056564098128</v>
      </c>
      <c r="J359">
        <f>'[5]Food Processing, Beverages, Tob'!G16</f>
        <v>11861.863469583112</v>
      </c>
      <c r="K359">
        <f>'[5]Food Processing, Beverages, Tob'!H16</f>
        <v>10689.091178705226</v>
      </c>
      <c r="L359">
        <f>'[5]Food Processing, Beverages, Tob'!I16</f>
        <v>9516.3188878273413</v>
      </c>
      <c r="M359">
        <f>'[5]Food Processing, Beverages, Tob'!J16</f>
        <v>8343.5465969494562</v>
      </c>
      <c r="N359">
        <f>'[5]Food Processing, Beverages, Tob'!K16</f>
        <v>7170.7743060715711</v>
      </c>
      <c r="O359">
        <f>'[5]Food Processing, Beverages, Tob'!L16</f>
        <v>7169.2257134239389</v>
      </c>
      <c r="P359">
        <f>'[5]Food Processing, Beverages, Tob'!M16</f>
        <v>7167.6771207763068</v>
      </c>
      <c r="Q359">
        <f>'[5]Food Processing, Beverages, Tob'!N16</f>
        <v>7166.1285281286728</v>
      </c>
      <c r="R359">
        <f>'[5]Food Processing, Beverages, Tob'!O16</f>
        <v>7164.5799354810406</v>
      </c>
      <c r="S359">
        <f>'[5]Food Processing, Beverages, Tob'!P16</f>
        <v>8108.5939426831646</v>
      </c>
      <c r="T359">
        <f>'[5]Food Processing, Beverages, Tob'!Q16</f>
        <v>9052.6079498852887</v>
      </c>
      <c r="U359">
        <f>'[5]Food Processing, Beverages, Tob'!R16</f>
        <v>9996.6219570874127</v>
      </c>
      <c r="V359">
        <f>'[5]Food Processing, Beverages, Tob'!S16</f>
        <v>10940.635964289537</v>
      </c>
      <c r="W359">
        <f>'[5]Food Processing, Beverages, Tob'!T16</f>
        <v>9462.8254514751134</v>
      </c>
      <c r="X359">
        <f>'[5]Food Processing, Beverages, Tob'!U16</f>
        <v>7985.0149386606899</v>
      </c>
      <c r="Y359">
        <f>'[5]Food Processing, Beverages, Tob'!V16</f>
        <v>6507.2044258462656</v>
      </c>
      <c r="Z359">
        <f>'[5]Food Processing, Beverages, Tob'!W16</f>
        <v>5029.3939130318413</v>
      </c>
      <c r="AA359">
        <f>'[5]Food Processing, Beverages, Tob'!X16</f>
        <v>5730.4369748517238</v>
      </c>
      <c r="AB359">
        <f>'[5]Food Processing, Beverages, Tob'!Y16</f>
        <v>5577.1330575725915</v>
      </c>
      <c r="AC359">
        <f>'[5]Food Processing, Beverages, Tob'!Z16</f>
        <v>5146.2543244733442</v>
      </c>
      <c r="AD359">
        <f>'[5]Food Processing, Beverages, Tob'!AA16</f>
        <v>4479.7469540765196</v>
      </c>
      <c r="AE359">
        <f>'[5]Food Processing, Beverages, Tob'!AB16</f>
        <v>5494.1065929558727</v>
      </c>
      <c r="AF359">
        <f>'[5]Food Processing, Beverages, Tob'!AC16</f>
        <v>2830.7520316834753</v>
      </c>
      <c r="AG359">
        <f>'[5]Food Processing, Beverages, Tob'!AD16</f>
        <v>3074.7314312979133</v>
      </c>
      <c r="AH359">
        <f>'[5]Food Processing, Beverages, Tob'!AE16</f>
        <v>2998.2922692422794</v>
      </c>
      <c r="AI359">
        <f>'[5]Food Processing, Beverages, Tob'!AF16</f>
        <v>2946.9528567373586</v>
      </c>
    </row>
    <row r="361" spans="6:35">
      <c r="F361">
        <f>'[5]Food Processing, Beverages, Tob'!C21</f>
        <v>781.51231760314386</v>
      </c>
      <c r="G361">
        <f>'[5]Food Processing, Beverages, Tob'!D21</f>
        <v>796.79272770160367</v>
      </c>
      <c r="H361">
        <f>'[5]Food Processing, Beverages, Tob'!E21</f>
        <v>834.14531083885538</v>
      </c>
      <c r="I361">
        <f>'[5]Food Processing, Beverages, Tob'!F21</f>
        <v>853.6098529666375</v>
      </c>
      <c r="J361">
        <f>'[5]Food Processing, Beverages, Tob'!G21</f>
        <v>883.28566113583747</v>
      </c>
      <c r="K361">
        <f>'[5]Food Processing, Beverages, Tob'!H21</f>
        <v>781.95706151122977</v>
      </c>
      <c r="L361">
        <f>'[5]Food Processing, Beverages, Tob'!I21</f>
        <v>713.56196918846149</v>
      </c>
      <c r="M361">
        <f>'[5]Food Processing, Beverages, Tob'!J21</f>
        <v>627.94040476823409</v>
      </c>
      <c r="N361">
        <f>'[5]Food Processing, Beverages, Tob'!K21</f>
        <v>548.44505713718138</v>
      </c>
      <c r="O361">
        <f>'[5]Food Processing, Beverages, Tob'!L21</f>
        <v>554.57892842309047</v>
      </c>
      <c r="P361">
        <f>'[5]Food Processing, Beverages, Tob'!M21</f>
        <v>545.18100472875835</v>
      </c>
      <c r="Q361">
        <f>'[5]Food Processing, Beverages, Tob'!N21</f>
        <v>536.26625808105427</v>
      </c>
      <c r="R361">
        <f>'[5]Food Processing, Beverages, Tob'!O21</f>
        <v>534.72504806283496</v>
      </c>
      <c r="S361">
        <f>'[5]Food Processing, Beverages, Tob'!P21</f>
        <v>622.34034885019753</v>
      </c>
      <c r="T361">
        <f>'[5]Food Processing, Beverages, Tob'!Q21</f>
        <v>689.76465455743937</v>
      </c>
      <c r="U361">
        <f>'[5]Food Processing, Beverages, Tob'!R21</f>
        <v>745.35386305117277</v>
      </c>
      <c r="V361">
        <f>'[5]Food Processing, Beverages, Tob'!S21</f>
        <v>825.54663353564013</v>
      </c>
      <c r="W361">
        <f>'[5]Food Processing, Beverages, Tob'!T21</f>
        <v>712.56320984165188</v>
      </c>
      <c r="X361">
        <f>'[5]Food Processing, Beverages, Tob'!U21</f>
        <v>596.58958233832311</v>
      </c>
      <c r="Y361">
        <f>'[5]Food Processing, Beverages, Tob'!V21</f>
        <v>473.7783899773824</v>
      </c>
      <c r="Z361">
        <f>'[5]Food Processing, Beverages, Tob'!W21</f>
        <v>365.72469159062729</v>
      </c>
      <c r="AA361">
        <f>'[5]Food Processing, Beverages, Tob'!X21</f>
        <v>415.77505210949158</v>
      </c>
      <c r="AB361">
        <f>'[5]Food Processing, Beverages, Tob'!Y21</f>
        <v>404.33478949725844</v>
      </c>
      <c r="AC361">
        <f>'[5]Food Processing, Beverages, Tob'!Z21</f>
        <v>374.67996212362891</v>
      </c>
      <c r="AD361">
        <f>'[5]Food Processing, Beverages, Tob'!AA21</f>
        <v>330.66879008525444</v>
      </c>
      <c r="AE361">
        <f>'[5]Food Processing, Beverages, Tob'!AB21</f>
        <v>399.840668372766</v>
      </c>
      <c r="AF361">
        <f>'[5]Food Processing, Beverages, Tob'!AC21</f>
        <v>215.65684327426419</v>
      </c>
      <c r="AG361">
        <f>'[5]Food Processing, Beverages, Tob'!AD21</f>
        <v>231.47262405485847</v>
      </c>
      <c r="AH361">
        <f>'[5]Food Processing, Beverages, Tob'!AE21</f>
        <v>229.44696273574868</v>
      </c>
      <c r="AI361">
        <f>'[5]Food Processing, Beverages, Tob'!AF21</f>
        <v>218.32155436566114</v>
      </c>
    </row>
    <row r="365" spans="6:35">
      <c r="F365">
        <f>'[5]Food Processing, Beverages, Tob'!C17</f>
        <v>323709.27220648661</v>
      </c>
      <c r="G365">
        <f>'[5]Food Processing, Beverages, Tob'!D17</f>
        <v>321211.55560197245</v>
      </c>
      <c r="H365">
        <f>'[5]Food Processing, Beverages, Tob'!E17</f>
        <v>318713.83899745828</v>
      </c>
      <c r="I365">
        <f>'[5]Food Processing, Beverages, Tob'!F17</f>
        <v>316216.12239294412</v>
      </c>
      <c r="J365">
        <f>'[5]Food Processing, Beverages, Tob'!G17</f>
        <v>313718.40578842995</v>
      </c>
      <c r="K365">
        <f>'[5]Food Processing, Beverages, Tob'!H17</f>
        <v>310146.71397016692</v>
      </c>
      <c r="L365">
        <f>'[5]Food Processing, Beverages, Tob'!I17</f>
        <v>306575.02215190383</v>
      </c>
      <c r="M365">
        <f>'[5]Food Processing, Beverages, Tob'!J17</f>
        <v>303003.33033364074</v>
      </c>
      <c r="N365">
        <f>'[5]Food Processing, Beverages, Tob'!K17</f>
        <v>299431.63851537777</v>
      </c>
      <c r="O365">
        <f>'[5]Food Processing, Beverages, Tob'!L17</f>
        <v>319569.47863927315</v>
      </c>
      <c r="P365">
        <f>'[5]Food Processing, Beverages, Tob'!M17</f>
        <v>339707.31876316853</v>
      </c>
      <c r="Q365">
        <f>'[5]Food Processing, Beverages, Tob'!N17</f>
        <v>359845.15888706391</v>
      </c>
      <c r="R365">
        <f>'[5]Food Processing, Beverages, Tob'!O17</f>
        <v>379982.99901095935</v>
      </c>
      <c r="S365">
        <f>'[5]Food Processing, Beverages, Tob'!P17</f>
        <v>364232.66670120397</v>
      </c>
      <c r="T365">
        <f>'[5]Food Processing, Beverages, Tob'!Q17</f>
        <v>348482.33439144876</v>
      </c>
      <c r="U365">
        <f>'[5]Food Processing, Beverages, Tob'!R17</f>
        <v>332732.0020816935</v>
      </c>
      <c r="V365">
        <f>'[5]Food Processing, Beverages, Tob'!S17</f>
        <v>316981.66977193824</v>
      </c>
      <c r="W365">
        <f>'[5]Food Processing, Beverages, Tob'!T17</f>
        <v>259502.67087458703</v>
      </c>
      <c r="X365">
        <f>'[5]Food Processing, Beverages, Tob'!U17</f>
        <v>202023.67197723585</v>
      </c>
      <c r="Y365">
        <f>'[5]Food Processing, Beverages, Tob'!V17</f>
        <v>144544.67307988464</v>
      </c>
      <c r="Z365">
        <f>'[5]Food Processing, Beverages, Tob'!W17</f>
        <v>87065.674182533359</v>
      </c>
      <c r="AA365">
        <f>'[5]Food Processing, Beverages, Tob'!X17</f>
        <v>223894.60501797547</v>
      </c>
      <c r="AB365">
        <f>'[5]Food Processing, Beverages, Tob'!Y17</f>
        <v>210783.44502908623</v>
      </c>
      <c r="AC365">
        <f>'[5]Food Processing, Beverages, Tob'!Z17</f>
        <v>215776.22675640901</v>
      </c>
      <c r="AD365">
        <f>'[5]Food Processing, Beverages, Tob'!AA17</f>
        <v>215957.563675916</v>
      </c>
      <c r="AE365">
        <f>'[5]Food Processing, Beverages, Tob'!AB17</f>
        <v>190074.14496905173</v>
      </c>
      <c r="AF365">
        <f>'[5]Food Processing, Beverages, Tob'!AC17</f>
        <v>171004.5426901071</v>
      </c>
      <c r="AG365">
        <f>'[5]Food Processing, Beverages, Tob'!AD17</f>
        <v>167168.73001123371</v>
      </c>
      <c r="AH365">
        <f>'[5]Food Processing, Beverages, Tob'!AE17</f>
        <v>164038.1464966753</v>
      </c>
      <c r="AI365">
        <f>'[5]Food Processing, Beverages, Tob'!AF17</f>
        <v>159934.8252799366</v>
      </c>
    </row>
    <row r="367" spans="6:35">
      <c r="F367">
        <f>'[5]Food Processing, Beverages, Tob'!C22</f>
        <v>29031.254233490767</v>
      </c>
      <c r="G367">
        <f>'[5]Food Processing, Beverages, Tob'!D22</f>
        <v>28881.194636529974</v>
      </c>
      <c r="H367">
        <f>'[5]Food Processing, Beverages, Tob'!E22</f>
        <v>28638.948209346141</v>
      </c>
      <c r="I367">
        <f>'[5]Food Processing, Beverages, Tob'!F22</f>
        <v>28308.678608228212</v>
      </c>
      <c r="J367">
        <f>'[5]Food Processing, Beverages, Tob'!G22</f>
        <v>28086.458362909252</v>
      </c>
      <c r="K367">
        <f>'[5]Food Processing, Beverages, Tob'!H22</f>
        <v>27794.304020772535</v>
      </c>
      <c r="L367">
        <f>'[5]Food Processing, Beverages, Tob'!I22</f>
        <v>27428.55189676115</v>
      </c>
      <c r="M367">
        <f>'[5]Food Processing, Beverages, Tob'!J22</f>
        <v>27112.510858118592</v>
      </c>
      <c r="N367">
        <f>'[5]Food Processing, Beverages, Tob'!K22</f>
        <v>26832.264493114908</v>
      </c>
      <c r="O367">
        <f>'[5]Food Processing, Beverages, Tob'!L22</f>
        <v>28649.155013531097</v>
      </c>
      <c r="P367">
        <f>'[5]Food Processing, Beverages, Tob'!M22</f>
        <v>30384.345318997337</v>
      </c>
      <c r="Q367">
        <f>'[5]Food Processing, Beverages, Tob'!N22</f>
        <v>32082.814778711327</v>
      </c>
      <c r="R367">
        <f>'[5]Food Processing, Beverages, Tob'!O22</f>
        <v>33756.052916061337</v>
      </c>
      <c r="S367">
        <f>'[5]Food Processing, Beverages, Tob'!P22</f>
        <v>32330.372573601915</v>
      </c>
      <c r="T367">
        <f>'[5]Food Processing, Beverages, Tob'!Q22</f>
        <v>30941.263320057482</v>
      </c>
      <c r="U367">
        <f>'[5]Food Processing, Beverages, Tob'!R22</f>
        <v>29827.838153666406</v>
      </c>
      <c r="V367">
        <f>'[5]Food Processing, Beverages, Tob'!S22</f>
        <v>28457.855142905195</v>
      </c>
      <c r="W367">
        <f>'[5]Food Processing, Beverages, Tob'!T22</f>
        <v>23279.082467435077</v>
      </c>
      <c r="X367">
        <f>'[5]Food Processing, Beverages, Tob'!U22</f>
        <v>18122.457202123973</v>
      </c>
      <c r="Y367">
        <f>'[5]Food Processing, Beverages, Tob'!V22</f>
        <v>12991.822752481812</v>
      </c>
      <c r="Z367">
        <f>'[5]Food Processing, Beverages, Tob'!W22</f>
        <v>7825.524145050802</v>
      </c>
      <c r="AA367">
        <f>'[5]Food Processing, Beverages, Tob'!X22</f>
        <v>20139.051911780993</v>
      </c>
      <c r="AB367">
        <f>'[5]Food Processing, Beverages, Tob'!Y22</f>
        <v>18998.80583438891</v>
      </c>
      <c r="AC367">
        <f>'[5]Food Processing, Beverages, Tob'!Z22</f>
        <v>19441.365105982477</v>
      </c>
      <c r="AD367">
        <f>'[5]Food Processing, Beverages, Tob'!AA22</f>
        <v>19472.808775474026</v>
      </c>
      <c r="AE367">
        <f>'[5]Food Processing, Beverages, Tob'!AB22</f>
        <v>17177.578589406177</v>
      </c>
      <c r="AF367">
        <f>'[5]Food Processing, Beverages, Tob'!AC22</f>
        <v>15472.2804861475</v>
      </c>
      <c r="AG367">
        <f>'[5]Food Processing, Beverages, Tob'!AD22</f>
        <v>15139.555059251068</v>
      </c>
      <c r="AH367">
        <f>'[5]Food Processing, Beverages, Tob'!AE22</f>
        <v>14868.224537704225</v>
      </c>
      <c r="AI367">
        <f>'[5]Food Processing, Beverages, Tob'!AF22</f>
        <v>14490.838979252858</v>
      </c>
    </row>
    <row r="371" spans="6:35">
      <c r="F371">
        <f>'[5]Food Processing, Beverages, Tob'!C18</f>
        <v>217701.37470964028</v>
      </c>
      <c r="G371">
        <f>'[5]Food Processing, Beverages, Tob'!D18</f>
        <v>235008.17855685018</v>
      </c>
      <c r="H371">
        <f>'[5]Food Processing, Beverages, Tob'!E18</f>
        <v>252314.98240406008</v>
      </c>
      <c r="I371">
        <f>'[5]Food Processing, Beverages, Tob'!F18</f>
        <v>269621.78625126998</v>
      </c>
      <c r="J371">
        <f>'[5]Food Processing, Beverages, Tob'!G18</f>
        <v>286928.59009847988</v>
      </c>
      <c r="K371">
        <f>'[5]Food Processing, Beverages, Tob'!H18</f>
        <v>284537.51851432584</v>
      </c>
      <c r="L371">
        <f>'[5]Food Processing, Beverages, Tob'!I18</f>
        <v>282146.44693017186</v>
      </c>
      <c r="M371">
        <f>'[5]Food Processing, Beverages, Tob'!J18</f>
        <v>279755.37534601789</v>
      </c>
      <c r="N371">
        <f>'[5]Food Processing, Beverages, Tob'!K18</f>
        <v>277364.30376186385</v>
      </c>
      <c r="O371">
        <f>'[5]Food Processing, Beverages, Tob'!L18</f>
        <v>278730.63038138044</v>
      </c>
      <c r="P371">
        <f>'[5]Food Processing, Beverages, Tob'!M18</f>
        <v>280096.95700089697</v>
      </c>
      <c r="Q371">
        <f>'[5]Food Processing, Beverages, Tob'!N18</f>
        <v>281463.28362041351</v>
      </c>
      <c r="R371">
        <f>'[5]Food Processing, Beverages, Tob'!O18</f>
        <v>282829.6102399301</v>
      </c>
      <c r="S371">
        <f>'[5]Food Processing, Beverages, Tob'!P18</f>
        <v>289091.94057938113</v>
      </c>
      <c r="T371">
        <f>'[5]Food Processing, Beverages, Tob'!Q18</f>
        <v>295354.27091883204</v>
      </c>
      <c r="U371">
        <f>'[5]Food Processing, Beverages, Tob'!R18</f>
        <v>301616.60125828296</v>
      </c>
      <c r="V371">
        <f>'[5]Food Processing, Beverages, Tob'!S18</f>
        <v>307878.93159773399</v>
      </c>
      <c r="W371">
        <f>'[5]Food Processing, Beverages, Tob'!T18</f>
        <v>281893.9829871633</v>
      </c>
      <c r="X371">
        <f>'[5]Food Processing, Beverages, Tob'!U18</f>
        <v>255909.03437659258</v>
      </c>
      <c r="Y371">
        <f>'[5]Food Processing, Beverages, Tob'!V18</f>
        <v>229924.08576602189</v>
      </c>
      <c r="Z371">
        <f>'[5]Food Processing, Beverages, Tob'!W18</f>
        <v>203939.13715545114</v>
      </c>
      <c r="AA371">
        <f>'[5]Food Processing, Beverages, Tob'!X18</f>
        <v>280847.00651707675</v>
      </c>
      <c r="AB371">
        <f>'[5]Food Processing, Beverages, Tob'!Y18</f>
        <v>306054.40635617863</v>
      </c>
      <c r="AC371">
        <f>'[5]Food Processing, Beverages, Tob'!Z18</f>
        <v>304496.41885352653</v>
      </c>
      <c r="AD371">
        <f>'[5]Food Processing, Beverages, Tob'!AA18</f>
        <v>318505.0999913534</v>
      </c>
      <c r="AE371">
        <f>'[5]Food Processing, Beverages, Tob'!AB18</f>
        <v>330840.77515051421</v>
      </c>
      <c r="AF371">
        <f>'[5]Food Processing, Beverages, Tob'!AC18</f>
        <v>348507.66242047492</v>
      </c>
      <c r="AG371">
        <f>'[5]Food Processing, Beverages, Tob'!AD18</f>
        <v>357375.5295271849</v>
      </c>
      <c r="AH371">
        <f>'[5]Food Processing, Beverages, Tob'!AE18</f>
        <v>376258.41914714995</v>
      </c>
      <c r="AI371">
        <f>'[5]Food Processing, Beverages, Tob'!AF18</f>
        <v>378551.21256811533</v>
      </c>
    </row>
    <row r="373" spans="6:35">
      <c r="F373">
        <f>'[5]Food Processing, Beverages, Tob'!C23</f>
        <v>11382.092003311467</v>
      </c>
      <c r="G373">
        <f>'[5]Food Processing, Beverages, Tob'!D23</f>
        <v>12346.05495326627</v>
      </c>
      <c r="H373">
        <f>'[5]Food Processing, Beverages, Tob'!E23</f>
        <v>13191.862962776782</v>
      </c>
      <c r="I373">
        <f>'[5]Food Processing, Beverages, Tob'!F23</f>
        <v>14146.325519965239</v>
      </c>
      <c r="J373">
        <f>'[5]Food Processing, Beverages, Tob'!G23</f>
        <v>15019.55207336672</v>
      </c>
      <c r="K373">
        <f>'[5]Food Processing, Beverages, Tob'!H23</f>
        <v>14925.356995776778</v>
      </c>
      <c r="L373">
        <f>'[5]Food Processing, Beverages, Tob'!I23</f>
        <v>14689.636053364411</v>
      </c>
      <c r="M373">
        <f>'[5]Food Processing, Beverages, Tob'!J23</f>
        <v>14564.467359175853</v>
      </c>
      <c r="N373">
        <f>'[5]Food Processing, Beverages, Tob'!K23</f>
        <v>14441.896059467925</v>
      </c>
      <c r="O373">
        <f>'[5]Food Processing, Beverages, Tob'!L23</f>
        <v>14570.032161021047</v>
      </c>
      <c r="P373">
        <f>'[5]Food Processing, Beverages, Tob'!M23</f>
        <v>14609.130558285682</v>
      </c>
      <c r="Q373">
        <f>'[5]Food Processing, Beverages, Tob'!N23</f>
        <v>14733.49922009846</v>
      </c>
      <c r="R373">
        <f>'[5]Food Processing, Beverages, Tob'!O23</f>
        <v>14835.925128862886</v>
      </c>
      <c r="S373">
        <f>'[5]Food Processing, Beverages, Tob'!P23</f>
        <v>15042.108034295228</v>
      </c>
      <c r="T373">
        <f>'[5]Food Processing, Beverages, Tob'!Q23</f>
        <v>15360.111864455408</v>
      </c>
      <c r="U373">
        <f>'[5]Food Processing, Beverages, Tob'!R23</f>
        <v>15811.411987320667</v>
      </c>
      <c r="V373">
        <f>'[5]Food Processing, Beverages, Tob'!S23</f>
        <v>16017.866322737704</v>
      </c>
      <c r="W373">
        <f>'[5]Food Processing, Beverages, Tob'!T23</f>
        <v>14680.837464166761</v>
      </c>
      <c r="X373">
        <f>'[5]Food Processing, Beverages, Tob'!U23</f>
        <v>13414.853807009373</v>
      </c>
      <c r="Y373">
        <f>'[5]Food Processing, Beverages, Tob'!V23</f>
        <v>12231.31742330023</v>
      </c>
      <c r="Z373">
        <f>'[5]Food Processing, Beverages, Tob'!W23</f>
        <v>10808.842441676625</v>
      </c>
      <c r="AA373">
        <f>'[5]Food Processing, Beverages, Tob'!X23</f>
        <v>14873.339003020961</v>
      </c>
      <c r="AB373">
        <f>'[5]Food Processing, Beverages, Tob'!Y23</f>
        <v>16180.483338578459</v>
      </c>
      <c r="AC373">
        <f>'[5]Food Processing, Beverages, Tob'!Z23</f>
        <v>15980.855905119251</v>
      </c>
      <c r="AD373">
        <f>'[5]Food Processing, Beverages, Tob'!AA23</f>
        <v>16709.517365045267</v>
      </c>
      <c r="AE373">
        <f>'[5]Food Processing, Beverages, Tob'!AB23</f>
        <v>17382.182394715877</v>
      </c>
      <c r="AF373">
        <f>'[5]Food Processing, Beverages, Tob'!AC23</f>
        <v>18114.06150014346</v>
      </c>
      <c r="AG373">
        <f>'[5]Food Processing, Beverages, Tob'!AD23</f>
        <v>18609.115849958202</v>
      </c>
      <c r="AH373">
        <f>'[5]Food Processing, Beverages, Tob'!AE23</f>
        <v>19512.496520477118</v>
      </c>
      <c r="AI373">
        <f>'[5]Food Processing, Beverages, Tob'!AF23</f>
        <v>19742.106412968384</v>
      </c>
    </row>
    <row r="390" spans="6:35">
      <c r="F390">
        <f>'[5]Minerals Manufacturing'!C16</f>
        <v>5241.0312208005935</v>
      </c>
      <c r="G390">
        <f>'[5]Minerals Manufacturing'!D16</f>
        <v>5158.830106869219</v>
      </c>
      <c r="H390">
        <f>'[5]Minerals Manufacturing'!E16</f>
        <v>5076.6289929378445</v>
      </c>
      <c r="I390">
        <f>'[5]Minerals Manufacturing'!F16</f>
        <v>4994.42787900647</v>
      </c>
      <c r="J390">
        <f>'[5]Minerals Manufacturing'!G16</f>
        <v>4912.2267650750946</v>
      </c>
      <c r="K390">
        <f>'[5]Minerals Manufacturing'!H16</f>
        <v>4612.4753348505974</v>
      </c>
      <c r="L390">
        <f>'[5]Minerals Manufacturing'!I16</f>
        <v>4312.7239046260993</v>
      </c>
      <c r="M390">
        <f>'[5]Minerals Manufacturing'!J16</f>
        <v>4012.9724744016021</v>
      </c>
      <c r="N390">
        <f>'[5]Minerals Manufacturing'!K16</f>
        <v>3713.2210441771049</v>
      </c>
      <c r="O390">
        <f>'[5]Minerals Manufacturing'!L16</f>
        <v>4030.4835004221541</v>
      </c>
      <c r="P390">
        <f>'[5]Minerals Manufacturing'!M16</f>
        <v>4347.7459566672032</v>
      </c>
      <c r="Q390">
        <f>'[5]Minerals Manufacturing'!N16</f>
        <v>4665.0084129122524</v>
      </c>
      <c r="R390">
        <f>'[5]Minerals Manufacturing'!O16</f>
        <v>4982.2708691573016</v>
      </c>
      <c r="S390">
        <f>'[5]Minerals Manufacturing'!P16</f>
        <v>4960.7525481768316</v>
      </c>
      <c r="T390">
        <f>'[5]Minerals Manufacturing'!Q16</f>
        <v>4939.2342271963616</v>
      </c>
      <c r="U390">
        <f>'[5]Minerals Manufacturing'!R16</f>
        <v>4917.7159062158898</v>
      </c>
      <c r="V390">
        <f>'[5]Minerals Manufacturing'!S16</f>
        <v>4896.1975852354199</v>
      </c>
      <c r="W390">
        <f>'[5]Minerals Manufacturing'!T16</f>
        <v>5375.6348846203909</v>
      </c>
      <c r="X390">
        <f>'[5]Minerals Manufacturing'!U16</f>
        <v>5855.072184005362</v>
      </c>
      <c r="Y390">
        <f>'[5]Minerals Manufacturing'!V16</f>
        <v>6334.5094833903322</v>
      </c>
      <c r="Z390">
        <f>'[5]Minerals Manufacturing'!W16</f>
        <v>6813.9467827753024</v>
      </c>
      <c r="AA390">
        <f>'[5]Minerals Manufacturing'!X16</f>
        <v>1535.6770188493363</v>
      </c>
      <c r="AB390">
        <f>'[5]Minerals Manufacturing'!Y16</f>
        <v>1141.8975577748845</v>
      </c>
      <c r="AC390">
        <f>'[5]Minerals Manufacturing'!Z16</f>
        <v>2364.2404028810583</v>
      </c>
      <c r="AD390">
        <f>'[5]Minerals Manufacturing'!AA16</f>
        <v>723.24898409588366</v>
      </c>
      <c r="AE390">
        <f>'[5]Minerals Manufacturing'!AB16</f>
        <v>855.33205031369789</v>
      </c>
      <c r="AF390">
        <f>'[5]Minerals Manufacturing'!AC16</f>
        <v>492.79319273829771</v>
      </c>
      <c r="AG390">
        <f>'[5]Minerals Manufacturing'!AD16</f>
        <v>802.32025061197987</v>
      </c>
      <c r="AH390">
        <f>'[5]Minerals Manufacturing'!AE16</f>
        <v>749.4188285914048</v>
      </c>
      <c r="AI390">
        <f>'[5]Minerals Manufacturing'!AF16</f>
        <v>2414.0299616387442</v>
      </c>
    </row>
    <row r="392" spans="6:35">
      <c r="F392">
        <f>'[5]Minerals Manufacturing'!C21</f>
        <v>394.34620757670149</v>
      </c>
      <c r="G392">
        <f>'[5]Minerals Manufacturing'!D21</f>
        <v>382.18029763637185</v>
      </c>
      <c r="H392">
        <f>'[5]Minerals Manufacturing'!E21</f>
        <v>380.66803598289738</v>
      </c>
      <c r="I392">
        <f>'[5]Minerals Manufacturing'!F21</f>
        <v>370.94508529339453</v>
      </c>
      <c r="J392">
        <f>'[5]Minerals Manufacturing'!G21</f>
        <v>365.78565222610871</v>
      </c>
      <c r="K392">
        <f>'[5]Minerals Manufacturing'!H21</f>
        <v>337.42416439651765</v>
      </c>
      <c r="L392">
        <f>'[5]Minerals Manufacturing'!I21</f>
        <v>323.38089950806034</v>
      </c>
      <c r="M392">
        <f>'[5]Minerals Manufacturing'!J21</f>
        <v>302.01875552787652</v>
      </c>
      <c r="N392">
        <f>'[5]Minerals Manufacturing'!K21</f>
        <v>283.99969665930951</v>
      </c>
      <c r="O392">
        <f>'[5]Minerals Manufacturing'!L21</f>
        <v>311.78000387207078</v>
      </c>
      <c r="P392">
        <f>'[5]Minerals Manufacturing'!M21</f>
        <v>330.69409643057446</v>
      </c>
      <c r="Q392">
        <f>'[5]Minerals Manufacturing'!N21</f>
        <v>349.09876311726845</v>
      </c>
      <c r="R392">
        <f>'[5]Minerals Manufacturing'!O21</f>
        <v>371.84943904088436</v>
      </c>
      <c r="S392">
        <f>'[5]Minerals Manufacturing'!P21</f>
        <v>380.74128427379162</v>
      </c>
      <c r="T392">
        <f>'[5]Minerals Manufacturing'!Q21</f>
        <v>376.3456022132882</v>
      </c>
      <c r="U392">
        <f>'[5]Minerals Manufacturing'!R21</f>
        <v>366.66771673680097</v>
      </c>
      <c r="V392">
        <f>'[5]Minerals Manufacturing'!S21</f>
        <v>369.45196301291185</v>
      </c>
      <c r="W392">
        <f>'[5]Minerals Manufacturing'!T21</f>
        <v>404.7923812992608</v>
      </c>
      <c r="X392">
        <f>'[5]Minerals Manufacturing'!U21</f>
        <v>437.45379259144858</v>
      </c>
      <c r="Y392">
        <f>'[5]Minerals Manufacturing'!V21</f>
        <v>461.20476750610618</v>
      </c>
      <c r="Z392">
        <f>'[5]Minerals Manufacturing'!W21</f>
        <v>495.49282254234663</v>
      </c>
      <c r="AA392">
        <f>'[5]Minerals Manufacturing'!X21</f>
        <v>111.42190296089116</v>
      </c>
      <c r="AB392">
        <f>'[5]Minerals Manufacturing'!Y21</f>
        <v>82.786066583696865</v>
      </c>
      <c r="AC392">
        <f>'[5]Minerals Manufacturing'!Z21</f>
        <v>172.13169982485897</v>
      </c>
      <c r="AD392">
        <f>'[5]Minerals Manufacturing'!AA21</f>
        <v>53.386021342956909</v>
      </c>
      <c r="AE392">
        <f>'[5]Minerals Manufacturing'!AB21</f>
        <v>62.247889241275253</v>
      </c>
      <c r="AF392">
        <f>'[5]Minerals Manufacturing'!AC21</f>
        <v>37.542753001146849</v>
      </c>
      <c r="AG392">
        <f>'[5]Minerals Manufacturing'!AD21</f>
        <v>60.400453792841382</v>
      </c>
      <c r="AH392">
        <f>'[5]Minerals Manufacturing'!AE21</f>
        <v>57.349937429794231</v>
      </c>
      <c r="AI392">
        <f>'[5]Minerals Manufacturing'!AF21</f>
        <v>178.84058521850284</v>
      </c>
    </row>
    <row r="396" spans="6:35">
      <c r="F396">
        <f>'[5]Minerals Manufacturing'!C17</f>
        <v>197882.17863210704</v>
      </c>
      <c r="G396">
        <f>'[5]Minerals Manufacturing'!D17</f>
        <v>194244.22329418419</v>
      </c>
      <c r="H396">
        <f>'[5]Minerals Manufacturing'!E17</f>
        <v>190606.26795626132</v>
      </c>
      <c r="I396">
        <f>'[5]Minerals Manufacturing'!F17</f>
        <v>186968.31261833844</v>
      </c>
      <c r="J396">
        <f>'[5]Minerals Manufacturing'!G17</f>
        <v>183330.35728041554</v>
      </c>
      <c r="K396">
        <f>'[5]Minerals Manufacturing'!H17</f>
        <v>185245.31893121894</v>
      </c>
      <c r="L396">
        <f>'[5]Minerals Manufacturing'!I17</f>
        <v>187160.28058202227</v>
      </c>
      <c r="M396">
        <f>'[5]Minerals Manufacturing'!J17</f>
        <v>189075.24223282567</v>
      </c>
      <c r="N396">
        <f>'[5]Minerals Manufacturing'!K17</f>
        <v>190990.20388362906</v>
      </c>
      <c r="O396">
        <f>'[5]Minerals Manufacturing'!L17</f>
        <v>200113.30279180373</v>
      </c>
      <c r="P396">
        <f>'[5]Minerals Manufacturing'!M17</f>
        <v>209236.40169997833</v>
      </c>
      <c r="Q396">
        <f>'[5]Minerals Manufacturing'!N17</f>
        <v>218359.500608153</v>
      </c>
      <c r="R396">
        <f>'[5]Minerals Manufacturing'!O17</f>
        <v>227482.59951632758</v>
      </c>
      <c r="S396">
        <f>'[5]Minerals Manufacturing'!P17</f>
        <v>228679.09669912703</v>
      </c>
      <c r="T396">
        <f>'[5]Minerals Manufacturing'!Q17</f>
        <v>229875.59388192653</v>
      </c>
      <c r="U396">
        <f>'[5]Minerals Manufacturing'!R17</f>
        <v>231072.091064726</v>
      </c>
      <c r="V396">
        <f>'[5]Minerals Manufacturing'!S17</f>
        <v>232268.58824752545</v>
      </c>
      <c r="W396">
        <f>'[5]Minerals Manufacturing'!T17</f>
        <v>230865.14338563313</v>
      </c>
      <c r="X396">
        <f>'[5]Minerals Manufacturing'!U17</f>
        <v>229461.69852374081</v>
      </c>
      <c r="Y396">
        <f>'[5]Minerals Manufacturing'!V17</f>
        <v>228058.25366184855</v>
      </c>
      <c r="Z396">
        <f>'[5]Minerals Manufacturing'!W17</f>
        <v>226654.80879995628</v>
      </c>
      <c r="AA396">
        <f>'[5]Minerals Manufacturing'!X17</f>
        <v>137713.05445949556</v>
      </c>
      <c r="AB396">
        <f>'[5]Minerals Manufacturing'!Y17</f>
        <v>133309.45699730865</v>
      </c>
      <c r="AC396">
        <f>'[5]Minerals Manufacturing'!Z17</f>
        <v>130635.62155120679</v>
      </c>
      <c r="AD396">
        <f>'[5]Minerals Manufacturing'!AA17</f>
        <v>134272.65215292037</v>
      </c>
      <c r="AE396">
        <f>'[5]Minerals Manufacturing'!AB17</f>
        <v>126382.56393798848</v>
      </c>
      <c r="AF396">
        <f>'[5]Minerals Manufacturing'!AC17</f>
        <v>111700.44424803874</v>
      </c>
      <c r="AG396">
        <f>'[5]Minerals Manufacturing'!AD17</f>
        <v>109515.1399928079</v>
      </c>
      <c r="AH396">
        <f>'[5]Minerals Manufacturing'!AE17</f>
        <v>108517.73401681927</v>
      </c>
      <c r="AI396">
        <f>'[5]Minerals Manufacturing'!AF17</f>
        <v>96403.201126046872</v>
      </c>
    </row>
    <row r="398" spans="6:35">
      <c r="F398">
        <f>'[5]Minerals Manufacturing'!C22</f>
        <v>17746.689172626724</v>
      </c>
      <c r="G398">
        <f>'[5]Minerals Manufacturing'!D22</f>
        <v>17465.141344206593</v>
      </c>
      <c r="H398">
        <f>'[5]Minerals Manufacturing'!E22</f>
        <v>17127.474142783158</v>
      </c>
      <c r="I398">
        <f>'[5]Minerals Manufacturing'!F22</f>
        <v>16738.001313096185</v>
      </c>
      <c r="J398">
        <f>'[5]Minerals Manufacturing'!G22</f>
        <v>16413.128306810901</v>
      </c>
      <c r="K398">
        <f>'[5]Minerals Manufacturing'!H22</f>
        <v>16601.061629479427</v>
      </c>
      <c r="L398">
        <f>'[5]Minerals Manufacturing'!I22</f>
        <v>16744.793600350054</v>
      </c>
      <c r="M398">
        <f>'[5]Minerals Manufacturing'!J22</f>
        <v>16918.310938675993</v>
      </c>
      <c r="N398">
        <f>'[5]Minerals Manufacturing'!K22</f>
        <v>17114.756782577904</v>
      </c>
      <c r="O398">
        <f>'[5]Minerals Manufacturing'!L22</f>
        <v>17940.001831099493</v>
      </c>
      <c r="P398">
        <f>'[5]Minerals Manufacturing'!M22</f>
        <v>18714.672105692272</v>
      </c>
      <c r="Q398">
        <f>'[5]Minerals Manufacturing'!N22</f>
        <v>19468.338645572705</v>
      </c>
      <c r="R398">
        <f>'[5]Minerals Manufacturing'!O22</f>
        <v>20208.574296069681</v>
      </c>
      <c r="S398">
        <f>'[5]Minerals Manufacturing'!P22</f>
        <v>20298.235364327025</v>
      </c>
      <c r="T398">
        <f>'[5]Minerals Manufacturing'!Q22</f>
        <v>20410.335271588494</v>
      </c>
      <c r="U398">
        <f>'[5]Minerals Manufacturing'!R22</f>
        <v>20714.511651980116</v>
      </c>
      <c r="V398">
        <f>'[5]Minerals Manufacturing'!S22</f>
        <v>20852.517570971322</v>
      </c>
      <c r="W398">
        <f>'[5]Minerals Manufacturing'!T22</f>
        <v>20710.109432082467</v>
      </c>
      <c r="X398">
        <f>'[5]Minerals Manufacturing'!U22</f>
        <v>20583.775011730995</v>
      </c>
      <c r="Y398">
        <f>'[5]Minerals Manufacturing'!V22</f>
        <v>20498.108617104059</v>
      </c>
      <c r="Z398">
        <f>'[5]Minerals Manufacturing'!W22</f>
        <v>20371.893923860058</v>
      </c>
      <c r="AA398">
        <f>'[5]Minerals Manufacturing'!X22</f>
        <v>12387.124524358411</v>
      </c>
      <c r="AB398">
        <f>'[5]Minerals Manufacturing'!Y22</f>
        <v>12015.746725413812</v>
      </c>
      <c r="AC398">
        <f>'[5]Minerals Manufacturing'!Z22</f>
        <v>11770.225351521625</v>
      </c>
      <c r="AD398">
        <f>'[5]Minerals Manufacturing'!AA22</f>
        <v>12107.312356391209</v>
      </c>
      <c r="AE398">
        <f>'[5]Minerals Manufacturing'!AB22</f>
        <v>11421.576694341707</v>
      </c>
      <c r="AF398">
        <f>'[5]Minerals Manufacturing'!AC22</f>
        <v>10106.5186728102</v>
      </c>
      <c r="AG398">
        <f>'[5]Minerals Manufacturing'!AD22</f>
        <v>9918.1856058324174</v>
      </c>
      <c r="AH398">
        <f>'[5]Minerals Manufacturing'!AE22</f>
        <v>9835.9196939453013</v>
      </c>
      <c r="AI398">
        <f>'[5]Minerals Manufacturing'!AF22</f>
        <v>8734.5783643865234</v>
      </c>
    </row>
    <row r="402" spans="6:35">
      <c r="F402">
        <f>'[5]Minerals Manufacturing'!C18</f>
        <v>234898.91639067704</v>
      </c>
      <c r="G402">
        <f>'[5]Minerals Manufacturing'!D18</f>
        <v>245899.69208941399</v>
      </c>
      <c r="H402">
        <f>'[5]Minerals Manufacturing'!E18</f>
        <v>256900.46778815091</v>
      </c>
      <c r="I402">
        <f>'[5]Minerals Manufacturing'!F18</f>
        <v>267901.24348688789</v>
      </c>
      <c r="J402">
        <f>'[5]Minerals Manufacturing'!G18</f>
        <v>278902.01918562478</v>
      </c>
      <c r="K402">
        <f>'[5]Minerals Manufacturing'!H18</f>
        <v>280034.45197814185</v>
      </c>
      <c r="L402">
        <f>'[5]Minerals Manufacturing'!I18</f>
        <v>281166.88477065886</v>
      </c>
      <c r="M402">
        <f>'[5]Minerals Manufacturing'!J18</f>
        <v>282299.31756317586</v>
      </c>
      <c r="N402">
        <f>'[5]Minerals Manufacturing'!K18</f>
        <v>283431.75035569293</v>
      </c>
      <c r="O402">
        <f>'[5]Minerals Manufacturing'!L18</f>
        <v>280681.55643100874</v>
      </c>
      <c r="P402">
        <f>'[5]Minerals Manufacturing'!M18</f>
        <v>277931.36250632454</v>
      </c>
      <c r="Q402">
        <f>'[5]Minerals Manufacturing'!N18</f>
        <v>275181.16858164029</v>
      </c>
      <c r="R402">
        <f>'[5]Minerals Manufacturing'!O18</f>
        <v>272430.97465695604</v>
      </c>
      <c r="S402">
        <f>'[5]Minerals Manufacturing'!P18</f>
        <v>278578.46695919137</v>
      </c>
      <c r="T402">
        <f>'[5]Minerals Manufacturing'!Q18</f>
        <v>284725.95926142676</v>
      </c>
      <c r="U402">
        <f>'[5]Minerals Manufacturing'!R18</f>
        <v>290873.45156366209</v>
      </c>
      <c r="V402">
        <f>'[5]Minerals Manufacturing'!S18</f>
        <v>297020.94386589742</v>
      </c>
      <c r="W402">
        <f>'[5]Minerals Manufacturing'!T18</f>
        <v>266425.632899875</v>
      </c>
      <c r="X402">
        <f>'[5]Minerals Manufacturing'!U18</f>
        <v>235830.32193385265</v>
      </c>
      <c r="Y402">
        <f>'[5]Minerals Manufacturing'!V18</f>
        <v>205235.01096783025</v>
      </c>
      <c r="Z402">
        <f>'[5]Minerals Manufacturing'!W18</f>
        <v>174639.70000180788</v>
      </c>
      <c r="AA402">
        <f>'[5]Minerals Manufacturing'!X18</f>
        <v>195497.0199534164</v>
      </c>
      <c r="AB402">
        <f>'[5]Minerals Manufacturing'!Y18</f>
        <v>201323.82757405678</v>
      </c>
      <c r="AC402">
        <f>'[5]Minerals Manufacturing'!Z18</f>
        <v>208175.57171328797</v>
      </c>
      <c r="AD402">
        <f>'[5]Minerals Manufacturing'!AA18</f>
        <v>210307.55604268704</v>
      </c>
      <c r="AE402">
        <f>'[5]Minerals Manufacturing'!AB18</f>
        <v>214419.20971210249</v>
      </c>
      <c r="AF402">
        <f>'[5]Minerals Manufacturing'!AC18</f>
        <v>223579.72121616339</v>
      </c>
      <c r="AG402">
        <f>'[5]Minerals Manufacturing'!AD18</f>
        <v>231569.38271530176</v>
      </c>
      <c r="AH402">
        <f>'[5]Minerals Manufacturing'!AE18</f>
        <v>233178.53985233427</v>
      </c>
      <c r="AI402">
        <f>'[5]Minerals Manufacturing'!AF18</f>
        <v>236034.19133653963</v>
      </c>
    </row>
    <row r="404" spans="6:35">
      <c r="F404">
        <f>'[5]Minerals Manufacturing'!C23</f>
        <v>12281.231946297212</v>
      </c>
      <c r="G404">
        <f>'[5]Minerals Manufacturing'!D23</f>
        <v>12918.235995743255</v>
      </c>
      <c r="H404">
        <f>'[5]Minerals Manufacturing'!E23</f>
        <v>13431.607326065803</v>
      </c>
      <c r="I404">
        <f>'[5]Minerals Manufacturing'!F23</f>
        <v>14056.053296958427</v>
      </c>
      <c r="J404">
        <f>'[5]Minerals Manufacturing'!G23</f>
        <v>14599.393525364165</v>
      </c>
      <c r="K404">
        <f>'[5]Minerals Manufacturing'!H23</f>
        <v>14689.149567036942</v>
      </c>
      <c r="L404">
        <f>'[5]Minerals Manufacturing'!I23</f>
        <v>14638.636256019965</v>
      </c>
      <c r="M404">
        <f>'[5]Minerals Manufacturing'!J23</f>
        <v>14696.908651285432</v>
      </c>
      <c r="N404">
        <f>'[5]Minerals Manufacturing'!K23</f>
        <v>14757.817870119106</v>
      </c>
      <c r="O404">
        <f>'[5]Minerals Manufacturing'!L23</f>
        <v>14672.012539883481</v>
      </c>
      <c r="P404">
        <f>'[5]Minerals Manufacturing'!M23</f>
        <v>14496.178768140344</v>
      </c>
      <c r="Q404">
        <f>'[5]Minerals Manufacturing'!N23</f>
        <v>14404.655131328576</v>
      </c>
      <c r="R404">
        <f>'[5]Minerals Manufacturing'!O23</f>
        <v>14290.461099051934</v>
      </c>
      <c r="S404">
        <f>'[5]Minerals Manufacturing'!P23</f>
        <v>14495.068204358557</v>
      </c>
      <c r="T404">
        <f>'[5]Minerals Manufacturing'!Q23</f>
        <v>14807.378851724046</v>
      </c>
      <c r="U404">
        <f>'[5]Minerals Manufacturing'!R23</f>
        <v>15248.232224819303</v>
      </c>
      <c r="V404">
        <f>'[5]Minerals Manufacturing'!S23</f>
        <v>15452.963115103719</v>
      </c>
      <c r="W404">
        <f>'[5]Minerals Manufacturing'!T23</f>
        <v>13875.256830398321</v>
      </c>
      <c r="X404">
        <f>'[5]Minerals Manufacturing'!U23</f>
        <v>12362.319680152563</v>
      </c>
      <c r="Y404">
        <f>'[5]Minerals Manufacturing'!V23</f>
        <v>10917.927789768803</v>
      </c>
      <c r="Z404">
        <f>'[5]Minerals Manufacturing'!W23</f>
        <v>9255.9624783661038</v>
      </c>
      <c r="AA404">
        <f>'[5]Minerals Manufacturing'!X23</f>
        <v>10353.300495907954</v>
      </c>
      <c r="AB404">
        <f>'[5]Minerals Manufacturing'!Y23</f>
        <v>10643.587447422175</v>
      </c>
      <c r="AC404">
        <f>'[5]Minerals Manufacturing'!Z23</f>
        <v>10925.658262392219</v>
      </c>
      <c r="AD404">
        <f>'[5]Minerals Manufacturing'!AA23</f>
        <v>11033.222889652034</v>
      </c>
      <c r="AE404">
        <f>'[5]Minerals Manufacturing'!AB23</f>
        <v>11265.46088658808</v>
      </c>
      <c r="AF404">
        <f>'[5]Minerals Manufacturing'!AC23</f>
        <v>11620.797064164</v>
      </c>
      <c r="AG404">
        <f>'[5]Minerals Manufacturing'!AD23</f>
        <v>12058.188415848317</v>
      </c>
      <c r="AH404">
        <f>'[5]Minerals Manufacturing'!AE23</f>
        <v>12092.474788555364</v>
      </c>
      <c r="AI404">
        <f>'[5]Minerals Manufacturing'!AF23</f>
        <v>12309.595023755031</v>
      </c>
    </row>
    <row r="421" spans="6:6">
      <c r="F421">
        <f>'1990'!$P$18*1055.05585262-SUM(F110,F142,F417, F359,F328,F297,F266,F235,F390,F515)</f>
        <v>4208553.638946278</v>
      </c>
    </row>
  </sheetData>
  <mergeCells count="12">
    <mergeCell ref="A3:L3"/>
    <mergeCell ref="A4:L6"/>
    <mergeCell ref="A8:B8"/>
    <mergeCell ref="C8:E8"/>
    <mergeCell ref="A9:B9"/>
    <mergeCell ref="C9:E9"/>
    <mergeCell ref="A10:B10"/>
    <mergeCell ref="C10:E10"/>
    <mergeCell ref="A11:B11"/>
    <mergeCell ref="C11:E11"/>
    <mergeCell ref="A12:B12"/>
    <mergeCell ref="C12:E12"/>
  </mergeCells>
  <dataValidations count="3">
    <dataValidation type="list" allowBlank="1" showInputMessage="1" showErrorMessage="1" sqref="C12:G12" xr:uid="{00000000-0002-0000-0300-000000000000}">
      <formula1>"DRAFT,INTERIM,FINAL"</formula1>
    </dataValidation>
    <dataValidation type="list" allowBlank="1" showInputMessage="1" showErrorMessage="1" sqref="F11:G11" xr:uid="{00000000-0002-0000-0300-000001000000}">
      <formula1>"2014,2015,2016,2017,2018,2019,2020, 2021"</formula1>
    </dataValidation>
    <dataValidation type="list" allowBlank="1" showInputMessage="1" showErrorMessage="1" sqref="C11:E11" xr:uid="{98DDF625-88A1-4E30-A731-D3892C203F83}">
      <formula1>"2014,2015,2016,2017,2018,2019,2020, 2021,2022, 2023,2024,2025,2026,2027"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transitionEntry="1" codeName="Sheet8"/>
  <dimension ref="A1:AZ193"/>
  <sheetViews>
    <sheetView topLeftCell="A23" workbookViewId="0">
      <selection activeCell="AG76" sqref="AG76"/>
    </sheetView>
  </sheetViews>
  <sheetFormatPr defaultColWidth="9.6640625" defaultRowHeight="12.95"/>
  <cols>
    <col min="1" max="1" width="5" style="1" customWidth="1"/>
    <col min="2" max="2" width="35.1640625" style="1" customWidth="1"/>
    <col min="3" max="3" width="11" style="1" customWidth="1"/>
    <col min="4" max="8" width="11" style="1" hidden="1" customWidth="1"/>
    <col min="9" max="9" width="11.6640625" style="1" hidden="1" customWidth="1"/>
    <col min="10" max="17" width="11" style="1" hidden="1" customWidth="1"/>
    <col min="18" max="18" width="11" style="1" customWidth="1"/>
    <col min="19" max="23" width="11" style="1" hidden="1" customWidth="1"/>
    <col min="24" max="29" width="13" style="1" hidden="1" customWidth="1"/>
    <col min="30" max="35" width="13" style="1" customWidth="1"/>
    <col min="36" max="36" width="14" style="1" customWidth="1"/>
    <col min="37" max="38" width="11" style="1" customWidth="1"/>
    <col min="39" max="40" width="9.6640625" style="1" customWidth="1"/>
    <col min="41" max="41" width="9" style="1" customWidth="1"/>
    <col min="42" max="43" width="8" style="1" customWidth="1"/>
    <col min="44" max="44" width="9" style="1" customWidth="1"/>
    <col min="45" max="45" width="9" style="1" bestFit="1" customWidth="1"/>
    <col min="46" max="46" width="10.6640625" style="1" customWidth="1"/>
    <col min="47" max="47" width="10" style="1" customWidth="1"/>
    <col min="48" max="48" width="8" style="1" bestFit="1" customWidth="1"/>
    <col min="49" max="50" width="9" style="1" customWidth="1"/>
    <col min="51" max="53" width="8" style="1" customWidth="1"/>
    <col min="54" max="54" width="8" style="1" bestFit="1" customWidth="1"/>
    <col min="55" max="57" width="7.6640625" style="1" bestFit="1" customWidth="1"/>
    <col min="58" max="58" width="8" style="1" bestFit="1" customWidth="1"/>
    <col min="59" max="60" width="7.6640625" style="1" bestFit="1" customWidth="1"/>
    <col min="61" max="61" width="9" style="1" customWidth="1"/>
    <col min="62" max="16384" width="9.6640625" style="1"/>
  </cols>
  <sheetData>
    <row r="1" spans="1:47" ht="21.6">
      <c r="A1" s="1121" t="s">
        <v>1465</v>
      </c>
      <c r="C1" s="14"/>
      <c r="D1" s="14"/>
      <c r="I1" s="5"/>
    </row>
    <row r="2" spans="1:47" ht="15">
      <c r="A2" s="673" t="s">
        <v>1466</v>
      </c>
      <c r="C2" s="14"/>
      <c r="D2" s="14"/>
    </row>
    <row r="3" spans="1:47" ht="11.25" customHeight="1">
      <c r="A3" s="408" t="s">
        <v>1467</v>
      </c>
      <c r="C3" s="14"/>
      <c r="D3" s="14"/>
      <c r="I3" s="112"/>
      <c r="J3" s="5"/>
    </row>
    <row r="4" spans="1:47" ht="11.25" customHeight="1">
      <c r="C4" s="17"/>
      <c r="D4" s="17"/>
      <c r="E4" s="17"/>
    </row>
    <row r="5" spans="1:47" ht="19.5" customHeight="1">
      <c r="B5" s="5" t="s">
        <v>1468</v>
      </c>
      <c r="J5" s="21"/>
      <c r="K5" s="21"/>
      <c r="L5" s="21"/>
      <c r="M5"/>
      <c r="N5"/>
      <c r="O5"/>
      <c r="P5"/>
      <c r="Q5"/>
      <c r="R5"/>
      <c r="S5"/>
      <c r="T5"/>
      <c r="U5"/>
      <c r="V5"/>
      <c r="W5"/>
      <c r="X5"/>
      <c r="Y5"/>
      <c r="Z5"/>
      <c r="AA5"/>
      <c r="AB5"/>
      <c r="AC5"/>
      <c r="AD5"/>
      <c r="AE5"/>
      <c r="AF5"/>
      <c r="AG5"/>
      <c r="AH5"/>
      <c r="AI5"/>
      <c r="AJ5"/>
      <c r="AK5"/>
      <c r="AL5"/>
      <c r="AM5"/>
      <c r="AN5"/>
      <c r="AO5"/>
      <c r="AP5"/>
      <c r="AQ5"/>
    </row>
    <row r="6" spans="1:47">
      <c r="B6" s="4" t="s">
        <v>1469</v>
      </c>
      <c r="C6" s="352">
        <v>1990</v>
      </c>
      <c r="D6" s="352">
        <v>1991</v>
      </c>
      <c r="E6" s="352">
        <v>1992</v>
      </c>
      <c r="F6" s="352">
        <v>1993</v>
      </c>
      <c r="G6" s="352">
        <v>1994</v>
      </c>
      <c r="H6" s="352">
        <v>1995</v>
      </c>
      <c r="I6" s="352">
        <v>1996</v>
      </c>
      <c r="J6" s="352">
        <v>1997</v>
      </c>
      <c r="K6" s="352">
        <v>1998</v>
      </c>
      <c r="L6" s="352">
        <v>1999</v>
      </c>
      <c r="M6" s="352">
        <v>2000</v>
      </c>
      <c r="N6" s="352">
        <v>2001</v>
      </c>
      <c r="O6" s="352">
        <v>2002</v>
      </c>
      <c r="P6" s="352">
        <v>2003</v>
      </c>
      <c r="Q6" s="352">
        <v>2004</v>
      </c>
      <c r="R6" s="352">
        <v>2005</v>
      </c>
      <c r="S6" s="352">
        <v>2006</v>
      </c>
      <c r="T6" s="352">
        <v>2007</v>
      </c>
      <c r="U6" s="352">
        <v>2008</v>
      </c>
      <c r="V6" s="352">
        <v>2009</v>
      </c>
      <c r="W6" s="352">
        <v>2010</v>
      </c>
      <c r="X6" s="352">
        <v>2011</v>
      </c>
      <c r="Y6" s="352">
        <v>2012</v>
      </c>
      <c r="Z6" s="352">
        <v>2013</v>
      </c>
      <c r="AA6" s="352">
        <v>2014</v>
      </c>
      <c r="AB6" s="352">
        <v>2015</v>
      </c>
      <c r="AC6" s="352">
        <v>2016</v>
      </c>
      <c r="AD6" s="352">
        <v>2017</v>
      </c>
      <c r="AE6" s="352">
        <v>2018</v>
      </c>
      <c r="AF6" s="352">
        <v>2019</v>
      </c>
      <c r="AG6" s="352">
        <v>2020</v>
      </c>
      <c r="AH6" s="352">
        <v>2021</v>
      </c>
      <c r="AI6" s="352">
        <v>2022</v>
      </c>
      <c r="AJ6" s="353" t="s">
        <v>1470</v>
      </c>
      <c r="AK6" s="353" t="s">
        <v>1471</v>
      </c>
      <c r="AL6" s="353" t="s">
        <v>1472</v>
      </c>
      <c r="AM6" s="115"/>
      <c r="AN6" s="115"/>
      <c r="AO6"/>
      <c r="AP6"/>
      <c r="AQ6"/>
    </row>
    <row r="7" spans="1:47">
      <c r="B7" s="5" t="s">
        <v>1435</v>
      </c>
      <c r="C7" s="354">
        <f>SUM(C8:C13)</f>
        <v>1719.7905675202103</v>
      </c>
      <c r="D7" s="354">
        <f t="shared" ref="D7:I7" si="0">SUM(D8:D13)</f>
        <v>1715.8414906701021</v>
      </c>
      <c r="E7" s="354">
        <f t="shared" si="0"/>
        <v>1732.964083384602</v>
      </c>
      <c r="F7" s="354">
        <f t="shared" si="0"/>
        <v>1798.3022089945043</v>
      </c>
      <c r="G7" s="354">
        <f t="shared" si="0"/>
        <v>1805.0387555753732</v>
      </c>
      <c r="H7" s="354">
        <f t="shared" si="0"/>
        <v>1820.3661884011299</v>
      </c>
      <c r="I7" s="354">
        <f t="shared" si="0"/>
        <v>1905.2425111796135</v>
      </c>
      <c r="J7" s="354">
        <f t="shared" ref="J7:O7" si="1">SUM(J8:J13)</f>
        <v>1950.5093171006006</v>
      </c>
      <c r="K7" s="354">
        <f t="shared" si="1"/>
        <v>1979.3871034768661</v>
      </c>
      <c r="L7" s="354">
        <f t="shared" si="1"/>
        <v>1979.3982527801702</v>
      </c>
      <c r="M7" s="354">
        <f t="shared" si="1"/>
        <v>2065.1671427441197</v>
      </c>
      <c r="N7" s="354">
        <f t="shared" si="1"/>
        <v>2009.9844368029458</v>
      </c>
      <c r="O7" s="354">
        <f t="shared" si="1"/>
        <v>2019.6929977786024</v>
      </c>
      <c r="P7" s="354">
        <f t="shared" ref="P7:U7" si="2">SUM(P8:P13)</f>
        <v>2061.0498326404877</v>
      </c>
      <c r="Q7" s="354">
        <f t="shared" si="2"/>
        <v>2076.2520875449427</v>
      </c>
      <c r="R7" s="354">
        <f t="shared" si="2"/>
        <v>2113.691770874987</v>
      </c>
      <c r="S7" s="354">
        <f t="shared" si="2"/>
        <v>2078.5236284534776</v>
      </c>
      <c r="T7" s="354">
        <f t="shared" si="2"/>
        <v>2107.8204533788362</v>
      </c>
      <c r="U7" s="354">
        <f t="shared" si="2"/>
        <v>2075.5075810551166</v>
      </c>
      <c r="V7" s="354">
        <f t="shared" ref="V7:AA7" si="3">SUM(V8:V13)</f>
        <v>1837.5505397748595</v>
      </c>
      <c r="W7" s="354">
        <f t="shared" si="3"/>
        <v>1931.1818293988238</v>
      </c>
      <c r="X7" s="354">
        <f t="shared" si="3"/>
        <v>1817.6029485892238</v>
      </c>
      <c r="Y7" s="354">
        <f t="shared" si="3"/>
        <v>1597.3385397365948</v>
      </c>
      <c r="Z7" s="354">
        <f t="shared" si="3"/>
        <v>1658.0054569283284</v>
      </c>
      <c r="AA7" s="354">
        <f t="shared" si="3"/>
        <v>1655.0570628896492</v>
      </c>
      <c r="AB7" s="354">
        <f>SUM(AB8:AB13)</f>
        <v>1427.6334643005637</v>
      </c>
      <c r="AC7" s="354">
        <f>SUM(AC8:AC13)</f>
        <v>1310.7026459470271</v>
      </c>
      <c r="AD7" s="354">
        <f>SUM(AD8:AD13)</f>
        <v>1270.0160052537956</v>
      </c>
      <c r="AE7" s="354">
        <f>SUM(AE8:AE13)</f>
        <v>1211.64115115703</v>
      </c>
      <c r="AF7" s="354">
        <f t="shared" ref="AF7" si="4">SUM(AF8:AF13)</f>
        <v>1028.1585450392627</v>
      </c>
      <c r="AG7" s="354">
        <f>SUM(AG8:AG13)</f>
        <v>835.60310155720231</v>
      </c>
      <c r="AH7" s="354">
        <f>SUM(AH8:AH13)</f>
        <v>957.40984544204184</v>
      </c>
      <c r="AI7" s="354">
        <f>SUM(AI8:AI13)</f>
        <v>898.40874766057198</v>
      </c>
      <c r="AJ7" s="355">
        <f>IFERROR((AI7-$C7)/$C7,"NA")</f>
        <v>-0.47760572442492233</v>
      </c>
      <c r="AK7" s="355">
        <f>IFERROR((AH7-AG7)/AG7,"NA")</f>
        <v>0.14577105285732486</v>
      </c>
      <c r="AL7" s="355">
        <f>IFERROR((AI7-AH7)/AH7,"NA")</f>
        <v>-6.1625747909693482E-2</v>
      </c>
      <c r="AN7" s="357">
        <f>AI7/AI30</f>
        <v>0.19156315520927122</v>
      </c>
      <c r="AO7" s="240" t="s">
        <v>1473</v>
      </c>
      <c r="AP7"/>
      <c r="AQ7"/>
      <c r="AU7" s="291"/>
    </row>
    <row r="8" spans="1:47">
      <c r="B8" s="6" t="s">
        <v>1434</v>
      </c>
      <c r="C8" s="356">
        <f t="shared" ref="C8:N8" si="5">C59*CtoCO2</f>
        <v>2.9876952520607118</v>
      </c>
      <c r="D8" s="356">
        <f t="shared" si="5"/>
        <v>2.4418665673276769</v>
      </c>
      <c r="E8" s="356">
        <f t="shared" si="5"/>
        <v>2.4754382193886699</v>
      </c>
      <c r="F8" s="356">
        <f t="shared" si="5"/>
        <v>2.4697527866952389</v>
      </c>
      <c r="G8" s="356">
        <f t="shared" si="5"/>
        <v>1.9941820840028137</v>
      </c>
      <c r="H8" s="356">
        <f t="shared" si="5"/>
        <v>1.6716718149582452</v>
      </c>
      <c r="I8" s="356">
        <f t="shared" si="5"/>
        <v>1.5825801930815993</v>
      </c>
      <c r="J8" s="356">
        <f t="shared" si="5"/>
        <v>1.5181715699565763</v>
      </c>
      <c r="K8" s="356">
        <f t="shared" si="5"/>
        <v>1.1032453604176209</v>
      </c>
      <c r="L8" s="356">
        <f t="shared" si="5"/>
        <v>1.3314380787302316</v>
      </c>
      <c r="M8" s="356">
        <f t="shared" si="5"/>
        <v>1.0827568764835389</v>
      </c>
      <c r="N8" s="356">
        <f t="shared" si="5"/>
        <v>1.1408450183687231</v>
      </c>
      <c r="O8" s="356">
        <f t="shared" ref="O8:P10" si="6">O59*CtoCO2</f>
        <v>1.1660507086849294</v>
      </c>
      <c r="P8" s="356">
        <f t="shared" si="6"/>
        <v>1.1687672828281666</v>
      </c>
      <c r="Q8" s="356">
        <f t="shared" ref="Q8:R10" si="7">Q59*CtoCO2</f>
        <v>1.0852533688090795</v>
      </c>
      <c r="R8" s="356">
        <f t="shared" si="7"/>
        <v>0.80525533457459764</v>
      </c>
      <c r="S8" s="356">
        <f t="shared" ref="S8:V10" si="8">S59*CtoCO2</f>
        <v>0.61705166323197502</v>
      </c>
      <c r="T8" s="356">
        <f t="shared" si="8"/>
        <v>0.73943487324772961</v>
      </c>
      <c r="U8" s="356">
        <f t="shared" si="8"/>
        <v>0</v>
      </c>
      <c r="V8" s="356">
        <f t="shared" ref="V8:AA8" si="9">V59*CtoCO2</f>
        <v>0</v>
      </c>
      <c r="W8" s="356">
        <f t="shared" si="9"/>
        <v>0</v>
      </c>
      <c r="X8" s="356">
        <f t="shared" si="9"/>
        <v>0</v>
      </c>
      <c r="Y8" s="356">
        <f t="shared" si="9"/>
        <v>0</v>
      </c>
      <c r="Z8" s="356">
        <f t="shared" si="9"/>
        <v>0</v>
      </c>
      <c r="AA8" s="356">
        <f t="shared" si="9"/>
        <v>0</v>
      </c>
      <c r="AB8" s="356">
        <f t="shared" ref="AB8:AC10" si="10">AB59*CtoCO2</f>
        <v>0</v>
      </c>
      <c r="AC8" s="356">
        <f t="shared" si="10"/>
        <v>0</v>
      </c>
      <c r="AD8" s="356">
        <f t="shared" ref="AD8:AD10" si="11">AD59*CtoCO2</f>
        <v>0</v>
      </c>
      <c r="AE8" s="356">
        <f>AE59*CtoCO2</f>
        <v>0</v>
      </c>
      <c r="AF8" s="356">
        <f t="shared" ref="AF8" si="12">AF59*CtoCO2</f>
        <v>0</v>
      </c>
      <c r="AG8" s="356">
        <f>AG59*CtoCO2</f>
        <v>0</v>
      </c>
      <c r="AH8" s="356">
        <f>AH59*CtoCO2</f>
        <v>0</v>
      </c>
      <c r="AI8" s="356">
        <f>AI59*CtoCO2</f>
        <v>0</v>
      </c>
      <c r="AJ8" s="357">
        <f t="shared" ref="AJ8:AJ30" si="13">IFERROR((AI8-$C8)/$C8,"NA")</f>
        <v>-1</v>
      </c>
      <c r="AK8" s="357" t="str">
        <f t="shared" ref="AK8:AK30" si="14">IFERROR((AH8-AG8)/AG8,"NA")</f>
        <v>NA</v>
      </c>
      <c r="AL8" s="357" t="str">
        <f t="shared" ref="AL8:AL30" si="15">IFERROR((AI8-AH8)/AH8,"NA")</f>
        <v>NA</v>
      </c>
      <c r="AN8"/>
      <c r="AO8"/>
      <c r="AP8"/>
      <c r="AQ8"/>
      <c r="AU8" s="291"/>
    </row>
    <row r="9" spans="1:47">
      <c r="B9" s="6" t="s">
        <v>1441</v>
      </c>
      <c r="C9" s="356">
        <f t="shared" ref="C9:N9" si="16">C60*CtoCO2</f>
        <v>11.950781008242847</v>
      </c>
      <c r="D9" s="356">
        <f t="shared" si="16"/>
        <v>11.123951798824036</v>
      </c>
      <c r="E9" s="356">
        <f t="shared" si="16"/>
        <v>11.2767921073171</v>
      </c>
      <c r="F9" s="356">
        <f t="shared" si="16"/>
        <v>11.251191944732801</v>
      </c>
      <c r="G9" s="356">
        <f t="shared" si="16"/>
        <v>11.300110030238828</v>
      </c>
      <c r="H9" s="356">
        <f t="shared" si="16"/>
        <v>11.187393726740217</v>
      </c>
      <c r="I9" s="356">
        <f t="shared" si="16"/>
        <v>11.605301798192992</v>
      </c>
      <c r="J9" s="356">
        <f t="shared" si="16"/>
        <v>12.283500350691053</v>
      </c>
      <c r="K9" s="356">
        <f t="shared" si="16"/>
        <v>8.9264663574628376</v>
      </c>
      <c r="L9" s="356">
        <f t="shared" si="16"/>
        <v>9.7635618041440733</v>
      </c>
      <c r="M9" s="356">
        <f t="shared" si="16"/>
        <v>8.7603401271750982</v>
      </c>
      <c r="N9" s="356">
        <f t="shared" si="16"/>
        <v>9.2306379407867158</v>
      </c>
      <c r="O9" s="356">
        <f t="shared" si="6"/>
        <v>8.5511654681646281</v>
      </c>
      <c r="P9" s="356">
        <f t="shared" si="6"/>
        <v>7.8219705072625967</v>
      </c>
      <c r="Q9" s="356">
        <f t="shared" si="7"/>
        <v>9.7670904901110305</v>
      </c>
      <c r="R9" s="356">
        <f t="shared" si="7"/>
        <v>9.2601022167636504</v>
      </c>
      <c r="S9" s="356">
        <f t="shared" si="8"/>
        <v>6.2387890463696039</v>
      </c>
      <c r="T9" s="356">
        <f t="shared" si="8"/>
        <v>6.6546288033802021</v>
      </c>
      <c r="U9" s="356">
        <f t="shared" si="8"/>
        <v>7.6116885807047296</v>
      </c>
      <c r="V9" s="356">
        <f t="shared" si="8"/>
        <v>6.9212944879527454</v>
      </c>
      <c r="W9" s="356">
        <f t="shared" ref="W9:Y10" si="17">W60*CtoCO2</f>
        <v>6.5764502150490669</v>
      </c>
      <c r="X9" s="356">
        <f t="shared" si="17"/>
        <v>5.8411054745380699</v>
      </c>
      <c r="Y9" s="356">
        <f t="shared" si="17"/>
        <v>4.1332779377363469</v>
      </c>
      <c r="Z9" s="356">
        <f>Z60*CtoCO2</f>
        <v>3.9349591086762437</v>
      </c>
      <c r="AA9" s="356">
        <f>AA60*CtoCO2</f>
        <v>3.815747352827314</v>
      </c>
      <c r="AB9" s="356">
        <f t="shared" si="10"/>
        <v>2.9645721255676034</v>
      </c>
      <c r="AC9" s="356">
        <f t="shared" si="10"/>
        <v>2.2649918397973812</v>
      </c>
      <c r="AD9" s="356">
        <f t="shared" si="11"/>
        <v>1.9759169500269727</v>
      </c>
      <c r="AE9" s="356">
        <f t="shared" ref="AE9:AF9" si="18">AE60*CtoCO2</f>
        <v>1.7911940979329957</v>
      </c>
      <c r="AF9" s="356">
        <f t="shared" si="18"/>
        <v>1.6000991942164422</v>
      </c>
      <c r="AG9" s="356">
        <f t="shared" ref="AG9:AH9" si="19">AG60*CtoCO2</f>
        <v>1.3945916740834434</v>
      </c>
      <c r="AH9" s="356">
        <f t="shared" si="19"/>
        <v>1.4304169328982714</v>
      </c>
      <c r="AI9" s="356">
        <f t="shared" ref="AI9" si="20">AI60*CtoCO2</f>
        <v>1.3881296839221755</v>
      </c>
      <c r="AJ9" s="357">
        <f t="shared" si="13"/>
        <v>-0.88384611156670545</v>
      </c>
      <c r="AK9" s="357">
        <f t="shared" si="14"/>
        <v>2.5688708372917229E-2</v>
      </c>
      <c r="AL9" s="357">
        <f t="shared" si="15"/>
        <v>-2.9562883382829273E-2</v>
      </c>
      <c r="AN9"/>
      <c r="AO9"/>
      <c r="AP9"/>
      <c r="AQ9"/>
      <c r="AU9" s="291"/>
    </row>
    <row r="10" spans="1:47">
      <c r="B10" s="6" t="s">
        <v>1443</v>
      </c>
      <c r="C10" s="356">
        <f t="shared" ref="C10:N10" si="21">C61*CtoCO2</f>
        <v>157.83904177851264</v>
      </c>
      <c r="D10" s="356">
        <f t="shared" si="21"/>
        <v>154.63821661006179</v>
      </c>
      <c r="E10" s="356">
        <f t="shared" si="21"/>
        <v>150.2749647363666</v>
      </c>
      <c r="F10" s="356">
        <f t="shared" si="21"/>
        <v>152.54778954502495</v>
      </c>
      <c r="G10" s="356">
        <f t="shared" si="21"/>
        <v>153.46902592244419</v>
      </c>
      <c r="H10" s="356">
        <f t="shared" si="21"/>
        <v>147.21568642995061</v>
      </c>
      <c r="I10" s="356">
        <f t="shared" si="21"/>
        <v>140.08937876434783</v>
      </c>
      <c r="J10" s="356">
        <f t="shared" si="21"/>
        <v>140.23965311448606</v>
      </c>
      <c r="K10" s="356">
        <f t="shared" si="21"/>
        <v>141.75560347689387</v>
      </c>
      <c r="L10" s="356">
        <f t="shared" si="21"/>
        <v>132.48068946628473</v>
      </c>
      <c r="M10" s="356">
        <f t="shared" si="21"/>
        <v>128.48390763754276</v>
      </c>
      <c r="N10" s="356">
        <f t="shared" si="21"/>
        <v>130.18161126003045</v>
      </c>
      <c r="O10" s="356">
        <f t="shared" si="6"/>
        <v>119.05774285576179</v>
      </c>
      <c r="P10" s="356">
        <f t="shared" si="6"/>
        <v>119.43854006261547</v>
      </c>
      <c r="Q10" s="356">
        <f t="shared" si="7"/>
        <v>120.43424047781994</v>
      </c>
      <c r="R10" s="356">
        <f t="shared" si="7"/>
        <v>117.84136322777762</v>
      </c>
      <c r="S10" s="356">
        <f t="shared" si="8"/>
        <v>115.57937880961637</v>
      </c>
      <c r="T10" s="356">
        <f t="shared" si="8"/>
        <v>110.7742334657229</v>
      </c>
      <c r="U10" s="356">
        <f t="shared" si="8"/>
        <v>106.0748691930491</v>
      </c>
      <c r="V10" s="356">
        <f t="shared" si="8"/>
        <v>87.066994880340218</v>
      </c>
      <c r="W10" s="356">
        <f t="shared" si="17"/>
        <v>94.164426530393271</v>
      </c>
      <c r="X10" s="356">
        <f t="shared" si="17"/>
        <v>85.953690906971573</v>
      </c>
      <c r="Y10" s="356">
        <f t="shared" si="17"/>
        <v>78.224309760947136</v>
      </c>
      <c r="Z10" s="356">
        <f>Z61*CtoCO2</f>
        <v>79.543821123315311</v>
      </c>
      <c r="AA10" s="356">
        <f>AA61*CtoCO2</f>
        <v>79.242788637601819</v>
      </c>
      <c r="AB10" s="356">
        <f t="shared" si="10"/>
        <v>69.970403927797904</v>
      </c>
      <c r="AC10" s="356">
        <f t="shared" si="10"/>
        <v>63.150304482426023</v>
      </c>
      <c r="AD10" s="356">
        <f t="shared" si="11"/>
        <v>58.672866160806755</v>
      </c>
      <c r="AE10" s="356">
        <f t="shared" ref="AE10:AF10" si="22">AE61*CtoCO2</f>
        <v>54.41675515263988</v>
      </c>
      <c r="AF10" s="356">
        <f t="shared" si="22"/>
        <v>49.458189949163135</v>
      </c>
      <c r="AG10" s="356">
        <f t="shared" ref="AG10:AH10" si="23">AG61*CtoCO2</f>
        <v>42.966294417900514</v>
      </c>
      <c r="AH10" s="356">
        <f t="shared" si="23"/>
        <v>43.026401331772739</v>
      </c>
      <c r="AI10" s="356">
        <f t="shared" ref="AI10" si="24">AI61*CtoCO2</f>
        <v>42.659992596041015</v>
      </c>
      <c r="AJ10" s="357">
        <f t="shared" si="13"/>
        <v>-0.72972471122890137</v>
      </c>
      <c r="AK10" s="357">
        <f t="shared" si="14"/>
        <v>1.3989317600352248E-3</v>
      </c>
      <c r="AL10" s="357">
        <f t="shared" si="15"/>
        <v>-8.5159047559283246E-3</v>
      </c>
      <c r="AN10"/>
      <c r="AO10"/>
      <c r="AP10"/>
      <c r="AQ10"/>
      <c r="AU10" s="291"/>
    </row>
    <row r="11" spans="1:47">
      <c r="B11" s="6" t="s">
        <v>1445</v>
      </c>
      <c r="C11" s="356" t="s">
        <v>108</v>
      </c>
      <c r="D11" s="356" t="s">
        <v>108</v>
      </c>
      <c r="E11" s="356" t="s">
        <v>108</v>
      </c>
      <c r="F11" s="356" t="s">
        <v>108</v>
      </c>
      <c r="G11" s="356" t="s">
        <v>108</v>
      </c>
      <c r="H11" s="356" t="s">
        <v>108</v>
      </c>
      <c r="I11" s="356" t="s">
        <v>108</v>
      </c>
      <c r="J11" s="356" t="s">
        <v>108</v>
      </c>
      <c r="K11" s="356" t="s">
        <v>108</v>
      </c>
      <c r="L11" s="356" t="s">
        <v>108</v>
      </c>
      <c r="M11" s="356" t="s">
        <v>108</v>
      </c>
      <c r="N11" s="356" t="s">
        <v>108</v>
      </c>
      <c r="O11" s="356" t="s">
        <v>108</v>
      </c>
      <c r="P11" s="356" t="s">
        <v>108</v>
      </c>
      <c r="Q11" s="356" t="s">
        <v>108</v>
      </c>
      <c r="R11" s="356" t="s">
        <v>108</v>
      </c>
      <c r="S11" s="356" t="s">
        <v>108</v>
      </c>
      <c r="T11" s="356" t="s">
        <v>108</v>
      </c>
      <c r="U11" s="356" t="s">
        <v>108</v>
      </c>
      <c r="V11" s="356" t="s">
        <v>108</v>
      </c>
      <c r="W11" s="356" t="s">
        <v>108</v>
      </c>
      <c r="X11" s="356" t="s">
        <v>108</v>
      </c>
      <c r="Y11" s="356" t="s">
        <v>108</v>
      </c>
      <c r="Z11" s="356" t="s">
        <v>108</v>
      </c>
      <c r="AA11" s="356" t="s">
        <v>108</v>
      </c>
      <c r="AB11" s="356" t="s">
        <v>108</v>
      </c>
      <c r="AC11" s="356" t="s">
        <v>108</v>
      </c>
      <c r="AD11" s="356" t="s">
        <v>108</v>
      </c>
      <c r="AE11" s="356" t="s">
        <v>108</v>
      </c>
      <c r="AF11" s="356" t="s">
        <v>108</v>
      </c>
      <c r="AG11" s="356" t="s">
        <v>108</v>
      </c>
      <c r="AH11" s="356" t="s">
        <v>108</v>
      </c>
      <c r="AI11" s="356" t="s">
        <v>108</v>
      </c>
      <c r="AJ11" s="357" t="str">
        <f t="shared" si="13"/>
        <v>NA</v>
      </c>
      <c r="AK11" s="357" t="str">
        <f t="shared" si="14"/>
        <v>NA</v>
      </c>
      <c r="AL11" s="357" t="str">
        <f t="shared" si="15"/>
        <v>NA</v>
      </c>
      <c r="AN11" s="25"/>
      <c r="AO11"/>
      <c r="AP11"/>
      <c r="AQ11"/>
      <c r="AU11" s="291"/>
    </row>
    <row r="12" spans="1:47">
      <c r="B12" s="6" t="s">
        <v>1474</v>
      </c>
      <c r="C12" s="356">
        <f t="shared" ref="C12:N12" si="25">C63*CtoCO2</f>
        <v>1546.5138658365147</v>
      </c>
      <c r="D12" s="356">
        <f t="shared" si="25"/>
        <v>1547.1744736994474</v>
      </c>
      <c r="E12" s="356">
        <f t="shared" si="25"/>
        <v>1568.5414841172681</v>
      </c>
      <c r="F12" s="356">
        <f t="shared" si="25"/>
        <v>1631.6188101341861</v>
      </c>
      <c r="G12" s="356">
        <f t="shared" si="25"/>
        <v>1637.8528422171717</v>
      </c>
      <c r="H12" s="356">
        <f t="shared" si="25"/>
        <v>1659.8609103723704</v>
      </c>
      <c r="I12" s="356">
        <f t="shared" si="25"/>
        <v>1751.5233947269828</v>
      </c>
      <c r="J12" s="356">
        <f t="shared" si="25"/>
        <v>1796.0188853915236</v>
      </c>
      <c r="K12" s="356">
        <f t="shared" si="25"/>
        <v>1827.1476965735826</v>
      </c>
      <c r="L12" s="356">
        <f t="shared" si="25"/>
        <v>1835.4022340292524</v>
      </c>
      <c r="M12" s="356">
        <f t="shared" si="25"/>
        <v>1926.3651342158976</v>
      </c>
      <c r="N12" s="356">
        <f t="shared" si="25"/>
        <v>1868.8345135593859</v>
      </c>
      <c r="O12" s="356">
        <f t="shared" ref="O12:Q13" si="26">O63*CtoCO2</f>
        <v>1888.8946691071951</v>
      </c>
      <c r="P12" s="356">
        <f t="shared" si="26"/>
        <v>1929.9566599629634</v>
      </c>
      <c r="Q12" s="356">
        <f t="shared" si="26"/>
        <v>1942.0197985409238</v>
      </c>
      <c r="R12" s="356">
        <f t="shared" ref="R12:U13" si="27">R63*CtoCO2</f>
        <v>1982.7713676303179</v>
      </c>
      <c r="S12" s="356">
        <f t="shared" si="27"/>
        <v>1952.6895189382972</v>
      </c>
      <c r="T12" s="356">
        <f t="shared" si="27"/>
        <v>1986.2497853491975</v>
      </c>
      <c r="U12" s="356">
        <f t="shared" si="27"/>
        <v>1958.3876061335875</v>
      </c>
      <c r="V12" s="356">
        <f t="shared" ref="V12:X13" si="28">V63*CtoCO2</f>
        <v>1740.1526692444147</v>
      </c>
      <c r="W12" s="356">
        <f t="shared" si="28"/>
        <v>1827.2452396274032</v>
      </c>
      <c r="X12" s="356">
        <f t="shared" si="28"/>
        <v>1722.3698705628942</v>
      </c>
      <c r="Y12" s="356">
        <f t="shared" ref="Y12:AA13" si="29">Y63*CtoCO2</f>
        <v>1511.6931055686455</v>
      </c>
      <c r="Z12" s="356">
        <f t="shared" si="29"/>
        <v>1571.2511273959044</v>
      </c>
      <c r="AA12" s="356">
        <f t="shared" si="29"/>
        <v>1568.556173908122</v>
      </c>
      <c r="AB12" s="356">
        <f t="shared" ref="AB12:AD13" si="30">AB63*CtoCO2</f>
        <v>1351.3884116145925</v>
      </c>
      <c r="AC12" s="356">
        <f t="shared" si="30"/>
        <v>1242.0166623259897</v>
      </c>
      <c r="AD12" s="356">
        <f>AD63*CtoCO2</f>
        <v>1207.0667392920539</v>
      </c>
      <c r="AE12" s="356">
        <f t="shared" ref="AE12:AF12" si="31">AE63*CtoCO2</f>
        <v>1152.8764230464151</v>
      </c>
      <c r="AF12" s="356">
        <f t="shared" si="31"/>
        <v>973.5397823880611</v>
      </c>
      <c r="AG12" s="356">
        <f>AG63*CtoCO2</f>
        <v>788.15962639841325</v>
      </c>
      <c r="AH12" s="356">
        <f>AH63*CtoCO2</f>
        <v>910.06445819817407</v>
      </c>
      <c r="AI12" s="356">
        <f>AI63*CtoCO2</f>
        <v>851.47205640141203</v>
      </c>
      <c r="AJ12" s="357">
        <f t="shared" si="13"/>
        <v>-0.44942488055815272</v>
      </c>
      <c r="AK12" s="357">
        <f t="shared" si="14"/>
        <v>0.15467023140581188</v>
      </c>
      <c r="AL12" s="357">
        <f t="shared" si="15"/>
        <v>-6.4382694290433501E-2</v>
      </c>
      <c r="AN12" s="357">
        <f>AI12/AI7</f>
        <v>0.94775574995080847</v>
      </c>
      <c r="AO12" s="240" t="s">
        <v>1475</v>
      </c>
      <c r="AP12" s="679"/>
      <c r="AQ12"/>
      <c r="AU12" s="291"/>
    </row>
    <row r="13" spans="1:47">
      <c r="B13" s="6" t="s">
        <v>1476</v>
      </c>
      <c r="C13" s="356">
        <f t="shared" ref="C13:N13" si="32">C64*CtoCO2</f>
        <v>0.49918364487950195</v>
      </c>
      <c r="D13" s="356">
        <f t="shared" si="32"/>
        <v>0.46298199444111593</v>
      </c>
      <c r="E13" s="356">
        <f t="shared" si="32"/>
        <v>0.39540420426145789</v>
      </c>
      <c r="F13" s="356">
        <f t="shared" si="32"/>
        <v>0.414664583865334</v>
      </c>
      <c r="G13" s="356">
        <f t="shared" si="32"/>
        <v>0.4225953215157458</v>
      </c>
      <c r="H13" s="356">
        <f t="shared" si="32"/>
        <v>0.43052605711056213</v>
      </c>
      <c r="I13" s="356">
        <f t="shared" si="32"/>
        <v>0.44185569700838989</v>
      </c>
      <c r="J13" s="356">
        <f t="shared" si="32"/>
        <v>0.44910667394322812</v>
      </c>
      <c r="K13" s="356">
        <f t="shared" si="32"/>
        <v>0.45409170850918595</v>
      </c>
      <c r="L13" s="356">
        <f t="shared" si="32"/>
        <v>0.42032940175863998</v>
      </c>
      <c r="M13" s="356">
        <f t="shared" si="32"/>
        <v>0.47500388702083407</v>
      </c>
      <c r="N13" s="356">
        <f t="shared" si="32"/>
        <v>0.59682902437400609</v>
      </c>
      <c r="O13" s="356">
        <f t="shared" si="26"/>
        <v>2.0233696387959919</v>
      </c>
      <c r="P13" s="356">
        <f t="shared" si="26"/>
        <v>2.6638948248182412</v>
      </c>
      <c r="Q13" s="356">
        <f t="shared" si="26"/>
        <v>2.9457046672788625</v>
      </c>
      <c r="R13" s="356">
        <f t="shared" si="27"/>
        <v>3.0136824655534786</v>
      </c>
      <c r="S13" s="356">
        <f t="shared" si="27"/>
        <v>3.3988899959624983</v>
      </c>
      <c r="T13" s="356">
        <f t="shared" si="27"/>
        <v>3.4023708872877636</v>
      </c>
      <c r="U13" s="356">
        <f t="shared" si="27"/>
        <v>3.4334171477753794</v>
      </c>
      <c r="V13" s="356">
        <f t="shared" si="28"/>
        <v>3.4095811621519387</v>
      </c>
      <c r="W13" s="356">
        <f t="shared" si="28"/>
        <v>3.1957130259780819</v>
      </c>
      <c r="X13" s="356">
        <f t="shared" si="28"/>
        <v>3.4382816448199178</v>
      </c>
      <c r="Y13" s="356">
        <f t="shared" si="29"/>
        <v>3.2878464692658049</v>
      </c>
      <c r="Z13" s="356">
        <f t="shared" si="29"/>
        <v>3.275549300432385</v>
      </c>
      <c r="AA13" s="356">
        <f t="shared" si="29"/>
        <v>3.4423529910979647</v>
      </c>
      <c r="AB13" s="356">
        <f t="shared" si="30"/>
        <v>3.3100766326055582</v>
      </c>
      <c r="AC13" s="356">
        <f t="shared" si="30"/>
        <v>3.2706872988139057</v>
      </c>
      <c r="AD13" s="356">
        <f t="shared" si="30"/>
        <v>2.3004828509080002</v>
      </c>
      <c r="AE13" s="356">
        <f t="shared" ref="AE13:AF13" si="33">AE64*CtoCO2</f>
        <v>2.5567788600420003</v>
      </c>
      <c r="AF13" s="356">
        <f t="shared" si="33"/>
        <v>3.5604735078220004</v>
      </c>
      <c r="AG13" s="356">
        <f t="shared" ref="AG13:AH13" si="34">AG64*CtoCO2</f>
        <v>3.0825890668051215</v>
      </c>
      <c r="AH13" s="356">
        <f t="shared" si="34"/>
        <v>2.8885689791967102</v>
      </c>
      <c r="AI13" s="356">
        <f t="shared" ref="AI13" si="35">AI64*CtoCO2</f>
        <v>2.8885689791967102</v>
      </c>
      <c r="AJ13" s="357">
        <f t="shared" si="13"/>
        <v>4.7865857762507078</v>
      </c>
      <c r="AK13" s="357">
        <f t="shared" si="14"/>
        <v>-6.2940626662735463E-2</v>
      </c>
      <c r="AL13" s="357">
        <f t="shared" si="15"/>
        <v>0</v>
      </c>
      <c r="AN13" s="357"/>
      <c r="AO13"/>
      <c r="AP13"/>
      <c r="AQ13"/>
      <c r="AU13" s="291"/>
    </row>
    <row r="14" spans="1:47">
      <c r="B14" s="5" t="s">
        <v>1439</v>
      </c>
      <c r="C14" s="354">
        <f>SUM(C15:C20)</f>
        <v>998.62349225994672</v>
      </c>
      <c r="D14" s="354">
        <f t="shared" ref="D14:I14" si="36">SUM(D15:D20)</f>
        <v>1020.8766721472523</v>
      </c>
      <c r="E14" s="354">
        <f t="shared" si="36"/>
        <v>1054.3448652335699</v>
      </c>
      <c r="F14" s="354">
        <f t="shared" si="36"/>
        <v>1081.8087995998724</v>
      </c>
      <c r="G14" s="354">
        <f t="shared" si="36"/>
        <v>1106.597648493778</v>
      </c>
      <c r="H14" s="354">
        <f t="shared" si="36"/>
        <v>1155.0125862325747</v>
      </c>
      <c r="I14" s="354">
        <f t="shared" si="36"/>
        <v>1176.2845125565316</v>
      </c>
      <c r="J14" s="354">
        <f t="shared" ref="J14:O14" si="37">SUM(J15:J20)</f>
        <v>1182.4608296957772</v>
      </c>
      <c r="K14" s="354">
        <f t="shared" si="37"/>
        <v>1158.6521439145599</v>
      </c>
      <c r="L14" s="354">
        <f t="shared" si="37"/>
        <v>1162.936857405308</v>
      </c>
      <c r="M14" s="354">
        <f t="shared" si="37"/>
        <v>1218.6319252846156</v>
      </c>
      <c r="N14" s="354">
        <f t="shared" si="37"/>
        <v>1169.4461080717133</v>
      </c>
      <c r="O14" s="354">
        <f t="shared" si="37"/>
        <v>1207.9329265155102</v>
      </c>
      <c r="P14" s="354">
        <f t="shared" ref="P14:U14" si="38">SUM(P15:P20)</f>
        <v>1176.9526767172179</v>
      </c>
      <c r="Q14" s="354">
        <f t="shared" si="38"/>
        <v>1182.8257812622635</v>
      </c>
      <c r="R14" s="354">
        <f t="shared" si="38"/>
        <v>1166.1619067933786</v>
      </c>
      <c r="S14" s="354">
        <f t="shared" si="38"/>
        <v>1151.0489744030008</v>
      </c>
      <c r="T14" s="354">
        <f t="shared" si="38"/>
        <v>1225.0297403637483</v>
      </c>
      <c r="U14" s="354">
        <f t="shared" si="38"/>
        <v>1235.880817407465</v>
      </c>
      <c r="V14" s="354">
        <f t="shared" ref="V14:AA14" si="39">SUM(V15:V20)</f>
        <v>1214.2348492596584</v>
      </c>
      <c r="W14" s="354">
        <f t="shared" si="39"/>
        <v>1273.1434121564739</v>
      </c>
      <c r="X14" s="354">
        <f t="shared" si="39"/>
        <v>1292.7853933595727</v>
      </c>
      <c r="Y14" s="354">
        <f t="shared" si="39"/>
        <v>1352.7983238212385</v>
      </c>
      <c r="Z14" s="354">
        <f t="shared" si="39"/>
        <v>1390.8096077883677</v>
      </c>
      <c r="AA14" s="354">
        <f t="shared" si="39"/>
        <v>1419.1264948240514</v>
      </c>
      <c r="AB14" s="354">
        <f>SUM(AB15:AB20)</f>
        <v>1455.3863220654703</v>
      </c>
      <c r="AC14" s="354">
        <f>SUM(AC15:AC20)</f>
        <v>1461.3213135943815</v>
      </c>
      <c r="AD14" s="354">
        <f>SUM(AD15:AD20)</f>
        <v>1433.2473396264857</v>
      </c>
      <c r="AE14" s="354">
        <f t="shared" ref="AE14:AF14" si="40">SUM(AE15:AE20)</f>
        <v>1591.9666965204153</v>
      </c>
      <c r="AF14" s="354">
        <f t="shared" si="40"/>
        <v>1649.2440851633467</v>
      </c>
      <c r="AG14" s="354">
        <f t="shared" ref="AG14:AH14" si="41">SUM(AG15:AG20)</f>
        <v>1615.678934586985</v>
      </c>
      <c r="AH14" s="354">
        <f t="shared" si="41"/>
        <v>1622.0683091042599</v>
      </c>
      <c r="AI14" s="354">
        <f t="shared" ref="AI14" si="42">SUM(AI15:AI20)</f>
        <v>1709.0814150991439</v>
      </c>
      <c r="AJ14" s="355">
        <f t="shared" si="13"/>
        <v>0.71143722168140366</v>
      </c>
      <c r="AK14" s="355">
        <f t="shared" si="14"/>
        <v>3.9546065622922079E-3</v>
      </c>
      <c r="AL14" s="355">
        <f t="shared" si="15"/>
        <v>5.3643305591078612E-2</v>
      </c>
      <c r="AN14" s="357">
        <f>AI14/AI30</f>
        <v>0.36441878959710677</v>
      </c>
      <c r="AO14" s="240" t="s">
        <v>1477</v>
      </c>
      <c r="AP14"/>
      <c r="AQ14"/>
      <c r="AU14" s="291"/>
    </row>
    <row r="15" spans="1:47">
      <c r="B15" s="6" t="s">
        <v>1434</v>
      </c>
      <c r="C15" s="356">
        <f t="shared" ref="C15:N15" si="43">C66*CtoCO2</f>
        <v>237.79751316701928</v>
      </c>
      <c r="D15" s="356">
        <f t="shared" si="43"/>
        <v>247.3163708646733</v>
      </c>
      <c r="E15" s="356">
        <f t="shared" si="43"/>
        <v>254.59497787985759</v>
      </c>
      <c r="F15" s="356">
        <f t="shared" si="43"/>
        <v>268.22932615115491</v>
      </c>
      <c r="G15" s="356">
        <f t="shared" si="43"/>
        <v>262.94355944535857</v>
      </c>
      <c r="H15" s="356">
        <f t="shared" si="43"/>
        <v>262.76570850496319</v>
      </c>
      <c r="I15" s="356">
        <f t="shared" si="43"/>
        <v>283.99195492868381</v>
      </c>
      <c r="J15" s="356">
        <f t="shared" si="43"/>
        <v>270.12382236394063</v>
      </c>
      <c r="K15" s="356">
        <f t="shared" si="43"/>
        <v>246.13967860387044</v>
      </c>
      <c r="L15" s="356">
        <f t="shared" si="43"/>
        <v>256.37921536804282</v>
      </c>
      <c r="M15" s="356">
        <f t="shared" si="43"/>
        <v>270.80589926201588</v>
      </c>
      <c r="N15" s="356">
        <f t="shared" si="43"/>
        <v>259.1889647876601</v>
      </c>
      <c r="O15" s="356">
        <f t="shared" ref="O15:P20" si="44">O66*CtoCO2</f>
        <v>265.05318507540636</v>
      </c>
      <c r="P15" s="356">
        <f t="shared" si="44"/>
        <v>276.17534859880868</v>
      </c>
      <c r="Q15" s="356">
        <f t="shared" ref="Q15:R20" si="45">Q66*CtoCO2</f>
        <v>264.17877611421051</v>
      </c>
      <c r="R15" s="356">
        <f t="shared" si="45"/>
        <v>262.2286055672738</v>
      </c>
      <c r="S15" s="356">
        <f t="shared" ref="S15:V20" si="46">S66*CtoCO2</f>
        <v>237.28839962332515</v>
      </c>
      <c r="T15" s="356">
        <f t="shared" si="46"/>
        <v>256.4079028660679</v>
      </c>
      <c r="U15" s="356">
        <f t="shared" si="46"/>
        <v>265.66749545875354</v>
      </c>
      <c r="V15" s="356">
        <f t="shared" si="46"/>
        <v>259.05601805220141</v>
      </c>
      <c r="W15" s="356">
        <f t="shared" ref="W15:X20" si="47">W66*CtoCO2</f>
        <v>258.91127602274685</v>
      </c>
      <c r="X15" s="356">
        <f t="shared" si="47"/>
        <v>255.06803132826391</v>
      </c>
      <c r="Y15" s="356">
        <f t="shared" ref="Y15:Z20" si="48">Y66*CtoCO2</f>
        <v>225.10147681644284</v>
      </c>
      <c r="Z15" s="356">
        <f t="shared" si="48"/>
        <v>266.35053365110366</v>
      </c>
      <c r="AA15" s="356">
        <f t="shared" ref="AA15:AB20" si="49">AA66*CtoCO2</f>
        <v>277.6716054191445</v>
      </c>
      <c r="AB15" s="356">
        <f t="shared" si="49"/>
        <v>252.72391355879935</v>
      </c>
      <c r="AC15" s="356">
        <f t="shared" ref="AC15:AD20" si="50">AC66*CtoCO2</f>
        <v>238.38223392683929</v>
      </c>
      <c r="AD15" s="356">
        <f t="shared" si="50"/>
        <v>241.48609403530835</v>
      </c>
      <c r="AE15" s="356">
        <f t="shared" ref="AE15:AF15" si="51">AE66*CtoCO2</f>
        <v>273.81436679347121</v>
      </c>
      <c r="AF15" s="356">
        <f t="shared" si="51"/>
        <v>275.46887973202541</v>
      </c>
      <c r="AG15" s="356">
        <f t="shared" ref="AG15:AH15" si="52">AG66*CtoCO2</f>
        <v>256.36135242960933</v>
      </c>
      <c r="AH15" s="356">
        <f t="shared" si="52"/>
        <v>258.64706539139297</v>
      </c>
      <c r="AI15" s="356">
        <f t="shared" ref="AI15" si="53">AI66*CtoCO2</f>
        <v>271.98681887741003</v>
      </c>
      <c r="AJ15" s="357">
        <f t="shared" si="13"/>
        <v>0.14377486650324042</v>
      </c>
      <c r="AK15" s="357">
        <f t="shared" si="14"/>
        <v>8.9159810561197858E-3</v>
      </c>
      <c r="AL15" s="357">
        <f t="shared" si="15"/>
        <v>5.1575120196438028E-2</v>
      </c>
      <c r="AN15" s="357"/>
      <c r="AO15" s="679"/>
      <c r="AP15"/>
      <c r="AQ15" s="150"/>
      <c r="AU15" s="291"/>
    </row>
    <row r="16" spans="1:47">
      <c r="B16" s="6" t="s">
        <v>1441</v>
      </c>
      <c r="C16" s="356">
        <f t="shared" ref="C16:N16" si="54">C67*CtoCO2</f>
        <v>142.02473544607753</v>
      </c>
      <c r="D16" s="356">
        <f t="shared" si="54"/>
        <v>148.12843320995771</v>
      </c>
      <c r="E16" s="356">
        <f t="shared" si="54"/>
        <v>152.1442839987414</v>
      </c>
      <c r="F16" s="356">
        <f t="shared" si="54"/>
        <v>154.86031096580882</v>
      </c>
      <c r="G16" s="356">
        <f t="shared" si="54"/>
        <v>157.02801444190189</v>
      </c>
      <c r="H16" s="356">
        <f t="shared" si="54"/>
        <v>164.20845936813723</v>
      </c>
      <c r="I16" s="356">
        <f t="shared" si="54"/>
        <v>171.12093873822886</v>
      </c>
      <c r="J16" s="356">
        <f t="shared" si="54"/>
        <v>174.25040454967009</v>
      </c>
      <c r="K16" s="356">
        <f t="shared" si="54"/>
        <v>163.32937279129024</v>
      </c>
      <c r="L16" s="356">
        <f t="shared" si="54"/>
        <v>165.18012136905648</v>
      </c>
      <c r="M16" s="356">
        <f t="shared" si="54"/>
        <v>172.49806642837646</v>
      </c>
      <c r="N16" s="356">
        <f t="shared" si="54"/>
        <v>164.19987233758553</v>
      </c>
      <c r="O16" s="356">
        <f t="shared" si="44"/>
        <v>170.46500850943963</v>
      </c>
      <c r="P16" s="356">
        <f t="shared" si="44"/>
        <v>172.87591133833368</v>
      </c>
      <c r="Q16" s="356">
        <f t="shared" si="45"/>
        <v>169.77666283715638</v>
      </c>
      <c r="R16" s="356">
        <f t="shared" si="45"/>
        <v>162.92508508024997</v>
      </c>
      <c r="S16" s="356">
        <f t="shared" si="46"/>
        <v>153.83155669866855</v>
      </c>
      <c r="T16" s="356">
        <f t="shared" si="46"/>
        <v>163.59043097479622</v>
      </c>
      <c r="U16" s="356">
        <f t="shared" si="46"/>
        <v>171.19325427303346</v>
      </c>
      <c r="V16" s="356">
        <f t="shared" si="46"/>
        <v>169.05333172555467</v>
      </c>
      <c r="W16" s="356">
        <f t="shared" si="47"/>
        <v>167.96887548912161</v>
      </c>
      <c r="X16" s="356">
        <f t="shared" si="47"/>
        <v>170.73801795221382</v>
      </c>
      <c r="Y16" s="356">
        <f t="shared" si="48"/>
        <v>157.04279460910288</v>
      </c>
      <c r="Z16" s="356">
        <f t="shared" si="48"/>
        <v>179.21960261143067</v>
      </c>
      <c r="AA16" s="356">
        <f t="shared" si="49"/>
        <v>189.18938777422409</v>
      </c>
      <c r="AB16" s="356">
        <f t="shared" si="49"/>
        <v>175.4117517978259</v>
      </c>
      <c r="AC16" s="356">
        <f t="shared" si="50"/>
        <v>170.54056544370894</v>
      </c>
      <c r="AD16" s="356">
        <f t="shared" si="50"/>
        <v>173.19011617374824</v>
      </c>
      <c r="AE16" s="356">
        <f t="shared" ref="AE16:AF16" si="55">AE67*CtoCO2</f>
        <v>192.5283840865653</v>
      </c>
      <c r="AF16" s="356">
        <f t="shared" si="55"/>
        <v>192.91620874877498</v>
      </c>
      <c r="AG16" s="356">
        <f t="shared" ref="AG16:AH16" si="56">AG67*CtoCO2</f>
        <v>173.45008271834308</v>
      </c>
      <c r="AH16" s="356">
        <f t="shared" si="56"/>
        <v>180.36282488864072</v>
      </c>
      <c r="AI16" s="356">
        <f t="shared" ref="AI16" si="57">AI67*CtoCO2</f>
        <v>192.26242231258678</v>
      </c>
      <c r="AJ16" s="357">
        <f t="shared" si="13"/>
        <v>0.35372491072573037</v>
      </c>
      <c r="AK16" s="357">
        <f t="shared" si="14"/>
        <v>3.9854360758783208E-2</v>
      </c>
      <c r="AL16" s="357">
        <f t="shared" si="15"/>
        <v>6.5975887388618412E-2</v>
      </c>
      <c r="AN16" s="357"/>
      <c r="AO16" s="679"/>
      <c r="AP16"/>
      <c r="AQ16" s="150"/>
      <c r="AU16" s="291"/>
    </row>
    <row r="17" spans="2:52">
      <c r="B17" s="6" t="s">
        <v>1443</v>
      </c>
      <c r="C17" s="356">
        <f>C68*CtoCO2</f>
        <v>407.44057591552206</v>
      </c>
      <c r="D17" s="356">
        <f t="shared" ref="D17:N17" si="58">D68*CtoCO2</f>
        <v>413.59445395561858</v>
      </c>
      <c r="E17" s="356">
        <f t="shared" si="58"/>
        <v>429.30737763379256</v>
      </c>
      <c r="F17" s="356">
        <f t="shared" si="58"/>
        <v>436.98219553873059</v>
      </c>
      <c r="G17" s="356">
        <f t="shared" si="58"/>
        <v>438.20865393150382</v>
      </c>
      <c r="H17" s="356">
        <f t="shared" si="58"/>
        <v>461.4680033053877</v>
      </c>
      <c r="I17" s="356">
        <f t="shared" si="58"/>
        <v>477.22704593798659</v>
      </c>
      <c r="J17" s="356">
        <f t="shared" si="58"/>
        <v>477.88613017996011</v>
      </c>
      <c r="K17" s="356">
        <f t="shared" si="58"/>
        <v>466.22857939809182</v>
      </c>
      <c r="L17" s="356">
        <f t="shared" si="58"/>
        <v>445.62145311258905</v>
      </c>
      <c r="M17" s="356">
        <f t="shared" si="58"/>
        <v>458.18470970362125</v>
      </c>
      <c r="N17" s="356">
        <f t="shared" si="58"/>
        <v>420.60012891527748</v>
      </c>
      <c r="O17" s="356">
        <f t="shared" si="44"/>
        <v>428.10994471518688</v>
      </c>
      <c r="P17" s="356">
        <f t="shared" si="44"/>
        <v>415.08604298191261</v>
      </c>
      <c r="Q17" s="356">
        <f t="shared" si="45"/>
        <v>418.88608808286688</v>
      </c>
      <c r="R17" s="356">
        <f t="shared" si="45"/>
        <v>387.78439069369989</v>
      </c>
      <c r="S17" s="356">
        <f t="shared" si="46"/>
        <v>387.43556914859869</v>
      </c>
      <c r="T17" s="356">
        <f t="shared" si="46"/>
        <v>396.96908687881142</v>
      </c>
      <c r="U17" s="356">
        <f t="shared" si="46"/>
        <v>398.65113463252698</v>
      </c>
      <c r="V17" s="356">
        <f t="shared" si="46"/>
        <v>374.19964007784171</v>
      </c>
      <c r="W17" s="356">
        <f t="shared" si="47"/>
        <v>407.08948538432492</v>
      </c>
      <c r="X17" s="356">
        <f t="shared" si="47"/>
        <v>417.16969084127084</v>
      </c>
      <c r="Y17" s="356">
        <f t="shared" si="48"/>
        <v>433.87411357806093</v>
      </c>
      <c r="Z17" s="356">
        <f t="shared" si="48"/>
        <v>450.93611572282049</v>
      </c>
      <c r="AA17" s="356">
        <f t="shared" si="49"/>
        <v>465.9360743641227</v>
      </c>
      <c r="AB17" s="356">
        <f t="shared" si="49"/>
        <v>459.64627978150747</v>
      </c>
      <c r="AC17" s="356">
        <f t="shared" si="50"/>
        <v>463.98257891833475</v>
      </c>
      <c r="AD17" s="356">
        <f t="shared" si="50"/>
        <v>468.13315809622293</v>
      </c>
      <c r="AE17" s="356">
        <f t="shared" ref="AE17:AF17" si="59">AE68*CtoCO2</f>
        <v>493.46897972996544</v>
      </c>
      <c r="AF17" s="356">
        <f t="shared" si="59"/>
        <v>501.50851576791644</v>
      </c>
      <c r="AG17" s="356">
        <f t="shared" ref="AG17:AH17" si="60">AG68*CtoCO2</f>
        <v>489.71696452157283</v>
      </c>
      <c r="AH17" s="356">
        <f t="shared" si="60"/>
        <v>501.1666660948701</v>
      </c>
      <c r="AI17" s="356">
        <f t="shared" ref="AI17" si="61">AI68*CtoCO2</f>
        <v>511.44589460637036</v>
      </c>
      <c r="AJ17" s="357">
        <f t="shared" si="13"/>
        <v>0.25526500019578946</v>
      </c>
      <c r="AK17" s="357">
        <f t="shared" si="14"/>
        <v>2.3380242880666806E-2</v>
      </c>
      <c r="AL17" s="357">
        <f t="shared" si="15"/>
        <v>2.0510598982164591E-2</v>
      </c>
      <c r="AN17" s="357"/>
      <c r="AO17"/>
      <c r="AP17"/>
      <c r="AQ17"/>
      <c r="AU17" s="291"/>
    </row>
    <row r="18" spans="2:52">
      <c r="B18" s="6" t="s">
        <v>1445</v>
      </c>
      <c r="C18" s="356">
        <f>C69*CtoCO2</f>
        <v>36.000628828726228</v>
      </c>
      <c r="D18" s="356">
        <f t="shared" ref="C18:N18" si="62">D69*CtoCO2</f>
        <v>32.870998544585845</v>
      </c>
      <c r="E18" s="356">
        <f t="shared" si="62"/>
        <v>32.223566137943912</v>
      </c>
      <c r="F18" s="356">
        <f t="shared" si="62"/>
        <v>34.15461398423664</v>
      </c>
      <c r="G18" s="356">
        <f t="shared" si="62"/>
        <v>37.56280519579169</v>
      </c>
      <c r="H18" s="356">
        <f t="shared" si="62"/>
        <v>38.397759997364879</v>
      </c>
      <c r="I18" s="356">
        <f t="shared" si="62"/>
        <v>39.083767671638746</v>
      </c>
      <c r="J18" s="356">
        <f t="shared" si="62"/>
        <v>41.387043476727435</v>
      </c>
      <c r="K18" s="356">
        <f t="shared" si="62"/>
        <v>35.288383859149057</v>
      </c>
      <c r="L18" s="356">
        <f t="shared" si="62"/>
        <v>35.810853010699333</v>
      </c>
      <c r="M18" s="356">
        <f t="shared" si="62"/>
        <v>35.650075735907123</v>
      </c>
      <c r="N18" s="356">
        <f t="shared" si="62"/>
        <v>34.885995822200002</v>
      </c>
      <c r="O18" s="356">
        <f t="shared" si="44"/>
        <v>37.087113998567915</v>
      </c>
      <c r="P18" s="356">
        <f t="shared" si="44"/>
        <v>33.263751370962055</v>
      </c>
      <c r="Q18" s="356">
        <f t="shared" si="45"/>
        <v>31.927149340306773</v>
      </c>
      <c r="R18" s="356">
        <f t="shared" si="45"/>
        <v>33.075920910480484</v>
      </c>
      <c r="S18" s="356">
        <f t="shared" si="46"/>
        <v>33.132752480798366</v>
      </c>
      <c r="T18" s="356">
        <f t="shared" si="46"/>
        <v>35.181265831305353</v>
      </c>
      <c r="U18" s="356">
        <f t="shared" si="46"/>
        <v>36.701650199837665</v>
      </c>
      <c r="V18" s="356">
        <f t="shared" si="46"/>
        <v>37.924973610479</v>
      </c>
      <c r="W18" s="356">
        <f t="shared" si="47"/>
        <v>38.159193121908444</v>
      </c>
      <c r="X18" s="356">
        <f t="shared" si="47"/>
        <v>38.942984233329362</v>
      </c>
      <c r="Y18" s="356">
        <f t="shared" si="48"/>
        <v>41.37800918377787</v>
      </c>
      <c r="Z18" s="356">
        <f t="shared" si="48"/>
        <v>47.049246645534772</v>
      </c>
      <c r="AA18" s="356">
        <f t="shared" si="49"/>
        <v>40.238122656789713</v>
      </c>
      <c r="AB18" s="356">
        <f t="shared" si="49"/>
        <v>39.405905197849926</v>
      </c>
      <c r="AC18" s="356">
        <f t="shared" si="50"/>
        <v>40.058807328702912</v>
      </c>
      <c r="AD18" s="356">
        <f t="shared" si="50"/>
        <v>42.257759266894162</v>
      </c>
      <c r="AE18" s="356">
        <f t="shared" ref="AE18:AF18" si="63">AE69*CtoCO2</f>
        <v>50.915434140965644</v>
      </c>
      <c r="AF18" s="356">
        <f t="shared" si="63"/>
        <v>58.928767923685299</v>
      </c>
      <c r="AG18" s="356">
        <f t="shared" ref="AG18:AH18" si="64">AG69*CtoCO2</f>
        <v>58.653794375777238</v>
      </c>
      <c r="AH18" s="356">
        <f t="shared" si="64"/>
        <v>65.191015978471412</v>
      </c>
      <c r="AI18" s="356">
        <f t="shared" ref="AI18" si="65">AI69*CtoCO2</f>
        <v>70.161308648019386</v>
      </c>
      <c r="AJ18" s="357">
        <f t="shared" si="13"/>
        <v>0.94889119803471578</v>
      </c>
      <c r="AK18" s="357">
        <f t="shared" si="14"/>
        <v>0.11145436833655056</v>
      </c>
      <c r="AL18" s="357">
        <f t="shared" si="15"/>
        <v>7.6241988178085085E-2</v>
      </c>
      <c r="AN18" s="357"/>
      <c r="AO18"/>
      <c r="AP18"/>
      <c r="AQ18"/>
      <c r="AU18" s="291"/>
    </row>
    <row r="19" spans="2:52">
      <c r="B19" s="6" t="s">
        <v>1474</v>
      </c>
      <c r="C19" s="356">
        <f t="shared" ref="C19:N19" si="66">C70*CtoCO2</f>
        <v>175.3600389026015</v>
      </c>
      <c r="D19" s="356">
        <f t="shared" si="66"/>
        <v>178.96641557241685</v>
      </c>
      <c r="E19" s="356">
        <f t="shared" si="66"/>
        <v>186.07465958323442</v>
      </c>
      <c r="F19" s="356">
        <f t="shared" si="66"/>
        <v>187.58235295994123</v>
      </c>
      <c r="G19" s="356">
        <f t="shared" si="66"/>
        <v>210.85461547922213</v>
      </c>
      <c r="H19" s="356">
        <f t="shared" si="66"/>
        <v>228.17265505672165</v>
      </c>
      <c r="I19" s="356">
        <f t="shared" si="66"/>
        <v>204.86080527999366</v>
      </c>
      <c r="J19" s="356">
        <f t="shared" si="66"/>
        <v>218.81342912547896</v>
      </c>
      <c r="K19" s="356">
        <f t="shared" si="66"/>
        <v>247.66612926215842</v>
      </c>
      <c r="L19" s="356">
        <f t="shared" si="66"/>
        <v>259.94521454492025</v>
      </c>
      <c r="M19" s="356">
        <f t="shared" si="66"/>
        <v>280.82105213992054</v>
      </c>
      <c r="N19" s="356">
        <f t="shared" si="66"/>
        <v>289.35862946229537</v>
      </c>
      <c r="O19" s="356">
        <f t="shared" si="44"/>
        <v>306.00875363034964</v>
      </c>
      <c r="P19" s="356">
        <f t="shared" si="44"/>
        <v>278.12739640727375</v>
      </c>
      <c r="Q19" s="356">
        <f t="shared" si="45"/>
        <v>296.75029743802992</v>
      </c>
      <c r="R19" s="356">
        <f t="shared" si="45"/>
        <v>318.85840260471355</v>
      </c>
      <c r="S19" s="356">
        <f t="shared" si="46"/>
        <v>337.97496302681611</v>
      </c>
      <c r="T19" s="356">
        <f t="shared" si="46"/>
        <v>371.46513223741312</v>
      </c>
      <c r="U19" s="356">
        <f t="shared" si="46"/>
        <v>362.11597738194661</v>
      </c>
      <c r="V19" s="356">
        <f>V70*CtoCO2</f>
        <v>372.54775041195018</v>
      </c>
      <c r="W19" s="356">
        <f t="shared" si="47"/>
        <v>399.53808692568629</v>
      </c>
      <c r="X19" s="356">
        <f t="shared" si="47"/>
        <v>409.42961840152782</v>
      </c>
      <c r="Y19" s="356">
        <f t="shared" si="48"/>
        <v>492.79219630413746</v>
      </c>
      <c r="Z19" s="356">
        <f t="shared" si="48"/>
        <v>444.16593360966391</v>
      </c>
      <c r="AA19" s="356">
        <f t="shared" si="49"/>
        <v>442.88200596411235</v>
      </c>
      <c r="AB19" s="356">
        <f t="shared" si="49"/>
        <v>525.16054071183544</v>
      </c>
      <c r="AC19" s="356">
        <f t="shared" si="50"/>
        <v>544.99213211889321</v>
      </c>
      <c r="AD19" s="356">
        <f t="shared" si="50"/>
        <v>505.63466065505327</v>
      </c>
      <c r="AE19" s="356">
        <f t="shared" ref="AE19:AF19" si="67">AE70*CtoCO2</f>
        <v>577.93546402725235</v>
      </c>
      <c r="AF19" s="356">
        <f t="shared" si="67"/>
        <v>616.64869033042908</v>
      </c>
      <c r="AG19" s="356">
        <f t="shared" ref="AG19:AH19" si="68">AG70*CtoCO2</f>
        <v>634.84915679760923</v>
      </c>
      <c r="AH19" s="356">
        <f t="shared" si="68"/>
        <v>612.7780915068297</v>
      </c>
      <c r="AI19" s="356">
        <f t="shared" ref="AI19" si="69">AI70*CtoCO2</f>
        <v>659.30521463869627</v>
      </c>
      <c r="AJ19" s="357">
        <f t="shared" si="13"/>
        <v>2.7597232457554806</v>
      </c>
      <c r="AK19" s="357">
        <f t="shared" si="14"/>
        <v>-3.4765841703426593E-2</v>
      </c>
      <c r="AL19" s="357">
        <f t="shared" si="15"/>
        <v>7.5928176572787942E-2</v>
      </c>
      <c r="AN19" s="357"/>
      <c r="AO19"/>
      <c r="AP19"/>
      <c r="AQ19"/>
      <c r="AU19" s="291"/>
    </row>
    <row r="20" spans="2:52">
      <c r="B20" s="6" t="s">
        <v>1476</v>
      </c>
      <c r="C20" s="356" t="s">
        <v>108</v>
      </c>
      <c r="D20" s="356" t="s">
        <v>108</v>
      </c>
      <c r="E20" s="356" t="s">
        <v>108</v>
      </c>
      <c r="F20" s="356" t="s">
        <v>108</v>
      </c>
      <c r="G20" s="356" t="s">
        <v>108</v>
      </c>
      <c r="H20" s="356" t="s">
        <v>108</v>
      </c>
      <c r="I20" s="356" t="s">
        <v>108</v>
      </c>
      <c r="J20" s="356" t="s">
        <v>108</v>
      </c>
      <c r="K20" s="356" t="s">
        <v>108</v>
      </c>
      <c r="L20" s="356" t="s">
        <v>108</v>
      </c>
      <c r="M20" s="356">
        <f>M71*CtoCO2</f>
        <v>0.67212201477417799</v>
      </c>
      <c r="N20" s="356">
        <f>N71*CtoCO2</f>
        <v>1.2125167466946647</v>
      </c>
      <c r="O20" s="356">
        <f t="shared" si="44"/>
        <v>1.2089205865598054</v>
      </c>
      <c r="P20" s="356">
        <f t="shared" si="44"/>
        <v>1.4242260199270667</v>
      </c>
      <c r="Q20" s="356">
        <f t="shared" si="45"/>
        <v>1.3068074496928888</v>
      </c>
      <c r="R20" s="356">
        <f t="shared" si="45"/>
        <v>1.2895019369609928</v>
      </c>
      <c r="S20" s="356">
        <f t="shared" si="46"/>
        <v>1.3857334247939026</v>
      </c>
      <c r="T20" s="356">
        <f t="shared" si="46"/>
        <v>1.415921575354</v>
      </c>
      <c r="U20" s="356">
        <f t="shared" si="46"/>
        <v>1.5513054613666941</v>
      </c>
      <c r="V20" s="356">
        <f t="shared" si="46"/>
        <v>1.4531353816314685</v>
      </c>
      <c r="W20" s="356">
        <f t="shared" si="47"/>
        <v>1.4764952126860063</v>
      </c>
      <c r="X20" s="356">
        <f t="shared" si="47"/>
        <v>1.4370506029671137</v>
      </c>
      <c r="Y20" s="356">
        <f t="shared" si="48"/>
        <v>2.6097333297164047</v>
      </c>
      <c r="Z20" s="356">
        <f t="shared" si="48"/>
        <v>3.0881755478141319</v>
      </c>
      <c r="AA20" s="356">
        <f t="shared" si="49"/>
        <v>3.2092986456579755</v>
      </c>
      <c r="AB20" s="356">
        <f t="shared" si="49"/>
        <v>3.0379310176521801</v>
      </c>
      <c r="AC20" s="356">
        <f t="shared" si="50"/>
        <v>3.3649958579027071</v>
      </c>
      <c r="AD20" s="356">
        <f t="shared" si="50"/>
        <v>2.5455513992585312</v>
      </c>
      <c r="AE20" s="356">
        <f t="shared" ref="AE20:AF20" si="70">AE71*CtoCO2</f>
        <v>3.3040677421953082</v>
      </c>
      <c r="AF20" s="356">
        <f t="shared" si="70"/>
        <v>3.773022660515549</v>
      </c>
      <c r="AG20" s="356">
        <f t="shared" ref="AG20:AH20" si="71">AG71*CtoCO2</f>
        <v>2.647583744073164</v>
      </c>
      <c r="AH20" s="356">
        <f t="shared" si="71"/>
        <v>3.9226452440549542</v>
      </c>
      <c r="AI20" s="356">
        <f t="shared" ref="AI20" si="72">AI71*CtoCO2</f>
        <v>3.9197560160609353</v>
      </c>
      <c r="AJ20" s="357" t="str">
        <f t="shared" si="13"/>
        <v>NA</v>
      </c>
      <c r="AK20" s="357">
        <f t="shared" si="14"/>
        <v>0.48159439822673078</v>
      </c>
      <c r="AL20" s="357">
        <f t="shared" si="15"/>
        <v>-7.3655092782039006E-4</v>
      </c>
      <c r="AN20" s="357"/>
      <c r="AO20"/>
      <c r="AP20"/>
      <c r="AQ20"/>
      <c r="AU20" s="291"/>
    </row>
    <row r="21" spans="2:52">
      <c r="B21" s="5" t="s">
        <v>1440</v>
      </c>
      <c r="C21" s="354">
        <f>SUM(C22:C27)</f>
        <v>2027.9585074772485</v>
      </c>
      <c r="D21" s="354">
        <f t="shared" ref="D21:I21" si="73">SUM(D22:D27)</f>
        <v>1962.9995709240532</v>
      </c>
      <c r="E21" s="354">
        <f t="shared" si="73"/>
        <v>2005.0431704410603</v>
      </c>
      <c r="F21" s="354">
        <f t="shared" si="73"/>
        <v>2028.4434212806348</v>
      </c>
      <c r="G21" s="354">
        <f t="shared" si="73"/>
        <v>2059.3415481767788</v>
      </c>
      <c r="H21" s="354">
        <f t="shared" si="73"/>
        <v>2055.1835399132642</v>
      </c>
      <c r="I21" s="354">
        <f t="shared" si="73"/>
        <v>2123.8826967420823</v>
      </c>
      <c r="J21" s="354">
        <f t="shared" ref="J21:O21" si="74">SUM(J22:J27)</f>
        <v>2132.8018515332233</v>
      </c>
      <c r="K21" s="354">
        <f t="shared" si="74"/>
        <v>2190.7850617670247</v>
      </c>
      <c r="L21" s="354">
        <f t="shared" si="74"/>
        <v>2231.3445066504405</v>
      </c>
      <c r="M21" s="354">
        <f t="shared" si="74"/>
        <v>2336.3109109139973</v>
      </c>
      <c r="N21" s="354">
        <f t="shared" si="74"/>
        <v>2344.1852971294861</v>
      </c>
      <c r="O21" s="354">
        <f t="shared" si="74"/>
        <v>2337.0898220053723</v>
      </c>
      <c r="P21" s="354">
        <f t="shared" ref="P21:U21" si="75">SUM(P22:P27)</f>
        <v>2395.9444184338586</v>
      </c>
      <c r="Q21" s="354">
        <f t="shared" si="75"/>
        <v>2453.9530432108859</v>
      </c>
      <c r="R21" s="354">
        <f t="shared" si="75"/>
        <v>2459.2418631336527</v>
      </c>
      <c r="S21" s="354">
        <f t="shared" si="75"/>
        <v>2420.9125318252991</v>
      </c>
      <c r="T21" s="354">
        <f>SUM(T22:T27)</f>
        <v>2401.5560753100167</v>
      </c>
      <c r="U21" s="354">
        <f t="shared" si="75"/>
        <v>2236.0288753650771</v>
      </c>
      <c r="V21" s="354">
        <f t="shared" ref="V21:AA21" si="76">SUM(V22:V27)</f>
        <v>2127.2924397789957</v>
      </c>
      <c r="W21" s="354">
        <f>SUM(W22:W27)</f>
        <v>2131.8196748023497</v>
      </c>
      <c r="X21" s="354">
        <f t="shared" si="76"/>
        <v>2093.7201137501879</v>
      </c>
      <c r="Y21" s="354">
        <f t="shared" si="76"/>
        <v>2047.2717999985257</v>
      </c>
      <c r="Z21" s="354">
        <f t="shared" si="76"/>
        <v>2069.9217125947121</v>
      </c>
      <c r="AA21" s="354">
        <f t="shared" si="76"/>
        <v>2094.5191822520783</v>
      </c>
      <c r="AB21" s="354">
        <f>SUM(AB22:AB27)</f>
        <v>2120.8989190567722</v>
      </c>
      <c r="AC21" s="354">
        <f>SUM(AC22:AC27)</f>
        <v>2134.9011036530801</v>
      </c>
      <c r="AD21" s="354">
        <f>SUM(AD22:AD27)</f>
        <v>2139.816039203602</v>
      </c>
      <c r="AE21" s="354">
        <f>SUM(AE22:AE27)</f>
        <v>2178.9275554433234</v>
      </c>
      <c r="AF21" s="354">
        <f t="shared" ref="AF21" si="77">SUM(AF22:AF27)</f>
        <v>2163.1750674226637</v>
      </c>
      <c r="AG21" s="354">
        <f>SUM(AG22:AG27)</f>
        <v>1877.568338415364</v>
      </c>
      <c r="AH21" s="354">
        <f>SUM(AH22:AH27)</f>
        <v>2062.7897667099305</v>
      </c>
      <c r="AI21" s="354">
        <f>SUM(AI22:AI27)</f>
        <v>2082.0120849648615</v>
      </c>
      <c r="AJ21" s="355">
        <f t="shared" si="13"/>
        <v>2.6654183154296813E-2</v>
      </c>
      <c r="AK21" s="355">
        <f t="shared" si="14"/>
        <v>9.8649633414084031E-2</v>
      </c>
      <c r="AL21" s="355">
        <f t="shared" si="15"/>
        <v>9.318602683195315E-3</v>
      </c>
      <c r="AN21" s="357">
        <f>AI21/AI30</f>
        <v>0.44393691091973514</v>
      </c>
      <c r="AO21" s="240" t="s">
        <v>1478</v>
      </c>
      <c r="AP21"/>
      <c r="AQ21"/>
      <c r="AU21" s="291"/>
    </row>
    <row r="22" spans="2:52">
      <c r="B22" s="6" t="s">
        <v>1434</v>
      </c>
      <c r="C22" s="356">
        <f t="shared" ref="C22:N22" si="78">C73*CtoCO2</f>
        <v>97.78241223079533</v>
      </c>
      <c r="D22" s="356">
        <f t="shared" si="78"/>
        <v>97.952169988467361</v>
      </c>
      <c r="E22" s="356">
        <f t="shared" si="78"/>
        <v>96.897397560708882</v>
      </c>
      <c r="F22" s="356">
        <f t="shared" si="78"/>
        <v>95.38268325283164</v>
      </c>
      <c r="G22" s="356">
        <f t="shared" si="78"/>
        <v>92.109480052541898</v>
      </c>
      <c r="H22" s="356">
        <f t="shared" si="78"/>
        <v>88.696195308228212</v>
      </c>
      <c r="I22" s="356">
        <f t="shared" si="78"/>
        <v>97.899890710711531</v>
      </c>
      <c r="J22" s="356">
        <f t="shared" si="78"/>
        <v>93.391358622908527</v>
      </c>
      <c r="K22" s="356">
        <f t="shared" si="78"/>
        <v>84.367234993758103</v>
      </c>
      <c r="L22" s="356">
        <f t="shared" si="78"/>
        <v>93.19613012040945</v>
      </c>
      <c r="M22" s="356">
        <f t="shared" si="78"/>
        <v>99.814277951232029</v>
      </c>
      <c r="N22" s="356">
        <f t="shared" si="78"/>
        <v>102.69033732360053</v>
      </c>
      <c r="O22" s="356">
        <f t="shared" ref="O22:P27" si="79">O73*CtoCO2</f>
        <v>94.809824998097724</v>
      </c>
      <c r="P22" s="356">
        <f t="shared" si="79"/>
        <v>102.73524037201688</v>
      </c>
      <c r="Q22" s="356">
        <f t="shared" ref="Q22:R27" si="80">Q73*CtoCO2</f>
        <v>103.70575945407543</v>
      </c>
      <c r="R22" s="356">
        <f t="shared" si="80"/>
        <v>95.575442274390966</v>
      </c>
      <c r="S22" s="356">
        <f t="shared" ref="S22:V27" si="81">S73*CtoCO2</f>
        <v>83.076643788508392</v>
      </c>
      <c r="T22" s="356">
        <f t="shared" si="81"/>
        <v>82.999286658834436</v>
      </c>
      <c r="U22" s="356">
        <f t="shared" si="81"/>
        <v>81.35310743989055</v>
      </c>
      <c r="V22" s="356">
        <f t="shared" si="81"/>
        <v>76.871691567355754</v>
      </c>
      <c r="W22" s="356">
        <f t="shared" ref="W22:X27" si="82">W73*CtoCO2</f>
        <v>75.584117715666224</v>
      </c>
      <c r="X22" s="356">
        <f t="shared" si="82"/>
        <v>71.264898165119661</v>
      </c>
      <c r="Y22" s="356">
        <f t="shared" ref="Y22:Z27" si="83">Y73*CtoCO2</f>
        <v>57.430156749728859</v>
      </c>
      <c r="Z22" s="356">
        <f t="shared" si="83"/>
        <v>62.914302900543817</v>
      </c>
      <c r="AA22" s="356">
        <f t="shared" ref="AA22:AB27" si="84">AA73*CtoCO2</f>
        <v>69.062290446070193</v>
      </c>
      <c r="AB22" s="356">
        <f t="shared" si="84"/>
        <v>64.893287996969548</v>
      </c>
      <c r="AC22" s="356">
        <f t="shared" ref="AC22:AD27" si="85">AC73*CtoCO2</f>
        <v>54.808963118601646</v>
      </c>
      <c r="AD22" s="356">
        <f t="shared" si="85"/>
        <v>52.479502214743725</v>
      </c>
      <c r="AE22" s="356">
        <f t="shared" ref="AE22:AF22" si="86">AE73*CtoCO2</f>
        <v>65.12530568088124</v>
      </c>
      <c r="AF22" s="356">
        <f t="shared" si="86"/>
        <v>67.435980875494991</v>
      </c>
      <c r="AG22" s="356">
        <f t="shared" ref="AG22:AH22" si="87">AG73*CtoCO2</f>
        <v>58.433675778621101</v>
      </c>
      <c r="AH22" s="356">
        <f t="shared" si="87"/>
        <v>59.38652650747968</v>
      </c>
      <c r="AI22" s="356">
        <f t="shared" ref="AI22" si="88">AI73*CtoCO2</f>
        <v>61.113011543269025</v>
      </c>
      <c r="AJ22" s="357">
        <f t="shared" si="13"/>
        <v>-0.37501018691352905</v>
      </c>
      <c r="AK22" s="357">
        <f t="shared" si="14"/>
        <v>1.6306534137412496E-2</v>
      </c>
      <c r="AL22" s="357">
        <f t="shared" si="15"/>
        <v>2.9071998941913126E-2</v>
      </c>
      <c r="AN22" s="357"/>
      <c r="AO22"/>
      <c r="AP22"/>
      <c r="AQ22"/>
      <c r="AU22" s="291"/>
      <c r="AV22" s="226"/>
    </row>
    <row r="23" spans="2:52">
      <c r="B23" s="6" t="s">
        <v>1441</v>
      </c>
      <c r="C23" s="356">
        <f t="shared" ref="C23:N23" si="89">C74*CtoCO2</f>
        <v>74.317009238006435</v>
      </c>
      <c r="D23" s="356">
        <f t="shared" si="89"/>
        <v>73.407833850551555</v>
      </c>
      <c r="E23" s="356">
        <f t="shared" si="89"/>
        <v>64.616730035679041</v>
      </c>
      <c r="F23" s="356">
        <f t="shared" si="89"/>
        <v>56.873975020454345</v>
      </c>
      <c r="G23" s="356">
        <f t="shared" si="89"/>
        <v>56.369484996221161</v>
      </c>
      <c r="H23" s="356">
        <f t="shared" si="89"/>
        <v>52.391239933514434</v>
      </c>
      <c r="I23" s="356">
        <f t="shared" si="89"/>
        <v>54.832060684371058</v>
      </c>
      <c r="J23" s="356">
        <f t="shared" si="89"/>
        <v>51.284956381041496</v>
      </c>
      <c r="K23" s="356">
        <f t="shared" si="89"/>
        <v>47.862168349800406</v>
      </c>
      <c r="L23" s="356">
        <f t="shared" si="89"/>
        <v>45.78669586341524</v>
      </c>
      <c r="M23" s="356">
        <f t="shared" si="89"/>
        <v>55.272252292626497</v>
      </c>
      <c r="N23" s="356">
        <f t="shared" si="89"/>
        <v>55.007529049391842</v>
      </c>
      <c r="O23" s="356">
        <f t="shared" si="79"/>
        <v>49.963577276939134</v>
      </c>
      <c r="P23" s="356">
        <f t="shared" si="79"/>
        <v>59.413372710105818</v>
      </c>
      <c r="Q23" s="356">
        <f t="shared" si="80"/>
        <v>58.386082462551457</v>
      </c>
      <c r="R23" s="356">
        <f t="shared" si="80"/>
        <v>54.793864419601839</v>
      </c>
      <c r="S23" s="356">
        <f t="shared" si="81"/>
        <v>51.31612703743734</v>
      </c>
      <c r="T23" s="356">
        <f t="shared" si="81"/>
        <v>52.302199112446594</v>
      </c>
      <c r="U23" s="356">
        <f t="shared" si="81"/>
        <v>48.260774591540994</v>
      </c>
      <c r="V23" s="356">
        <f t="shared" si="81"/>
        <v>51.732975084881019</v>
      </c>
      <c r="W23" s="356">
        <f t="shared" si="82"/>
        <v>49.736176633621213</v>
      </c>
      <c r="X23" s="356">
        <f t="shared" si="82"/>
        <v>48.019411873386588</v>
      </c>
      <c r="Y23" s="356">
        <f t="shared" si="83"/>
        <v>39.253041337374341</v>
      </c>
      <c r="Z23" s="356">
        <f t="shared" si="83"/>
        <v>41.171116981845458</v>
      </c>
      <c r="AA23" s="356">
        <f t="shared" si="84"/>
        <v>39.547045254145807</v>
      </c>
      <c r="AB23" s="356">
        <f t="shared" si="84"/>
        <v>66.428800315750649</v>
      </c>
      <c r="AC23" s="356">
        <f t="shared" si="85"/>
        <v>59.055150951147297</v>
      </c>
      <c r="AD23" s="356">
        <f t="shared" si="85"/>
        <v>57.247196778983692</v>
      </c>
      <c r="AE23" s="356">
        <f t="shared" ref="AE23:AF23" si="90">AE74*CtoCO2</f>
        <v>51.977488359870641</v>
      </c>
      <c r="AF23" s="356">
        <f t="shared" si="90"/>
        <v>57.233006553301081</v>
      </c>
      <c r="AG23" s="356">
        <f t="shared" ref="AG23:AH23" si="91">AG74*CtoCO2</f>
        <v>54.41904448356302</v>
      </c>
      <c r="AH23" s="356">
        <f t="shared" si="91"/>
        <v>55.734392755355948</v>
      </c>
      <c r="AI23" s="356">
        <f t="shared" ref="AI23" si="92">AI74*CtoCO2</f>
        <v>51.063464820652335</v>
      </c>
      <c r="AJ23" s="357">
        <f t="shared" si="13"/>
        <v>-0.31289666599583793</v>
      </c>
      <c r="AK23" s="357">
        <f t="shared" si="14"/>
        <v>2.4170734423501716E-2</v>
      </c>
      <c r="AL23" s="357">
        <f t="shared" si="15"/>
        <v>-8.3806922508449636E-2</v>
      </c>
      <c r="AN23" s="357"/>
      <c r="AO23"/>
      <c r="AP23"/>
      <c r="AQ23"/>
      <c r="AU23" s="291"/>
      <c r="AV23" s="226"/>
    </row>
    <row r="24" spans="2:52">
      <c r="B24" s="6" t="s">
        <v>1443</v>
      </c>
      <c r="C24" s="356">
        <f t="shared" ref="C24:N24" si="93">C75*CtoCO2</f>
        <v>305.86837004185293</v>
      </c>
      <c r="D24" s="356">
        <f t="shared" si="93"/>
        <v>292.78503629653778</v>
      </c>
      <c r="E24" s="356">
        <f t="shared" si="93"/>
        <v>301.0309862925227</v>
      </c>
      <c r="F24" s="356">
        <f t="shared" si="93"/>
        <v>293.109363986299</v>
      </c>
      <c r="G24" s="356">
        <f t="shared" si="93"/>
        <v>288.92185498045387</v>
      </c>
      <c r="H24" s="356">
        <f t="shared" si="93"/>
        <v>291.98616883550289</v>
      </c>
      <c r="I24" s="356">
        <f t="shared" si="93"/>
        <v>300.13887686398715</v>
      </c>
      <c r="J24" s="356">
        <f t="shared" si="93"/>
        <v>294.15680944417926</v>
      </c>
      <c r="K24" s="356">
        <f t="shared" si="93"/>
        <v>294.66981451825228</v>
      </c>
      <c r="L24" s="356">
        <f t="shared" si="93"/>
        <v>272.94393939947111</v>
      </c>
      <c r="M24" s="356">
        <f t="shared" si="93"/>
        <v>300.26569092616825</v>
      </c>
      <c r="N24" s="356">
        <f t="shared" si="93"/>
        <v>312.50708100300676</v>
      </c>
      <c r="O24" s="356">
        <f t="shared" si="79"/>
        <v>307.61140351199276</v>
      </c>
      <c r="P24" s="356">
        <f t="shared" si="79"/>
        <v>313.67173867621773</v>
      </c>
      <c r="Q24" s="356">
        <f t="shared" si="80"/>
        <v>334.05993630344665</v>
      </c>
      <c r="R24" s="356">
        <f t="shared" si="80"/>
        <v>337.87694040171903</v>
      </c>
      <c r="S24" s="356">
        <f t="shared" si="81"/>
        <v>360.76703849769871</v>
      </c>
      <c r="T24" s="356">
        <f t="shared" si="81"/>
        <v>345.90561733347892</v>
      </c>
      <c r="U24" s="356">
        <f t="shared" si="81"/>
        <v>311.56970424060825</v>
      </c>
      <c r="V24" s="356">
        <f t="shared" si="81"/>
        <v>281.82543519496528</v>
      </c>
      <c r="W24" s="356">
        <f t="shared" si="82"/>
        <v>286.78396176303283</v>
      </c>
      <c r="X24" s="356">
        <f t="shared" si="82"/>
        <v>287.98261274237649</v>
      </c>
      <c r="Y24" s="356">
        <f t="shared" si="83"/>
        <v>287.17585056713943</v>
      </c>
      <c r="Z24" s="356">
        <f t="shared" si="83"/>
        <v>299.65492060422906</v>
      </c>
      <c r="AA24" s="356">
        <f t="shared" si="84"/>
        <v>271.87026978437501</v>
      </c>
      <c r="AB24" s="356">
        <f t="shared" si="84"/>
        <v>264.74084752094535</v>
      </c>
      <c r="AC24" s="356">
        <f t="shared" si="85"/>
        <v>262.20220123464566</v>
      </c>
      <c r="AD24" s="356">
        <f t="shared" si="85"/>
        <v>252.01898543113069</v>
      </c>
      <c r="AE24" s="356">
        <f t="shared" ref="AE24:AF24" si="94">AE75*CtoCO2</f>
        <v>257.32814684532644</v>
      </c>
      <c r="AF24" s="356">
        <f t="shared" si="94"/>
        <v>247.15861528492468</v>
      </c>
      <c r="AG24" s="356">
        <f t="shared" ref="AG24:AH24" si="95">AG75*CtoCO2</f>
        <v>216.83444622153593</v>
      </c>
      <c r="AH24" s="356">
        <f t="shared" si="95"/>
        <v>224.64023657742564</v>
      </c>
      <c r="AI24" s="356">
        <f t="shared" ref="AI24" si="96">AI75*CtoCO2</f>
        <v>221.75314639126401</v>
      </c>
      <c r="AJ24" s="357">
        <f t="shared" si="13"/>
        <v>-0.27500464869603602</v>
      </c>
      <c r="AK24" s="357">
        <f t="shared" si="14"/>
        <v>3.5998848392910204E-2</v>
      </c>
      <c r="AL24" s="357">
        <f t="shared" si="15"/>
        <v>-1.2852061723886895E-2</v>
      </c>
      <c r="AN24" s="357"/>
      <c r="AO24"/>
      <c r="AP24"/>
      <c r="AQ24"/>
      <c r="AU24" s="291"/>
      <c r="AV24" s="226"/>
    </row>
    <row r="25" spans="2:52">
      <c r="B25" s="6" t="s">
        <v>1445</v>
      </c>
      <c r="C25" s="356">
        <f t="shared" ref="C25:N25" si="97">C76*CtoCO2</f>
        <v>1432.9432652886276</v>
      </c>
      <c r="D25" s="356">
        <f t="shared" si="97"/>
        <v>1389.4564060937773</v>
      </c>
      <c r="E25" s="356">
        <f t="shared" si="97"/>
        <v>1445.4198600226605</v>
      </c>
      <c r="F25" s="356">
        <f t="shared" si="97"/>
        <v>1474.4524204610232</v>
      </c>
      <c r="G25" s="356">
        <f t="shared" si="97"/>
        <v>1516.3845483799519</v>
      </c>
      <c r="H25" s="356">
        <f t="shared" si="97"/>
        <v>1542.280097691809</v>
      </c>
      <c r="I25" s="356">
        <f t="shared" si="97"/>
        <v>1588.2793374504231</v>
      </c>
      <c r="J25" s="356">
        <f t="shared" si="97"/>
        <v>1602.1285102616407</v>
      </c>
      <c r="K25" s="356">
        <f t="shared" si="97"/>
        <v>1643.631953718932</v>
      </c>
      <c r="L25" s="356">
        <f t="shared" si="97"/>
        <v>1710.533470614638</v>
      </c>
      <c r="M25" s="356">
        <f t="shared" si="97"/>
        <v>1756.5518161208734</v>
      </c>
      <c r="N25" s="356">
        <f t="shared" si="97"/>
        <v>1727.5780724003682</v>
      </c>
      <c r="O25" s="356">
        <f t="shared" si="79"/>
        <v>1765.9312304048144</v>
      </c>
      <c r="P25" s="356">
        <f t="shared" si="79"/>
        <v>1778.7205356811112</v>
      </c>
      <c r="Q25" s="356">
        <f t="shared" si="80"/>
        <v>1813.2935615739598</v>
      </c>
      <c r="R25" s="356">
        <f t="shared" si="80"/>
        <v>1825.4762484604264</v>
      </c>
      <c r="S25" s="356">
        <f t="shared" si="81"/>
        <v>1826.0002540005557</v>
      </c>
      <c r="T25" s="356">
        <f t="shared" si="81"/>
        <v>1825.5562316874011</v>
      </c>
      <c r="U25" s="356">
        <f t="shared" si="81"/>
        <v>1722.979673561545</v>
      </c>
      <c r="V25" s="356">
        <f t="shared" si="81"/>
        <v>1650.5556008859128</v>
      </c>
      <c r="W25" s="356">
        <f t="shared" si="82"/>
        <v>1658.4553294190557</v>
      </c>
      <c r="X25" s="356">
        <f t="shared" si="82"/>
        <v>1631.4345760286221</v>
      </c>
      <c r="Y25" s="356">
        <f t="shared" si="83"/>
        <v>1618.0233222872737</v>
      </c>
      <c r="Z25" s="356">
        <f t="shared" si="83"/>
        <v>1621.9966735810883</v>
      </c>
      <c r="AA25" s="356">
        <f t="shared" si="84"/>
        <v>1667.1086070610122</v>
      </c>
      <c r="AB25" s="356">
        <f t="shared" si="84"/>
        <v>1678.9752558374032</v>
      </c>
      <c r="AC25" s="356">
        <f t="shared" si="85"/>
        <v>1717.8477376887884</v>
      </c>
      <c r="AD25" s="356">
        <f t="shared" si="85"/>
        <v>1738.0500649093556</v>
      </c>
      <c r="AE25" s="356">
        <f t="shared" ref="AE25:AF25" si="98">AE76*CtoCO2</f>
        <v>1762.2192146418806</v>
      </c>
      <c r="AF25" s="356">
        <f t="shared" si="98"/>
        <v>1757.7069059853736</v>
      </c>
      <c r="AG25" s="356">
        <f>AG76*CtoCO2</f>
        <v>1514.1664116985837</v>
      </c>
      <c r="AH25" s="356">
        <f>AH76*CtoCO2</f>
        <v>1688.3549089409773</v>
      </c>
      <c r="AI25" s="356">
        <f>AI76*CtoCO2</f>
        <v>1710.6018856605253</v>
      </c>
      <c r="AJ25" s="357">
        <f t="shared" si="13"/>
        <v>0.1937680486714671</v>
      </c>
      <c r="AK25" s="357">
        <f t="shared" si="14"/>
        <v>0.11503920302061774</v>
      </c>
      <c r="AL25" s="357">
        <f t="shared" si="15"/>
        <v>1.3176718118764759E-2</v>
      </c>
      <c r="AN25" s="357"/>
      <c r="AO25" s="226"/>
      <c r="AP25" s="226"/>
      <c r="AQ25" s="226"/>
      <c r="AR25" s="226"/>
      <c r="AS25" s="226"/>
      <c r="AT25" s="226"/>
      <c r="AU25" s="291"/>
      <c r="AV25" s="226"/>
      <c r="AW25" s="226"/>
      <c r="AX25" s="226"/>
      <c r="AY25" s="226"/>
      <c r="AZ25" s="226"/>
    </row>
    <row r="26" spans="2:52">
      <c r="B26" s="6" t="s">
        <v>1474</v>
      </c>
      <c r="C26" s="356">
        <f t="shared" ref="C26:N26" si="99">C77*CtoCO2</f>
        <v>97.538490680398411</v>
      </c>
      <c r="D26" s="356">
        <f t="shared" si="99"/>
        <v>90.678661907118197</v>
      </c>
      <c r="E26" s="356">
        <f t="shared" si="99"/>
        <v>75.527743357330678</v>
      </c>
      <c r="F26" s="356">
        <f t="shared" si="99"/>
        <v>86.415412739867193</v>
      </c>
      <c r="G26" s="356">
        <f t="shared" si="99"/>
        <v>81.246850001075686</v>
      </c>
      <c r="H26" s="356">
        <f t="shared" si="99"/>
        <v>58.71177506316068</v>
      </c>
      <c r="I26" s="356">
        <f t="shared" si="99"/>
        <v>63.3962927596016</v>
      </c>
      <c r="J26" s="356">
        <f t="shared" si="99"/>
        <v>72.207404234661354</v>
      </c>
      <c r="K26" s="356">
        <f t="shared" si="99"/>
        <v>101.26271580049136</v>
      </c>
      <c r="L26" s="356">
        <f t="shared" si="99"/>
        <v>93.83330481405045</v>
      </c>
      <c r="M26" s="356">
        <f t="shared" si="99"/>
        <v>88.524423740199197</v>
      </c>
      <c r="N26" s="356">
        <f t="shared" si="99"/>
        <v>98.561015855192565</v>
      </c>
      <c r="O26" s="356">
        <f t="shared" si="79"/>
        <v>76.854861578857893</v>
      </c>
      <c r="P26" s="356">
        <f t="shared" si="79"/>
        <v>95.127634817888449</v>
      </c>
      <c r="Q26" s="356">
        <f t="shared" si="80"/>
        <v>95.845222101221793</v>
      </c>
      <c r="R26" s="356">
        <f t="shared" si="80"/>
        <v>97.96669769888446</v>
      </c>
      <c r="S26" s="356">
        <f t="shared" si="81"/>
        <v>53.276122434926961</v>
      </c>
      <c r="T26" s="356">
        <f t="shared" si="81"/>
        <v>52.964488890730408</v>
      </c>
      <c r="U26" s="356">
        <f t="shared" si="81"/>
        <v>38.386647737556437</v>
      </c>
      <c r="V26" s="356">
        <f t="shared" si="81"/>
        <v>32.211435291660024</v>
      </c>
      <c r="W26" s="356">
        <f t="shared" si="82"/>
        <v>31.428996559920311</v>
      </c>
      <c r="X26" s="356">
        <f t="shared" si="82"/>
        <v>25.831553656440903</v>
      </c>
      <c r="Y26" s="356">
        <f>Y77*CtoCO2</f>
        <v>18.333108585152722</v>
      </c>
      <c r="Z26" s="356">
        <f>Z77*CtoCO2</f>
        <v>22.420050113678617</v>
      </c>
      <c r="AA26" s="356">
        <f t="shared" si="84"/>
        <v>25.304369663240369</v>
      </c>
      <c r="AB26" s="356">
        <f t="shared" si="84"/>
        <v>23.674448825350165</v>
      </c>
      <c r="AC26" s="356">
        <f t="shared" si="85"/>
        <v>21.458011279651984</v>
      </c>
      <c r="AD26" s="356">
        <f t="shared" si="85"/>
        <v>18.920639478904537</v>
      </c>
      <c r="AE26" s="356">
        <f t="shared" ref="AE26:AF26" si="100">AE77*CtoCO2</f>
        <v>22.215728844761522</v>
      </c>
      <c r="AF26" s="356">
        <f t="shared" si="100"/>
        <v>16.161308535890104</v>
      </c>
      <c r="AG26" s="356">
        <f t="shared" ref="AG26:AH26" si="101">AG77*CtoCO2</f>
        <v>16.166104737697388</v>
      </c>
      <c r="AH26" s="356">
        <f t="shared" si="101"/>
        <v>17.713212252599575</v>
      </c>
      <c r="AI26" s="356">
        <f t="shared" ref="AI26" si="102">AI77*CtoCO2</f>
        <v>20.522249226051947</v>
      </c>
      <c r="AJ26" s="357">
        <f t="shared" si="13"/>
        <v>-0.78959845407802542</v>
      </c>
      <c r="AK26" s="357">
        <f t="shared" si="14"/>
        <v>9.570069846785792E-2</v>
      </c>
      <c r="AL26" s="357">
        <f t="shared" si="15"/>
        <v>0.15858427784831181</v>
      </c>
      <c r="AN26" s="357"/>
      <c r="AO26"/>
      <c r="AP26"/>
      <c r="AQ26"/>
      <c r="AU26" s="291"/>
    </row>
    <row r="27" spans="2:52">
      <c r="B27" s="6" t="s">
        <v>1476</v>
      </c>
      <c r="C27" s="356">
        <f t="shared" ref="C27:N27" si="103">C78*CtoCO2</f>
        <v>19.508959997567821</v>
      </c>
      <c r="D27" s="356">
        <f t="shared" si="103"/>
        <v>18.719462787601117</v>
      </c>
      <c r="E27" s="356">
        <f t="shared" si="103"/>
        <v>21.550453172158644</v>
      </c>
      <c r="F27" s="356">
        <f t="shared" si="103"/>
        <v>22.209565820159433</v>
      </c>
      <c r="G27" s="356">
        <f t="shared" si="103"/>
        <v>24.309329766534255</v>
      </c>
      <c r="H27" s="356">
        <f t="shared" si="103"/>
        <v>21.11806308104892</v>
      </c>
      <c r="I27" s="356">
        <f t="shared" si="103"/>
        <v>19.336238272987909</v>
      </c>
      <c r="J27" s="356">
        <f t="shared" si="103"/>
        <v>19.632812588792206</v>
      </c>
      <c r="K27" s="356">
        <f t="shared" si="103"/>
        <v>18.991174385790437</v>
      </c>
      <c r="L27" s="356">
        <f t="shared" si="103"/>
        <v>15.05096583845658</v>
      </c>
      <c r="M27" s="356">
        <f t="shared" si="103"/>
        <v>35.882449882897561</v>
      </c>
      <c r="N27" s="356">
        <f t="shared" si="103"/>
        <v>47.84126149792592</v>
      </c>
      <c r="O27" s="356">
        <f t="shared" si="79"/>
        <v>41.918924234670499</v>
      </c>
      <c r="P27" s="356">
        <f t="shared" si="79"/>
        <v>46.275896176518664</v>
      </c>
      <c r="Q27" s="356">
        <f t="shared" si="80"/>
        <v>48.662481315630998</v>
      </c>
      <c r="R27" s="356">
        <f t="shared" si="80"/>
        <v>47.552669878629565</v>
      </c>
      <c r="S27" s="356">
        <f t="shared" si="81"/>
        <v>46.476346066172155</v>
      </c>
      <c r="T27" s="356">
        <f t="shared" si="81"/>
        <v>41.828251627125084</v>
      </c>
      <c r="U27" s="356">
        <f t="shared" si="81"/>
        <v>33.478967793935858</v>
      </c>
      <c r="V27" s="356">
        <f t="shared" si="81"/>
        <v>34.095301754220401</v>
      </c>
      <c r="W27" s="356">
        <f>W78*CtoCO2</f>
        <v>29.831092711053437</v>
      </c>
      <c r="X27" s="356">
        <f t="shared" si="82"/>
        <v>29.187061284242123</v>
      </c>
      <c r="Y27" s="356">
        <f t="shared" si="83"/>
        <v>27.056320471856431</v>
      </c>
      <c r="Z27" s="356">
        <f t="shared" si="83"/>
        <v>21.764648413326455</v>
      </c>
      <c r="AA27" s="356">
        <f t="shared" si="84"/>
        <v>21.626600043234902</v>
      </c>
      <c r="AB27" s="356">
        <f t="shared" si="84"/>
        <v>22.186278560353131</v>
      </c>
      <c r="AC27" s="356">
        <f t="shared" si="85"/>
        <v>19.529039380245276</v>
      </c>
      <c r="AD27" s="356">
        <f t="shared" si="85"/>
        <v>21.099650390484019</v>
      </c>
      <c r="AE27" s="356">
        <f t="shared" ref="AE27:AF27" si="104">AE78*CtoCO2</f>
        <v>20.061671070602724</v>
      </c>
      <c r="AF27" s="356">
        <f t="shared" si="104"/>
        <v>17.47925018767976</v>
      </c>
      <c r="AG27" s="356">
        <f>AG78*CtoCO2</f>
        <v>17.548655495362741</v>
      </c>
      <c r="AH27" s="356">
        <f>AH78*CtoCO2</f>
        <v>16.96048967609271</v>
      </c>
      <c r="AI27" s="356">
        <f>AI78*CtoCO2</f>
        <v>16.958327323098519</v>
      </c>
      <c r="AJ27" s="357">
        <f t="shared" si="13"/>
        <v>-0.13074160154038394</v>
      </c>
      <c r="AK27" s="357">
        <f t="shared" si="14"/>
        <v>-3.3516289577025155E-2</v>
      </c>
      <c r="AL27" s="357">
        <f t="shared" si="15"/>
        <v>-1.2749354738492998E-4</v>
      </c>
      <c r="AN27" s="357"/>
      <c r="AO27"/>
      <c r="AP27"/>
      <c r="AQ27"/>
      <c r="AU27" s="291"/>
    </row>
    <row r="28" spans="2:52">
      <c r="B28" s="5" t="s">
        <v>1479</v>
      </c>
      <c r="C28" s="354">
        <f>SUM(C29)</f>
        <v>0.53819391898531332</v>
      </c>
      <c r="D28" s="354">
        <f t="shared" ref="D28:AI28" si="105">SUM(D29)</f>
        <v>0.53913328761937329</v>
      </c>
      <c r="E28" s="354">
        <f t="shared" si="105"/>
        <v>0.54407238576943517</v>
      </c>
      <c r="F28" s="354">
        <f t="shared" si="105"/>
        <v>0.55549804438478367</v>
      </c>
      <c r="G28" s="354">
        <f t="shared" si="105"/>
        <v>0.51416615280727973</v>
      </c>
      <c r="H28" s="354">
        <f t="shared" si="105"/>
        <v>0.42789739562582274</v>
      </c>
      <c r="I28" s="354">
        <f t="shared" si="105"/>
        <v>0.46247774297699551</v>
      </c>
      <c r="J28" s="354">
        <f t="shared" si="105"/>
        <v>0.48008445222437274</v>
      </c>
      <c r="K28" s="354">
        <f t="shared" si="105"/>
        <v>0.47808351702318308</v>
      </c>
      <c r="L28" s="354">
        <f t="shared" si="105"/>
        <v>0.48506929832140988</v>
      </c>
      <c r="M28" s="354">
        <f t="shared" si="105"/>
        <v>0.46106105539886988</v>
      </c>
      <c r="N28" s="354">
        <f t="shared" si="105"/>
        <v>0.44952386597193894</v>
      </c>
      <c r="O28" s="354">
        <f t="shared" si="105"/>
        <v>0.46881399496422538</v>
      </c>
      <c r="P28" s="354">
        <f t="shared" si="105"/>
        <v>0.46668759381997493</v>
      </c>
      <c r="Q28" s="354">
        <f t="shared" si="105"/>
        <v>0.46734375342683254</v>
      </c>
      <c r="R28" s="354">
        <f t="shared" si="105"/>
        <v>0.46101770673125719</v>
      </c>
      <c r="S28" s="354">
        <f t="shared" si="105"/>
        <v>0.45493035004951315</v>
      </c>
      <c r="T28" s="354">
        <f t="shared" si="105"/>
        <v>0.45791243059931558</v>
      </c>
      <c r="U28" s="354">
        <f t="shared" si="105"/>
        <v>0.44186045906642402</v>
      </c>
      <c r="V28" s="354">
        <f t="shared" si="105"/>
        <v>0.43404580842672003</v>
      </c>
      <c r="W28" s="354">
        <f t="shared" si="105"/>
        <v>0.42666894035695202</v>
      </c>
      <c r="X28" s="354">
        <f t="shared" si="105"/>
        <v>0.436098145690272</v>
      </c>
      <c r="Y28" s="354">
        <f t="shared" si="105"/>
        <v>0.43740649120955999</v>
      </c>
      <c r="Z28" s="354">
        <f t="shared" si="105"/>
        <v>0.43301642728912798</v>
      </c>
      <c r="AA28" s="354">
        <f t="shared" si="105"/>
        <v>0.42329941039188002</v>
      </c>
      <c r="AB28" s="354">
        <f t="shared" si="105"/>
        <v>0.41438842328750403</v>
      </c>
      <c r="AC28" s="354">
        <f t="shared" si="105"/>
        <v>0.40471025909529595</v>
      </c>
      <c r="AD28" s="354">
        <f t="shared" si="105"/>
        <v>0.410679019378689</v>
      </c>
      <c r="AE28" s="354">
        <f t="shared" si="105"/>
        <v>0.40475222088763196</v>
      </c>
      <c r="AF28" s="354">
        <f t="shared" si="105"/>
        <v>0.37101446085844803</v>
      </c>
      <c r="AG28" s="354">
        <f t="shared" si="105"/>
        <v>0.39082596898509597</v>
      </c>
      <c r="AH28" s="354">
        <f t="shared" si="105"/>
        <v>0.37701789288105603</v>
      </c>
      <c r="AI28" s="354">
        <f t="shared" si="105"/>
        <v>0.38055713481468001</v>
      </c>
      <c r="AJ28" s="355">
        <f t="shared" si="13"/>
        <v>-0.2928996010728524</v>
      </c>
      <c r="AK28" s="355">
        <f t="shared" si="14"/>
        <v>-3.5330497970482898E-2</v>
      </c>
      <c r="AL28" s="355">
        <f t="shared" si="15"/>
        <v>9.3874640977333248E-3</v>
      </c>
      <c r="AN28" s="357"/>
      <c r="AO28"/>
      <c r="AP28"/>
      <c r="AQ28"/>
      <c r="AU28" s="291"/>
    </row>
    <row r="29" spans="2:52">
      <c r="B29" s="6" t="s">
        <v>1474</v>
      </c>
      <c r="C29" s="356">
        <f t="shared" ref="C29:AH29" si="106">C79*CtoCO2</f>
        <v>0.53819391898531332</v>
      </c>
      <c r="D29" s="356">
        <f t="shared" si="106"/>
        <v>0.53913328761937329</v>
      </c>
      <c r="E29" s="356">
        <f t="shared" si="106"/>
        <v>0.54407238576943517</v>
      </c>
      <c r="F29" s="356">
        <f t="shared" si="106"/>
        <v>0.55549804438478367</v>
      </c>
      <c r="G29" s="356">
        <f t="shared" si="106"/>
        <v>0.51416615280727973</v>
      </c>
      <c r="H29" s="356">
        <f t="shared" si="106"/>
        <v>0.42789739562582274</v>
      </c>
      <c r="I29" s="356">
        <f t="shared" si="106"/>
        <v>0.46247774297699551</v>
      </c>
      <c r="J29" s="356">
        <f t="shared" si="106"/>
        <v>0.48008445222437274</v>
      </c>
      <c r="K29" s="356">
        <f t="shared" si="106"/>
        <v>0.47808351702318308</v>
      </c>
      <c r="L29" s="356">
        <f t="shared" si="106"/>
        <v>0.48506929832140988</v>
      </c>
      <c r="M29" s="356">
        <f t="shared" si="106"/>
        <v>0.46106105539886988</v>
      </c>
      <c r="N29" s="356">
        <f t="shared" si="106"/>
        <v>0.44952386597193894</v>
      </c>
      <c r="O29" s="356">
        <f t="shared" si="106"/>
        <v>0.46881399496422538</v>
      </c>
      <c r="P29" s="356">
        <f t="shared" si="106"/>
        <v>0.46668759381997493</v>
      </c>
      <c r="Q29" s="356">
        <f t="shared" si="106"/>
        <v>0.46734375342683254</v>
      </c>
      <c r="R29" s="356">
        <f t="shared" si="106"/>
        <v>0.46101770673125719</v>
      </c>
      <c r="S29" s="356">
        <f t="shared" si="106"/>
        <v>0.45493035004951315</v>
      </c>
      <c r="T29" s="356">
        <f t="shared" si="106"/>
        <v>0.45791243059931558</v>
      </c>
      <c r="U29" s="356">
        <f t="shared" si="106"/>
        <v>0.44186045906642402</v>
      </c>
      <c r="V29" s="356">
        <f t="shared" si="106"/>
        <v>0.43404580842672003</v>
      </c>
      <c r="W29" s="356">
        <f t="shared" si="106"/>
        <v>0.42666894035695202</v>
      </c>
      <c r="X29" s="356">
        <f t="shared" si="106"/>
        <v>0.436098145690272</v>
      </c>
      <c r="Y29" s="356">
        <f t="shared" si="106"/>
        <v>0.43740649120955999</v>
      </c>
      <c r="Z29" s="356">
        <f t="shared" si="106"/>
        <v>0.43301642728912798</v>
      </c>
      <c r="AA29" s="356">
        <f t="shared" si="106"/>
        <v>0.42329941039188002</v>
      </c>
      <c r="AB29" s="356">
        <f t="shared" si="106"/>
        <v>0.41438842328750403</v>
      </c>
      <c r="AC29" s="356">
        <f t="shared" si="106"/>
        <v>0.40471025909529595</v>
      </c>
      <c r="AD29" s="356">
        <f t="shared" si="106"/>
        <v>0.410679019378689</v>
      </c>
      <c r="AE29" s="356">
        <f t="shared" si="106"/>
        <v>0.40475222088763196</v>
      </c>
      <c r="AF29" s="356">
        <f t="shared" si="106"/>
        <v>0.37101446085844803</v>
      </c>
      <c r="AG29" s="356">
        <f t="shared" si="106"/>
        <v>0.39082596898509597</v>
      </c>
      <c r="AH29" s="356">
        <f t="shared" si="106"/>
        <v>0.37701789288105603</v>
      </c>
      <c r="AI29" s="356">
        <f t="shared" ref="AI29" si="107">AI79*CtoCO2</f>
        <v>0.38055713481468001</v>
      </c>
      <c r="AJ29" s="357">
        <f t="shared" si="13"/>
        <v>-0.2928996010728524</v>
      </c>
      <c r="AK29" s="357">
        <f t="shared" si="14"/>
        <v>-3.5330497970482898E-2</v>
      </c>
      <c r="AL29" s="357">
        <f t="shared" si="15"/>
        <v>9.3874640977333248E-3</v>
      </c>
      <c r="AN29" s="357"/>
      <c r="AO29"/>
      <c r="AP29"/>
      <c r="AQ29"/>
      <c r="AU29" s="291"/>
    </row>
    <row r="30" spans="2:52">
      <c r="B30" s="4" t="s">
        <v>1480</v>
      </c>
      <c r="C30" s="358">
        <f>SUM(C7,C14,C21,C28)</f>
        <v>4746.9107611763911</v>
      </c>
      <c r="D30" s="358">
        <f t="shared" ref="D30:L30" si="108">SUM(D7,D14,D21,D28)</f>
        <v>4700.2568670290275</v>
      </c>
      <c r="E30" s="358">
        <f t="shared" si="108"/>
        <v>4792.896191445001</v>
      </c>
      <c r="F30" s="358">
        <f t="shared" si="108"/>
        <v>4909.1099279193959</v>
      </c>
      <c r="G30" s="358">
        <f t="shared" si="108"/>
        <v>4971.4921183987371</v>
      </c>
      <c r="H30" s="358">
        <f t="shared" si="108"/>
        <v>5030.9902119425951</v>
      </c>
      <c r="I30" s="358">
        <f t="shared" si="108"/>
        <v>5205.8721982212046</v>
      </c>
      <c r="J30" s="358">
        <f t="shared" si="108"/>
        <v>5266.2520827818253</v>
      </c>
      <c r="K30" s="358">
        <f t="shared" si="108"/>
        <v>5329.302392675474</v>
      </c>
      <c r="L30" s="358">
        <f t="shared" si="108"/>
        <v>5374.1646861342406</v>
      </c>
      <c r="M30" s="358">
        <f t="shared" ref="M30:U30" si="109">SUM(M7,M14,M21,M28)</f>
        <v>5620.5710399981317</v>
      </c>
      <c r="N30" s="358">
        <f t="shared" si="109"/>
        <v>5524.0653658701167</v>
      </c>
      <c r="O30" s="358">
        <f t="shared" si="109"/>
        <v>5565.1845602944486</v>
      </c>
      <c r="P30" s="358">
        <f t="shared" si="109"/>
        <v>5634.4136153853842</v>
      </c>
      <c r="Q30" s="358">
        <f t="shared" si="109"/>
        <v>5713.4982557715184</v>
      </c>
      <c r="R30" s="358">
        <f t="shared" si="109"/>
        <v>5739.5565585087497</v>
      </c>
      <c r="S30" s="358">
        <f t="shared" si="109"/>
        <v>5650.9400650318275</v>
      </c>
      <c r="T30" s="358">
        <f t="shared" si="109"/>
        <v>5734.8641814831999</v>
      </c>
      <c r="U30" s="358">
        <f t="shared" si="109"/>
        <v>5547.8591342867257</v>
      </c>
      <c r="V30" s="358">
        <f t="shared" ref="V30:AA30" si="110">SUM(V7,V14,V21,V28)</f>
        <v>5179.5118746219405</v>
      </c>
      <c r="W30" s="358">
        <f t="shared" si="110"/>
        <v>5336.5715852980038</v>
      </c>
      <c r="X30" s="358">
        <f t="shared" si="110"/>
        <v>5204.5445538446747</v>
      </c>
      <c r="Y30" s="358">
        <f t="shared" si="110"/>
        <v>4997.8460700475689</v>
      </c>
      <c r="Z30" s="358">
        <f t="shared" si="110"/>
        <v>5119.1697937386962</v>
      </c>
      <c r="AA30" s="358">
        <f t="shared" si="110"/>
        <v>5169.1260393761713</v>
      </c>
      <c r="AB30" s="358">
        <f>SUM(AB7,AB14,AB21,AB28)</f>
        <v>5004.3330938460931</v>
      </c>
      <c r="AC30" s="358">
        <f>SUM(AC7,AC14,AC21,AC28)</f>
        <v>4907.3297734535845</v>
      </c>
      <c r="AD30" s="358">
        <f>SUM(AD7,AD14,AD21,AD28)</f>
        <v>4843.4900631032624</v>
      </c>
      <c r="AE30" s="358">
        <f t="shared" ref="AE30:AF30" si="111">SUM(AE7,AE14,AE21,AE28)</f>
        <v>4982.9401553416565</v>
      </c>
      <c r="AF30" s="358">
        <f t="shared" si="111"/>
        <v>4840.9487120861313</v>
      </c>
      <c r="AG30" s="358">
        <f t="shared" ref="AG30:AH30" si="112">SUM(AG7,AG14,AG21,AG28)</f>
        <v>4329.2412005285369</v>
      </c>
      <c r="AH30" s="358">
        <f t="shared" si="112"/>
        <v>4642.6449391491133</v>
      </c>
      <c r="AI30" s="358">
        <f t="shared" ref="AI30" si="113">SUM(AI7,AI14,AI21,AI28)</f>
        <v>4689.8828048593923</v>
      </c>
      <c r="AJ30" s="359">
        <f t="shared" si="13"/>
        <v>-1.2013698842500678E-2</v>
      </c>
      <c r="AK30" s="359">
        <f t="shared" si="14"/>
        <v>7.2392302508419812E-2</v>
      </c>
      <c r="AL30" s="359">
        <f t="shared" si="15"/>
        <v>1.017477457988347E-2</v>
      </c>
      <c r="AN30" s="357">
        <f>(AI30-C30)/C30</f>
        <v>-1.2013698842500678E-2</v>
      </c>
      <c r="AO30" s="780" t="s">
        <v>1481</v>
      </c>
      <c r="AQ30"/>
      <c r="AU30" s="291"/>
    </row>
    <row r="31" spans="2:52">
      <c r="B31" s="1" t="s">
        <v>1482</v>
      </c>
      <c r="C31" s="360"/>
      <c r="D31" s="360"/>
      <c r="E31" s="360"/>
      <c r="F31" s="360"/>
      <c r="G31" s="360"/>
      <c r="H31" s="360"/>
      <c r="I31" s="360"/>
      <c r="J31" s="360"/>
      <c r="K31" s="360"/>
      <c r="L31" s="360"/>
      <c r="M31" s="360"/>
      <c r="N31" s="360"/>
      <c r="O31" s="680"/>
      <c r="P31" s="680"/>
      <c r="Q31" s="680"/>
      <c r="R31" s="680"/>
      <c r="S31" s="681"/>
      <c r="T31" s="681"/>
      <c r="U31" s="681"/>
      <c r="V31" s="681"/>
      <c r="W31" s="681"/>
      <c r="X31" s="681"/>
      <c r="Y31" s="681"/>
      <c r="Z31" s="681"/>
      <c r="AA31" s="681"/>
      <c r="AB31" s="681"/>
      <c r="AC31" s="681"/>
      <c r="AD31" s="681"/>
      <c r="AE31" s="681"/>
      <c r="AF31" s="681"/>
      <c r="AG31" s="681"/>
      <c r="AH31" s="681"/>
      <c r="AI31" s="681"/>
      <c r="AJ31" s="682"/>
      <c r="AK31" s="680"/>
      <c r="AL31" s="680"/>
      <c r="AN31"/>
      <c r="AO31"/>
      <c r="AP31"/>
      <c r="AQ31"/>
    </row>
    <row r="32" spans="2:52">
      <c r="B32" s="1" t="s">
        <v>1483</v>
      </c>
      <c r="C32" s="361"/>
      <c r="D32" s="361"/>
      <c r="E32" s="361"/>
      <c r="F32" s="361"/>
      <c r="G32" s="361"/>
      <c r="H32" s="362"/>
      <c r="I32" s="361"/>
      <c r="J32" s="361"/>
      <c r="K32" s="361"/>
      <c r="L32" s="361"/>
      <c r="M32" s="361"/>
      <c r="N32" s="361"/>
      <c r="O32" s="361"/>
      <c r="P32" s="363"/>
      <c r="Q32" s="363"/>
      <c r="R32" s="363"/>
      <c r="S32" s="364"/>
      <c r="T32" s="364"/>
      <c r="U32" s="364"/>
      <c r="V32" s="364"/>
      <c r="W32" s="364"/>
      <c r="X32" s="365"/>
      <c r="Y32" s="365"/>
      <c r="Z32" s="365"/>
      <c r="AA32" s="365"/>
      <c r="AB32" s="365"/>
      <c r="AC32" s="365"/>
      <c r="AD32" s="365"/>
      <c r="AE32" s="365"/>
      <c r="AF32" s="365"/>
      <c r="AG32" s="365"/>
      <c r="AH32" s="365"/>
      <c r="AI32" s="365"/>
      <c r="AJ32" s="364"/>
      <c r="AK32" s="363"/>
      <c r="AL32" s="363"/>
      <c r="AN32"/>
      <c r="AO32"/>
      <c r="AP32"/>
      <c r="AQ32"/>
    </row>
    <row r="33" spans="2:43" ht="15">
      <c r="B33" s="85" t="s">
        <v>1484</v>
      </c>
      <c r="C33" s="361"/>
      <c r="D33" s="361"/>
      <c r="E33" s="361"/>
      <c r="F33" s="361"/>
      <c r="G33" s="361"/>
      <c r="H33" s="361"/>
      <c r="I33" s="361"/>
      <c r="J33" s="361"/>
      <c r="K33" s="361"/>
      <c r="L33" s="361"/>
      <c r="M33" s="361"/>
      <c r="N33" s="361"/>
      <c r="O33" s="361"/>
      <c r="P33" s="680"/>
      <c r="Q33" s="680"/>
      <c r="R33" s="680"/>
      <c r="S33" s="681"/>
      <c r="T33" s="681"/>
      <c r="U33" s="681"/>
      <c r="V33" s="681"/>
      <c r="W33" s="681"/>
      <c r="X33" s="681"/>
      <c r="Y33" s="681"/>
      <c r="Z33" s="681"/>
      <c r="AA33" s="681"/>
      <c r="AB33" s="681"/>
      <c r="AC33" s="681"/>
      <c r="AD33" s="681"/>
      <c r="AE33" s="681"/>
      <c r="AF33" s="681"/>
      <c r="AG33" s="681"/>
      <c r="AH33" s="681"/>
      <c r="AI33" s="681"/>
      <c r="AJ33" s="681"/>
      <c r="AK33" s="680"/>
      <c r="AL33" s="680"/>
      <c r="AN33"/>
      <c r="AO33"/>
      <c r="AP33"/>
      <c r="AQ33"/>
    </row>
    <row r="34" spans="2:43" ht="15">
      <c r="B34" s="1" t="s">
        <v>1485</v>
      </c>
      <c r="C34" s="361"/>
      <c r="D34" s="361"/>
      <c r="E34" s="361"/>
      <c r="F34" s="361"/>
      <c r="G34" s="361"/>
      <c r="H34" s="361"/>
      <c r="I34" s="361"/>
      <c r="J34" s="361"/>
      <c r="K34" s="361"/>
      <c r="L34" s="361"/>
      <c r="M34" s="680"/>
      <c r="N34" s="680"/>
      <c r="O34" s="680"/>
      <c r="P34" s="680"/>
      <c r="Q34" s="680"/>
      <c r="R34" s="680"/>
      <c r="S34" s="681"/>
      <c r="T34" s="681"/>
      <c r="U34" s="681"/>
      <c r="V34" s="681"/>
      <c r="W34" s="681"/>
      <c r="X34" s="681"/>
      <c r="Y34" s="681"/>
      <c r="Z34" s="681"/>
      <c r="AA34" s="681"/>
      <c r="AB34" s="681"/>
      <c r="AC34" s="681"/>
      <c r="AD34" s="681"/>
      <c r="AE34" s="681"/>
      <c r="AF34" s="681"/>
      <c r="AG34" s="681"/>
      <c r="AH34" s="681"/>
      <c r="AI34" s="681"/>
      <c r="AJ34" s="681"/>
      <c r="AK34" s="680"/>
      <c r="AL34" s="680"/>
      <c r="AN34"/>
      <c r="AO34"/>
      <c r="AQ34"/>
    </row>
    <row r="35" spans="2:43">
      <c r="B35" s="1" t="s">
        <v>1486</v>
      </c>
      <c r="C35" s="361"/>
      <c r="D35" s="361"/>
      <c r="E35" s="361"/>
      <c r="F35" s="361"/>
      <c r="G35" s="361"/>
      <c r="H35" s="361"/>
      <c r="I35" s="361"/>
      <c r="J35" s="361"/>
      <c r="K35" s="361"/>
      <c r="L35" s="361"/>
      <c r="M35" s="680"/>
      <c r="N35" s="680"/>
      <c r="O35" s="680"/>
      <c r="P35" s="680"/>
      <c r="Q35" s="680"/>
      <c r="R35" s="680"/>
      <c r="S35" s="681"/>
      <c r="T35" s="681"/>
      <c r="U35" s="681"/>
      <c r="V35" s="681"/>
      <c r="W35" s="681"/>
      <c r="X35" s="681"/>
      <c r="Y35" s="681"/>
      <c r="Z35" s="681"/>
      <c r="AA35" s="681"/>
      <c r="AB35" s="681"/>
      <c r="AC35" s="681"/>
      <c r="AD35" s="681"/>
      <c r="AE35" s="681"/>
      <c r="AF35" s="681"/>
      <c r="AG35" s="681"/>
      <c r="AH35" s="681"/>
      <c r="AI35" s="681"/>
      <c r="AJ35" s="681"/>
      <c r="AK35" s="680"/>
      <c r="AL35" s="680"/>
      <c r="AN35"/>
      <c r="AO35"/>
      <c r="AP35"/>
      <c r="AQ35"/>
    </row>
    <row r="36" spans="2:43">
      <c r="C36" s="777"/>
      <c r="D36" s="777"/>
      <c r="E36" s="777"/>
      <c r="F36" s="777"/>
      <c r="G36" s="777"/>
      <c r="H36" s="777"/>
      <c r="I36" s="777"/>
      <c r="J36" s="777"/>
      <c r="K36" s="777"/>
      <c r="L36" s="777"/>
      <c r="M36" s="777"/>
      <c r="N36" s="777"/>
      <c r="O36" s="777"/>
      <c r="P36" s="777"/>
      <c r="Q36" s="777"/>
      <c r="R36" s="777"/>
      <c r="S36" s="777"/>
      <c r="T36" s="777"/>
      <c r="U36" s="777"/>
      <c r="V36" s="777"/>
      <c r="W36" s="777"/>
      <c r="X36" s="777"/>
      <c r="Y36" s="777"/>
      <c r="Z36" s="777"/>
      <c r="AA36" s="777"/>
      <c r="AB36" s="777"/>
      <c r="AC36" s="777"/>
      <c r="AD36" s="777"/>
      <c r="AE36" s="777"/>
      <c r="AF36" s="777"/>
      <c r="AG36" s="777"/>
      <c r="AH36" s="777"/>
      <c r="AI36" s="777"/>
      <c r="AJ36" s="681"/>
      <c r="AK36" s="680"/>
      <c r="AL36" s="680"/>
      <c r="AN36"/>
      <c r="AO36"/>
      <c r="AP36"/>
      <c r="AQ36"/>
    </row>
    <row r="37" spans="2:43" ht="15">
      <c r="B37" s="5" t="s">
        <v>1487</v>
      </c>
      <c r="C37" s="361"/>
      <c r="D37" s="361"/>
      <c r="E37" s="361"/>
      <c r="F37" s="361"/>
      <c r="G37" s="361"/>
      <c r="H37" s="361"/>
      <c r="I37" s="361"/>
      <c r="J37" s="361"/>
      <c r="K37" s="361"/>
      <c r="L37" s="361"/>
      <c r="M37" s="680"/>
      <c r="N37" s="680"/>
      <c r="O37" s="680"/>
      <c r="P37" s="680"/>
      <c r="Q37" s="680"/>
      <c r="R37" s="680"/>
      <c r="S37" s="681"/>
      <c r="T37" s="681"/>
      <c r="U37" s="681"/>
      <c r="V37" s="681"/>
      <c r="W37" s="681"/>
      <c r="X37" s="681"/>
      <c r="Y37" s="681"/>
      <c r="Z37" s="681"/>
      <c r="AA37" s="681"/>
      <c r="AB37" s="681"/>
      <c r="AC37" s="681"/>
      <c r="AD37" s="681"/>
      <c r="AE37" s="681"/>
      <c r="AF37" s="681"/>
      <c r="AG37" s="681"/>
      <c r="AH37" s="681"/>
      <c r="AI37" s="681"/>
      <c r="AJ37" s="681"/>
      <c r="AK37" s="680"/>
      <c r="AL37" s="680"/>
      <c r="AN37"/>
      <c r="AO37"/>
      <c r="AP37"/>
      <c r="AQ37"/>
    </row>
    <row r="38" spans="2:43" ht="27.95">
      <c r="B38" s="31" t="s">
        <v>1488</v>
      </c>
      <c r="C38" s="366">
        <f>SUM(C39:C41)</f>
        <v>103.49628773535125</v>
      </c>
      <c r="D38" s="366">
        <f t="shared" ref="D38:O38" si="114">SUM(D39:D41)</f>
        <v>107.22914795655068</v>
      </c>
      <c r="E38" s="366">
        <f t="shared" si="114"/>
        <v>112.69643505849137</v>
      </c>
      <c r="F38" s="366">
        <f t="shared" si="114"/>
        <v>101.15668376602704</v>
      </c>
      <c r="G38" s="366">
        <f t="shared" si="114"/>
        <v>111.63569709916136</v>
      </c>
      <c r="H38" s="366">
        <f t="shared" si="114"/>
        <v>109.02682603570777</v>
      </c>
      <c r="I38" s="366">
        <f t="shared" si="114"/>
        <v>105.49198684164149</v>
      </c>
      <c r="J38" s="366">
        <f t="shared" si="114"/>
        <v>117.30652286131141</v>
      </c>
      <c r="K38" s="366">
        <f t="shared" si="114"/>
        <v>123.52003839921375</v>
      </c>
      <c r="L38" s="366">
        <f t="shared" si="114"/>
        <v>144.4315543106506</v>
      </c>
      <c r="M38" s="366">
        <f t="shared" si="114"/>
        <v>123.01480046419761</v>
      </c>
      <c r="N38" s="366">
        <f t="shared" si="114"/>
        <v>118.71374272305586</v>
      </c>
      <c r="O38" s="366">
        <f t="shared" si="114"/>
        <v>121.38853836891811</v>
      </c>
      <c r="P38" s="366">
        <f t="shared" ref="P38:U38" si="115">SUM(P39:P41)</f>
        <v>115.40114041550169</v>
      </c>
      <c r="Q38" s="366">
        <f t="shared" si="115"/>
        <v>133.20362025104797</v>
      </c>
      <c r="R38" s="366">
        <f t="shared" si="115"/>
        <v>125.9484052232914</v>
      </c>
      <c r="S38" s="366">
        <f t="shared" si="115"/>
        <v>124.64877484727198</v>
      </c>
      <c r="T38" s="366">
        <f t="shared" si="115"/>
        <v>113.20541729052964</v>
      </c>
      <c r="U38" s="366">
        <f t="shared" si="115"/>
        <v>109.28442698227997</v>
      </c>
      <c r="V38" s="366">
        <f>SUM(V39:V41)</f>
        <v>92.024337256921257</v>
      </c>
      <c r="W38" s="366">
        <f t="shared" ref="W38:AA38" si="116">SUM(W39:W41)</f>
        <v>91.724135995526836</v>
      </c>
      <c r="X38" s="366">
        <f t="shared" si="116"/>
        <v>89.052134722045096</v>
      </c>
      <c r="Y38" s="366">
        <f t="shared" si="116"/>
        <v>89.214658586183219</v>
      </c>
      <c r="Z38" s="366">
        <f t="shared" si="116"/>
        <v>98.925198292553276</v>
      </c>
      <c r="AA38" s="366">
        <f t="shared" si="116"/>
        <v>94.62639350402695</v>
      </c>
      <c r="AB38" s="366">
        <f>SUM(AB39:AB41)</f>
        <v>103.0435073274398</v>
      </c>
      <c r="AC38" s="366">
        <f>SUM(AC39:AC41)</f>
        <v>96.178726519538202</v>
      </c>
      <c r="AD38" s="366">
        <f>SUM(AD39:AD41)</f>
        <v>106.95678848899396</v>
      </c>
      <c r="AE38" s="366">
        <f t="shared" ref="AE38:AF38" si="117">SUM(AE39:AE41)</f>
        <v>121.72305371312619</v>
      </c>
      <c r="AF38" s="366">
        <f t="shared" si="117"/>
        <v>115.9740290337345</v>
      </c>
      <c r="AG38" s="366">
        <f t="shared" ref="AG38" si="118">SUM(AG39:AG41)</f>
        <v>107.92167871727729</v>
      </c>
      <c r="AH38" s="366">
        <f>SUM(AH39:AH41)</f>
        <v>120.85587625243753</v>
      </c>
      <c r="AI38" s="366">
        <f>SUM(AI39:AI41)</f>
        <v>116.02731355973719</v>
      </c>
      <c r="AJ38" s="367">
        <f>IFERROR((AI38-$C38)/$C38,"NA")</f>
        <v>0.12107705598512714</v>
      </c>
      <c r="AK38" s="367">
        <f t="shared" ref="AK38" si="119">IFERROR((AH38-AG38)/AG38,"NA")</f>
        <v>0.11984800170727504</v>
      </c>
      <c r="AL38" s="367">
        <f t="shared" ref="AL38" si="120">IFERROR((AI38-AH38)/AH38,"NA")</f>
        <v>-3.995306510884649E-2</v>
      </c>
      <c r="AN38"/>
      <c r="AO38"/>
      <c r="AP38"/>
      <c r="AQ38"/>
    </row>
    <row r="39" spans="2:43">
      <c r="B39" s="33" t="s">
        <v>1443</v>
      </c>
      <c r="C39" s="356">
        <f>'Non-Energy Use'!E157</f>
        <v>88.302765434312505</v>
      </c>
      <c r="D39" s="356">
        <f>'Non-Energy Use'!F157</f>
        <v>92.387602317060157</v>
      </c>
      <c r="E39" s="356">
        <f>'Non-Energy Use'!G157</f>
        <v>99.548101302642465</v>
      </c>
      <c r="F39" s="356">
        <f>'Non-Energy Use'!H157</f>
        <v>87.596890482114404</v>
      </c>
      <c r="G39" s="356">
        <f>'Non-Energy Use'!I157</f>
        <v>98.135911100322659</v>
      </c>
      <c r="H39" s="356">
        <f>'Non-Energy Use'!J157</f>
        <v>94.070485944993678</v>
      </c>
      <c r="I39" s="356">
        <f>'Non-Energy Use'!K157</f>
        <v>89.727852600692273</v>
      </c>
      <c r="J39" s="356">
        <f>'Non-Energy Use'!L157</f>
        <v>100.61527807783369</v>
      </c>
      <c r="K39" s="356">
        <f>'Non-Energy Use'!M157</f>
        <v>106.34068281015661</v>
      </c>
      <c r="L39" s="356">
        <f>'Non-Energy Use'!N157</f>
        <v>123.25489948982934</v>
      </c>
      <c r="M39" s="356">
        <f>'Non-Energy Use'!O157</f>
        <v>101.65137475590112</v>
      </c>
      <c r="N39" s="356">
        <f>'Non-Energy Use'!P157</f>
        <v>102.01238243891636</v>
      </c>
      <c r="O39" s="356">
        <f>'Non-Energy Use'!Q157</f>
        <v>101.20608516773078</v>
      </c>
      <c r="P39" s="356">
        <f>'Non-Energy Use'!R157</f>
        <v>97.335079492743077</v>
      </c>
      <c r="Q39" s="356">
        <f>'Non-Energy Use'!S157</f>
        <v>115.48206211028976</v>
      </c>
      <c r="R39" s="356">
        <f>'Non-Energy Use'!T157</f>
        <v>108.17955285360736</v>
      </c>
      <c r="S39" s="356">
        <f>'Non-Energy Use'!U157</f>
        <v>108.22020765810684</v>
      </c>
      <c r="T39" s="356">
        <f>'Non-Energy Use'!V157</f>
        <v>95.633334651264192</v>
      </c>
      <c r="U39" s="356">
        <f>'Non-Energy Use'!W157</f>
        <v>94.625289972210965</v>
      </c>
      <c r="V39" s="356">
        <f>'Non-Energy Use'!X157</f>
        <v>80.813050121206558</v>
      </c>
      <c r="W39" s="356">
        <f>'Non-Energy Use'!Y157</f>
        <v>79.502435694475977</v>
      </c>
      <c r="X39" s="356">
        <f>'Non-Energy Use'!Z157</f>
        <v>78.10694374454792</v>
      </c>
      <c r="Y39" s="356">
        <f>'Non-Energy Use'!AA157</f>
        <v>78.94216217639611</v>
      </c>
      <c r="Z39" s="356">
        <f>'Non-Energy Use'!AB157</f>
        <v>88.585357853193855</v>
      </c>
      <c r="AA39" s="356">
        <f>'Non-Energy Use'!AC157</f>
        <v>83.875150723384181</v>
      </c>
      <c r="AB39" s="356">
        <f>'Non-Energy Use'!AD157</f>
        <v>91.407658367430244</v>
      </c>
      <c r="AC39" s="356">
        <f>'Non-Energy Use'!AE157</f>
        <v>85.101147291353129</v>
      </c>
      <c r="AD39" s="356">
        <f>'Non-Energy Use'!AF157</f>
        <v>97.174546254151224</v>
      </c>
      <c r="AE39" s="356">
        <f>'Non-Energy Use'!AG157</f>
        <v>112.27141958876972</v>
      </c>
      <c r="AF39" s="356">
        <f>'Non-Energy Use'!AH157</f>
        <v>106.89843064940777</v>
      </c>
      <c r="AG39" s="356">
        <f>'Non-Energy Use'!AI157</f>
        <v>100.07453942904878</v>
      </c>
      <c r="AH39" s="356">
        <f>'Non-Energy Use'!AJ157</f>
        <v>112.77845043270125</v>
      </c>
      <c r="AI39" s="356">
        <f>'Non-Energy Use'!AK157</f>
        <v>107.52288824830759</v>
      </c>
      <c r="AJ39" s="368">
        <f t="shared" ref="AJ39:AJ41" si="121">IFERROR((AI39-$C39)/$C39,"NA")</f>
        <v>0.21766161817766327</v>
      </c>
      <c r="AK39" s="368">
        <f t="shared" ref="AK39:AK41" si="122">IFERROR((AH39-AG39)/AG39,"NA")</f>
        <v>0.12694448634119701</v>
      </c>
      <c r="AL39" s="368">
        <f t="shared" ref="AL39:AL41" si="123">IFERROR((AI39-AH39)/AH39,"NA")</f>
        <v>-4.6600766052640762E-2</v>
      </c>
      <c r="AN39"/>
      <c r="AO39"/>
      <c r="AP39"/>
      <c r="AQ39"/>
    </row>
    <row r="40" spans="2:43">
      <c r="B40" s="33" t="s">
        <v>1445</v>
      </c>
      <c r="C40" s="356">
        <f>'Non-Energy Use'!E174</f>
        <v>11.83867525803792</v>
      </c>
      <c r="D40" s="356">
        <f>'Non-Energy Use'!F174</f>
        <v>10.590905791920855</v>
      </c>
      <c r="E40" s="356">
        <f>'Non-Energy Use'!G174</f>
        <v>10.797880813335526</v>
      </c>
      <c r="F40" s="356">
        <f>'Non-Energy Use'!H174</f>
        <v>10.995035115502057</v>
      </c>
      <c r="G40" s="356">
        <f>'Non-Energy Use'!I174</f>
        <v>11.491990415538332</v>
      </c>
      <c r="H40" s="356">
        <f>'Non-Energy Use'!J174</f>
        <v>11.294701582971145</v>
      </c>
      <c r="I40" s="356">
        <f>'Non-Energy Use'!K174</f>
        <v>10.961335250136848</v>
      </c>
      <c r="J40" s="356">
        <f>'Non-Energy Use'!L174</f>
        <v>11.579435175967021</v>
      </c>
      <c r="K40" s="356">
        <f>'Non-Energy Use'!M174</f>
        <v>12.121996281826874</v>
      </c>
      <c r="L40" s="356">
        <f>'Non-Energy Use'!N174</f>
        <v>12.248791184448473</v>
      </c>
      <c r="M40" s="356">
        <f>'Non-Energy Use'!O174</f>
        <v>12.065089922347896</v>
      </c>
      <c r="N40" s="356">
        <f>'Non-Energy Use'!P174</f>
        <v>11.054295756992577</v>
      </c>
      <c r="O40" s="356">
        <f>'Non-Energy Use'!Q174</f>
        <v>10.923330411950532</v>
      </c>
      <c r="P40" s="356">
        <f>'Non-Energy Use'!R174</f>
        <v>10.098793586308323</v>
      </c>
      <c r="Q40" s="356">
        <f>'Non-Energy Use'!S174</f>
        <v>10.231171500557293</v>
      </c>
      <c r="R40" s="356">
        <f>'Non-Energy Use'!T174</f>
        <v>10.177695666295135</v>
      </c>
      <c r="S40" s="356">
        <f>'Non-Energy Use'!U174</f>
        <v>9.9158322414113744</v>
      </c>
      <c r="T40" s="356">
        <f>'Non-Energy Use'!V174</f>
        <v>10.239848711399834</v>
      </c>
      <c r="U40" s="356">
        <f>'Non-Energy Use'!W174</f>
        <v>9.5065907626051107</v>
      </c>
      <c r="V40" s="356">
        <f>'Non-Energy Use'!X174</f>
        <v>8.5470526799010713</v>
      </c>
      <c r="W40" s="356">
        <f>'Non-Energy Use'!Y174</f>
        <v>10.410836850638086</v>
      </c>
      <c r="X40" s="356">
        <f>'Non-Energy Use'!Z174</f>
        <v>9.9802723033272844</v>
      </c>
      <c r="Y40" s="356">
        <f>'Non-Energy Use'!AA174</f>
        <v>9.1082462462522642</v>
      </c>
      <c r="Z40" s="356">
        <f>'Non-Energy Use'!AB174</f>
        <v>9.643206384474853</v>
      </c>
      <c r="AA40" s="356">
        <f>'Non-Energy Use'!AC174</f>
        <v>10.046797586453419</v>
      </c>
      <c r="AB40" s="356">
        <f>'Non-Energy Use'!AD174</f>
        <v>10.951514530888703</v>
      </c>
      <c r="AC40" s="356">
        <f>'Non-Energy Use'!AE174</f>
        <v>10.382450936098925</v>
      </c>
      <c r="AD40" s="356">
        <f>'Non-Energy Use'!AF174</f>
        <v>9.5505149384204433</v>
      </c>
      <c r="AE40" s="356">
        <f>'Non-Energy Use'!AG174</f>
        <v>9.2143907323726282</v>
      </c>
      <c r="AF40" s="356">
        <f>'Non-Energy Use'!AH174</f>
        <v>8.8338714941071714</v>
      </c>
      <c r="AG40" s="356">
        <f>'Non-Energy Use'!AI174</f>
        <v>7.7768661361253066</v>
      </c>
      <c r="AH40" s="356">
        <f>'Non-Energy Use'!AJ174</f>
        <v>8.0071149168540767</v>
      </c>
      <c r="AI40" s="356">
        <f>'Non-Energy Use'!AK174</f>
        <v>8.4341144085474014</v>
      </c>
      <c r="AJ40" s="368">
        <f t="shared" si="121"/>
        <v>-0.28757954545454545</v>
      </c>
      <c r="AK40" s="368">
        <f t="shared" si="122"/>
        <v>2.9606884919776654E-2</v>
      </c>
      <c r="AL40" s="368">
        <f t="shared" si="123"/>
        <v>5.3327508862716422E-2</v>
      </c>
      <c r="AN40"/>
      <c r="AO40"/>
      <c r="AP40"/>
      <c r="AQ40"/>
    </row>
    <row r="41" spans="2:43">
      <c r="B41" s="34" t="s">
        <v>1489</v>
      </c>
      <c r="C41" s="369">
        <f>'Non-Energy Use'!E176</f>
        <v>3.3548470430008166</v>
      </c>
      <c r="D41" s="369">
        <f>'Non-Energy Use'!F176</f>
        <v>4.2506398475696647</v>
      </c>
      <c r="E41" s="369">
        <f>'Non-Energy Use'!G176</f>
        <v>2.3504529425133871</v>
      </c>
      <c r="F41" s="369">
        <f>'Non-Energy Use'!H176</f>
        <v>2.564758168410584</v>
      </c>
      <c r="G41" s="369">
        <f>'Non-Energy Use'!I176</f>
        <v>2.0077955833003638</v>
      </c>
      <c r="H41" s="369">
        <f>'Non-Energy Use'!J176</f>
        <v>3.6616385077429556</v>
      </c>
      <c r="I41" s="369">
        <f>'Non-Energy Use'!K176</f>
        <v>4.8027989908123798</v>
      </c>
      <c r="J41" s="369">
        <f>'Non-Energy Use'!L176</f>
        <v>5.1118096075107005</v>
      </c>
      <c r="K41" s="369">
        <f>'Non-Energy Use'!M176</f>
        <v>5.0573593072302625</v>
      </c>
      <c r="L41" s="369">
        <f>'Non-Energy Use'!N176</f>
        <v>8.9278636363727841</v>
      </c>
      <c r="M41" s="369">
        <f>'Non-Energy Use'!O176</f>
        <v>9.2983357859485896</v>
      </c>
      <c r="N41" s="369">
        <f>'Non-Energy Use'!P176</f>
        <v>5.64706452714693</v>
      </c>
      <c r="O41" s="369">
        <f>'Non-Energy Use'!Q176</f>
        <v>9.2591227892368035</v>
      </c>
      <c r="P41" s="369">
        <f>'Non-Energy Use'!R176</f>
        <v>7.9672673364502948</v>
      </c>
      <c r="Q41" s="369">
        <f>'Non-Energy Use'!S176</f>
        <v>7.4903866402009127</v>
      </c>
      <c r="R41" s="369">
        <f>'Non-Energy Use'!T176</f>
        <v>7.5911567033889051</v>
      </c>
      <c r="S41" s="369">
        <f>'Non-Energy Use'!U176</f>
        <v>6.5127349477537626</v>
      </c>
      <c r="T41" s="369">
        <f>'Non-Energy Use'!V176</f>
        <v>7.3322339278656106</v>
      </c>
      <c r="U41" s="369">
        <f>'Non-Energy Use'!W176</f>
        <v>5.1525462474638886</v>
      </c>
      <c r="V41" s="369">
        <f>'Non-Energy Use'!X176</f>
        <v>2.6642344558136202</v>
      </c>
      <c r="W41" s="369">
        <f>'Non-Energy Use'!Y176</f>
        <v>1.8108634504127736</v>
      </c>
      <c r="X41" s="369">
        <f>'Non-Energy Use'!Z176</f>
        <v>0.96491867416989852</v>
      </c>
      <c r="Y41" s="369">
        <f>'Non-Energy Use'!AA176</f>
        <v>1.1642501635348419</v>
      </c>
      <c r="Z41" s="369">
        <f>'Non-Energy Use'!AB176</f>
        <v>0.69663405488456376</v>
      </c>
      <c r="AA41" s="369">
        <f>'Non-Energy Use'!AC176</f>
        <v>0.70444519418935037</v>
      </c>
      <c r="AB41" s="369">
        <f>'Non-Energy Use'!AD176</f>
        <v>0.68433442912085773</v>
      </c>
      <c r="AC41" s="369">
        <f>'Non-Energy Use'!AE176</f>
        <v>0.69512829208615257</v>
      </c>
      <c r="AD41" s="369">
        <f>'Non-Energy Use'!AF176</f>
        <v>0.23172729642228673</v>
      </c>
      <c r="AE41" s="369">
        <f>'Non-Energy Use'!AG176</f>
        <v>0.23724339198385783</v>
      </c>
      <c r="AF41" s="369">
        <f>'Non-Energy Use'!AH176</f>
        <v>0.24172689021955107</v>
      </c>
      <c r="AG41" s="369">
        <f>'Non-Energy Use'!AI176</f>
        <v>7.0273152103199982E-2</v>
      </c>
      <c r="AH41" s="369">
        <f>'Non-Energy Use'!AJ176</f>
        <v>7.0310902882199974E-2</v>
      </c>
      <c r="AI41" s="369">
        <f>'Non-Energy Use'!AK176</f>
        <v>7.0310902882199974E-2</v>
      </c>
      <c r="AJ41" s="370">
        <f t="shared" si="121"/>
        <v>-0.97904199446919982</v>
      </c>
      <c r="AK41" s="370">
        <f t="shared" si="122"/>
        <v>5.3720059325862435E-4</v>
      </c>
      <c r="AL41" s="370">
        <f t="shared" si="123"/>
        <v>0</v>
      </c>
      <c r="AN41"/>
      <c r="AO41"/>
      <c r="AP41"/>
      <c r="AQ41"/>
    </row>
    <row r="42" spans="2:43">
      <c r="B42" s="33"/>
      <c r="C42" s="371"/>
      <c r="D42" s="371"/>
      <c r="E42" s="371"/>
      <c r="F42" s="371"/>
      <c r="G42" s="371"/>
      <c r="H42" s="371"/>
      <c r="I42" s="371"/>
      <c r="J42" s="371"/>
      <c r="K42" s="371"/>
      <c r="L42" s="371"/>
      <c r="M42" s="371"/>
      <c r="N42" s="371"/>
      <c r="O42" s="371"/>
      <c r="P42" s="371"/>
      <c r="Q42" s="371"/>
      <c r="R42" s="371"/>
      <c r="S42" s="371"/>
      <c r="T42" s="371"/>
      <c r="U42" s="371"/>
      <c r="V42" s="371"/>
      <c r="W42" s="371"/>
      <c r="X42" s="371"/>
      <c r="Y42" s="371"/>
      <c r="Z42" s="371"/>
      <c r="AA42" s="371"/>
      <c r="AB42" s="371"/>
      <c r="AC42" s="371"/>
      <c r="AD42" s="371"/>
      <c r="AE42" s="371"/>
      <c r="AF42" s="371"/>
      <c r="AG42" s="371"/>
      <c r="AH42" s="371"/>
      <c r="AI42" s="371"/>
      <c r="AJ42" s="372"/>
      <c r="AK42" s="372"/>
      <c r="AL42" s="372"/>
      <c r="AN42"/>
      <c r="AO42"/>
      <c r="AP42"/>
      <c r="AQ42"/>
    </row>
    <row r="43" spans="2:43" ht="15">
      <c r="B43" s="5" t="s">
        <v>1487</v>
      </c>
      <c r="C43" s="361"/>
      <c r="D43" s="361"/>
      <c r="E43" s="361"/>
      <c r="F43" s="361"/>
      <c r="G43" s="361"/>
      <c r="H43" s="361"/>
      <c r="I43" s="361"/>
      <c r="J43" s="361"/>
      <c r="K43" s="361"/>
      <c r="L43" s="361"/>
      <c r="M43" s="680"/>
      <c r="N43" s="680"/>
      <c r="O43" s="680"/>
      <c r="P43" s="680"/>
      <c r="Q43" s="680"/>
      <c r="R43" s="680"/>
      <c r="S43" s="680"/>
      <c r="T43" s="680"/>
      <c r="U43" s="680"/>
      <c r="V43" s="680"/>
      <c r="W43" s="680"/>
      <c r="X43" s="680"/>
      <c r="Y43" s="680"/>
      <c r="Z43" s="680"/>
      <c r="AA43" s="680"/>
      <c r="AB43" s="680"/>
      <c r="AC43" s="680"/>
      <c r="AD43" s="680"/>
      <c r="AE43" s="680"/>
      <c r="AF43" s="680"/>
      <c r="AG43" s="680"/>
      <c r="AH43" s="680"/>
      <c r="AI43" s="680"/>
      <c r="AJ43" s="373"/>
      <c r="AK43" s="373"/>
      <c r="AL43" s="373"/>
      <c r="AN43"/>
      <c r="AO43"/>
      <c r="AP43"/>
      <c r="AQ43"/>
    </row>
    <row r="44" spans="2:43" ht="27.95">
      <c r="B44" s="31" t="s">
        <v>1490</v>
      </c>
      <c r="C44" s="366">
        <f>SUM(C45:C47)</f>
        <v>193.37546321236937</v>
      </c>
      <c r="D44" s="366">
        <f t="shared" ref="D44:I44" si="124">SUM(D45:D47)</f>
        <v>187.90245559444196</v>
      </c>
      <c r="E44" s="366">
        <f t="shared" si="124"/>
        <v>196.99770496331035</v>
      </c>
      <c r="F44" s="366">
        <f t="shared" si="124"/>
        <v>201.6811044544859</v>
      </c>
      <c r="G44" s="366">
        <f t="shared" si="124"/>
        <v>212.15800886317174</v>
      </c>
      <c r="H44" s="366">
        <f t="shared" si="124"/>
        <v>213.54258245997383</v>
      </c>
      <c r="I44" s="366">
        <f t="shared" si="124"/>
        <v>221.2191755764656</v>
      </c>
      <c r="J44" s="366">
        <f t="shared" ref="J44:O44" si="125">SUM(J45:J47)</f>
        <v>225.6984066675825</v>
      </c>
      <c r="K44" s="366">
        <f t="shared" si="125"/>
        <v>233.13459104539012</v>
      </c>
      <c r="L44" s="366">
        <f t="shared" si="125"/>
        <v>247.58138996858747</v>
      </c>
      <c r="M44" s="366">
        <f t="shared" si="125"/>
        <v>234.65714168283878</v>
      </c>
      <c r="N44" s="366">
        <f t="shared" si="125"/>
        <v>225.63358137651338</v>
      </c>
      <c r="O44" s="366">
        <f t="shared" si="125"/>
        <v>229.62919165976936</v>
      </c>
      <c r="P44" s="366">
        <f t="shared" ref="P44:U44" si="126">SUM(P45:P47)</f>
        <v>221.33110458840912</v>
      </c>
      <c r="Q44" s="366">
        <f t="shared" si="126"/>
        <v>239.05940220690113</v>
      </c>
      <c r="R44" s="366">
        <f t="shared" si="126"/>
        <v>234.19068460339147</v>
      </c>
      <c r="S44" s="366">
        <f t="shared" si="126"/>
        <v>235.39695875836969</v>
      </c>
      <c r="T44" s="366">
        <f t="shared" si="126"/>
        <v>234.73933309971588</v>
      </c>
      <c r="U44" s="366">
        <f t="shared" si="126"/>
        <v>210.73911052280422</v>
      </c>
      <c r="V44" s="366">
        <f t="shared" ref="V44:AA44" si="127">SUM(V45:V47)</f>
        <v>199.72429297467625</v>
      </c>
      <c r="W44" s="366">
        <f t="shared" si="127"/>
        <v>211.62709252002639</v>
      </c>
      <c r="X44" s="366">
        <f t="shared" si="127"/>
        <v>208.68867393503305</v>
      </c>
      <c r="Y44" s="366">
        <f t="shared" si="127"/>
        <v>200.89389528822352</v>
      </c>
      <c r="Z44" s="366">
        <f t="shared" si="127"/>
        <v>206.31443903936733</v>
      </c>
      <c r="AA44" s="366">
        <f t="shared" si="127"/>
        <v>206.28883861232853</v>
      </c>
      <c r="AB44" s="366">
        <f>SUM(AB45:AB47)</f>
        <v>214.53915440135415</v>
      </c>
      <c r="AC44" s="366">
        <f>SUM(AC45:AC47)</f>
        <v>218.21857405572081</v>
      </c>
      <c r="AD44" s="366">
        <f>SUM(AD45:AD47)</f>
        <v>219.56490829871041</v>
      </c>
      <c r="AE44" s="366">
        <f t="shared" ref="AE44:AF44" si="128">SUM(AE45:AE47)</f>
        <v>223.16555928022532</v>
      </c>
      <c r="AF44" s="366">
        <f t="shared" si="128"/>
        <v>228.216289384628</v>
      </c>
      <c r="AG44" s="366">
        <f t="shared" ref="AG44:AH44" si="129">SUM(AG45:AG47)</f>
        <v>230.81040419025732</v>
      </c>
      <c r="AH44" s="366">
        <f t="shared" si="129"/>
        <v>233.41380217134409</v>
      </c>
      <c r="AI44" s="366">
        <f t="shared" ref="AI44" si="130">SUM(AI45:AI47)</f>
        <v>236.58505659352474</v>
      </c>
      <c r="AJ44" s="367">
        <f>IFERROR((AI44-$C44)/$C44,"NA")</f>
        <v>0.2234492042752167</v>
      </c>
      <c r="AK44" s="367">
        <f t="shared" ref="AK44:AK47" si="131">IFERROR((AH44-AG44)/AG44,"NA")</f>
        <v>1.1279378805388632E-2</v>
      </c>
      <c r="AL44" s="367">
        <f t="shared" ref="AL44:AL47" si="132">IFERROR((AI44-AH44)/AH44,"NA")</f>
        <v>1.3586404885571859E-2</v>
      </c>
      <c r="AN44"/>
      <c r="AO44"/>
      <c r="AP44"/>
      <c r="AQ44"/>
    </row>
    <row r="45" spans="2:43">
      <c r="B45" s="33" t="s">
        <v>1443</v>
      </c>
      <c r="C45" s="356">
        <f t="shared" ref="C45:N45" si="133">C91*CtoCO2</f>
        <v>191.80653864903761</v>
      </c>
      <c r="D45" s="356">
        <f t="shared" si="133"/>
        <v>186.36004562085265</v>
      </c>
      <c r="E45" s="356">
        <f t="shared" si="133"/>
        <v>195.64609649875459</v>
      </c>
      <c r="F45" s="356">
        <f t="shared" si="133"/>
        <v>200.28592844588914</v>
      </c>
      <c r="G45" s="356">
        <f t="shared" si="133"/>
        <v>210.77459452834646</v>
      </c>
      <c r="H45" s="356">
        <f t="shared" si="133"/>
        <v>211.99543178690732</v>
      </c>
      <c r="I45" s="356">
        <f t="shared" si="133"/>
        <v>219.57856129447458</v>
      </c>
      <c r="J45" s="356">
        <f t="shared" si="133"/>
        <v>223.96165620055623</v>
      </c>
      <c r="K45" s="356">
        <f t="shared" si="133"/>
        <v>231.34823733606052</v>
      </c>
      <c r="L45" s="356">
        <f t="shared" si="133"/>
        <v>245.35223865657335</v>
      </c>
      <c r="M45" s="356">
        <f t="shared" si="133"/>
        <v>232.406560022907</v>
      </c>
      <c r="N45" s="356">
        <f t="shared" si="133"/>
        <v>223.89046885656467</v>
      </c>
      <c r="O45" s="356">
        <f t="shared" ref="O45:P47" si="134">O91*CtoCO2</f>
        <v>227.49832162750752</v>
      </c>
      <c r="P45" s="356">
        <f t="shared" si="134"/>
        <v>219.42835327754327</v>
      </c>
      <c r="Q45" s="356">
        <f t="shared" ref="Q45:R47" si="135">Q91*CtoCO2</f>
        <v>237.19640251635553</v>
      </c>
      <c r="R45" s="356">
        <f t="shared" si="135"/>
        <v>232.32156297555449</v>
      </c>
      <c r="S45" s="356">
        <f t="shared" ref="S45:V47" si="136">S91*CtoCO2</f>
        <v>233.67521578474631</v>
      </c>
      <c r="T45" s="356">
        <f t="shared" si="136"/>
        <v>232.89361242857538</v>
      </c>
      <c r="U45" s="356">
        <f t="shared" si="136"/>
        <v>209.2074806791891</v>
      </c>
      <c r="V45" s="356">
        <f t="shared" si="136"/>
        <v>198.56504148043004</v>
      </c>
      <c r="W45" s="356">
        <f t="shared" ref="W45:X47" si="137">W91*CtoCO2</f>
        <v>210.37427047906289</v>
      </c>
      <c r="X45" s="356">
        <f t="shared" si="137"/>
        <v>207.57336681672143</v>
      </c>
      <c r="Y45" s="356">
        <f t="shared" ref="Y45:Z47" si="138">Y91*CtoCO2</f>
        <v>199.84458379859308</v>
      </c>
      <c r="Z45" s="356">
        <f t="shared" si="138"/>
        <v>205.26301162858351</v>
      </c>
      <c r="AA45" s="356">
        <f t="shared" ref="AA45:AB47" si="139">AA91*CtoCO2</f>
        <v>205.19574867887579</v>
      </c>
      <c r="AB45" s="356">
        <f t="shared" si="139"/>
        <v>213.35685106132706</v>
      </c>
      <c r="AC45" s="356">
        <f t="shared" ref="AC45:AD47" si="140">AC91*CtoCO2</f>
        <v>217.09259180939193</v>
      </c>
      <c r="AD45" s="356">
        <f t="shared" si="140"/>
        <v>218.57450635842571</v>
      </c>
      <c r="AE45" s="356">
        <f t="shared" ref="AE45:AF45" si="141">AE91*CtoCO2</f>
        <v>222.20851955837605</v>
      </c>
      <c r="AF45" s="356">
        <f t="shared" si="141"/>
        <v>227.29721402226357</v>
      </c>
      <c r="AG45" s="356">
        <f t="shared" ref="AG45:AH45" si="142">AG91*CtoCO2</f>
        <v>230.01722034857141</v>
      </c>
      <c r="AH45" s="356">
        <f t="shared" si="142"/>
        <v>232.59734080538604</v>
      </c>
      <c r="AI45" s="356">
        <f t="shared" ref="AI45" si="143">AI91*CtoCO2</f>
        <v>235.72543452140349</v>
      </c>
      <c r="AJ45" s="368">
        <f t="shared" ref="AJ45:AJ47" si="144">IFERROR((AI45-$C45)/$C45,"NA")</f>
        <v>0.22897496707725634</v>
      </c>
      <c r="AK45" s="368">
        <f t="shared" si="131"/>
        <v>1.1217075195086152E-2</v>
      </c>
      <c r="AL45" s="368">
        <f t="shared" si="132"/>
        <v>1.3448536020171953E-2</v>
      </c>
      <c r="AN45"/>
      <c r="AO45"/>
      <c r="AP45"/>
      <c r="AQ45"/>
    </row>
    <row r="46" spans="2:43">
      <c r="B46" s="33" t="s">
        <v>1445</v>
      </c>
      <c r="C46" s="356">
        <f t="shared" ref="C46:N46" si="145">C92*CtoCO2</f>
        <v>1.1966421368507829</v>
      </c>
      <c r="D46" s="356">
        <f t="shared" si="145"/>
        <v>1.0705187752679306</v>
      </c>
      <c r="E46" s="356">
        <f t="shared" si="145"/>
        <v>1.0914396153536678</v>
      </c>
      <c r="F46" s="356">
        <f t="shared" si="145"/>
        <v>1.1113677863940639</v>
      </c>
      <c r="G46" s="356">
        <f t="shared" si="145"/>
        <v>1.1615995597295956</v>
      </c>
      <c r="H46" s="356">
        <f t="shared" si="145"/>
        <v>1.1416577904830996</v>
      </c>
      <c r="I46" s="356">
        <f t="shared" si="145"/>
        <v>1.1079614357658696</v>
      </c>
      <c r="J46" s="356">
        <f t="shared" si="145"/>
        <v>1.1704383936949707</v>
      </c>
      <c r="K46" s="356">
        <f t="shared" si="145"/>
        <v>1.2252799588985981</v>
      </c>
      <c r="L46" s="356">
        <f t="shared" si="145"/>
        <v>1.2380962681483922</v>
      </c>
      <c r="M46" s="356">
        <f t="shared" si="145"/>
        <v>1.219527917718054</v>
      </c>
      <c r="N46" s="356">
        <f t="shared" si="145"/>
        <v>1.1173577961813679</v>
      </c>
      <c r="O46" s="356">
        <f t="shared" si="134"/>
        <v>1.1041199425424564</v>
      </c>
      <c r="P46" s="356">
        <f t="shared" si="134"/>
        <v>1.0207765373520195</v>
      </c>
      <c r="Q46" s="356">
        <f t="shared" si="135"/>
        <v>1.0341571721549874</v>
      </c>
      <c r="R46" s="356">
        <f t="shared" si="135"/>
        <v>1.0287518852300079</v>
      </c>
      <c r="S46" s="356">
        <f t="shared" si="136"/>
        <v>1.0022829770552346</v>
      </c>
      <c r="T46" s="356">
        <f t="shared" si="136"/>
        <v>1.0350342564484747</v>
      </c>
      <c r="U46" s="356">
        <f t="shared" si="136"/>
        <v>0.96091723409727936</v>
      </c>
      <c r="V46" s="356">
        <f t="shared" si="136"/>
        <v>0.86392802908491328</v>
      </c>
      <c r="W46" s="356">
        <f t="shared" si="137"/>
        <v>1.0523175764023081</v>
      </c>
      <c r="X46" s="356">
        <f t="shared" si="137"/>
        <v>1.008796517777411</v>
      </c>
      <c r="Y46" s="356">
        <f t="shared" si="138"/>
        <v>0.92065294583347024</v>
      </c>
      <c r="Z46" s="356">
        <f t="shared" si="138"/>
        <v>0.97472621239241519</v>
      </c>
      <c r="AA46" s="356">
        <f t="shared" si="139"/>
        <v>1.0155208306941466</v>
      </c>
      <c r="AB46" s="356">
        <f t="shared" si="139"/>
        <v>1.1069687667205275</v>
      </c>
      <c r="AC46" s="356">
        <f t="shared" si="140"/>
        <v>1.0494483549150861</v>
      </c>
      <c r="AD46" s="356">
        <f t="shared" si="140"/>
        <v>0.96535704838911762</v>
      </c>
      <c r="AE46" s="356">
        <f t="shared" ref="AE46:AF46" si="146">AE92*CtoCO2</f>
        <v>0.93138193044682571</v>
      </c>
      <c r="AF46" s="356">
        <f t="shared" si="146"/>
        <v>0.89291940449134355</v>
      </c>
      <c r="AG46" s="356">
        <f t="shared" ref="AG46:AH46" si="147">AG92*CtoCO2</f>
        <v>0.78607829915910932</v>
      </c>
      <c r="AH46" s="356">
        <f t="shared" si="147"/>
        <v>0.80935162890024692</v>
      </c>
      <c r="AI46" s="356">
        <f t="shared" ref="AI46" si="148">AI92*CtoCO2</f>
        <v>0.85251233506347868</v>
      </c>
      <c r="AJ46" s="368">
        <f t="shared" si="144"/>
        <v>-0.28757954545454556</v>
      </c>
      <c r="AK46" s="368">
        <f t="shared" si="131"/>
        <v>2.9606884919776769E-2</v>
      </c>
      <c r="AL46" s="368">
        <f t="shared" si="132"/>
        <v>5.3327508862716255E-2</v>
      </c>
      <c r="AN46"/>
      <c r="AO46"/>
      <c r="AP46"/>
      <c r="AQ46"/>
    </row>
    <row r="47" spans="2:43">
      <c r="B47" s="34" t="s">
        <v>1489</v>
      </c>
      <c r="C47" s="369">
        <f t="shared" ref="C47:N47" si="149">C93*CtoCO2</f>
        <v>0.37228242648097964</v>
      </c>
      <c r="D47" s="369">
        <f t="shared" si="149"/>
        <v>0.47189119832136273</v>
      </c>
      <c r="E47" s="369">
        <f t="shared" si="149"/>
        <v>0.26016884920210964</v>
      </c>
      <c r="F47" s="369">
        <f t="shared" si="149"/>
        <v>0.28380822220269775</v>
      </c>
      <c r="G47" s="369">
        <f t="shared" si="149"/>
        <v>0.2218147750956849</v>
      </c>
      <c r="H47" s="369">
        <f t="shared" si="149"/>
        <v>0.40549288258341737</v>
      </c>
      <c r="I47" s="369">
        <f t="shared" si="149"/>
        <v>0.53265284622514353</v>
      </c>
      <c r="J47" s="369">
        <f t="shared" si="149"/>
        <v>0.56631207333130007</v>
      </c>
      <c r="K47" s="369">
        <f t="shared" si="149"/>
        <v>0.56107375043100693</v>
      </c>
      <c r="L47" s="369">
        <f t="shared" si="149"/>
        <v>0.99105504386573151</v>
      </c>
      <c r="M47" s="369">
        <f t="shared" si="149"/>
        <v>1.0310537422137087</v>
      </c>
      <c r="N47" s="369">
        <f t="shared" si="149"/>
        <v>0.62575472376732899</v>
      </c>
      <c r="O47" s="369">
        <f t="shared" si="134"/>
        <v>1.026750089719358</v>
      </c>
      <c r="P47" s="369">
        <f t="shared" si="134"/>
        <v>0.88197477351384024</v>
      </c>
      <c r="Q47" s="369">
        <f t="shared" si="135"/>
        <v>0.82884251839062961</v>
      </c>
      <c r="R47" s="369">
        <f t="shared" si="135"/>
        <v>0.84036974260698649</v>
      </c>
      <c r="S47" s="369">
        <f t="shared" si="136"/>
        <v>0.71945999656814408</v>
      </c>
      <c r="T47" s="369">
        <f t="shared" si="136"/>
        <v>0.81068641469201563</v>
      </c>
      <c r="U47" s="369">
        <f t="shared" si="136"/>
        <v>0.57071260951783653</v>
      </c>
      <c r="V47" s="369">
        <f t="shared" si="136"/>
        <v>0.2953234651612911</v>
      </c>
      <c r="W47" s="369">
        <f t="shared" si="137"/>
        <v>0.20050446456119708</v>
      </c>
      <c r="X47" s="369">
        <f t="shared" si="137"/>
        <v>0.10651060053421096</v>
      </c>
      <c r="Y47" s="369">
        <f t="shared" si="138"/>
        <v>0.12865854379698244</v>
      </c>
      <c r="Z47" s="369">
        <f t="shared" si="138"/>
        <v>7.6701198391395997E-2</v>
      </c>
      <c r="AA47" s="369">
        <f t="shared" si="139"/>
        <v>7.7569102758594466E-2</v>
      </c>
      <c r="AB47" s="369">
        <f t="shared" si="139"/>
        <v>7.533457330653974E-2</v>
      </c>
      <c r="AC47" s="369">
        <f t="shared" si="140"/>
        <v>7.6533891413794741E-2</v>
      </c>
      <c r="AD47" s="369">
        <f t="shared" si="140"/>
        <v>2.5044891895587416E-2</v>
      </c>
      <c r="AE47" s="369">
        <f t="shared" ref="AE47" si="150">AE93*CtoCO2</f>
        <v>2.5657791402428649E-2</v>
      </c>
      <c r="AF47" s="369">
        <f>AF93*CtoCO2</f>
        <v>2.6155957873061231E-2</v>
      </c>
      <c r="AG47" s="369">
        <f>AG93*CtoCO2</f>
        <v>7.1055425267999971E-3</v>
      </c>
      <c r="AH47" s="369">
        <f>AH93*CtoCO2</f>
        <v>7.1097370577999971E-3</v>
      </c>
      <c r="AI47" s="369">
        <f>AI93*CtoCO2</f>
        <v>7.1097370577999971E-3</v>
      </c>
      <c r="AJ47" s="370">
        <f t="shared" si="144"/>
        <v>-0.9809023027892958</v>
      </c>
      <c r="AK47" s="370">
        <f t="shared" si="131"/>
        <v>5.9031818952309692E-4</v>
      </c>
      <c r="AL47" s="370">
        <f t="shared" si="132"/>
        <v>0</v>
      </c>
      <c r="AN47"/>
      <c r="AO47"/>
      <c r="AP47"/>
      <c r="AQ47"/>
    </row>
    <row r="48" spans="2:43">
      <c r="B48" s="33"/>
      <c r="C48" s="371"/>
      <c r="D48" s="371"/>
      <c r="E48" s="371"/>
      <c r="F48" s="371"/>
      <c r="G48" s="371"/>
      <c r="H48" s="371"/>
      <c r="I48" s="371"/>
      <c r="J48" s="371"/>
      <c r="K48" s="371"/>
      <c r="L48" s="371"/>
      <c r="M48" s="371"/>
      <c r="N48" s="371"/>
      <c r="O48" s="371"/>
      <c r="P48" s="371"/>
      <c r="Q48" s="371"/>
      <c r="R48" s="371"/>
      <c r="S48" s="371"/>
      <c r="T48" s="371"/>
      <c r="U48" s="371"/>
      <c r="V48" s="371"/>
      <c r="W48" s="371"/>
      <c r="X48" s="371"/>
      <c r="Y48" s="371"/>
      <c r="Z48" s="371"/>
      <c r="AA48" s="371"/>
      <c r="AB48" s="371"/>
      <c r="AC48" s="371"/>
      <c r="AD48" s="371"/>
      <c r="AE48" s="371"/>
      <c r="AF48" s="371"/>
      <c r="AG48" s="371"/>
      <c r="AH48" s="371"/>
      <c r="AI48" s="371"/>
      <c r="AJ48" s="372"/>
      <c r="AK48" s="372"/>
      <c r="AL48" s="372"/>
      <c r="AN48"/>
      <c r="AO48"/>
      <c r="AP48"/>
      <c r="AQ48"/>
    </row>
    <row r="49" spans="2:43" ht="27.95">
      <c r="B49" s="31" t="s">
        <v>1491</v>
      </c>
      <c r="C49" s="366">
        <f t="shared" ref="C49:K49" si="151">SUM(C50:C52)</f>
        <v>103.63420130524364</v>
      </c>
      <c r="D49" s="366">
        <f>SUM(D50:D52)</f>
        <v>117.73979467903075</v>
      </c>
      <c r="E49" s="366">
        <f t="shared" si="151"/>
        <v>108.00228237677115</v>
      </c>
      <c r="F49" s="366">
        <f t="shared" si="151"/>
        <v>97.96464696157696</v>
      </c>
      <c r="G49" s="366">
        <f t="shared" si="151"/>
        <v>96.81196934540236</v>
      </c>
      <c r="H49" s="366">
        <f t="shared" si="151"/>
        <v>98.609419121643782</v>
      </c>
      <c r="I49" s="366">
        <f t="shared" si="151"/>
        <v>99.861283112784065</v>
      </c>
      <c r="J49" s="366">
        <f t="shared" si="151"/>
        <v>107.0633754106595</v>
      </c>
      <c r="K49" s="366">
        <f t="shared" si="151"/>
        <v>110.59439341854777</v>
      </c>
      <c r="L49" s="366">
        <f t="shared" ref="L49:Q49" si="152">SUM(L50:L52)</f>
        <v>102.8337926914605</v>
      </c>
      <c r="M49" s="366">
        <f t="shared" si="152"/>
        <v>101.89469078477765</v>
      </c>
      <c r="N49" s="366">
        <f t="shared" si="152"/>
        <v>93.889922754108255</v>
      </c>
      <c r="O49" s="366">
        <f t="shared" si="152"/>
        <v>94.600088438104166</v>
      </c>
      <c r="P49" s="366">
        <f t="shared" si="152"/>
        <v>98.483815476499728</v>
      </c>
      <c r="Q49" s="366">
        <f t="shared" si="152"/>
        <v>108.60974440750498</v>
      </c>
      <c r="R49" s="366">
        <f t="shared" ref="R49:W49" si="153">SUM(R50:R52)</f>
        <v>113.327836586543</v>
      </c>
      <c r="S49" s="366">
        <f t="shared" si="153"/>
        <v>114.26853089607204</v>
      </c>
      <c r="T49" s="366">
        <f t="shared" si="153"/>
        <v>115.46280548207476</v>
      </c>
      <c r="U49" s="366">
        <f t="shared" si="153"/>
        <v>114.45756798460948</v>
      </c>
      <c r="V49" s="366">
        <f t="shared" si="153"/>
        <v>106.51065999327</v>
      </c>
      <c r="W49" s="366">
        <f t="shared" si="153"/>
        <v>117.10105204558025</v>
      </c>
      <c r="X49" s="366">
        <f t="shared" ref="X49:AC49" si="154">SUM(X50:X52)</f>
        <v>111.74572772726714</v>
      </c>
      <c r="Y49" s="366">
        <f t="shared" si="154"/>
        <v>105.88868046209842</v>
      </c>
      <c r="Z49" s="366">
        <f t="shared" si="154"/>
        <v>99.840322686785115</v>
      </c>
      <c r="AA49" s="366">
        <f t="shared" si="154"/>
        <v>103.48801748678198</v>
      </c>
      <c r="AB49" s="366">
        <f t="shared" si="154"/>
        <v>110.97996580958028</v>
      </c>
      <c r="AC49" s="366">
        <f t="shared" si="154"/>
        <v>116.68214816630483</v>
      </c>
      <c r="AD49" s="366">
        <f>SUM(AD50:AD52)</f>
        <v>120.19165846922266</v>
      </c>
      <c r="AE49" s="366">
        <f t="shared" ref="AE49:AF49" si="155">SUM(AE50:AE52)</f>
        <v>124.27873681003345</v>
      </c>
      <c r="AF49" s="366">
        <f t="shared" si="155"/>
        <v>113.63153979232854</v>
      </c>
      <c r="AG49" s="366">
        <f t="shared" ref="AG49:AH49" si="156">SUM(AG50:AG52)</f>
        <v>69.638421883140026</v>
      </c>
      <c r="AH49" s="366">
        <f t="shared" si="156"/>
        <v>80.180347948468196</v>
      </c>
      <c r="AI49" s="366">
        <f t="shared" ref="AI49" si="157">SUM(AI50:AI52)</f>
        <v>95.573670708138565</v>
      </c>
      <c r="AJ49" s="367">
        <f>IFERROR((AI49-$C49)/$C49,"NA")</f>
        <v>-7.7778672441963695E-2</v>
      </c>
      <c r="AK49" s="367">
        <f t="shared" ref="AK49:AK52" si="158">IFERROR((AH49-AG49)/AG49,"NA")</f>
        <v>0.15138088687619222</v>
      </c>
      <c r="AL49" s="367">
        <f t="shared" ref="AL49:AL52" si="159">IFERROR((AI49-AH49)/AH49,"NA")</f>
        <v>0.19198373608410427</v>
      </c>
      <c r="AN49"/>
      <c r="AO49"/>
      <c r="AP49"/>
      <c r="AQ49"/>
    </row>
    <row r="50" spans="2:43">
      <c r="B50" s="33" t="s">
        <v>1492</v>
      </c>
      <c r="C50" s="356">
        <f t="shared" ref="C50:N50" si="160">C96*CtoCO2</f>
        <v>38.205227775598097</v>
      </c>
      <c r="D50" s="356">
        <f>D96*CtoCO2</f>
        <v>46.509445087245673</v>
      </c>
      <c r="E50" s="356">
        <f t="shared" si="160"/>
        <v>46.908663670833405</v>
      </c>
      <c r="F50" s="356">
        <f t="shared" si="160"/>
        <v>47.025345411631022</v>
      </c>
      <c r="G50" s="356">
        <f t="shared" si="160"/>
        <v>48.46503087301312</v>
      </c>
      <c r="H50" s="356">
        <f t="shared" si="160"/>
        <v>50.020775922835121</v>
      </c>
      <c r="I50" s="356">
        <f t="shared" si="160"/>
        <v>51.140649946253532</v>
      </c>
      <c r="J50" s="356">
        <f t="shared" si="160"/>
        <v>54.587638934182699</v>
      </c>
      <c r="K50" s="356">
        <f t="shared" si="160"/>
        <v>54.184142272283424</v>
      </c>
      <c r="L50" s="356">
        <f t="shared" si="160"/>
        <v>57.657897683101488</v>
      </c>
      <c r="M50" s="356">
        <f t="shared" si="160"/>
        <v>62.128568401865572</v>
      </c>
      <c r="N50" s="356">
        <f t="shared" si="160"/>
        <v>56.492685979066231</v>
      </c>
      <c r="O50" s="356">
        <f t="shared" ref="O50:P52" si="161">O96*CtoCO2</f>
        <v>54.725837052893773</v>
      </c>
      <c r="P50" s="356">
        <f t="shared" si="161"/>
        <v>55.294081052978427</v>
      </c>
      <c r="Q50" s="356">
        <f t="shared" ref="Q50:R52" si="162">Q96*CtoCO2</f>
        <v>56.342164226958005</v>
      </c>
      <c r="R50" s="356">
        <f t="shared" si="162"/>
        <v>60.220980376771415</v>
      </c>
      <c r="S50" s="356">
        <f t="shared" ref="S50:V52" si="163">S96*CtoCO2</f>
        <v>60.366240390290223</v>
      </c>
      <c r="T50" s="356">
        <f t="shared" si="163"/>
        <v>61.574300430789428</v>
      </c>
      <c r="U50" s="356">
        <f t="shared" si="163"/>
        <v>56.225577547909261</v>
      </c>
      <c r="V50" s="356">
        <f t="shared" si="163"/>
        <v>52.86091599612211</v>
      </c>
      <c r="W50" s="356">
        <f t="shared" ref="W50:X52" si="164">W96*CtoCO2</f>
        <v>61.043245465497662</v>
      </c>
      <c r="X50" s="356">
        <f t="shared" si="164"/>
        <v>64.855900877315491</v>
      </c>
      <c r="Y50" s="356">
        <f t="shared" ref="Y50:Z52" si="165">Y96*CtoCO2</f>
        <v>64.590426911887349</v>
      </c>
      <c r="Z50" s="356">
        <f t="shared" si="165"/>
        <v>65.724412671670066</v>
      </c>
      <c r="AA50" s="356">
        <f t="shared" ref="AA50:AB52" si="166">AA96*CtoCO2</f>
        <v>69.679313111868836</v>
      </c>
      <c r="AB50" s="356">
        <f t="shared" si="166"/>
        <v>72.012679590859719</v>
      </c>
      <c r="AC50" s="356">
        <f t="shared" ref="AC50:AD52" si="167">AC96*CtoCO2</f>
        <v>74.128329489551518</v>
      </c>
      <c r="AD50" s="356">
        <f t="shared" si="167"/>
        <v>77.763645389977256</v>
      </c>
      <c r="AE50" s="356">
        <f t="shared" ref="AE50:AF50" si="168">AE96*CtoCO2</f>
        <v>82.953438141961726</v>
      </c>
      <c r="AF50" s="356">
        <f t="shared" si="168"/>
        <v>78.28035430904977</v>
      </c>
      <c r="AG50" s="356">
        <f t="shared" ref="AG50:AH50" si="169">AG96*CtoCO2</f>
        <v>39.781445200509211</v>
      </c>
      <c r="AH50" s="356">
        <f t="shared" si="169"/>
        <v>50.811636195571438</v>
      </c>
      <c r="AI50" s="356">
        <f t="shared" ref="AI50" si="170">AI96*CtoCO2</f>
        <v>63.978681546244481</v>
      </c>
      <c r="AJ50" s="368">
        <f t="shared" ref="AJ50:AJ52" si="171">IFERROR((AI50-$C50)/$C50,"NA")</f>
        <v>0.67460542107036048</v>
      </c>
      <c r="AK50" s="368">
        <f t="shared" si="158"/>
        <v>0.27726974069109583</v>
      </c>
      <c r="AL50" s="368">
        <f t="shared" si="159"/>
        <v>0.2591344490461544</v>
      </c>
      <c r="AN50"/>
      <c r="AO50"/>
      <c r="AP50"/>
      <c r="AQ50"/>
    </row>
    <row r="51" spans="2:43" ht="12" customHeight="1">
      <c r="B51" s="33" t="s">
        <v>1493</v>
      </c>
      <c r="C51" s="356">
        <f t="shared" ref="C51:N51" si="172">C97*CtoCO2</f>
        <v>53.744340413228379</v>
      </c>
      <c r="D51" s="356">
        <f t="shared" si="172"/>
        <v>60.187882123550715</v>
      </c>
      <c r="E51" s="356">
        <f t="shared" si="172"/>
        <v>50.300652704576841</v>
      </c>
      <c r="F51" s="356">
        <f t="shared" si="172"/>
        <v>40.09467276382891</v>
      </c>
      <c r="G51" s="356">
        <f t="shared" si="172"/>
        <v>39.38436027998209</v>
      </c>
      <c r="H51" s="356">
        <f t="shared" si="172"/>
        <v>39.289663153588904</v>
      </c>
      <c r="I51" s="356">
        <f t="shared" si="172"/>
        <v>40.279510193650346</v>
      </c>
      <c r="J51" s="356">
        <f t="shared" si="172"/>
        <v>43.193789212869966</v>
      </c>
      <c r="K51" s="356">
        <f t="shared" si="172"/>
        <v>44.665886640216755</v>
      </c>
      <c r="L51" s="356">
        <f t="shared" si="172"/>
        <v>36.775429001024854</v>
      </c>
      <c r="M51" s="356">
        <f t="shared" si="172"/>
        <v>33.347037242149554</v>
      </c>
      <c r="N51" s="356">
        <f t="shared" si="172"/>
        <v>31.9925230321664</v>
      </c>
      <c r="O51" s="356">
        <f t="shared" si="161"/>
        <v>33.711350564287144</v>
      </c>
      <c r="P51" s="356">
        <f t="shared" si="161"/>
        <v>35.430178096407893</v>
      </c>
      <c r="Q51" s="356">
        <f t="shared" si="162"/>
        <v>41.534278041681915</v>
      </c>
      <c r="R51" s="356">
        <f t="shared" si="162"/>
        <v>43.629589937800525</v>
      </c>
      <c r="S51" s="356">
        <f t="shared" si="163"/>
        <v>45.008488249453222</v>
      </c>
      <c r="T51" s="356">
        <f t="shared" si="163"/>
        <v>45.622081552124584</v>
      </c>
      <c r="U51" s="356">
        <f t="shared" si="163"/>
        <v>49.15685662044843</v>
      </c>
      <c r="V51" s="356">
        <f t="shared" si="163"/>
        <v>45.414915123240959</v>
      </c>
      <c r="W51" s="356">
        <f t="shared" si="164"/>
        <v>46.543409120139948</v>
      </c>
      <c r="X51" s="356">
        <f t="shared" si="164"/>
        <v>38.926176263133868</v>
      </c>
      <c r="Y51" s="356">
        <f t="shared" si="165"/>
        <v>34.502121991208952</v>
      </c>
      <c r="Z51" s="356">
        <f t="shared" si="165"/>
        <v>28.519980224082122</v>
      </c>
      <c r="AA51" s="356">
        <f t="shared" si="166"/>
        <v>27.722727509640535</v>
      </c>
      <c r="AB51" s="356">
        <f t="shared" si="166"/>
        <v>30.551687430997333</v>
      </c>
      <c r="AC51" s="356">
        <f t="shared" si="167"/>
        <v>33.843139389255683</v>
      </c>
      <c r="AD51" s="356">
        <f t="shared" si="167"/>
        <v>33.440867099190619</v>
      </c>
      <c r="AE51" s="356">
        <f t="shared" ref="AE51:AF51" si="173">AE97*CtoCO2</f>
        <v>31.356444461431469</v>
      </c>
      <c r="AF51" s="356">
        <f t="shared" si="173"/>
        <v>25.2483565973377</v>
      </c>
      <c r="AG51" s="356">
        <f t="shared" ref="AG51:AH51" si="174">AG97*CtoCO2</f>
        <v>22.076563250414928</v>
      </c>
      <c r="AH51" s="356">
        <f t="shared" si="174"/>
        <v>21.949565179801599</v>
      </c>
      <c r="AI51" s="356">
        <f t="shared" ref="AI51" si="175">AI97*CtoCO2</f>
        <v>24.41859415668053</v>
      </c>
      <c r="AJ51" s="368">
        <f t="shared" si="171"/>
        <v>-0.54565273349842336</v>
      </c>
      <c r="AK51" s="368">
        <f t="shared" si="158"/>
        <v>-5.752619607172868E-3</v>
      </c>
      <c r="AL51" s="368">
        <f t="shared" si="159"/>
        <v>0.11248646415788582</v>
      </c>
      <c r="AN51"/>
      <c r="AO51"/>
      <c r="AP51"/>
      <c r="AQ51"/>
    </row>
    <row r="52" spans="2:43" ht="15" customHeight="1">
      <c r="B52" s="34" t="s">
        <v>1494</v>
      </c>
      <c r="C52" s="369">
        <f t="shared" ref="C52:N52" si="176">C98*CtoCO2</f>
        <v>11.684633116417166</v>
      </c>
      <c r="D52" s="369">
        <f t="shared" si="176"/>
        <v>11.042467468234367</v>
      </c>
      <c r="E52" s="369">
        <f t="shared" si="176"/>
        <v>10.79296600136089</v>
      </c>
      <c r="F52" s="369">
        <f t="shared" si="176"/>
        <v>10.844628786117022</v>
      </c>
      <c r="G52" s="369">
        <f t="shared" si="176"/>
        <v>8.9625781924071486</v>
      </c>
      <c r="H52" s="369">
        <f t="shared" si="176"/>
        <v>9.2989800452197695</v>
      </c>
      <c r="I52" s="369">
        <f t="shared" si="176"/>
        <v>8.4411229728801853</v>
      </c>
      <c r="J52" s="369">
        <f t="shared" si="176"/>
        <v>9.2819472636068419</v>
      </c>
      <c r="K52" s="369">
        <f t="shared" si="176"/>
        <v>11.744364506047585</v>
      </c>
      <c r="L52" s="369">
        <f t="shared" si="176"/>
        <v>8.400466007334165</v>
      </c>
      <c r="M52" s="369">
        <f t="shared" si="176"/>
        <v>6.4190851407625216</v>
      </c>
      <c r="N52" s="369">
        <f t="shared" si="176"/>
        <v>5.4047137428756233</v>
      </c>
      <c r="O52" s="369">
        <f t="shared" si="161"/>
        <v>6.1629008209232552</v>
      </c>
      <c r="P52" s="369">
        <f t="shared" si="161"/>
        <v>7.7595563271134145</v>
      </c>
      <c r="Q52" s="369">
        <f t="shared" si="162"/>
        <v>10.733302138865051</v>
      </c>
      <c r="R52" s="369">
        <f t="shared" si="162"/>
        <v>9.4772662719710645</v>
      </c>
      <c r="S52" s="369">
        <f t="shared" si="163"/>
        <v>8.8938022563286054</v>
      </c>
      <c r="T52" s="369">
        <f t="shared" si="163"/>
        <v>8.2664234991607497</v>
      </c>
      <c r="U52" s="369">
        <f t="shared" si="163"/>
        <v>9.0751338162517907</v>
      </c>
      <c r="V52" s="369">
        <f t="shared" si="163"/>
        <v>8.2348288739069329</v>
      </c>
      <c r="W52" s="369">
        <f t="shared" si="164"/>
        <v>9.5143974599426393</v>
      </c>
      <c r="X52" s="369">
        <f t="shared" si="164"/>
        <v>7.9636505868177769</v>
      </c>
      <c r="Y52" s="369">
        <f t="shared" si="165"/>
        <v>6.7961315590021201</v>
      </c>
      <c r="Z52" s="369">
        <f t="shared" si="165"/>
        <v>5.5959297910329253</v>
      </c>
      <c r="AA52" s="369">
        <f t="shared" si="166"/>
        <v>6.0859768652726185</v>
      </c>
      <c r="AB52" s="369">
        <f t="shared" si="166"/>
        <v>8.4155987877232263</v>
      </c>
      <c r="AC52" s="369">
        <f t="shared" si="167"/>
        <v>8.7106792874976229</v>
      </c>
      <c r="AD52" s="369">
        <f t="shared" si="167"/>
        <v>8.9871459800547751</v>
      </c>
      <c r="AE52" s="369">
        <f t="shared" ref="AE52:AF52" si="177">AE98*CtoCO2</f>
        <v>9.968854206640259</v>
      </c>
      <c r="AF52" s="369">
        <f t="shared" si="177"/>
        <v>10.102828885941072</v>
      </c>
      <c r="AG52" s="369">
        <f t="shared" ref="AG52:AH52" si="178">AG98*CtoCO2</f>
        <v>7.7804134322158882</v>
      </c>
      <c r="AH52" s="369">
        <f t="shared" si="178"/>
        <v>7.4191465730951558</v>
      </c>
      <c r="AI52" s="369">
        <f t="shared" ref="AI52" si="179">AI98*CtoCO2</f>
        <v>7.176395005213549</v>
      </c>
      <c r="AJ52" s="370">
        <f t="shared" si="171"/>
        <v>-0.38582624428912904</v>
      </c>
      <c r="AK52" s="370">
        <f t="shared" si="158"/>
        <v>-4.6432861475568452E-2</v>
      </c>
      <c r="AL52" s="370">
        <f t="shared" si="159"/>
        <v>-3.271960804251027E-2</v>
      </c>
    </row>
    <row r="53" spans="2:43">
      <c r="C53" s="683"/>
      <c r="D53" s="683"/>
      <c r="E53" s="683"/>
      <c r="F53" s="683"/>
      <c r="G53" s="683"/>
      <c r="H53" s="683"/>
      <c r="I53" s="683"/>
      <c r="J53" s="683"/>
      <c r="K53" s="683"/>
      <c r="L53" s="683"/>
      <c r="M53" s="683"/>
      <c r="N53" s="683"/>
      <c r="O53" s="361"/>
      <c r="P53" s="361"/>
      <c r="Q53" s="361"/>
      <c r="R53" s="361"/>
      <c r="S53" s="361"/>
      <c r="T53" s="361"/>
      <c r="U53" s="361"/>
      <c r="V53" s="361"/>
      <c r="W53" s="361"/>
      <c r="X53" s="361"/>
      <c r="Y53" s="361"/>
      <c r="Z53" s="361"/>
      <c r="AA53" s="361"/>
      <c r="AB53" s="361"/>
      <c r="AC53" s="361"/>
      <c r="AD53" s="361"/>
      <c r="AE53" s="361"/>
      <c r="AF53" s="361"/>
      <c r="AG53" s="361"/>
      <c r="AH53" s="361"/>
      <c r="AI53" s="361"/>
      <c r="AJ53" s="374"/>
      <c r="AK53" s="374"/>
      <c r="AL53" s="374"/>
    </row>
    <row r="54" spans="2:43">
      <c r="C54" s="361"/>
      <c r="D54" s="361"/>
      <c r="E54" s="361"/>
      <c r="F54" s="361"/>
      <c r="G54" s="361"/>
      <c r="H54" s="361"/>
      <c r="I54" s="361"/>
      <c r="J54" s="361"/>
      <c r="K54" s="361"/>
      <c r="L54" s="361"/>
      <c r="M54" s="680"/>
      <c r="N54" s="680"/>
      <c r="O54" s="680"/>
      <c r="P54" s="680"/>
      <c r="Q54" s="680"/>
      <c r="R54" s="680"/>
      <c r="S54" s="361"/>
      <c r="T54" s="361"/>
      <c r="U54" s="361"/>
      <c r="V54" s="680"/>
      <c r="W54" s="361"/>
      <c r="X54" s="361"/>
      <c r="Y54" s="361"/>
      <c r="Z54" s="361"/>
      <c r="AA54" s="361"/>
      <c r="AB54" s="361"/>
      <c r="AC54" s="361"/>
      <c r="AD54" s="361"/>
      <c r="AE54" s="361"/>
      <c r="AF54" s="361"/>
      <c r="AG54" s="361"/>
      <c r="AH54" s="361"/>
      <c r="AI54" s="361"/>
      <c r="AJ54" s="681"/>
      <c r="AK54" s="681"/>
      <c r="AL54" s="681"/>
      <c r="AM54"/>
      <c r="AN54"/>
      <c r="AO54"/>
      <c r="AP54"/>
      <c r="AQ54"/>
    </row>
    <row r="55" spans="2:43">
      <c r="C55" s="375"/>
      <c r="D55" s="375"/>
      <c r="E55" s="375"/>
      <c r="F55" s="375"/>
      <c r="G55" s="375"/>
      <c r="H55" s="375"/>
      <c r="I55" s="375"/>
      <c r="J55" s="375"/>
      <c r="K55" s="375"/>
      <c r="L55" s="375"/>
      <c r="M55" s="680"/>
      <c r="N55" s="680"/>
      <c r="O55" s="680"/>
      <c r="P55" s="680"/>
      <c r="Q55" s="680"/>
      <c r="R55" s="680"/>
      <c r="S55" s="361"/>
      <c r="T55" s="361"/>
      <c r="U55" s="361"/>
      <c r="V55" s="680"/>
      <c r="W55" s="361"/>
      <c r="X55" s="361"/>
      <c r="Y55" s="361"/>
      <c r="Z55" s="361"/>
      <c r="AA55" s="361"/>
      <c r="AB55" s="361"/>
      <c r="AC55" s="361"/>
      <c r="AD55" s="361"/>
      <c r="AE55" s="361"/>
      <c r="AF55" s="361"/>
      <c r="AG55" s="361"/>
      <c r="AH55" s="361"/>
      <c r="AI55" s="361"/>
      <c r="AJ55" s="681"/>
      <c r="AK55" s="681"/>
      <c r="AL55" s="681"/>
      <c r="AM55"/>
      <c r="AN55"/>
      <c r="AO55"/>
      <c r="AP55"/>
      <c r="AQ55"/>
    </row>
    <row r="56" spans="2:43">
      <c r="B56" s="86" t="s">
        <v>1495</v>
      </c>
      <c r="C56" s="375"/>
      <c r="D56" s="375"/>
      <c r="E56" s="375"/>
      <c r="F56" s="375"/>
      <c r="G56" s="375"/>
      <c r="H56" s="375"/>
      <c r="I56" s="375"/>
      <c r="J56" s="375"/>
      <c r="K56" s="375"/>
      <c r="L56" s="375"/>
      <c r="M56" s="680"/>
      <c r="N56" s="680"/>
      <c r="O56" s="680"/>
      <c r="P56" s="680"/>
      <c r="Q56" s="680"/>
      <c r="R56" s="680"/>
      <c r="S56" s="361"/>
      <c r="T56" s="361"/>
      <c r="U56" s="361"/>
      <c r="V56" s="680"/>
      <c r="W56" s="361"/>
      <c r="X56" s="361"/>
      <c r="Y56" s="361"/>
      <c r="Z56" s="361"/>
      <c r="AA56" s="361"/>
      <c r="AB56" s="361"/>
      <c r="AC56" s="361"/>
      <c r="AD56" s="361"/>
      <c r="AE56" s="361"/>
      <c r="AF56" s="361"/>
      <c r="AG56" s="361"/>
      <c r="AH56" s="361"/>
      <c r="AI56" s="361"/>
      <c r="AJ56" s="681"/>
      <c r="AK56" s="681"/>
      <c r="AL56" s="681"/>
      <c r="AM56"/>
      <c r="AN56"/>
      <c r="AO56"/>
      <c r="AP56"/>
      <c r="AQ56"/>
    </row>
    <row r="57" spans="2:43">
      <c r="B57" s="4" t="s">
        <v>1469</v>
      </c>
      <c r="C57" s="352">
        <v>1990</v>
      </c>
      <c r="D57" s="352">
        <v>1991</v>
      </c>
      <c r="E57" s="352">
        <v>1992</v>
      </c>
      <c r="F57" s="352">
        <v>1993</v>
      </c>
      <c r="G57" s="352">
        <v>1994</v>
      </c>
      <c r="H57" s="352">
        <v>1995</v>
      </c>
      <c r="I57" s="352">
        <v>1996</v>
      </c>
      <c r="J57" s="352">
        <v>1997</v>
      </c>
      <c r="K57" s="352">
        <v>1998</v>
      </c>
      <c r="L57" s="352">
        <v>1999</v>
      </c>
      <c r="M57" s="352">
        <v>2000</v>
      </c>
      <c r="N57" s="352">
        <v>2001</v>
      </c>
      <c r="O57" s="352">
        <v>2002</v>
      </c>
      <c r="P57" s="352">
        <v>2003</v>
      </c>
      <c r="Q57" s="352">
        <v>2004</v>
      </c>
      <c r="R57" s="352">
        <v>2005</v>
      </c>
      <c r="S57" s="352">
        <v>2006</v>
      </c>
      <c r="T57" s="352">
        <v>2007</v>
      </c>
      <c r="U57" s="352">
        <v>2008</v>
      </c>
      <c r="V57" s="352">
        <v>2009</v>
      </c>
      <c r="W57" s="352">
        <v>2010</v>
      </c>
      <c r="X57" s="352">
        <v>2011</v>
      </c>
      <c r="Y57" s="352">
        <v>2012</v>
      </c>
      <c r="Z57" s="352">
        <v>2013</v>
      </c>
      <c r="AA57" s="352">
        <v>2014</v>
      </c>
      <c r="AB57" s="352">
        <v>2015</v>
      </c>
      <c r="AC57" s="352">
        <v>2016</v>
      </c>
      <c r="AD57" s="352">
        <v>2017</v>
      </c>
      <c r="AE57" s="352">
        <v>2018</v>
      </c>
      <c r="AF57" s="352">
        <v>2019</v>
      </c>
      <c r="AG57" s="352">
        <v>2020</v>
      </c>
      <c r="AH57" s="352">
        <v>2021</v>
      </c>
      <c r="AI57" s="352">
        <v>2022</v>
      </c>
      <c r="AJ57" s="353" t="s">
        <v>1472</v>
      </c>
      <c r="AK57" s="376"/>
      <c r="AL57" s="376"/>
    </row>
    <row r="58" spans="2:43">
      <c r="B58" s="5" t="s">
        <v>1435</v>
      </c>
      <c r="C58" s="354">
        <f>SUM(C59:C64)</f>
        <v>469.03379114187561</v>
      </c>
      <c r="D58" s="354">
        <f t="shared" ref="D58:K58" si="180">SUM(D59:D64)</f>
        <v>467.95677018275512</v>
      </c>
      <c r="E58" s="354">
        <f t="shared" si="180"/>
        <v>472.62656819580059</v>
      </c>
      <c r="F58" s="354">
        <f t="shared" si="180"/>
        <v>490.44605699850126</v>
      </c>
      <c r="G58" s="354">
        <f t="shared" si="180"/>
        <v>492.28329697510179</v>
      </c>
      <c r="H58" s="354">
        <f t="shared" si="180"/>
        <v>496.46350592758091</v>
      </c>
      <c r="I58" s="354">
        <f t="shared" si="180"/>
        <v>519.61159395807647</v>
      </c>
      <c r="J58" s="354">
        <f t="shared" si="180"/>
        <v>531.95708648198195</v>
      </c>
      <c r="K58" s="354">
        <f t="shared" si="180"/>
        <v>539.83284640278168</v>
      </c>
      <c r="L58" s="354">
        <f t="shared" ref="L58:Q58" si="181">SUM(L59:L64)</f>
        <v>539.83588712186463</v>
      </c>
      <c r="M58" s="354">
        <f t="shared" si="181"/>
        <v>563.22740256657812</v>
      </c>
      <c r="N58" s="354">
        <f t="shared" si="181"/>
        <v>548.17757367353067</v>
      </c>
      <c r="O58" s="354">
        <f t="shared" si="181"/>
        <v>550.82536303052802</v>
      </c>
      <c r="P58" s="354">
        <f t="shared" si="181"/>
        <v>562.10449981104216</v>
      </c>
      <c r="Q58" s="354">
        <f t="shared" si="181"/>
        <v>566.25056933043891</v>
      </c>
      <c r="R58" s="354">
        <f t="shared" ref="R58:W58" si="182">SUM(R59:R64)</f>
        <v>576.4613920568147</v>
      </c>
      <c r="S58" s="354">
        <f t="shared" si="182"/>
        <v>566.87008048731207</v>
      </c>
      <c r="T58" s="354">
        <f t="shared" si="182"/>
        <v>574.86012364877354</v>
      </c>
      <c r="U58" s="354">
        <f t="shared" si="182"/>
        <v>566.04752210594097</v>
      </c>
      <c r="V58" s="354">
        <f t="shared" si="182"/>
        <v>501.15014721132536</v>
      </c>
      <c r="W58" s="354">
        <f t="shared" si="182"/>
        <v>526.68595347240648</v>
      </c>
      <c r="X58" s="354">
        <f t="shared" ref="X58:AC58" si="183">SUM(X59:X64)</f>
        <v>495.70989506978833</v>
      </c>
      <c r="Y58" s="354">
        <f t="shared" si="183"/>
        <v>435.63778356452588</v>
      </c>
      <c r="Z58" s="354">
        <f t="shared" si="183"/>
        <v>452.18330643499866</v>
      </c>
      <c r="AA58" s="354">
        <f t="shared" si="183"/>
        <v>451.37919896990434</v>
      </c>
      <c r="AB58" s="354">
        <f t="shared" si="183"/>
        <v>389.35458117288101</v>
      </c>
      <c r="AC58" s="354">
        <f t="shared" si="183"/>
        <v>357.46435798555285</v>
      </c>
      <c r="AD58" s="354">
        <f>SUM(AD59:AD64)</f>
        <v>346.36800143285336</v>
      </c>
      <c r="AE58" s="354">
        <f t="shared" ref="AE58:AF58" si="184">SUM(AE59:AE64)</f>
        <v>330.44758667919001</v>
      </c>
      <c r="AF58" s="354">
        <f t="shared" si="184"/>
        <v>280.40687591979895</v>
      </c>
      <c r="AG58" s="354">
        <f t="shared" ref="AG58:AH58" si="185">SUM(AG59:AG64)</f>
        <v>227.89175497014608</v>
      </c>
      <c r="AH58" s="354">
        <f t="shared" si="185"/>
        <v>261.11177602964779</v>
      </c>
      <c r="AI58" s="354">
        <f t="shared" ref="AI58" si="186">SUM(AI59:AI64)</f>
        <v>245.02056754379237</v>
      </c>
      <c r="AJ58" s="1071">
        <f>IFERROR((AI58-AH58)/AH58,"NA")</f>
        <v>-6.1625747909693475E-2</v>
      </c>
    </row>
    <row r="59" spans="2:43">
      <c r="B59" s="6" t="s">
        <v>1434</v>
      </c>
      <c r="C59" s="356">
        <f>'1990'!$AD$8</f>
        <v>0.81482597783473965</v>
      </c>
      <c r="D59" s="356">
        <f>'1991'!$AD$8</f>
        <v>0.6659636092711847</v>
      </c>
      <c r="E59" s="356">
        <f>'1992'!$AD$8</f>
        <v>0.67511951437872819</v>
      </c>
      <c r="F59" s="356">
        <f>'1993'!$AD$8</f>
        <v>0.67356894182597427</v>
      </c>
      <c r="G59" s="356">
        <f>'1994'!$AD$8</f>
        <v>0.54386784109167652</v>
      </c>
      <c r="H59" s="356">
        <f>'1995'!$AD$8</f>
        <v>0.45591049498861236</v>
      </c>
      <c r="I59" s="356">
        <f>'1996'!$AD$8</f>
        <v>0.43161277993134528</v>
      </c>
      <c r="J59" s="356">
        <f>'1997'!$AD$8</f>
        <v>0.41404679180633902</v>
      </c>
      <c r="K59" s="356">
        <f>'1998'!$AD$8</f>
        <v>0.3008850982957148</v>
      </c>
      <c r="L59" s="356">
        <f>'1999'!$AD$8</f>
        <v>0.36311947601733591</v>
      </c>
      <c r="M59" s="356">
        <f>'2000'!$AD$8</f>
        <v>0.29529732995005609</v>
      </c>
      <c r="N59" s="356">
        <f>'2001'!$AD$8</f>
        <v>0.31113955046419722</v>
      </c>
      <c r="O59" s="356">
        <f>'2002'!$AD$8</f>
        <v>0.31801382964134439</v>
      </c>
      <c r="P59" s="356">
        <f>'2003'!$AD$8</f>
        <v>0.31875471349859091</v>
      </c>
      <c r="Q59" s="356">
        <f>'2004'!$AD$8</f>
        <v>0.29597819149338533</v>
      </c>
      <c r="R59" s="356">
        <f>'2005'!$AD$8</f>
        <v>0.21961509124761755</v>
      </c>
      <c r="S59" s="356">
        <f>'2006'!$AD$8</f>
        <v>0.1682868172450841</v>
      </c>
      <c r="T59" s="356">
        <f>'2007'!$AD$8</f>
        <v>0.20166405634028989</v>
      </c>
      <c r="U59" s="356">
        <f>'2008'!$AD$8</f>
        <v>0</v>
      </c>
      <c r="V59" s="356">
        <f>'2009'!$AD$8</f>
        <v>0</v>
      </c>
      <c r="W59" s="356">
        <f>'2010'!$AD$8</f>
        <v>0</v>
      </c>
      <c r="X59" s="356">
        <f>'2011'!$AD$8</f>
        <v>0</v>
      </c>
      <c r="Y59" s="356">
        <f>'2012'!$AD$8</f>
        <v>0</v>
      </c>
      <c r="Z59" s="356">
        <f>'2013'!$AD$8</f>
        <v>0</v>
      </c>
      <c r="AA59" s="356">
        <f>'2014'!$AD$8</f>
        <v>0</v>
      </c>
      <c r="AB59" s="356">
        <f>'2015'!$AD$8</f>
        <v>0</v>
      </c>
      <c r="AC59" s="356">
        <f>'2016'!$AD$8</f>
        <v>0</v>
      </c>
      <c r="AD59" s="356">
        <f>'2017'!$AD$8</f>
        <v>0</v>
      </c>
      <c r="AE59" s="356">
        <f>'2018'!$AD$8</f>
        <v>0</v>
      </c>
      <c r="AF59" s="356">
        <f>'2019'!$AD$8</f>
        <v>0</v>
      </c>
      <c r="AG59" s="356">
        <f>'2020'!$AD$8</f>
        <v>0</v>
      </c>
      <c r="AH59" s="356">
        <f>'2021'!$AD$8</f>
        <v>0</v>
      </c>
      <c r="AI59" s="356">
        <f>'2022'!$AD$8</f>
        <v>0</v>
      </c>
      <c r="AJ59" s="1072" t="str">
        <f t="shared" ref="AJ59:AJ79" si="187">IFERROR((AI59-AH59)/AH59,"NA")</f>
        <v>NA</v>
      </c>
    </row>
    <row r="60" spans="2:43">
      <c r="B60" s="6" t="s">
        <v>1441</v>
      </c>
      <c r="C60" s="356">
        <f>'1990'!$AE$8</f>
        <v>3.2593039113389586</v>
      </c>
      <c r="D60" s="356">
        <f>'1991'!$AE$8</f>
        <v>3.033805036042919</v>
      </c>
      <c r="E60" s="356">
        <f>'1992'!$AE$8</f>
        <v>3.0754887565410272</v>
      </c>
      <c r="F60" s="356">
        <f>'1993'!$AE$8</f>
        <v>3.0685068940180367</v>
      </c>
      <c r="G60" s="356">
        <f>'1994'!$AE$8</f>
        <v>3.0818481900651351</v>
      </c>
      <c r="H60" s="356">
        <f>'1995'!$AE$8</f>
        <v>3.0511073800200594</v>
      </c>
      <c r="I60" s="356">
        <f>'1996'!$AE$8</f>
        <v>3.1650823085980888</v>
      </c>
      <c r="J60" s="356">
        <f>'1997'!$AE$8</f>
        <v>3.3500455501884692</v>
      </c>
      <c r="K60" s="356">
        <f>'1998'!$AE$8</f>
        <v>2.4344908247625923</v>
      </c>
      <c r="L60" s="356">
        <f>'1999'!$AE$8</f>
        <v>2.6627895829483839</v>
      </c>
      <c r="M60" s="356">
        <f>'2000'!$AE$8</f>
        <v>2.3891836710477543</v>
      </c>
      <c r="N60" s="356">
        <f>'2001'!$AE$8</f>
        <v>2.5174467111236498</v>
      </c>
      <c r="O60" s="356">
        <f>'2002'!$AE$8</f>
        <v>2.3321360367721713</v>
      </c>
      <c r="P60" s="356">
        <f>'2003'!$AE$8</f>
        <v>2.13326468379889</v>
      </c>
      <c r="Q60" s="356">
        <f>'2004'!$AE$8</f>
        <v>2.6637519518484631</v>
      </c>
      <c r="R60" s="356">
        <f>'2005'!$AE$8</f>
        <v>2.5254824227537229</v>
      </c>
      <c r="S60" s="356">
        <f>'2006'!$AE$8</f>
        <v>1.7014879217371648</v>
      </c>
      <c r="T60" s="356">
        <f>'2007'!$AE$8</f>
        <v>1.8148987645582371</v>
      </c>
      <c r="U60" s="356">
        <f>'2008'!$AE$8</f>
        <v>2.0759150674649263</v>
      </c>
      <c r="V60" s="356">
        <f>'2009'!$AE$8</f>
        <v>1.8876257694416578</v>
      </c>
      <c r="W60" s="356">
        <f>'2010'!$AE$8</f>
        <v>1.7935773313770182</v>
      </c>
      <c r="X60" s="356">
        <f>'2011'!$AE$8</f>
        <v>1.5930287657831101</v>
      </c>
      <c r="Y60" s="356">
        <f>'2012'!$AE$8</f>
        <v>1.12725761938264</v>
      </c>
      <c r="Z60" s="356">
        <f>'2013'!$AE$8</f>
        <v>1.0731706660026119</v>
      </c>
      <c r="AA60" s="356">
        <f>'2014'!$AE$8</f>
        <v>1.0406583689529039</v>
      </c>
      <c r="AB60" s="356">
        <f>'2015'!$AE$8</f>
        <v>0.80851967060934637</v>
      </c>
      <c r="AC60" s="356">
        <f>'2016'!$AE$8</f>
        <v>0.61772504721746757</v>
      </c>
      <c r="AD60" s="356">
        <f>'2017'!$AE$8</f>
        <v>0.53888644091644711</v>
      </c>
      <c r="AE60" s="356">
        <f>'2018'!$AE$8</f>
        <v>0.48850748125445337</v>
      </c>
      <c r="AF60" s="356">
        <f>'2019'!$AE$8</f>
        <v>0.43639068933175701</v>
      </c>
      <c r="AG60" s="356">
        <f>'2020'!$AE$8</f>
        <v>0.38034318384093913</v>
      </c>
      <c r="AH60" s="356">
        <f>'2021'!$AE$8</f>
        <v>0.39011370897225583</v>
      </c>
      <c r="AI60" s="356">
        <f>'2022'!$AE$8</f>
        <v>0.37858082288786604</v>
      </c>
      <c r="AJ60" s="1072">
        <f t="shared" si="187"/>
        <v>-2.9562883382829263E-2</v>
      </c>
    </row>
    <row r="61" spans="2:43">
      <c r="B61" s="6" t="s">
        <v>1443</v>
      </c>
      <c r="C61" s="356">
        <f>'1990'!$AF$8</f>
        <v>43.047011394139815</v>
      </c>
      <c r="D61" s="356">
        <f>'1991'!$AF$8</f>
        <v>42.174059075471398</v>
      </c>
      <c r="E61" s="356">
        <f>'1992'!$AF$8</f>
        <v>40.984081291736345</v>
      </c>
      <c r="F61" s="356">
        <f>'1993'!$AF$8</f>
        <v>41.603942603188628</v>
      </c>
      <c r="G61" s="356">
        <f>'1994'!$AF$8</f>
        <v>41.855188887939327</v>
      </c>
      <c r="H61" s="356">
        <f>'1995'!$AF$8</f>
        <v>40.149732662713802</v>
      </c>
      <c r="I61" s="356">
        <f>'1996'!$AF$8</f>
        <v>38.206194208458498</v>
      </c>
      <c r="J61" s="356">
        <f>'1997'!$AF$8</f>
        <v>38.247178122132567</v>
      </c>
      <c r="K61" s="356">
        <f>'1998'!$AF$8</f>
        <v>38.660619130061967</v>
      </c>
      <c r="L61" s="356">
        <f>'1999'!$AF$8</f>
        <v>36.131097127168566</v>
      </c>
      <c r="M61" s="356">
        <f>'2000'!$AF$8</f>
        <v>35.041065719329843</v>
      </c>
      <c r="N61" s="356">
        <f>'2001'!$AF$8</f>
        <v>35.504075798190122</v>
      </c>
      <c r="O61" s="356">
        <f>'2002'!$AF$8</f>
        <v>32.470293506116853</v>
      </c>
      <c r="P61" s="356">
        <f>'2003'!$AF$8</f>
        <v>32.574147289804223</v>
      </c>
      <c r="Q61" s="356">
        <f>'2004'!$AF$8</f>
        <v>32.845701948496348</v>
      </c>
      <c r="R61" s="356">
        <f>'2005'!$AF$8</f>
        <v>32.138553607575716</v>
      </c>
      <c r="S61" s="356">
        <f>'2006'!$AF$8</f>
        <v>31.521648766259013</v>
      </c>
      <c r="T61" s="356">
        <f>'2007'!$AF$8</f>
        <v>30.211154581560791</v>
      </c>
      <c r="U61" s="356">
        <f>'2008'!$AF$8</f>
        <v>28.929509779922483</v>
      </c>
      <c r="V61" s="356">
        <f>'2009'!$AF$8</f>
        <v>23.745544058274607</v>
      </c>
      <c r="W61" s="356">
        <f>'2010'!$AF$8</f>
        <v>25.681207235561804</v>
      </c>
      <c r="X61" s="356">
        <f>'2011'!$AF$8</f>
        <v>23.44191570190134</v>
      </c>
      <c r="Y61" s="356">
        <f>'2012'!$AF$8</f>
        <v>21.333902662076493</v>
      </c>
      <c r="Z61" s="356">
        <f>'2013'!$AF$8</f>
        <v>21.693769397267815</v>
      </c>
      <c r="AA61" s="356">
        <f>'2014'!$AF$8</f>
        <v>21.611669628436861</v>
      </c>
      <c r="AB61" s="356">
        <f>'2015'!$AF$8</f>
        <v>19.082837434853975</v>
      </c>
      <c r="AC61" s="356">
        <f>'2016'!$AF$8</f>
        <v>17.222810313388916</v>
      </c>
      <c r="AD61" s="356">
        <f>'2017'!$AF$8</f>
        <v>16.001690771129116</v>
      </c>
      <c r="AE61" s="356">
        <f>'2018'!$AF$8</f>
        <v>14.840933223447241</v>
      </c>
      <c r="AF61" s="356">
        <f>'2019'!$AF$8</f>
        <v>13.488597258862674</v>
      </c>
      <c r="AG61" s="356">
        <f>'2020'!$AF$8</f>
        <v>11.718080295791049</v>
      </c>
      <c r="AH61" s="356">
        <f>'2021'!$AF$8</f>
        <v>11.734473090483474</v>
      </c>
      <c r="AI61" s="356">
        <f>'2022'!$AF$8</f>
        <v>11.634543435283913</v>
      </c>
      <c r="AJ61" s="1072">
        <f t="shared" si="187"/>
        <v>-8.5159047559283663E-3</v>
      </c>
    </row>
    <row r="62" spans="2:43">
      <c r="B62" s="6" t="s">
        <v>1445</v>
      </c>
      <c r="C62" s="356" t="str">
        <f>'1990'!$AG$8</f>
        <v>NO</v>
      </c>
      <c r="D62" s="356" t="str">
        <f>'1991'!$AG$8</f>
        <v>NO</v>
      </c>
      <c r="E62" s="356" t="str">
        <f>'1992'!$AG$8</f>
        <v>NO</v>
      </c>
      <c r="F62" s="356" t="str">
        <f>'1993'!$AG$8</f>
        <v>NO</v>
      </c>
      <c r="G62" s="356" t="str">
        <f>'1994'!$AG$8</f>
        <v>NO</v>
      </c>
      <c r="H62" s="356" t="str">
        <f>'1995'!$AG$8</f>
        <v>NE</v>
      </c>
      <c r="I62" s="356" t="str">
        <f>'1996'!$AG$8</f>
        <v>NO</v>
      </c>
      <c r="J62" s="356" t="str">
        <f>'1997'!$AG$8</f>
        <v>NO</v>
      </c>
      <c r="K62" s="356" t="str">
        <f>'1998'!$AG$8</f>
        <v>NO</v>
      </c>
      <c r="L62" s="356" t="str">
        <f>'1999'!$AG$8</f>
        <v>NO</v>
      </c>
      <c r="M62" s="356" t="str">
        <f>'2000'!$AG$8</f>
        <v>NO</v>
      </c>
      <c r="N62" s="356" t="str">
        <f>'2001'!$AG$8</f>
        <v>NO</v>
      </c>
      <c r="O62" s="356" t="str">
        <f>'2002'!$AG$8</f>
        <v>NO</v>
      </c>
      <c r="P62" s="356" t="str">
        <f>'2003'!$AG$8</f>
        <v>NO</v>
      </c>
      <c r="Q62" s="356" t="str">
        <f>'2004'!$AG$8</f>
        <v>NO</v>
      </c>
      <c r="R62" s="356" t="str">
        <f>'2005'!$AG$8</f>
        <v>NO</v>
      </c>
      <c r="S62" s="356" t="str">
        <f>'2006'!$AG$8</f>
        <v>NO</v>
      </c>
      <c r="T62" s="356" t="str">
        <f>'2007'!$AG$8</f>
        <v>NO</v>
      </c>
      <c r="U62" s="356" t="str">
        <f>'2008'!$AG$8</f>
        <v>NO</v>
      </c>
      <c r="V62" s="356" t="str">
        <f>'2009'!$AG$8</f>
        <v>NO</v>
      </c>
      <c r="W62" s="356" t="str">
        <f>'2010'!$AG$8</f>
        <v>NO</v>
      </c>
      <c r="X62" s="356" t="str">
        <f>'2011'!$AG$8</f>
        <v>NO</v>
      </c>
      <c r="Y62" s="356" t="str">
        <f>'2012'!$AG$8</f>
        <v>NO</v>
      </c>
      <c r="Z62" s="356" t="str">
        <f>'2013'!$AG$8</f>
        <v>NO</v>
      </c>
      <c r="AA62" s="356" t="str">
        <f>'2014'!$AG$8</f>
        <v>NO</v>
      </c>
      <c r="AB62" s="356" t="str">
        <f>'2015'!$AG$8</f>
        <v>NO</v>
      </c>
      <c r="AC62" s="356" t="str">
        <f>'2016'!$AG$8</f>
        <v>NO</v>
      </c>
      <c r="AD62" s="356" t="str">
        <f>'2017'!$AG$8</f>
        <v>NO</v>
      </c>
      <c r="AE62" s="356" t="str">
        <f>'2018'!$AG$8</f>
        <v>NO</v>
      </c>
      <c r="AF62" s="356" t="str">
        <f>'2019'!$AG$8</f>
        <v>NO</v>
      </c>
      <c r="AG62" s="356" t="str">
        <f>'2020'!$AG$8</f>
        <v>NO</v>
      </c>
      <c r="AH62" s="356" t="str">
        <f>'2021'!$AG$8</f>
        <v>NO</v>
      </c>
      <c r="AI62" s="356" t="str">
        <f>'2022'!$AG$8</f>
        <v>NO</v>
      </c>
      <c r="AJ62" s="1072" t="str">
        <f t="shared" si="187"/>
        <v>NA</v>
      </c>
    </row>
    <row r="63" spans="2:43">
      <c r="B63" s="6" t="s">
        <v>1474</v>
      </c>
      <c r="C63" s="356">
        <f>'1990'!$AH$8</f>
        <v>421.77650886450402</v>
      </c>
      <c r="D63" s="356">
        <f>'1991'!$AH$8</f>
        <v>421.95667464530385</v>
      </c>
      <c r="E63" s="356">
        <f>'1992'!$AH$8</f>
        <v>427.78404112289132</v>
      </c>
      <c r="F63" s="356">
        <f>'1993'!$AH$8</f>
        <v>444.9869482184144</v>
      </c>
      <c r="G63" s="356">
        <f>'1994'!$AH$8</f>
        <v>446.68713878650135</v>
      </c>
      <c r="H63" s="356">
        <f>'1995'!$AH$8</f>
        <v>452.68933919246467</v>
      </c>
      <c r="I63" s="356">
        <f>'1996'!$AH$8</f>
        <v>477.68819856190441</v>
      </c>
      <c r="J63" s="356">
        <f>'1997'!$AH$8</f>
        <v>489.82333237950644</v>
      </c>
      <c r="K63" s="356">
        <f>'1998'!$AH$8</f>
        <v>498.31300815643164</v>
      </c>
      <c r="L63" s="356">
        <f>'1999'!$AH$8</f>
        <v>500.56424564434161</v>
      </c>
      <c r="M63" s="356">
        <f>'2000'!$AH$8</f>
        <v>525.37230933160845</v>
      </c>
      <c r="N63" s="356">
        <f>'2001'!$AH$8</f>
        <v>509.68214006165073</v>
      </c>
      <c r="O63" s="356">
        <f>'2002'!$AH$8</f>
        <v>515.1530915746896</v>
      </c>
      <c r="P63" s="356">
        <f>'2003'!$AH$8</f>
        <v>526.35181635353547</v>
      </c>
      <c r="Q63" s="356">
        <f>'2004'!$AH$8</f>
        <v>529.64176323843378</v>
      </c>
      <c r="R63" s="356">
        <f>'2005'!$AH$8</f>
        <v>540.75582753554124</v>
      </c>
      <c r="S63" s="356">
        <f>'2006'!$AH$8</f>
        <v>532.55168698317198</v>
      </c>
      <c r="T63" s="356">
        <f>'2007'!$AH$8</f>
        <v>541.70448691341755</v>
      </c>
      <c r="U63" s="356">
        <f>'2008'!$AH$8</f>
        <v>534.1057107637057</v>
      </c>
      <c r="V63" s="356">
        <f>'2009'!$AH$8</f>
        <v>474.58709161211311</v>
      </c>
      <c r="W63" s="356">
        <f>'2010'!$AH$8</f>
        <v>498.3396108074736</v>
      </c>
      <c r="X63" s="356">
        <f>'2011'!$AH$8</f>
        <v>469.73723742624389</v>
      </c>
      <c r="Y63" s="356">
        <f>'2012'!$AH$8</f>
        <v>412.2799378823579</v>
      </c>
      <c r="Z63" s="356">
        <f>'2013'!$AH$8</f>
        <v>428.52303474433756</v>
      </c>
      <c r="AA63" s="356">
        <f>'2014'!$AH$8</f>
        <v>427.78804742948785</v>
      </c>
      <c r="AB63" s="356">
        <f>'2015'!$AH$8</f>
        <v>368.5604758948889</v>
      </c>
      <c r="AC63" s="356">
        <f>'2016'!$AH$8</f>
        <v>338.73181699799721</v>
      </c>
      <c r="AD63" s="356">
        <f>'2017'!$AH$8</f>
        <v>329.20001980692382</v>
      </c>
      <c r="AE63" s="356">
        <f>'2018'!$AH$8</f>
        <v>314.42084264902229</v>
      </c>
      <c r="AF63" s="356">
        <f>'2019'!$AH$8</f>
        <v>265.5108497421985</v>
      </c>
      <c r="AG63" s="356">
        <f>'2020'!$AH$8</f>
        <v>214.95262538138545</v>
      </c>
      <c r="AH63" s="356">
        <f>'2021'!$AH$8</f>
        <v>248.19939769041113</v>
      </c>
      <c r="AI63" s="356">
        <f>'2022'!$AH$8</f>
        <v>232.21965174583966</v>
      </c>
      <c r="AJ63" s="1072">
        <f t="shared" si="187"/>
        <v>-6.4382694290433543E-2</v>
      </c>
    </row>
    <row r="64" spans="2:43">
      <c r="B64" s="6" t="s">
        <v>1476</v>
      </c>
      <c r="C64" s="356">
        <f>'1990'!$AI$8</f>
        <v>0.136140994058046</v>
      </c>
      <c r="D64" s="356">
        <f>'1991'!$AI$8</f>
        <v>0.1262678166657589</v>
      </c>
      <c r="E64" s="356">
        <f>'1992'!$AI$8</f>
        <v>0.10783751025312488</v>
      </c>
      <c r="F64" s="356">
        <f>'1993'!$AI$8</f>
        <v>0.113090341054182</v>
      </c>
      <c r="G64" s="356">
        <f>'1994'!$AI$8</f>
        <v>0.11525326950429432</v>
      </c>
      <c r="H64" s="356">
        <f>'1995'!$AI$8</f>
        <v>0.11741619739378968</v>
      </c>
      <c r="I64" s="356">
        <f>'1996'!$AI$8</f>
        <v>0.12050609918410633</v>
      </c>
      <c r="J64" s="356">
        <f>'1997'!$AI$8</f>
        <v>0.12248363834815312</v>
      </c>
      <c r="K64" s="356">
        <f>'1998'!$AI$8</f>
        <v>0.12384319322977799</v>
      </c>
      <c r="L64" s="356">
        <f>'1999'!$AI$8</f>
        <v>0.11463529138872</v>
      </c>
      <c r="M64" s="356">
        <f>'2000'!$AI$8</f>
        <v>0.12954651464204567</v>
      </c>
      <c r="N64" s="356">
        <f>'2001'!$AI$8</f>
        <v>0.16277155210200167</v>
      </c>
      <c r="O64" s="356">
        <f>'2002'!$AI$8</f>
        <v>0.55182808330799782</v>
      </c>
      <c r="P64" s="356">
        <f>'2003'!$AI$8</f>
        <v>0.72651677040497487</v>
      </c>
      <c r="Q64" s="356">
        <f>'2004'!$AI$8</f>
        <v>0.80337400016696259</v>
      </c>
      <c r="R64" s="356">
        <f>'2005'!$AI$8</f>
        <v>0.82191339969640331</v>
      </c>
      <c r="S64" s="356">
        <f>'2006'!$AI$8</f>
        <v>0.92696999889886322</v>
      </c>
      <c r="T64" s="356">
        <f>'2007'!$AI$8</f>
        <v>0.92791933289666284</v>
      </c>
      <c r="U64" s="356">
        <f>'2008'!$AI$8</f>
        <v>0.93638649484783076</v>
      </c>
      <c r="V64" s="356">
        <f>'2009'!$AI$8</f>
        <v>0.92988577149598328</v>
      </c>
      <c r="W64" s="356">
        <f>'2010'!$AI$8</f>
        <v>0.8715580979940224</v>
      </c>
      <c r="X64" s="356">
        <f>'2011'!$AI$8</f>
        <v>0.9377131758599776</v>
      </c>
      <c r="Y64" s="356">
        <f>'2012'!$AI$8</f>
        <v>0.89668540070885594</v>
      </c>
      <c r="Z64" s="356">
        <f>'2013'!$AI$8</f>
        <v>0.89333162739065053</v>
      </c>
      <c r="AA64" s="356">
        <f>'2014'!$AI$8</f>
        <v>0.93882354302671767</v>
      </c>
      <c r="AB64" s="356">
        <f>'2015'!$AI$8</f>
        <v>0.90274817252878858</v>
      </c>
      <c r="AC64" s="356">
        <f>'2016'!$AI$8</f>
        <v>0.89200562694924701</v>
      </c>
      <c r="AD64" s="356">
        <f>'2017'!$AI$8</f>
        <v>0.62740441388400003</v>
      </c>
      <c r="AE64" s="356">
        <f>'2018'!$AI$8</f>
        <v>0.69730332546600016</v>
      </c>
      <c r="AF64" s="356">
        <f>'2019'!$AI$8</f>
        <v>0.97103822940600015</v>
      </c>
      <c r="AG64" s="356">
        <f>'2020'!$AI$8</f>
        <v>0.8407061091286695</v>
      </c>
      <c r="AH64" s="356">
        <f>'2021'!$AI$8</f>
        <v>0.78779153978092098</v>
      </c>
      <c r="AI64" s="356">
        <f>'2022'!$AI$8</f>
        <v>0.78779153978092098</v>
      </c>
      <c r="AJ64" s="1072">
        <f t="shared" si="187"/>
        <v>0</v>
      </c>
    </row>
    <row r="65" spans="2:36">
      <c r="B65" s="5" t="s">
        <v>1439</v>
      </c>
      <c r="C65" s="354">
        <f t="shared" ref="C65:K65" si="188">SUM(C66:C71)</f>
        <v>272.35186152543997</v>
      </c>
      <c r="D65" s="354">
        <f t="shared" si="188"/>
        <v>278.42091058561425</v>
      </c>
      <c r="E65" s="354">
        <f t="shared" si="188"/>
        <v>287.54859960915547</v>
      </c>
      <c r="F65" s="354">
        <f t="shared" si="188"/>
        <v>295.03876352723785</v>
      </c>
      <c r="G65" s="354">
        <f t="shared" si="188"/>
        <v>301.79935868012126</v>
      </c>
      <c r="H65" s="354">
        <f t="shared" si="188"/>
        <v>315.00343260888394</v>
      </c>
      <c r="I65" s="354">
        <f t="shared" si="188"/>
        <v>320.80486706087225</v>
      </c>
      <c r="J65" s="354">
        <f t="shared" si="188"/>
        <v>322.4893171897574</v>
      </c>
      <c r="K65" s="354">
        <f t="shared" si="188"/>
        <v>315.99603924942551</v>
      </c>
      <c r="L65" s="354">
        <f t="shared" ref="L65:Q65" si="189">SUM(L66:L71)</f>
        <v>317.16459747417491</v>
      </c>
      <c r="M65" s="354">
        <f t="shared" si="189"/>
        <v>332.35416144125873</v>
      </c>
      <c r="N65" s="354">
        <f t="shared" si="189"/>
        <v>318.93984765592177</v>
      </c>
      <c r="O65" s="354">
        <f t="shared" si="189"/>
        <v>329.43625268604825</v>
      </c>
      <c r="P65" s="354">
        <f t="shared" si="189"/>
        <v>320.98709365015037</v>
      </c>
      <c r="Q65" s="354">
        <f t="shared" si="189"/>
        <v>322.58884943516279</v>
      </c>
      <c r="R65" s="354">
        <f t="shared" ref="R65:W65" si="190">SUM(R66:R71)</f>
        <v>318.04415639819422</v>
      </c>
      <c r="S65" s="354">
        <f t="shared" si="190"/>
        <v>313.92244756445479</v>
      </c>
      <c r="T65" s="354">
        <f t="shared" si="190"/>
        <v>334.09902009920404</v>
      </c>
      <c r="U65" s="354">
        <f t="shared" si="190"/>
        <v>337.05840474749044</v>
      </c>
      <c r="V65" s="354">
        <f t="shared" si="190"/>
        <v>331.15495888899778</v>
      </c>
      <c r="W65" s="354">
        <f t="shared" si="190"/>
        <v>347.22093058812931</v>
      </c>
      <c r="X65" s="354">
        <f t="shared" ref="X65:AC65" si="191">SUM(X66:X71)</f>
        <v>352.5778345526108</v>
      </c>
      <c r="Y65" s="354">
        <f t="shared" si="191"/>
        <v>368.94499740579226</v>
      </c>
      <c r="Z65" s="354">
        <f t="shared" si="191"/>
        <v>379.31171121500938</v>
      </c>
      <c r="AA65" s="354">
        <f t="shared" si="191"/>
        <v>387.03449858837769</v>
      </c>
      <c r="AB65" s="354">
        <f t="shared" si="191"/>
        <v>396.92354238149187</v>
      </c>
      <c r="AC65" s="354">
        <f t="shared" si="191"/>
        <v>398.54217643483145</v>
      </c>
      <c r="AD65" s="354">
        <f>SUM(AD66:AD71)</f>
        <v>390.88563807995064</v>
      </c>
      <c r="AE65" s="354">
        <f t="shared" ref="AE65:AF65" si="192">SUM(AE66:AE71)</f>
        <v>434.1727354146588</v>
      </c>
      <c r="AF65" s="354">
        <f t="shared" si="192"/>
        <v>449.79384140818553</v>
      </c>
      <c r="AG65" s="354">
        <f t="shared" ref="AG65:AH65" si="193">SUM(AG66:AG71)</f>
        <v>440.63970943281407</v>
      </c>
      <c r="AH65" s="354">
        <f t="shared" si="193"/>
        <v>442.38226611934363</v>
      </c>
      <c r="AI65" s="354">
        <f>SUM(AI66:AI71)</f>
        <v>466.11311320885744</v>
      </c>
      <c r="AJ65" s="1071">
        <f t="shared" si="187"/>
        <v>5.3643305591078619E-2</v>
      </c>
    </row>
    <row r="66" spans="2:36">
      <c r="B66" s="6" t="s">
        <v>1434</v>
      </c>
      <c r="C66" s="356">
        <f>'1990'!$AD$17</f>
        <v>64.853867227368895</v>
      </c>
      <c r="D66" s="356">
        <f>'1991'!$AD$17</f>
        <v>67.449919326729088</v>
      </c>
      <c r="E66" s="356">
        <f>'1992'!$AD$17</f>
        <v>69.434993967233893</v>
      </c>
      <c r="F66" s="356">
        <f>'1993'!$AD$17</f>
        <v>73.153452586678611</v>
      </c>
      <c r="G66" s="356">
        <f>'1994'!$AD$17</f>
        <v>71.711879848734156</v>
      </c>
      <c r="H66" s="356">
        <f>'1995'!$AD$17</f>
        <v>71.663375046808142</v>
      </c>
      <c r="I66" s="356">
        <f>'1996'!$AD$17</f>
        <v>77.452351344186496</v>
      </c>
      <c r="J66" s="356">
        <f>'1997'!$AD$17</f>
        <v>73.670133371983809</v>
      </c>
      <c r="K66" s="356">
        <f>'1998'!$AD$17</f>
        <v>67.129003255601035</v>
      </c>
      <c r="L66" s="356">
        <f>'1999'!$AD$17</f>
        <v>69.921604191284416</v>
      </c>
      <c r="M66" s="356">
        <f>'2000'!$AD$17</f>
        <v>73.856154344186152</v>
      </c>
      <c r="N66" s="356">
        <f>'2001'!$AD$17</f>
        <v>70.68789948754366</v>
      </c>
      <c r="O66" s="356">
        <f>'2002'!$AD$17</f>
        <v>72.287232293292647</v>
      </c>
      <c r="P66" s="356">
        <f>'2003'!$AD$17</f>
        <v>75.320549617856912</v>
      </c>
      <c r="Q66" s="356">
        <f>'2004'!$AD$17</f>
        <v>72.04875712205741</v>
      </c>
      <c r="R66" s="356">
        <f>'2005'!$AD$17</f>
        <v>71.516892427438307</v>
      </c>
      <c r="S66" s="356">
        <f>'2006'!$AD$17</f>
        <v>64.715018079088679</v>
      </c>
      <c r="T66" s="356">
        <f>'2007'!$AD$17</f>
        <v>69.929428054382157</v>
      </c>
      <c r="U66" s="356">
        <f>'2008'!$AD$17</f>
        <v>72.454771488750964</v>
      </c>
      <c r="V66" s="356">
        <f>'2009'!$AD$17</f>
        <v>70.651641286964022</v>
      </c>
      <c r="W66" s="356">
        <f>'2010'!$AD$17</f>
        <v>70.612166188021874</v>
      </c>
      <c r="X66" s="356">
        <f>'2011'!$AD$17</f>
        <v>69.564008544071982</v>
      </c>
      <c r="Y66" s="356">
        <f>'2012'!$AD$17</f>
        <v>61.391311859029869</v>
      </c>
      <c r="Z66" s="356">
        <f>'2013'!$AD$17</f>
        <v>72.641054632119179</v>
      </c>
      <c r="AA66" s="356">
        <f>'2014'!$AD$17</f>
        <v>75.728619659766679</v>
      </c>
      <c r="AB66" s="356">
        <f>'2015'!$AD$17</f>
        <v>68.924703697854369</v>
      </c>
      <c r="AC66" s="356">
        <f>'2016'!$AD$17</f>
        <v>65.013336525501629</v>
      </c>
      <c r="AD66" s="356">
        <f>'2017'!$AD$17</f>
        <v>65.859843827811375</v>
      </c>
      <c r="AE66" s="356">
        <f>'2018'!$AD$17</f>
        <v>74.676645489128518</v>
      </c>
      <c r="AF66" s="356">
        <f>'2019'!$AD$17</f>
        <v>75.127876290552393</v>
      </c>
      <c r="AG66" s="356">
        <f>'2020'!$AD$17</f>
        <v>69.916732480802551</v>
      </c>
      <c r="AH66" s="356">
        <f>'2021'!$AD$17</f>
        <v>70.540108743107183</v>
      </c>
      <c r="AI66" s="356">
        <f>'2022'!$AD$17</f>
        <v>74.178223330202741</v>
      </c>
      <c r="AJ66" s="1072">
        <f t="shared" si="187"/>
        <v>5.1575120196437965E-2</v>
      </c>
    </row>
    <row r="67" spans="2:36">
      <c r="B67" s="6" t="s">
        <v>1441</v>
      </c>
      <c r="C67" s="356">
        <f>'1990'!$AE$17</f>
        <v>38.734018758021143</v>
      </c>
      <c r="D67" s="356">
        <f>'1991'!$AE$17</f>
        <v>40.398663602715743</v>
      </c>
      <c r="E67" s="356">
        <f>'1992'!$AE$17</f>
        <v>41.493895636020383</v>
      </c>
      <c r="F67" s="356">
        <f>'1993'!$AE$17</f>
        <v>42.234630263402408</v>
      </c>
      <c r="G67" s="356">
        <f>'1994'!$AE$17</f>
        <v>42.825822120518701</v>
      </c>
      <c r="H67" s="356">
        <f>'1995'!$AE$17</f>
        <v>44.784125282219243</v>
      </c>
      <c r="I67" s="356">
        <f>'1996'!$AE$17</f>
        <v>46.669346928607872</v>
      </c>
      <c r="J67" s="356">
        <f>'1997'!$AE$17</f>
        <v>47.522837604455482</v>
      </c>
      <c r="K67" s="356">
        <f>'1998'!$AE$17</f>
        <v>44.544374397624615</v>
      </c>
      <c r="L67" s="356">
        <f>'1999'!$AE$17</f>
        <v>45.049124009742677</v>
      </c>
      <c r="M67" s="356">
        <f>'2000'!$AE$17</f>
        <v>47.044927207739036</v>
      </c>
      <c r="N67" s="356">
        <f>'2001'!$AE$17</f>
        <v>44.781783364796055</v>
      </c>
      <c r="O67" s="356">
        <f>'2002'!$AE$17</f>
        <v>46.490456866210806</v>
      </c>
      <c r="P67" s="356">
        <f>'2003'!$AE$17</f>
        <v>47.14797581954555</v>
      </c>
      <c r="Q67" s="356">
        <f>'2004'!$AE$17</f>
        <v>46.302726228315379</v>
      </c>
      <c r="R67" s="356">
        <f>'2005'!$AE$17</f>
        <v>44.434114112795449</v>
      </c>
      <c r="S67" s="356">
        <f>'2006'!$AE$17</f>
        <v>41.954060917818694</v>
      </c>
      <c r="T67" s="356">
        <f>'2007'!$AE$17</f>
        <v>44.615572084035335</v>
      </c>
      <c r="U67" s="356">
        <f>'2008'!$AE$17</f>
        <v>46.689069347190944</v>
      </c>
      <c r="V67" s="356">
        <f>'2009'!$AE$17</f>
        <v>46.105454106969461</v>
      </c>
      <c r="W67" s="356">
        <f>'2010'!$AE$17</f>
        <v>45.809693315214986</v>
      </c>
      <c r="X67" s="356">
        <f>'2011'!$AE$17</f>
        <v>46.564913986967412</v>
      </c>
      <c r="Y67" s="356">
        <f>'2012'!$AE$17</f>
        <v>42.829853075209876</v>
      </c>
      <c r="Z67" s="356">
        <f>'2013'!$AE$17</f>
        <v>48.878073439481092</v>
      </c>
      <c r="AA67" s="356">
        <f>'2014'!$AE$17</f>
        <v>51.597105756606574</v>
      </c>
      <c r="AB67" s="356">
        <f>'2015'!$AE$17</f>
        <v>47.839568672134341</v>
      </c>
      <c r="AC67" s="356">
        <f>'2016'!$AE$17</f>
        <v>46.511063302829712</v>
      </c>
      <c r="AD67" s="356">
        <f>'2017'!$AE$17</f>
        <v>47.233668047385883</v>
      </c>
      <c r="AE67" s="356">
        <f>'2018'!$AE$17</f>
        <v>52.507741114517813</v>
      </c>
      <c r="AF67" s="356">
        <f>'2019'!$AE$17</f>
        <v>52.613511476938633</v>
      </c>
      <c r="AG67" s="356">
        <f>'2020'!$AE$17</f>
        <v>47.304568014093569</v>
      </c>
      <c r="AH67" s="356">
        <f>'2021'!$AE$17</f>
        <v>49.189861333265654</v>
      </c>
      <c r="AI67" s="356">
        <f>'2022'!$AE$17</f>
        <v>52.43520608525094</v>
      </c>
      <c r="AJ67" s="1072">
        <f t="shared" si="187"/>
        <v>6.5975887388618329E-2</v>
      </c>
    </row>
    <row r="68" spans="2:36">
      <c r="B68" s="6" t="s">
        <v>1443</v>
      </c>
      <c r="C68" s="356">
        <f>'1990'!$AF$17</f>
        <v>111.12015706786966</v>
      </c>
      <c r="D68" s="356">
        <f>'1991'!$AF$17</f>
        <v>112.79848744244143</v>
      </c>
      <c r="E68" s="356">
        <f>'1992'!$AF$17</f>
        <v>117.08383026376161</v>
      </c>
      <c r="F68" s="356">
        <f>'1993'!$AF$17</f>
        <v>119.1769624196538</v>
      </c>
      <c r="G68" s="356">
        <f>'1994'!$AF$17</f>
        <v>119.51145107222831</v>
      </c>
      <c r="H68" s="356">
        <f>'1995'!$AF$17</f>
        <v>125.85490999237847</v>
      </c>
      <c r="I68" s="356">
        <f>'1996'!$AF$17</f>
        <v>130.15283071035998</v>
      </c>
      <c r="J68" s="356">
        <f>'1997'!$AF$17</f>
        <v>130.33258095817095</v>
      </c>
      <c r="K68" s="356">
        <f>'1998'!$AF$17</f>
        <v>127.15324892675233</v>
      </c>
      <c r="L68" s="356">
        <f>'1999'!$AF$17</f>
        <v>121.53312357616065</v>
      </c>
      <c r="M68" s="356">
        <f>'2000'!$AF$17</f>
        <v>124.95946628280581</v>
      </c>
      <c r="N68" s="356">
        <f>'2001'!$AF$17</f>
        <v>114.70912606780296</v>
      </c>
      <c r="O68" s="356">
        <f>'2002'!$AF$17</f>
        <v>116.75725764959643</v>
      </c>
      <c r="P68" s="356">
        <f>'2003'!$AF$17</f>
        <v>113.20528444961253</v>
      </c>
      <c r="Q68" s="356">
        <f>'2004'!$AF$17</f>
        <v>114.24166038623643</v>
      </c>
      <c r="R68" s="356">
        <f>'2005'!$AF$17</f>
        <v>105.75937928009998</v>
      </c>
      <c r="S68" s="356">
        <f>'2006'!$AF$17</f>
        <v>105.66424613143602</v>
      </c>
      <c r="T68" s="356">
        <f>'2007'!$AF$17</f>
        <v>108.26429642149402</v>
      </c>
      <c r="U68" s="356">
        <f>'2008'!$AF$17</f>
        <v>108.7230367179619</v>
      </c>
      <c r="V68" s="356">
        <f>'2009'!$AF$17</f>
        <v>102.05444729395683</v>
      </c>
      <c r="W68" s="356">
        <f>'2010'!$AF$17</f>
        <v>111.0244051048159</v>
      </c>
      <c r="X68" s="356">
        <f>'2011'!$AF$17</f>
        <v>113.77355204761932</v>
      </c>
      <c r="Y68" s="356">
        <f>'2012'!$AF$17</f>
        <v>118.32930370310753</v>
      </c>
      <c r="Z68" s="356">
        <f>'2013'!$AF$17</f>
        <v>122.98257701531469</v>
      </c>
      <c r="AA68" s="356">
        <f>'2014'!$AF$17</f>
        <v>127.07347482657893</v>
      </c>
      <c r="AB68" s="356">
        <f>'2015'!$AF$17</f>
        <v>125.3580763040475</v>
      </c>
      <c r="AC68" s="356">
        <f>'2016'!$AF$17</f>
        <v>126.54070334136402</v>
      </c>
      <c r="AD68" s="356">
        <f>'2017'!$AF$17</f>
        <v>127.67267948078808</v>
      </c>
      <c r="AE68" s="356">
        <f>'2018'!$AF$17</f>
        <v>134.58244901726331</v>
      </c>
      <c r="AF68" s="356">
        <f>'2019'!$AF$17</f>
        <v>136.77504975488631</v>
      </c>
      <c r="AG68" s="356">
        <f>'2020'!$AF$17</f>
        <v>133.55917214224715</v>
      </c>
      <c r="AH68" s="356">
        <f>'2021'!$AF$17</f>
        <v>136.68181802587367</v>
      </c>
      <c r="AI68" s="356">
        <f>'2022'!$AF$17</f>
        <v>139.48524398355556</v>
      </c>
      <c r="AJ68" s="1072">
        <f t="shared" si="187"/>
        <v>2.0510598982164629E-2</v>
      </c>
    </row>
    <row r="69" spans="2:36">
      <c r="B69" s="6" t="s">
        <v>1445</v>
      </c>
      <c r="C69" s="356">
        <f>'1990'!$AG$17</f>
        <v>9.8183533169253359</v>
      </c>
      <c r="D69" s="356">
        <f>'1991'!$AG$17</f>
        <v>8.9648177848870496</v>
      </c>
      <c r="E69" s="356">
        <f>'1992'!$AG$17</f>
        <v>8.7882453103483407</v>
      </c>
      <c r="F69" s="356">
        <f>'1993'!$AG$17</f>
        <v>9.3148947229736301</v>
      </c>
      <c r="G69" s="356">
        <f>'1994'!$AG$17</f>
        <v>10.244401417034098</v>
      </c>
      <c r="H69" s="356">
        <f>'1995'!$AG$17</f>
        <v>10.472116362917694</v>
      </c>
      <c r="I69" s="356">
        <f>'1996'!$AG$17</f>
        <v>10.659209364992385</v>
      </c>
      <c r="J69" s="356">
        <f>'1997'!$AG$17</f>
        <v>11.287375493652936</v>
      </c>
      <c r="K69" s="356">
        <f>'1998'!$AG$17</f>
        <v>9.624104688858834</v>
      </c>
      <c r="L69" s="356">
        <f>'1999'!$AG$17</f>
        <v>9.7665962756452736</v>
      </c>
      <c r="M69" s="356">
        <f>'2000'!$AG$17</f>
        <v>9.7227479279746696</v>
      </c>
      <c r="N69" s="356">
        <f>'2001'!$AG$17</f>
        <v>9.5143624969636367</v>
      </c>
      <c r="O69" s="356">
        <f>'2002'!$AG$17</f>
        <v>10.114667454154887</v>
      </c>
      <c r="P69" s="356">
        <f>'2003'!$AG$17</f>
        <v>9.0719321920805616</v>
      </c>
      <c r="Q69" s="356">
        <f>'2004'!$AG$17</f>
        <v>8.7074043655382116</v>
      </c>
      <c r="R69" s="356">
        <f>'2005'!$AG$17</f>
        <v>9.0207057028583151</v>
      </c>
      <c r="S69" s="356">
        <f>'2006'!$AG$17</f>
        <v>9.0362052220359192</v>
      </c>
      <c r="T69" s="356">
        <f>'2007'!$AG$17</f>
        <v>9.5948906812650971</v>
      </c>
      <c r="U69" s="356">
        <f>'2008'!$AG$17</f>
        <v>10.009540963592091</v>
      </c>
      <c r="V69" s="356">
        <f>'2009'!$AG$17</f>
        <v>10.343174621039728</v>
      </c>
      <c r="W69" s="356">
        <f>'2010'!$AG$17</f>
        <v>10.407052669611394</v>
      </c>
      <c r="X69" s="356">
        <f>'2011'!$AG$17</f>
        <v>10.620813881817099</v>
      </c>
      <c r="Y69" s="356">
        <f>'2012'!$AG$17</f>
        <v>11.284911595575783</v>
      </c>
      <c r="Z69" s="356">
        <f>'2013'!$AG$17</f>
        <v>12.831612721509485</v>
      </c>
      <c r="AA69" s="356">
        <f>'2014'!$AG$17</f>
        <v>10.97403345185174</v>
      </c>
      <c r="AB69" s="356">
        <f>'2015'!$AG$17</f>
        <v>10.747065053959071</v>
      </c>
      <c r="AC69" s="356">
        <f>'2016'!$AG$17</f>
        <v>10.925129271464431</v>
      </c>
      <c r="AD69" s="356">
        <f>'2017'!$AG$17</f>
        <v>11.52484343642568</v>
      </c>
      <c r="AE69" s="356">
        <f>'2018'!$AG$17</f>
        <v>13.88602749299063</v>
      </c>
      <c r="AF69" s="356">
        <f>'2019'!$AG$17</f>
        <v>16.071482161005083</v>
      </c>
      <c r="AG69" s="356">
        <f>'2020'!$AG$17</f>
        <v>15.996489375211976</v>
      </c>
      <c r="AH69" s="356">
        <f>'2021'!$AG$17</f>
        <v>17.779367994128567</v>
      </c>
      <c r="AI69" s="356">
        <f>'2022'!$AG$17</f>
        <v>19.134902358550743</v>
      </c>
      <c r="AJ69" s="1072">
        <f t="shared" si="187"/>
        <v>7.6241988178085196E-2</v>
      </c>
    </row>
    <row r="70" spans="2:36">
      <c r="B70" s="6" t="s">
        <v>1474</v>
      </c>
      <c r="C70" s="356">
        <f>'1990'!$AH$17</f>
        <v>47.82546515525496</v>
      </c>
      <c r="D70" s="356">
        <f>'1991'!$AH$17</f>
        <v>48.809022428840962</v>
      </c>
      <c r="E70" s="356">
        <f>'1992'!$AH$17</f>
        <v>50.747634431791205</v>
      </c>
      <c r="F70" s="356">
        <f>'1993'!$AH$17</f>
        <v>51.158823534529432</v>
      </c>
      <c r="G70" s="356">
        <f>'1994'!$AH$17</f>
        <v>57.505804221606041</v>
      </c>
      <c r="H70" s="356">
        <f>'1995'!$AH$17</f>
        <v>62.228905924560451</v>
      </c>
      <c r="I70" s="356">
        <f>'1996'!$AH$17</f>
        <v>55.871128712725543</v>
      </c>
      <c r="J70" s="356">
        <f>'1997'!$AH$17</f>
        <v>59.676389761494264</v>
      </c>
      <c r="K70" s="356">
        <f>'1998'!$AH$17</f>
        <v>67.54530798058866</v>
      </c>
      <c r="L70" s="356">
        <f>'1999'!$AH$17</f>
        <v>70.894149421341893</v>
      </c>
      <c r="M70" s="356">
        <f>'2000'!$AH$17</f>
        <v>76.587559674523789</v>
      </c>
      <c r="N70" s="356">
        <f>'2001'!$AH$17</f>
        <v>78.915989853353281</v>
      </c>
      <c r="O70" s="356">
        <f>'2002'!$AH$17</f>
        <v>83.456932808277173</v>
      </c>
      <c r="P70" s="356">
        <f>'2003'!$AH$17</f>
        <v>75.852926292892846</v>
      </c>
      <c r="Q70" s="356">
        <f>'2004'!$AH$17</f>
        <v>80.931899301280893</v>
      </c>
      <c r="R70" s="356">
        <f>'2005'!$AH$17</f>
        <v>86.961382528558246</v>
      </c>
      <c r="S70" s="356">
        <f>'2006'!$AH$17</f>
        <v>92.1749899164044</v>
      </c>
      <c r="T70" s="356">
        <f>'2007'!$AH$17</f>
        <v>101.30867242838539</v>
      </c>
      <c r="U70" s="356">
        <f>'2008'!$AH$17</f>
        <v>98.75890292234908</v>
      </c>
      <c r="V70" s="356">
        <f>'2009'!$AH$17</f>
        <v>101.60393193053187</v>
      </c>
      <c r="W70" s="356">
        <f>'2010'!$AH$17</f>
        <v>108.96493279791444</v>
      </c>
      <c r="X70" s="356">
        <f>'2011'!$AH$17</f>
        <v>111.66262320041668</v>
      </c>
      <c r="Y70" s="356">
        <f>'2012'!$AH$17</f>
        <v>134.39787171931022</v>
      </c>
      <c r="Z70" s="356">
        <f>'2013'!$AH$17</f>
        <v>121.13616371172652</v>
      </c>
      <c r="AA70" s="356">
        <f>'2014'!$AH$17</f>
        <v>120.78600162657609</v>
      </c>
      <c r="AB70" s="356">
        <f>'2015'!$AH$17</f>
        <v>143.22560201231877</v>
      </c>
      <c r="AC70" s="356">
        <f>'2016'!$AH$17</f>
        <v>148.63421785060726</v>
      </c>
      <c r="AD70" s="356">
        <f>'2017'!$AH$17</f>
        <v>137.90036199683271</v>
      </c>
      <c r="AE70" s="356">
        <f>'2018'!$AH$17</f>
        <v>157.61876291652337</v>
      </c>
      <c r="AF70" s="356">
        <f>'2019'!$AH$17</f>
        <v>168.17691554466248</v>
      </c>
      <c r="AG70" s="356">
        <f>'2020'!$AH$17</f>
        <v>173.14067912662071</v>
      </c>
      <c r="AH70" s="356">
        <f>'2021'!$AH$17</f>
        <v>167.12129768368084</v>
      </c>
      <c r="AI70" s="356">
        <f>'2022'!$AH$17</f>
        <v>179.8105130832808</v>
      </c>
      <c r="AJ70" s="1072">
        <f t="shared" si="187"/>
        <v>7.5928176572787845E-2</v>
      </c>
    </row>
    <row r="71" spans="2:36">
      <c r="B71" s="6" t="s">
        <v>1476</v>
      </c>
      <c r="C71" s="356" t="s">
        <v>108</v>
      </c>
      <c r="D71" s="356" t="s">
        <v>108</v>
      </c>
      <c r="E71" s="356" t="s">
        <v>108</v>
      </c>
      <c r="F71" s="356" t="s">
        <v>108</v>
      </c>
      <c r="G71" s="356" t="s">
        <v>108</v>
      </c>
      <c r="H71" s="356" t="s">
        <v>108</v>
      </c>
      <c r="I71" s="356" t="s">
        <v>108</v>
      </c>
      <c r="J71" s="356" t="s">
        <v>108</v>
      </c>
      <c r="K71" s="356" t="s">
        <v>108</v>
      </c>
      <c r="L71" s="356" t="s">
        <v>108</v>
      </c>
      <c r="M71" s="356">
        <f>'2000'!$AI$17</f>
        <v>0.18330600402932129</v>
      </c>
      <c r="N71" s="356">
        <f>'2001'!$AI$17</f>
        <v>0.33068638546218126</v>
      </c>
      <c r="O71" s="356">
        <f>'2002'!$AI$17</f>
        <v>0.32970561451631059</v>
      </c>
      <c r="P71" s="356">
        <f>'2003'!$AI$17</f>
        <v>0.38842527816192729</v>
      </c>
      <c r="Q71" s="356">
        <f>'2004'!$AI$17</f>
        <v>0.3564020317344242</v>
      </c>
      <c r="R71" s="356">
        <f>'2005'!$AI$17</f>
        <v>0.35168234644390711</v>
      </c>
      <c r="S71" s="356">
        <f>'2006'!$AI$17</f>
        <v>0.37792729767106437</v>
      </c>
      <c r="T71" s="356">
        <f>'2007'!$AI$17</f>
        <v>0.38616042964200004</v>
      </c>
      <c r="U71" s="356">
        <f>'2008'!$AI$17</f>
        <v>0.42308330764546204</v>
      </c>
      <c r="V71" s="356">
        <f>'2009'!$AI$17</f>
        <v>0.39630964953585507</v>
      </c>
      <c r="W71" s="356">
        <f>'2010'!$AI$17</f>
        <v>0.40268051255072901</v>
      </c>
      <c r="X71" s="356">
        <f>'2011'!$AI$17</f>
        <v>0.39192289171830375</v>
      </c>
      <c r="Y71" s="356">
        <f>'2012'!$AI$17</f>
        <v>0.71174545355901953</v>
      </c>
      <c r="Z71" s="356">
        <f>'2013'!$AI$17</f>
        <v>0.84222969485839971</v>
      </c>
      <c r="AA71" s="356">
        <f>'2014'!$AI$17</f>
        <v>0.87526326699762969</v>
      </c>
      <c r="AB71" s="356">
        <f>'2015'!$AI$17</f>
        <v>0.82852664117786734</v>
      </c>
      <c r="AC71" s="356">
        <f>'2016'!$AI$17</f>
        <v>0.91772614306437472</v>
      </c>
      <c r="AD71" s="356">
        <f>'2017'!$AI$17</f>
        <v>0.69424129070687224</v>
      </c>
      <c r="AE71" s="356">
        <f>'2018'!$AI$17</f>
        <v>0.90110938423508413</v>
      </c>
      <c r="AF71" s="356">
        <f>'2019'!$AI$17</f>
        <v>1.0290061801406043</v>
      </c>
      <c r="AG71" s="356">
        <f>'2020'!$AI$17</f>
        <v>0.72206829383813564</v>
      </c>
      <c r="AH71" s="356">
        <f>'2021'!$AI$17</f>
        <v>1.0698123392877148</v>
      </c>
      <c r="AI71" s="356">
        <f>'2022'!$AI$17</f>
        <v>1.0690243680166187</v>
      </c>
      <c r="AJ71" s="1072">
        <f t="shared" si="187"/>
        <v>-7.3655092782040892E-4</v>
      </c>
    </row>
    <row r="72" spans="2:36">
      <c r="B72" s="5" t="s">
        <v>1440</v>
      </c>
      <c r="C72" s="354">
        <f t="shared" ref="C72:K72" si="194">SUM(C73:C78)</f>
        <v>553.07959294834052</v>
      </c>
      <c r="D72" s="354">
        <f t="shared" si="194"/>
        <v>535.36351934292361</v>
      </c>
      <c r="E72" s="354">
        <f t="shared" si="194"/>
        <v>546.82995557483468</v>
      </c>
      <c r="F72" s="354">
        <f t="shared" si="194"/>
        <v>553.21184216744587</v>
      </c>
      <c r="G72" s="354">
        <f t="shared" si="194"/>
        <v>561.6386040482123</v>
      </c>
      <c r="H72" s="354">
        <f t="shared" si="194"/>
        <v>560.50460179452659</v>
      </c>
      <c r="I72" s="354">
        <f t="shared" si="194"/>
        <v>579.24073547511341</v>
      </c>
      <c r="J72" s="354">
        <f t="shared" si="194"/>
        <v>581.67323223633377</v>
      </c>
      <c r="K72" s="354">
        <f t="shared" si="194"/>
        <v>597.48683502737038</v>
      </c>
      <c r="L72" s="354">
        <f t="shared" ref="L72:Q72" si="195">SUM(L73:L78)</f>
        <v>608.54850181375662</v>
      </c>
      <c r="M72" s="354">
        <f t="shared" si="195"/>
        <v>637.1757029765447</v>
      </c>
      <c r="N72" s="354">
        <f t="shared" si="195"/>
        <v>639.32326285349609</v>
      </c>
      <c r="O72" s="354">
        <f t="shared" si="195"/>
        <v>637.38813327419257</v>
      </c>
      <c r="P72" s="354">
        <f t="shared" si="195"/>
        <v>653.43938684559782</v>
      </c>
      <c r="Q72" s="354">
        <f t="shared" si="195"/>
        <v>669.25992087569625</v>
      </c>
      <c r="R72" s="354">
        <f t="shared" ref="R72:W72" si="196">SUM(R73:R78)</f>
        <v>670.70232630917781</v>
      </c>
      <c r="S72" s="354">
        <f t="shared" si="196"/>
        <v>660.24887231599075</v>
      </c>
      <c r="T72" s="354">
        <f t="shared" si="196"/>
        <v>654.96983872091369</v>
      </c>
      <c r="U72" s="354">
        <f t="shared" si="196"/>
        <v>609.82605691774825</v>
      </c>
      <c r="V72" s="354">
        <f t="shared" si="196"/>
        <v>580.17066539427151</v>
      </c>
      <c r="W72" s="354">
        <f t="shared" si="196"/>
        <v>581.40536585518635</v>
      </c>
      <c r="X72" s="354">
        <f t="shared" ref="X72:AC72" si="197">SUM(X73:X78)</f>
        <v>571.014576477324</v>
      </c>
      <c r="Y72" s="354">
        <f t="shared" si="197"/>
        <v>558.34685454505245</v>
      </c>
      <c r="Z72" s="354">
        <f t="shared" si="197"/>
        <v>564.52410343492136</v>
      </c>
      <c r="AA72" s="354">
        <f t="shared" si="197"/>
        <v>571.23250425056688</v>
      </c>
      <c r="AB72" s="354">
        <f t="shared" si="197"/>
        <v>578.42697792457409</v>
      </c>
      <c r="AC72" s="354">
        <f t="shared" si="197"/>
        <v>582.24575554174908</v>
      </c>
      <c r="AD72" s="354">
        <f>SUM(AD73:AD78)</f>
        <v>583.58619251007326</v>
      </c>
      <c r="AE72" s="354">
        <f t="shared" ref="AE72:AF72" si="198">SUM(AE73:AE78)</f>
        <v>594.25296966636085</v>
      </c>
      <c r="AF72" s="354">
        <f t="shared" si="198"/>
        <v>589.9568365698176</v>
      </c>
      <c r="AG72" s="354">
        <f t="shared" ref="AG72:AH72" si="199">SUM(AG73:AG78)</f>
        <v>512.06409229509927</v>
      </c>
      <c r="AH72" s="354">
        <f t="shared" si="199"/>
        <v>562.57902728452655</v>
      </c>
      <c r="AI72" s="354">
        <f t="shared" ref="AI72" si="200">SUM(AI73:AI78)</f>
        <v>567.82147771768939</v>
      </c>
      <c r="AJ72" s="1071">
        <f t="shared" si="187"/>
        <v>9.3186026831950392E-3</v>
      </c>
    </row>
    <row r="73" spans="2:36">
      <c r="B73" s="6" t="s">
        <v>1434</v>
      </c>
      <c r="C73" s="356">
        <f>'1990'!$AD$18</f>
        <v>26.667930608398727</v>
      </c>
      <c r="D73" s="356">
        <f>'1991'!$AD$18</f>
        <v>26.714228178672919</v>
      </c>
      <c r="E73" s="356">
        <f>'1992'!$AD$18</f>
        <v>26.426562971102424</v>
      </c>
      <c r="F73" s="356">
        <f>'1993'!$AD$18</f>
        <v>26.013459068954084</v>
      </c>
      <c r="G73" s="356">
        <f>'1994'!$AD$18</f>
        <v>25.120767287056882</v>
      </c>
      <c r="H73" s="356">
        <f>'1995'!$AD$18</f>
        <v>24.189871447698604</v>
      </c>
      <c r="I73" s="356">
        <f>'1996'!$AD$18</f>
        <v>26.699970193830417</v>
      </c>
      <c r="J73" s="356">
        <f>'1997'!$AD$18</f>
        <v>25.470370533520509</v>
      </c>
      <c r="K73" s="356">
        <f>'1998'!$AD$18</f>
        <v>23.009245907388575</v>
      </c>
      <c r="L73" s="356">
        <f>'1999'!$AD$18</f>
        <v>25.417126396475304</v>
      </c>
      <c r="M73" s="356">
        <f>'2000'!$AD$18</f>
        <v>27.222075804881463</v>
      </c>
      <c r="N73" s="356">
        <f>'2001'!$AD$18</f>
        <v>28.006455633709237</v>
      </c>
      <c r="O73" s="356">
        <f>'2002'!$AD$18</f>
        <v>25.8572249994812</v>
      </c>
      <c r="P73" s="356">
        <f>'2003'!$AD$18</f>
        <v>28.018701919640968</v>
      </c>
      <c r="Q73" s="356">
        <f>'2004'!$AD$18</f>
        <v>28.283388942020576</v>
      </c>
      <c r="R73" s="356">
        <f>'2005'!$AD$18</f>
        <v>26.066029711197537</v>
      </c>
      <c r="S73" s="356">
        <f>'2006'!$AD$18</f>
        <v>22.657266487775019</v>
      </c>
      <c r="T73" s="356">
        <f>'2007'!$AD$18</f>
        <v>22.636169088773027</v>
      </c>
      <c r="U73" s="356">
        <f>'2008'!$AD$18</f>
        <v>22.187211119970151</v>
      </c>
      <c r="V73" s="356">
        <f>'2009'!$AD$18</f>
        <v>20.965006791097025</v>
      </c>
      <c r="W73" s="356">
        <f>'2010'!$AD$18</f>
        <v>20.613850286090788</v>
      </c>
      <c r="X73" s="356">
        <f>'2011'!$AD$18</f>
        <v>19.435881317759907</v>
      </c>
      <c r="Y73" s="356">
        <f>'2012'!$AD$18</f>
        <v>15.662770022653326</v>
      </c>
      <c r="Z73" s="356">
        <f>'2013'!$AD$18</f>
        <v>17.15844624560286</v>
      </c>
      <c r="AA73" s="356">
        <f>'2014'!$AD$18</f>
        <v>18.835170121655509</v>
      </c>
      <c r="AB73" s="356">
        <f>'2015'!$AD$18</f>
        <v>17.698169453718968</v>
      </c>
      <c r="AC73" s="356">
        <f>'2016'!$AD$18</f>
        <v>14.947899032345903</v>
      </c>
      <c r="AD73" s="356">
        <f>'2017'!$AD$18</f>
        <v>14.312591513111926</v>
      </c>
      <c r="AE73" s="356">
        <f>'2018'!$AD$18</f>
        <v>17.761447003876704</v>
      </c>
      <c r="AF73" s="356">
        <f>'2019'!$AD$18</f>
        <v>18.39163114786227</v>
      </c>
      <c r="AG73" s="356">
        <f>'2020'!$AD$18</f>
        <v>15.936457030533028</v>
      </c>
      <c r="AH73" s="356">
        <f>'2021'!$AD$18</f>
        <v>16.196325411130822</v>
      </c>
      <c r="AI73" s="356">
        <f>'2022'!$AD$18</f>
        <v>16.667184966346099</v>
      </c>
      <c r="AJ73" s="1072">
        <f t="shared" si="187"/>
        <v>2.9071998941913205E-2</v>
      </c>
    </row>
    <row r="74" spans="2:36">
      <c r="B74" s="6" t="s">
        <v>1441</v>
      </c>
      <c r="C74" s="356">
        <f>'1990'!$AE$18</f>
        <v>20.268275246729029</v>
      </c>
      <c r="D74" s="356">
        <f>'1991'!$AE$18</f>
        <v>20.020318322877696</v>
      </c>
      <c r="E74" s="356">
        <f>'1992'!$AE$18</f>
        <v>17.622744555185193</v>
      </c>
      <c r="F74" s="356">
        <f>'1993'!$AE$18</f>
        <v>15.511084096487549</v>
      </c>
      <c r="G74" s="356">
        <f>'1994'!$AE$18</f>
        <v>15.373495908060317</v>
      </c>
      <c r="H74" s="356">
        <f>'1995'!$AE$18</f>
        <v>14.288519981867573</v>
      </c>
      <c r="I74" s="356">
        <f>'1996'!$AE$18</f>
        <v>14.954198368464835</v>
      </c>
      <c r="J74" s="356">
        <f>'1997'!$AE$18</f>
        <v>13.98680628573859</v>
      </c>
      <c r="K74" s="356">
        <f>'1998'!$AE$18</f>
        <v>13.053318640854657</v>
      </c>
      <c r="L74" s="356">
        <f>'1999'!$AE$18</f>
        <v>12.487280690022338</v>
      </c>
      <c r="M74" s="356">
        <f>'2000'!$AE$18</f>
        <v>15.074250625261772</v>
      </c>
      <c r="N74" s="356">
        <f>'2001'!$AE$18</f>
        <v>15.002053377106867</v>
      </c>
      <c r="O74" s="356">
        <f>'2002'!$AE$18</f>
        <v>13.626430166437945</v>
      </c>
      <c r="P74" s="356">
        <f>'2003'!$AE$18</f>
        <v>16.203647102756133</v>
      </c>
      <c r="Q74" s="356">
        <f>'2004'!$AE$18</f>
        <v>15.923477035241307</v>
      </c>
      <c r="R74" s="356">
        <f>'2005'!$AE$18</f>
        <v>14.943781205345957</v>
      </c>
      <c r="S74" s="356">
        <f>'2006'!$AE$18</f>
        <v>13.995307373846549</v>
      </c>
      <c r="T74" s="356">
        <f>'2007'!$AE$18</f>
        <v>14.264236121576344</v>
      </c>
      <c r="U74" s="356">
        <f>'2008'!$AE$18</f>
        <v>13.162029434056635</v>
      </c>
      <c r="V74" s="356">
        <f>'2009'!$AE$18</f>
        <v>14.10899320496755</v>
      </c>
      <c r="W74" s="356">
        <f>'2010'!$AE$18</f>
        <v>13.564411809169423</v>
      </c>
      <c r="X74" s="356">
        <f>'2011'!$AE$18</f>
        <v>13.096203238196344</v>
      </c>
      <c r="Y74" s="356">
        <f>'2012'!$AE$18</f>
        <v>10.705374910193003</v>
      </c>
      <c r="Z74" s="356">
        <f>'2013'!$AE$18</f>
        <v>11.228486449594216</v>
      </c>
      <c r="AA74" s="356">
        <f>'2014'!$AE$18</f>
        <v>10.78555779658522</v>
      </c>
      <c r="AB74" s="356">
        <f>'2015'!$AE$18</f>
        <v>18.11694554065927</v>
      </c>
      <c r="AC74" s="356">
        <f>'2016'!$AE$18</f>
        <v>16.105950259403809</v>
      </c>
      <c r="AD74" s="356">
        <f>'2017'!$AE$18</f>
        <v>15.612871848813734</v>
      </c>
      <c r="AE74" s="356">
        <f>'2018'!$AE$18</f>
        <v>14.175678643601085</v>
      </c>
      <c r="AF74" s="356">
        <f>'2019'!$AE$18</f>
        <v>15.609001787263932</v>
      </c>
      <c r="AG74" s="356">
        <f>'2020'!$AE$18</f>
        <v>14.841557586426278</v>
      </c>
      <c r="AH74" s="356">
        <f>'2021'!$AE$18</f>
        <v>15.200288933278896</v>
      </c>
      <c r="AI74" s="356">
        <f>'2022'!$AE$18</f>
        <v>13.926399496541546</v>
      </c>
      <c r="AJ74" s="1072">
        <f t="shared" si="187"/>
        <v>-8.3806922508449747E-2</v>
      </c>
    </row>
    <row r="75" spans="2:36">
      <c r="B75" s="6" t="s">
        <v>1443</v>
      </c>
      <c r="C75" s="356">
        <f>'1990'!$AF$18</f>
        <v>83.418646375050798</v>
      </c>
      <c r="D75" s="356">
        <f>'1991'!$AF$18</f>
        <v>79.850464444510308</v>
      </c>
      <c r="E75" s="356">
        <f>'1992'!$AF$18</f>
        <v>82.099359897960738</v>
      </c>
      <c r="F75" s="356">
        <f>'1993'!$AF$18</f>
        <v>79.938917450808816</v>
      </c>
      <c r="G75" s="356">
        <f>'1994'!$AF$18</f>
        <v>78.79686954012378</v>
      </c>
      <c r="H75" s="356">
        <f>'1995'!$AF$18</f>
        <v>79.632591500591701</v>
      </c>
      <c r="I75" s="356">
        <f>'1996'!$AF$18</f>
        <v>81.856057326541958</v>
      </c>
      <c r="J75" s="356">
        <f>'1997'!$AF$18</f>
        <v>80.224584393867076</v>
      </c>
      <c r="K75" s="356">
        <f>'1998'!$AF$18</f>
        <v>80.364494868614258</v>
      </c>
      <c r="L75" s="356">
        <f>'1999'!$AF$18</f>
        <v>74.439256199855762</v>
      </c>
      <c r="M75" s="356">
        <f>'2000'!$AF$18</f>
        <v>81.890642979864069</v>
      </c>
      <c r="N75" s="356">
        <f>'2001'!$AF$18</f>
        <v>85.229203909910936</v>
      </c>
      <c r="O75" s="356">
        <f>'2002'!$AF$18</f>
        <v>83.894019139634395</v>
      </c>
      <c r="P75" s="356">
        <f>'2003'!$AF$18</f>
        <v>85.546837820786649</v>
      </c>
      <c r="Q75" s="356">
        <f>'2004'!$AF$18</f>
        <v>91.107255355485449</v>
      </c>
      <c r="R75" s="356">
        <f>'2005'!$AF$18</f>
        <v>92.148256473196099</v>
      </c>
      <c r="S75" s="356">
        <f>'2006'!$AF$18</f>
        <v>98.391010499372385</v>
      </c>
      <c r="T75" s="356">
        <f>'2007'!$AF$18</f>
        <v>94.337895636403346</v>
      </c>
      <c r="U75" s="356">
        <f>'2008'!$AF$18</f>
        <v>84.973555701984068</v>
      </c>
      <c r="V75" s="356">
        <f>'2009'!$AF$18</f>
        <v>76.86148232589963</v>
      </c>
      <c r="W75" s="356">
        <f>'2010'!$AF$18</f>
        <v>78.21380775355442</v>
      </c>
      <c r="X75" s="356">
        <f>'2011'!$AF$18</f>
        <v>78.540712566102684</v>
      </c>
      <c r="Y75" s="356">
        <f>'2012'!$AF$18</f>
        <v>78.320686518310765</v>
      </c>
      <c r="Z75" s="356">
        <f>'2013'!$AF$18</f>
        <v>81.724069255698836</v>
      </c>
      <c r="AA75" s="356">
        <f>'2014'!$AF$18</f>
        <v>74.146437213920464</v>
      </c>
      <c r="AB75" s="356">
        <f>'2015'!$AF$18</f>
        <v>72.202049323894187</v>
      </c>
      <c r="AC75" s="356">
        <f>'2016'!$AF$18</f>
        <v>71.509691245812462</v>
      </c>
      <c r="AD75" s="356">
        <f>'2017'!$AF$18</f>
        <v>68.732450572126552</v>
      </c>
      <c r="AE75" s="356">
        <f>'2018'!$AF$18</f>
        <v>70.180403685089033</v>
      </c>
      <c r="AF75" s="356">
        <f>'2019'!$AF$18</f>
        <v>67.406895077706736</v>
      </c>
      <c r="AG75" s="356">
        <f>'2020'!$AF$18</f>
        <v>59.136667151327984</v>
      </c>
      <c r="AH75" s="356">
        <f>'2021'!$AF$18</f>
        <v>61.265519066570633</v>
      </c>
      <c r="AI75" s="356">
        <f>'2022'!$AF$18</f>
        <v>60.478130833981098</v>
      </c>
      <c r="AJ75" s="1072">
        <f t="shared" si="187"/>
        <v>-1.2852061723886895E-2</v>
      </c>
    </row>
    <row r="76" spans="2:36">
      <c r="B76" s="6" t="s">
        <v>1445</v>
      </c>
      <c r="C76" s="356">
        <f>'1990'!$AG$18</f>
        <v>390.80270871508026</v>
      </c>
      <c r="D76" s="356">
        <f>'1991'!$AG$18</f>
        <v>378.94265620739384</v>
      </c>
      <c r="E76" s="356">
        <f>'1992'!$AG$18</f>
        <v>394.20541636981653</v>
      </c>
      <c r="F76" s="356">
        <f>'1993'!$AG$18</f>
        <v>402.12338739846086</v>
      </c>
      <c r="G76" s="356">
        <f>'1994'!$AG$18</f>
        <v>413.55942228544143</v>
      </c>
      <c r="H76" s="356">
        <f>'1995'!$AG$18</f>
        <v>420.62184482503886</v>
      </c>
      <c r="I76" s="356">
        <f>'1996'!$AG$18</f>
        <v>433.16709203193358</v>
      </c>
      <c r="J76" s="356">
        <f>'1997'!$AG$18</f>
        <v>436.94413916226569</v>
      </c>
      <c r="K76" s="356">
        <f>'1998'!$AG$18</f>
        <v>448.26326010516328</v>
      </c>
      <c r="L76" s="356">
        <f>'1999'!$AG$18</f>
        <v>466.50912834944671</v>
      </c>
      <c r="M76" s="356">
        <f>'2000'!$AG$18</f>
        <v>479.05958621478368</v>
      </c>
      <c r="N76" s="356">
        <f>'2001'!$AG$18</f>
        <v>471.15765610919135</v>
      </c>
      <c r="O76" s="356">
        <f>'2002'!$AG$18</f>
        <v>481.61760829222214</v>
      </c>
      <c r="P76" s="356">
        <f>'2003'!$AG$18</f>
        <v>485.10560064030307</v>
      </c>
      <c r="Q76" s="356">
        <f>'2004'!$AG$18</f>
        <v>494.53460770198905</v>
      </c>
      <c r="R76" s="356">
        <f>'2005'!$AG$18</f>
        <v>497.85715867102539</v>
      </c>
      <c r="S76" s="356">
        <f>'2006'!$AG$18</f>
        <v>498.00006927287887</v>
      </c>
      <c r="T76" s="356">
        <f>'2007'!$AG$18</f>
        <v>497.87897227838215</v>
      </c>
      <c r="U76" s="356">
        <f>'2008'!$AG$18</f>
        <v>469.90354733496685</v>
      </c>
      <c r="V76" s="356">
        <f>'2009'!$AG$18</f>
        <v>450.15152751433988</v>
      </c>
      <c r="W76" s="356">
        <f>'2010'!$AG$18</f>
        <v>452.30599893246978</v>
      </c>
      <c r="X76" s="356">
        <f>'2011'!$AG$18</f>
        <v>444.9367025532606</v>
      </c>
      <c r="Y76" s="356">
        <f>'2012'!$AG$18</f>
        <v>441.27908789652918</v>
      </c>
      <c r="Z76" s="356">
        <f>'2013'!$AG$18</f>
        <v>442.36272915847866</v>
      </c>
      <c r="AA76" s="356">
        <f>'2014'!$AG$18</f>
        <v>454.66598374391242</v>
      </c>
      <c r="AB76" s="356">
        <f>'2015'!$AG$18</f>
        <v>457.90234250111001</v>
      </c>
      <c r="AC76" s="356">
        <f>'2016'!$AG$18</f>
        <v>468.50392846057866</v>
      </c>
      <c r="AD76" s="356">
        <f>'2017'!$AG$18</f>
        <v>474.01365406618788</v>
      </c>
      <c r="AE76" s="356">
        <f>'2018'!$AG$18</f>
        <v>480.60524035687655</v>
      </c>
      <c r="AF76" s="356">
        <f>'2019'!$AG$18</f>
        <v>479.37461072328375</v>
      </c>
      <c r="AG76" s="356">
        <f>'2020'!$AG$18</f>
        <v>412.95447591779555</v>
      </c>
      <c r="AH76" s="356">
        <f>'2021'!$AG$18</f>
        <v>460.46042971117566</v>
      </c>
      <c r="AI76" s="356">
        <f>'2022'!$AG$18</f>
        <v>466.5277869983251</v>
      </c>
      <c r="AJ76" s="1072">
        <f t="shared" si="187"/>
        <v>1.3176718118764714E-2</v>
      </c>
    </row>
    <row r="77" spans="2:36">
      <c r="B77" s="6" t="s">
        <v>1474</v>
      </c>
      <c r="C77" s="356">
        <f>'1990'!$AH$18</f>
        <v>26.601406549199567</v>
      </c>
      <c r="D77" s="356">
        <f>'1991'!$AH$18</f>
        <v>24.730544156486783</v>
      </c>
      <c r="E77" s="356">
        <f>'1992'!$AH$18</f>
        <v>20.598475461090185</v>
      </c>
      <c r="F77" s="356">
        <f>'1993'!$AH$18</f>
        <v>23.567839838145598</v>
      </c>
      <c r="G77" s="356">
        <f>'1994'!$AH$18</f>
        <v>22.158231818475187</v>
      </c>
      <c r="H77" s="356">
        <f>'1995'!$AH$18</f>
        <v>16.012302289952913</v>
      </c>
      <c r="I77" s="356">
        <f>'1996'!$AH$18</f>
        <v>17.289898025345892</v>
      </c>
      <c r="J77" s="356">
        <f>'1997'!$AH$18</f>
        <v>19.692928427634914</v>
      </c>
      <c r="K77" s="356">
        <f>'1998'!$AH$18</f>
        <v>27.617104309224917</v>
      </c>
      <c r="L77" s="356">
        <f>'1999'!$AH$18</f>
        <v>25.590901312922853</v>
      </c>
      <c r="M77" s="356">
        <f>'2000'!$AH$18</f>
        <v>24.143024656417964</v>
      </c>
      <c r="N77" s="356">
        <f>'2001'!$AH$18</f>
        <v>26.880277051416154</v>
      </c>
      <c r="O77" s="356">
        <f>'2002'!$AH$18</f>
        <v>20.960416794233971</v>
      </c>
      <c r="P77" s="356">
        <f>'2003'!$AH$18</f>
        <v>25.943900404878669</v>
      </c>
      <c r="Q77" s="356">
        <f>'2004'!$AH$18</f>
        <v>26.139606027605943</v>
      </c>
      <c r="R77" s="356">
        <f>'2005'!$AH$18</f>
        <v>26.718190281513944</v>
      </c>
      <c r="S77" s="356">
        <f>'2006'!$AH$18</f>
        <v>14.529851573161899</v>
      </c>
      <c r="T77" s="356">
        <f>'2007'!$AH$18</f>
        <v>14.444860606562839</v>
      </c>
      <c r="U77" s="356">
        <f>'2008'!$AH$18</f>
        <v>10.469085746606302</v>
      </c>
      <c r="V77" s="356">
        <f>'2009'!$AH$18</f>
        <v>8.784936897725462</v>
      </c>
      <c r="W77" s="356">
        <f>'2010'!$AH$18</f>
        <v>8.5715445163419037</v>
      </c>
      <c r="X77" s="356">
        <f>'2011'!$AH$18</f>
        <v>7.0449691790293372</v>
      </c>
      <c r="Y77" s="356">
        <f>'2012'!$AH$18</f>
        <v>4.9999387050416519</v>
      </c>
      <c r="Z77" s="356">
        <f>'2013'!$AH$18</f>
        <v>6.1145591219123503</v>
      </c>
      <c r="AA77" s="356">
        <f>'2014'!$AH$18</f>
        <v>6.9011917263382827</v>
      </c>
      <c r="AB77" s="356">
        <f>'2015'!$AH$18</f>
        <v>6.4566678614591364</v>
      </c>
      <c r="AC77" s="356">
        <f>'2016'!$AH$18</f>
        <v>5.8521848944505415</v>
      </c>
      <c r="AD77" s="356">
        <f>'2017'!$AH$18</f>
        <v>5.1601744033376011</v>
      </c>
      <c r="AE77" s="356">
        <f>'2018'!$AH$18</f>
        <v>6.058835139480415</v>
      </c>
      <c r="AF77" s="356">
        <f>'2019'!$AH$18</f>
        <v>4.4076296006973017</v>
      </c>
      <c r="AG77" s="356">
        <f>'2020'!$AH$18</f>
        <v>4.4089376557356514</v>
      </c>
      <c r="AH77" s="356">
        <f>'2021'!$AH$18</f>
        <v>4.8308760688907935</v>
      </c>
      <c r="AI77" s="356">
        <f>'2022'!$AH$18</f>
        <v>5.5969770616505317</v>
      </c>
      <c r="AJ77" s="1072">
        <f t="shared" si="187"/>
        <v>0.15858427784831186</v>
      </c>
    </row>
    <row r="78" spans="2:36">
      <c r="B78" s="6" t="s">
        <v>1476</v>
      </c>
      <c r="C78" s="356">
        <f>'1990'!$AI$18</f>
        <v>5.3206254538821334</v>
      </c>
      <c r="D78" s="356">
        <f>'1991'!$AI$18</f>
        <v>5.1053080329821228</v>
      </c>
      <c r="E78" s="356">
        <f>'1992'!$AI$18</f>
        <v>5.8773963196796304</v>
      </c>
      <c r="F78" s="356">
        <f>'1993'!$AI$18</f>
        <v>6.0571543145889368</v>
      </c>
      <c r="G78" s="356">
        <f>'1994'!$AI$18</f>
        <v>6.6298172090547967</v>
      </c>
      <c r="H78" s="356">
        <f>'1995'!$AI$18</f>
        <v>5.7594717493769787</v>
      </c>
      <c r="I78" s="356">
        <f>'1996'!$AI$18</f>
        <v>5.2735195289967027</v>
      </c>
      <c r="J78" s="356">
        <f>'1997'!$AI$18</f>
        <v>5.354403433306965</v>
      </c>
      <c r="K78" s="356">
        <f>'1998'!$AI$18</f>
        <v>5.1794111961246649</v>
      </c>
      <c r="L78" s="356">
        <f>'1999'!$AI$18</f>
        <v>4.104808865033613</v>
      </c>
      <c r="M78" s="356">
        <f>'2000'!$AI$18</f>
        <v>9.786122695335699</v>
      </c>
      <c r="N78" s="356">
        <f>'2001'!$AI$18</f>
        <v>13.047616772161616</v>
      </c>
      <c r="O78" s="356">
        <f>'2002'!$AI$18</f>
        <v>11.432433882182863</v>
      </c>
      <c r="P78" s="356">
        <f>'2003'!$AI$18</f>
        <v>12.620698957232364</v>
      </c>
      <c r="Q78" s="356">
        <f>'2004'!$AI$18</f>
        <v>13.271585813353909</v>
      </c>
      <c r="R78" s="356">
        <f>'2005'!$AI$18</f>
        <v>12.968909966898973</v>
      </c>
      <c r="S78" s="356">
        <f>'2006'!$AI$18</f>
        <v>12.675367108956042</v>
      </c>
      <c r="T78" s="356">
        <f>'2007'!$AI$18</f>
        <v>11.407704989215933</v>
      </c>
      <c r="U78" s="356">
        <f>'2008'!$AI$18</f>
        <v>9.130627580164326</v>
      </c>
      <c r="V78" s="356">
        <f>'2009'!$AI$18</f>
        <v>9.2987186602419278</v>
      </c>
      <c r="W78" s="356">
        <f>'2010'!$AI$18</f>
        <v>8.1357525575600285</v>
      </c>
      <c r="X78" s="356">
        <f>'2011'!$AI$18</f>
        <v>7.9601076229751246</v>
      </c>
      <c r="Y78" s="356">
        <f>'2012'!$AI$18</f>
        <v>7.3789964923244815</v>
      </c>
      <c r="Z78" s="356">
        <f>'2013'!$AI$18</f>
        <v>5.9358132036344884</v>
      </c>
      <c r="AA78" s="356">
        <f>'2014'!$AI$18</f>
        <v>5.8981636481549735</v>
      </c>
      <c r="AB78" s="356">
        <f>'2015'!$AI$18</f>
        <v>6.0508032437326724</v>
      </c>
      <c r="AC78" s="356">
        <f>'2016'!$AI$18</f>
        <v>5.3261016491578026</v>
      </c>
      <c r="AD78" s="356">
        <f>'2017'!$AI$18</f>
        <v>5.7544501064956419</v>
      </c>
      <c r="AE78" s="356">
        <f>'2018'!$AI$18</f>
        <v>5.4713648374371067</v>
      </c>
      <c r="AF78" s="356">
        <f>'2019'!$AI$18</f>
        <v>4.7670682330035712</v>
      </c>
      <c r="AG78" s="356">
        <f>'2020'!$AI$18</f>
        <v>4.7859969532807476</v>
      </c>
      <c r="AH78" s="356">
        <f>'2021'!$AI$18</f>
        <v>4.6255880934798306</v>
      </c>
      <c r="AI78" s="356">
        <f>'2022'!$AI$18</f>
        <v>4.6249983608450513</v>
      </c>
      <c r="AJ78" s="1072">
        <f t="shared" si="187"/>
        <v>-1.2749354738492998E-4</v>
      </c>
    </row>
    <row r="79" spans="2:36">
      <c r="B79" s="5" t="s">
        <v>82</v>
      </c>
      <c r="C79" s="354">
        <f>'1990'!$AJ$42</f>
        <v>0.14678015972326727</v>
      </c>
      <c r="D79" s="354">
        <f>'1991'!$AJ$42</f>
        <v>0.14703635116892</v>
      </c>
      <c r="E79" s="354">
        <f>'1992'!$AJ$42</f>
        <v>0.1483833779371187</v>
      </c>
      <c r="F79" s="354">
        <f>'1993'!$AJ$42</f>
        <v>0.15149946665039554</v>
      </c>
      <c r="G79" s="354">
        <f>'1994'!$AJ$42</f>
        <v>0.14022713258380357</v>
      </c>
      <c r="H79" s="354">
        <f>'1995'!$AJ$42</f>
        <v>0.11669928971613348</v>
      </c>
      <c r="I79" s="354">
        <f>'1996'!$AJ$42</f>
        <v>0.12613029353918059</v>
      </c>
      <c r="J79" s="354">
        <f>'1997'!$AJ$42</f>
        <v>0.13093212333391985</v>
      </c>
      <c r="K79" s="354">
        <f>'1998'!$AJ$42</f>
        <v>0.13038641373359539</v>
      </c>
      <c r="L79" s="354">
        <f>'1999'!$AJ$42</f>
        <v>0.13229162681492998</v>
      </c>
      <c r="M79" s="354">
        <f>'2000'!$AJ$42</f>
        <v>0.1257439241996918</v>
      </c>
      <c r="N79" s="354">
        <f>'2001'!$AJ$42</f>
        <v>0.12259741799234698</v>
      </c>
      <c r="O79" s="354">
        <f>'2002'!$AJ$42</f>
        <v>0.12785836226297057</v>
      </c>
      <c r="P79" s="354">
        <f>'2003'!$AJ$42</f>
        <v>0.12727843467817498</v>
      </c>
      <c r="Q79" s="354">
        <f>'2004'!$AJ$42</f>
        <v>0.12745738729822706</v>
      </c>
      <c r="R79" s="354">
        <f>'2005'!$AJ$42</f>
        <v>0.12573210183579742</v>
      </c>
      <c r="S79" s="354">
        <f>'2006'!$AJ$42</f>
        <v>0.12407191364986724</v>
      </c>
      <c r="T79" s="354">
        <f>'2007'!$AJ$42</f>
        <v>0.1248852083452679</v>
      </c>
      <c r="U79" s="354">
        <f>'2008'!$AJ$42</f>
        <v>0.12050739792720655</v>
      </c>
      <c r="V79" s="354">
        <f>'2009'!$AJ$42</f>
        <v>0.11837612957092365</v>
      </c>
      <c r="W79" s="354">
        <f>'2010'!$AJ$42</f>
        <v>0.11636425646098691</v>
      </c>
      <c r="X79" s="354">
        <f>'2011'!$AJ$42</f>
        <v>0.11893585791552873</v>
      </c>
      <c r="Y79" s="354">
        <f>'2012'!$AJ$42</f>
        <v>0.1192926794207891</v>
      </c>
      <c r="Z79" s="354">
        <f>'2013'!$AJ$42</f>
        <v>0.11809538926067127</v>
      </c>
      <c r="AA79" s="354">
        <f>'2014'!$AJ$42</f>
        <v>0.11544529374324002</v>
      </c>
      <c r="AB79" s="354">
        <f>'2015'!$AJ$42</f>
        <v>0.11301502453295564</v>
      </c>
      <c r="AC79" s="354">
        <f>'2016'!$AJ$42</f>
        <v>0.110375525207808</v>
      </c>
      <c r="AD79" s="354">
        <f>'2017'!$AJ$42</f>
        <v>0.11200336892146064</v>
      </c>
      <c r="AE79" s="354">
        <f>'2018'!$AJ$42</f>
        <v>0.11038696933299054</v>
      </c>
      <c r="AF79" s="354">
        <f>'2019'!$AJ$42</f>
        <v>0.10118576205230401</v>
      </c>
      <c r="AG79" s="354">
        <f>'2020'!$AJ$42</f>
        <v>0.10658890063229891</v>
      </c>
      <c r="AH79" s="354">
        <f>'2021'!$AJ$42</f>
        <v>0.10282306169483346</v>
      </c>
      <c r="AI79" s="354">
        <f>'2022'!$AJ$42</f>
        <v>0.10378830949491273</v>
      </c>
      <c r="AJ79" s="1071">
        <f t="shared" si="187"/>
        <v>9.3874640977333387E-3</v>
      </c>
    </row>
    <row r="80" spans="2:36">
      <c r="B80" s="4" t="s">
        <v>1480</v>
      </c>
      <c r="C80" s="358">
        <f>SUM(C58,C65,C72,C79)</f>
        <v>1294.6120257753792</v>
      </c>
      <c r="D80" s="358">
        <f>SUM(D58,D65,D72,D79)</f>
        <v>1281.8882364624619</v>
      </c>
      <c r="E80" s="358">
        <f t="shared" ref="E80:L80" si="201">SUM(E58,E65,E72,E79)</f>
        <v>1307.1535067577279</v>
      </c>
      <c r="F80" s="358">
        <f t="shared" si="201"/>
        <v>1338.8481621598353</v>
      </c>
      <c r="G80" s="358">
        <f t="shared" si="201"/>
        <v>1355.8614868360191</v>
      </c>
      <c r="H80" s="358">
        <f t="shared" si="201"/>
        <v>1372.0882396207076</v>
      </c>
      <c r="I80" s="358">
        <f t="shared" si="201"/>
        <v>1419.7833267876015</v>
      </c>
      <c r="J80" s="358">
        <f t="shared" si="201"/>
        <v>1436.2505680314071</v>
      </c>
      <c r="K80" s="358">
        <f t="shared" si="201"/>
        <v>1453.4461070933112</v>
      </c>
      <c r="L80" s="358">
        <f t="shared" si="201"/>
        <v>1465.6812780366113</v>
      </c>
      <c r="M80" s="358">
        <f t="shared" ref="M80:U80" si="202">SUM(M58,M65,M72,M79)</f>
        <v>1532.8830109085814</v>
      </c>
      <c r="N80" s="358">
        <f t="shared" si="202"/>
        <v>1506.5632816009411</v>
      </c>
      <c r="O80" s="358">
        <f t="shared" si="202"/>
        <v>1517.7776073530317</v>
      </c>
      <c r="P80" s="358">
        <f t="shared" si="202"/>
        <v>1536.6582587414684</v>
      </c>
      <c r="Q80" s="358">
        <f t="shared" si="202"/>
        <v>1558.2267970285961</v>
      </c>
      <c r="R80" s="358">
        <f t="shared" si="202"/>
        <v>1565.3336068660226</v>
      </c>
      <c r="S80" s="358">
        <f t="shared" si="202"/>
        <v>1541.1654722814073</v>
      </c>
      <c r="T80" s="358">
        <f t="shared" si="202"/>
        <v>1564.0538676772364</v>
      </c>
      <c r="U80" s="358">
        <f t="shared" si="202"/>
        <v>1513.0524911691068</v>
      </c>
      <c r="V80" s="358">
        <f t="shared" ref="V80:AA80" si="203">SUM(V58,V65,V72,V79)</f>
        <v>1412.5941476241655</v>
      </c>
      <c r="W80" s="358">
        <f t="shared" si="203"/>
        <v>1455.428614172183</v>
      </c>
      <c r="X80" s="358">
        <f t="shared" si="203"/>
        <v>1419.4212419576388</v>
      </c>
      <c r="Y80" s="358">
        <f t="shared" si="203"/>
        <v>1363.0489281947914</v>
      </c>
      <c r="Z80" s="358">
        <f t="shared" si="203"/>
        <v>1396.1372164741899</v>
      </c>
      <c r="AA80" s="358">
        <f t="shared" si="203"/>
        <v>1409.7616471025922</v>
      </c>
      <c r="AB80" s="358">
        <f>SUM(AB58,AB65,AB72,AB79)</f>
        <v>1364.8181165034798</v>
      </c>
      <c r="AC80" s="358">
        <f>SUM(AC58,AC65,AC72,AC79)</f>
        <v>1338.362665487341</v>
      </c>
      <c r="AD80" s="358">
        <f>SUM(AD58,AD65,AD72,AD79)</f>
        <v>1320.9518353917988</v>
      </c>
      <c r="AE80" s="358">
        <f t="shared" ref="AE80:AF80" si="204">SUM(AE58,AE65,AE72,AE79)</f>
        <v>1358.9836787295426</v>
      </c>
      <c r="AF80" s="358">
        <f t="shared" si="204"/>
        <v>1320.2587396598544</v>
      </c>
      <c r="AG80" s="358">
        <f>SUM(AG58,AG65,AG72,AG79)</f>
        <v>1180.7021455986917</v>
      </c>
      <c r="AH80" s="358">
        <f>SUM(AH58,AH65,AH72,AH79)</f>
        <v>1266.1758924952128</v>
      </c>
      <c r="AI80" s="358">
        <f>SUM(AI58,AI65,AI72,AI79)</f>
        <v>1279.0589467798338</v>
      </c>
      <c r="AJ80" s="1073">
        <f>IFERROR((AI80-AH80)/AH80,"NA")</f>
        <v>1.0174774579883061E-2</v>
      </c>
    </row>
    <row r="81" spans="1:43">
      <c r="B81" s="1" t="s">
        <v>1496</v>
      </c>
      <c r="C81" s="361"/>
      <c r="D81" s="377">
        <f>(D80-C80)/C80</f>
        <v>-9.8282644217649699E-3</v>
      </c>
      <c r="E81" s="377">
        <f t="shared" ref="E81:M81" si="205">(E80-D80)/D80</f>
        <v>1.9709417386486655E-2</v>
      </c>
      <c r="F81" s="377">
        <f t="shared" si="205"/>
        <v>2.4247079809871015E-2</v>
      </c>
      <c r="G81" s="377">
        <f t="shared" si="205"/>
        <v>1.2707434014577046E-2</v>
      </c>
      <c r="H81" s="377">
        <f t="shared" si="205"/>
        <v>1.1967854343701788E-2</v>
      </c>
      <c r="I81" s="377">
        <f t="shared" si="205"/>
        <v>3.4760947430085468E-2</v>
      </c>
      <c r="J81" s="377">
        <f t="shared" si="205"/>
        <v>1.1598418528455548E-2</v>
      </c>
      <c r="K81" s="377">
        <f t="shared" si="205"/>
        <v>1.1972520286256977E-2</v>
      </c>
      <c r="L81" s="378">
        <f t="shared" si="205"/>
        <v>8.4180423915192291E-3</v>
      </c>
      <c r="M81" s="378">
        <f t="shared" si="205"/>
        <v>4.5850168026974995E-2</v>
      </c>
      <c r="N81" s="378">
        <f t="shared" ref="N81:X81" si="206">(N80-M80)/M80</f>
        <v>-1.7170083509530094E-2</v>
      </c>
      <c r="O81" s="378">
        <f t="shared" si="206"/>
        <v>7.4436473323402676E-3</v>
      </c>
      <c r="P81" s="378">
        <f t="shared" si="206"/>
        <v>1.2439669222267765E-2</v>
      </c>
      <c r="Q81" s="378">
        <f t="shared" si="206"/>
        <v>1.4036001931094586E-2</v>
      </c>
      <c r="R81" s="378">
        <f t="shared" si="206"/>
        <v>4.5608314854926934E-3</v>
      </c>
      <c r="S81" s="378">
        <f t="shared" si="206"/>
        <v>-1.5439606278563597E-2</v>
      </c>
      <c r="T81" s="378">
        <f t="shared" si="206"/>
        <v>1.4851354904770285E-2</v>
      </c>
      <c r="U81" s="378">
        <f t="shared" si="206"/>
        <v>-3.2608452664019398E-2</v>
      </c>
      <c r="V81" s="378">
        <f t="shared" si="206"/>
        <v>-6.6394486728823948E-2</v>
      </c>
      <c r="W81" s="378">
        <f t="shared" si="206"/>
        <v>3.0323264909500349E-2</v>
      </c>
      <c r="X81" s="378">
        <f t="shared" si="206"/>
        <v>-2.4740046927704786E-2</v>
      </c>
      <c r="Y81" s="378">
        <f t="shared" ref="Y81:AD81" si="207">(Y80-X80)/X80</f>
        <v>-3.9714999393062327E-2</v>
      </c>
      <c r="Z81" s="378">
        <f t="shared" si="207"/>
        <v>2.4275202155230272E-2</v>
      </c>
      <c r="AA81" s="378">
        <f t="shared" si="207"/>
        <v>9.7586615897321607E-3</v>
      </c>
      <c r="AB81" s="378">
        <f t="shared" si="207"/>
        <v>-3.1880233578124646E-2</v>
      </c>
      <c r="AC81" s="378">
        <f t="shared" si="207"/>
        <v>-1.9383865656703674E-2</v>
      </c>
      <c r="AD81" s="378">
        <f t="shared" si="207"/>
        <v>-1.3009052437369342E-2</v>
      </c>
      <c r="AE81" s="378">
        <f>(AE80-AD80)/AD80</f>
        <v>2.8791241526579522E-2</v>
      </c>
      <c r="AF81" s="378">
        <f>(AF80-AE80)/AE80</f>
        <v>-2.8495514461137975E-2</v>
      </c>
      <c r="AG81" s="378">
        <f>(AG80-AF80)/AF80</f>
        <v>-0.10570397291754909</v>
      </c>
      <c r="AH81" s="378">
        <f>(AH80-AG80)/AG80</f>
        <v>7.2392302508420048E-2</v>
      </c>
      <c r="AI81" s="378">
        <f>(AI80-AH80)/AH80</f>
        <v>1.0174774579883061E-2</v>
      </c>
      <c r="AJ81" s="379">
        <f>IFERROR((AI81-AH81)/AH81,"NA")</f>
        <v>-0.85944949632318135</v>
      </c>
      <c r="AM81"/>
      <c r="AN81"/>
      <c r="AO81"/>
      <c r="AP81"/>
    </row>
    <row r="82" spans="1:43">
      <c r="B82" s="1" t="s">
        <v>1497</v>
      </c>
      <c r="C82" s="361"/>
      <c r="D82" s="377">
        <f>((D80/$C80)^(1/(1991-1990)))-1</f>
        <v>-9.8282644217649873E-3</v>
      </c>
      <c r="E82" s="377">
        <f>((E80/$C80)^(1/(1992-1990)))-1</f>
        <v>4.832047458205091E-3</v>
      </c>
      <c r="F82" s="377">
        <f>((F80/$C80)^(1/(1993-1990)))-1</f>
        <v>1.1262485439415437E-2</v>
      </c>
      <c r="G82" s="377">
        <f>((G80/$C80)^(1/(1994-1990)))-1</f>
        <v>1.1623529185916803E-2</v>
      </c>
      <c r="H82" s="377">
        <f>((H80/$C80)^(1/(H57-1990)))-1</f>
        <v>1.1692384843582815E-2</v>
      </c>
      <c r="I82" s="377">
        <f>((I80/$C80)^(1/(1996-1990)))-1</f>
        <v>1.550111784661623E-2</v>
      </c>
      <c r="J82" s="377">
        <f>((J80/$C80)^(1/(1997-1990)))-1</f>
        <v>1.4942668902281797E-2</v>
      </c>
      <c r="K82" s="377">
        <f>((K80/$C80)^(1/(1998-1990)))-1</f>
        <v>1.4570924115623773E-2</v>
      </c>
      <c r="L82" s="378">
        <f>((L80/$C80)^(1/(1999-1990)))-1</f>
        <v>1.3885420844643726E-2</v>
      </c>
      <c r="M82" s="377">
        <f t="shared" ref="M82:T82" si="208">((M80/$C80)^(1/(M57-1990)))-1</f>
        <v>1.7037432006576037E-2</v>
      </c>
      <c r="N82" s="377">
        <f t="shared" si="208"/>
        <v>1.3879071237497875E-2</v>
      </c>
      <c r="O82" s="377">
        <f t="shared" si="208"/>
        <v>1.3341219398637305E-2</v>
      </c>
      <c r="P82" s="377">
        <f t="shared" si="208"/>
        <v>1.3271840892186137E-2</v>
      </c>
      <c r="Q82" s="377">
        <f t="shared" si="208"/>
        <v>1.3326404721019092E-2</v>
      </c>
      <c r="R82" s="377">
        <f t="shared" si="208"/>
        <v>1.2739660943616782E-2</v>
      </c>
      <c r="S82" s="377">
        <f t="shared" si="208"/>
        <v>1.0955064165292461E-2</v>
      </c>
      <c r="T82" s="377">
        <f t="shared" si="208"/>
        <v>1.1183843088200973E-2</v>
      </c>
      <c r="U82" s="377">
        <f t="shared" ref="U82:Z82" si="209">((U80/$C80)^(1/(U57-1990)))-1</f>
        <v>8.6997397529986475E-3</v>
      </c>
      <c r="V82" s="377">
        <f t="shared" si="209"/>
        <v>4.6009086025129431E-3</v>
      </c>
      <c r="W82" s="377">
        <f t="shared" si="209"/>
        <v>5.8716399545435394E-3</v>
      </c>
      <c r="X82" s="378">
        <f t="shared" si="209"/>
        <v>4.3923877218881024E-3</v>
      </c>
      <c r="Y82" s="378">
        <f t="shared" si="209"/>
        <v>2.3442431435229949E-3</v>
      </c>
      <c r="Z82" s="378">
        <f t="shared" si="209"/>
        <v>3.2879254011193293E-3</v>
      </c>
      <c r="AA82" s="378">
        <f>((AA80/$C80)^(1/(AA57-1990)))-1</f>
        <v>3.5567096851052415E-3</v>
      </c>
      <c r="AB82" s="378">
        <f>((AB80/$C80)^(1/(AB57-1990)))-1</f>
        <v>2.1146373187805878E-3</v>
      </c>
      <c r="AC82" s="378">
        <f>((AC80/$C80)^(1/(AC57-1990)))-1</f>
        <v>1.2791219622088068E-3</v>
      </c>
      <c r="AD82" s="378">
        <f>((AD80/$C80)^(1/(AD57-1990)))-1</f>
        <v>7.4626008728184701E-4</v>
      </c>
      <c r="AE82" s="378">
        <f t="shared" ref="AE82:AF82" si="210">((AE80/$C80)^(1/(AE57-1990)))-1</f>
        <v>1.7345765356289178E-3</v>
      </c>
      <c r="AF82" s="378">
        <f t="shared" si="210"/>
        <v>6.7666593914794682E-4</v>
      </c>
      <c r="AG82" s="378">
        <f>((AG80/$C80)^(1/(AG57-1990)))-1</f>
        <v>-3.0653507263789237E-3</v>
      </c>
      <c r="AH82" s="378">
        <f>((AH80/$C80)^(1/(AH57-1990)))-1</f>
        <v>-7.1618878774049044E-4</v>
      </c>
      <c r="AI82" s="378">
        <f>((AI80/$C80)^(1/(AI57-1990)))-1</f>
        <v>-3.7763013464742201E-4</v>
      </c>
      <c r="AJ82" s="379">
        <f>IFERROR((AI82-AH82)/AH82,"NA")</f>
        <v>-0.47272263806473397</v>
      </c>
      <c r="AM82"/>
      <c r="AN82"/>
      <c r="AO82"/>
      <c r="AP82"/>
    </row>
    <row r="83" spans="1:43">
      <c r="B83" s="1" t="s">
        <v>1498</v>
      </c>
      <c r="C83" s="361"/>
      <c r="D83" s="377">
        <f t="shared" ref="D83:I83" si="211">(D80-$C$80)/$C$80</f>
        <v>-9.8282644217649699E-3</v>
      </c>
      <c r="E83" s="377">
        <f t="shared" si="211"/>
        <v>9.6874435990483617E-3</v>
      </c>
      <c r="F83" s="377">
        <f t="shared" si="211"/>
        <v>3.4169415627019126E-2</v>
      </c>
      <c r="G83" s="377">
        <f t="shared" si="211"/>
        <v>4.7311055235993181E-2</v>
      </c>
      <c r="H83" s="377">
        <f t="shared" si="211"/>
        <v>5.9845121397606164E-2</v>
      </c>
      <c r="I83" s="377">
        <f t="shared" si="211"/>
        <v>9.6686341946540896E-2</v>
      </c>
      <c r="J83" s="377">
        <f t="shared" ref="J83:O83" si="212">(J80-$C$80)/$C$80</f>
        <v>0.1094061691348778</v>
      </c>
      <c r="K83" s="377">
        <f t="shared" si="212"/>
        <v>0.12268855700054376</v>
      </c>
      <c r="L83" s="378">
        <f t="shared" si="212"/>
        <v>0.13213939686584789</v>
      </c>
      <c r="M83" s="378">
        <f t="shared" si="212"/>
        <v>0.18404817844210514</v>
      </c>
      <c r="N83" s="378">
        <f t="shared" si="212"/>
        <v>0.16371797233894719</v>
      </c>
      <c r="O83" s="378">
        <f t="shared" si="212"/>
        <v>0.17238027851934443</v>
      </c>
      <c r="P83" s="378">
        <f t="shared" ref="P83:U83" si="213">(P80-$C$80)/$C$80</f>
        <v>0.18696430138683523</v>
      </c>
      <c r="Q83" s="378">
        <f t="shared" si="213"/>
        <v>0.20362453461324118</v>
      </c>
      <c r="R83" s="378">
        <f t="shared" si="213"/>
        <v>0.20911406328741675</v>
      </c>
      <c r="S83" s="378">
        <f t="shared" si="213"/>
        <v>0.1904458182043848</v>
      </c>
      <c r="T83" s="378">
        <f t="shared" si="213"/>
        <v>0.20812555154543777</v>
      </c>
      <c r="U83" s="378">
        <f t="shared" si="213"/>
        <v>0.16873044668567605</v>
      </c>
      <c r="V83" s="378">
        <f t="shared" ref="V83:AA83" si="214">(V80-$C$80)/$C$80</f>
        <v>9.1133188553631436E-2</v>
      </c>
      <c r="W83" s="378">
        <f t="shared" si="214"/>
        <v>0.12421990928169099</v>
      </c>
      <c r="X83" s="378">
        <f t="shared" si="214"/>
        <v>9.6406655969001942E-2</v>
      </c>
      <c r="Y83" s="378">
        <f t="shared" si="214"/>
        <v>5.2862866292643543E-2</v>
      </c>
      <c r="Z83" s="378">
        <f t="shared" si="214"/>
        <v>7.8421325213632639E-2</v>
      </c>
      <c r="AA83" s="378">
        <f t="shared" si="214"/>
        <v>8.8945273977542968E-2</v>
      </c>
      <c r="AB83" s="378">
        <f>(AB80-$C$80)/$C$80</f>
        <v>5.4229444289343967E-2</v>
      </c>
      <c r="AC83" s="378">
        <f>(AC80-$C$80)/$C$80</f>
        <v>3.3794402369897954E-2</v>
      </c>
      <c r="AD83" s="378">
        <f>(AD80-$C$80)/$C$80</f>
        <v>2.0345716780009054E-2</v>
      </c>
      <c r="AE83" s="378">
        <f t="shared" ref="AE83" si="215">(AE80-$C$80)/$C$80</f>
        <v>4.9722736752433196E-2</v>
      </c>
      <c r="AF83" s="378">
        <f>(AF80-$C$80)/$C$80</f>
        <v>1.9810347327118907E-2</v>
      </c>
      <c r="AG83" s="378">
        <f>(AG80-$C$80)/$C$80</f>
        <v>-8.7987658007783201E-2</v>
      </c>
      <c r="AH83" s="378">
        <f>(AH80-$C$80)/$C$80</f>
        <v>-2.1964984654869995E-2</v>
      </c>
      <c r="AI83" s="378">
        <f>(AI80-$C$80)/$C$80</f>
        <v>-1.2013698842500824E-2</v>
      </c>
      <c r="AJ83" s="379">
        <f>IFERROR((AI83-AH83)/AH83,"NA")</f>
        <v>-0.45305225424606926</v>
      </c>
      <c r="AM83"/>
      <c r="AN83"/>
      <c r="AO83"/>
      <c r="AP83"/>
    </row>
    <row r="84" spans="1:43">
      <c r="A84" s="408"/>
      <c r="C84" s="380"/>
      <c r="D84" s="380"/>
      <c r="E84" s="380"/>
      <c r="F84" s="380"/>
      <c r="G84" s="380"/>
      <c r="H84" s="380"/>
      <c r="I84" s="380"/>
      <c r="J84" s="380"/>
      <c r="K84" s="380"/>
      <c r="L84" s="380"/>
      <c r="M84" s="680"/>
      <c r="N84" s="680"/>
      <c r="O84" s="680"/>
      <c r="P84" s="680"/>
      <c r="Q84" s="680"/>
      <c r="R84" s="680"/>
      <c r="S84" s="361"/>
      <c r="T84" s="680"/>
      <c r="U84" s="680"/>
      <c r="V84" s="680"/>
      <c r="W84" s="361"/>
      <c r="X84" s="361"/>
      <c r="Y84" s="361"/>
      <c r="Z84" s="361"/>
      <c r="AA84" s="361"/>
      <c r="AB84" s="361"/>
      <c r="AC84" s="361"/>
      <c r="AD84" s="361"/>
      <c r="AE84" s="361"/>
      <c r="AF84" s="361"/>
      <c r="AG84" s="361"/>
      <c r="AH84" s="361"/>
      <c r="AI84" s="361"/>
      <c r="AJ84" s="1074"/>
      <c r="AK84" s="681"/>
      <c r="AL84" s="681"/>
      <c r="AM84"/>
      <c r="AN84"/>
      <c r="AO84"/>
      <c r="AP84"/>
    </row>
    <row r="85" spans="1:43" ht="26.1">
      <c r="A85" s="408"/>
      <c r="B85" s="31" t="s">
        <v>1499</v>
      </c>
      <c r="C85" s="366">
        <f t="shared" ref="C85:M85" si="216">SUM(C86:C88)</f>
        <v>28.226260291459429</v>
      </c>
      <c r="D85" s="366">
        <f t="shared" si="216"/>
        <v>29.244313079059275</v>
      </c>
      <c r="E85" s="366">
        <f t="shared" si="216"/>
        <v>30.735391379588556</v>
      </c>
      <c r="F85" s="366">
        <f t="shared" si="216"/>
        <v>27.588186481643739</v>
      </c>
      <c r="G85" s="366">
        <f t="shared" si="216"/>
        <v>30.446099208862183</v>
      </c>
      <c r="H85" s="366">
        <f t="shared" si="216"/>
        <v>29.734588918829395</v>
      </c>
      <c r="I85" s="366">
        <f t="shared" si="216"/>
        <v>28.770541865902224</v>
      </c>
      <c r="J85" s="366">
        <f t="shared" si="216"/>
        <v>31.992688053084926</v>
      </c>
      <c r="K85" s="366">
        <f t="shared" si="216"/>
        <v>33.687283199785568</v>
      </c>
      <c r="L85" s="366">
        <f t="shared" si="216"/>
        <v>39.390423902904701</v>
      </c>
      <c r="M85" s="366">
        <f t="shared" si="216"/>
        <v>33.549491035690252</v>
      </c>
      <c r="N85" s="366">
        <f t="shared" ref="N85:S85" si="217">SUM(N86:N88)</f>
        <v>32.376475288106143</v>
      </c>
      <c r="O85" s="366">
        <f t="shared" si="217"/>
        <v>33.105965009704938</v>
      </c>
      <c r="P85" s="366">
        <f t="shared" si="217"/>
        <v>31.473038295136828</v>
      </c>
      <c r="Q85" s="366">
        <f t="shared" si="217"/>
        <v>36.328260068467628</v>
      </c>
      <c r="R85" s="366">
        <f t="shared" si="217"/>
        <v>34.349565060897653</v>
      </c>
      <c r="S85" s="366">
        <f t="shared" si="217"/>
        <v>33.995120412892355</v>
      </c>
      <c r="T85" s="366">
        <f t="shared" ref="T85:Z85" si="218">SUM(T86:T88)</f>
        <v>30.874204715598992</v>
      </c>
      <c r="U85" s="366">
        <f t="shared" si="218"/>
        <v>29.80484372243999</v>
      </c>
      <c r="V85" s="366">
        <f t="shared" si="218"/>
        <v>25.097546524614884</v>
      </c>
      <c r="W85" s="366">
        <f t="shared" si="218"/>
        <v>25.015673453325501</v>
      </c>
      <c r="X85" s="366">
        <f t="shared" si="218"/>
        <v>24.286945833285028</v>
      </c>
      <c r="Y85" s="366">
        <f t="shared" si="218"/>
        <v>24.331270523504514</v>
      </c>
      <c r="Z85" s="366">
        <f t="shared" si="218"/>
        <v>26.97959953433271</v>
      </c>
      <c r="AA85" s="366">
        <f>SUM(AA86:AA88)</f>
        <v>25.807198228370986</v>
      </c>
      <c r="AB85" s="366">
        <f>SUM(AB86:AB88)</f>
        <v>28.102774725665398</v>
      </c>
      <c r="AC85" s="366">
        <f>SUM(AC86:AC88)</f>
        <v>26.230561778055872</v>
      </c>
      <c r="AD85" s="366">
        <f>SUM(AD86:AD88)</f>
        <v>29.170033224271076</v>
      </c>
      <c r="AE85" s="366">
        <f t="shared" ref="AE85:AF85" si="219">SUM(AE86:AE88)</f>
        <v>33.197196467216237</v>
      </c>
      <c r="AF85" s="366">
        <f t="shared" si="219"/>
        <v>31.629280645563949</v>
      </c>
      <c r="AG85" s="366">
        <f t="shared" ref="AG85:AH85" si="220">SUM(AG86:AG88)</f>
        <v>29.433185104711985</v>
      </c>
      <c r="AH85" s="366">
        <f t="shared" si="220"/>
        <v>32.960693523392052</v>
      </c>
      <c r="AI85" s="366">
        <f t="shared" ref="AI85" si="221">SUM(AI86:AI88)</f>
        <v>31.643812789019233</v>
      </c>
      <c r="AJ85" s="1075">
        <f>IFERROR((AI85-AH85)/AH85,"NA")</f>
        <v>-3.995306510884656E-2</v>
      </c>
      <c r="AK85" s="381"/>
      <c r="AL85" s="381"/>
      <c r="AM85"/>
      <c r="AN85"/>
      <c r="AO85"/>
      <c r="AP85"/>
      <c r="AQ85"/>
    </row>
    <row r="86" spans="1:43">
      <c r="B86" s="33" t="s">
        <v>1443</v>
      </c>
      <c r="C86" s="356">
        <f t="shared" ref="C86:P86" si="222">C39*CO2toC</f>
        <v>24.082572391176136</v>
      </c>
      <c r="D86" s="356">
        <f t="shared" si="222"/>
        <v>25.196618813743676</v>
      </c>
      <c r="E86" s="356">
        <f t="shared" si="222"/>
        <v>27.149482173447943</v>
      </c>
      <c r="F86" s="356">
        <f t="shared" si="222"/>
        <v>23.890061040576654</v>
      </c>
      <c r="G86" s="356">
        <f t="shared" si="222"/>
        <v>26.764339390997087</v>
      </c>
      <c r="H86" s="356">
        <f t="shared" si="222"/>
        <v>25.655587075907366</v>
      </c>
      <c r="I86" s="356">
        <f t="shared" si="222"/>
        <v>24.471232527461527</v>
      </c>
      <c r="J86" s="356">
        <f t="shared" si="222"/>
        <v>27.440530384863731</v>
      </c>
      <c r="K86" s="356">
        <f t="shared" si="222"/>
        <v>29.00200440276998</v>
      </c>
      <c r="L86" s="356">
        <f t="shared" si="222"/>
        <v>33.614972588135274</v>
      </c>
      <c r="M86" s="356">
        <f t="shared" si="222"/>
        <v>27.723102206154849</v>
      </c>
      <c r="N86" s="356">
        <f t="shared" si="222"/>
        <v>27.821558846977187</v>
      </c>
      <c r="O86" s="356">
        <f t="shared" si="222"/>
        <v>27.601659591199301</v>
      </c>
      <c r="P86" s="356">
        <f t="shared" si="222"/>
        <v>26.545930770748111</v>
      </c>
      <c r="Q86" s="356">
        <f t="shared" ref="Q86:R88" si="223">Q39*CO2toC</f>
        <v>31.49510784826084</v>
      </c>
      <c r="R86" s="356">
        <f t="shared" si="223"/>
        <v>29.503514414620188</v>
      </c>
      <c r="S86" s="356">
        <f t="shared" ref="S86:V88" si="224">S39*CO2toC</f>
        <v>29.514602088574591</v>
      </c>
      <c r="T86" s="356">
        <f t="shared" si="224"/>
        <v>26.08181854125387</v>
      </c>
      <c r="U86" s="356">
        <f t="shared" si="224"/>
        <v>25.806897265148443</v>
      </c>
      <c r="V86" s="356">
        <f t="shared" si="224"/>
        <v>22.039922760329059</v>
      </c>
      <c r="W86" s="356">
        <f t="shared" ref="W86:X88" si="225">W39*CO2toC</f>
        <v>21.682482462129812</v>
      </c>
      <c r="X86" s="356">
        <f t="shared" si="225"/>
        <v>21.301893748513066</v>
      </c>
      <c r="Y86" s="356">
        <f t="shared" ref="Y86:Z88" si="226">Y39*CO2toC</f>
        <v>21.529680593562574</v>
      </c>
      <c r="Z86" s="356">
        <f t="shared" si="226"/>
        <v>24.15964305087105</v>
      </c>
      <c r="AA86" s="356">
        <f t="shared" ref="AA86:AB88" si="227">AA39*CO2toC</f>
        <v>22.875041106377502</v>
      </c>
      <c r="AB86" s="356">
        <f t="shared" si="227"/>
        <v>24.929361372935521</v>
      </c>
      <c r="AC86" s="356">
        <f t="shared" ref="AC86:AD88" si="228">AC39*CO2toC</f>
        <v>23.20940380673267</v>
      </c>
      <c r="AD86" s="356">
        <f t="shared" si="228"/>
        <v>26.502148978404879</v>
      </c>
      <c r="AE86" s="356">
        <f t="shared" ref="AE86:AF86" si="229">AE39*CO2toC</f>
        <v>30.619478069664467</v>
      </c>
      <c r="AF86" s="356">
        <f t="shared" si="229"/>
        <v>29.154117449838481</v>
      </c>
      <c r="AG86" s="356">
        <f t="shared" ref="AG86:AH86" si="230">AG39*CO2toC</f>
        <v>27.293056207922394</v>
      </c>
      <c r="AH86" s="356">
        <f t="shared" si="230"/>
        <v>30.757759208918522</v>
      </c>
      <c r="AI86" s="356">
        <f t="shared" ref="AI86" si="231">AI39*CO2toC</f>
        <v>29.324424067720251</v>
      </c>
      <c r="AJ86" s="379">
        <f>IFERROR((AI86-AH86)/AH86,"NA")</f>
        <v>-4.660076605264081E-2</v>
      </c>
      <c r="AK86" s="382"/>
      <c r="AL86" s="382"/>
      <c r="AM86"/>
      <c r="AN86"/>
      <c r="AO86"/>
      <c r="AP86"/>
      <c r="AQ86"/>
    </row>
    <row r="87" spans="1:43">
      <c r="B87" s="33" t="s">
        <v>1445</v>
      </c>
      <c r="C87" s="356">
        <f t="shared" ref="C87:P87" si="232">C40*CO2toC</f>
        <v>3.2287296158285232</v>
      </c>
      <c r="D87" s="356">
        <f t="shared" si="232"/>
        <v>2.8884288523420514</v>
      </c>
      <c r="E87" s="356">
        <f t="shared" si="232"/>
        <v>2.9448765854551433</v>
      </c>
      <c r="F87" s="356">
        <f t="shared" si="232"/>
        <v>2.9986459405914698</v>
      </c>
      <c r="G87" s="356">
        <f t="shared" si="232"/>
        <v>3.1341792042377268</v>
      </c>
      <c r="H87" s="356">
        <f t="shared" si="232"/>
        <v>3.0803731589921304</v>
      </c>
      <c r="I87" s="356">
        <f t="shared" si="232"/>
        <v>2.9894550682191401</v>
      </c>
      <c r="J87" s="356">
        <f t="shared" si="232"/>
        <v>3.1580277752637325</v>
      </c>
      <c r="K87" s="356">
        <f t="shared" si="232"/>
        <v>3.3059989859527836</v>
      </c>
      <c r="L87" s="356">
        <f t="shared" si="232"/>
        <v>3.3405794139404925</v>
      </c>
      <c r="M87" s="356">
        <f t="shared" si="232"/>
        <v>3.2904790697312443</v>
      </c>
      <c r="N87" s="356">
        <f t="shared" si="232"/>
        <v>3.014807933725248</v>
      </c>
      <c r="O87" s="356">
        <f t="shared" si="232"/>
        <v>2.979090112350145</v>
      </c>
      <c r="P87" s="356">
        <f t="shared" si="232"/>
        <v>2.7542164326295424</v>
      </c>
      <c r="Q87" s="356">
        <f t="shared" si="223"/>
        <v>2.7903195001519889</v>
      </c>
      <c r="R87" s="356">
        <f t="shared" si="223"/>
        <v>2.7757351817168545</v>
      </c>
      <c r="S87" s="356">
        <f t="shared" si="224"/>
        <v>2.7043178840212838</v>
      </c>
      <c r="T87" s="356">
        <f t="shared" si="224"/>
        <v>2.7926860121999546</v>
      </c>
      <c r="U87" s="356">
        <f t="shared" si="224"/>
        <v>2.5927065716195754</v>
      </c>
      <c r="V87" s="356">
        <f t="shared" si="224"/>
        <v>2.3310143672457464</v>
      </c>
      <c r="W87" s="356">
        <f t="shared" si="225"/>
        <v>2.8393191410831142</v>
      </c>
      <c r="X87" s="356">
        <f t="shared" si="225"/>
        <v>2.7218924463619865</v>
      </c>
      <c r="Y87" s="356">
        <f t="shared" si="226"/>
        <v>2.484067158068799</v>
      </c>
      <c r="Z87" s="356">
        <f t="shared" si="226"/>
        <v>2.6299653775840506</v>
      </c>
      <c r="AA87" s="356">
        <f t="shared" si="227"/>
        <v>2.7400357053963869</v>
      </c>
      <c r="AB87" s="356">
        <f t="shared" si="227"/>
        <v>2.9867766902423734</v>
      </c>
      <c r="AC87" s="356">
        <f t="shared" si="228"/>
        <v>2.8315775280269793</v>
      </c>
      <c r="AD87" s="356">
        <f t="shared" si="228"/>
        <v>2.6046858922964842</v>
      </c>
      <c r="AE87" s="356">
        <f t="shared" ref="AE87:AF87" si="233">AE40*CO2toC</f>
        <v>2.5130156542834436</v>
      </c>
      <c r="AF87" s="356">
        <f t="shared" si="233"/>
        <v>2.4092376802110467</v>
      </c>
      <c r="AG87" s="356">
        <f t="shared" ref="AG87:AH87" si="234">AG40*CO2toC</f>
        <v>2.1209634916705382</v>
      </c>
      <c r="AH87" s="356">
        <f t="shared" si="234"/>
        <v>2.1837586136874751</v>
      </c>
      <c r="AI87" s="356">
        <f t="shared" ref="AI87" si="235">AI40*CO2toC</f>
        <v>2.3002130205129276</v>
      </c>
      <c r="AJ87" s="379">
        <f>IFERROR((AI87-AH87)/AH87,"NA")</f>
        <v>5.3327508862716574E-2</v>
      </c>
      <c r="AK87" s="382"/>
      <c r="AL87" s="382"/>
      <c r="AM87"/>
      <c r="AN87"/>
      <c r="AO87"/>
      <c r="AP87"/>
      <c r="AQ87"/>
    </row>
    <row r="88" spans="1:43">
      <c r="B88" s="33" t="s">
        <v>1489</v>
      </c>
      <c r="C88" s="356">
        <f t="shared" ref="C88:P88" si="236">C41*CO2toC</f>
        <v>0.91495828445476812</v>
      </c>
      <c r="D88" s="356">
        <f t="shared" si="236"/>
        <v>1.1592654129735449</v>
      </c>
      <c r="E88" s="356">
        <f t="shared" si="236"/>
        <v>0.64103262068546918</v>
      </c>
      <c r="F88" s="356">
        <f t="shared" si="236"/>
        <v>0.6994795004756138</v>
      </c>
      <c r="G88" s="356">
        <f t="shared" si="236"/>
        <v>0.54758061362737187</v>
      </c>
      <c r="H88" s="356">
        <f t="shared" si="236"/>
        <v>0.9986286839298969</v>
      </c>
      <c r="I88" s="356">
        <f t="shared" si="236"/>
        <v>1.3098542702215581</v>
      </c>
      <c r="J88" s="356">
        <f t="shared" si="236"/>
        <v>1.3941298929574637</v>
      </c>
      <c r="K88" s="356">
        <f t="shared" si="236"/>
        <v>1.3792798110627988</v>
      </c>
      <c r="L88" s="356">
        <f t="shared" si="236"/>
        <v>2.434871900828941</v>
      </c>
      <c r="M88" s="356">
        <f t="shared" si="236"/>
        <v>2.5359097598041607</v>
      </c>
      <c r="N88" s="356">
        <f t="shared" si="236"/>
        <v>1.540108507403708</v>
      </c>
      <c r="O88" s="356">
        <f t="shared" si="236"/>
        <v>2.5252153061554918</v>
      </c>
      <c r="P88" s="356">
        <f t="shared" si="236"/>
        <v>2.1728910917591713</v>
      </c>
      <c r="Q88" s="356">
        <f t="shared" si="223"/>
        <v>2.0428327200547942</v>
      </c>
      <c r="R88" s="356">
        <f t="shared" si="223"/>
        <v>2.0703154645606103</v>
      </c>
      <c r="S88" s="356">
        <f t="shared" si="224"/>
        <v>1.7762004402964806</v>
      </c>
      <c r="T88" s="356">
        <f t="shared" si="224"/>
        <v>1.9997001621451664</v>
      </c>
      <c r="U88" s="356">
        <f t="shared" si="224"/>
        <v>1.4052398856719694</v>
      </c>
      <c r="V88" s="356">
        <f t="shared" si="224"/>
        <v>0.72660939704007821</v>
      </c>
      <c r="W88" s="356">
        <f t="shared" si="225"/>
        <v>0.49387185011257462</v>
      </c>
      <c r="X88" s="356">
        <f t="shared" si="225"/>
        <v>0.26315963840997231</v>
      </c>
      <c r="Y88" s="356">
        <f t="shared" si="226"/>
        <v>0.31752277187313865</v>
      </c>
      <c r="Z88" s="356">
        <f t="shared" si="226"/>
        <v>0.18999110587760829</v>
      </c>
      <c r="AA88" s="356">
        <f t="shared" si="227"/>
        <v>0.19212141659709553</v>
      </c>
      <c r="AB88" s="356">
        <f t="shared" si="227"/>
        <v>0.18663666248750665</v>
      </c>
      <c r="AC88" s="356">
        <f t="shared" si="228"/>
        <v>0.18958044329622342</v>
      </c>
      <c r="AD88" s="356">
        <f t="shared" si="228"/>
        <v>6.3198353569714552E-2</v>
      </c>
      <c r="AE88" s="356">
        <f t="shared" ref="AE88:AF88" si="237">AE41*CO2toC</f>
        <v>6.4702743268324855E-2</v>
      </c>
      <c r="AF88" s="356">
        <f t="shared" si="237"/>
        <v>6.5925515514423008E-2</v>
      </c>
      <c r="AG88" s="356">
        <f t="shared" ref="AG88:AH88" si="238">AG41*CO2toC</f>
        <v>1.916540511905454E-2</v>
      </c>
      <c r="AH88" s="356">
        <f t="shared" si="238"/>
        <v>1.9175700786054538E-2</v>
      </c>
      <c r="AI88" s="356">
        <f t="shared" ref="AI88" si="239">AI41*CO2toC</f>
        <v>1.9175700786054538E-2</v>
      </c>
      <c r="AJ88" s="379">
        <f>IFERROR((AI88-AH88)/AH88,"NA")</f>
        <v>0</v>
      </c>
      <c r="AK88" s="382"/>
      <c r="AL88" s="382"/>
      <c r="AM88"/>
      <c r="AN88"/>
      <c r="AO88"/>
      <c r="AP88"/>
      <c r="AQ88"/>
    </row>
    <row r="89" spans="1:43">
      <c r="B89" s="33"/>
      <c r="C89" s="371"/>
      <c r="D89" s="371"/>
      <c r="E89" s="371"/>
      <c r="F89" s="371"/>
      <c r="G89" s="371"/>
      <c r="H89" s="371"/>
      <c r="I89" s="371"/>
      <c r="J89" s="371"/>
      <c r="K89" s="371"/>
      <c r="L89" s="371"/>
      <c r="M89" s="371"/>
      <c r="N89" s="371"/>
      <c r="O89" s="371"/>
      <c r="P89" s="371"/>
      <c r="Q89" s="371"/>
      <c r="R89" s="371"/>
      <c r="S89" s="371"/>
      <c r="T89" s="371"/>
      <c r="U89" s="371"/>
      <c r="V89" s="371"/>
      <c r="W89" s="371"/>
      <c r="X89" s="371"/>
      <c r="Y89" s="371"/>
      <c r="Z89" s="371"/>
      <c r="AA89" s="371"/>
      <c r="AB89" s="371"/>
      <c r="AC89" s="371"/>
      <c r="AD89" s="371"/>
      <c r="AE89" s="371"/>
      <c r="AF89" s="371"/>
      <c r="AG89" s="371"/>
      <c r="AH89" s="371"/>
      <c r="AI89" s="371"/>
      <c r="AJ89" s="370"/>
      <c r="AK89" s="382"/>
      <c r="AL89" s="382"/>
      <c r="AM89"/>
      <c r="AN89"/>
      <c r="AO89"/>
      <c r="AP89"/>
      <c r="AQ89"/>
    </row>
    <row r="90" spans="1:43" ht="26.1">
      <c r="A90" s="408"/>
      <c r="B90" s="31" t="s">
        <v>1500</v>
      </c>
      <c r="C90" s="366">
        <f t="shared" ref="C90:M90" si="240">SUM(C91:C93)</f>
        <v>52.738762694282556</v>
      </c>
      <c r="D90" s="366">
        <f t="shared" si="240"/>
        <v>51.24612425302962</v>
      </c>
      <c r="E90" s="366">
        <f t="shared" si="240"/>
        <v>53.726646808175552</v>
      </c>
      <c r="F90" s="366">
        <f t="shared" si="240"/>
        <v>55.003937578496156</v>
      </c>
      <c r="G90" s="366">
        <f t="shared" si="240"/>
        <v>57.861275144501377</v>
      </c>
      <c r="H90" s="366">
        <f t="shared" si="240"/>
        <v>58.238886125447415</v>
      </c>
      <c r="I90" s="366">
        <f t="shared" si="240"/>
        <v>60.332502429945158</v>
      </c>
      <c r="J90" s="366">
        <f t="shared" si="240"/>
        <v>61.554110909340686</v>
      </c>
      <c r="K90" s="366">
        <f t="shared" si="240"/>
        <v>63.582161194197312</v>
      </c>
      <c r="L90" s="366">
        <f t="shared" si="240"/>
        <v>67.522197264160226</v>
      </c>
      <c r="M90" s="366">
        <f t="shared" si="240"/>
        <v>63.997402277137844</v>
      </c>
      <c r="N90" s="366">
        <f t="shared" ref="N90:S90" si="241">SUM(N91:N93)</f>
        <v>61.536431284503649</v>
      </c>
      <c r="O90" s="366">
        <f t="shared" si="241"/>
        <v>62.626143179937088</v>
      </c>
      <c r="P90" s="366">
        <f t="shared" si="241"/>
        <v>60.363028524111577</v>
      </c>
      <c r="Q90" s="366">
        <f t="shared" si="241"/>
        <v>65.19801878370032</v>
      </c>
      <c r="R90" s="366">
        <f t="shared" si="241"/>
        <v>63.870186710015865</v>
      </c>
      <c r="S90" s="366">
        <f t="shared" si="241"/>
        <v>64.19917057046446</v>
      </c>
      <c r="T90" s="366">
        <f t="shared" ref="T90:Y90" si="242">SUM(T91:T93)</f>
        <v>64.019818118104325</v>
      </c>
      <c r="U90" s="366">
        <f t="shared" si="242"/>
        <v>57.474302869855698</v>
      </c>
      <c r="V90" s="366">
        <f t="shared" si="242"/>
        <v>54.470261720366253</v>
      </c>
      <c r="W90" s="366">
        <f t="shared" si="242"/>
        <v>57.716479778189019</v>
      </c>
      <c r="X90" s="366">
        <f t="shared" si="242"/>
        <v>56.915092891372652</v>
      </c>
      <c r="Y90" s="366">
        <f t="shared" si="242"/>
        <v>54.789244169515513</v>
      </c>
      <c r="Z90" s="366">
        <f t="shared" ref="Z90:AD90" si="243">SUM(Z91:Z93)</f>
        <v>56.267574283463816</v>
      </c>
      <c r="AA90" s="366">
        <f t="shared" si="243"/>
        <v>56.260592348816871</v>
      </c>
      <c r="AB90" s="366">
        <f t="shared" si="243"/>
        <v>58.510678473096583</v>
      </c>
      <c r="AC90" s="366">
        <f t="shared" si="243"/>
        <v>59.514156560651138</v>
      </c>
      <c r="AD90" s="366">
        <f t="shared" si="243"/>
        <v>59.881338626921021</v>
      </c>
      <c r="AE90" s="366">
        <f t="shared" ref="AE90:AF90" si="244">SUM(AE91:AE93)</f>
        <v>60.86333434915236</v>
      </c>
      <c r="AF90" s="366">
        <f t="shared" si="244"/>
        <v>62.240806195807636</v>
      </c>
      <c r="AG90" s="366">
        <f t="shared" ref="AG90:AH90" si="245">SUM(AG91:AG93)</f>
        <v>62.948292051888359</v>
      </c>
      <c r="AH90" s="366">
        <f t="shared" si="245"/>
        <v>63.65830968309384</v>
      </c>
      <c r="AI90" s="366">
        <f t="shared" ref="AI90" si="246">SUM(AI91:AI93)</f>
        <v>64.523197252779482</v>
      </c>
      <c r="AJ90" s="1075">
        <f>IFERROR((AI90-AH90)/AH90,"NA")</f>
        <v>1.3586404885572011E-2</v>
      </c>
      <c r="AK90" s="381"/>
      <c r="AL90" s="381"/>
      <c r="AM90"/>
      <c r="AN90"/>
      <c r="AO90"/>
      <c r="AP90"/>
      <c r="AQ90"/>
    </row>
    <row r="91" spans="1:43">
      <c r="B91" s="33" t="s">
        <v>1443</v>
      </c>
      <c r="C91" s="356">
        <f>'Non-Energy Use'!E130</f>
        <v>52.310874177010255</v>
      </c>
      <c r="D91" s="356">
        <f>'Non-Energy Use'!F130</f>
        <v>50.825466987505266</v>
      </c>
      <c r="E91" s="356">
        <f>'Non-Energy Use'!G130</f>
        <v>53.35802631784216</v>
      </c>
      <c r="F91" s="356">
        <f>'Non-Energy Use'!H130</f>
        <v>54.623435030697038</v>
      </c>
      <c r="G91" s="356">
        <f>'Non-Energy Use'!I130</f>
        <v>57.483980325912668</v>
      </c>
      <c r="H91" s="356">
        <f>'Non-Energy Use'!J130</f>
        <v>57.81693594188382</v>
      </c>
      <c r="I91" s="356">
        <f>'Non-Energy Use'!K130</f>
        <v>59.885062171220341</v>
      </c>
      <c r="J91" s="356">
        <f>'Non-Energy Use'!L130</f>
        <v>61.080451691060794</v>
      </c>
      <c r="K91" s="356">
        <f>'Non-Energy Use'!M130</f>
        <v>63.094973818925602</v>
      </c>
      <c r="L91" s="356">
        <f>'Non-Energy Use'!N130</f>
        <v>66.914246906338192</v>
      </c>
      <c r="M91" s="356">
        <f>'Non-Energy Use'!O130</f>
        <v>63.383607278974637</v>
      </c>
      <c r="N91" s="356">
        <f>'Non-Energy Use'!P130</f>
        <v>61.061036960881275</v>
      </c>
      <c r="O91" s="356">
        <f>'Non-Energy Use'!Q130</f>
        <v>62.044996807502052</v>
      </c>
      <c r="P91" s="356">
        <f>'Non-Energy Use'!R130</f>
        <v>59.844096348420891</v>
      </c>
      <c r="Q91" s="356">
        <f>'Non-Energy Use'!S130</f>
        <v>64.689927959006056</v>
      </c>
      <c r="R91" s="356">
        <f>'Non-Energy Use'!T130</f>
        <v>63.360426266060315</v>
      </c>
      <c r="S91" s="356">
        <f>'Non-Energy Use'!U130</f>
        <v>63.729604304930817</v>
      </c>
      <c r="T91" s="356">
        <f>'Non-Energy Use'!V130</f>
        <v>63.51643975324783</v>
      </c>
      <c r="U91" s="356">
        <f>'Non-Energy Use'!W130</f>
        <v>57.056585639778845</v>
      </c>
      <c r="V91" s="356">
        <f>'Non-Energy Use'!X130</f>
        <v>54.154102221935467</v>
      </c>
      <c r="W91" s="356">
        <f>'Non-Energy Use'!Y130</f>
        <v>57.374801039744426</v>
      </c>
      <c r="X91" s="356">
        <f>'Non-Energy Use'!Z130</f>
        <v>56.610918222742214</v>
      </c>
      <c r="Y91" s="356">
        <f>'Non-Energy Use'!AA130</f>
        <v>54.503068308707206</v>
      </c>
      <c r="Z91" s="356">
        <f>'Non-Energy Use'!AB130</f>
        <v>55.98082135325005</v>
      </c>
      <c r="AA91" s="356">
        <f>'Non-Energy Use'!AC130</f>
        <v>55.962476912420669</v>
      </c>
      <c r="AB91" s="356">
        <f>'Non-Energy Use'!AD130</f>
        <v>58.188232107634654</v>
      </c>
      <c r="AC91" s="356">
        <f>'Non-Energy Use'!AE130</f>
        <v>59.207070493470532</v>
      </c>
      <c r="AD91" s="356">
        <f>'Non-Energy Use'!AF130</f>
        <v>59.611229006843374</v>
      </c>
      <c r="AE91" s="356">
        <f>'Non-Energy Use'!AG130</f>
        <v>60.602323515920745</v>
      </c>
      <c r="AF91" s="356">
        <f>'Non-Energy Use'!AH130</f>
        <v>61.990149278799159</v>
      </c>
      <c r="AG91" s="356">
        <f>'Non-Energy Use'!AI130</f>
        <v>62.731969185974023</v>
      </c>
      <c r="AH91" s="356">
        <f>'Non-Energy Use'!AJ130</f>
        <v>63.435638401468921</v>
      </c>
      <c r="AI91" s="356">
        <f>'Non-Energy Use'!AK130</f>
        <v>64.288754869473678</v>
      </c>
      <c r="AJ91" s="379">
        <f>IFERROR((AI91-AH91)/AH91,"NA")</f>
        <v>1.3448536020171934E-2</v>
      </c>
      <c r="AK91" s="382"/>
      <c r="AL91" s="382"/>
      <c r="AM91"/>
      <c r="AN91"/>
      <c r="AO91"/>
      <c r="AP91"/>
      <c r="AQ91"/>
    </row>
    <row r="92" spans="1:43">
      <c r="B92" s="33" t="s">
        <v>1445</v>
      </c>
      <c r="C92" s="356">
        <f>'Non-Energy Use'!E147</f>
        <v>0.32635694641384988</v>
      </c>
      <c r="D92" s="356">
        <f>'Non-Energy Use'!F147</f>
        <v>0.29195966598216289</v>
      </c>
      <c r="E92" s="356">
        <f>'Non-Energy Use'!G147</f>
        <v>0.29766534964190944</v>
      </c>
      <c r="F92" s="356">
        <f>'Non-Energy Use'!H147</f>
        <v>0.30310030538019928</v>
      </c>
      <c r="G92" s="356">
        <f>'Non-Energy Use'!I147</f>
        <v>0.31679987992625336</v>
      </c>
      <c r="H92" s="356">
        <f>'Non-Energy Use'!J147</f>
        <v>0.31136121558629987</v>
      </c>
      <c r="I92" s="356">
        <f>'Non-Energy Use'!K147</f>
        <v>0.30217130066341896</v>
      </c>
      <c r="J92" s="356">
        <f>'Non-Energy Use'!L147</f>
        <v>0.31921047100771932</v>
      </c>
      <c r="K92" s="356">
        <f>'Non-Energy Use'!M147</f>
        <v>0.33416726151779952</v>
      </c>
      <c r="L92" s="356">
        <f>'Non-Energy Use'!N147</f>
        <v>0.33766261858592517</v>
      </c>
      <c r="M92" s="356">
        <f>'Non-Energy Use'!O147</f>
        <v>0.33259852301401477</v>
      </c>
      <c r="N92" s="356">
        <f>'Non-Energy Use'!P147</f>
        <v>0.30473394441310037</v>
      </c>
      <c r="O92" s="356">
        <f>'Non-Energy Use'!Q147</f>
        <v>0.30112362069339721</v>
      </c>
      <c r="P92" s="356">
        <f>'Non-Energy Use'!R147</f>
        <v>0.27839360109600531</v>
      </c>
      <c r="Q92" s="356">
        <f>'Non-Energy Use'!S147</f>
        <v>0.28204286513317839</v>
      </c>
      <c r="R92" s="356">
        <f>'Non-Energy Use'!T147</f>
        <v>0.28056869597182038</v>
      </c>
      <c r="S92" s="356">
        <f>'Non-Energy Use'!U147</f>
        <v>0.27334990283324584</v>
      </c>
      <c r="T92" s="356">
        <f>'Non-Energy Use'!V147</f>
        <v>0.2822820699404931</v>
      </c>
      <c r="U92" s="356">
        <f>'Non-Energy Use'!W147</f>
        <v>0.26206833657198531</v>
      </c>
      <c r="V92" s="356">
        <f>'Non-Energy Use'!X147</f>
        <v>0.23561673520497636</v>
      </c>
      <c r="W92" s="356">
        <f>'Non-Energy Use'!Y147</f>
        <v>0.28699570265517493</v>
      </c>
      <c r="X92" s="356">
        <f>'Non-Energy Use'!Z147</f>
        <v>0.27512632303020301</v>
      </c>
      <c r="Y92" s="356">
        <f>'Non-Energy Use'!AA147</f>
        <v>0.25108716704549189</v>
      </c>
      <c r="Z92" s="356">
        <f>'Non-Energy Use'!AB147</f>
        <v>0.26583442156156778</v>
      </c>
      <c r="AA92" s="356">
        <f>'Non-Energy Use'!AC147</f>
        <v>0.27696022655294905</v>
      </c>
      <c r="AB92" s="356">
        <f>'Non-Energy Use'!AD147</f>
        <v>0.30190057274196203</v>
      </c>
      <c r="AC92" s="356">
        <f>'Non-Energy Use'!AE147</f>
        <v>0.28621318770411441</v>
      </c>
      <c r="AD92" s="356">
        <f>'Non-Energy Use'!AF147</f>
        <v>0.26327919501521391</v>
      </c>
      <c r="AE92" s="356">
        <f>'Non-Energy Use'!AG147</f>
        <v>0.2540132537582252</v>
      </c>
      <c r="AF92" s="356">
        <f>'Non-Energy Use'!AH147</f>
        <v>0.24352347395218463</v>
      </c>
      <c r="AG92" s="356">
        <f>'Non-Energy Use'!AI147</f>
        <v>0.21438499067975711</v>
      </c>
      <c r="AH92" s="356">
        <f>'Non-Energy Use'!AJ147</f>
        <v>0.22073226242734006</v>
      </c>
      <c r="AI92" s="356">
        <f>'Non-Energy Use'!AK147</f>
        <v>0.23250336410822148</v>
      </c>
      <c r="AJ92" s="379">
        <f>IFERROR((AI92-AH92)/AH92,"NA")</f>
        <v>5.3327508862716373E-2</v>
      </c>
      <c r="AK92" s="382"/>
      <c r="AL92" s="382"/>
      <c r="AM92"/>
      <c r="AN92"/>
      <c r="AO92"/>
      <c r="AP92"/>
      <c r="AQ92"/>
    </row>
    <row r="93" spans="1:43">
      <c r="B93" s="33" t="s">
        <v>1489</v>
      </c>
      <c r="C93" s="356">
        <f>'Non-Energy Use'!E149</f>
        <v>0.10153157085844899</v>
      </c>
      <c r="D93" s="356">
        <f>'Non-Energy Use'!F149</f>
        <v>0.12869759954218984</v>
      </c>
      <c r="E93" s="356">
        <f>'Non-Energy Use'!G149</f>
        <v>7.0955140691484453E-2</v>
      </c>
      <c r="F93" s="356">
        <f>'Non-Energy Use'!H149</f>
        <v>7.7402242418917577E-2</v>
      </c>
      <c r="G93" s="356">
        <f>'Non-Energy Use'!I149</f>
        <v>6.0494938662459516E-2</v>
      </c>
      <c r="H93" s="356">
        <f>'Non-Energy Use'!J149</f>
        <v>0.11058896797729564</v>
      </c>
      <c r="I93" s="356">
        <f>'Non-Energy Use'!K149</f>
        <v>0.14526895806140278</v>
      </c>
      <c r="J93" s="356">
        <f>'Non-Energy Use'!L149</f>
        <v>0.15444874727217275</v>
      </c>
      <c r="K93" s="356">
        <f>'Non-Energy Use'!M149</f>
        <v>0.153020113753911</v>
      </c>
      <c r="L93" s="356">
        <f>'Non-Energy Use'!N149</f>
        <v>0.2702877392361086</v>
      </c>
      <c r="M93" s="356">
        <f>'Non-Energy Use'!O149</f>
        <v>0.28119647514919333</v>
      </c>
      <c r="N93" s="356">
        <f>'Non-Energy Use'!P149</f>
        <v>0.17066037920927155</v>
      </c>
      <c r="O93" s="356">
        <f>'Non-Energy Use'!Q149</f>
        <v>0.28002275174164309</v>
      </c>
      <c r="P93" s="356">
        <f>'Non-Energy Use'!R149</f>
        <v>0.24053857459468372</v>
      </c>
      <c r="Q93" s="356">
        <f>'Non-Energy Use'!S149</f>
        <v>0.22604795956108081</v>
      </c>
      <c r="R93" s="356">
        <f>'Non-Energy Use'!T149</f>
        <v>0.2291917479837236</v>
      </c>
      <c r="S93" s="356">
        <f>'Non-Energy Use'!U149</f>
        <v>0.19621636270040294</v>
      </c>
      <c r="T93" s="356">
        <f>'Non-Energy Use'!V149</f>
        <v>0.22109629491600427</v>
      </c>
      <c r="U93" s="356">
        <f>'Non-Energy Use'!W149</f>
        <v>0.15564889350486452</v>
      </c>
      <c r="V93" s="356">
        <f>'Non-Energy Use'!X149</f>
        <v>8.0542763225806668E-2</v>
      </c>
      <c r="W93" s="356">
        <f>'Non-Energy Use'!Y149</f>
        <v>5.468303578941739E-2</v>
      </c>
      <c r="X93" s="356">
        <f>'Non-Energy Use'!Z149</f>
        <v>2.9048345600239354E-2</v>
      </c>
      <c r="Y93" s="356">
        <f>'Non-Energy Use'!AA149</f>
        <v>3.5088693762813393E-2</v>
      </c>
      <c r="Z93" s="356">
        <f>'Non-Energy Use'!AB149</f>
        <v>2.0918508652198908E-2</v>
      </c>
      <c r="AA93" s="356">
        <f>'Non-Energy Use'!AC149</f>
        <v>2.1155209843253038E-2</v>
      </c>
      <c r="AB93" s="356">
        <f>'Non-Energy Use'!AD149</f>
        <v>2.0545792719965386E-2</v>
      </c>
      <c r="AC93" s="356">
        <f>'Non-Energy Use'!AE149</f>
        <v>2.0872879476489477E-2</v>
      </c>
      <c r="AD93" s="356">
        <f>'Non-Energy Use'!AF149</f>
        <v>6.8304250624329323E-3</v>
      </c>
      <c r="AE93" s="356">
        <f>'Non-Energy Use'!AG149</f>
        <v>6.9975794733896316E-3</v>
      </c>
      <c r="AF93" s="356">
        <f>'Non-Energy Use'!AH149</f>
        <v>7.1334430562894268E-3</v>
      </c>
      <c r="AG93" s="356">
        <f>'Non-Energy Use'!AI149</f>
        <v>1.9378752345818174E-3</v>
      </c>
      <c r="AH93" s="356">
        <f>'Non-Energy Use'!AJ149</f>
        <v>1.9390191975818174E-3</v>
      </c>
      <c r="AI93" s="356">
        <f>'Non-Energy Use'!AK149</f>
        <v>1.9390191975818174E-3</v>
      </c>
      <c r="AJ93" s="379">
        <f>IFERROR((AI93-AH93)/AH93,"NA")</f>
        <v>0</v>
      </c>
      <c r="AK93" s="382"/>
      <c r="AL93" s="382"/>
      <c r="AM93"/>
      <c r="AN93"/>
      <c r="AO93"/>
      <c r="AP93"/>
      <c r="AQ93"/>
    </row>
    <row r="94" spans="1:43">
      <c r="B94" s="33"/>
      <c r="C94" s="371"/>
      <c r="D94" s="371"/>
      <c r="E94" s="371"/>
      <c r="F94" s="371"/>
      <c r="G94" s="371"/>
      <c r="H94" s="371"/>
      <c r="I94" s="371"/>
      <c r="J94" s="371"/>
      <c r="K94" s="371"/>
      <c r="L94" s="371"/>
      <c r="M94" s="371"/>
      <c r="N94" s="371"/>
      <c r="O94" s="371"/>
      <c r="P94" s="371"/>
      <c r="Q94" s="371"/>
      <c r="R94" s="371"/>
      <c r="S94" s="371"/>
      <c r="T94" s="371"/>
      <c r="U94" s="371"/>
      <c r="V94" s="371"/>
      <c r="W94" s="371"/>
      <c r="X94" s="371"/>
      <c r="Y94" s="371"/>
      <c r="Z94" s="371"/>
      <c r="AA94" s="371"/>
      <c r="AB94" s="371"/>
      <c r="AC94" s="371"/>
      <c r="AD94" s="371"/>
      <c r="AE94" s="371"/>
      <c r="AF94" s="371"/>
      <c r="AG94" s="371"/>
      <c r="AH94" s="371"/>
      <c r="AI94" s="371"/>
      <c r="AJ94" s="370"/>
      <c r="AK94" s="382"/>
      <c r="AL94" s="382"/>
      <c r="AM94"/>
      <c r="AN94"/>
      <c r="AO94"/>
      <c r="AP94"/>
      <c r="AQ94"/>
    </row>
    <row r="95" spans="1:43" ht="26.1">
      <c r="B95" s="31" t="s">
        <v>1501</v>
      </c>
      <c r="C95" s="366">
        <f t="shared" ref="C95:K95" si="247">SUM(C96:C98)</f>
        <v>28.263873083248267</v>
      </c>
      <c r="D95" s="366">
        <f t="shared" si="247"/>
        <v>32.110853094281119</v>
      </c>
      <c r="E95" s="366">
        <f t="shared" si="247"/>
        <v>29.455167920937583</v>
      </c>
      <c r="F95" s="366">
        <f t="shared" si="247"/>
        <v>26.717630989520988</v>
      </c>
      <c r="G95" s="366">
        <f t="shared" si="247"/>
        <v>26.403264366927917</v>
      </c>
      <c r="H95" s="366">
        <f t="shared" si="247"/>
        <v>26.893477942266493</v>
      </c>
      <c r="I95" s="366">
        <f t="shared" si="247"/>
        <v>27.234895394395657</v>
      </c>
      <c r="J95" s="366">
        <f t="shared" si="247"/>
        <v>29.199102384725322</v>
      </c>
      <c r="K95" s="366">
        <f t="shared" si="247"/>
        <v>30.162107295967573</v>
      </c>
      <c r="L95" s="366">
        <f t="shared" ref="L95:Q95" si="248">SUM(L96:L98)</f>
        <v>28.045579824943776</v>
      </c>
      <c r="M95" s="366">
        <f t="shared" si="248"/>
        <v>27.789461123121178</v>
      </c>
      <c r="N95" s="366">
        <f t="shared" si="248"/>
        <v>25.606342569302253</v>
      </c>
      <c r="O95" s="366">
        <f t="shared" si="248"/>
        <v>25.800024119482959</v>
      </c>
      <c r="P95" s="366">
        <f t="shared" si="248"/>
        <v>26.859222402681745</v>
      </c>
      <c r="Q95" s="366">
        <f t="shared" si="248"/>
        <v>29.620839383864993</v>
      </c>
      <c r="R95" s="366">
        <f t="shared" ref="R95:W95" si="249">SUM(R96:R98)</f>
        <v>30.907591796329914</v>
      </c>
      <c r="S95" s="366">
        <f t="shared" si="249"/>
        <v>31.164144789837835</v>
      </c>
      <c r="T95" s="366">
        <f t="shared" si="249"/>
        <v>31.489856040565847</v>
      </c>
      <c r="U95" s="366">
        <f t="shared" si="249"/>
        <v>31.215700359438948</v>
      </c>
      <c r="V95" s="366">
        <f t="shared" si="249"/>
        <v>29.048361816346365</v>
      </c>
      <c r="W95" s="366">
        <f t="shared" si="249"/>
        <v>31.936650557885521</v>
      </c>
      <c r="X95" s="366">
        <f t="shared" ref="X95:AC95" si="250">SUM(X96:X98)</f>
        <v>30.476107561981948</v>
      </c>
      <c r="Y95" s="366">
        <f t="shared" si="250"/>
        <v>28.878731035117752</v>
      </c>
      <c r="Z95" s="366">
        <f t="shared" si="250"/>
        <v>27.229178914577759</v>
      </c>
      <c r="AA95" s="366">
        <f t="shared" si="250"/>
        <v>28.224004769122359</v>
      </c>
      <c r="AB95" s="366">
        <f t="shared" si="250"/>
        <v>30.267263402612805</v>
      </c>
      <c r="AC95" s="366">
        <f t="shared" si="250"/>
        <v>31.822404045355864</v>
      </c>
      <c r="AD95" s="366">
        <f>SUM(AD96:AD98)</f>
        <v>32.779543218878906</v>
      </c>
      <c r="AE95" s="366">
        <f t="shared" ref="AE95:AF95" si="251">SUM(AE96:AE98)</f>
        <v>33.894200948190942</v>
      </c>
      <c r="AF95" s="366">
        <f t="shared" si="251"/>
        <v>30.990419943362333</v>
      </c>
      <c r="AG95" s="366">
        <f t="shared" ref="AG95:AH95" si="252">SUM(AG96:AG98)</f>
        <v>18.992296877220006</v>
      </c>
      <c r="AH95" s="366">
        <f t="shared" si="252"/>
        <v>21.867367622309509</v>
      </c>
      <c r="AI95" s="366">
        <f t="shared" ref="AI95" si="253">SUM(AI96:AI98)</f>
        <v>26.065546556765064</v>
      </c>
      <c r="AJ95" s="1075">
        <f>IFERROR((AI95-AH95)/AH95,"NA")</f>
        <v>0.19198373608410427</v>
      </c>
      <c r="AK95" s="381"/>
      <c r="AL95" s="381"/>
      <c r="AM95"/>
      <c r="AN95"/>
      <c r="AO95"/>
      <c r="AP95"/>
      <c r="AQ95"/>
    </row>
    <row r="96" spans="1:43">
      <c r="B96" s="33" t="s">
        <v>1492</v>
      </c>
      <c r="C96" s="356">
        <f>'International Bunker Fuels'!D24</f>
        <v>10.419607575163118</v>
      </c>
      <c r="D96" s="356">
        <f>'International Bunker Fuels'!E24</f>
        <v>12.684394114703366</v>
      </c>
      <c r="E96" s="356">
        <f>'International Bunker Fuels'!F24</f>
        <v>12.793271910227293</v>
      </c>
      <c r="F96" s="356">
        <f>'International Bunker Fuels'!G24</f>
        <v>12.825094203172098</v>
      </c>
      <c r="G96" s="356">
        <f>'International Bunker Fuels'!H24</f>
        <v>13.217735692639943</v>
      </c>
      <c r="H96" s="356">
        <f>'International Bunker Fuels'!I24</f>
        <v>13.642029797136852</v>
      </c>
      <c r="I96" s="356">
        <f>'International Bunker Fuels'!J24</f>
        <v>13.947449985341873</v>
      </c>
      <c r="J96" s="356">
        <f>'International Bunker Fuels'!K24</f>
        <v>14.887537891140736</v>
      </c>
      <c r="K96" s="356">
        <f>'International Bunker Fuels'!L24</f>
        <v>14.77749334698639</v>
      </c>
      <c r="L96" s="356">
        <f>'International Bunker Fuels'!M24</f>
        <v>15.724881186300406</v>
      </c>
      <c r="M96" s="356">
        <f>'International Bunker Fuels'!N24</f>
        <v>16.944155018690612</v>
      </c>
      <c r="N96" s="356">
        <f>'International Bunker Fuels'!O24</f>
        <v>15.407096176108972</v>
      </c>
      <c r="O96" s="356">
        <f>'International Bunker Fuels'!P24</f>
        <v>14.925228287152848</v>
      </c>
      <c r="P96" s="356">
        <f>'International Bunker Fuels'!Q24</f>
        <v>15.080203923539571</v>
      </c>
      <c r="Q96" s="356">
        <f>'International Bunker Fuels'!R24</f>
        <v>15.366044789170365</v>
      </c>
      <c r="R96" s="356">
        <f>'International Bunker Fuels'!S24</f>
        <v>16.423903739119478</v>
      </c>
      <c r="S96" s="356">
        <f>'International Bunker Fuels'!T24</f>
        <v>16.46352010644279</v>
      </c>
      <c r="T96" s="356">
        <f>'International Bunker Fuels'!U24</f>
        <v>16.792991026578935</v>
      </c>
      <c r="U96" s="356">
        <f>'International Bunker Fuels'!V24</f>
        <v>15.334248422157071</v>
      </c>
      <c r="V96" s="356">
        <f>'International Bunker Fuels'!W24</f>
        <v>14.416613453487848</v>
      </c>
      <c r="W96" s="356">
        <f>'International Bunker Fuels'!X24</f>
        <v>16.648157854226636</v>
      </c>
      <c r="X96" s="356">
        <f>'International Bunker Fuels'!Y24</f>
        <v>17.687972966540588</v>
      </c>
      <c r="Y96" s="356">
        <f>'International Bunker Fuels'!Z24</f>
        <v>17.615570975969277</v>
      </c>
      <c r="Z96" s="356">
        <f>'International Bunker Fuels'!AA24</f>
        <v>17.924839819546381</v>
      </c>
      <c r="AA96" s="356">
        <f>'International Bunker Fuels'!AB24</f>
        <v>19.003449030509682</v>
      </c>
      <c r="AB96" s="356">
        <f>'International Bunker Fuels'!AC24</f>
        <v>19.639821706598106</v>
      </c>
      <c r="AC96" s="356">
        <f>'International Bunker Fuels'!AD24</f>
        <v>20.216817133514052</v>
      </c>
      <c r="AD96" s="356">
        <f>'International Bunker Fuels'!AE24</f>
        <v>21.208266924539252</v>
      </c>
      <c r="AE96" s="356">
        <f>'International Bunker Fuels'!AF24</f>
        <v>22.623664947807743</v>
      </c>
      <c r="AF96" s="356">
        <f>'International Bunker Fuels'!AG24</f>
        <v>21.349187538831757</v>
      </c>
      <c r="AG96" s="356">
        <f>'International Bunker Fuels'!AH24</f>
        <v>10.849485054684331</v>
      </c>
      <c r="AH96" s="356">
        <f>'International Bunker Fuels'!AI24</f>
        <v>13.857718962428574</v>
      </c>
      <c r="AI96" s="356">
        <f>'International Bunker Fuels'!AJ24</f>
        <v>17.448731330793951</v>
      </c>
      <c r="AJ96" s="379">
        <f>IFERROR((AI96-AH96)/AH96,"NA")</f>
        <v>0.25913444904615451</v>
      </c>
      <c r="AK96" s="382"/>
      <c r="AL96" s="382"/>
      <c r="AM96"/>
      <c r="AN96"/>
      <c r="AO96"/>
      <c r="AP96"/>
      <c r="AQ96"/>
    </row>
    <row r="97" spans="2:47" ht="12" customHeight="1">
      <c r="B97" s="33" t="s">
        <v>1493</v>
      </c>
      <c r="C97" s="356">
        <f>'International Bunker Fuels'!D25</f>
        <v>14.657547385425922</v>
      </c>
      <c r="D97" s="356">
        <f>'International Bunker Fuels'!E25</f>
        <v>16.41487694278656</v>
      </c>
      <c r="E97" s="356">
        <f>'International Bunker Fuels'!F25</f>
        <v>13.718359828520958</v>
      </c>
      <c r="F97" s="356">
        <f>'International Bunker Fuels'!G25</f>
        <v>10.934910753771522</v>
      </c>
      <c r="G97" s="356">
        <f>'International Bunker Fuels'!H25</f>
        <v>10.741189167267843</v>
      </c>
      <c r="H97" s="356">
        <f>'International Bunker Fuels'!I25</f>
        <v>10.71536267825152</v>
      </c>
      <c r="I97" s="356">
        <f>'International Bunker Fuels'!J25</f>
        <v>10.985320961904641</v>
      </c>
      <c r="J97" s="356">
        <f>'International Bunker Fuels'!K25</f>
        <v>11.780124330782719</v>
      </c>
      <c r="K97" s="356">
        <f>'International Bunker Fuels'!L25</f>
        <v>12.181605447331842</v>
      </c>
      <c r="L97" s="356">
        <f>'International Bunker Fuels'!M25</f>
        <v>10.02966245482496</v>
      </c>
      <c r="M97" s="356">
        <f>'International Bunker Fuels'!N25</f>
        <v>9.0946465205862417</v>
      </c>
      <c r="N97" s="356">
        <f>'International Bunker Fuels'!O25</f>
        <v>8.7252335542272004</v>
      </c>
      <c r="O97" s="356">
        <f>'International Bunker Fuels'!P25</f>
        <v>9.1940046993510389</v>
      </c>
      <c r="P97" s="356">
        <f>'International Bunker Fuels'!Q25</f>
        <v>9.662775844474881</v>
      </c>
      <c r="Q97" s="356">
        <f>'International Bunker Fuels'!R25</f>
        <v>11.327530375004159</v>
      </c>
      <c r="R97" s="356">
        <f>'International Bunker Fuels'!S25</f>
        <v>11.898979073945599</v>
      </c>
      <c r="S97" s="356">
        <f>'International Bunker Fuels'!T25</f>
        <v>12.275042249850879</v>
      </c>
      <c r="T97" s="356">
        <f>'International Bunker Fuels'!U25</f>
        <v>12.442385877852161</v>
      </c>
      <c r="U97" s="356">
        <f>'International Bunker Fuels'!V25</f>
        <v>13.406415441940482</v>
      </c>
      <c r="V97" s="356">
        <f>'International Bunker Fuels'!W25</f>
        <v>12.38588594270208</v>
      </c>
      <c r="W97" s="356">
        <f>'International Bunker Fuels'!X25</f>
        <v>12.69365703276544</v>
      </c>
      <c r="X97" s="356">
        <f>'International Bunker Fuels'!Y25</f>
        <v>10.6162298899456</v>
      </c>
      <c r="Y97" s="356">
        <f>'International Bunker Fuels'!Z25</f>
        <v>9.4096696339660788</v>
      </c>
      <c r="Z97" s="356">
        <f>'International Bunker Fuels'!AA25</f>
        <v>7.7781764247496703</v>
      </c>
      <c r="AA97" s="356">
        <f>'International Bunker Fuels'!AB25</f>
        <v>7.560743866265601</v>
      </c>
      <c r="AB97" s="356">
        <f>'International Bunker Fuels'!AC25</f>
        <v>8.3322783902720001</v>
      </c>
      <c r="AC97" s="356">
        <f>'International Bunker Fuels'!AD25</f>
        <v>9.2299471061606404</v>
      </c>
      <c r="AD97" s="356">
        <f>'International Bunker Fuels'!AE25</f>
        <v>9.1202364815974413</v>
      </c>
      <c r="AE97" s="356">
        <f>'International Bunker Fuels'!AF25</f>
        <v>8.5517575803904009</v>
      </c>
      <c r="AF97" s="356">
        <f>'International Bunker Fuels'!AG25</f>
        <v>6.8859154356375551</v>
      </c>
      <c r="AG97" s="356">
        <f>'International Bunker Fuels'!AH25</f>
        <v>6.0208808864767986</v>
      </c>
      <c r="AH97" s="356">
        <f>'International Bunker Fuels'!AI25</f>
        <v>5.9862450490367998</v>
      </c>
      <c r="AI97" s="356">
        <f>'International Bunker Fuels'!AJ25</f>
        <v>6.6596165881855995</v>
      </c>
      <c r="AJ97" s="379">
        <f>IFERROR((AI97-AH97)/AH97,"NA")</f>
        <v>0.11248646415788588</v>
      </c>
      <c r="AK97" s="382"/>
      <c r="AL97" s="382"/>
      <c r="AM97"/>
      <c r="AN97"/>
      <c r="AO97"/>
      <c r="AP97"/>
      <c r="AQ97"/>
    </row>
    <row r="98" spans="2:47">
      <c r="B98" s="34" t="s">
        <v>1494</v>
      </c>
      <c r="C98" s="369">
        <f>'International Bunker Fuels'!D26</f>
        <v>3.1867181226592272</v>
      </c>
      <c r="D98" s="369">
        <f>'International Bunker Fuels'!E26</f>
        <v>3.0115820367911912</v>
      </c>
      <c r="E98" s="369">
        <f>'International Bunker Fuels'!F26</f>
        <v>2.9435361821893338</v>
      </c>
      <c r="F98" s="369">
        <f>'International Bunker Fuels'!G26</f>
        <v>2.95762603257737</v>
      </c>
      <c r="G98" s="369">
        <f>'International Bunker Fuels'!H26</f>
        <v>2.4443395070201315</v>
      </c>
      <c r="H98" s="369">
        <f>'International Bunker Fuels'!I26</f>
        <v>2.5360854668781192</v>
      </c>
      <c r="I98" s="369">
        <f>'International Bunker Fuels'!J26</f>
        <v>2.3021244471491418</v>
      </c>
      <c r="J98" s="369">
        <f>'International Bunker Fuels'!K26</f>
        <v>2.5314401628018661</v>
      </c>
      <c r="K98" s="369">
        <f>'International Bunker Fuels'!L26</f>
        <v>3.2030085016493417</v>
      </c>
      <c r="L98" s="369">
        <f>'International Bunker Fuels'!M26</f>
        <v>2.2910361838184086</v>
      </c>
      <c r="M98" s="369">
        <f>'International Bunker Fuels'!N26</f>
        <v>1.7506595838443242</v>
      </c>
      <c r="N98" s="369">
        <f>'International Bunker Fuels'!O26</f>
        <v>1.4740128389660792</v>
      </c>
      <c r="O98" s="369">
        <f>'International Bunker Fuels'!P26</f>
        <v>1.6807911329790697</v>
      </c>
      <c r="P98" s="369">
        <f>'International Bunker Fuels'!Q26</f>
        <v>2.1162426346672949</v>
      </c>
      <c r="Q98" s="369">
        <f>'International Bunker Fuels'!R26</f>
        <v>2.9272642196904686</v>
      </c>
      <c r="R98" s="369">
        <f>'International Bunker Fuels'!S26</f>
        <v>2.5847089832648358</v>
      </c>
      <c r="S98" s="369">
        <f>'International Bunker Fuels'!T26</f>
        <v>2.4255824335441654</v>
      </c>
      <c r="T98" s="369">
        <f>'International Bunker Fuels'!U26</f>
        <v>2.25447913613475</v>
      </c>
      <c r="U98" s="369">
        <f>'International Bunker Fuels'!V26</f>
        <v>2.4750364953413975</v>
      </c>
      <c r="V98" s="369">
        <f>'International Bunker Fuels'!W26</f>
        <v>2.2458624201564366</v>
      </c>
      <c r="W98" s="369">
        <f>'International Bunker Fuels'!X26</f>
        <v>2.5948356708934472</v>
      </c>
      <c r="X98" s="369">
        <f>'International Bunker Fuels'!Y26</f>
        <v>2.1719047054957574</v>
      </c>
      <c r="Y98" s="369">
        <f>'International Bunker Fuels'!Z26</f>
        <v>1.8534904251823965</v>
      </c>
      <c r="Z98" s="369">
        <f>'International Bunker Fuels'!AA26</f>
        <v>1.526162670281707</v>
      </c>
      <c r="AA98" s="369">
        <f>'International Bunker Fuels'!AB26</f>
        <v>1.6598118723470778</v>
      </c>
      <c r="AB98" s="369">
        <f>'International Bunker Fuels'!AC26</f>
        <v>2.2951633057426983</v>
      </c>
      <c r="AC98" s="369">
        <f>'International Bunker Fuels'!AD26</f>
        <v>2.3756398056811698</v>
      </c>
      <c r="AD98" s="369">
        <f>'International Bunker Fuels'!AE26</f>
        <v>2.4510398127422115</v>
      </c>
      <c r="AE98" s="369">
        <f>'International Bunker Fuels'!AF26</f>
        <v>2.7187784199927982</v>
      </c>
      <c r="AF98" s="369">
        <f>'International Bunker Fuels'!AG26</f>
        <v>2.7553169688930197</v>
      </c>
      <c r="AG98" s="369">
        <f>'International Bunker Fuels'!AH26</f>
        <v>2.1219309360588787</v>
      </c>
      <c r="AH98" s="369">
        <f>'International Bunker Fuels'!AI26</f>
        <v>2.0234036108441336</v>
      </c>
      <c r="AI98" s="369">
        <f>'International Bunker Fuels'!AJ26</f>
        <v>1.9571986377855135</v>
      </c>
      <c r="AJ98" s="1076">
        <f>IFERROR((AI98-AH98)/AH98,"NA")</f>
        <v>-3.2719608042510277E-2</v>
      </c>
      <c r="AK98" s="382"/>
      <c r="AL98" s="382"/>
      <c r="AM98"/>
      <c r="AN98"/>
      <c r="AO98"/>
      <c r="AP98"/>
      <c r="AQ98"/>
    </row>
    <row r="99" spans="2:47">
      <c r="B99" s="33"/>
      <c r="C99" s="383"/>
      <c r="D99" s="383"/>
      <c r="E99" s="383"/>
      <c r="F99" s="383"/>
      <c r="G99" s="383"/>
      <c r="H99" s="383"/>
      <c r="I99" s="383"/>
      <c r="J99" s="383"/>
      <c r="K99" s="383"/>
      <c r="L99" s="383"/>
      <c r="M99" s="680"/>
      <c r="N99" s="680"/>
      <c r="O99" s="680"/>
      <c r="P99" s="680"/>
      <c r="Q99" s="680"/>
      <c r="R99" s="680"/>
      <c r="S99" s="361"/>
      <c r="T99" s="361"/>
      <c r="U99" s="680"/>
      <c r="V99" s="680"/>
      <c r="W99" s="361"/>
      <c r="X99" s="361"/>
      <c r="Y99" s="361"/>
      <c r="Z99" s="361"/>
      <c r="AA99" s="361"/>
      <c r="AB99" s="361"/>
      <c r="AC99" s="361"/>
      <c r="AD99" s="361"/>
      <c r="AE99" s="361"/>
      <c r="AF99" s="361"/>
      <c r="AG99" s="361"/>
      <c r="AH99" s="361"/>
      <c r="AI99" s="361"/>
      <c r="AJ99" s="681"/>
      <c r="AK99" s="681"/>
      <c r="AL99" s="681"/>
      <c r="AM99"/>
      <c r="AN99"/>
      <c r="AO99"/>
      <c r="AP99"/>
      <c r="AQ99"/>
    </row>
    <row r="100" spans="2:47">
      <c r="B100" s="33"/>
      <c r="C100" s="383"/>
      <c r="D100" s="383"/>
      <c r="E100" s="383"/>
      <c r="F100" s="383"/>
      <c r="G100" s="383"/>
      <c r="H100" s="362"/>
      <c r="I100" s="362"/>
      <c r="J100" s="362"/>
      <c r="K100" s="384"/>
      <c r="L100" s="363"/>
      <c r="M100" s="363"/>
      <c r="N100" s="363"/>
      <c r="O100" s="680"/>
      <c r="P100" s="680"/>
      <c r="Q100" s="680"/>
      <c r="R100" s="680"/>
      <c r="S100" s="361"/>
      <c r="T100" s="361"/>
      <c r="U100" s="680"/>
      <c r="V100" s="680"/>
      <c r="W100" s="361"/>
      <c r="X100" s="361"/>
      <c r="Y100" s="361"/>
      <c r="Z100" s="361"/>
      <c r="AA100" s="361"/>
      <c r="AB100" s="361"/>
      <c r="AC100" s="361"/>
      <c r="AD100" s="361"/>
      <c r="AE100" s="361"/>
      <c r="AF100" s="361"/>
      <c r="AG100" s="361"/>
      <c r="AH100" s="361"/>
      <c r="AI100" s="361"/>
      <c r="AJ100" s="681"/>
      <c r="AK100" s="681"/>
      <c r="AL100" s="681"/>
      <c r="AM100"/>
      <c r="AN100"/>
      <c r="AO100"/>
      <c r="AP100"/>
      <c r="AQ100"/>
    </row>
    <row r="101" spans="2:47" ht="15">
      <c r="B101" s="5" t="s">
        <v>1502</v>
      </c>
      <c r="C101" s="361"/>
      <c r="D101" s="361"/>
      <c r="E101" s="361"/>
      <c r="F101" s="361"/>
      <c r="G101" s="361"/>
      <c r="H101" s="361"/>
      <c r="I101" s="361"/>
      <c r="J101" s="361"/>
      <c r="K101" s="361"/>
      <c r="L101" s="680"/>
      <c r="M101" s="680"/>
      <c r="N101" s="680"/>
      <c r="O101" s="680"/>
      <c r="P101" s="680"/>
      <c r="Q101" s="680"/>
      <c r="R101" s="680"/>
      <c r="S101" s="361"/>
      <c r="T101" s="361"/>
      <c r="U101" s="680"/>
      <c r="V101" s="680"/>
      <c r="W101" s="361"/>
      <c r="X101" s="361"/>
      <c r="Y101" s="361"/>
      <c r="Z101" s="361"/>
      <c r="AA101" s="361"/>
      <c r="AB101" s="361"/>
      <c r="AC101" s="361"/>
      <c r="AD101" s="361"/>
      <c r="AE101" s="361"/>
      <c r="AF101" s="361"/>
      <c r="AG101" s="361"/>
      <c r="AH101" s="361"/>
      <c r="AI101" s="361"/>
      <c r="AJ101" s="681"/>
      <c r="AK101" s="681"/>
      <c r="AL101" s="681"/>
      <c r="AM101"/>
      <c r="AN101"/>
      <c r="AO101"/>
      <c r="AP101"/>
      <c r="AQ101"/>
    </row>
    <row r="102" spans="2:47">
      <c r="B102" s="4" t="s">
        <v>1503</v>
      </c>
      <c r="C102" s="352">
        <v>1990</v>
      </c>
      <c r="D102" s="352">
        <v>1991</v>
      </c>
      <c r="E102" s="352">
        <v>1992</v>
      </c>
      <c r="F102" s="352">
        <v>1993</v>
      </c>
      <c r="G102" s="352">
        <v>1994</v>
      </c>
      <c r="H102" s="352">
        <v>1995</v>
      </c>
      <c r="I102" s="352">
        <v>1996</v>
      </c>
      <c r="J102" s="352">
        <v>1997</v>
      </c>
      <c r="K102" s="352">
        <v>1998</v>
      </c>
      <c r="L102" s="352">
        <v>1999</v>
      </c>
      <c r="M102" s="352">
        <v>2000</v>
      </c>
      <c r="N102" s="352">
        <v>2001</v>
      </c>
      <c r="O102" s="352">
        <v>2002</v>
      </c>
      <c r="P102" s="352">
        <v>2003</v>
      </c>
      <c r="Q102" s="352">
        <v>2004</v>
      </c>
      <c r="R102" s="352">
        <v>2005</v>
      </c>
      <c r="S102" s="352">
        <v>2006</v>
      </c>
      <c r="T102" s="352">
        <v>2007</v>
      </c>
      <c r="U102" s="352">
        <v>2008</v>
      </c>
      <c r="V102" s="352">
        <v>2009</v>
      </c>
      <c r="W102" s="352">
        <v>2010</v>
      </c>
      <c r="X102" s="352">
        <v>2011</v>
      </c>
      <c r="Y102" s="352">
        <v>2012</v>
      </c>
      <c r="Z102" s="352">
        <v>2013</v>
      </c>
      <c r="AA102" s="352">
        <v>2014</v>
      </c>
      <c r="AB102" s="352">
        <v>2015</v>
      </c>
      <c r="AC102" s="352">
        <v>2016</v>
      </c>
      <c r="AD102" s="352">
        <v>2017</v>
      </c>
      <c r="AE102" s="352">
        <v>2018</v>
      </c>
      <c r="AF102" s="352">
        <v>2019</v>
      </c>
      <c r="AG102" s="352">
        <v>2020</v>
      </c>
      <c r="AH102" s="352">
        <v>2021</v>
      </c>
      <c r="AI102" s="352">
        <v>2022</v>
      </c>
      <c r="AJ102" s="353" t="s">
        <v>1470</v>
      </c>
      <c r="AK102" s="353" t="s">
        <v>1472</v>
      </c>
      <c r="AL102" s="376"/>
      <c r="AM102"/>
      <c r="AN102"/>
      <c r="AO102"/>
      <c r="AP102"/>
      <c r="AQ102"/>
    </row>
    <row r="103" spans="2:47">
      <c r="B103" s="5" t="s">
        <v>1434</v>
      </c>
      <c r="C103" s="354">
        <f t="shared" ref="C103:K103" si="254">SUM(C104:C106)</f>
        <v>338.56762064987532</v>
      </c>
      <c r="D103" s="354">
        <f t="shared" si="254"/>
        <v>347.71040742046836</v>
      </c>
      <c r="E103" s="354">
        <f t="shared" si="254"/>
        <v>353.96781365995514</v>
      </c>
      <c r="F103" s="354">
        <f t="shared" si="254"/>
        <v>366.08176219068184</v>
      </c>
      <c r="G103" s="354">
        <f t="shared" si="254"/>
        <v>357.04722158190327</v>
      </c>
      <c r="H103" s="354">
        <f t="shared" si="254"/>
        <v>353.13357562814963</v>
      </c>
      <c r="I103" s="354">
        <f t="shared" si="254"/>
        <v>383.47442583247692</v>
      </c>
      <c r="J103" s="354">
        <f t="shared" si="254"/>
        <v>365.03335255680571</v>
      </c>
      <c r="K103" s="354">
        <f t="shared" si="254"/>
        <v>331.61015895804616</v>
      </c>
      <c r="L103" s="354">
        <f t="shared" ref="L103:Q103" si="255">SUM(L104:L106)</f>
        <v>350.90678356718252</v>
      </c>
      <c r="M103" s="354">
        <f t="shared" si="255"/>
        <v>371.70293408973146</v>
      </c>
      <c r="N103" s="354">
        <f t="shared" si="255"/>
        <v>363.02014712962938</v>
      </c>
      <c r="O103" s="354">
        <f t="shared" si="255"/>
        <v>361.02906078218899</v>
      </c>
      <c r="P103" s="354">
        <f t="shared" si="255"/>
        <v>380.07935625365371</v>
      </c>
      <c r="Q103" s="354">
        <f t="shared" si="255"/>
        <v>368.96978893709502</v>
      </c>
      <c r="R103" s="354">
        <f t="shared" ref="R103:W103" si="256">SUM(R104:R106)</f>
        <v>358.60930317623939</v>
      </c>
      <c r="S103" s="354">
        <f t="shared" si="256"/>
        <v>320.9820950750655</v>
      </c>
      <c r="T103" s="354">
        <f t="shared" si="256"/>
        <v>340.14662439815004</v>
      </c>
      <c r="U103" s="354">
        <f t="shared" si="256"/>
        <v>347.02060289864409</v>
      </c>
      <c r="V103" s="354">
        <f t="shared" si="256"/>
        <v>335.92770961955716</v>
      </c>
      <c r="W103" s="354">
        <f t="shared" si="256"/>
        <v>334.4953937384131</v>
      </c>
      <c r="X103" s="354">
        <f t="shared" ref="X103:AC103" si="257">SUM(X104:X106)</f>
        <v>326.33292949338357</v>
      </c>
      <c r="Y103" s="354">
        <f t="shared" si="257"/>
        <v>282.53163356617171</v>
      </c>
      <c r="Z103" s="354">
        <f t="shared" si="257"/>
        <v>329.26483655164748</v>
      </c>
      <c r="AA103" s="354">
        <f t="shared" si="257"/>
        <v>346.73389586521466</v>
      </c>
      <c r="AB103" s="354">
        <f t="shared" si="257"/>
        <v>317.61720155576893</v>
      </c>
      <c r="AC103" s="354">
        <f t="shared" si="257"/>
        <v>293.19119704544096</v>
      </c>
      <c r="AD103" s="354">
        <f>SUM(AD104:AD106)</f>
        <v>293.9655962500521</v>
      </c>
      <c r="AE103" s="354">
        <f t="shared" ref="AE103:AF103" si="258">SUM(AE104:AE106)</f>
        <v>338.93967247435245</v>
      </c>
      <c r="AF103" s="354">
        <f t="shared" si="258"/>
        <v>342.90486060752039</v>
      </c>
      <c r="AG103" s="354">
        <f>SUM(AG104:AG106)</f>
        <v>314.79502820823041</v>
      </c>
      <c r="AH103" s="354">
        <f>SUM(AH104:AH106)</f>
        <v>318.03359189887266</v>
      </c>
      <c r="AI103" s="354">
        <f>SUM(AI104:AI106)</f>
        <v>333.09983042067904</v>
      </c>
      <c r="AJ103" s="355">
        <f>IFERROR((AI103-$C103)/$C103,"NA")</f>
        <v>-1.6149773031162707E-2</v>
      </c>
      <c r="AK103" s="355">
        <f>IFERROR((AI103-AH103)/AH103,"NA")</f>
        <v>4.7373104305903316E-2</v>
      </c>
      <c r="AL103" s="355"/>
      <c r="AN103"/>
      <c r="AO103"/>
      <c r="AP103"/>
      <c r="AQ103"/>
    </row>
    <row r="104" spans="2:47">
      <c r="B104" s="6" t="s">
        <v>1435</v>
      </c>
      <c r="C104" s="356">
        <f>C8</f>
        <v>2.9876952520607118</v>
      </c>
      <c r="D104" s="356">
        <f t="shared" ref="D104:M104" si="259">D8</f>
        <v>2.4418665673276769</v>
      </c>
      <c r="E104" s="356">
        <f t="shared" si="259"/>
        <v>2.4754382193886699</v>
      </c>
      <c r="F104" s="356">
        <f t="shared" si="259"/>
        <v>2.4697527866952389</v>
      </c>
      <c r="G104" s="356">
        <f t="shared" si="259"/>
        <v>1.9941820840028137</v>
      </c>
      <c r="H104" s="356">
        <f t="shared" si="259"/>
        <v>1.6716718149582452</v>
      </c>
      <c r="I104" s="356">
        <f t="shared" si="259"/>
        <v>1.5825801930815993</v>
      </c>
      <c r="J104" s="356">
        <f t="shared" si="259"/>
        <v>1.5181715699565763</v>
      </c>
      <c r="K104" s="356">
        <f t="shared" si="259"/>
        <v>1.1032453604176209</v>
      </c>
      <c r="L104" s="356">
        <f t="shared" si="259"/>
        <v>1.3314380787302316</v>
      </c>
      <c r="M104" s="356">
        <f t="shared" si="259"/>
        <v>1.0827568764835389</v>
      </c>
      <c r="N104" s="356">
        <f t="shared" ref="N104:S104" si="260">N8</f>
        <v>1.1408450183687231</v>
      </c>
      <c r="O104" s="356">
        <f t="shared" si="260"/>
        <v>1.1660507086849294</v>
      </c>
      <c r="P104" s="356">
        <f t="shared" si="260"/>
        <v>1.1687672828281666</v>
      </c>
      <c r="Q104" s="356">
        <f t="shared" si="260"/>
        <v>1.0852533688090795</v>
      </c>
      <c r="R104" s="356">
        <f t="shared" si="260"/>
        <v>0.80525533457459764</v>
      </c>
      <c r="S104" s="356">
        <f t="shared" si="260"/>
        <v>0.61705166323197502</v>
      </c>
      <c r="T104" s="356">
        <f t="shared" ref="T104:Y104" si="261">T8</f>
        <v>0.73943487324772961</v>
      </c>
      <c r="U104" s="356">
        <f t="shared" si="261"/>
        <v>0</v>
      </c>
      <c r="V104" s="356">
        <f t="shared" si="261"/>
        <v>0</v>
      </c>
      <c r="W104" s="356">
        <f t="shared" si="261"/>
        <v>0</v>
      </c>
      <c r="X104" s="356">
        <f t="shared" si="261"/>
        <v>0</v>
      </c>
      <c r="Y104" s="356">
        <f t="shared" si="261"/>
        <v>0</v>
      </c>
      <c r="Z104" s="356">
        <f t="shared" ref="Z104:AD104" si="262">Z8</f>
        <v>0</v>
      </c>
      <c r="AA104" s="356">
        <f t="shared" si="262"/>
        <v>0</v>
      </c>
      <c r="AB104" s="356">
        <f t="shared" si="262"/>
        <v>0</v>
      </c>
      <c r="AC104" s="356">
        <f t="shared" si="262"/>
        <v>0</v>
      </c>
      <c r="AD104" s="356">
        <f t="shared" si="262"/>
        <v>0</v>
      </c>
      <c r="AE104" s="356">
        <f t="shared" ref="AE104:AF104" si="263">AE8</f>
        <v>0</v>
      </c>
      <c r="AF104" s="356">
        <f t="shared" si="263"/>
        <v>0</v>
      </c>
      <c r="AG104" s="356">
        <f>AG8</f>
        <v>0</v>
      </c>
      <c r="AH104" s="356">
        <f>AH8</f>
        <v>0</v>
      </c>
      <c r="AI104" s="356">
        <f>AI8</f>
        <v>0</v>
      </c>
      <c r="AJ104" s="357">
        <f t="shared" ref="AJ104:AJ127" si="264">IFERROR((AI104-$C104)/$C104,"NA")</f>
        <v>-1</v>
      </c>
      <c r="AK104" s="357" t="str">
        <f>IFERROR((AI104-AH104)/AH104,"NA")</f>
        <v>NA</v>
      </c>
      <c r="AL104" s="357"/>
      <c r="AN104"/>
      <c r="AO104"/>
      <c r="AP104"/>
      <c r="AQ104"/>
    </row>
    <row r="105" spans="2:47">
      <c r="B105" s="6" t="s">
        <v>1439</v>
      </c>
      <c r="C105" s="356">
        <f>C15</f>
        <v>237.79751316701928</v>
      </c>
      <c r="D105" s="356">
        <f t="shared" ref="D105:M105" si="265">D15</f>
        <v>247.3163708646733</v>
      </c>
      <c r="E105" s="356">
        <f t="shared" si="265"/>
        <v>254.59497787985759</v>
      </c>
      <c r="F105" s="356">
        <f t="shared" si="265"/>
        <v>268.22932615115491</v>
      </c>
      <c r="G105" s="356">
        <f t="shared" si="265"/>
        <v>262.94355944535857</v>
      </c>
      <c r="H105" s="356">
        <f t="shared" si="265"/>
        <v>262.76570850496319</v>
      </c>
      <c r="I105" s="356">
        <f t="shared" si="265"/>
        <v>283.99195492868381</v>
      </c>
      <c r="J105" s="356">
        <f t="shared" si="265"/>
        <v>270.12382236394063</v>
      </c>
      <c r="K105" s="356">
        <f t="shared" si="265"/>
        <v>246.13967860387044</v>
      </c>
      <c r="L105" s="356">
        <f t="shared" si="265"/>
        <v>256.37921536804282</v>
      </c>
      <c r="M105" s="356">
        <f t="shared" si="265"/>
        <v>270.80589926201588</v>
      </c>
      <c r="N105" s="356">
        <f t="shared" ref="N105:S105" si="266">N15</f>
        <v>259.1889647876601</v>
      </c>
      <c r="O105" s="356">
        <f t="shared" si="266"/>
        <v>265.05318507540636</v>
      </c>
      <c r="P105" s="356">
        <f t="shared" si="266"/>
        <v>276.17534859880868</v>
      </c>
      <c r="Q105" s="356">
        <f t="shared" si="266"/>
        <v>264.17877611421051</v>
      </c>
      <c r="R105" s="356">
        <f t="shared" si="266"/>
        <v>262.2286055672738</v>
      </c>
      <c r="S105" s="356">
        <f t="shared" si="266"/>
        <v>237.28839962332515</v>
      </c>
      <c r="T105" s="356">
        <f t="shared" ref="T105:Z105" si="267">T15</f>
        <v>256.4079028660679</v>
      </c>
      <c r="U105" s="356">
        <f t="shared" si="267"/>
        <v>265.66749545875354</v>
      </c>
      <c r="V105" s="356">
        <f t="shared" si="267"/>
        <v>259.05601805220141</v>
      </c>
      <c r="W105" s="356">
        <f t="shared" si="267"/>
        <v>258.91127602274685</v>
      </c>
      <c r="X105" s="356">
        <f t="shared" si="267"/>
        <v>255.06803132826391</v>
      </c>
      <c r="Y105" s="356">
        <f t="shared" si="267"/>
        <v>225.10147681644284</v>
      </c>
      <c r="Z105" s="356">
        <f t="shared" si="267"/>
        <v>266.35053365110366</v>
      </c>
      <c r="AA105" s="356">
        <f>AA15</f>
        <v>277.6716054191445</v>
      </c>
      <c r="AB105" s="356">
        <f>AB15</f>
        <v>252.72391355879935</v>
      </c>
      <c r="AC105" s="356">
        <f>AC15</f>
        <v>238.38223392683929</v>
      </c>
      <c r="AD105" s="356">
        <f>AD15</f>
        <v>241.48609403530835</v>
      </c>
      <c r="AE105" s="356">
        <f t="shared" ref="AE105:AF105" si="268">AE15</f>
        <v>273.81436679347121</v>
      </c>
      <c r="AF105" s="356">
        <f t="shared" si="268"/>
        <v>275.46887973202541</v>
      </c>
      <c r="AG105" s="356">
        <f t="shared" ref="AG105:AH105" si="269">AG15</f>
        <v>256.36135242960933</v>
      </c>
      <c r="AH105" s="356">
        <f t="shared" si="269"/>
        <v>258.64706539139297</v>
      </c>
      <c r="AI105" s="356">
        <f t="shared" ref="AI105" si="270">AI15</f>
        <v>271.98681887741003</v>
      </c>
      <c r="AJ105" s="357">
        <f t="shared" si="264"/>
        <v>0.14377486650324042</v>
      </c>
      <c r="AK105" s="357">
        <f>IFERROR((AI105-AH105)/AH105,"NA")</f>
        <v>5.1575120196438028E-2</v>
      </c>
      <c r="AL105" s="357"/>
      <c r="AN105" s="281">
        <f>AI105/AI103</f>
        <v>0.81653244474460385</v>
      </c>
      <c r="AO105" s="239" t="s">
        <v>1504</v>
      </c>
      <c r="AP105"/>
      <c r="AQ105"/>
    </row>
    <row r="106" spans="2:47">
      <c r="B106" s="6" t="s">
        <v>1440</v>
      </c>
      <c r="C106" s="356">
        <f>C22</f>
        <v>97.78241223079533</v>
      </c>
      <c r="D106" s="356">
        <f t="shared" ref="D106:M106" si="271">D22</f>
        <v>97.952169988467361</v>
      </c>
      <c r="E106" s="356">
        <f t="shared" si="271"/>
        <v>96.897397560708882</v>
      </c>
      <c r="F106" s="356">
        <f t="shared" si="271"/>
        <v>95.38268325283164</v>
      </c>
      <c r="G106" s="356">
        <f t="shared" si="271"/>
        <v>92.109480052541898</v>
      </c>
      <c r="H106" s="356">
        <f t="shared" si="271"/>
        <v>88.696195308228212</v>
      </c>
      <c r="I106" s="356">
        <f t="shared" si="271"/>
        <v>97.899890710711531</v>
      </c>
      <c r="J106" s="356">
        <f t="shared" si="271"/>
        <v>93.391358622908527</v>
      </c>
      <c r="K106" s="356">
        <f t="shared" si="271"/>
        <v>84.367234993758103</v>
      </c>
      <c r="L106" s="356">
        <f t="shared" si="271"/>
        <v>93.19613012040945</v>
      </c>
      <c r="M106" s="356">
        <f t="shared" si="271"/>
        <v>99.814277951232029</v>
      </c>
      <c r="N106" s="356">
        <f t="shared" ref="N106:S106" si="272">N22</f>
        <v>102.69033732360053</v>
      </c>
      <c r="O106" s="356">
        <f t="shared" si="272"/>
        <v>94.809824998097724</v>
      </c>
      <c r="P106" s="356">
        <f t="shared" si="272"/>
        <v>102.73524037201688</v>
      </c>
      <c r="Q106" s="356">
        <f t="shared" si="272"/>
        <v>103.70575945407543</v>
      </c>
      <c r="R106" s="356">
        <f t="shared" si="272"/>
        <v>95.575442274390966</v>
      </c>
      <c r="S106" s="356">
        <f t="shared" si="272"/>
        <v>83.076643788508392</v>
      </c>
      <c r="T106" s="356">
        <f t="shared" ref="T106:Z106" si="273">T22</f>
        <v>82.999286658834436</v>
      </c>
      <c r="U106" s="356">
        <f t="shared" si="273"/>
        <v>81.35310743989055</v>
      </c>
      <c r="V106" s="356">
        <f t="shared" si="273"/>
        <v>76.871691567355754</v>
      </c>
      <c r="W106" s="356">
        <f t="shared" si="273"/>
        <v>75.584117715666224</v>
      </c>
      <c r="X106" s="356">
        <f t="shared" si="273"/>
        <v>71.264898165119661</v>
      </c>
      <c r="Y106" s="356">
        <f t="shared" si="273"/>
        <v>57.430156749728859</v>
      </c>
      <c r="Z106" s="356">
        <f t="shared" si="273"/>
        <v>62.914302900543817</v>
      </c>
      <c r="AA106" s="356">
        <f>AA22</f>
        <v>69.062290446070193</v>
      </c>
      <c r="AB106" s="356">
        <f>AB22</f>
        <v>64.893287996969548</v>
      </c>
      <c r="AC106" s="356">
        <f>AC22</f>
        <v>54.808963118601646</v>
      </c>
      <c r="AD106" s="356">
        <f>AD22</f>
        <v>52.479502214743725</v>
      </c>
      <c r="AE106" s="356">
        <f t="shared" ref="AE106:AF106" si="274">AE22</f>
        <v>65.12530568088124</v>
      </c>
      <c r="AF106" s="356">
        <f t="shared" si="274"/>
        <v>67.435980875494991</v>
      </c>
      <c r="AG106" s="356">
        <f t="shared" ref="AG106:AH106" si="275">AG22</f>
        <v>58.433675778621101</v>
      </c>
      <c r="AH106" s="356">
        <f t="shared" si="275"/>
        <v>59.38652650747968</v>
      </c>
      <c r="AI106" s="356">
        <f t="shared" ref="AI106" si="276">AI22</f>
        <v>61.113011543269025</v>
      </c>
      <c r="AJ106" s="357">
        <f t="shared" si="264"/>
        <v>-0.37501018691352905</v>
      </c>
      <c r="AK106" s="357">
        <f t="shared" ref="AK106:AK128" si="277">IFERROR((AI106-AH106)/AH106,"NA")</f>
        <v>2.9071998941913126E-2</v>
      </c>
      <c r="AL106" s="357"/>
      <c r="AN106" s="150"/>
      <c r="AO106" s="150"/>
      <c r="AP106"/>
      <c r="AQ106"/>
    </row>
    <row r="107" spans="2:47">
      <c r="B107" s="5" t="s">
        <v>1441</v>
      </c>
      <c r="C107" s="354">
        <f t="shared" ref="C107:M107" si="278">SUM(C108:C110)</f>
        <v>228.29252569232682</v>
      </c>
      <c r="D107" s="354">
        <f t="shared" si="278"/>
        <v>232.6602188593333</v>
      </c>
      <c r="E107" s="354">
        <f t="shared" si="278"/>
        <v>228.03780614173755</v>
      </c>
      <c r="F107" s="354">
        <f t="shared" si="278"/>
        <v>222.98547793099596</v>
      </c>
      <c r="G107" s="354">
        <f t="shared" si="278"/>
        <v>224.69760946836189</v>
      </c>
      <c r="H107" s="354">
        <f t="shared" si="278"/>
        <v>227.78709302839189</v>
      </c>
      <c r="I107" s="354">
        <f t="shared" si="278"/>
        <v>237.55830122079288</v>
      </c>
      <c r="J107" s="354">
        <f t="shared" si="278"/>
        <v>237.81886128140263</v>
      </c>
      <c r="K107" s="354">
        <f t="shared" si="278"/>
        <v>220.11800749855348</v>
      </c>
      <c r="L107" s="354">
        <f t="shared" si="278"/>
        <v>220.7303790366158</v>
      </c>
      <c r="M107" s="354">
        <f t="shared" si="278"/>
        <v>236.53065884817806</v>
      </c>
      <c r="N107" s="354">
        <f t="shared" ref="N107:S107" si="279">SUM(N108:N110)</f>
        <v>228.4380393277641</v>
      </c>
      <c r="O107" s="354">
        <f t="shared" si="279"/>
        <v>228.9797512545434</v>
      </c>
      <c r="P107" s="354">
        <f t="shared" si="279"/>
        <v>240.11125455570209</v>
      </c>
      <c r="Q107" s="354">
        <f t="shared" si="279"/>
        <v>237.92983578981887</v>
      </c>
      <c r="R107" s="354">
        <f t="shared" si="279"/>
        <v>226.97905171661546</v>
      </c>
      <c r="S107" s="354">
        <f t="shared" si="279"/>
        <v>211.38647278247549</v>
      </c>
      <c r="T107" s="354">
        <f t="shared" ref="T107:Y107" si="280">SUM(T108:T110)</f>
        <v>222.54725889062303</v>
      </c>
      <c r="U107" s="354">
        <f t="shared" si="280"/>
        <v>227.06571744527918</v>
      </c>
      <c r="V107" s="354">
        <f t="shared" si="280"/>
        <v>227.70760129838843</v>
      </c>
      <c r="W107" s="354">
        <f t="shared" si="280"/>
        <v>224.28150233779189</v>
      </c>
      <c r="X107" s="354">
        <f t="shared" si="280"/>
        <v>224.59853530013848</v>
      </c>
      <c r="Y107" s="354">
        <f t="shared" si="280"/>
        <v>200.42911388421356</v>
      </c>
      <c r="Z107" s="354">
        <f t="shared" ref="Z107:AD107" si="281">SUM(Z108:Z110)</f>
        <v>224.32567870195237</v>
      </c>
      <c r="AA107" s="354">
        <f t="shared" si="281"/>
        <v>232.55218038119722</v>
      </c>
      <c r="AB107" s="354">
        <f t="shared" si="281"/>
        <v>244.80512423914416</v>
      </c>
      <c r="AC107" s="354">
        <f t="shared" si="281"/>
        <v>231.8607082346536</v>
      </c>
      <c r="AD107" s="354">
        <f t="shared" si="281"/>
        <v>232.4132299027589</v>
      </c>
      <c r="AE107" s="354">
        <f t="shared" ref="AE107:AF107" si="282">SUM(AE108:AE110)</f>
        <v>246.29706654436893</v>
      </c>
      <c r="AF107" s="354">
        <f t="shared" si="282"/>
        <v>251.74931449629253</v>
      </c>
      <c r="AG107" s="354">
        <f t="shared" ref="AG107:AH107" si="283">SUM(AG108:AG110)</f>
        <v>229.26371887598955</v>
      </c>
      <c r="AH107" s="354">
        <f t="shared" si="283"/>
        <v>237.52763457689494</v>
      </c>
      <c r="AI107" s="354">
        <f t="shared" ref="AI107" si="284">SUM(AI108:AI110)</f>
        <v>244.71401681716131</v>
      </c>
      <c r="AJ107" s="355">
        <f t="shared" si="264"/>
        <v>7.1931794854142417E-2</v>
      </c>
      <c r="AK107" s="355">
        <f>IFERROR((AI107-AH107)/AH107,"NA")</f>
        <v>3.0254931191763784E-2</v>
      </c>
      <c r="AL107" s="355"/>
      <c r="AN107" s="134"/>
      <c r="AO107" s="150"/>
      <c r="AP107"/>
      <c r="AQ107"/>
    </row>
    <row r="108" spans="2:47">
      <c r="B108" s="6" t="s">
        <v>1435</v>
      </c>
      <c r="C108" s="356">
        <f>C9</f>
        <v>11.950781008242847</v>
      </c>
      <c r="D108" s="356">
        <f t="shared" ref="D108:L108" si="285">D9</f>
        <v>11.123951798824036</v>
      </c>
      <c r="E108" s="356">
        <f t="shared" si="285"/>
        <v>11.2767921073171</v>
      </c>
      <c r="F108" s="356">
        <f t="shared" si="285"/>
        <v>11.251191944732801</v>
      </c>
      <c r="G108" s="356">
        <f t="shared" si="285"/>
        <v>11.300110030238828</v>
      </c>
      <c r="H108" s="356">
        <f t="shared" si="285"/>
        <v>11.187393726740217</v>
      </c>
      <c r="I108" s="356">
        <f t="shared" si="285"/>
        <v>11.605301798192992</v>
      </c>
      <c r="J108" s="356">
        <f t="shared" si="285"/>
        <v>12.283500350691053</v>
      </c>
      <c r="K108" s="356">
        <f t="shared" si="285"/>
        <v>8.9264663574628376</v>
      </c>
      <c r="L108" s="356">
        <f t="shared" si="285"/>
        <v>9.7635618041440733</v>
      </c>
      <c r="M108" s="356">
        <f t="shared" ref="M108:R108" si="286">M9</f>
        <v>8.7603401271750982</v>
      </c>
      <c r="N108" s="356">
        <f t="shared" si="286"/>
        <v>9.2306379407867158</v>
      </c>
      <c r="O108" s="356">
        <f t="shared" si="286"/>
        <v>8.5511654681646281</v>
      </c>
      <c r="P108" s="356">
        <f t="shared" si="286"/>
        <v>7.8219705072625967</v>
      </c>
      <c r="Q108" s="356">
        <f t="shared" si="286"/>
        <v>9.7670904901110305</v>
      </c>
      <c r="R108" s="356">
        <f t="shared" si="286"/>
        <v>9.2601022167636504</v>
      </c>
      <c r="S108" s="356">
        <f t="shared" ref="S108:X108" si="287">S9</f>
        <v>6.2387890463696039</v>
      </c>
      <c r="T108" s="356">
        <f t="shared" si="287"/>
        <v>6.6546288033802021</v>
      </c>
      <c r="U108" s="356">
        <f t="shared" si="287"/>
        <v>7.6116885807047296</v>
      </c>
      <c r="V108" s="356">
        <f t="shared" si="287"/>
        <v>6.9212944879527454</v>
      </c>
      <c r="W108" s="356">
        <f t="shared" si="287"/>
        <v>6.5764502150490669</v>
      </c>
      <c r="X108" s="356">
        <f t="shared" si="287"/>
        <v>5.8411054745380699</v>
      </c>
      <c r="Y108" s="356">
        <f t="shared" ref="Y108:AD108" si="288">Y9</f>
        <v>4.1332779377363469</v>
      </c>
      <c r="Z108" s="356">
        <f t="shared" si="288"/>
        <v>3.9349591086762437</v>
      </c>
      <c r="AA108" s="356">
        <f t="shared" si="288"/>
        <v>3.815747352827314</v>
      </c>
      <c r="AB108" s="356">
        <f t="shared" si="288"/>
        <v>2.9645721255676034</v>
      </c>
      <c r="AC108" s="356">
        <f t="shared" si="288"/>
        <v>2.2649918397973812</v>
      </c>
      <c r="AD108" s="356">
        <f t="shared" si="288"/>
        <v>1.9759169500269727</v>
      </c>
      <c r="AE108" s="356">
        <f t="shared" ref="AE108:AF108" si="289">AE9</f>
        <v>1.7911940979329957</v>
      </c>
      <c r="AF108" s="356">
        <f t="shared" si="289"/>
        <v>1.6000991942164422</v>
      </c>
      <c r="AG108" s="356">
        <f t="shared" ref="AG108:AH108" si="290">AG9</f>
        <v>1.3945916740834434</v>
      </c>
      <c r="AH108" s="356">
        <f t="shared" si="290"/>
        <v>1.4304169328982714</v>
      </c>
      <c r="AI108" s="356">
        <f t="shared" ref="AI108" si="291">AI9</f>
        <v>1.3881296839221755</v>
      </c>
      <c r="AJ108" s="357">
        <f t="shared" si="264"/>
        <v>-0.88384611156670545</v>
      </c>
      <c r="AK108" s="357">
        <f t="shared" si="277"/>
        <v>-2.9562883382829273E-2</v>
      </c>
      <c r="AL108" s="357"/>
      <c r="AN108" s="150"/>
      <c r="AO108" s="150"/>
      <c r="AP108"/>
      <c r="AQ108"/>
    </row>
    <row r="109" spans="2:47">
      <c r="B109" s="6" t="s">
        <v>1439</v>
      </c>
      <c r="C109" s="356">
        <f>C16</f>
        <v>142.02473544607753</v>
      </c>
      <c r="D109" s="356">
        <f t="shared" ref="D109:L109" si="292">D16</f>
        <v>148.12843320995771</v>
      </c>
      <c r="E109" s="356">
        <f t="shared" si="292"/>
        <v>152.1442839987414</v>
      </c>
      <c r="F109" s="356">
        <f t="shared" si="292"/>
        <v>154.86031096580882</v>
      </c>
      <c r="G109" s="356">
        <f t="shared" si="292"/>
        <v>157.02801444190189</v>
      </c>
      <c r="H109" s="356">
        <f t="shared" si="292"/>
        <v>164.20845936813723</v>
      </c>
      <c r="I109" s="356">
        <f t="shared" si="292"/>
        <v>171.12093873822886</v>
      </c>
      <c r="J109" s="356">
        <f t="shared" si="292"/>
        <v>174.25040454967009</v>
      </c>
      <c r="K109" s="356">
        <f t="shared" si="292"/>
        <v>163.32937279129024</v>
      </c>
      <c r="L109" s="356">
        <f t="shared" si="292"/>
        <v>165.18012136905648</v>
      </c>
      <c r="M109" s="356">
        <f t="shared" ref="M109:R109" si="293">M16</f>
        <v>172.49806642837646</v>
      </c>
      <c r="N109" s="356">
        <f t="shared" si="293"/>
        <v>164.19987233758553</v>
      </c>
      <c r="O109" s="356">
        <f t="shared" si="293"/>
        <v>170.46500850943963</v>
      </c>
      <c r="P109" s="356">
        <f t="shared" si="293"/>
        <v>172.87591133833368</v>
      </c>
      <c r="Q109" s="356">
        <f t="shared" si="293"/>
        <v>169.77666283715638</v>
      </c>
      <c r="R109" s="356">
        <f t="shared" si="293"/>
        <v>162.92508508024997</v>
      </c>
      <c r="S109" s="356">
        <f t="shared" ref="S109:X109" si="294">S16</f>
        <v>153.83155669866855</v>
      </c>
      <c r="T109" s="356">
        <f t="shared" si="294"/>
        <v>163.59043097479622</v>
      </c>
      <c r="U109" s="356">
        <f t="shared" si="294"/>
        <v>171.19325427303346</v>
      </c>
      <c r="V109" s="356">
        <f t="shared" si="294"/>
        <v>169.05333172555467</v>
      </c>
      <c r="W109" s="356">
        <f t="shared" si="294"/>
        <v>167.96887548912161</v>
      </c>
      <c r="X109" s="356">
        <f t="shared" si="294"/>
        <v>170.73801795221382</v>
      </c>
      <c r="Y109" s="356">
        <f t="shared" ref="Y109:AD109" si="295">Y16</f>
        <v>157.04279460910288</v>
      </c>
      <c r="Z109" s="356">
        <f t="shared" si="295"/>
        <v>179.21960261143067</v>
      </c>
      <c r="AA109" s="356">
        <f t="shared" si="295"/>
        <v>189.18938777422409</v>
      </c>
      <c r="AB109" s="356">
        <f t="shared" si="295"/>
        <v>175.4117517978259</v>
      </c>
      <c r="AC109" s="356">
        <f t="shared" si="295"/>
        <v>170.54056544370894</v>
      </c>
      <c r="AD109" s="356">
        <f t="shared" si="295"/>
        <v>173.19011617374824</v>
      </c>
      <c r="AE109" s="356">
        <f t="shared" ref="AE109:AF109" si="296">AE16</f>
        <v>192.5283840865653</v>
      </c>
      <c r="AF109" s="356">
        <f t="shared" si="296"/>
        <v>192.91620874877498</v>
      </c>
      <c r="AG109" s="356">
        <f t="shared" ref="AG109:AH109" si="297">AG16</f>
        <v>173.45008271834308</v>
      </c>
      <c r="AH109" s="356">
        <f t="shared" si="297"/>
        <v>180.36282488864072</v>
      </c>
      <c r="AI109" s="356">
        <f t="shared" ref="AI109" si="298">AI16</f>
        <v>192.26242231258678</v>
      </c>
      <c r="AJ109" s="357">
        <f t="shared" si="264"/>
        <v>0.35372491072573037</v>
      </c>
      <c r="AK109" s="357">
        <f t="shared" si="277"/>
        <v>6.5975887388618412E-2</v>
      </c>
      <c r="AL109" s="357"/>
      <c r="AN109" s="281">
        <f>AI109/AI107</f>
        <v>0.78566166668023818</v>
      </c>
      <c r="AO109" s="239" t="s">
        <v>1505</v>
      </c>
      <c r="AQ109"/>
    </row>
    <row r="110" spans="2:47">
      <c r="B110" s="6" t="s">
        <v>1440</v>
      </c>
      <c r="C110" s="356">
        <f>C23</f>
        <v>74.317009238006435</v>
      </c>
      <c r="D110" s="356">
        <f t="shared" ref="D110:L110" si="299">D23</f>
        <v>73.407833850551555</v>
      </c>
      <c r="E110" s="356">
        <f t="shared" si="299"/>
        <v>64.616730035679041</v>
      </c>
      <c r="F110" s="356">
        <f t="shared" si="299"/>
        <v>56.873975020454345</v>
      </c>
      <c r="G110" s="356">
        <f t="shared" si="299"/>
        <v>56.369484996221161</v>
      </c>
      <c r="H110" s="356">
        <f t="shared" si="299"/>
        <v>52.391239933514434</v>
      </c>
      <c r="I110" s="356">
        <f t="shared" si="299"/>
        <v>54.832060684371058</v>
      </c>
      <c r="J110" s="356">
        <f t="shared" si="299"/>
        <v>51.284956381041496</v>
      </c>
      <c r="K110" s="356">
        <f t="shared" si="299"/>
        <v>47.862168349800406</v>
      </c>
      <c r="L110" s="356">
        <f t="shared" si="299"/>
        <v>45.78669586341524</v>
      </c>
      <c r="M110" s="356">
        <f t="shared" ref="M110:R110" si="300">M23</f>
        <v>55.272252292626497</v>
      </c>
      <c r="N110" s="356">
        <f t="shared" si="300"/>
        <v>55.007529049391842</v>
      </c>
      <c r="O110" s="356">
        <f t="shared" si="300"/>
        <v>49.963577276939134</v>
      </c>
      <c r="P110" s="356">
        <f t="shared" si="300"/>
        <v>59.413372710105818</v>
      </c>
      <c r="Q110" s="356">
        <f t="shared" si="300"/>
        <v>58.386082462551457</v>
      </c>
      <c r="R110" s="356">
        <f t="shared" si="300"/>
        <v>54.793864419601839</v>
      </c>
      <c r="S110" s="356">
        <f t="shared" ref="S110:X110" si="301">S23</f>
        <v>51.31612703743734</v>
      </c>
      <c r="T110" s="356">
        <f t="shared" si="301"/>
        <v>52.302199112446594</v>
      </c>
      <c r="U110" s="356">
        <f t="shared" si="301"/>
        <v>48.260774591540994</v>
      </c>
      <c r="V110" s="356">
        <f t="shared" si="301"/>
        <v>51.732975084881019</v>
      </c>
      <c r="W110" s="356">
        <f t="shared" si="301"/>
        <v>49.736176633621213</v>
      </c>
      <c r="X110" s="356">
        <f t="shared" si="301"/>
        <v>48.019411873386588</v>
      </c>
      <c r="Y110" s="356">
        <f t="shared" ref="Y110:AD110" si="302">Y23</f>
        <v>39.253041337374341</v>
      </c>
      <c r="Z110" s="356">
        <f t="shared" si="302"/>
        <v>41.171116981845458</v>
      </c>
      <c r="AA110" s="356">
        <f t="shared" si="302"/>
        <v>39.547045254145807</v>
      </c>
      <c r="AB110" s="356">
        <f t="shared" si="302"/>
        <v>66.428800315750649</v>
      </c>
      <c r="AC110" s="356">
        <f t="shared" si="302"/>
        <v>59.055150951147297</v>
      </c>
      <c r="AD110" s="356">
        <f t="shared" si="302"/>
        <v>57.247196778983692</v>
      </c>
      <c r="AE110" s="356">
        <f t="shared" ref="AE110:AF110" si="303">AE23</f>
        <v>51.977488359870641</v>
      </c>
      <c r="AF110" s="356">
        <f t="shared" si="303"/>
        <v>57.233006553301081</v>
      </c>
      <c r="AG110" s="356">
        <f t="shared" ref="AG110:AH110" si="304">AG23</f>
        <v>54.41904448356302</v>
      </c>
      <c r="AH110" s="356">
        <f t="shared" si="304"/>
        <v>55.734392755355948</v>
      </c>
      <c r="AI110" s="356">
        <f t="shared" ref="AI110" si="305">AI23</f>
        <v>51.063464820652335</v>
      </c>
      <c r="AJ110" s="357">
        <f t="shared" si="264"/>
        <v>-0.31289666599583793</v>
      </c>
      <c r="AK110" s="357">
        <f t="shared" si="277"/>
        <v>-8.3806922508449636E-2</v>
      </c>
      <c r="AL110" s="357"/>
      <c r="AN110"/>
      <c r="AO110"/>
      <c r="AP110"/>
      <c r="AQ110"/>
      <c r="AR110"/>
      <c r="AS110"/>
      <c r="AT110"/>
      <c r="AU110"/>
    </row>
    <row r="111" spans="2:47">
      <c r="B111" s="5" t="s">
        <v>1443</v>
      </c>
      <c r="C111" s="354">
        <f t="shared" ref="C111:M111" si="306">SUM(C112:C114)</f>
        <v>871.14798773588757</v>
      </c>
      <c r="D111" s="354">
        <f t="shared" si="306"/>
        <v>861.01770686221812</v>
      </c>
      <c r="E111" s="354">
        <f t="shared" si="306"/>
        <v>880.61332866268185</v>
      </c>
      <c r="F111" s="354">
        <f t="shared" si="306"/>
        <v>882.63934907005455</v>
      </c>
      <c r="G111" s="354">
        <f t="shared" si="306"/>
        <v>880.59953483440188</v>
      </c>
      <c r="H111" s="354">
        <f t="shared" si="306"/>
        <v>900.66985857084114</v>
      </c>
      <c r="I111" s="354">
        <f t="shared" si="306"/>
        <v>917.45530156632162</v>
      </c>
      <c r="J111" s="354">
        <f t="shared" si="306"/>
        <v>912.28259273862545</v>
      </c>
      <c r="K111" s="354">
        <f t="shared" si="306"/>
        <v>902.65399739323789</v>
      </c>
      <c r="L111" s="354">
        <f t="shared" si="306"/>
        <v>851.04608197834489</v>
      </c>
      <c r="M111" s="354">
        <f t="shared" si="306"/>
        <v>886.9343082673322</v>
      </c>
      <c r="N111" s="354">
        <f t="shared" ref="N111:S111" si="307">SUM(N112:N114)</f>
        <v>863.28882117831472</v>
      </c>
      <c r="O111" s="354">
        <f t="shared" si="307"/>
        <v>854.77909108294148</v>
      </c>
      <c r="P111" s="354">
        <f t="shared" si="307"/>
        <v>848.1963217207458</v>
      </c>
      <c r="Q111" s="354">
        <f t="shared" si="307"/>
        <v>873.38026486413344</v>
      </c>
      <c r="R111" s="354">
        <f t="shared" si="307"/>
        <v>843.50269432319647</v>
      </c>
      <c r="S111" s="354">
        <f t="shared" si="307"/>
        <v>863.78198645591374</v>
      </c>
      <c r="T111" s="354">
        <f t="shared" ref="T111:Y111" si="308">SUM(T112:T114)</f>
        <v>853.64893767801323</v>
      </c>
      <c r="U111" s="354">
        <f t="shared" si="308"/>
        <v>816.29570806618426</v>
      </c>
      <c r="V111" s="354">
        <f t="shared" si="308"/>
        <v>743.09207015314723</v>
      </c>
      <c r="W111" s="354">
        <f t="shared" si="308"/>
        <v>788.03787367775101</v>
      </c>
      <c r="X111" s="354">
        <f t="shared" si="308"/>
        <v>791.10599449061897</v>
      </c>
      <c r="Y111" s="354">
        <f t="shared" si="308"/>
        <v>799.27427390614753</v>
      </c>
      <c r="Z111" s="354">
        <f t="shared" ref="Z111:AD111" si="309">SUM(Z112:Z114)</f>
        <v>830.13485745036496</v>
      </c>
      <c r="AA111" s="354">
        <f t="shared" si="309"/>
        <v>817.04913278609956</v>
      </c>
      <c r="AB111" s="354">
        <f t="shared" si="309"/>
        <v>794.35753123025074</v>
      </c>
      <c r="AC111" s="354">
        <f t="shared" si="309"/>
        <v>789.33508463540647</v>
      </c>
      <c r="AD111" s="354">
        <f t="shared" si="309"/>
        <v>778.82500968816032</v>
      </c>
      <c r="AE111" s="354">
        <f t="shared" ref="AE111:AF111" si="310">SUM(AE112:AE114)</f>
        <v>805.21388172793172</v>
      </c>
      <c r="AF111" s="354">
        <f t="shared" si="310"/>
        <v>798.12532100200428</v>
      </c>
      <c r="AG111" s="354">
        <f t="shared" ref="AG111:AH111" si="311">SUM(AG112:AG114)</f>
        <v>749.5177051610093</v>
      </c>
      <c r="AH111" s="354">
        <f t="shared" si="311"/>
        <v>768.83330400406851</v>
      </c>
      <c r="AI111" s="354">
        <f t="shared" ref="AI111" si="312">SUM(AI112:AI114)</f>
        <v>775.85903359367535</v>
      </c>
      <c r="AJ111" s="355">
        <f t="shared" si="264"/>
        <v>-0.10938319950651333</v>
      </c>
      <c r="AK111" s="355">
        <f t="shared" si="277"/>
        <v>9.1381702028475887E-3</v>
      </c>
      <c r="AL111" s="355"/>
      <c r="AN111" s="134"/>
      <c r="AQ111"/>
      <c r="AR111"/>
      <c r="AS111"/>
      <c r="AT111"/>
      <c r="AU111"/>
    </row>
    <row r="112" spans="2:47">
      <c r="B112" s="6" t="s">
        <v>1435</v>
      </c>
      <c r="C112" s="356">
        <f>C10</f>
        <v>157.83904177851264</v>
      </c>
      <c r="D112" s="356">
        <f t="shared" ref="D112:L112" si="313">D10</f>
        <v>154.63821661006179</v>
      </c>
      <c r="E112" s="356">
        <f t="shared" si="313"/>
        <v>150.2749647363666</v>
      </c>
      <c r="F112" s="356">
        <f t="shared" si="313"/>
        <v>152.54778954502495</v>
      </c>
      <c r="G112" s="356">
        <f t="shared" si="313"/>
        <v>153.46902592244419</v>
      </c>
      <c r="H112" s="356">
        <f t="shared" si="313"/>
        <v>147.21568642995061</v>
      </c>
      <c r="I112" s="356">
        <f t="shared" si="313"/>
        <v>140.08937876434783</v>
      </c>
      <c r="J112" s="356">
        <f t="shared" si="313"/>
        <v>140.23965311448606</v>
      </c>
      <c r="K112" s="356">
        <f t="shared" si="313"/>
        <v>141.75560347689387</v>
      </c>
      <c r="L112" s="356">
        <f t="shared" si="313"/>
        <v>132.48068946628473</v>
      </c>
      <c r="M112" s="356">
        <f t="shared" ref="M112:R112" si="314">M10</f>
        <v>128.48390763754276</v>
      </c>
      <c r="N112" s="356">
        <f t="shared" si="314"/>
        <v>130.18161126003045</v>
      </c>
      <c r="O112" s="356">
        <f t="shared" si="314"/>
        <v>119.05774285576179</v>
      </c>
      <c r="P112" s="356">
        <f t="shared" si="314"/>
        <v>119.43854006261547</v>
      </c>
      <c r="Q112" s="356">
        <f t="shared" si="314"/>
        <v>120.43424047781994</v>
      </c>
      <c r="R112" s="356">
        <f t="shared" si="314"/>
        <v>117.84136322777762</v>
      </c>
      <c r="S112" s="356">
        <f t="shared" ref="S112:X112" si="315">S10</f>
        <v>115.57937880961637</v>
      </c>
      <c r="T112" s="356">
        <f t="shared" si="315"/>
        <v>110.7742334657229</v>
      </c>
      <c r="U112" s="356">
        <f t="shared" si="315"/>
        <v>106.0748691930491</v>
      </c>
      <c r="V112" s="356">
        <f t="shared" si="315"/>
        <v>87.066994880340218</v>
      </c>
      <c r="W112" s="356">
        <f t="shared" si="315"/>
        <v>94.164426530393271</v>
      </c>
      <c r="X112" s="356">
        <f t="shared" si="315"/>
        <v>85.953690906971573</v>
      </c>
      <c r="Y112" s="356">
        <f t="shared" ref="Y112:AD112" si="316">Y10</f>
        <v>78.224309760947136</v>
      </c>
      <c r="Z112" s="356">
        <f t="shared" si="316"/>
        <v>79.543821123315311</v>
      </c>
      <c r="AA112" s="356">
        <f t="shared" si="316"/>
        <v>79.242788637601819</v>
      </c>
      <c r="AB112" s="356">
        <f t="shared" si="316"/>
        <v>69.970403927797904</v>
      </c>
      <c r="AC112" s="356">
        <f t="shared" si="316"/>
        <v>63.150304482426023</v>
      </c>
      <c r="AD112" s="356">
        <f t="shared" si="316"/>
        <v>58.672866160806755</v>
      </c>
      <c r="AE112" s="356">
        <f t="shared" ref="AE112:AF112" si="317">AE10</f>
        <v>54.41675515263988</v>
      </c>
      <c r="AF112" s="356">
        <f t="shared" si="317"/>
        <v>49.458189949163135</v>
      </c>
      <c r="AG112" s="356">
        <f t="shared" ref="AG112:AH112" si="318">AG10</f>
        <v>42.966294417900514</v>
      </c>
      <c r="AH112" s="356">
        <f t="shared" si="318"/>
        <v>43.026401331772739</v>
      </c>
      <c r="AI112" s="356">
        <f t="shared" ref="AI112" si="319">AI10</f>
        <v>42.659992596041015</v>
      </c>
      <c r="AJ112" s="357">
        <f t="shared" si="264"/>
        <v>-0.72972471122890137</v>
      </c>
      <c r="AK112" s="357">
        <f t="shared" si="277"/>
        <v>-8.5159047559283246E-3</v>
      </c>
      <c r="AL112" s="357"/>
      <c r="AQ112"/>
      <c r="AR112"/>
      <c r="AS112"/>
      <c r="AT112"/>
      <c r="AU112"/>
    </row>
    <row r="113" spans="2:47">
      <c r="B113" s="6" t="s">
        <v>1439</v>
      </c>
      <c r="C113" s="356">
        <f>C17</f>
        <v>407.44057591552206</v>
      </c>
      <c r="D113" s="356">
        <f t="shared" ref="D113:L113" si="320">D17</f>
        <v>413.59445395561858</v>
      </c>
      <c r="E113" s="356">
        <f t="shared" si="320"/>
        <v>429.30737763379256</v>
      </c>
      <c r="F113" s="356">
        <f t="shared" si="320"/>
        <v>436.98219553873059</v>
      </c>
      <c r="G113" s="356">
        <f t="shared" si="320"/>
        <v>438.20865393150382</v>
      </c>
      <c r="H113" s="356">
        <f t="shared" si="320"/>
        <v>461.4680033053877</v>
      </c>
      <c r="I113" s="356">
        <f t="shared" si="320"/>
        <v>477.22704593798659</v>
      </c>
      <c r="J113" s="356">
        <f t="shared" si="320"/>
        <v>477.88613017996011</v>
      </c>
      <c r="K113" s="356">
        <f t="shared" si="320"/>
        <v>466.22857939809182</v>
      </c>
      <c r="L113" s="356">
        <f t="shared" si="320"/>
        <v>445.62145311258905</v>
      </c>
      <c r="M113" s="356">
        <f t="shared" ref="M113:R113" si="321">M17</f>
        <v>458.18470970362125</v>
      </c>
      <c r="N113" s="356">
        <f t="shared" si="321"/>
        <v>420.60012891527748</v>
      </c>
      <c r="O113" s="356">
        <f t="shared" si="321"/>
        <v>428.10994471518688</v>
      </c>
      <c r="P113" s="356">
        <f t="shared" si="321"/>
        <v>415.08604298191261</v>
      </c>
      <c r="Q113" s="356">
        <f t="shared" si="321"/>
        <v>418.88608808286688</v>
      </c>
      <c r="R113" s="356">
        <f t="shared" si="321"/>
        <v>387.78439069369989</v>
      </c>
      <c r="S113" s="356">
        <f t="shared" ref="S113:X113" si="322">S17</f>
        <v>387.43556914859869</v>
      </c>
      <c r="T113" s="356">
        <f t="shared" si="322"/>
        <v>396.96908687881142</v>
      </c>
      <c r="U113" s="356">
        <f t="shared" si="322"/>
        <v>398.65113463252698</v>
      </c>
      <c r="V113" s="356">
        <f t="shared" si="322"/>
        <v>374.19964007784171</v>
      </c>
      <c r="W113" s="356">
        <f t="shared" si="322"/>
        <v>407.08948538432492</v>
      </c>
      <c r="X113" s="356">
        <f t="shared" si="322"/>
        <v>417.16969084127084</v>
      </c>
      <c r="Y113" s="356">
        <f t="shared" ref="Y113:AD113" si="323">Y17</f>
        <v>433.87411357806093</v>
      </c>
      <c r="Z113" s="356">
        <f t="shared" si="323"/>
        <v>450.93611572282049</v>
      </c>
      <c r="AA113" s="356">
        <f t="shared" si="323"/>
        <v>465.9360743641227</v>
      </c>
      <c r="AB113" s="356">
        <f t="shared" si="323"/>
        <v>459.64627978150747</v>
      </c>
      <c r="AC113" s="356">
        <f t="shared" si="323"/>
        <v>463.98257891833475</v>
      </c>
      <c r="AD113" s="356">
        <f t="shared" si="323"/>
        <v>468.13315809622293</v>
      </c>
      <c r="AE113" s="356">
        <f t="shared" ref="AE113:AF113" si="324">AE17</f>
        <v>493.46897972996544</v>
      </c>
      <c r="AF113" s="356">
        <f t="shared" si="324"/>
        <v>501.50851576791644</v>
      </c>
      <c r="AG113" s="356">
        <f t="shared" ref="AG113:AH113" si="325">AG17</f>
        <v>489.71696452157283</v>
      </c>
      <c r="AH113" s="356">
        <f t="shared" si="325"/>
        <v>501.1666660948701</v>
      </c>
      <c r="AI113" s="356">
        <f t="shared" ref="AI113" si="326">AI17</f>
        <v>511.44589460637036</v>
      </c>
      <c r="AJ113" s="357">
        <f t="shared" si="264"/>
        <v>0.25526500019578946</v>
      </c>
      <c r="AK113" s="357">
        <f t="shared" si="277"/>
        <v>2.0510598982164591E-2</v>
      </c>
      <c r="AL113" s="357"/>
      <c r="AQ113"/>
      <c r="AR113"/>
      <c r="AS113"/>
      <c r="AT113"/>
      <c r="AU113"/>
    </row>
    <row r="114" spans="2:47">
      <c r="B114" s="6" t="s">
        <v>1440</v>
      </c>
      <c r="C114" s="356">
        <f>C24</f>
        <v>305.86837004185293</v>
      </c>
      <c r="D114" s="356">
        <f t="shared" ref="D114:L114" si="327">D24</f>
        <v>292.78503629653778</v>
      </c>
      <c r="E114" s="356">
        <f t="shared" si="327"/>
        <v>301.0309862925227</v>
      </c>
      <c r="F114" s="356">
        <f t="shared" si="327"/>
        <v>293.109363986299</v>
      </c>
      <c r="G114" s="356">
        <f t="shared" si="327"/>
        <v>288.92185498045387</v>
      </c>
      <c r="H114" s="356">
        <f t="shared" si="327"/>
        <v>291.98616883550289</v>
      </c>
      <c r="I114" s="356">
        <f t="shared" si="327"/>
        <v>300.13887686398715</v>
      </c>
      <c r="J114" s="356">
        <f t="shared" si="327"/>
        <v>294.15680944417926</v>
      </c>
      <c r="K114" s="356">
        <f t="shared" si="327"/>
        <v>294.66981451825228</v>
      </c>
      <c r="L114" s="356">
        <f t="shared" si="327"/>
        <v>272.94393939947111</v>
      </c>
      <c r="M114" s="356">
        <f t="shared" ref="M114:R114" si="328">M24</f>
        <v>300.26569092616825</v>
      </c>
      <c r="N114" s="356">
        <f t="shared" si="328"/>
        <v>312.50708100300676</v>
      </c>
      <c r="O114" s="356">
        <f t="shared" si="328"/>
        <v>307.61140351199276</v>
      </c>
      <c r="P114" s="356">
        <f t="shared" si="328"/>
        <v>313.67173867621773</v>
      </c>
      <c r="Q114" s="356">
        <f t="shared" si="328"/>
        <v>334.05993630344665</v>
      </c>
      <c r="R114" s="356">
        <f t="shared" si="328"/>
        <v>337.87694040171903</v>
      </c>
      <c r="S114" s="356">
        <f t="shared" ref="S114:X114" si="329">S24</f>
        <v>360.76703849769871</v>
      </c>
      <c r="T114" s="356">
        <f t="shared" si="329"/>
        <v>345.90561733347892</v>
      </c>
      <c r="U114" s="356">
        <f t="shared" si="329"/>
        <v>311.56970424060825</v>
      </c>
      <c r="V114" s="356">
        <f t="shared" si="329"/>
        <v>281.82543519496528</v>
      </c>
      <c r="W114" s="356">
        <f t="shared" si="329"/>
        <v>286.78396176303283</v>
      </c>
      <c r="X114" s="356">
        <f t="shared" si="329"/>
        <v>287.98261274237649</v>
      </c>
      <c r="Y114" s="356">
        <f t="shared" ref="Y114:AD114" si="330">Y24</f>
        <v>287.17585056713943</v>
      </c>
      <c r="Z114" s="356">
        <f t="shared" si="330"/>
        <v>299.65492060422906</v>
      </c>
      <c r="AA114" s="356">
        <f t="shared" si="330"/>
        <v>271.87026978437501</v>
      </c>
      <c r="AB114" s="356">
        <f t="shared" si="330"/>
        <v>264.74084752094535</v>
      </c>
      <c r="AC114" s="356">
        <f t="shared" si="330"/>
        <v>262.20220123464566</v>
      </c>
      <c r="AD114" s="356">
        <f t="shared" si="330"/>
        <v>252.01898543113069</v>
      </c>
      <c r="AE114" s="356">
        <f t="shared" ref="AE114:AF114" si="331">AE24</f>
        <v>257.32814684532644</v>
      </c>
      <c r="AF114" s="356">
        <f t="shared" si="331"/>
        <v>247.15861528492468</v>
      </c>
      <c r="AG114" s="356">
        <f t="shared" ref="AG114:AH114" si="332">AG24</f>
        <v>216.83444622153593</v>
      </c>
      <c r="AH114" s="356">
        <f t="shared" si="332"/>
        <v>224.64023657742564</v>
      </c>
      <c r="AI114" s="356">
        <f t="shared" ref="AI114" si="333">AI24</f>
        <v>221.75314639126401</v>
      </c>
      <c r="AJ114" s="357">
        <f t="shared" si="264"/>
        <v>-0.27500464869603602</v>
      </c>
      <c r="AK114" s="357">
        <f t="shared" si="277"/>
        <v>-1.2852061723886895E-2</v>
      </c>
      <c r="AL114" s="357"/>
      <c r="AQ114"/>
      <c r="AR114"/>
      <c r="AS114"/>
      <c r="AT114"/>
      <c r="AU114"/>
    </row>
    <row r="115" spans="2:47">
      <c r="B115" s="5" t="s">
        <v>1445</v>
      </c>
      <c r="C115" s="354">
        <f t="shared" ref="C115:M115" si="334">SUM(C116:C118)</f>
        <v>1468.9438941173537</v>
      </c>
      <c r="D115" s="354">
        <f t="shared" si="334"/>
        <v>1422.3274046383631</v>
      </c>
      <c r="E115" s="354">
        <f t="shared" si="334"/>
        <v>1477.6434261606043</v>
      </c>
      <c r="F115" s="354">
        <f t="shared" si="334"/>
        <v>1508.6070344452598</v>
      </c>
      <c r="G115" s="354">
        <f t="shared" si="334"/>
        <v>1553.9473535757436</v>
      </c>
      <c r="H115" s="354">
        <f t="shared" si="334"/>
        <v>1580.6778576891738</v>
      </c>
      <c r="I115" s="354">
        <f t="shared" si="334"/>
        <v>1627.3631051220618</v>
      </c>
      <c r="J115" s="354">
        <f t="shared" si="334"/>
        <v>1643.5155537383682</v>
      </c>
      <c r="K115" s="354">
        <f t="shared" si="334"/>
        <v>1678.920337578081</v>
      </c>
      <c r="L115" s="354">
        <f t="shared" si="334"/>
        <v>1746.3443236253372</v>
      </c>
      <c r="M115" s="354">
        <f t="shared" si="334"/>
        <v>1792.2018918567805</v>
      </c>
      <c r="N115" s="354">
        <f t="shared" ref="N115:S115" si="335">SUM(N116:N118)</f>
        <v>1762.4640682225681</v>
      </c>
      <c r="O115" s="354">
        <f t="shared" si="335"/>
        <v>1803.0183444033823</v>
      </c>
      <c r="P115" s="354">
        <f t="shared" si="335"/>
        <v>1811.9842870520733</v>
      </c>
      <c r="Q115" s="354">
        <f t="shared" si="335"/>
        <v>1845.2207109142666</v>
      </c>
      <c r="R115" s="354">
        <f t="shared" si="335"/>
        <v>1858.552169370907</v>
      </c>
      <c r="S115" s="354">
        <f t="shared" si="335"/>
        <v>1859.1330064813542</v>
      </c>
      <c r="T115" s="354">
        <f t="shared" ref="T115:Y115" si="336">SUM(T116:T118)</f>
        <v>1860.7374975187065</v>
      </c>
      <c r="U115" s="354">
        <f t="shared" si="336"/>
        <v>1759.6813237613826</v>
      </c>
      <c r="V115" s="354">
        <f t="shared" si="336"/>
        <v>1688.4805744963917</v>
      </c>
      <c r="W115" s="354">
        <f t="shared" si="336"/>
        <v>1696.6145225409641</v>
      </c>
      <c r="X115" s="354">
        <f t="shared" si="336"/>
        <v>1670.3775602619514</v>
      </c>
      <c r="Y115" s="354">
        <f t="shared" si="336"/>
        <v>1659.4013314710517</v>
      </c>
      <c r="Z115" s="354">
        <f t="shared" ref="Z115:AD115" si="337">SUM(Z116:Z118)</f>
        <v>1669.0459202266231</v>
      </c>
      <c r="AA115" s="354">
        <f t="shared" si="337"/>
        <v>1707.346729717802</v>
      </c>
      <c r="AB115" s="354">
        <f t="shared" si="337"/>
        <v>1718.3811610352532</v>
      </c>
      <c r="AC115" s="354">
        <f t="shared" si="337"/>
        <v>1757.9065450174912</v>
      </c>
      <c r="AD115" s="354">
        <f t="shared" si="337"/>
        <v>1780.3078241762498</v>
      </c>
      <c r="AE115" s="354">
        <f t="shared" ref="AE115:AF115" si="338">SUM(AE116:AE118)</f>
        <v>1813.1346487828462</v>
      </c>
      <c r="AF115" s="354">
        <f t="shared" si="338"/>
        <v>1816.6356739090588</v>
      </c>
      <c r="AG115" s="354">
        <f t="shared" ref="AG115:AH115" si="339">SUM(AG116:AG118)</f>
        <v>1572.8202060743611</v>
      </c>
      <c r="AH115" s="354">
        <f t="shared" si="339"/>
        <v>1753.5459249194487</v>
      </c>
      <c r="AI115" s="354">
        <f t="shared" ref="AI115" si="340">SUM(AI116:AI118)</f>
        <v>1780.7631943085448</v>
      </c>
      <c r="AJ115" s="355">
        <f t="shared" si="264"/>
        <v>0.21227447926358986</v>
      </c>
      <c r="AK115" s="355">
        <f>IFERROR((AI115-AH115)/AH115,"NA")</f>
        <v>1.5521275492312187E-2</v>
      </c>
      <c r="AL115" s="355"/>
      <c r="AN115" s="280"/>
      <c r="AQ115"/>
      <c r="AR115"/>
      <c r="AS115"/>
      <c r="AT115"/>
      <c r="AU115"/>
    </row>
    <row r="116" spans="2:47">
      <c r="B116" s="6" t="s">
        <v>1435</v>
      </c>
      <c r="C116" s="356" t="str">
        <f>C11</f>
        <v>NO</v>
      </c>
      <c r="D116" s="356" t="str">
        <f t="shared" ref="D116:L116" si="341">D11</f>
        <v>NO</v>
      </c>
      <c r="E116" s="356" t="str">
        <f t="shared" si="341"/>
        <v>NO</v>
      </c>
      <c r="F116" s="356" t="str">
        <f t="shared" si="341"/>
        <v>NO</v>
      </c>
      <c r="G116" s="356" t="str">
        <f t="shared" si="341"/>
        <v>NO</v>
      </c>
      <c r="H116" s="356" t="str">
        <f t="shared" si="341"/>
        <v>NO</v>
      </c>
      <c r="I116" s="356" t="str">
        <f t="shared" si="341"/>
        <v>NO</v>
      </c>
      <c r="J116" s="356" t="str">
        <f t="shared" si="341"/>
        <v>NO</v>
      </c>
      <c r="K116" s="356" t="str">
        <f t="shared" si="341"/>
        <v>NO</v>
      </c>
      <c r="L116" s="356" t="str">
        <f t="shared" si="341"/>
        <v>NO</v>
      </c>
      <c r="M116" s="356" t="str">
        <f t="shared" ref="M116:R116" si="342">M11</f>
        <v>NO</v>
      </c>
      <c r="N116" s="356" t="str">
        <f t="shared" si="342"/>
        <v>NO</v>
      </c>
      <c r="O116" s="356" t="str">
        <f t="shared" si="342"/>
        <v>NO</v>
      </c>
      <c r="P116" s="356" t="str">
        <f t="shared" si="342"/>
        <v>NO</v>
      </c>
      <c r="Q116" s="356" t="str">
        <f t="shared" si="342"/>
        <v>NO</v>
      </c>
      <c r="R116" s="356" t="str">
        <f t="shared" si="342"/>
        <v>NO</v>
      </c>
      <c r="S116" s="356" t="str">
        <f t="shared" ref="S116:X116" si="343">S11</f>
        <v>NO</v>
      </c>
      <c r="T116" s="356" t="str">
        <f t="shared" si="343"/>
        <v>NO</v>
      </c>
      <c r="U116" s="356" t="str">
        <f t="shared" si="343"/>
        <v>NO</v>
      </c>
      <c r="V116" s="356" t="str">
        <f t="shared" si="343"/>
        <v>NO</v>
      </c>
      <c r="W116" s="356" t="str">
        <f t="shared" si="343"/>
        <v>NO</v>
      </c>
      <c r="X116" s="356" t="str">
        <f t="shared" si="343"/>
        <v>NO</v>
      </c>
      <c r="Y116" s="356" t="str">
        <f t="shared" ref="Y116:AD116" si="344">Y11</f>
        <v>NO</v>
      </c>
      <c r="Z116" s="356" t="str">
        <f t="shared" si="344"/>
        <v>NO</v>
      </c>
      <c r="AA116" s="356" t="str">
        <f t="shared" si="344"/>
        <v>NO</v>
      </c>
      <c r="AB116" s="356" t="str">
        <f t="shared" si="344"/>
        <v>NO</v>
      </c>
      <c r="AC116" s="356" t="str">
        <f t="shared" si="344"/>
        <v>NO</v>
      </c>
      <c r="AD116" s="356" t="str">
        <f t="shared" si="344"/>
        <v>NO</v>
      </c>
      <c r="AE116" s="356" t="str">
        <f t="shared" ref="AE116:AF116" si="345">AE11</f>
        <v>NO</v>
      </c>
      <c r="AF116" s="356" t="str">
        <f t="shared" si="345"/>
        <v>NO</v>
      </c>
      <c r="AG116" s="356" t="str">
        <f t="shared" ref="AG116:AH116" si="346">AG11</f>
        <v>NO</v>
      </c>
      <c r="AH116" s="356" t="str">
        <f t="shared" si="346"/>
        <v>NO</v>
      </c>
      <c r="AI116" s="356" t="str">
        <f t="shared" ref="AI116" si="347">AI11</f>
        <v>NO</v>
      </c>
      <c r="AJ116" s="357" t="str">
        <f t="shared" si="264"/>
        <v>NA</v>
      </c>
      <c r="AK116" s="357" t="str">
        <f t="shared" si="277"/>
        <v>NA</v>
      </c>
      <c r="AL116" s="357"/>
      <c r="AQ116"/>
      <c r="AR116"/>
      <c r="AS116"/>
      <c r="AT116"/>
      <c r="AU116"/>
    </row>
    <row r="117" spans="2:47">
      <c r="B117" s="6" t="s">
        <v>1439</v>
      </c>
      <c r="C117" s="356">
        <f>C18</f>
        <v>36.000628828726228</v>
      </c>
      <c r="D117" s="356">
        <f t="shared" ref="D117:L117" si="348">D18</f>
        <v>32.870998544585845</v>
      </c>
      <c r="E117" s="356">
        <f t="shared" si="348"/>
        <v>32.223566137943912</v>
      </c>
      <c r="F117" s="356">
        <f t="shared" si="348"/>
        <v>34.15461398423664</v>
      </c>
      <c r="G117" s="356">
        <f t="shared" si="348"/>
        <v>37.56280519579169</v>
      </c>
      <c r="H117" s="356">
        <f t="shared" si="348"/>
        <v>38.397759997364879</v>
      </c>
      <c r="I117" s="356">
        <f t="shared" si="348"/>
        <v>39.083767671638746</v>
      </c>
      <c r="J117" s="356">
        <f t="shared" si="348"/>
        <v>41.387043476727435</v>
      </c>
      <c r="K117" s="356">
        <f t="shared" si="348"/>
        <v>35.288383859149057</v>
      </c>
      <c r="L117" s="356">
        <f t="shared" si="348"/>
        <v>35.810853010699333</v>
      </c>
      <c r="M117" s="356">
        <f t="shared" ref="M117:R117" si="349">M18</f>
        <v>35.650075735907123</v>
      </c>
      <c r="N117" s="356">
        <f t="shared" si="349"/>
        <v>34.885995822200002</v>
      </c>
      <c r="O117" s="356">
        <f t="shared" si="349"/>
        <v>37.087113998567915</v>
      </c>
      <c r="P117" s="356">
        <f t="shared" si="349"/>
        <v>33.263751370962055</v>
      </c>
      <c r="Q117" s="356">
        <f t="shared" si="349"/>
        <v>31.927149340306773</v>
      </c>
      <c r="R117" s="356">
        <f t="shared" si="349"/>
        <v>33.075920910480484</v>
      </c>
      <c r="S117" s="356">
        <f t="shared" ref="S117:X117" si="350">S18</f>
        <v>33.132752480798366</v>
      </c>
      <c r="T117" s="356">
        <f t="shared" si="350"/>
        <v>35.181265831305353</v>
      </c>
      <c r="U117" s="356">
        <f t="shared" si="350"/>
        <v>36.701650199837665</v>
      </c>
      <c r="V117" s="356">
        <f t="shared" si="350"/>
        <v>37.924973610479</v>
      </c>
      <c r="W117" s="356">
        <f t="shared" si="350"/>
        <v>38.159193121908444</v>
      </c>
      <c r="X117" s="356">
        <f t="shared" si="350"/>
        <v>38.942984233329362</v>
      </c>
      <c r="Y117" s="356">
        <f t="shared" ref="Y117:AD117" si="351">Y18</f>
        <v>41.37800918377787</v>
      </c>
      <c r="Z117" s="356">
        <f t="shared" si="351"/>
        <v>47.049246645534772</v>
      </c>
      <c r="AA117" s="356">
        <f t="shared" si="351"/>
        <v>40.238122656789713</v>
      </c>
      <c r="AB117" s="356">
        <f t="shared" si="351"/>
        <v>39.405905197849926</v>
      </c>
      <c r="AC117" s="356">
        <f t="shared" si="351"/>
        <v>40.058807328702912</v>
      </c>
      <c r="AD117" s="356">
        <f t="shared" si="351"/>
        <v>42.257759266894162</v>
      </c>
      <c r="AE117" s="356">
        <f t="shared" ref="AE117:AF117" si="352">AE18</f>
        <v>50.915434140965644</v>
      </c>
      <c r="AF117" s="356">
        <f t="shared" si="352"/>
        <v>58.928767923685299</v>
      </c>
      <c r="AG117" s="356">
        <f t="shared" ref="AG117:AH117" si="353">AG18</f>
        <v>58.653794375777238</v>
      </c>
      <c r="AH117" s="356">
        <f t="shared" si="353"/>
        <v>65.191015978471412</v>
      </c>
      <c r="AI117" s="356">
        <f t="shared" ref="AI117" si="354">AI18</f>
        <v>70.161308648019386</v>
      </c>
      <c r="AJ117" s="357">
        <f t="shared" si="264"/>
        <v>0.94889119803471578</v>
      </c>
      <c r="AK117" s="357">
        <f t="shared" si="277"/>
        <v>7.6241988178085085E-2</v>
      </c>
      <c r="AL117" s="357"/>
      <c r="AQ117"/>
      <c r="AR117"/>
      <c r="AS117"/>
      <c r="AT117"/>
      <c r="AU117"/>
    </row>
    <row r="118" spans="2:47">
      <c r="B118" s="6" t="s">
        <v>1440</v>
      </c>
      <c r="C118" s="356">
        <f>C25</f>
        <v>1432.9432652886276</v>
      </c>
      <c r="D118" s="356">
        <f t="shared" ref="D118:L118" si="355">D25</f>
        <v>1389.4564060937773</v>
      </c>
      <c r="E118" s="356">
        <f t="shared" si="355"/>
        <v>1445.4198600226605</v>
      </c>
      <c r="F118" s="356">
        <f t="shared" si="355"/>
        <v>1474.4524204610232</v>
      </c>
      <c r="G118" s="356">
        <f t="shared" si="355"/>
        <v>1516.3845483799519</v>
      </c>
      <c r="H118" s="356">
        <f t="shared" si="355"/>
        <v>1542.280097691809</v>
      </c>
      <c r="I118" s="356">
        <f t="shared" si="355"/>
        <v>1588.2793374504231</v>
      </c>
      <c r="J118" s="356">
        <f t="shared" si="355"/>
        <v>1602.1285102616407</v>
      </c>
      <c r="K118" s="356">
        <f t="shared" si="355"/>
        <v>1643.631953718932</v>
      </c>
      <c r="L118" s="356">
        <f t="shared" si="355"/>
        <v>1710.533470614638</v>
      </c>
      <c r="M118" s="356">
        <f t="shared" ref="M118:R118" si="356">M25</f>
        <v>1756.5518161208734</v>
      </c>
      <c r="N118" s="356">
        <f t="shared" si="356"/>
        <v>1727.5780724003682</v>
      </c>
      <c r="O118" s="356">
        <f t="shared" si="356"/>
        <v>1765.9312304048144</v>
      </c>
      <c r="P118" s="356">
        <f t="shared" si="356"/>
        <v>1778.7205356811112</v>
      </c>
      <c r="Q118" s="356">
        <f t="shared" si="356"/>
        <v>1813.2935615739598</v>
      </c>
      <c r="R118" s="356">
        <f t="shared" si="356"/>
        <v>1825.4762484604264</v>
      </c>
      <c r="S118" s="356">
        <f t="shared" ref="S118:X118" si="357">S25</f>
        <v>1826.0002540005557</v>
      </c>
      <c r="T118" s="356">
        <f t="shared" si="357"/>
        <v>1825.5562316874011</v>
      </c>
      <c r="U118" s="356">
        <f t="shared" si="357"/>
        <v>1722.979673561545</v>
      </c>
      <c r="V118" s="356">
        <f t="shared" si="357"/>
        <v>1650.5556008859128</v>
      </c>
      <c r="W118" s="356">
        <f t="shared" si="357"/>
        <v>1658.4553294190557</v>
      </c>
      <c r="X118" s="356">
        <f t="shared" si="357"/>
        <v>1631.4345760286221</v>
      </c>
      <c r="Y118" s="356">
        <f t="shared" ref="Y118:AD118" si="358">Y25</f>
        <v>1618.0233222872737</v>
      </c>
      <c r="Z118" s="356">
        <f t="shared" si="358"/>
        <v>1621.9966735810883</v>
      </c>
      <c r="AA118" s="356">
        <f t="shared" si="358"/>
        <v>1667.1086070610122</v>
      </c>
      <c r="AB118" s="356">
        <f t="shared" si="358"/>
        <v>1678.9752558374032</v>
      </c>
      <c r="AC118" s="356">
        <f t="shared" si="358"/>
        <v>1717.8477376887884</v>
      </c>
      <c r="AD118" s="356">
        <f t="shared" si="358"/>
        <v>1738.0500649093556</v>
      </c>
      <c r="AE118" s="356">
        <f t="shared" ref="AE118:AF118" si="359">AE25</f>
        <v>1762.2192146418806</v>
      </c>
      <c r="AF118" s="356">
        <f t="shared" si="359"/>
        <v>1757.7069059853736</v>
      </c>
      <c r="AG118" s="356">
        <f t="shared" ref="AG118:AH118" si="360">AG25</f>
        <v>1514.1664116985837</v>
      </c>
      <c r="AH118" s="356">
        <f t="shared" si="360"/>
        <v>1688.3549089409773</v>
      </c>
      <c r="AI118" s="356">
        <f t="shared" ref="AI118" si="361">AI25</f>
        <v>1710.6018856605253</v>
      </c>
      <c r="AJ118" s="357">
        <f t="shared" si="264"/>
        <v>0.1937680486714671</v>
      </c>
      <c r="AK118" s="357">
        <f t="shared" si="277"/>
        <v>1.3176718118764759E-2</v>
      </c>
      <c r="AL118" s="357"/>
      <c r="AQ118"/>
      <c r="AR118"/>
      <c r="AS118"/>
      <c r="AT118"/>
      <c r="AU118"/>
    </row>
    <row r="119" spans="2:47">
      <c r="B119" s="5" t="s">
        <v>1474</v>
      </c>
      <c r="C119" s="354">
        <f t="shared" ref="C119:L119" si="362">SUM(C120:C123)</f>
        <v>1819.9505893384999</v>
      </c>
      <c r="D119" s="354">
        <f t="shared" si="362"/>
        <v>1817.3586844666015</v>
      </c>
      <c r="E119" s="354">
        <f t="shared" si="362"/>
        <v>1830.6879594436025</v>
      </c>
      <c r="F119" s="354">
        <f t="shared" si="362"/>
        <v>1906.1720738783795</v>
      </c>
      <c r="G119" s="354">
        <f t="shared" si="362"/>
        <v>1930.4684738502767</v>
      </c>
      <c r="H119" s="354">
        <f t="shared" si="362"/>
        <v>1947.1732378878787</v>
      </c>
      <c r="I119" s="354">
        <f t="shared" si="362"/>
        <v>2020.2429705095551</v>
      </c>
      <c r="J119" s="354">
        <f t="shared" si="362"/>
        <v>2087.5198032038879</v>
      </c>
      <c r="K119" s="354">
        <f t="shared" si="362"/>
        <v>2176.5546251532555</v>
      </c>
      <c r="L119" s="354">
        <f t="shared" si="362"/>
        <v>2189.6658226865443</v>
      </c>
      <c r="M119" s="354">
        <f t="shared" ref="M119:R119" si="363">SUM(M120:M123)</f>
        <v>2296.1716711514159</v>
      </c>
      <c r="N119" s="354">
        <f t="shared" si="363"/>
        <v>2257.203682742846</v>
      </c>
      <c r="O119" s="354">
        <f t="shared" si="363"/>
        <v>2272.2270983113667</v>
      </c>
      <c r="P119" s="354">
        <f t="shared" si="363"/>
        <v>2303.6783787819459</v>
      </c>
      <c r="Q119" s="354">
        <f t="shared" si="363"/>
        <v>2335.0826618336023</v>
      </c>
      <c r="R119" s="354">
        <f t="shared" si="363"/>
        <v>2400.057485640647</v>
      </c>
      <c r="S119" s="354">
        <f t="shared" ref="S119:X119" si="364">SUM(S120:S123)</f>
        <v>2344.3955347500896</v>
      </c>
      <c r="T119" s="354">
        <f t="shared" si="364"/>
        <v>2411.1373189079404</v>
      </c>
      <c r="U119" s="354">
        <f t="shared" si="364"/>
        <v>2359.3320917121569</v>
      </c>
      <c r="V119" s="354">
        <f t="shared" si="364"/>
        <v>2145.3459007564516</v>
      </c>
      <c r="W119" s="354">
        <f t="shared" si="364"/>
        <v>2258.638992053367</v>
      </c>
      <c r="X119" s="354">
        <f t="shared" si="364"/>
        <v>2158.0671407665532</v>
      </c>
      <c r="Y119" s="354">
        <f t="shared" ref="Y119:AD119" si="365">SUM(Y120:Y123)</f>
        <v>2023.2558169491451</v>
      </c>
      <c r="Z119" s="354">
        <f t="shared" si="365"/>
        <v>2038.2701275465361</v>
      </c>
      <c r="AA119" s="354">
        <f t="shared" si="365"/>
        <v>2037.1658489458664</v>
      </c>
      <c r="AB119" s="354">
        <f t="shared" si="365"/>
        <v>1900.6377895750654</v>
      </c>
      <c r="AC119" s="354">
        <f t="shared" si="365"/>
        <v>1808.8715159836302</v>
      </c>
      <c r="AD119" s="354">
        <f t="shared" si="365"/>
        <v>1732.0327184453904</v>
      </c>
      <c r="AE119" s="354">
        <f t="shared" ref="AE119:AF119" si="366">SUM(AE120:AE123)</f>
        <v>1753.4323681393166</v>
      </c>
      <c r="AF119" s="354">
        <f t="shared" si="366"/>
        <v>1606.7207957152389</v>
      </c>
      <c r="AG119" s="354">
        <f t="shared" ref="AG119:AH119" si="367">SUM(AG120:AG123)</f>
        <v>1439.5657139027051</v>
      </c>
      <c r="AH119" s="354">
        <f t="shared" si="367"/>
        <v>1540.9327798504844</v>
      </c>
      <c r="AI119" s="354">
        <f t="shared" ref="AI119" si="368">SUM(AI120:AI123)</f>
        <v>1531.6800774009748</v>
      </c>
      <c r="AJ119" s="355">
        <f t="shared" si="264"/>
        <v>-0.15839469138681569</v>
      </c>
      <c r="AK119" s="355">
        <f>IFERROR((AI119-AH119)/AH119,"NA")</f>
        <v>-6.0046113435313856E-3</v>
      </c>
      <c r="AL119" s="355"/>
      <c r="AN119" s="37">
        <f>AI119/AI128</f>
        <v>0.3265923992416046</v>
      </c>
      <c r="AO119" s="1" t="s">
        <v>1506</v>
      </c>
      <c r="AQ119"/>
      <c r="AR119"/>
      <c r="AS119"/>
      <c r="AT119"/>
      <c r="AU119"/>
    </row>
    <row r="120" spans="2:47">
      <c r="B120" s="6" t="s">
        <v>1435</v>
      </c>
      <c r="C120" s="356">
        <f>C12</f>
        <v>1546.5138658365147</v>
      </c>
      <c r="D120" s="356">
        <f t="shared" ref="D120:L120" si="369">D12</f>
        <v>1547.1744736994474</v>
      </c>
      <c r="E120" s="356">
        <f t="shared" si="369"/>
        <v>1568.5414841172681</v>
      </c>
      <c r="F120" s="356">
        <f t="shared" si="369"/>
        <v>1631.6188101341861</v>
      </c>
      <c r="G120" s="356">
        <f t="shared" si="369"/>
        <v>1637.8528422171717</v>
      </c>
      <c r="H120" s="356">
        <f t="shared" si="369"/>
        <v>1659.8609103723704</v>
      </c>
      <c r="I120" s="356">
        <f t="shared" si="369"/>
        <v>1751.5233947269828</v>
      </c>
      <c r="J120" s="356">
        <f t="shared" si="369"/>
        <v>1796.0188853915236</v>
      </c>
      <c r="K120" s="356">
        <f t="shared" si="369"/>
        <v>1827.1476965735826</v>
      </c>
      <c r="L120" s="356">
        <f t="shared" si="369"/>
        <v>1835.4022340292524</v>
      </c>
      <c r="M120" s="356">
        <f t="shared" ref="M120:R120" si="370">M12</f>
        <v>1926.3651342158976</v>
      </c>
      <c r="N120" s="356">
        <f t="shared" si="370"/>
        <v>1868.8345135593859</v>
      </c>
      <c r="O120" s="356">
        <f t="shared" si="370"/>
        <v>1888.8946691071951</v>
      </c>
      <c r="P120" s="356">
        <f t="shared" si="370"/>
        <v>1929.9566599629634</v>
      </c>
      <c r="Q120" s="356">
        <f t="shared" si="370"/>
        <v>1942.0197985409238</v>
      </c>
      <c r="R120" s="356">
        <f t="shared" si="370"/>
        <v>1982.7713676303179</v>
      </c>
      <c r="S120" s="356">
        <f t="shared" ref="S120:X120" si="371">S12</f>
        <v>1952.6895189382972</v>
      </c>
      <c r="T120" s="356">
        <f t="shared" si="371"/>
        <v>1986.2497853491975</v>
      </c>
      <c r="U120" s="356">
        <f t="shared" si="371"/>
        <v>1958.3876061335875</v>
      </c>
      <c r="V120" s="356">
        <f t="shared" si="371"/>
        <v>1740.1526692444147</v>
      </c>
      <c r="W120" s="356">
        <f t="shared" si="371"/>
        <v>1827.2452396274032</v>
      </c>
      <c r="X120" s="356">
        <f t="shared" si="371"/>
        <v>1722.3698705628942</v>
      </c>
      <c r="Y120" s="356">
        <f t="shared" ref="Y120:AD120" si="372">Y12</f>
        <v>1511.6931055686455</v>
      </c>
      <c r="Z120" s="356">
        <f t="shared" si="372"/>
        <v>1571.2511273959044</v>
      </c>
      <c r="AA120" s="356">
        <f t="shared" si="372"/>
        <v>1568.556173908122</v>
      </c>
      <c r="AB120" s="356">
        <f t="shared" si="372"/>
        <v>1351.3884116145925</v>
      </c>
      <c r="AC120" s="356">
        <f t="shared" si="372"/>
        <v>1242.0166623259897</v>
      </c>
      <c r="AD120" s="356">
        <f t="shared" si="372"/>
        <v>1207.0667392920539</v>
      </c>
      <c r="AE120" s="356">
        <f t="shared" ref="AE120:AF120" si="373">AE12</f>
        <v>1152.8764230464151</v>
      </c>
      <c r="AF120" s="356">
        <f t="shared" si="373"/>
        <v>973.5397823880611</v>
      </c>
      <c r="AG120" s="356">
        <f t="shared" ref="AG120:AH120" si="374">AG12</f>
        <v>788.15962639841325</v>
      </c>
      <c r="AH120" s="356">
        <f t="shared" si="374"/>
        <v>910.06445819817407</v>
      </c>
      <c r="AI120" s="356">
        <f t="shared" ref="AI120" si="375">AI12</f>
        <v>851.47205640141203</v>
      </c>
      <c r="AJ120" s="357">
        <f t="shared" si="264"/>
        <v>-0.44942488055815272</v>
      </c>
      <c r="AK120" s="357">
        <f t="shared" si="277"/>
        <v>-6.4382694290433501E-2</v>
      </c>
      <c r="AL120" s="357"/>
      <c r="AQ120"/>
      <c r="AR120"/>
      <c r="AS120"/>
      <c r="AT120"/>
      <c r="AU120"/>
    </row>
    <row r="121" spans="2:47">
      <c r="B121" s="6" t="s">
        <v>1439</v>
      </c>
      <c r="C121" s="356">
        <f>C19</f>
        <v>175.3600389026015</v>
      </c>
      <c r="D121" s="356">
        <f t="shared" ref="D121:L121" si="376">D19</f>
        <v>178.96641557241685</v>
      </c>
      <c r="E121" s="356">
        <f t="shared" si="376"/>
        <v>186.07465958323442</v>
      </c>
      <c r="F121" s="356">
        <f t="shared" si="376"/>
        <v>187.58235295994123</v>
      </c>
      <c r="G121" s="356">
        <f t="shared" si="376"/>
        <v>210.85461547922213</v>
      </c>
      <c r="H121" s="356">
        <f t="shared" si="376"/>
        <v>228.17265505672165</v>
      </c>
      <c r="I121" s="356">
        <f t="shared" si="376"/>
        <v>204.86080527999366</v>
      </c>
      <c r="J121" s="356">
        <f t="shared" si="376"/>
        <v>218.81342912547896</v>
      </c>
      <c r="K121" s="356">
        <f t="shared" si="376"/>
        <v>247.66612926215842</v>
      </c>
      <c r="L121" s="356">
        <f t="shared" si="376"/>
        <v>259.94521454492025</v>
      </c>
      <c r="M121" s="356">
        <f t="shared" ref="M121:R121" si="377">M19</f>
        <v>280.82105213992054</v>
      </c>
      <c r="N121" s="356">
        <f t="shared" si="377"/>
        <v>289.35862946229537</v>
      </c>
      <c r="O121" s="356">
        <f t="shared" si="377"/>
        <v>306.00875363034964</v>
      </c>
      <c r="P121" s="356">
        <f t="shared" si="377"/>
        <v>278.12739640727375</v>
      </c>
      <c r="Q121" s="356">
        <f t="shared" si="377"/>
        <v>296.75029743802992</v>
      </c>
      <c r="R121" s="356">
        <f t="shared" si="377"/>
        <v>318.85840260471355</v>
      </c>
      <c r="S121" s="356">
        <f t="shared" ref="S121:X121" si="378">S19</f>
        <v>337.97496302681611</v>
      </c>
      <c r="T121" s="356">
        <f t="shared" si="378"/>
        <v>371.46513223741312</v>
      </c>
      <c r="U121" s="356">
        <f t="shared" si="378"/>
        <v>362.11597738194661</v>
      </c>
      <c r="V121" s="356">
        <f t="shared" si="378"/>
        <v>372.54775041195018</v>
      </c>
      <c r="W121" s="356">
        <f t="shared" si="378"/>
        <v>399.53808692568629</v>
      </c>
      <c r="X121" s="356">
        <f t="shared" si="378"/>
        <v>409.42961840152782</v>
      </c>
      <c r="Y121" s="356">
        <f t="shared" ref="Y121:AD121" si="379">Y19</f>
        <v>492.79219630413746</v>
      </c>
      <c r="Z121" s="356">
        <f t="shared" si="379"/>
        <v>444.16593360966391</v>
      </c>
      <c r="AA121" s="356">
        <f t="shared" si="379"/>
        <v>442.88200596411235</v>
      </c>
      <c r="AB121" s="356">
        <f t="shared" si="379"/>
        <v>525.16054071183544</v>
      </c>
      <c r="AC121" s="356">
        <f t="shared" si="379"/>
        <v>544.99213211889321</v>
      </c>
      <c r="AD121" s="356">
        <f t="shared" si="379"/>
        <v>505.63466065505327</v>
      </c>
      <c r="AE121" s="356">
        <f t="shared" ref="AE121:AF121" si="380">AE19</f>
        <v>577.93546402725235</v>
      </c>
      <c r="AF121" s="356">
        <f t="shared" si="380"/>
        <v>616.64869033042908</v>
      </c>
      <c r="AG121" s="356">
        <f t="shared" ref="AG121:AH121" si="381">AG19</f>
        <v>634.84915679760923</v>
      </c>
      <c r="AH121" s="356">
        <f t="shared" si="381"/>
        <v>612.7780915068297</v>
      </c>
      <c r="AI121" s="356">
        <f t="shared" ref="AI121" si="382">AI19</f>
        <v>659.30521463869627</v>
      </c>
      <c r="AJ121" s="357">
        <f t="shared" si="264"/>
        <v>2.7597232457554806</v>
      </c>
      <c r="AK121" s="357">
        <f t="shared" si="277"/>
        <v>7.5928176572787942E-2</v>
      </c>
      <c r="AL121" s="357"/>
    </row>
    <row r="122" spans="2:47">
      <c r="B122" s="6" t="s">
        <v>1440</v>
      </c>
      <c r="C122" s="356">
        <f>C26</f>
        <v>97.538490680398411</v>
      </c>
      <c r="D122" s="356">
        <f t="shared" ref="D122:L122" si="383">D26</f>
        <v>90.678661907118197</v>
      </c>
      <c r="E122" s="356">
        <f t="shared" si="383"/>
        <v>75.527743357330678</v>
      </c>
      <c r="F122" s="356">
        <f t="shared" si="383"/>
        <v>86.415412739867193</v>
      </c>
      <c r="G122" s="356">
        <f t="shared" si="383"/>
        <v>81.246850001075686</v>
      </c>
      <c r="H122" s="356">
        <f t="shared" si="383"/>
        <v>58.71177506316068</v>
      </c>
      <c r="I122" s="356">
        <f t="shared" si="383"/>
        <v>63.3962927596016</v>
      </c>
      <c r="J122" s="356">
        <f t="shared" si="383"/>
        <v>72.207404234661354</v>
      </c>
      <c r="K122" s="356">
        <f t="shared" si="383"/>
        <v>101.26271580049136</v>
      </c>
      <c r="L122" s="356">
        <f t="shared" si="383"/>
        <v>93.83330481405045</v>
      </c>
      <c r="M122" s="356">
        <f t="shared" ref="M122:R122" si="384">M26</f>
        <v>88.524423740199197</v>
      </c>
      <c r="N122" s="356">
        <f t="shared" si="384"/>
        <v>98.561015855192565</v>
      </c>
      <c r="O122" s="356">
        <f t="shared" si="384"/>
        <v>76.854861578857893</v>
      </c>
      <c r="P122" s="356">
        <f t="shared" si="384"/>
        <v>95.127634817888449</v>
      </c>
      <c r="Q122" s="356">
        <f t="shared" si="384"/>
        <v>95.845222101221793</v>
      </c>
      <c r="R122" s="356">
        <f t="shared" si="384"/>
        <v>97.96669769888446</v>
      </c>
      <c r="S122" s="356">
        <f t="shared" ref="S122:X122" si="385">S26</f>
        <v>53.276122434926961</v>
      </c>
      <c r="T122" s="356">
        <f t="shared" si="385"/>
        <v>52.964488890730408</v>
      </c>
      <c r="U122" s="356">
        <f t="shared" si="385"/>
        <v>38.386647737556437</v>
      </c>
      <c r="V122" s="356">
        <f t="shared" si="385"/>
        <v>32.211435291660024</v>
      </c>
      <c r="W122" s="356">
        <f t="shared" si="385"/>
        <v>31.428996559920311</v>
      </c>
      <c r="X122" s="356">
        <f t="shared" si="385"/>
        <v>25.831553656440903</v>
      </c>
      <c r="Y122" s="356">
        <f t="shared" ref="Y122:AD122" si="386">Y26</f>
        <v>18.333108585152722</v>
      </c>
      <c r="Z122" s="356">
        <f t="shared" si="386"/>
        <v>22.420050113678617</v>
      </c>
      <c r="AA122" s="356">
        <f t="shared" si="386"/>
        <v>25.304369663240369</v>
      </c>
      <c r="AB122" s="356">
        <f t="shared" si="386"/>
        <v>23.674448825350165</v>
      </c>
      <c r="AC122" s="356">
        <f t="shared" si="386"/>
        <v>21.458011279651984</v>
      </c>
      <c r="AD122" s="356">
        <f t="shared" si="386"/>
        <v>18.920639478904537</v>
      </c>
      <c r="AE122" s="356">
        <f t="shared" ref="AE122:AF122" si="387">AE26</f>
        <v>22.215728844761522</v>
      </c>
      <c r="AF122" s="356">
        <f t="shared" si="387"/>
        <v>16.161308535890104</v>
      </c>
      <c r="AG122" s="356">
        <f t="shared" ref="AG122:AH122" si="388">AG26</f>
        <v>16.166104737697388</v>
      </c>
      <c r="AH122" s="356">
        <f t="shared" si="388"/>
        <v>17.713212252599575</v>
      </c>
      <c r="AI122" s="356">
        <f t="shared" ref="AI122" si="389">AI26</f>
        <v>20.522249226051947</v>
      </c>
      <c r="AJ122" s="357">
        <f t="shared" si="264"/>
        <v>-0.78959845407802542</v>
      </c>
      <c r="AK122" s="357">
        <f t="shared" si="277"/>
        <v>0.15858427784831181</v>
      </c>
      <c r="AL122" s="357"/>
    </row>
    <row r="123" spans="2:47">
      <c r="B123" s="6" t="s">
        <v>1479</v>
      </c>
      <c r="C123" s="356">
        <f>C28</f>
        <v>0.53819391898531332</v>
      </c>
      <c r="D123" s="356">
        <f t="shared" ref="D123:L123" si="390">D28</f>
        <v>0.53913328761937329</v>
      </c>
      <c r="E123" s="356">
        <f t="shared" si="390"/>
        <v>0.54407238576943517</v>
      </c>
      <c r="F123" s="356">
        <f t="shared" si="390"/>
        <v>0.55549804438478367</v>
      </c>
      <c r="G123" s="356">
        <f t="shared" si="390"/>
        <v>0.51416615280727973</v>
      </c>
      <c r="H123" s="356">
        <f t="shared" si="390"/>
        <v>0.42789739562582274</v>
      </c>
      <c r="I123" s="356">
        <f t="shared" si="390"/>
        <v>0.46247774297699551</v>
      </c>
      <c r="J123" s="356">
        <f t="shared" si="390"/>
        <v>0.48008445222437274</v>
      </c>
      <c r="K123" s="356">
        <f t="shared" si="390"/>
        <v>0.47808351702318308</v>
      </c>
      <c r="L123" s="356">
        <f t="shared" si="390"/>
        <v>0.48506929832140988</v>
      </c>
      <c r="M123" s="356">
        <f t="shared" ref="M123:R123" si="391">M28</f>
        <v>0.46106105539886988</v>
      </c>
      <c r="N123" s="356">
        <f t="shared" si="391"/>
        <v>0.44952386597193894</v>
      </c>
      <c r="O123" s="356">
        <f t="shared" si="391"/>
        <v>0.46881399496422538</v>
      </c>
      <c r="P123" s="356">
        <f t="shared" si="391"/>
        <v>0.46668759381997493</v>
      </c>
      <c r="Q123" s="356">
        <f t="shared" si="391"/>
        <v>0.46734375342683254</v>
      </c>
      <c r="R123" s="356">
        <f t="shared" si="391"/>
        <v>0.46101770673125719</v>
      </c>
      <c r="S123" s="356">
        <f t="shared" ref="S123:X123" si="392">S28</f>
        <v>0.45493035004951315</v>
      </c>
      <c r="T123" s="356">
        <f t="shared" si="392"/>
        <v>0.45791243059931558</v>
      </c>
      <c r="U123" s="356">
        <f t="shared" si="392"/>
        <v>0.44186045906642402</v>
      </c>
      <c r="V123" s="356">
        <f t="shared" si="392"/>
        <v>0.43404580842672003</v>
      </c>
      <c r="W123" s="356">
        <f t="shared" si="392"/>
        <v>0.42666894035695202</v>
      </c>
      <c r="X123" s="356">
        <f t="shared" si="392"/>
        <v>0.436098145690272</v>
      </c>
      <c r="Y123" s="356">
        <f t="shared" ref="Y123:AD123" si="393">Y28</f>
        <v>0.43740649120955999</v>
      </c>
      <c r="Z123" s="356">
        <f t="shared" si="393"/>
        <v>0.43301642728912798</v>
      </c>
      <c r="AA123" s="356">
        <f t="shared" si="393"/>
        <v>0.42329941039188002</v>
      </c>
      <c r="AB123" s="356">
        <f t="shared" si="393"/>
        <v>0.41438842328750403</v>
      </c>
      <c r="AC123" s="356">
        <f t="shared" si="393"/>
        <v>0.40471025909529595</v>
      </c>
      <c r="AD123" s="356">
        <f t="shared" si="393"/>
        <v>0.410679019378689</v>
      </c>
      <c r="AE123" s="356">
        <f t="shared" ref="AE123:AF123" si="394">AE28</f>
        <v>0.40475222088763196</v>
      </c>
      <c r="AF123" s="356">
        <f t="shared" si="394"/>
        <v>0.37101446085844803</v>
      </c>
      <c r="AG123" s="356">
        <f t="shared" ref="AG123:AH123" si="395">AG28</f>
        <v>0.39082596898509597</v>
      </c>
      <c r="AH123" s="356">
        <f t="shared" si="395"/>
        <v>0.37701789288105603</v>
      </c>
      <c r="AI123" s="356">
        <f t="shared" ref="AI123" si="396">AI28</f>
        <v>0.38055713481468001</v>
      </c>
      <c r="AJ123" s="357">
        <f t="shared" si="264"/>
        <v>-0.2928996010728524</v>
      </c>
      <c r="AK123" s="357">
        <f t="shared" si="277"/>
        <v>9.3874640977333248E-3</v>
      </c>
      <c r="AL123" s="357"/>
    </row>
    <row r="124" spans="2:47">
      <c r="B124" s="5" t="s">
        <v>1476</v>
      </c>
      <c r="C124" s="354">
        <f t="shared" ref="C124:L124" si="397">SUM(C125:C127)</f>
        <v>20.008143642447322</v>
      </c>
      <c r="D124" s="354">
        <f t="shared" si="397"/>
        <v>19.182444782042232</v>
      </c>
      <c r="E124" s="354">
        <f t="shared" si="397"/>
        <v>21.945857376420101</v>
      </c>
      <c r="F124" s="354">
        <f t="shared" si="397"/>
        <v>22.624230404024768</v>
      </c>
      <c r="G124" s="354">
        <f t="shared" si="397"/>
        <v>24.731925088050001</v>
      </c>
      <c r="H124" s="354">
        <f t="shared" si="397"/>
        <v>21.548589138159482</v>
      </c>
      <c r="I124" s="354">
        <f t="shared" si="397"/>
        <v>19.778093969996299</v>
      </c>
      <c r="J124" s="354">
        <f t="shared" si="397"/>
        <v>20.081919262735433</v>
      </c>
      <c r="K124" s="354">
        <f t="shared" si="397"/>
        <v>19.445266094299622</v>
      </c>
      <c r="L124" s="354">
        <f t="shared" si="397"/>
        <v>15.47129524021522</v>
      </c>
      <c r="M124" s="354">
        <f t="shared" ref="M124:R124" si="398">SUM(M125:M127)</f>
        <v>37.029575784692575</v>
      </c>
      <c r="N124" s="354">
        <f t="shared" si="398"/>
        <v>49.650607268994591</v>
      </c>
      <c r="O124" s="354">
        <f t="shared" si="398"/>
        <v>45.151214460026296</v>
      </c>
      <c r="P124" s="354">
        <f t="shared" si="398"/>
        <v>50.364017021263976</v>
      </c>
      <c r="Q124" s="354">
        <f t="shared" si="398"/>
        <v>52.914993432602749</v>
      </c>
      <c r="R124" s="354">
        <f t="shared" si="398"/>
        <v>51.855854281144033</v>
      </c>
      <c r="S124" s="354">
        <f t="shared" ref="S124:X124" si="399">SUM(S125:S127)</f>
        <v>51.260969486928559</v>
      </c>
      <c r="T124" s="354">
        <f t="shared" si="399"/>
        <v>46.646544089766849</v>
      </c>
      <c r="U124" s="354">
        <f t="shared" si="399"/>
        <v>38.463690403077933</v>
      </c>
      <c r="V124" s="354">
        <f t="shared" si="399"/>
        <v>38.958018298003807</v>
      </c>
      <c r="W124" s="354">
        <f t="shared" si="399"/>
        <v>34.503300949717527</v>
      </c>
      <c r="X124" s="354">
        <f t="shared" si="399"/>
        <v>34.062393532029155</v>
      </c>
      <c r="Y124" s="354">
        <f t="shared" ref="Y124:AD124" si="400">SUM(Y125:Y127)</f>
        <v>32.953900270838638</v>
      </c>
      <c r="Z124" s="354">
        <f t="shared" si="400"/>
        <v>28.128373261572971</v>
      </c>
      <c r="AA124" s="354">
        <f t="shared" si="400"/>
        <v>28.278251679990841</v>
      </c>
      <c r="AB124" s="354">
        <f t="shared" si="400"/>
        <v>28.534286210610869</v>
      </c>
      <c r="AC124" s="354">
        <f t="shared" si="400"/>
        <v>26.164722536961889</v>
      </c>
      <c r="AD124" s="354">
        <f t="shared" si="400"/>
        <v>25.945684640650551</v>
      </c>
      <c r="AE124" s="354">
        <f t="shared" ref="AE124:AF124" si="401">SUM(AE125:AE127)</f>
        <v>25.922517672840033</v>
      </c>
      <c r="AF124" s="354">
        <f t="shared" si="401"/>
        <v>24.81274635601731</v>
      </c>
      <c r="AG124" s="354">
        <f t="shared" ref="AG124:AH124" si="402">SUM(AG125:AG127)</f>
        <v>23.278828306241024</v>
      </c>
      <c r="AH124" s="354">
        <f t="shared" si="402"/>
        <v>23.771703899344374</v>
      </c>
      <c r="AI124" s="354">
        <f t="shared" ref="AI124" si="403">SUM(AI125:AI127)</f>
        <v>23.766652318356165</v>
      </c>
      <c r="AJ124" s="355">
        <f t="shared" si="264"/>
        <v>0.18784894506330702</v>
      </c>
      <c r="AK124" s="355">
        <f t="shared" si="277"/>
        <v>-2.125039504781941E-4</v>
      </c>
      <c r="AL124" s="355"/>
    </row>
    <row r="125" spans="2:47">
      <c r="B125" s="6" t="s">
        <v>1435</v>
      </c>
      <c r="C125" s="356">
        <f>C13</f>
        <v>0.49918364487950195</v>
      </c>
      <c r="D125" s="356">
        <f t="shared" ref="D125:L125" si="404">D13</f>
        <v>0.46298199444111593</v>
      </c>
      <c r="E125" s="356">
        <f t="shared" si="404"/>
        <v>0.39540420426145789</v>
      </c>
      <c r="F125" s="356">
        <f t="shared" si="404"/>
        <v>0.414664583865334</v>
      </c>
      <c r="G125" s="356">
        <f t="shared" si="404"/>
        <v>0.4225953215157458</v>
      </c>
      <c r="H125" s="356">
        <f t="shared" si="404"/>
        <v>0.43052605711056213</v>
      </c>
      <c r="I125" s="356">
        <f t="shared" si="404"/>
        <v>0.44185569700838989</v>
      </c>
      <c r="J125" s="356">
        <f t="shared" si="404"/>
        <v>0.44910667394322812</v>
      </c>
      <c r="K125" s="356">
        <f t="shared" si="404"/>
        <v>0.45409170850918595</v>
      </c>
      <c r="L125" s="356">
        <f t="shared" si="404"/>
        <v>0.42032940175863998</v>
      </c>
      <c r="M125" s="356">
        <f t="shared" ref="M125:R125" si="405">M13</f>
        <v>0.47500388702083407</v>
      </c>
      <c r="N125" s="356">
        <f t="shared" si="405"/>
        <v>0.59682902437400609</v>
      </c>
      <c r="O125" s="356">
        <f t="shared" si="405"/>
        <v>2.0233696387959919</v>
      </c>
      <c r="P125" s="356">
        <f t="shared" si="405"/>
        <v>2.6638948248182412</v>
      </c>
      <c r="Q125" s="356">
        <f t="shared" si="405"/>
        <v>2.9457046672788625</v>
      </c>
      <c r="R125" s="356">
        <f t="shared" si="405"/>
        <v>3.0136824655534786</v>
      </c>
      <c r="S125" s="356">
        <f t="shared" ref="S125:X125" si="406">S13</f>
        <v>3.3988899959624983</v>
      </c>
      <c r="T125" s="356">
        <f t="shared" si="406"/>
        <v>3.4023708872877636</v>
      </c>
      <c r="U125" s="356">
        <f t="shared" si="406"/>
        <v>3.4334171477753794</v>
      </c>
      <c r="V125" s="356">
        <f t="shared" si="406"/>
        <v>3.4095811621519387</v>
      </c>
      <c r="W125" s="356">
        <f t="shared" si="406"/>
        <v>3.1957130259780819</v>
      </c>
      <c r="X125" s="356">
        <f t="shared" si="406"/>
        <v>3.4382816448199178</v>
      </c>
      <c r="Y125" s="356">
        <f t="shared" ref="Y125:AD125" si="407">Y13</f>
        <v>3.2878464692658049</v>
      </c>
      <c r="Z125" s="356">
        <f t="shared" si="407"/>
        <v>3.275549300432385</v>
      </c>
      <c r="AA125" s="356">
        <f t="shared" si="407"/>
        <v>3.4423529910979647</v>
      </c>
      <c r="AB125" s="356">
        <f t="shared" si="407"/>
        <v>3.3100766326055582</v>
      </c>
      <c r="AC125" s="356">
        <f t="shared" si="407"/>
        <v>3.2706872988139057</v>
      </c>
      <c r="AD125" s="356">
        <f t="shared" si="407"/>
        <v>2.3004828509080002</v>
      </c>
      <c r="AE125" s="356">
        <f t="shared" ref="AE125:AF125" si="408">AE13</f>
        <v>2.5567788600420003</v>
      </c>
      <c r="AF125" s="356">
        <f t="shared" si="408"/>
        <v>3.5604735078220004</v>
      </c>
      <c r="AG125" s="356">
        <f t="shared" ref="AG125:AH125" si="409">AG13</f>
        <v>3.0825890668051215</v>
      </c>
      <c r="AH125" s="356">
        <f t="shared" si="409"/>
        <v>2.8885689791967102</v>
      </c>
      <c r="AI125" s="356">
        <f t="shared" ref="AI125" si="410">AI13</f>
        <v>2.8885689791967102</v>
      </c>
      <c r="AJ125" s="357">
        <f t="shared" si="264"/>
        <v>4.7865857762507078</v>
      </c>
      <c r="AK125" s="357">
        <f t="shared" si="277"/>
        <v>0</v>
      </c>
      <c r="AL125" s="357"/>
    </row>
    <row r="126" spans="2:47">
      <c r="B126" s="6" t="s">
        <v>1439</v>
      </c>
      <c r="C126" s="356" t="str">
        <f>C20</f>
        <v>NO</v>
      </c>
      <c r="D126" s="356" t="str">
        <f t="shared" ref="D126:L126" si="411">D20</f>
        <v>NO</v>
      </c>
      <c r="E126" s="356" t="str">
        <f t="shared" si="411"/>
        <v>NO</v>
      </c>
      <c r="F126" s="356" t="str">
        <f t="shared" si="411"/>
        <v>NO</v>
      </c>
      <c r="G126" s="356" t="str">
        <f t="shared" si="411"/>
        <v>NO</v>
      </c>
      <c r="H126" s="356" t="str">
        <f t="shared" si="411"/>
        <v>NO</v>
      </c>
      <c r="I126" s="356" t="str">
        <f t="shared" si="411"/>
        <v>NO</v>
      </c>
      <c r="J126" s="356" t="str">
        <f t="shared" si="411"/>
        <v>NO</v>
      </c>
      <c r="K126" s="356" t="str">
        <f t="shared" si="411"/>
        <v>NO</v>
      </c>
      <c r="L126" s="356" t="str">
        <f t="shared" si="411"/>
        <v>NO</v>
      </c>
      <c r="M126" s="356">
        <f t="shared" ref="M126:R126" si="412">M20</f>
        <v>0.67212201477417799</v>
      </c>
      <c r="N126" s="356">
        <f t="shared" si="412"/>
        <v>1.2125167466946647</v>
      </c>
      <c r="O126" s="356">
        <f t="shared" si="412"/>
        <v>1.2089205865598054</v>
      </c>
      <c r="P126" s="356">
        <f t="shared" si="412"/>
        <v>1.4242260199270667</v>
      </c>
      <c r="Q126" s="356">
        <f t="shared" si="412"/>
        <v>1.3068074496928888</v>
      </c>
      <c r="R126" s="356">
        <f t="shared" si="412"/>
        <v>1.2895019369609928</v>
      </c>
      <c r="S126" s="356">
        <f t="shared" ref="S126:X126" si="413">S20</f>
        <v>1.3857334247939026</v>
      </c>
      <c r="T126" s="356">
        <f t="shared" si="413"/>
        <v>1.415921575354</v>
      </c>
      <c r="U126" s="356">
        <f t="shared" si="413"/>
        <v>1.5513054613666941</v>
      </c>
      <c r="V126" s="356">
        <f t="shared" si="413"/>
        <v>1.4531353816314685</v>
      </c>
      <c r="W126" s="356">
        <f t="shared" si="413"/>
        <v>1.4764952126860063</v>
      </c>
      <c r="X126" s="356">
        <f t="shared" si="413"/>
        <v>1.4370506029671137</v>
      </c>
      <c r="Y126" s="356">
        <f t="shared" ref="Y126:AD126" si="414">Y20</f>
        <v>2.6097333297164047</v>
      </c>
      <c r="Z126" s="356">
        <f t="shared" si="414"/>
        <v>3.0881755478141319</v>
      </c>
      <c r="AA126" s="356">
        <f t="shared" si="414"/>
        <v>3.2092986456579755</v>
      </c>
      <c r="AB126" s="356">
        <f t="shared" si="414"/>
        <v>3.0379310176521801</v>
      </c>
      <c r="AC126" s="356">
        <f t="shared" si="414"/>
        <v>3.3649958579027071</v>
      </c>
      <c r="AD126" s="356">
        <f t="shared" si="414"/>
        <v>2.5455513992585312</v>
      </c>
      <c r="AE126" s="356">
        <f t="shared" ref="AE126:AF126" si="415">AE20</f>
        <v>3.3040677421953082</v>
      </c>
      <c r="AF126" s="356">
        <f t="shared" si="415"/>
        <v>3.773022660515549</v>
      </c>
      <c r="AG126" s="356">
        <f t="shared" ref="AG126:AH126" si="416">AG20</f>
        <v>2.647583744073164</v>
      </c>
      <c r="AH126" s="356">
        <f t="shared" si="416"/>
        <v>3.9226452440549542</v>
      </c>
      <c r="AI126" s="356">
        <f t="shared" ref="AI126" si="417">AI20</f>
        <v>3.9197560160609353</v>
      </c>
      <c r="AJ126" s="357" t="str">
        <f t="shared" si="264"/>
        <v>NA</v>
      </c>
      <c r="AK126" s="357">
        <f t="shared" si="277"/>
        <v>-7.3655092782039006E-4</v>
      </c>
      <c r="AL126" s="357"/>
    </row>
    <row r="127" spans="2:47">
      <c r="B127" s="6" t="s">
        <v>1440</v>
      </c>
      <c r="C127" s="356">
        <f>C27</f>
        <v>19.508959997567821</v>
      </c>
      <c r="D127" s="356">
        <f t="shared" ref="D127:L127" si="418">D27</f>
        <v>18.719462787601117</v>
      </c>
      <c r="E127" s="356">
        <f t="shared" si="418"/>
        <v>21.550453172158644</v>
      </c>
      <c r="F127" s="356">
        <f t="shared" si="418"/>
        <v>22.209565820159433</v>
      </c>
      <c r="G127" s="356">
        <f t="shared" si="418"/>
        <v>24.309329766534255</v>
      </c>
      <c r="H127" s="356">
        <f t="shared" si="418"/>
        <v>21.11806308104892</v>
      </c>
      <c r="I127" s="356">
        <f t="shared" si="418"/>
        <v>19.336238272987909</v>
      </c>
      <c r="J127" s="356">
        <f t="shared" si="418"/>
        <v>19.632812588792206</v>
      </c>
      <c r="K127" s="356">
        <f t="shared" si="418"/>
        <v>18.991174385790437</v>
      </c>
      <c r="L127" s="356">
        <f t="shared" si="418"/>
        <v>15.05096583845658</v>
      </c>
      <c r="M127" s="356">
        <f t="shared" ref="M127:R127" si="419">M27</f>
        <v>35.882449882897561</v>
      </c>
      <c r="N127" s="356">
        <f t="shared" si="419"/>
        <v>47.84126149792592</v>
      </c>
      <c r="O127" s="356">
        <f t="shared" si="419"/>
        <v>41.918924234670499</v>
      </c>
      <c r="P127" s="356">
        <f t="shared" si="419"/>
        <v>46.275896176518664</v>
      </c>
      <c r="Q127" s="356">
        <f t="shared" si="419"/>
        <v>48.662481315630998</v>
      </c>
      <c r="R127" s="356">
        <f t="shared" si="419"/>
        <v>47.552669878629565</v>
      </c>
      <c r="S127" s="356">
        <f t="shared" ref="S127:X127" si="420">S27</f>
        <v>46.476346066172155</v>
      </c>
      <c r="T127" s="356">
        <f t="shared" si="420"/>
        <v>41.828251627125084</v>
      </c>
      <c r="U127" s="356">
        <f t="shared" si="420"/>
        <v>33.478967793935858</v>
      </c>
      <c r="V127" s="356">
        <f t="shared" si="420"/>
        <v>34.095301754220401</v>
      </c>
      <c r="W127" s="356">
        <f t="shared" si="420"/>
        <v>29.831092711053437</v>
      </c>
      <c r="X127" s="356">
        <f t="shared" si="420"/>
        <v>29.187061284242123</v>
      </c>
      <c r="Y127" s="356">
        <f t="shared" ref="Y127:AD127" si="421">Y27</f>
        <v>27.056320471856431</v>
      </c>
      <c r="Z127" s="356">
        <f t="shared" si="421"/>
        <v>21.764648413326455</v>
      </c>
      <c r="AA127" s="356">
        <f t="shared" si="421"/>
        <v>21.626600043234902</v>
      </c>
      <c r="AB127" s="356">
        <f t="shared" si="421"/>
        <v>22.186278560353131</v>
      </c>
      <c r="AC127" s="356">
        <f t="shared" si="421"/>
        <v>19.529039380245276</v>
      </c>
      <c r="AD127" s="356">
        <f t="shared" si="421"/>
        <v>21.099650390484019</v>
      </c>
      <c r="AE127" s="356">
        <f t="shared" ref="AE127:AF127" si="422">AE27</f>
        <v>20.061671070602724</v>
      </c>
      <c r="AF127" s="356">
        <f t="shared" si="422"/>
        <v>17.47925018767976</v>
      </c>
      <c r="AG127" s="356">
        <f>AG27</f>
        <v>17.548655495362741</v>
      </c>
      <c r="AH127" s="356">
        <f>AH27</f>
        <v>16.96048967609271</v>
      </c>
      <c r="AI127" s="356">
        <f>AI27</f>
        <v>16.958327323098519</v>
      </c>
      <c r="AJ127" s="357">
        <f t="shared" si="264"/>
        <v>-0.13074160154038394</v>
      </c>
      <c r="AK127" s="357">
        <f t="shared" si="277"/>
        <v>-1.2749354738492998E-4</v>
      </c>
      <c r="AL127" s="357"/>
    </row>
    <row r="128" spans="2:47">
      <c r="B128" s="4" t="s">
        <v>1480</v>
      </c>
      <c r="C128" s="358">
        <f t="shared" ref="C128:K128" si="423">SUM(C103,C107,C111,C115,C119,C124)</f>
        <v>4746.9107611763911</v>
      </c>
      <c r="D128" s="358">
        <f t="shared" si="423"/>
        <v>4700.2568670290257</v>
      </c>
      <c r="E128" s="358">
        <f t="shared" si="423"/>
        <v>4792.8961914450019</v>
      </c>
      <c r="F128" s="358">
        <f t="shared" si="423"/>
        <v>4909.1099279193968</v>
      </c>
      <c r="G128" s="358">
        <f t="shared" si="423"/>
        <v>4971.4921183987371</v>
      </c>
      <c r="H128" s="358">
        <f t="shared" si="423"/>
        <v>5030.9902119425951</v>
      </c>
      <c r="I128" s="358">
        <f t="shared" si="423"/>
        <v>5205.8721982212037</v>
      </c>
      <c r="J128" s="358">
        <f t="shared" si="423"/>
        <v>5266.2520827818253</v>
      </c>
      <c r="K128" s="358">
        <f t="shared" si="423"/>
        <v>5329.3023926754731</v>
      </c>
      <c r="L128" s="358">
        <f t="shared" ref="L128:Q128" si="424">SUM(L103,L107,L111,L115,L119,L124)</f>
        <v>5374.1646861342397</v>
      </c>
      <c r="M128" s="358">
        <f t="shared" si="424"/>
        <v>5620.5710399981308</v>
      </c>
      <c r="N128" s="358">
        <f t="shared" si="424"/>
        <v>5524.0653658701167</v>
      </c>
      <c r="O128" s="358">
        <f t="shared" si="424"/>
        <v>5565.1845602944495</v>
      </c>
      <c r="P128" s="358">
        <f t="shared" si="424"/>
        <v>5634.4136153853851</v>
      </c>
      <c r="Q128" s="358">
        <f t="shared" si="424"/>
        <v>5713.4982557715184</v>
      </c>
      <c r="R128" s="358">
        <f t="shared" ref="R128:W128" si="425">SUM(R103,R107,R111,R115,R119,R124)</f>
        <v>5739.5565585087497</v>
      </c>
      <c r="S128" s="358">
        <f t="shared" si="425"/>
        <v>5650.9400650318275</v>
      </c>
      <c r="T128" s="358">
        <f t="shared" si="425"/>
        <v>5734.8641814832008</v>
      </c>
      <c r="U128" s="358">
        <f t="shared" si="425"/>
        <v>5547.8591342867239</v>
      </c>
      <c r="V128" s="358">
        <f t="shared" si="425"/>
        <v>5179.5118746219396</v>
      </c>
      <c r="W128" s="358">
        <f t="shared" si="425"/>
        <v>5336.5715852980047</v>
      </c>
      <c r="X128" s="358">
        <f t="shared" ref="X128:AC128" si="426">SUM(X103,X107,X111,X115,X119,X124)</f>
        <v>5204.5445538446747</v>
      </c>
      <c r="Y128" s="358">
        <f t="shared" si="426"/>
        <v>4997.846070047568</v>
      </c>
      <c r="Z128" s="358">
        <f t="shared" si="426"/>
        <v>5119.1697937386971</v>
      </c>
      <c r="AA128" s="358">
        <f t="shared" si="426"/>
        <v>5169.1260393761713</v>
      </c>
      <c r="AB128" s="358">
        <f t="shared" si="426"/>
        <v>5004.3330938460931</v>
      </c>
      <c r="AC128" s="358">
        <f t="shared" si="426"/>
        <v>4907.3297734535845</v>
      </c>
      <c r="AD128" s="358">
        <f>SUM(AD103,AD107,AD111,AD115,AD119,AD124)</f>
        <v>4843.4900631032615</v>
      </c>
      <c r="AE128" s="358">
        <f t="shared" ref="AE128:AF128" si="427">SUM(AE103,AE107,AE111,AE115,AE119,AE124)</f>
        <v>4982.9401553416556</v>
      </c>
      <c r="AF128" s="358">
        <f t="shared" si="427"/>
        <v>4840.9487120861322</v>
      </c>
      <c r="AG128" s="358">
        <f>SUM(AG103,AG107,AG111,AG115,AG119,AG124)</f>
        <v>4329.241200528536</v>
      </c>
      <c r="AH128" s="358">
        <f>SUM(AH103,AH107,AH111,AH115,AH119,AH124)</f>
        <v>4642.6449391491133</v>
      </c>
      <c r="AI128" s="358">
        <f>SUM(AI103,AI107,AI111,AI115,AI119,AI124)</f>
        <v>4689.8828048593914</v>
      </c>
      <c r="AJ128" s="359">
        <f>IFERROR((AI128-$C128)/$C128,"NA")</f>
        <v>-1.2013698842500871E-2</v>
      </c>
      <c r="AK128" s="359">
        <f t="shared" si="277"/>
        <v>1.0174774579883274E-2</v>
      </c>
      <c r="AL128" s="1030"/>
    </row>
    <row r="129" spans="2:38">
      <c r="B129" s="1" t="s">
        <v>1482</v>
      </c>
      <c r="C129" s="361"/>
      <c r="D129" s="361"/>
      <c r="E129" s="361"/>
      <c r="F129" s="361"/>
      <c r="G129" s="361"/>
      <c r="H129" s="361"/>
      <c r="I129" s="361"/>
      <c r="J129" s="361"/>
      <c r="K129" s="361"/>
      <c r="L129" s="361"/>
      <c r="M129" s="684"/>
      <c r="N129" s="684"/>
      <c r="O129" s="361"/>
      <c r="P129" s="361"/>
      <c r="Q129" s="361"/>
      <c r="R129" s="684"/>
      <c r="S129" s="361"/>
      <c r="T129" s="361"/>
      <c r="U129" s="361"/>
      <c r="V129" s="684"/>
      <c r="W129" s="361"/>
      <c r="X129" s="361"/>
      <c r="Y129" s="361"/>
      <c r="Z129" s="361"/>
      <c r="AA129" s="361"/>
      <c r="AB129" s="361"/>
      <c r="AC129" s="361"/>
      <c r="AD129" s="361"/>
      <c r="AE129" s="361"/>
      <c r="AF129" s="361"/>
      <c r="AG129" s="361"/>
      <c r="AH129" s="361"/>
      <c r="AI129" s="361"/>
      <c r="AJ129" s="379"/>
      <c r="AK129" s="379"/>
      <c r="AL129" s="379"/>
    </row>
    <row r="130" spans="2:38">
      <c r="B130" s="1" t="s">
        <v>1483</v>
      </c>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c r="AF130" s="361"/>
      <c r="AG130" s="361"/>
      <c r="AH130" s="361"/>
      <c r="AI130" s="361"/>
      <c r="AJ130" s="374"/>
      <c r="AK130" s="374"/>
      <c r="AL130" s="374"/>
    </row>
    <row r="131" spans="2:38" ht="15">
      <c r="B131" s="85" t="s">
        <v>1507</v>
      </c>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c r="AF131" s="361"/>
      <c r="AG131" s="361"/>
      <c r="AH131" s="361"/>
      <c r="AI131" s="361"/>
      <c r="AJ131" s="374"/>
      <c r="AK131" s="374"/>
      <c r="AL131" s="374"/>
    </row>
    <row r="132" spans="2:38" ht="15">
      <c r="B132" s="1" t="s">
        <v>1485</v>
      </c>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c r="AF132" s="361"/>
      <c r="AG132" s="361"/>
      <c r="AH132" s="361"/>
      <c r="AI132" s="361"/>
      <c r="AJ132" s="374"/>
      <c r="AK132" s="374"/>
      <c r="AL132" s="374"/>
    </row>
    <row r="133" spans="2:38">
      <c r="B133" s="1" t="s">
        <v>1486</v>
      </c>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c r="AF133" s="361"/>
      <c r="AG133" s="361"/>
      <c r="AH133" s="361"/>
      <c r="AI133" s="361"/>
      <c r="AJ133" s="374"/>
      <c r="AK133" s="374"/>
      <c r="AL133" s="374"/>
    </row>
    <row r="134" spans="2:38">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c r="AF134" s="361"/>
      <c r="AG134" s="361"/>
      <c r="AH134" s="361"/>
      <c r="AI134" s="361"/>
      <c r="AJ134" s="374"/>
      <c r="AK134" s="374"/>
      <c r="AL134" s="374"/>
    </row>
    <row r="135" spans="2:38">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c r="AF135" s="361"/>
      <c r="AG135" s="361"/>
      <c r="AH135" s="361"/>
      <c r="AI135" s="361"/>
      <c r="AJ135" s="374"/>
      <c r="AK135" s="374"/>
      <c r="AL135" s="374"/>
    </row>
    <row r="136" spans="2:38" ht="15">
      <c r="B136" s="5" t="s">
        <v>1508</v>
      </c>
      <c r="C136" s="361"/>
      <c r="D136" s="361"/>
      <c r="E136" s="361"/>
      <c r="F136" s="361"/>
      <c r="G136" s="361"/>
      <c r="H136" s="361"/>
      <c r="I136" s="361"/>
      <c r="J136" s="385"/>
      <c r="K136" s="385"/>
      <c r="L136" s="385"/>
      <c r="M136" s="361"/>
      <c r="N136" s="361"/>
      <c r="O136" s="361"/>
      <c r="P136" s="361"/>
      <c r="Q136" s="361"/>
      <c r="R136" s="361"/>
      <c r="S136" s="361"/>
      <c r="T136" s="361"/>
      <c r="U136" s="361"/>
      <c r="V136" s="361"/>
      <c r="W136" s="361"/>
      <c r="X136" s="361"/>
      <c r="Y136" s="361"/>
      <c r="Z136" s="361"/>
      <c r="AA136" s="361"/>
      <c r="AB136" s="361"/>
      <c r="AC136" s="361"/>
      <c r="AD136" s="361"/>
      <c r="AE136" s="361"/>
      <c r="AF136" s="361"/>
      <c r="AG136" s="361"/>
      <c r="AH136" s="361"/>
      <c r="AI136" s="361"/>
      <c r="AJ136" s="374"/>
      <c r="AK136" s="374"/>
      <c r="AL136" s="374"/>
    </row>
    <row r="137" spans="2:38">
      <c r="B137" s="4" t="s">
        <v>1503</v>
      </c>
      <c r="C137" s="352">
        <v>1990</v>
      </c>
      <c r="D137" s="352">
        <v>1991</v>
      </c>
      <c r="E137" s="352">
        <v>1992</v>
      </c>
      <c r="F137" s="352">
        <v>1993</v>
      </c>
      <c r="G137" s="352">
        <v>1994</v>
      </c>
      <c r="H137" s="352">
        <v>1995</v>
      </c>
      <c r="I137" s="352">
        <v>1996</v>
      </c>
      <c r="J137" s="352">
        <v>1997</v>
      </c>
      <c r="K137" s="352">
        <v>1998</v>
      </c>
      <c r="L137" s="352">
        <v>1999</v>
      </c>
      <c r="M137" s="352">
        <v>2000</v>
      </c>
      <c r="N137" s="352">
        <v>2001</v>
      </c>
      <c r="O137" s="352">
        <v>2002</v>
      </c>
      <c r="P137" s="352">
        <v>2003</v>
      </c>
      <c r="Q137" s="352">
        <v>2004</v>
      </c>
      <c r="R137" s="352">
        <v>2005</v>
      </c>
      <c r="S137" s="352">
        <v>2006</v>
      </c>
      <c r="T137" s="352">
        <v>2007</v>
      </c>
      <c r="U137" s="352">
        <v>2008</v>
      </c>
      <c r="V137" s="352">
        <v>2009</v>
      </c>
      <c r="W137" s="352">
        <v>2010</v>
      </c>
      <c r="X137" s="352">
        <v>2011</v>
      </c>
      <c r="Y137" s="352">
        <v>2012</v>
      </c>
      <c r="Z137" s="352">
        <v>2013</v>
      </c>
      <c r="AA137" s="352">
        <v>2014</v>
      </c>
      <c r="AB137" s="352">
        <v>2015</v>
      </c>
      <c r="AC137" s="352">
        <v>2016</v>
      </c>
      <c r="AD137" s="352">
        <v>2017</v>
      </c>
      <c r="AE137" s="352">
        <v>2018</v>
      </c>
      <c r="AF137" s="352">
        <v>2019</v>
      </c>
      <c r="AG137" s="352">
        <v>2020</v>
      </c>
      <c r="AH137" s="352">
        <v>2021</v>
      </c>
      <c r="AI137" s="352">
        <v>2022</v>
      </c>
      <c r="AJ137" s="386" t="s">
        <v>1509</v>
      </c>
      <c r="AK137" s="361"/>
      <c r="AL137" s="361"/>
    </row>
    <row r="138" spans="2:38">
      <c r="B138" s="5" t="s">
        <v>1434</v>
      </c>
      <c r="C138" s="354">
        <f>SUM(C139:C141)</f>
        <v>92.336623813602358</v>
      </c>
      <c r="D138" s="354">
        <f t="shared" ref="D138:L138" si="428">SUM(D139:D141)</f>
        <v>94.830111114673201</v>
      </c>
      <c r="E138" s="354">
        <f t="shared" si="428"/>
        <v>96.536676452715042</v>
      </c>
      <c r="F138" s="354">
        <f t="shared" si="428"/>
        <v>99.840480597458679</v>
      </c>
      <c r="G138" s="354">
        <f t="shared" si="428"/>
        <v>97.376514976882717</v>
      </c>
      <c r="H138" s="354">
        <f t="shared" si="428"/>
        <v>96.309156989495364</v>
      </c>
      <c r="I138" s="354">
        <f t="shared" si="428"/>
        <v>104.58393431794826</v>
      </c>
      <c r="J138" s="354">
        <f t="shared" si="428"/>
        <v>99.55455069731066</v>
      </c>
      <c r="K138" s="354">
        <f t="shared" si="428"/>
        <v>90.439134261285318</v>
      </c>
      <c r="L138" s="354">
        <f t="shared" si="428"/>
        <v>95.701850063777044</v>
      </c>
      <c r="M138" s="354">
        <f t="shared" ref="M138:R138" si="429">SUM(M139:M141)</f>
        <v>101.37352747901767</v>
      </c>
      <c r="N138" s="354">
        <f t="shared" si="429"/>
        <v>99.005494671717088</v>
      </c>
      <c r="O138" s="354">
        <f t="shared" si="429"/>
        <v>98.462471122415195</v>
      </c>
      <c r="P138" s="354">
        <f t="shared" si="429"/>
        <v>103.65800625099646</v>
      </c>
      <c r="Q138" s="354">
        <f t="shared" si="429"/>
        <v>100.62812425557138</v>
      </c>
      <c r="R138" s="354">
        <f t="shared" si="429"/>
        <v>97.802537229883455</v>
      </c>
      <c r="S138" s="354">
        <f t="shared" ref="S138:X138" si="430">SUM(S139:S141)</f>
        <v>87.540571384108787</v>
      </c>
      <c r="T138" s="354">
        <f t="shared" si="430"/>
        <v>92.767261199495479</v>
      </c>
      <c r="U138" s="354">
        <f t="shared" si="430"/>
        <v>94.641982608721122</v>
      </c>
      <c r="V138" s="354">
        <f t="shared" si="430"/>
        <v>91.616648078061047</v>
      </c>
      <c r="W138" s="354">
        <f t="shared" si="430"/>
        <v>91.226016474112669</v>
      </c>
      <c r="X138" s="354">
        <f t="shared" si="430"/>
        <v>88.999889861831889</v>
      </c>
      <c r="Y138" s="354">
        <f t="shared" ref="Y138:AD138" si="431">SUM(Y139:Y141)</f>
        <v>77.054081881683203</v>
      </c>
      <c r="Z138" s="354">
        <f t="shared" si="431"/>
        <v>89.799500877722039</v>
      </c>
      <c r="AA138" s="354">
        <f t="shared" si="431"/>
        <v>94.563789781422187</v>
      </c>
      <c r="AB138" s="354">
        <f t="shared" si="431"/>
        <v>86.622873151573344</v>
      </c>
      <c r="AC138" s="354">
        <f t="shared" si="431"/>
        <v>79.96123555784753</v>
      </c>
      <c r="AD138" s="354">
        <f t="shared" si="431"/>
        <v>80.1724353409233</v>
      </c>
      <c r="AE138" s="354">
        <f t="shared" ref="AE138" si="432">SUM(AE139:AE141)</f>
        <v>92.438092493005229</v>
      </c>
      <c r="AF138" s="354">
        <f>SUM(AF139:AF141)</f>
        <v>93.519507438414664</v>
      </c>
      <c r="AG138" s="354">
        <f>SUM(AG139:AG141)</f>
        <v>85.853189511335586</v>
      </c>
      <c r="AH138" s="354">
        <f>SUM(AH139:AH141)</f>
        <v>86.736434154237998</v>
      </c>
      <c r="AI138" s="354">
        <f>SUM(AI139:AI141)</f>
        <v>90.84540829654884</v>
      </c>
      <c r="AJ138" s="685">
        <f>AI138/AI$163</f>
        <v>7.1025192799176101E-2</v>
      </c>
      <c r="AK138" s="361"/>
      <c r="AL138" s="361"/>
    </row>
    <row r="139" spans="2:38">
      <c r="B139" s="6" t="s">
        <v>1435</v>
      </c>
      <c r="C139" s="356">
        <f>C59</f>
        <v>0.81482597783473965</v>
      </c>
      <c r="D139" s="356">
        <f t="shared" ref="D139:L139" si="433">D59</f>
        <v>0.6659636092711847</v>
      </c>
      <c r="E139" s="356">
        <f t="shared" si="433"/>
        <v>0.67511951437872819</v>
      </c>
      <c r="F139" s="356">
        <f t="shared" si="433"/>
        <v>0.67356894182597427</v>
      </c>
      <c r="G139" s="356">
        <f t="shared" si="433"/>
        <v>0.54386784109167652</v>
      </c>
      <c r="H139" s="356">
        <f t="shared" si="433"/>
        <v>0.45591049498861236</v>
      </c>
      <c r="I139" s="356">
        <f t="shared" si="433"/>
        <v>0.43161277993134528</v>
      </c>
      <c r="J139" s="356">
        <f t="shared" si="433"/>
        <v>0.41404679180633902</v>
      </c>
      <c r="K139" s="356">
        <f t="shared" si="433"/>
        <v>0.3008850982957148</v>
      </c>
      <c r="L139" s="356">
        <f t="shared" si="433"/>
        <v>0.36311947601733591</v>
      </c>
      <c r="M139" s="356">
        <f t="shared" ref="M139:R139" si="434">M59</f>
        <v>0.29529732995005609</v>
      </c>
      <c r="N139" s="356">
        <f t="shared" si="434"/>
        <v>0.31113955046419722</v>
      </c>
      <c r="O139" s="356">
        <f t="shared" si="434"/>
        <v>0.31801382964134439</v>
      </c>
      <c r="P139" s="356">
        <f t="shared" si="434"/>
        <v>0.31875471349859091</v>
      </c>
      <c r="Q139" s="356">
        <f t="shared" si="434"/>
        <v>0.29597819149338533</v>
      </c>
      <c r="R139" s="356">
        <f t="shared" si="434"/>
        <v>0.21961509124761755</v>
      </c>
      <c r="S139" s="356">
        <f t="shared" ref="S139:X139" si="435">S59</f>
        <v>0.1682868172450841</v>
      </c>
      <c r="T139" s="356">
        <f t="shared" si="435"/>
        <v>0.20166405634028989</v>
      </c>
      <c r="U139" s="356">
        <f t="shared" si="435"/>
        <v>0</v>
      </c>
      <c r="V139" s="356">
        <f t="shared" si="435"/>
        <v>0</v>
      </c>
      <c r="W139" s="356">
        <f t="shared" si="435"/>
        <v>0</v>
      </c>
      <c r="X139" s="356">
        <f t="shared" si="435"/>
        <v>0</v>
      </c>
      <c r="Y139" s="356">
        <f t="shared" ref="Y139:AD139" si="436">Y59</f>
        <v>0</v>
      </c>
      <c r="Z139" s="356">
        <f t="shared" si="436"/>
        <v>0</v>
      </c>
      <c r="AA139" s="356">
        <f t="shared" si="436"/>
        <v>0</v>
      </c>
      <c r="AB139" s="356">
        <f t="shared" si="436"/>
        <v>0</v>
      </c>
      <c r="AC139" s="356">
        <f t="shared" si="436"/>
        <v>0</v>
      </c>
      <c r="AD139" s="356">
        <f t="shared" si="436"/>
        <v>0</v>
      </c>
      <c r="AE139" s="356">
        <f t="shared" ref="AE139:AF139" si="437">AE59</f>
        <v>0</v>
      </c>
      <c r="AF139" s="356">
        <f t="shared" si="437"/>
        <v>0</v>
      </c>
      <c r="AG139" s="356">
        <f t="shared" ref="AG139:AH139" si="438">AG59</f>
        <v>0</v>
      </c>
      <c r="AH139" s="356">
        <f t="shared" si="438"/>
        <v>0</v>
      </c>
      <c r="AI139" s="356">
        <f t="shared" ref="AI139" si="439">AI59</f>
        <v>0</v>
      </c>
      <c r="AJ139" s="361"/>
      <c r="AK139" s="361"/>
      <c r="AL139" s="361"/>
    </row>
    <row r="140" spans="2:38">
      <c r="B140" s="6" t="s">
        <v>1439</v>
      </c>
      <c r="C140" s="356">
        <f>C66</f>
        <v>64.853867227368895</v>
      </c>
      <c r="D140" s="356">
        <f t="shared" ref="D140:L140" si="440">D66</f>
        <v>67.449919326729088</v>
      </c>
      <c r="E140" s="356">
        <f t="shared" si="440"/>
        <v>69.434993967233893</v>
      </c>
      <c r="F140" s="356">
        <f t="shared" si="440"/>
        <v>73.153452586678611</v>
      </c>
      <c r="G140" s="356">
        <f t="shared" si="440"/>
        <v>71.711879848734156</v>
      </c>
      <c r="H140" s="356">
        <f t="shared" si="440"/>
        <v>71.663375046808142</v>
      </c>
      <c r="I140" s="356">
        <f t="shared" si="440"/>
        <v>77.452351344186496</v>
      </c>
      <c r="J140" s="356">
        <f t="shared" si="440"/>
        <v>73.670133371983809</v>
      </c>
      <c r="K140" s="356">
        <f t="shared" si="440"/>
        <v>67.129003255601035</v>
      </c>
      <c r="L140" s="356">
        <f t="shared" si="440"/>
        <v>69.921604191284416</v>
      </c>
      <c r="M140" s="356">
        <f t="shared" ref="M140:R140" si="441">M66</f>
        <v>73.856154344186152</v>
      </c>
      <c r="N140" s="356">
        <f t="shared" si="441"/>
        <v>70.68789948754366</v>
      </c>
      <c r="O140" s="356">
        <f t="shared" si="441"/>
        <v>72.287232293292647</v>
      </c>
      <c r="P140" s="356">
        <f t="shared" si="441"/>
        <v>75.320549617856912</v>
      </c>
      <c r="Q140" s="356">
        <f t="shared" si="441"/>
        <v>72.04875712205741</v>
      </c>
      <c r="R140" s="356">
        <f t="shared" si="441"/>
        <v>71.516892427438307</v>
      </c>
      <c r="S140" s="356">
        <f t="shared" ref="S140:X140" si="442">S66</f>
        <v>64.715018079088679</v>
      </c>
      <c r="T140" s="356">
        <f t="shared" si="442"/>
        <v>69.929428054382157</v>
      </c>
      <c r="U140" s="356">
        <f t="shared" si="442"/>
        <v>72.454771488750964</v>
      </c>
      <c r="V140" s="356">
        <f t="shared" si="442"/>
        <v>70.651641286964022</v>
      </c>
      <c r="W140" s="356">
        <f t="shared" si="442"/>
        <v>70.612166188021874</v>
      </c>
      <c r="X140" s="356">
        <f t="shared" si="442"/>
        <v>69.564008544071982</v>
      </c>
      <c r="Y140" s="356">
        <f t="shared" ref="Y140:AD140" si="443">Y66</f>
        <v>61.391311859029869</v>
      </c>
      <c r="Z140" s="356">
        <f t="shared" si="443"/>
        <v>72.641054632119179</v>
      </c>
      <c r="AA140" s="356">
        <f t="shared" si="443"/>
        <v>75.728619659766679</v>
      </c>
      <c r="AB140" s="356">
        <f t="shared" si="443"/>
        <v>68.924703697854369</v>
      </c>
      <c r="AC140" s="356">
        <f t="shared" si="443"/>
        <v>65.013336525501629</v>
      </c>
      <c r="AD140" s="356">
        <f t="shared" si="443"/>
        <v>65.859843827811375</v>
      </c>
      <c r="AE140" s="356">
        <f t="shared" ref="AE140:AF140" si="444">AE66</f>
        <v>74.676645489128518</v>
      </c>
      <c r="AF140" s="356">
        <f t="shared" si="444"/>
        <v>75.127876290552393</v>
      </c>
      <c r="AG140" s="356">
        <f t="shared" ref="AG140:AH140" si="445">AG66</f>
        <v>69.916732480802551</v>
      </c>
      <c r="AH140" s="356">
        <f t="shared" si="445"/>
        <v>70.540108743107183</v>
      </c>
      <c r="AI140" s="356">
        <f t="shared" ref="AI140" si="446">AI66</f>
        <v>74.178223330202741</v>
      </c>
      <c r="AJ140" s="361"/>
      <c r="AK140" s="361"/>
      <c r="AL140" s="361"/>
    </row>
    <row r="141" spans="2:38">
      <c r="B141" s="6" t="s">
        <v>1440</v>
      </c>
      <c r="C141" s="356">
        <f>C73</f>
        <v>26.667930608398727</v>
      </c>
      <c r="D141" s="356">
        <f t="shared" ref="D141:L141" si="447">D73</f>
        <v>26.714228178672919</v>
      </c>
      <c r="E141" s="356">
        <f t="shared" si="447"/>
        <v>26.426562971102424</v>
      </c>
      <c r="F141" s="356">
        <f t="shared" si="447"/>
        <v>26.013459068954084</v>
      </c>
      <c r="G141" s="356">
        <f t="shared" si="447"/>
        <v>25.120767287056882</v>
      </c>
      <c r="H141" s="356">
        <f t="shared" si="447"/>
        <v>24.189871447698604</v>
      </c>
      <c r="I141" s="356">
        <f t="shared" si="447"/>
        <v>26.699970193830417</v>
      </c>
      <c r="J141" s="356">
        <f t="shared" si="447"/>
        <v>25.470370533520509</v>
      </c>
      <c r="K141" s="356">
        <f t="shared" si="447"/>
        <v>23.009245907388575</v>
      </c>
      <c r="L141" s="356">
        <f t="shared" si="447"/>
        <v>25.417126396475304</v>
      </c>
      <c r="M141" s="356">
        <f t="shared" ref="M141:R141" si="448">M73</f>
        <v>27.222075804881463</v>
      </c>
      <c r="N141" s="356">
        <f t="shared" si="448"/>
        <v>28.006455633709237</v>
      </c>
      <c r="O141" s="356">
        <f t="shared" si="448"/>
        <v>25.8572249994812</v>
      </c>
      <c r="P141" s="356">
        <f t="shared" si="448"/>
        <v>28.018701919640968</v>
      </c>
      <c r="Q141" s="356">
        <f t="shared" si="448"/>
        <v>28.283388942020576</v>
      </c>
      <c r="R141" s="356">
        <f t="shared" si="448"/>
        <v>26.066029711197537</v>
      </c>
      <c r="S141" s="356">
        <f t="shared" ref="S141:X141" si="449">S73</f>
        <v>22.657266487775019</v>
      </c>
      <c r="T141" s="356">
        <f t="shared" si="449"/>
        <v>22.636169088773027</v>
      </c>
      <c r="U141" s="356">
        <f t="shared" si="449"/>
        <v>22.187211119970151</v>
      </c>
      <c r="V141" s="356">
        <f t="shared" si="449"/>
        <v>20.965006791097025</v>
      </c>
      <c r="W141" s="356">
        <f t="shared" si="449"/>
        <v>20.613850286090788</v>
      </c>
      <c r="X141" s="356">
        <f t="shared" si="449"/>
        <v>19.435881317759907</v>
      </c>
      <c r="Y141" s="356">
        <f t="shared" ref="Y141:AD141" si="450">Y73</f>
        <v>15.662770022653326</v>
      </c>
      <c r="Z141" s="356">
        <f t="shared" si="450"/>
        <v>17.15844624560286</v>
      </c>
      <c r="AA141" s="356">
        <f t="shared" si="450"/>
        <v>18.835170121655509</v>
      </c>
      <c r="AB141" s="356">
        <f t="shared" si="450"/>
        <v>17.698169453718968</v>
      </c>
      <c r="AC141" s="356">
        <f t="shared" si="450"/>
        <v>14.947899032345903</v>
      </c>
      <c r="AD141" s="356">
        <f t="shared" si="450"/>
        <v>14.312591513111926</v>
      </c>
      <c r="AE141" s="356">
        <f t="shared" ref="AE141:AF141" si="451">AE73</f>
        <v>17.761447003876704</v>
      </c>
      <c r="AF141" s="356">
        <f t="shared" si="451"/>
        <v>18.39163114786227</v>
      </c>
      <c r="AG141" s="356">
        <f t="shared" ref="AG141:AH141" si="452">AG73</f>
        <v>15.936457030533028</v>
      </c>
      <c r="AH141" s="356">
        <f t="shared" si="452"/>
        <v>16.196325411130822</v>
      </c>
      <c r="AI141" s="356">
        <f t="shared" ref="AI141" si="453">AI73</f>
        <v>16.667184966346099</v>
      </c>
      <c r="AJ141" s="361"/>
      <c r="AK141" s="361"/>
      <c r="AL141" s="361"/>
    </row>
    <row r="142" spans="2:38">
      <c r="B142" s="5" t="s">
        <v>1441</v>
      </c>
      <c r="C142" s="354">
        <f>SUM(C143:C145)</f>
        <v>62.26159791608913</v>
      </c>
      <c r="D142" s="354">
        <f t="shared" ref="D142:L142" si="454">SUM(D143:D145)</f>
        <v>63.452786961636363</v>
      </c>
      <c r="E142" s="354">
        <f t="shared" si="454"/>
        <v>62.192128947746603</v>
      </c>
      <c r="F142" s="354">
        <f t="shared" si="454"/>
        <v>60.814221253907995</v>
      </c>
      <c r="G142" s="354">
        <f t="shared" si="454"/>
        <v>61.281166218644159</v>
      </c>
      <c r="H142" s="354">
        <f t="shared" si="454"/>
        <v>62.123752644106872</v>
      </c>
      <c r="I142" s="354">
        <f t="shared" si="454"/>
        <v>64.788627605670797</v>
      </c>
      <c r="J142" s="354">
        <f t="shared" si="454"/>
        <v>64.859689440382539</v>
      </c>
      <c r="K142" s="354">
        <f t="shared" si="454"/>
        <v>60.032183863241862</v>
      </c>
      <c r="L142" s="354">
        <f t="shared" si="454"/>
        <v>60.1991942827134</v>
      </c>
      <c r="M142" s="354">
        <f t="shared" ref="M142:R142" si="455">SUM(M143:M145)</f>
        <v>64.508361504048565</v>
      </c>
      <c r="N142" s="354">
        <f t="shared" si="455"/>
        <v>62.301283453026571</v>
      </c>
      <c r="O142" s="354">
        <f t="shared" si="455"/>
        <v>62.449023069420917</v>
      </c>
      <c r="P142" s="354">
        <f t="shared" si="455"/>
        <v>65.484887606100571</v>
      </c>
      <c r="Q142" s="354">
        <f t="shared" si="455"/>
        <v>64.889955215405152</v>
      </c>
      <c r="R142" s="354">
        <f t="shared" si="455"/>
        <v>61.903377740895131</v>
      </c>
      <c r="S142" s="354">
        <f t="shared" ref="S142:X142" si="456">SUM(S143:S145)</f>
        <v>57.650856213402406</v>
      </c>
      <c r="T142" s="354">
        <f t="shared" si="456"/>
        <v>60.694706970169918</v>
      </c>
      <c r="U142" s="354">
        <f t="shared" si="456"/>
        <v>61.927013848712505</v>
      </c>
      <c r="V142" s="354">
        <f t="shared" si="456"/>
        <v>62.102073081378663</v>
      </c>
      <c r="W142" s="354">
        <f t="shared" si="456"/>
        <v>61.167682455761422</v>
      </c>
      <c r="X142" s="354">
        <f t="shared" si="456"/>
        <v>61.254145990946867</v>
      </c>
      <c r="Y142" s="354">
        <f t="shared" ref="Y142:AD142" si="457">SUM(Y143:Y145)</f>
        <v>54.662485604785516</v>
      </c>
      <c r="Z142" s="354">
        <f t="shared" si="457"/>
        <v>61.179730555077917</v>
      </c>
      <c r="AA142" s="354">
        <f t="shared" si="457"/>
        <v>63.423321922144694</v>
      </c>
      <c r="AB142" s="354">
        <f t="shared" si="457"/>
        <v>66.765033883402964</v>
      </c>
      <c r="AC142" s="354">
        <f t="shared" si="457"/>
        <v>63.234738609450986</v>
      </c>
      <c r="AD142" s="354">
        <f t="shared" si="457"/>
        <v>63.385426337116066</v>
      </c>
      <c r="AE142" s="354">
        <f t="shared" ref="AE142:AF142" si="458">SUM(AE143:AE145)</f>
        <v>67.171927239373346</v>
      </c>
      <c r="AF142" s="354">
        <f t="shared" si="458"/>
        <v>68.65890395353432</v>
      </c>
      <c r="AG142" s="354">
        <f t="shared" ref="AG142:AH142" si="459">SUM(AG143:AG145)</f>
        <v>62.526468784360787</v>
      </c>
      <c r="AH142" s="354">
        <f t="shared" si="459"/>
        <v>64.780263975516803</v>
      </c>
      <c r="AI142" s="354">
        <f t="shared" ref="AI142" si="460">SUM(AI143:AI145)</f>
        <v>66.740186404680358</v>
      </c>
      <c r="AJ142" s="685">
        <f>AI142/AI$163</f>
        <v>5.2179132613634285E-2</v>
      </c>
      <c r="AK142" s="361"/>
      <c r="AL142" s="361"/>
    </row>
    <row r="143" spans="2:38">
      <c r="B143" s="6" t="s">
        <v>1435</v>
      </c>
      <c r="C143" s="356">
        <f>C60</f>
        <v>3.2593039113389586</v>
      </c>
      <c r="D143" s="356">
        <f t="shared" ref="D143:L143" si="461">D60</f>
        <v>3.033805036042919</v>
      </c>
      <c r="E143" s="356">
        <f t="shared" si="461"/>
        <v>3.0754887565410272</v>
      </c>
      <c r="F143" s="356">
        <f t="shared" si="461"/>
        <v>3.0685068940180367</v>
      </c>
      <c r="G143" s="356">
        <f t="shared" si="461"/>
        <v>3.0818481900651351</v>
      </c>
      <c r="H143" s="356">
        <f t="shared" si="461"/>
        <v>3.0511073800200594</v>
      </c>
      <c r="I143" s="356">
        <f t="shared" si="461"/>
        <v>3.1650823085980888</v>
      </c>
      <c r="J143" s="356">
        <f t="shared" si="461"/>
        <v>3.3500455501884692</v>
      </c>
      <c r="K143" s="356">
        <f t="shared" si="461"/>
        <v>2.4344908247625923</v>
      </c>
      <c r="L143" s="356">
        <f t="shared" si="461"/>
        <v>2.6627895829483839</v>
      </c>
      <c r="M143" s="356">
        <f t="shared" ref="M143:R143" si="462">M60</f>
        <v>2.3891836710477543</v>
      </c>
      <c r="N143" s="356">
        <f t="shared" si="462"/>
        <v>2.5174467111236498</v>
      </c>
      <c r="O143" s="356">
        <f t="shared" si="462"/>
        <v>2.3321360367721713</v>
      </c>
      <c r="P143" s="356">
        <f t="shared" si="462"/>
        <v>2.13326468379889</v>
      </c>
      <c r="Q143" s="356">
        <f t="shared" si="462"/>
        <v>2.6637519518484631</v>
      </c>
      <c r="R143" s="356">
        <f t="shared" si="462"/>
        <v>2.5254824227537229</v>
      </c>
      <c r="S143" s="356">
        <f t="shared" ref="S143:X143" si="463">S60</f>
        <v>1.7014879217371648</v>
      </c>
      <c r="T143" s="356">
        <f t="shared" si="463"/>
        <v>1.8148987645582371</v>
      </c>
      <c r="U143" s="356">
        <f t="shared" si="463"/>
        <v>2.0759150674649263</v>
      </c>
      <c r="V143" s="356">
        <f t="shared" si="463"/>
        <v>1.8876257694416578</v>
      </c>
      <c r="W143" s="356">
        <f t="shared" si="463"/>
        <v>1.7935773313770182</v>
      </c>
      <c r="X143" s="356">
        <f t="shared" si="463"/>
        <v>1.5930287657831101</v>
      </c>
      <c r="Y143" s="356">
        <f t="shared" ref="Y143:AD143" si="464">Y60</f>
        <v>1.12725761938264</v>
      </c>
      <c r="Z143" s="356">
        <f t="shared" si="464"/>
        <v>1.0731706660026119</v>
      </c>
      <c r="AA143" s="356">
        <f t="shared" si="464"/>
        <v>1.0406583689529039</v>
      </c>
      <c r="AB143" s="356">
        <f t="shared" si="464"/>
        <v>0.80851967060934637</v>
      </c>
      <c r="AC143" s="356">
        <f t="shared" si="464"/>
        <v>0.61772504721746757</v>
      </c>
      <c r="AD143" s="356">
        <f t="shared" si="464"/>
        <v>0.53888644091644711</v>
      </c>
      <c r="AE143" s="356">
        <f t="shared" ref="AE143:AF143" si="465">AE60</f>
        <v>0.48850748125445337</v>
      </c>
      <c r="AF143" s="356">
        <f t="shared" si="465"/>
        <v>0.43639068933175701</v>
      </c>
      <c r="AG143" s="356">
        <f t="shared" ref="AG143:AH143" si="466">AG60</f>
        <v>0.38034318384093913</v>
      </c>
      <c r="AH143" s="356">
        <f t="shared" si="466"/>
        <v>0.39011370897225583</v>
      </c>
      <c r="AI143" s="356">
        <f t="shared" ref="AI143" si="467">AI60</f>
        <v>0.37858082288786604</v>
      </c>
      <c r="AJ143" s="361"/>
      <c r="AK143" s="361"/>
      <c r="AL143" s="361"/>
    </row>
    <row r="144" spans="2:38">
      <c r="B144" s="6" t="s">
        <v>1439</v>
      </c>
      <c r="C144" s="356">
        <f>C67</f>
        <v>38.734018758021143</v>
      </c>
      <c r="D144" s="356">
        <f t="shared" ref="D144:L144" si="468">D67</f>
        <v>40.398663602715743</v>
      </c>
      <c r="E144" s="356">
        <f t="shared" si="468"/>
        <v>41.493895636020383</v>
      </c>
      <c r="F144" s="356">
        <f t="shared" si="468"/>
        <v>42.234630263402408</v>
      </c>
      <c r="G144" s="356">
        <f t="shared" si="468"/>
        <v>42.825822120518701</v>
      </c>
      <c r="H144" s="356">
        <f t="shared" si="468"/>
        <v>44.784125282219243</v>
      </c>
      <c r="I144" s="356">
        <f t="shared" si="468"/>
        <v>46.669346928607872</v>
      </c>
      <c r="J144" s="356">
        <f t="shared" si="468"/>
        <v>47.522837604455482</v>
      </c>
      <c r="K144" s="356">
        <f t="shared" si="468"/>
        <v>44.544374397624615</v>
      </c>
      <c r="L144" s="356">
        <f t="shared" si="468"/>
        <v>45.049124009742677</v>
      </c>
      <c r="M144" s="356">
        <f t="shared" ref="M144:R144" si="469">M67</f>
        <v>47.044927207739036</v>
      </c>
      <c r="N144" s="356">
        <f t="shared" si="469"/>
        <v>44.781783364796055</v>
      </c>
      <c r="O144" s="356">
        <f t="shared" si="469"/>
        <v>46.490456866210806</v>
      </c>
      <c r="P144" s="356">
        <f t="shared" si="469"/>
        <v>47.14797581954555</v>
      </c>
      <c r="Q144" s="356">
        <f t="shared" si="469"/>
        <v>46.302726228315379</v>
      </c>
      <c r="R144" s="356">
        <f t="shared" si="469"/>
        <v>44.434114112795449</v>
      </c>
      <c r="S144" s="356">
        <f t="shared" ref="S144:X144" si="470">S67</f>
        <v>41.954060917818694</v>
      </c>
      <c r="T144" s="356">
        <f t="shared" si="470"/>
        <v>44.615572084035335</v>
      </c>
      <c r="U144" s="356">
        <f t="shared" si="470"/>
        <v>46.689069347190944</v>
      </c>
      <c r="V144" s="356">
        <f t="shared" si="470"/>
        <v>46.105454106969461</v>
      </c>
      <c r="W144" s="356">
        <f t="shared" si="470"/>
        <v>45.809693315214986</v>
      </c>
      <c r="X144" s="356">
        <f t="shared" si="470"/>
        <v>46.564913986967412</v>
      </c>
      <c r="Y144" s="356">
        <f t="shared" ref="Y144:AD144" si="471">Y67</f>
        <v>42.829853075209876</v>
      </c>
      <c r="Z144" s="356">
        <f t="shared" si="471"/>
        <v>48.878073439481092</v>
      </c>
      <c r="AA144" s="356">
        <f t="shared" si="471"/>
        <v>51.597105756606574</v>
      </c>
      <c r="AB144" s="356">
        <f t="shared" si="471"/>
        <v>47.839568672134341</v>
      </c>
      <c r="AC144" s="356">
        <f t="shared" si="471"/>
        <v>46.511063302829712</v>
      </c>
      <c r="AD144" s="356">
        <f t="shared" si="471"/>
        <v>47.233668047385883</v>
      </c>
      <c r="AE144" s="356">
        <f t="shared" ref="AE144:AF144" si="472">AE67</f>
        <v>52.507741114517813</v>
      </c>
      <c r="AF144" s="356">
        <f t="shared" si="472"/>
        <v>52.613511476938633</v>
      </c>
      <c r="AG144" s="356">
        <f t="shared" ref="AG144:AH144" si="473">AG67</f>
        <v>47.304568014093569</v>
      </c>
      <c r="AH144" s="356">
        <f t="shared" si="473"/>
        <v>49.189861333265654</v>
      </c>
      <c r="AI144" s="356">
        <f t="shared" ref="AI144" si="474">AI67</f>
        <v>52.43520608525094</v>
      </c>
      <c r="AJ144" s="361"/>
      <c r="AK144" s="361"/>
      <c r="AL144" s="361"/>
    </row>
    <row r="145" spans="2:39">
      <c r="B145" s="6" t="s">
        <v>1440</v>
      </c>
      <c r="C145" s="356">
        <f>C74</f>
        <v>20.268275246729029</v>
      </c>
      <c r="D145" s="356">
        <f t="shared" ref="D145:L145" si="475">D74</f>
        <v>20.020318322877696</v>
      </c>
      <c r="E145" s="356">
        <f t="shared" si="475"/>
        <v>17.622744555185193</v>
      </c>
      <c r="F145" s="356">
        <f t="shared" si="475"/>
        <v>15.511084096487549</v>
      </c>
      <c r="G145" s="356">
        <f t="shared" si="475"/>
        <v>15.373495908060317</v>
      </c>
      <c r="H145" s="356">
        <f t="shared" si="475"/>
        <v>14.288519981867573</v>
      </c>
      <c r="I145" s="356">
        <f t="shared" si="475"/>
        <v>14.954198368464835</v>
      </c>
      <c r="J145" s="356">
        <f t="shared" si="475"/>
        <v>13.98680628573859</v>
      </c>
      <c r="K145" s="356">
        <f t="shared" si="475"/>
        <v>13.053318640854657</v>
      </c>
      <c r="L145" s="356">
        <f t="shared" si="475"/>
        <v>12.487280690022338</v>
      </c>
      <c r="M145" s="356">
        <f t="shared" ref="M145:R145" si="476">M74</f>
        <v>15.074250625261772</v>
      </c>
      <c r="N145" s="356">
        <f t="shared" si="476"/>
        <v>15.002053377106867</v>
      </c>
      <c r="O145" s="356">
        <f t="shared" si="476"/>
        <v>13.626430166437945</v>
      </c>
      <c r="P145" s="356">
        <f t="shared" si="476"/>
        <v>16.203647102756133</v>
      </c>
      <c r="Q145" s="356">
        <f t="shared" si="476"/>
        <v>15.923477035241307</v>
      </c>
      <c r="R145" s="356">
        <f t="shared" si="476"/>
        <v>14.943781205345957</v>
      </c>
      <c r="S145" s="356">
        <f t="shared" ref="S145:X145" si="477">S74</f>
        <v>13.995307373846549</v>
      </c>
      <c r="T145" s="356">
        <f t="shared" si="477"/>
        <v>14.264236121576344</v>
      </c>
      <c r="U145" s="356">
        <f t="shared" si="477"/>
        <v>13.162029434056635</v>
      </c>
      <c r="V145" s="356">
        <f t="shared" si="477"/>
        <v>14.10899320496755</v>
      </c>
      <c r="W145" s="356">
        <f t="shared" si="477"/>
        <v>13.564411809169423</v>
      </c>
      <c r="X145" s="356">
        <f t="shared" si="477"/>
        <v>13.096203238196344</v>
      </c>
      <c r="Y145" s="356">
        <f t="shared" ref="Y145:AD145" si="478">Y74</f>
        <v>10.705374910193003</v>
      </c>
      <c r="Z145" s="356">
        <f t="shared" si="478"/>
        <v>11.228486449594216</v>
      </c>
      <c r="AA145" s="356">
        <f t="shared" si="478"/>
        <v>10.78555779658522</v>
      </c>
      <c r="AB145" s="356">
        <f t="shared" si="478"/>
        <v>18.11694554065927</v>
      </c>
      <c r="AC145" s="356">
        <f t="shared" si="478"/>
        <v>16.105950259403809</v>
      </c>
      <c r="AD145" s="356">
        <f t="shared" si="478"/>
        <v>15.612871848813734</v>
      </c>
      <c r="AE145" s="356">
        <f t="shared" ref="AE145:AF145" si="479">AE74</f>
        <v>14.175678643601085</v>
      </c>
      <c r="AF145" s="356">
        <f t="shared" si="479"/>
        <v>15.609001787263932</v>
      </c>
      <c r="AG145" s="356">
        <f t="shared" ref="AG145:AH145" si="480">AG74</f>
        <v>14.841557586426278</v>
      </c>
      <c r="AH145" s="356">
        <f t="shared" si="480"/>
        <v>15.200288933278896</v>
      </c>
      <c r="AI145" s="356">
        <f t="shared" ref="AI145" si="481">AI74</f>
        <v>13.926399496541546</v>
      </c>
      <c r="AJ145" s="361"/>
      <c r="AK145" s="361"/>
      <c r="AL145" s="361"/>
    </row>
    <row r="146" spans="2:39">
      <c r="B146" s="5" t="s">
        <v>1443</v>
      </c>
      <c r="C146" s="354">
        <f>SUM(C147:C149)</f>
        <v>237.58581483706027</v>
      </c>
      <c r="D146" s="354">
        <f t="shared" ref="D146:L146" si="482">SUM(D147:D149)</f>
        <v>234.82301096242315</v>
      </c>
      <c r="E146" s="354">
        <f t="shared" si="482"/>
        <v>240.16727145345871</v>
      </c>
      <c r="F146" s="354">
        <f t="shared" si="482"/>
        <v>240.71982247365125</v>
      </c>
      <c r="G146" s="354">
        <f t="shared" si="482"/>
        <v>240.16350950029141</v>
      </c>
      <c r="H146" s="354">
        <f t="shared" si="482"/>
        <v>245.63723415568396</v>
      </c>
      <c r="I146" s="354">
        <f t="shared" si="482"/>
        <v>250.21508224536043</v>
      </c>
      <c r="J146" s="354">
        <f t="shared" si="482"/>
        <v>248.80434347417059</v>
      </c>
      <c r="K146" s="354">
        <f t="shared" si="482"/>
        <v>246.17836292542856</v>
      </c>
      <c r="L146" s="354">
        <f t="shared" si="482"/>
        <v>232.10347690318497</v>
      </c>
      <c r="M146" s="354">
        <f t="shared" ref="M146:R146" si="483">SUM(M147:M149)</f>
        <v>241.89117498199971</v>
      </c>
      <c r="N146" s="354">
        <f t="shared" si="483"/>
        <v>235.44240577590404</v>
      </c>
      <c r="O146" s="354">
        <f t="shared" si="483"/>
        <v>233.12157029534768</v>
      </c>
      <c r="P146" s="354">
        <f t="shared" si="483"/>
        <v>231.3262695602034</v>
      </c>
      <c r="Q146" s="354">
        <f t="shared" si="483"/>
        <v>238.19461769021822</v>
      </c>
      <c r="R146" s="354">
        <f t="shared" si="483"/>
        <v>230.04618936087178</v>
      </c>
      <c r="S146" s="354">
        <f t="shared" ref="S146:X146" si="484">SUM(S147:S149)</f>
        <v>235.57690539706741</v>
      </c>
      <c r="T146" s="354">
        <f t="shared" si="484"/>
        <v>232.81334663945816</v>
      </c>
      <c r="U146" s="354">
        <f t="shared" si="484"/>
        <v>222.62610219986846</v>
      </c>
      <c r="V146" s="354">
        <f t="shared" si="484"/>
        <v>202.66147367813107</v>
      </c>
      <c r="W146" s="354">
        <f t="shared" si="484"/>
        <v>214.91942009393213</v>
      </c>
      <c r="X146" s="354">
        <f t="shared" si="484"/>
        <v>215.75618031562334</v>
      </c>
      <c r="Y146" s="354">
        <f t="shared" ref="Y146:AD146" si="485">SUM(Y147:Y149)</f>
        <v>217.98389288349478</v>
      </c>
      <c r="Z146" s="354">
        <f t="shared" si="485"/>
        <v>226.40041566828137</v>
      </c>
      <c r="AA146" s="354">
        <f t="shared" si="485"/>
        <v>222.83158166893628</v>
      </c>
      <c r="AB146" s="354">
        <f t="shared" si="485"/>
        <v>216.64296306279567</v>
      </c>
      <c r="AC146" s="354">
        <f t="shared" si="485"/>
        <v>215.27320490056539</v>
      </c>
      <c r="AD146" s="354">
        <f t="shared" si="485"/>
        <v>212.40682082404373</v>
      </c>
      <c r="AE146" s="354">
        <f t="shared" ref="AE146:AF146" si="486">SUM(AE147:AE149)</f>
        <v>219.6037859257996</v>
      </c>
      <c r="AF146" s="354">
        <f t="shared" si="486"/>
        <v>217.67054209145573</v>
      </c>
      <c r="AG146" s="354">
        <f t="shared" ref="AG146:AH146" si="487">SUM(AG147:AG149)</f>
        <v>204.41391958936617</v>
      </c>
      <c r="AH146" s="354">
        <f t="shared" si="487"/>
        <v>209.68181018292779</v>
      </c>
      <c r="AI146" s="354">
        <f t="shared" ref="AI146" si="488">SUM(AI147:AI149)</f>
        <v>211.59791825282059</v>
      </c>
      <c r="AJ146" s="685">
        <f>AI146/AI$163</f>
        <v>0.16543249924918682</v>
      </c>
    </row>
    <row r="147" spans="2:39">
      <c r="B147" s="6" t="s">
        <v>1435</v>
      </c>
      <c r="C147" s="356">
        <f>C61</f>
        <v>43.047011394139815</v>
      </c>
      <c r="D147" s="356">
        <f t="shared" ref="D147:L147" si="489">D61</f>
        <v>42.174059075471398</v>
      </c>
      <c r="E147" s="356">
        <f t="shared" si="489"/>
        <v>40.984081291736345</v>
      </c>
      <c r="F147" s="356">
        <f t="shared" si="489"/>
        <v>41.603942603188628</v>
      </c>
      <c r="G147" s="356">
        <f t="shared" si="489"/>
        <v>41.855188887939327</v>
      </c>
      <c r="H147" s="356">
        <f t="shared" si="489"/>
        <v>40.149732662713802</v>
      </c>
      <c r="I147" s="356">
        <f t="shared" si="489"/>
        <v>38.206194208458498</v>
      </c>
      <c r="J147" s="356">
        <f t="shared" si="489"/>
        <v>38.247178122132567</v>
      </c>
      <c r="K147" s="356">
        <f t="shared" si="489"/>
        <v>38.660619130061967</v>
      </c>
      <c r="L147" s="356">
        <f t="shared" si="489"/>
        <v>36.131097127168566</v>
      </c>
      <c r="M147" s="356">
        <f t="shared" ref="M147:R147" si="490">M61</f>
        <v>35.041065719329843</v>
      </c>
      <c r="N147" s="356">
        <f t="shared" si="490"/>
        <v>35.504075798190122</v>
      </c>
      <c r="O147" s="356">
        <f t="shared" si="490"/>
        <v>32.470293506116853</v>
      </c>
      <c r="P147" s="356">
        <f t="shared" si="490"/>
        <v>32.574147289804223</v>
      </c>
      <c r="Q147" s="356">
        <f t="shared" si="490"/>
        <v>32.845701948496348</v>
      </c>
      <c r="R147" s="356">
        <f t="shared" si="490"/>
        <v>32.138553607575716</v>
      </c>
      <c r="S147" s="356">
        <f t="shared" ref="S147:X147" si="491">S61</f>
        <v>31.521648766259013</v>
      </c>
      <c r="T147" s="356">
        <f t="shared" si="491"/>
        <v>30.211154581560791</v>
      </c>
      <c r="U147" s="356">
        <f t="shared" si="491"/>
        <v>28.929509779922483</v>
      </c>
      <c r="V147" s="356">
        <f t="shared" si="491"/>
        <v>23.745544058274607</v>
      </c>
      <c r="W147" s="356">
        <f t="shared" si="491"/>
        <v>25.681207235561804</v>
      </c>
      <c r="X147" s="356">
        <f t="shared" si="491"/>
        <v>23.44191570190134</v>
      </c>
      <c r="Y147" s="356">
        <f t="shared" ref="Y147:AD147" si="492">Y61</f>
        <v>21.333902662076493</v>
      </c>
      <c r="Z147" s="356">
        <f t="shared" si="492"/>
        <v>21.693769397267815</v>
      </c>
      <c r="AA147" s="356">
        <f t="shared" si="492"/>
        <v>21.611669628436861</v>
      </c>
      <c r="AB147" s="356">
        <f t="shared" si="492"/>
        <v>19.082837434853975</v>
      </c>
      <c r="AC147" s="356">
        <f t="shared" si="492"/>
        <v>17.222810313388916</v>
      </c>
      <c r="AD147" s="356">
        <f t="shared" si="492"/>
        <v>16.001690771129116</v>
      </c>
      <c r="AE147" s="356">
        <f t="shared" ref="AE147:AF147" si="493">AE61</f>
        <v>14.840933223447241</v>
      </c>
      <c r="AF147" s="356">
        <f t="shared" si="493"/>
        <v>13.488597258862674</v>
      </c>
      <c r="AG147" s="356">
        <f t="shared" ref="AG147:AH147" si="494">AG61</f>
        <v>11.718080295791049</v>
      </c>
      <c r="AH147" s="356">
        <f t="shared" si="494"/>
        <v>11.734473090483474</v>
      </c>
      <c r="AI147" s="356">
        <f t="shared" ref="AI147" si="495">AI61</f>
        <v>11.634543435283913</v>
      </c>
      <c r="AJ147" s="361"/>
    </row>
    <row r="148" spans="2:39">
      <c r="B148" s="6" t="s">
        <v>1439</v>
      </c>
      <c r="C148" s="356">
        <f>C68</f>
        <v>111.12015706786966</v>
      </c>
      <c r="D148" s="356">
        <f t="shared" ref="D148:L148" si="496">D68</f>
        <v>112.79848744244143</v>
      </c>
      <c r="E148" s="356">
        <f t="shared" si="496"/>
        <v>117.08383026376161</v>
      </c>
      <c r="F148" s="356">
        <f t="shared" si="496"/>
        <v>119.1769624196538</v>
      </c>
      <c r="G148" s="356">
        <f t="shared" si="496"/>
        <v>119.51145107222831</v>
      </c>
      <c r="H148" s="356">
        <f t="shared" si="496"/>
        <v>125.85490999237847</v>
      </c>
      <c r="I148" s="356">
        <f t="shared" si="496"/>
        <v>130.15283071035998</v>
      </c>
      <c r="J148" s="356">
        <f t="shared" si="496"/>
        <v>130.33258095817095</v>
      </c>
      <c r="K148" s="356">
        <f t="shared" si="496"/>
        <v>127.15324892675233</v>
      </c>
      <c r="L148" s="356">
        <f t="shared" si="496"/>
        <v>121.53312357616065</v>
      </c>
      <c r="M148" s="356">
        <f t="shared" ref="M148:R148" si="497">M68</f>
        <v>124.95946628280581</v>
      </c>
      <c r="N148" s="356">
        <f t="shared" si="497"/>
        <v>114.70912606780296</v>
      </c>
      <c r="O148" s="356">
        <f t="shared" si="497"/>
        <v>116.75725764959643</v>
      </c>
      <c r="P148" s="356">
        <f t="shared" si="497"/>
        <v>113.20528444961253</v>
      </c>
      <c r="Q148" s="356">
        <f t="shared" si="497"/>
        <v>114.24166038623643</v>
      </c>
      <c r="R148" s="356">
        <f t="shared" si="497"/>
        <v>105.75937928009998</v>
      </c>
      <c r="S148" s="356">
        <f t="shared" ref="S148:X148" si="498">S68</f>
        <v>105.66424613143602</v>
      </c>
      <c r="T148" s="356">
        <f t="shared" si="498"/>
        <v>108.26429642149402</v>
      </c>
      <c r="U148" s="356">
        <f t="shared" si="498"/>
        <v>108.7230367179619</v>
      </c>
      <c r="V148" s="356">
        <f t="shared" si="498"/>
        <v>102.05444729395683</v>
      </c>
      <c r="W148" s="356">
        <f t="shared" si="498"/>
        <v>111.0244051048159</v>
      </c>
      <c r="X148" s="356">
        <f t="shared" si="498"/>
        <v>113.77355204761932</v>
      </c>
      <c r="Y148" s="356">
        <f t="shared" ref="Y148:AD148" si="499">Y68</f>
        <v>118.32930370310753</v>
      </c>
      <c r="Z148" s="356">
        <f t="shared" si="499"/>
        <v>122.98257701531469</v>
      </c>
      <c r="AA148" s="356">
        <f t="shared" si="499"/>
        <v>127.07347482657893</v>
      </c>
      <c r="AB148" s="356">
        <f t="shared" si="499"/>
        <v>125.3580763040475</v>
      </c>
      <c r="AC148" s="356">
        <f t="shared" si="499"/>
        <v>126.54070334136402</v>
      </c>
      <c r="AD148" s="356">
        <f t="shared" si="499"/>
        <v>127.67267948078808</v>
      </c>
      <c r="AE148" s="356">
        <f t="shared" ref="AE148:AF148" si="500">AE68</f>
        <v>134.58244901726331</v>
      </c>
      <c r="AF148" s="356">
        <f t="shared" si="500"/>
        <v>136.77504975488631</v>
      </c>
      <c r="AG148" s="356">
        <f t="shared" ref="AG148:AH148" si="501">AG68</f>
        <v>133.55917214224715</v>
      </c>
      <c r="AH148" s="356">
        <f t="shared" si="501"/>
        <v>136.68181802587367</v>
      </c>
      <c r="AI148" s="356">
        <f t="shared" ref="AI148" si="502">AI68</f>
        <v>139.48524398355556</v>
      </c>
      <c r="AJ148" s="361"/>
    </row>
    <row r="149" spans="2:39">
      <c r="B149" s="6" t="s">
        <v>1440</v>
      </c>
      <c r="C149" s="356">
        <f>C75</f>
        <v>83.418646375050798</v>
      </c>
      <c r="D149" s="356">
        <f t="shared" ref="D149:L149" si="503">D75</f>
        <v>79.850464444510308</v>
      </c>
      <c r="E149" s="356">
        <f t="shared" si="503"/>
        <v>82.099359897960738</v>
      </c>
      <c r="F149" s="356">
        <f t="shared" si="503"/>
        <v>79.938917450808816</v>
      </c>
      <c r="G149" s="356">
        <f t="shared" si="503"/>
        <v>78.79686954012378</v>
      </c>
      <c r="H149" s="356">
        <f t="shared" si="503"/>
        <v>79.632591500591701</v>
      </c>
      <c r="I149" s="356">
        <f t="shared" si="503"/>
        <v>81.856057326541958</v>
      </c>
      <c r="J149" s="356">
        <f t="shared" si="503"/>
        <v>80.224584393867076</v>
      </c>
      <c r="K149" s="356">
        <f t="shared" si="503"/>
        <v>80.364494868614258</v>
      </c>
      <c r="L149" s="356">
        <f t="shared" si="503"/>
        <v>74.439256199855762</v>
      </c>
      <c r="M149" s="356">
        <f t="shared" ref="M149:R149" si="504">M75</f>
        <v>81.890642979864069</v>
      </c>
      <c r="N149" s="356">
        <f t="shared" si="504"/>
        <v>85.229203909910936</v>
      </c>
      <c r="O149" s="356">
        <f t="shared" si="504"/>
        <v>83.894019139634395</v>
      </c>
      <c r="P149" s="356">
        <f t="shared" si="504"/>
        <v>85.546837820786649</v>
      </c>
      <c r="Q149" s="356">
        <f t="shared" si="504"/>
        <v>91.107255355485449</v>
      </c>
      <c r="R149" s="356">
        <f t="shared" si="504"/>
        <v>92.148256473196099</v>
      </c>
      <c r="S149" s="356">
        <f t="shared" ref="S149:X149" si="505">S75</f>
        <v>98.391010499372385</v>
      </c>
      <c r="T149" s="356">
        <f t="shared" si="505"/>
        <v>94.337895636403346</v>
      </c>
      <c r="U149" s="356">
        <f t="shared" si="505"/>
        <v>84.973555701984068</v>
      </c>
      <c r="V149" s="356">
        <f t="shared" si="505"/>
        <v>76.86148232589963</v>
      </c>
      <c r="W149" s="356">
        <f t="shared" si="505"/>
        <v>78.21380775355442</v>
      </c>
      <c r="X149" s="356">
        <f t="shared" si="505"/>
        <v>78.540712566102684</v>
      </c>
      <c r="Y149" s="356">
        <f t="shared" ref="Y149:AD149" si="506">Y75</f>
        <v>78.320686518310765</v>
      </c>
      <c r="Z149" s="356">
        <f t="shared" si="506"/>
        <v>81.724069255698836</v>
      </c>
      <c r="AA149" s="356">
        <f t="shared" si="506"/>
        <v>74.146437213920464</v>
      </c>
      <c r="AB149" s="356">
        <f t="shared" si="506"/>
        <v>72.202049323894187</v>
      </c>
      <c r="AC149" s="356">
        <f t="shared" si="506"/>
        <v>71.509691245812462</v>
      </c>
      <c r="AD149" s="356">
        <f t="shared" si="506"/>
        <v>68.732450572126552</v>
      </c>
      <c r="AE149" s="356">
        <f t="shared" ref="AE149:AF149" si="507">AE75</f>
        <v>70.180403685089033</v>
      </c>
      <c r="AF149" s="356">
        <f t="shared" si="507"/>
        <v>67.406895077706736</v>
      </c>
      <c r="AG149" s="356">
        <f t="shared" ref="AG149:AH149" si="508">AG75</f>
        <v>59.136667151327984</v>
      </c>
      <c r="AH149" s="356">
        <f t="shared" si="508"/>
        <v>61.265519066570633</v>
      </c>
      <c r="AI149" s="356">
        <f t="shared" ref="AI149" si="509">AI75</f>
        <v>60.478130833981098</v>
      </c>
      <c r="AJ149" s="361"/>
    </row>
    <row r="150" spans="2:39">
      <c r="B150" s="5" t="s">
        <v>1445</v>
      </c>
      <c r="C150" s="354">
        <f>SUM(C151:C153)</f>
        <v>400.62106203200557</v>
      </c>
      <c r="D150" s="354">
        <f t="shared" ref="D150:L150" si="510">SUM(D151:D153)</f>
        <v>387.90747399228087</v>
      </c>
      <c r="E150" s="354">
        <f t="shared" si="510"/>
        <v>402.99366168016485</v>
      </c>
      <c r="F150" s="354">
        <f t="shared" si="510"/>
        <v>411.4382821214345</v>
      </c>
      <c r="G150" s="354">
        <f t="shared" si="510"/>
        <v>423.80382370247554</v>
      </c>
      <c r="H150" s="354">
        <f t="shared" si="510"/>
        <v>431.09396118795655</v>
      </c>
      <c r="I150" s="354">
        <f t="shared" si="510"/>
        <v>443.82630139692594</v>
      </c>
      <c r="J150" s="354">
        <f t="shared" si="510"/>
        <v>448.2315146559186</v>
      </c>
      <c r="K150" s="354">
        <f t="shared" si="510"/>
        <v>457.88736479402212</v>
      </c>
      <c r="L150" s="354">
        <f t="shared" si="510"/>
        <v>476.27572462509198</v>
      </c>
      <c r="M150" s="354">
        <f t="shared" ref="M150:R150" si="511">SUM(M151:M153)</f>
        <v>488.78233414275837</v>
      </c>
      <c r="N150" s="354">
        <f t="shared" si="511"/>
        <v>480.67201860615501</v>
      </c>
      <c r="O150" s="354">
        <f t="shared" si="511"/>
        <v>491.73227574637701</v>
      </c>
      <c r="P150" s="354">
        <f t="shared" si="511"/>
        <v>494.17753283238363</v>
      </c>
      <c r="Q150" s="354">
        <f t="shared" si="511"/>
        <v>503.24201206752724</v>
      </c>
      <c r="R150" s="354">
        <f t="shared" si="511"/>
        <v>506.87786437388371</v>
      </c>
      <c r="S150" s="354">
        <f t="shared" ref="S150:X150" si="512">SUM(S151:S153)</f>
        <v>507.03627449491478</v>
      </c>
      <c r="T150" s="354">
        <f t="shared" si="512"/>
        <v>507.47386295964725</v>
      </c>
      <c r="U150" s="354">
        <f t="shared" si="512"/>
        <v>479.91308829855893</v>
      </c>
      <c r="V150" s="354">
        <f t="shared" si="512"/>
        <v>460.49470213537961</v>
      </c>
      <c r="W150" s="354">
        <f t="shared" si="512"/>
        <v>462.71305160208118</v>
      </c>
      <c r="X150" s="354">
        <f t="shared" si="512"/>
        <v>455.55751643507767</v>
      </c>
      <c r="Y150" s="354">
        <f t="shared" ref="Y150:AD150" si="513">SUM(Y151:Y153)</f>
        <v>452.56399949210498</v>
      </c>
      <c r="Z150" s="354">
        <f t="shared" si="513"/>
        <v>455.19434187998814</v>
      </c>
      <c r="AA150" s="354">
        <f t="shared" si="513"/>
        <v>465.64001719576419</v>
      </c>
      <c r="AB150" s="354">
        <f t="shared" si="513"/>
        <v>468.6494075550691</v>
      </c>
      <c r="AC150" s="354">
        <f t="shared" si="513"/>
        <v>479.42905773204308</v>
      </c>
      <c r="AD150" s="354">
        <f t="shared" si="513"/>
        <v>485.53849750261355</v>
      </c>
      <c r="AE150" s="354">
        <f t="shared" ref="AE150:AF150" si="514">SUM(AE151:AE153)</f>
        <v>494.4912678498672</v>
      </c>
      <c r="AF150" s="354">
        <f t="shared" si="514"/>
        <v>495.44609288428882</v>
      </c>
      <c r="AG150" s="354">
        <f t="shared" ref="AG150:AH150" si="515">SUM(AG151:AG153)</f>
        <v>428.95096529300753</v>
      </c>
      <c r="AH150" s="354">
        <f t="shared" si="515"/>
        <v>478.23979770530423</v>
      </c>
      <c r="AI150" s="354">
        <f t="shared" ref="AI150" si="516">SUM(AI151:AI153)</f>
        <v>485.66268935687583</v>
      </c>
      <c r="AJ150" s="685">
        <f>AI150/AI$163</f>
        <v>0.37970313297880676</v>
      </c>
    </row>
    <row r="151" spans="2:39">
      <c r="B151" s="6" t="s">
        <v>1435</v>
      </c>
      <c r="C151" s="356" t="str">
        <f>C62</f>
        <v>NO</v>
      </c>
      <c r="D151" s="356" t="str">
        <f t="shared" ref="D151:L151" si="517">D62</f>
        <v>NO</v>
      </c>
      <c r="E151" s="356" t="str">
        <f t="shared" si="517"/>
        <v>NO</v>
      </c>
      <c r="F151" s="356" t="str">
        <f t="shared" si="517"/>
        <v>NO</v>
      </c>
      <c r="G151" s="356" t="str">
        <f t="shared" si="517"/>
        <v>NO</v>
      </c>
      <c r="H151" s="356" t="str">
        <f t="shared" si="517"/>
        <v>NE</v>
      </c>
      <c r="I151" s="356" t="str">
        <f t="shared" si="517"/>
        <v>NO</v>
      </c>
      <c r="J151" s="356" t="str">
        <f t="shared" si="517"/>
        <v>NO</v>
      </c>
      <c r="K151" s="356" t="str">
        <f t="shared" si="517"/>
        <v>NO</v>
      </c>
      <c r="L151" s="356" t="str">
        <f t="shared" si="517"/>
        <v>NO</v>
      </c>
      <c r="M151" s="356" t="str">
        <f t="shared" ref="M151:R151" si="518">M62</f>
        <v>NO</v>
      </c>
      <c r="N151" s="356" t="str">
        <f t="shared" si="518"/>
        <v>NO</v>
      </c>
      <c r="O151" s="356" t="str">
        <f t="shared" si="518"/>
        <v>NO</v>
      </c>
      <c r="P151" s="356" t="str">
        <f t="shared" si="518"/>
        <v>NO</v>
      </c>
      <c r="Q151" s="356" t="str">
        <f t="shared" si="518"/>
        <v>NO</v>
      </c>
      <c r="R151" s="356" t="str">
        <f t="shared" si="518"/>
        <v>NO</v>
      </c>
      <c r="S151" s="356" t="str">
        <f t="shared" ref="S151:X151" si="519">S62</f>
        <v>NO</v>
      </c>
      <c r="T151" s="356" t="str">
        <f t="shared" si="519"/>
        <v>NO</v>
      </c>
      <c r="U151" s="356" t="str">
        <f t="shared" si="519"/>
        <v>NO</v>
      </c>
      <c r="V151" s="356" t="str">
        <f t="shared" si="519"/>
        <v>NO</v>
      </c>
      <c r="W151" s="356" t="str">
        <f t="shared" si="519"/>
        <v>NO</v>
      </c>
      <c r="X151" s="356" t="str">
        <f t="shared" si="519"/>
        <v>NO</v>
      </c>
      <c r="Y151" s="356" t="str">
        <f t="shared" ref="Y151:AD151" si="520">Y62</f>
        <v>NO</v>
      </c>
      <c r="Z151" s="356" t="str">
        <f t="shared" si="520"/>
        <v>NO</v>
      </c>
      <c r="AA151" s="356" t="str">
        <f t="shared" si="520"/>
        <v>NO</v>
      </c>
      <c r="AB151" s="356" t="str">
        <f t="shared" si="520"/>
        <v>NO</v>
      </c>
      <c r="AC151" s="356" t="str">
        <f t="shared" si="520"/>
        <v>NO</v>
      </c>
      <c r="AD151" s="356" t="str">
        <f t="shared" si="520"/>
        <v>NO</v>
      </c>
      <c r="AE151" s="356" t="str">
        <f t="shared" ref="AE151:AF151" si="521">AE62</f>
        <v>NO</v>
      </c>
      <c r="AF151" s="356" t="str">
        <f t="shared" si="521"/>
        <v>NO</v>
      </c>
      <c r="AG151" s="356" t="str">
        <f t="shared" ref="AG151:AH151" si="522">AG62</f>
        <v>NO</v>
      </c>
      <c r="AH151" s="356" t="str">
        <f t="shared" si="522"/>
        <v>NO</v>
      </c>
      <c r="AI151" s="356" t="str">
        <f t="shared" ref="AI151" si="523">AI62</f>
        <v>NO</v>
      </c>
      <c r="AJ151" s="361"/>
    </row>
    <row r="152" spans="2:39">
      <c r="B152" s="6" t="s">
        <v>1439</v>
      </c>
      <c r="C152" s="356">
        <f>C69</f>
        <v>9.8183533169253359</v>
      </c>
      <c r="D152" s="356">
        <f t="shared" ref="D152:L152" si="524">D69</f>
        <v>8.9648177848870496</v>
      </c>
      <c r="E152" s="356">
        <f t="shared" si="524"/>
        <v>8.7882453103483407</v>
      </c>
      <c r="F152" s="356">
        <f t="shared" si="524"/>
        <v>9.3148947229736301</v>
      </c>
      <c r="G152" s="356">
        <f t="shared" si="524"/>
        <v>10.244401417034098</v>
      </c>
      <c r="H152" s="356">
        <f t="shared" si="524"/>
        <v>10.472116362917694</v>
      </c>
      <c r="I152" s="356">
        <f t="shared" si="524"/>
        <v>10.659209364992385</v>
      </c>
      <c r="J152" s="356">
        <f t="shared" si="524"/>
        <v>11.287375493652936</v>
      </c>
      <c r="K152" s="356">
        <f t="shared" si="524"/>
        <v>9.624104688858834</v>
      </c>
      <c r="L152" s="356">
        <f t="shared" si="524"/>
        <v>9.7665962756452736</v>
      </c>
      <c r="M152" s="356">
        <f t="shared" ref="M152:R152" si="525">M69</f>
        <v>9.7227479279746696</v>
      </c>
      <c r="N152" s="356">
        <f t="shared" si="525"/>
        <v>9.5143624969636367</v>
      </c>
      <c r="O152" s="356">
        <f t="shared" si="525"/>
        <v>10.114667454154887</v>
      </c>
      <c r="P152" s="356">
        <f t="shared" si="525"/>
        <v>9.0719321920805616</v>
      </c>
      <c r="Q152" s="356">
        <f t="shared" si="525"/>
        <v>8.7074043655382116</v>
      </c>
      <c r="R152" s="356">
        <f t="shared" si="525"/>
        <v>9.0207057028583151</v>
      </c>
      <c r="S152" s="356">
        <f t="shared" ref="S152:X152" si="526">S69</f>
        <v>9.0362052220359192</v>
      </c>
      <c r="T152" s="356">
        <f t="shared" si="526"/>
        <v>9.5948906812650971</v>
      </c>
      <c r="U152" s="356">
        <f t="shared" si="526"/>
        <v>10.009540963592091</v>
      </c>
      <c r="V152" s="356">
        <f t="shared" si="526"/>
        <v>10.343174621039728</v>
      </c>
      <c r="W152" s="356">
        <f t="shared" si="526"/>
        <v>10.407052669611394</v>
      </c>
      <c r="X152" s="356">
        <f t="shared" si="526"/>
        <v>10.620813881817099</v>
      </c>
      <c r="Y152" s="356">
        <f t="shared" ref="Y152:AD152" si="527">Y69</f>
        <v>11.284911595575783</v>
      </c>
      <c r="Z152" s="356">
        <f t="shared" si="527"/>
        <v>12.831612721509485</v>
      </c>
      <c r="AA152" s="356">
        <f t="shared" si="527"/>
        <v>10.97403345185174</v>
      </c>
      <c r="AB152" s="356">
        <f t="shared" si="527"/>
        <v>10.747065053959071</v>
      </c>
      <c r="AC152" s="356">
        <f t="shared" si="527"/>
        <v>10.925129271464431</v>
      </c>
      <c r="AD152" s="356">
        <f t="shared" si="527"/>
        <v>11.52484343642568</v>
      </c>
      <c r="AE152" s="356">
        <f t="shared" ref="AE152:AF152" si="528">AE69</f>
        <v>13.88602749299063</v>
      </c>
      <c r="AF152" s="356">
        <f t="shared" si="528"/>
        <v>16.071482161005083</v>
      </c>
      <c r="AG152" s="356">
        <f t="shared" ref="AG152:AH152" si="529">AG69</f>
        <v>15.996489375211976</v>
      </c>
      <c r="AH152" s="356">
        <f t="shared" si="529"/>
        <v>17.779367994128567</v>
      </c>
      <c r="AI152" s="356">
        <f t="shared" ref="AI152" si="530">AI69</f>
        <v>19.134902358550743</v>
      </c>
      <c r="AJ152" s="361"/>
    </row>
    <row r="153" spans="2:39">
      <c r="B153" s="6" t="s">
        <v>1440</v>
      </c>
      <c r="C153" s="356">
        <f>C76</f>
        <v>390.80270871508026</v>
      </c>
      <c r="D153" s="356">
        <f t="shared" ref="D153:L153" si="531">D76</f>
        <v>378.94265620739384</v>
      </c>
      <c r="E153" s="356">
        <f t="shared" si="531"/>
        <v>394.20541636981653</v>
      </c>
      <c r="F153" s="356">
        <f t="shared" si="531"/>
        <v>402.12338739846086</v>
      </c>
      <c r="G153" s="356">
        <f t="shared" si="531"/>
        <v>413.55942228544143</v>
      </c>
      <c r="H153" s="356">
        <f t="shared" si="531"/>
        <v>420.62184482503886</v>
      </c>
      <c r="I153" s="356">
        <f t="shared" si="531"/>
        <v>433.16709203193358</v>
      </c>
      <c r="J153" s="356">
        <f t="shared" si="531"/>
        <v>436.94413916226569</v>
      </c>
      <c r="K153" s="356">
        <f t="shared" si="531"/>
        <v>448.26326010516328</v>
      </c>
      <c r="L153" s="356">
        <f t="shared" si="531"/>
        <v>466.50912834944671</v>
      </c>
      <c r="M153" s="356">
        <f t="shared" ref="M153:R153" si="532">M76</f>
        <v>479.05958621478368</v>
      </c>
      <c r="N153" s="356">
        <f t="shared" si="532"/>
        <v>471.15765610919135</v>
      </c>
      <c r="O153" s="356">
        <f t="shared" si="532"/>
        <v>481.61760829222214</v>
      </c>
      <c r="P153" s="356">
        <f t="shared" si="532"/>
        <v>485.10560064030307</v>
      </c>
      <c r="Q153" s="356">
        <f t="shared" si="532"/>
        <v>494.53460770198905</v>
      </c>
      <c r="R153" s="356">
        <f t="shared" si="532"/>
        <v>497.85715867102539</v>
      </c>
      <c r="S153" s="356">
        <f t="shared" ref="S153:X153" si="533">S76</f>
        <v>498.00006927287887</v>
      </c>
      <c r="T153" s="356">
        <f t="shared" si="533"/>
        <v>497.87897227838215</v>
      </c>
      <c r="U153" s="356">
        <f t="shared" si="533"/>
        <v>469.90354733496685</v>
      </c>
      <c r="V153" s="356">
        <f t="shared" si="533"/>
        <v>450.15152751433988</v>
      </c>
      <c r="W153" s="356">
        <f t="shared" si="533"/>
        <v>452.30599893246978</v>
      </c>
      <c r="X153" s="356">
        <f t="shared" si="533"/>
        <v>444.9367025532606</v>
      </c>
      <c r="Y153" s="356">
        <f t="shared" ref="Y153:AD153" si="534">Y76</f>
        <v>441.27908789652918</v>
      </c>
      <c r="Z153" s="356">
        <f t="shared" si="534"/>
        <v>442.36272915847866</v>
      </c>
      <c r="AA153" s="356">
        <f t="shared" si="534"/>
        <v>454.66598374391242</v>
      </c>
      <c r="AB153" s="356">
        <f t="shared" si="534"/>
        <v>457.90234250111001</v>
      </c>
      <c r="AC153" s="356">
        <f t="shared" si="534"/>
        <v>468.50392846057866</v>
      </c>
      <c r="AD153" s="356">
        <f t="shared" si="534"/>
        <v>474.01365406618788</v>
      </c>
      <c r="AE153" s="356">
        <f t="shared" ref="AE153:AF153" si="535">AE76</f>
        <v>480.60524035687655</v>
      </c>
      <c r="AF153" s="356">
        <f t="shared" si="535"/>
        <v>479.37461072328375</v>
      </c>
      <c r="AG153" s="356">
        <f t="shared" ref="AG153:AH153" si="536">AG76</f>
        <v>412.95447591779555</v>
      </c>
      <c r="AH153" s="356">
        <f t="shared" si="536"/>
        <v>460.46042971117566</v>
      </c>
      <c r="AI153" s="356">
        <f t="shared" ref="AI153" si="537">AI76</f>
        <v>466.5277869983251</v>
      </c>
      <c r="AJ153" s="361"/>
      <c r="AM153" s="5" t="s">
        <v>1510</v>
      </c>
    </row>
    <row r="154" spans="2:39">
      <c r="B154" s="5" t="s">
        <v>1474</v>
      </c>
      <c r="C154" s="354">
        <f>SUM(C155:C158)</f>
        <v>496.35016072868183</v>
      </c>
      <c r="D154" s="354">
        <f t="shared" ref="D154:L154" si="538">SUM(D155:D158)</f>
        <v>495.64327758180048</v>
      </c>
      <c r="E154" s="354">
        <f t="shared" si="538"/>
        <v>499.27853439370983</v>
      </c>
      <c r="F154" s="354">
        <f t="shared" si="538"/>
        <v>519.8651110577398</v>
      </c>
      <c r="G154" s="354">
        <f t="shared" si="538"/>
        <v>526.49140195916641</v>
      </c>
      <c r="H154" s="354">
        <f t="shared" si="538"/>
        <v>531.04724669669417</v>
      </c>
      <c r="I154" s="354">
        <f t="shared" si="538"/>
        <v>550.97535559351502</v>
      </c>
      <c r="J154" s="354">
        <f t="shared" si="538"/>
        <v>569.32358269196948</v>
      </c>
      <c r="K154" s="354">
        <f t="shared" si="538"/>
        <v>593.60580685997888</v>
      </c>
      <c r="L154" s="354">
        <f t="shared" si="538"/>
        <v>597.18158800542119</v>
      </c>
      <c r="M154" s="354">
        <f t="shared" ref="M154:R154" si="539">SUM(M155:M158)</f>
        <v>626.22863758674998</v>
      </c>
      <c r="N154" s="354">
        <f t="shared" si="539"/>
        <v>615.60100438441248</v>
      </c>
      <c r="O154" s="354">
        <f t="shared" si="539"/>
        <v>619.69829953946373</v>
      </c>
      <c r="P154" s="354">
        <f t="shared" si="539"/>
        <v>628.27592148598512</v>
      </c>
      <c r="Q154" s="354">
        <f t="shared" si="539"/>
        <v>636.84072595461885</v>
      </c>
      <c r="R154" s="354">
        <f t="shared" si="539"/>
        <v>654.56113244744915</v>
      </c>
      <c r="S154" s="354">
        <f t="shared" ref="S154:X154" si="540">SUM(S155:S158)</f>
        <v>639.38060038638821</v>
      </c>
      <c r="T154" s="354">
        <f t="shared" si="540"/>
        <v>657.58290515671115</v>
      </c>
      <c r="U154" s="354">
        <f t="shared" si="540"/>
        <v>643.4542068305883</v>
      </c>
      <c r="V154" s="354">
        <f t="shared" si="540"/>
        <v>585.09433656994145</v>
      </c>
      <c r="W154" s="354">
        <f t="shared" si="540"/>
        <v>615.99245237819093</v>
      </c>
      <c r="X154" s="354">
        <f t="shared" si="540"/>
        <v>588.56376566360541</v>
      </c>
      <c r="Y154" s="354">
        <f t="shared" ref="Y154:AD154" si="541">SUM(Y155:Y158)</f>
        <v>551.79704098613058</v>
      </c>
      <c r="Z154" s="354">
        <f t="shared" si="541"/>
        <v>555.89185296723724</v>
      </c>
      <c r="AA154" s="354">
        <f t="shared" si="541"/>
        <v>555.59068607614552</v>
      </c>
      <c r="AB154" s="354">
        <f t="shared" si="541"/>
        <v>518.35576079319969</v>
      </c>
      <c r="AC154" s="354">
        <f t="shared" si="541"/>
        <v>493.32859526826286</v>
      </c>
      <c r="AD154" s="354">
        <f t="shared" si="541"/>
        <v>472.37255957601559</v>
      </c>
      <c r="AE154" s="354">
        <f t="shared" ref="AE154:AF154" si="542">SUM(AE155:AE158)</f>
        <v>478.2088276743591</v>
      </c>
      <c r="AF154" s="354">
        <f t="shared" si="542"/>
        <v>438.19658064961061</v>
      </c>
      <c r="AG154" s="354">
        <f t="shared" ref="AG154:AH154" si="543">SUM(AG155:AG158)</f>
        <v>392.6088310643741</v>
      </c>
      <c r="AH154" s="354">
        <f t="shared" si="543"/>
        <v>420.25439450467763</v>
      </c>
      <c r="AI154" s="354">
        <f t="shared" ref="AI154" si="544">SUM(AI155:AI158)</f>
        <v>417.7309302002659</v>
      </c>
      <c r="AJ154" s="685">
        <f>AI154/AI$163</f>
        <v>0.32659239924160466</v>
      </c>
      <c r="AM154" s="686">
        <f>AI154/AH154 - 1</f>
        <v>-6.0046113435314741E-3</v>
      </c>
    </row>
    <row r="155" spans="2:39">
      <c r="B155" s="6" t="s">
        <v>1435</v>
      </c>
      <c r="C155" s="356">
        <f>C63</f>
        <v>421.77650886450402</v>
      </c>
      <c r="D155" s="356">
        <f t="shared" ref="D155:L155" si="545">D63</f>
        <v>421.95667464530385</v>
      </c>
      <c r="E155" s="356">
        <f t="shared" si="545"/>
        <v>427.78404112289132</v>
      </c>
      <c r="F155" s="356">
        <f t="shared" si="545"/>
        <v>444.9869482184144</v>
      </c>
      <c r="G155" s="356">
        <f t="shared" si="545"/>
        <v>446.68713878650135</v>
      </c>
      <c r="H155" s="356">
        <f t="shared" si="545"/>
        <v>452.68933919246467</v>
      </c>
      <c r="I155" s="356">
        <f t="shared" si="545"/>
        <v>477.68819856190441</v>
      </c>
      <c r="J155" s="356">
        <f t="shared" si="545"/>
        <v>489.82333237950644</v>
      </c>
      <c r="K155" s="356">
        <f t="shared" si="545"/>
        <v>498.31300815643164</v>
      </c>
      <c r="L155" s="356">
        <f t="shared" si="545"/>
        <v>500.56424564434161</v>
      </c>
      <c r="M155" s="356">
        <f t="shared" ref="M155:R155" si="546">M63</f>
        <v>525.37230933160845</v>
      </c>
      <c r="N155" s="356">
        <f t="shared" si="546"/>
        <v>509.68214006165073</v>
      </c>
      <c r="O155" s="356">
        <f t="shared" si="546"/>
        <v>515.1530915746896</v>
      </c>
      <c r="P155" s="356">
        <f t="shared" si="546"/>
        <v>526.35181635353547</v>
      </c>
      <c r="Q155" s="356">
        <f t="shared" si="546"/>
        <v>529.64176323843378</v>
      </c>
      <c r="R155" s="356">
        <f t="shared" si="546"/>
        <v>540.75582753554124</v>
      </c>
      <c r="S155" s="356">
        <f t="shared" ref="S155:X155" si="547">S63</f>
        <v>532.55168698317198</v>
      </c>
      <c r="T155" s="356">
        <f t="shared" si="547"/>
        <v>541.70448691341755</v>
      </c>
      <c r="U155" s="356">
        <f t="shared" si="547"/>
        <v>534.1057107637057</v>
      </c>
      <c r="V155" s="356">
        <f t="shared" si="547"/>
        <v>474.58709161211311</v>
      </c>
      <c r="W155" s="356">
        <f t="shared" si="547"/>
        <v>498.3396108074736</v>
      </c>
      <c r="X155" s="356">
        <f t="shared" si="547"/>
        <v>469.73723742624389</v>
      </c>
      <c r="Y155" s="356">
        <f t="shared" ref="Y155:AD155" si="548">Y63</f>
        <v>412.2799378823579</v>
      </c>
      <c r="Z155" s="356">
        <f t="shared" si="548"/>
        <v>428.52303474433756</v>
      </c>
      <c r="AA155" s="356">
        <f t="shared" si="548"/>
        <v>427.78804742948785</v>
      </c>
      <c r="AB155" s="356">
        <f t="shared" si="548"/>
        <v>368.5604758948889</v>
      </c>
      <c r="AC155" s="356">
        <f t="shared" si="548"/>
        <v>338.73181699799721</v>
      </c>
      <c r="AD155" s="356">
        <f t="shared" si="548"/>
        <v>329.20001980692382</v>
      </c>
      <c r="AE155" s="356">
        <f t="shared" ref="AE155:AF155" si="549">AE63</f>
        <v>314.42084264902229</v>
      </c>
      <c r="AF155" s="356">
        <f t="shared" si="549"/>
        <v>265.5108497421985</v>
      </c>
      <c r="AG155" s="356">
        <f t="shared" ref="AG155:AH155" si="550">AG63</f>
        <v>214.95262538138545</v>
      </c>
      <c r="AH155" s="356">
        <f t="shared" si="550"/>
        <v>248.19939769041113</v>
      </c>
      <c r="AI155" s="356">
        <f t="shared" ref="AI155" si="551">AI63</f>
        <v>232.21965174583966</v>
      </c>
      <c r="AJ155" s="361"/>
      <c r="AK155" s="361"/>
      <c r="AL155" s="361"/>
      <c r="AM155" s="686">
        <f>AI155/AH155 - 1</f>
        <v>-6.4382694290433529E-2</v>
      </c>
    </row>
    <row r="156" spans="2:39">
      <c r="B156" s="6" t="s">
        <v>1439</v>
      </c>
      <c r="C156" s="356">
        <f>C70</f>
        <v>47.82546515525496</v>
      </c>
      <c r="D156" s="356">
        <f t="shared" ref="D156:L156" si="552">D70</f>
        <v>48.809022428840962</v>
      </c>
      <c r="E156" s="356">
        <f t="shared" si="552"/>
        <v>50.747634431791205</v>
      </c>
      <c r="F156" s="356">
        <f t="shared" si="552"/>
        <v>51.158823534529432</v>
      </c>
      <c r="G156" s="356">
        <f t="shared" si="552"/>
        <v>57.505804221606041</v>
      </c>
      <c r="H156" s="356">
        <f t="shared" si="552"/>
        <v>62.228905924560451</v>
      </c>
      <c r="I156" s="356">
        <f t="shared" si="552"/>
        <v>55.871128712725543</v>
      </c>
      <c r="J156" s="356">
        <f t="shared" si="552"/>
        <v>59.676389761494264</v>
      </c>
      <c r="K156" s="356">
        <f t="shared" si="552"/>
        <v>67.54530798058866</v>
      </c>
      <c r="L156" s="356">
        <f t="shared" si="552"/>
        <v>70.894149421341893</v>
      </c>
      <c r="M156" s="356">
        <f t="shared" ref="M156:R156" si="553">M70</f>
        <v>76.587559674523789</v>
      </c>
      <c r="N156" s="356">
        <f t="shared" si="553"/>
        <v>78.915989853353281</v>
      </c>
      <c r="O156" s="356">
        <f t="shared" si="553"/>
        <v>83.456932808277173</v>
      </c>
      <c r="P156" s="356">
        <f t="shared" si="553"/>
        <v>75.852926292892846</v>
      </c>
      <c r="Q156" s="356">
        <f t="shared" si="553"/>
        <v>80.931899301280893</v>
      </c>
      <c r="R156" s="356">
        <f t="shared" si="553"/>
        <v>86.961382528558246</v>
      </c>
      <c r="S156" s="356">
        <f t="shared" ref="S156:X156" si="554">S70</f>
        <v>92.1749899164044</v>
      </c>
      <c r="T156" s="356">
        <f t="shared" si="554"/>
        <v>101.30867242838539</v>
      </c>
      <c r="U156" s="356">
        <f t="shared" si="554"/>
        <v>98.75890292234908</v>
      </c>
      <c r="V156" s="356">
        <f t="shared" si="554"/>
        <v>101.60393193053187</v>
      </c>
      <c r="W156" s="356">
        <f t="shared" si="554"/>
        <v>108.96493279791444</v>
      </c>
      <c r="X156" s="356">
        <f t="shared" si="554"/>
        <v>111.66262320041668</v>
      </c>
      <c r="Y156" s="356">
        <f t="shared" ref="Y156:AD156" si="555">Y70</f>
        <v>134.39787171931022</v>
      </c>
      <c r="Z156" s="356">
        <f t="shared" si="555"/>
        <v>121.13616371172652</v>
      </c>
      <c r="AA156" s="356">
        <f t="shared" si="555"/>
        <v>120.78600162657609</v>
      </c>
      <c r="AB156" s="356">
        <f t="shared" si="555"/>
        <v>143.22560201231877</v>
      </c>
      <c r="AC156" s="356">
        <f t="shared" si="555"/>
        <v>148.63421785060726</v>
      </c>
      <c r="AD156" s="356">
        <f t="shared" si="555"/>
        <v>137.90036199683271</v>
      </c>
      <c r="AE156" s="356">
        <f t="shared" ref="AE156" si="556">AE70</f>
        <v>157.61876291652337</v>
      </c>
      <c r="AF156" s="356">
        <f>AF70</f>
        <v>168.17691554466248</v>
      </c>
      <c r="AG156" s="356">
        <f>AG70</f>
        <v>173.14067912662071</v>
      </c>
      <c r="AH156" s="356">
        <f>AH70</f>
        <v>167.12129768368084</v>
      </c>
      <c r="AI156" s="356">
        <f>AI70</f>
        <v>179.8105130832808</v>
      </c>
      <c r="AJ156" s="361"/>
      <c r="AK156" s="361"/>
      <c r="AL156" s="361"/>
      <c r="AM156" s="686">
        <f>AI156/AH156 - 1</f>
        <v>7.5928176572787942E-2</v>
      </c>
    </row>
    <row r="157" spans="2:39">
      <c r="B157" s="6" t="s">
        <v>1440</v>
      </c>
      <c r="C157" s="356">
        <f>C77</f>
        <v>26.601406549199567</v>
      </c>
      <c r="D157" s="356">
        <f t="shared" ref="D157:L157" si="557">D77</f>
        <v>24.730544156486783</v>
      </c>
      <c r="E157" s="356">
        <f t="shared" si="557"/>
        <v>20.598475461090185</v>
      </c>
      <c r="F157" s="356">
        <f t="shared" si="557"/>
        <v>23.567839838145598</v>
      </c>
      <c r="G157" s="356">
        <f t="shared" si="557"/>
        <v>22.158231818475187</v>
      </c>
      <c r="H157" s="356">
        <f t="shared" si="557"/>
        <v>16.012302289952913</v>
      </c>
      <c r="I157" s="356">
        <f t="shared" si="557"/>
        <v>17.289898025345892</v>
      </c>
      <c r="J157" s="356">
        <f t="shared" si="557"/>
        <v>19.692928427634914</v>
      </c>
      <c r="K157" s="356">
        <f t="shared" si="557"/>
        <v>27.617104309224917</v>
      </c>
      <c r="L157" s="356">
        <f t="shared" si="557"/>
        <v>25.590901312922853</v>
      </c>
      <c r="M157" s="356">
        <f t="shared" ref="M157:R157" si="558">M77</f>
        <v>24.143024656417964</v>
      </c>
      <c r="N157" s="356">
        <f t="shared" si="558"/>
        <v>26.880277051416154</v>
      </c>
      <c r="O157" s="356">
        <f t="shared" si="558"/>
        <v>20.960416794233971</v>
      </c>
      <c r="P157" s="356">
        <f t="shared" si="558"/>
        <v>25.943900404878669</v>
      </c>
      <c r="Q157" s="356">
        <f t="shared" si="558"/>
        <v>26.139606027605943</v>
      </c>
      <c r="R157" s="356">
        <f t="shared" si="558"/>
        <v>26.718190281513944</v>
      </c>
      <c r="S157" s="356">
        <f t="shared" ref="S157:X157" si="559">S77</f>
        <v>14.529851573161899</v>
      </c>
      <c r="T157" s="356">
        <f t="shared" si="559"/>
        <v>14.444860606562839</v>
      </c>
      <c r="U157" s="356">
        <f t="shared" si="559"/>
        <v>10.469085746606302</v>
      </c>
      <c r="V157" s="356">
        <f t="shared" si="559"/>
        <v>8.784936897725462</v>
      </c>
      <c r="W157" s="356">
        <f t="shared" si="559"/>
        <v>8.5715445163419037</v>
      </c>
      <c r="X157" s="356">
        <f t="shared" si="559"/>
        <v>7.0449691790293372</v>
      </c>
      <c r="Y157" s="356">
        <f t="shared" ref="Y157:AD157" si="560">Y77</f>
        <v>4.9999387050416519</v>
      </c>
      <c r="Z157" s="356">
        <f t="shared" si="560"/>
        <v>6.1145591219123503</v>
      </c>
      <c r="AA157" s="356">
        <f t="shared" si="560"/>
        <v>6.9011917263382827</v>
      </c>
      <c r="AB157" s="356">
        <f t="shared" si="560"/>
        <v>6.4566678614591364</v>
      </c>
      <c r="AC157" s="356">
        <f t="shared" si="560"/>
        <v>5.8521848944505415</v>
      </c>
      <c r="AD157" s="356">
        <f t="shared" si="560"/>
        <v>5.1601744033376011</v>
      </c>
      <c r="AE157" s="356">
        <f t="shared" ref="AE157:AF157" si="561">AE77</f>
        <v>6.058835139480415</v>
      </c>
      <c r="AF157" s="356">
        <f t="shared" si="561"/>
        <v>4.4076296006973017</v>
      </c>
      <c r="AG157" s="356">
        <f t="shared" ref="AG157:AH157" si="562">AG77</f>
        <v>4.4089376557356514</v>
      </c>
      <c r="AH157" s="356">
        <f t="shared" si="562"/>
        <v>4.8308760688907935</v>
      </c>
      <c r="AI157" s="356">
        <f t="shared" ref="AI157" si="563">AI77</f>
        <v>5.5969770616505317</v>
      </c>
      <c r="AJ157" s="361"/>
      <c r="AK157" s="361"/>
      <c r="AL157" s="361"/>
      <c r="AM157" s="686">
        <f>AI157/AH157 - 1</f>
        <v>0.15858427784831197</v>
      </c>
    </row>
    <row r="158" spans="2:39">
      <c r="B158" s="6" t="s">
        <v>1479</v>
      </c>
      <c r="C158" s="356">
        <f>C79</f>
        <v>0.14678015972326727</v>
      </c>
      <c r="D158" s="356">
        <f t="shared" ref="D158:L158" si="564">D79</f>
        <v>0.14703635116892</v>
      </c>
      <c r="E158" s="356">
        <f t="shared" si="564"/>
        <v>0.1483833779371187</v>
      </c>
      <c r="F158" s="356">
        <f t="shared" si="564"/>
        <v>0.15149946665039554</v>
      </c>
      <c r="G158" s="356">
        <f t="shared" si="564"/>
        <v>0.14022713258380357</v>
      </c>
      <c r="H158" s="356">
        <f t="shared" si="564"/>
        <v>0.11669928971613348</v>
      </c>
      <c r="I158" s="356">
        <f t="shared" si="564"/>
        <v>0.12613029353918059</v>
      </c>
      <c r="J158" s="356">
        <f t="shared" si="564"/>
        <v>0.13093212333391985</v>
      </c>
      <c r="K158" s="356">
        <f t="shared" si="564"/>
        <v>0.13038641373359539</v>
      </c>
      <c r="L158" s="356">
        <f t="shared" si="564"/>
        <v>0.13229162681492998</v>
      </c>
      <c r="M158" s="356">
        <f t="shared" ref="M158:R158" si="565">M79</f>
        <v>0.1257439241996918</v>
      </c>
      <c r="N158" s="356">
        <f t="shared" si="565"/>
        <v>0.12259741799234698</v>
      </c>
      <c r="O158" s="356">
        <f t="shared" si="565"/>
        <v>0.12785836226297057</v>
      </c>
      <c r="P158" s="356">
        <f t="shared" si="565"/>
        <v>0.12727843467817498</v>
      </c>
      <c r="Q158" s="356">
        <f t="shared" si="565"/>
        <v>0.12745738729822706</v>
      </c>
      <c r="R158" s="356">
        <f t="shared" si="565"/>
        <v>0.12573210183579742</v>
      </c>
      <c r="S158" s="356">
        <f t="shared" ref="S158:X158" si="566">S79</f>
        <v>0.12407191364986724</v>
      </c>
      <c r="T158" s="356">
        <f t="shared" si="566"/>
        <v>0.1248852083452679</v>
      </c>
      <c r="U158" s="356">
        <f t="shared" si="566"/>
        <v>0.12050739792720655</v>
      </c>
      <c r="V158" s="356">
        <f t="shared" si="566"/>
        <v>0.11837612957092365</v>
      </c>
      <c r="W158" s="356">
        <f t="shared" si="566"/>
        <v>0.11636425646098691</v>
      </c>
      <c r="X158" s="356">
        <f t="shared" si="566"/>
        <v>0.11893585791552873</v>
      </c>
      <c r="Y158" s="356">
        <f t="shared" ref="Y158:AD158" si="567">Y79</f>
        <v>0.1192926794207891</v>
      </c>
      <c r="Z158" s="356">
        <f t="shared" si="567"/>
        <v>0.11809538926067127</v>
      </c>
      <c r="AA158" s="356">
        <f t="shared" si="567"/>
        <v>0.11544529374324002</v>
      </c>
      <c r="AB158" s="356">
        <f t="shared" si="567"/>
        <v>0.11301502453295564</v>
      </c>
      <c r="AC158" s="356">
        <f t="shared" si="567"/>
        <v>0.110375525207808</v>
      </c>
      <c r="AD158" s="356">
        <f t="shared" si="567"/>
        <v>0.11200336892146064</v>
      </c>
      <c r="AE158" s="356">
        <f t="shared" ref="AE158:AF158" si="568">AE79</f>
        <v>0.11038696933299054</v>
      </c>
      <c r="AF158" s="356">
        <f t="shared" si="568"/>
        <v>0.10118576205230401</v>
      </c>
      <c r="AG158" s="356">
        <f t="shared" ref="AG158:AH158" si="569">AG79</f>
        <v>0.10658890063229891</v>
      </c>
      <c r="AH158" s="356">
        <f t="shared" si="569"/>
        <v>0.10282306169483346</v>
      </c>
      <c r="AI158" s="356">
        <f t="shared" ref="AI158" si="570">AI79</f>
        <v>0.10378830949491273</v>
      </c>
      <c r="AJ158" s="361"/>
      <c r="AK158" s="361"/>
      <c r="AL158" s="361"/>
      <c r="AM158" s="686">
        <f>AI158/AH158 - 1</f>
        <v>9.387464097733389E-3</v>
      </c>
    </row>
    <row r="159" spans="2:39">
      <c r="B159" s="5" t="s">
        <v>1476</v>
      </c>
      <c r="C159" s="354">
        <f>SUM(C160:C162)</f>
        <v>5.4567664479401792</v>
      </c>
      <c r="D159" s="354">
        <f t="shared" ref="D159:L159" si="571">SUM(D160:D162)</f>
        <v>5.2315758496478812</v>
      </c>
      <c r="E159" s="354">
        <f t="shared" si="571"/>
        <v>5.9852338299327554</v>
      </c>
      <c r="F159" s="354">
        <f t="shared" si="571"/>
        <v>6.1702446556431187</v>
      </c>
      <c r="G159" s="354">
        <f t="shared" si="571"/>
        <v>6.7450704785590911</v>
      </c>
      <c r="H159" s="354">
        <f t="shared" si="571"/>
        <v>5.8768879467707684</v>
      </c>
      <c r="I159" s="354">
        <f t="shared" si="571"/>
        <v>5.3940256281808088</v>
      </c>
      <c r="J159" s="354">
        <f t="shared" si="571"/>
        <v>5.4768870716551179</v>
      </c>
      <c r="K159" s="354">
        <f t="shared" si="571"/>
        <v>5.3032543893544428</v>
      </c>
      <c r="L159" s="354">
        <f t="shared" si="571"/>
        <v>4.2194441564223331</v>
      </c>
      <c r="M159" s="354">
        <f t="shared" ref="M159:R159" si="572">SUM(M160:M162)</f>
        <v>10.098975214007066</v>
      </c>
      <c r="N159" s="354">
        <f t="shared" si="572"/>
        <v>13.541074709725798</v>
      </c>
      <c r="O159" s="354">
        <f t="shared" si="572"/>
        <v>12.313967580007171</v>
      </c>
      <c r="P159" s="354">
        <f t="shared" si="572"/>
        <v>13.735641005799266</v>
      </c>
      <c r="Q159" s="354">
        <f t="shared" si="572"/>
        <v>14.431361845255296</v>
      </c>
      <c r="R159" s="354">
        <f t="shared" si="572"/>
        <v>14.142505713039284</v>
      </c>
      <c r="S159" s="354">
        <f t="shared" ref="S159:X159" si="573">SUM(S160:S162)</f>
        <v>13.98026440552597</v>
      </c>
      <c r="T159" s="354">
        <f t="shared" si="573"/>
        <v>12.721784751754596</v>
      </c>
      <c r="U159" s="354">
        <f t="shared" si="573"/>
        <v>10.490097382657618</v>
      </c>
      <c r="V159" s="354">
        <f t="shared" si="573"/>
        <v>10.624914081273767</v>
      </c>
      <c r="W159" s="354">
        <f t="shared" si="573"/>
        <v>9.4099911681047796</v>
      </c>
      <c r="X159" s="354">
        <f t="shared" si="573"/>
        <v>9.2897436905534061</v>
      </c>
      <c r="Y159" s="354">
        <f t="shared" ref="Y159:AD159" si="574">SUM(Y160:Y162)</f>
        <v>8.9874273465923569</v>
      </c>
      <c r="Z159" s="354">
        <f t="shared" si="574"/>
        <v>7.6713745258835386</v>
      </c>
      <c r="AA159" s="354">
        <f t="shared" si="574"/>
        <v>7.7122504581793212</v>
      </c>
      <c r="AB159" s="354">
        <f t="shared" si="574"/>
        <v>7.7820780574393282</v>
      </c>
      <c r="AC159" s="354">
        <f t="shared" si="574"/>
        <v>7.1358334191714246</v>
      </c>
      <c r="AD159" s="354">
        <f t="shared" si="574"/>
        <v>7.076095811086514</v>
      </c>
      <c r="AE159" s="354">
        <f t="shared" ref="AE159:AF159" si="575">SUM(AE160:AE162)</f>
        <v>7.069777547138191</v>
      </c>
      <c r="AF159" s="354">
        <f t="shared" si="575"/>
        <v>6.7671126425501757</v>
      </c>
      <c r="AG159" s="354">
        <f t="shared" ref="AG159:AH159" si="576">SUM(AG160:AG162)</f>
        <v>6.3487713562475525</v>
      </c>
      <c r="AH159" s="354">
        <f t="shared" si="576"/>
        <v>6.4831919725484664</v>
      </c>
      <c r="AI159" s="354">
        <f t="shared" ref="AI159" si="577">SUM(AI160:AI162)</f>
        <v>6.4818142686425908</v>
      </c>
      <c r="AJ159" s="685">
        <f>AI159/AI$163</f>
        <v>5.0676431175914471E-3</v>
      </c>
    </row>
    <row r="160" spans="2:39">
      <c r="B160" s="6" t="s">
        <v>1435</v>
      </c>
      <c r="C160" s="356">
        <f>C64</f>
        <v>0.136140994058046</v>
      </c>
      <c r="D160" s="356">
        <f t="shared" ref="D160:L160" si="578">D64</f>
        <v>0.1262678166657589</v>
      </c>
      <c r="E160" s="356">
        <f t="shared" si="578"/>
        <v>0.10783751025312488</v>
      </c>
      <c r="F160" s="356">
        <f t="shared" si="578"/>
        <v>0.113090341054182</v>
      </c>
      <c r="G160" s="356">
        <f t="shared" si="578"/>
        <v>0.11525326950429432</v>
      </c>
      <c r="H160" s="356">
        <f t="shared" si="578"/>
        <v>0.11741619739378968</v>
      </c>
      <c r="I160" s="356">
        <f t="shared" si="578"/>
        <v>0.12050609918410633</v>
      </c>
      <c r="J160" s="356">
        <f t="shared" si="578"/>
        <v>0.12248363834815312</v>
      </c>
      <c r="K160" s="356">
        <f t="shared" si="578"/>
        <v>0.12384319322977799</v>
      </c>
      <c r="L160" s="356">
        <f t="shared" si="578"/>
        <v>0.11463529138872</v>
      </c>
      <c r="M160" s="356">
        <f t="shared" ref="M160:R160" si="579">M64</f>
        <v>0.12954651464204567</v>
      </c>
      <c r="N160" s="356">
        <f t="shared" si="579"/>
        <v>0.16277155210200167</v>
      </c>
      <c r="O160" s="356">
        <f t="shared" si="579"/>
        <v>0.55182808330799782</v>
      </c>
      <c r="P160" s="356">
        <f t="shared" si="579"/>
        <v>0.72651677040497487</v>
      </c>
      <c r="Q160" s="356">
        <f t="shared" si="579"/>
        <v>0.80337400016696259</v>
      </c>
      <c r="R160" s="356">
        <f t="shared" si="579"/>
        <v>0.82191339969640331</v>
      </c>
      <c r="S160" s="356">
        <f t="shared" ref="S160:X160" si="580">S64</f>
        <v>0.92696999889886322</v>
      </c>
      <c r="T160" s="356">
        <f t="shared" si="580"/>
        <v>0.92791933289666284</v>
      </c>
      <c r="U160" s="356">
        <f t="shared" si="580"/>
        <v>0.93638649484783076</v>
      </c>
      <c r="V160" s="356">
        <f t="shared" si="580"/>
        <v>0.92988577149598328</v>
      </c>
      <c r="W160" s="356">
        <f t="shared" si="580"/>
        <v>0.8715580979940224</v>
      </c>
      <c r="X160" s="356">
        <f t="shared" si="580"/>
        <v>0.9377131758599776</v>
      </c>
      <c r="Y160" s="356">
        <f t="shared" ref="Y160:AD160" si="581">Y64</f>
        <v>0.89668540070885594</v>
      </c>
      <c r="Z160" s="356">
        <f t="shared" si="581"/>
        <v>0.89333162739065053</v>
      </c>
      <c r="AA160" s="356">
        <f t="shared" si="581"/>
        <v>0.93882354302671767</v>
      </c>
      <c r="AB160" s="356">
        <f t="shared" si="581"/>
        <v>0.90274817252878858</v>
      </c>
      <c r="AC160" s="356">
        <f t="shared" si="581"/>
        <v>0.89200562694924701</v>
      </c>
      <c r="AD160" s="356">
        <f t="shared" si="581"/>
        <v>0.62740441388400003</v>
      </c>
      <c r="AE160" s="356">
        <f t="shared" ref="AE160:AF160" si="582">AE64</f>
        <v>0.69730332546600016</v>
      </c>
      <c r="AF160" s="356">
        <f t="shared" si="582"/>
        <v>0.97103822940600015</v>
      </c>
      <c r="AG160" s="356">
        <f t="shared" ref="AG160:AH160" si="583">AG64</f>
        <v>0.8407061091286695</v>
      </c>
      <c r="AH160" s="356">
        <f t="shared" si="583"/>
        <v>0.78779153978092098</v>
      </c>
      <c r="AI160" s="356">
        <f t="shared" ref="AI160" si="584">AI64</f>
        <v>0.78779153978092098</v>
      </c>
      <c r="AJ160" s="361"/>
    </row>
    <row r="161" spans="2:36">
      <c r="B161" s="6" t="s">
        <v>1439</v>
      </c>
      <c r="C161" s="356" t="str">
        <f>C71</f>
        <v>NO</v>
      </c>
      <c r="D161" s="356" t="str">
        <f t="shared" ref="D161:L161" si="585">D71</f>
        <v>NO</v>
      </c>
      <c r="E161" s="356" t="str">
        <f t="shared" si="585"/>
        <v>NO</v>
      </c>
      <c r="F161" s="356" t="str">
        <f t="shared" si="585"/>
        <v>NO</v>
      </c>
      <c r="G161" s="356" t="str">
        <f t="shared" si="585"/>
        <v>NO</v>
      </c>
      <c r="H161" s="356" t="str">
        <f t="shared" si="585"/>
        <v>NO</v>
      </c>
      <c r="I161" s="356" t="str">
        <f t="shared" si="585"/>
        <v>NO</v>
      </c>
      <c r="J161" s="356" t="str">
        <f t="shared" si="585"/>
        <v>NO</v>
      </c>
      <c r="K161" s="356" t="str">
        <f t="shared" si="585"/>
        <v>NO</v>
      </c>
      <c r="L161" s="356" t="str">
        <f t="shared" si="585"/>
        <v>NO</v>
      </c>
      <c r="M161" s="356">
        <f t="shared" ref="M161:R161" si="586">M71</f>
        <v>0.18330600402932129</v>
      </c>
      <c r="N161" s="356">
        <f t="shared" si="586"/>
        <v>0.33068638546218126</v>
      </c>
      <c r="O161" s="356">
        <f t="shared" si="586"/>
        <v>0.32970561451631059</v>
      </c>
      <c r="P161" s="356">
        <f t="shared" si="586"/>
        <v>0.38842527816192729</v>
      </c>
      <c r="Q161" s="356">
        <f t="shared" si="586"/>
        <v>0.3564020317344242</v>
      </c>
      <c r="R161" s="356">
        <f t="shared" si="586"/>
        <v>0.35168234644390711</v>
      </c>
      <c r="S161" s="356">
        <f t="shared" ref="S161:X161" si="587">S71</f>
        <v>0.37792729767106437</v>
      </c>
      <c r="T161" s="356">
        <f t="shared" si="587"/>
        <v>0.38616042964200004</v>
      </c>
      <c r="U161" s="356">
        <f t="shared" si="587"/>
        <v>0.42308330764546204</v>
      </c>
      <c r="V161" s="356">
        <f t="shared" si="587"/>
        <v>0.39630964953585507</v>
      </c>
      <c r="W161" s="356">
        <f t="shared" si="587"/>
        <v>0.40268051255072901</v>
      </c>
      <c r="X161" s="356">
        <f t="shared" si="587"/>
        <v>0.39192289171830375</v>
      </c>
      <c r="Y161" s="356">
        <f t="shared" ref="Y161:AD161" si="588">Y71</f>
        <v>0.71174545355901953</v>
      </c>
      <c r="Z161" s="356">
        <f t="shared" si="588"/>
        <v>0.84222969485839971</v>
      </c>
      <c r="AA161" s="356">
        <f t="shared" si="588"/>
        <v>0.87526326699762969</v>
      </c>
      <c r="AB161" s="356">
        <f t="shared" si="588"/>
        <v>0.82852664117786734</v>
      </c>
      <c r="AC161" s="356">
        <f t="shared" si="588"/>
        <v>0.91772614306437472</v>
      </c>
      <c r="AD161" s="356">
        <f t="shared" si="588"/>
        <v>0.69424129070687224</v>
      </c>
      <c r="AE161" s="356">
        <f t="shared" ref="AE161:AF161" si="589">AE71</f>
        <v>0.90110938423508413</v>
      </c>
      <c r="AF161" s="356">
        <f t="shared" si="589"/>
        <v>1.0290061801406043</v>
      </c>
      <c r="AG161" s="356">
        <f t="shared" ref="AG161:AH161" si="590">AG71</f>
        <v>0.72206829383813564</v>
      </c>
      <c r="AH161" s="356">
        <f t="shared" si="590"/>
        <v>1.0698123392877148</v>
      </c>
      <c r="AI161" s="356">
        <f t="shared" ref="AI161" si="591">AI71</f>
        <v>1.0690243680166187</v>
      </c>
      <c r="AJ161" s="361"/>
    </row>
    <row r="162" spans="2:36">
      <c r="B162" s="6" t="s">
        <v>1440</v>
      </c>
      <c r="C162" s="356">
        <f>C78</f>
        <v>5.3206254538821334</v>
      </c>
      <c r="D162" s="356">
        <f t="shared" ref="D162:L162" si="592">D78</f>
        <v>5.1053080329821228</v>
      </c>
      <c r="E162" s="356">
        <f t="shared" si="592"/>
        <v>5.8773963196796304</v>
      </c>
      <c r="F162" s="356">
        <f t="shared" si="592"/>
        <v>6.0571543145889368</v>
      </c>
      <c r="G162" s="356">
        <f t="shared" si="592"/>
        <v>6.6298172090547967</v>
      </c>
      <c r="H162" s="356">
        <f t="shared" si="592"/>
        <v>5.7594717493769787</v>
      </c>
      <c r="I162" s="356">
        <f t="shared" si="592"/>
        <v>5.2735195289967027</v>
      </c>
      <c r="J162" s="356">
        <f t="shared" si="592"/>
        <v>5.354403433306965</v>
      </c>
      <c r="K162" s="356">
        <f t="shared" si="592"/>
        <v>5.1794111961246649</v>
      </c>
      <c r="L162" s="356">
        <f t="shared" si="592"/>
        <v>4.104808865033613</v>
      </c>
      <c r="M162" s="356">
        <f t="shared" ref="M162:R162" si="593">M78</f>
        <v>9.786122695335699</v>
      </c>
      <c r="N162" s="356">
        <f t="shared" si="593"/>
        <v>13.047616772161616</v>
      </c>
      <c r="O162" s="356">
        <f t="shared" si="593"/>
        <v>11.432433882182863</v>
      </c>
      <c r="P162" s="356">
        <f t="shared" si="593"/>
        <v>12.620698957232364</v>
      </c>
      <c r="Q162" s="356">
        <f t="shared" si="593"/>
        <v>13.271585813353909</v>
      </c>
      <c r="R162" s="356">
        <f t="shared" si="593"/>
        <v>12.968909966898973</v>
      </c>
      <c r="S162" s="356">
        <f t="shared" ref="S162:X162" si="594">S78</f>
        <v>12.675367108956042</v>
      </c>
      <c r="T162" s="356">
        <f t="shared" si="594"/>
        <v>11.407704989215933</v>
      </c>
      <c r="U162" s="356">
        <f t="shared" si="594"/>
        <v>9.130627580164326</v>
      </c>
      <c r="V162" s="356">
        <f t="shared" si="594"/>
        <v>9.2987186602419278</v>
      </c>
      <c r="W162" s="356">
        <f t="shared" si="594"/>
        <v>8.1357525575600285</v>
      </c>
      <c r="X162" s="356">
        <f t="shared" si="594"/>
        <v>7.9601076229751246</v>
      </c>
      <c r="Y162" s="356">
        <f t="shared" ref="Y162:AD162" si="595">Y78</f>
        <v>7.3789964923244815</v>
      </c>
      <c r="Z162" s="356">
        <f t="shared" si="595"/>
        <v>5.9358132036344884</v>
      </c>
      <c r="AA162" s="356">
        <f t="shared" si="595"/>
        <v>5.8981636481549735</v>
      </c>
      <c r="AB162" s="356">
        <f t="shared" si="595"/>
        <v>6.0508032437326724</v>
      </c>
      <c r="AC162" s="356">
        <f t="shared" si="595"/>
        <v>5.3261016491578026</v>
      </c>
      <c r="AD162" s="356">
        <f t="shared" si="595"/>
        <v>5.7544501064956419</v>
      </c>
      <c r="AE162" s="356">
        <f t="shared" ref="AE162:AF162" si="596">AE78</f>
        <v>5.4713648374371067</v>
      </c>
      <c r="AF162" s="356">
        <f t="shared" si="596"/>
        <v>4.7670682330035712</v>
      </c>
      <c r="AG162" s="356">
        <f t="shared" ref="AG162:AH162" si="597">AG78</f>
        <v>4.7859969532807476</v>
      </c>
      <c r="AH162" s="356">
        <f t="shared" si="597"/>
        <v>4.6255880934798306</v>
      </c>
      <c r="AI162" s="356">
        <f t="shared" ref="AI162" si="598">AI78</f>
        <v>4.6249983608450513</v>
      </c>
      <c r="AJ162" s="361"/>
    </row>
    <row r="163" spans="2:36">
      <c r="B163" s="4" t="s">
        <v>1480</v>
      </c>
      <c r="C163" s="358">
        <f t="shared" ref="C163:L163" si="599">SUM(C138,C142,C146,C150,C154,C159)</f>
        <v>1294.6120257753794</v>
      </c>
      <c r="D163" s="358">
        <f t="shared" si="599"/>
        <v>1281.8882364624619</v>
      </c>
      <c r="E163" s="358">
        <f t="shared" si="599"/>
        <v>1307.1535067577277</v>
      </c>
      <c r="F163" s="358">
        <f t="shared" si="599"/>
        <v>1338.8481621598353</v>
      </c>
      <c r="G163" s="358">
        <f t="shared" si="599"/>
        <v>1355.8614868360194</v>
      </c>
      <c r="H163" s="358">
        <f t="shared" si="599"/>
        <v>1372.0882396207076</v>
      </c>
      <c r="I163" s="358">
        <f t="shared" si="599"/>
        <v>1419.7833267876013</v>
      </c>
      <c r="J163" s="358">
        <f t="shared" si="599"/>
        <v>1436.2505680314068</v>
      </c>
      <c r="K163" s="358">
        <f t="shared" si="599"/>
        <v>1453.4461070933112</v>
      </c>
      <c r="L163" s="358">
        <f t="shared" si="599"/>
        <v>1465.6812780366108</v>
      </c>
      <c r="M163" s="358">
        <f t="shared" ref="M163:T163" si="600">SUM(M138,M142,M146,M150,M154,M159)</f>
        <v>1532.8830109085816</v>
      </c>
      <c r="N163" s="358">
        <f t="shared" si="600"/>
        <v>1506.5632816009411</v>
      </c>
      <c r="O163" s="358">
        <f t="shared" si="600"/>
        <v>1517.7776073530317</v>
      </c>
      <c r="P163" s="358">
        <f t="shared" si="600"/>
        <v>1536.6582587414682</v>
      </c>
      <c r="Q163" s="358">
        <f t="shared" si="600"/>
        <v>1558.2267970285961</v>
      </c>
      <c r="R163" s="358">
        <f t="shared" si="600"/>
        <v>1565.3336068660226</v>
      </c>
      <c r="S163" s="358">
        <f>SUM(S138,S142,S146,S150,S154,S159)</f>
        <v>1541.1654722814076</v>
      </c>
      <c r="T163" s="358">
        <f t="shared" si="600"/>
        <v>1564.0538676772364</v>
      </c>
      <c r="U163" s="358">
        <f t="shared" ref="U163:Z163" si="601">SUM(U138,U142,U146,U150,U154,U159)</f>
        <v>1513.052491169107</v>
      </c>
      <c r="V163" s="358">
        <f t="shared" si="601"/>
        <v>1412.5941476241655</v>
      </c>
      <c r="W163" s="358">
        <f t="shared" si="601"/>
        <v>1455.4286141721832</v>
      </c>
      <c r="X163" s="358">
        <f t="shared" si="601"/>
        <v>1419.4212419576386</v>
      </c>
      <c r="Y163" s="358">
        <f t="shared" si="601"/>
        <v>1363.0489281947914</v>
      </c>
      <c r="Z163" s="358">
        <f t="shared" si="601"/>
        <v>1396.1372164741902</v>
      </c>
      <c r="AA163" s="358">
        <f>SUM(AA138,AA142,AA146,AA150,AA154,AA159)</f>
        <v>1409.7616471025922</v>
      </c>
      <c r="AB163" s="358">
        <f>SUM(AB138,AB142,AB146,AB150,AB154,AB159)</f>
        <v>1364.8181165034803</v>
      </c>
      <c r="AC163" s="358">
        <f>SUM(AC138,AC142,AC146,AC150,AC154,AC159)</f>
        <v>1338.3626654873412</v>
      </c>
      <c r="AD163" s="358">
        <f>SUM(AD138,AD142,AD146,AD150,AD154,AD159)</f>
        <v>1320.9518353917988</v>
      </c>
      <c r="AE163" s="358">
        <f t="shared" ref="AE163:AF163" si="602">SUM(AE138,AE142,AE146,AE150,AE154,AE159)</f>
        <v>1358.9836787295428</v>
      </c>
      <c r="AF163" s="358">
        <f t="shared" si="602"/>
        <v>1320.2587396598544</v>
      </c>
      <c r="AG163" s="358">
        <f t="shared" ref="AG163:AH163" si="603">SUM(AG138,AG142,AG146,AG150,AG154,AG159)</f>
        <v>1180.7021455986917</v>
      </c>
      <c r="AH163" s="358">
        <f t="shared" si="603"/>
        <v>1266.1758924952128</v>
      </c>
      <c r="AI163" s="358">
        <f t="shared" ref="AI163" si="604">SUM(AI138,AI142,AI146,AI150,AI154,AI159)</f>
        <v>1279.0589467798341</v>
      </c>
      <c r="AJ163" s="685">
        <f>AI163/AI$163</f>
        <v>1</v>
      </c>
    </row>
    <row r="164" spans="2:36">
      <c r="B164" s="1" t="s">
        <v>1482</v>
      </c>
      <c r="S164" s="238"/>
      <c r="T164" s="238"/>
      <c r="U164" s="238"/>
      <c r="V164" s="238"/>
      <c r="W164" s="238"/>
      <c r="X164" s="238"/>
      <c r="Y164" s="238"/>
      <c r="Z164" s="238"/>
      <c r="AA164" s="238"/>
      <c r="AB164" s="238"/>
      <c r="AC164" s="238"/>
      <c r="AD164" s="238"/>
      <c r="AE164" s="238"/>
      <c r="AF164" s="238"/>
      <c r="AG164" s="238"/>
      <c r="AH164" s="238"/>
      <c r="AI164" s="238"/>
      <c r="AJ164" s="238"/>
    </row>
    <row r="165" spans="2:36">
      <c r="B165" s="1" t="s">
        <v>1483</v>
      </c>
      <c r="S165" s="238"/>
      <c r="T165" s="238"/>
      <c r="U165" s="238"/>
      <c r="V165" s="238"/>
      <c r="W165" s="238"/>
      <c r="X165" s="238"/>
      <c r="Y165" s="238"/>
      <c r="Z165" s="238"/>
      <c r="AA165" s="238"/>
      <c r="AB165" s="238"/>
      <c r="AC165" s="238"/>
      <c r="AD165" s="238"/>
      <c r="AE165" s="238"/>
      <c r="AF165" s="238"/>
      <c r="AG165" s="238"/>
      <c r="AH165" s="238"/>
      <c r="AI165" s="238"/>
      <c r="AJ165" s="238"/>
    </row>
    <row r="166" spans="2:36">
      <c r="B166" s="85" t="s">
        <v>1511</v>
      </c>
      <c r="S166" s="238"/>
      <c r="T166" s="238"/>
      <c r="U166" s="238"/>
      <c r="V166" s="238"/>
      <c r="W166" s="238"/>
      <c r="X166" s="238"/>
      <c r="Y166" s="238"/>
      <c r="Z166" s="238"/>
      <c r="AA166" s="238"/>
      <c r="AB166" s="238"/>
      <c r="AC166" s="238"/>
      <c r="AD166" s="238"/>
      <c r="AE166" s="238"/>
      <c r="AF166" s="238"/>
      <c r="AG166" s="238"/>
      <c r="AH166" s="238"/>
      <c r="AI166" s="238"/>
      <c r="AJ166" s="238"/>
    </row>
    <row r="167" spans="2:36" ht="15">
      <c r="B167" s="1" t="s">
        <v>1485</v>
      </c>
      <c r="S167" s="238"/>
      <c r="T167" s="238"/>
      <c r="U167" s="238"/>
      <c r="V167" s="238"/>
      <c r="W167" s="238"/>
      <c r="X167" s="238"/>
      <c r="Y167" s="238"/>
      <c r="Z167" s="238"/>
      <c r="AA167" s="238"/>
      <c r="AB167" s="238"/>
      <c r="AC167" s="238"/>
      <c r="AD167" s="238"/>
      <c r="AE167" s="238"/>
      <c r="AF167" s="238"/>
      <c r="AG167" s="238"/>
      <c r="AH167" s="238"/>
      <c r="AI167" s="238"/>
      <c r="AJ167" s="238"/>
    </row>
    <row r="168" spans="2:36">
      <c r="B168" s="1" t="s">
        <v>1486</v>
      </c>
      <c r="S168" s="238"/>
      <c r="T168" s="238"/>
      <c r="U168" s="238"/>
      <c r="V168" s="238"/>
      <c r="W168" s="238"/>
      <c r="X168" s="238"/>
      <c r="Y168" s="238"/>
      <c r="Z168" s="238"/>
      <c r="AA168" s="238"/>
      <c r="AB168" s="238"/>
      <c r="AC168" s="238"/>
      <c r="AD168" s="238"/>
      <c r="AE168" s="238"/>
      <c r="AF168" s="238"/>
      <c r="AG168" s="238"/>
      <c r="AH168" s="238"/>
      <c r="AI168" s="238"/>
      <c r="AJ168" s="238"/>
    </row>
    <row r="169" spans="2:36">
      <c r="S169" s="238"/>
      <c r="T169" s="238"/>
      <c r="U169" s="238"/>
      <c r="V169" s="238"/>
      <c r="W169" s="238"/>
      <c r="X169" s="238"/>
      <c r="Y169" s="238"/>
      <c r="Z169" s="238"/>
      <c r="AA169" s="238"/>
      <c r="AB169" s="238"/>
      <c r="AC169" s="238"/>
      <c r="AD169" s="238"/>
      <c r="AE169" s="238"/>
      <c r="AF169" s="238"/>
      <c r="AG169" s="238"/>
      <c r="AH169" s="238"/>
      <c r="AI169" s="238"/>
      <c r="AJ169" s="238"/>
    </row>
    <row r="170" spans="2:36">
      <c r="S170" s="238"/>
      <c r="T170" s="238"/>
      <c r="U170" s="238"/>
      <c r="V170" s="238"/>
      <c r="W170" s="238"/>
      <c r="X170" s="238"/>
      <c r="Y170" s="238"/>
      <c r="Z170" s="238"/>
      <c r="AA170" s="238"/>
      <c r="AB170" s="238"/>
      <c r="AC170" s="238"/>
      <c r="AD170" s="238"/>
      <c r="AE170" s="238"/>
      <c r="AF170" s="238"/>
      <c r="AG170" s="238"/>
      <c r="AH170" s="238"/>
      <c r="AI170" s="238"/>
      <c r="AJ170" s="238"/>
    </row>
    <row r="171" spans="2:36">
      <c r="S171" s="238"/>
      <c r="T171" s="238"/>
      <c r="U171" s="238"/>
      <c r="V171" s="238"/>
      <c r="W171" s="238"/>
      <c r="X171" s="238"/>
      <c r="Y171" s="238"/>
      <c r="Z171" s="238"/>
      <c r="AA171" s="238"/>
      <c r="AB171" s="238"/>
      <c r="AC171" s="238"/>
      <c r="AD171" s="238"/>
      <c r="AE171" s="238"/>
      <c r="AF171" s="238"/>
      <c r="AG171" s="238"/>
      <c r="AH171" s="238"/>
      <c r="AI171" s="238"/>
      <c r="AJ171" s="238"/>
    </row>
    <row r="172" spans="2:36">
      <c r="S172" s="238"/>
      <c r="T172" s="238"/>
      <c r="U172" s="238"/>
      <c r="V172" s="238"/>
      <c r="W172" s="238"/>
      <c r="X172" s="238"/>
      <c r="Y172" s="238"/>
      <c r="Z172" s="238"/>
      <c r="AA172" s="238"/>
      <c r="AB172" s="238"/>
      <c r="AC172" s="238"/>
      <c r="AD172" s="238"/>
      <c r="AE172" s="238"/>
      <c r="AF172" s="238"/>
      <c r="AG172" s="238"/>
      <c r="AH172" s="238"/>
      <c r="AI172" s="238"/>
      <c r="AJ172" s="238"/>
    </row>
    <row r="173" spans="2:36">
      <c r="S173" s="238"/>
      <c r="T173" s="238"/>
      <c r="U173" s="238"/>
      <c r="V173" s="238"/>
      <c r="W173" s="238"/>
      <c r="X173" s="238"/>
      <c r="Y173" s="238"/>
      <c r="Z173" s="238"/>
      <c r="AA173" s="238"/>
      <c r="AB173" s="238"/>
      <c r="AC173" s="238"/>
      <c r="AD173" s="238"/>
      <c r="AE173" s="238"/>
      <c r="AF173" s="238"/>
      <c r="AG173" s="238"/>
      <c r="AH173" s="238"/>
      <c r="AI173" s="238"/>
      <c r="AJ173" s="238"/>
    </row>
    <row r="174" spans="2:36">
      <c r="S174" s="238"/>
      <c r="T174" s="238"/>
      <c r="U174" s="238"/>
      <c r="V174" s="238"/>
      <c r="W174" s="238"/>
      <c r="X174" s="238"/>
      <c r="Y174" s="238"/>
      <c r="Z174" s="238"/>
      <c r="AA174" s="238"/>
      <c r="AB174" s="238"/>
      <c r="AC174" s="238"/>
      <c r="AD174" s="238"/>
      <c r="AE174" s="238"/>
      <c r="AF174" s="238"/>
      <c r="AG174" s="238"/>
      <c r="AH174" s="238"/>
      <c r="AI174" s="238"/>
      <c r="AJ174" s="238"/>
    </row>
    <row r="175" spans="2:36">
      <c r="S175" s="238"/>
      <c r="T175" s="238"/>
      <c r="U175" s="238"/>
      <c r="V175" s="238"/>
      <c r="W175" s="238"/>
      <c r="X175" s="238"/>
      <c r="Y175" s="238"/>
      <c r="Z175" s="238"/>
      <c r="AA175" s="238"/>
      <c r="AB175" s="238"/>
      <c r="AC175" s="238"/>
      <c r="AD175" s="238"/>
      <c r="AE175" s="238"/>
      <c r="AF175" s="238"/>
      <c r="AG175" s="238"/>
      <c r="AH175" s="238"/>
      <c r="AI175" s="238"/>
      <c r="AJ175" s="238"/>
    </row>
    <row r="176" spans="2:36">
      <c r="S176" s="238"/>
      <c r="T176" s="238"/>
      <c r="U176" s="238"/>
      <c r="V176" s="238"/>
      <c r="W176" s="238"/>
      <c r="X176" s="238"/>
      <c r="Y176" s="238"/>
      <c r="Z176" s="238"/>
      <c r="AA176" s="238"/>
      <c r="AB176" s="238"/>
      <c r="AC176" s="238"/>
      <c r="AD176" s="238"/>
      <c r="AE176" s="238"/>
      <c r="AF176" s="238"/>
      <c r="AG176" s="238"/>
      <c r="AH176" s="238"/>
      <c r="AI176" s="238"/>
      <c r="AJ176" s="238"/>
    </row>
    <row r="177" spans="19:36">
      <c r="S177" s="238"/>
      <c r="T177" s="238"/>
      <c r="U177" s="238"/>
      <c r="V177" s="238"/>
      <c r="W177" s="238"/>
      <c r="X177" s="238"/>
      <c r="Y177" s="238"/>
      <c r="Z177" s="238"/>
      <c r="AA177" s="238"/>
      <c r="AB177" s="238"/>
      <c r="AC177" s="238"/>
      <c r="AD177" s="238"/>
      <c r="AE177" s="238"/>
      <c r="AF177" s="238"/>
      <c r="AG177" s="238"/>
      <c r="AH177" s="238"/>
      <c r="AI177" s="238"/>
      <c r="AJ177" s="238"/>
    </row>
    <row r="178" spans="19:36">
      <c r="S178" s="238"/>
      <c r="T178" s="238"/>
      <c r="U178" s="238"/>
      <c r="V178" s="238"/>
      <c r="W178" s="238"/>
      <c r="X178" s="238"/>
      <c r="Y178" s="238"/>
      <c r="Z178" s="238"/>
      <c r="AA178" s="238"/>
      <c r="AB178" s="238"/>
      <c r="AC178" s="238"/>
      <c r="AD178" s="238"/>
      <c r="AE178" s="238"/>
      <c r="AF178" s="238"/>
      <c r="AG178" s="238"/>
      <c r="AH178" s="238"/>
      <c r="AI178" s="238"/>
      <c r="AJ178" s="238"/>
    </row>
    <row r="179" spans="19:36">
      <c r="S179" s="238"/>
      <c r="T179" s="238"/>
      <c r="U179" s="238"/>
      <c r="V179" s="238"/>
      <c r="W179" s="238"/>
      <c r="X179" s="238"/>
      <c r="Y179" s="238"/>
      <c r="Z179" s="238"/>
      <c r="AA179" s="238"/>
      <c r="AB179" s="238"/>
      <c r="AC179" s="238"/>
      <c r="AD179" s="238"/>
      <c r="AE179" s="238"/>
      <c r="AF179" s="238"/>
      <c r="AG179" s="238"/>
      <c r="AH179" s="238"/>
      <c r="AI179" s="238"/>
      <c r="AJ179" s="238"/>
    </row>
    <row r="180" spans="19:36">
      <c r="S180" s="238"/>
      <c r="T180" s="238"/>
      <c r="U180" s="238"/>
      <c r="V180" s="238"/>
      <c r="W180" s="238"/>
      <c r="X180" s="238"/>
      <c r="Y180" s="238"/>
      <c r="Z180" s="238"/>
      <c r="AA180" s="238"/>
      <c r="AB180" s="238"/>
      <c r="AC180" s="238"/>
      <c r="AD180" s="238"/>
      <c r="AE180" s="238"/>
      <c r="AF180" s="238"/>
      <c r="AG180" s="238"/>
      <c r="AH180" s="238"/>
      <c r="AI180" s="238"/>
      <c r="AJ180" s="238"/>
    </row>
    <row r="181" spans="19:36">
      <c r="S181" s="238"/>
      <c r="T181" s="238"/>
      <c r="U181" s="238"/>
      <c r="V181" s="238"/>
      <c r="W181" s="238"/>
      <c r="X181" s="238"/>
      <c r="Y181" s="238"/>
      <c r="Z181" s="238"/>
      <c r="AA181" s="238"/>
      <c r="AB181" s="238"/>
      <c r="AC181" s="238"/>
      <c r="AD181" s="238"/>
      <c r="AE181" s="238"/>
      <c r="AF181" s="238"/>
      <c r="AG181" s="238"/>
      <c r="AH181" s="238"/>
      <c r="AI181" s="238"/>
      <c r="AJ181" s="238"/>
    </row>
    <row r="182" spans="19:36">
      <c r="S182" s="238"/>
      <c r="T182" s="238"/>
      <c r="U182" s="238"/>
      <c r="V182" s="238"/>
      <c r="W182" s="238"/>
      <c r="X182" s="238"/>
      <c r="Y182" s="238"/>
      <c r="Z182" s="238"/>
      <c r="AA182" s="238"/>
      <c r="AB182" s="238"/>
      <c r="AC182" s="238"/>
      <c r="AD182" s="238"/>
      <c r="AE182" s="238"/>
      <c r="AF182" s="238"/>
      <c r="AG182" s="238"/>
      <c r="AH182" s="238"/>
      <c r="AI182" s="238"/>
      <c r="AJ182" s="238"/>
    </row>
    <row r="183" spans="19:36">
      <c r="S183" s="238"/>
      <c r="T183" s="238"/>
      <c r="U183" s="238"/>
      <c r="V183" s="238"/>
      <c r="W183" s="238"/>
      <c r="X183" s="238"/>
      <c r="Y183" s="238"/>
      <c r="Z183" s="238"/>
      <c r="AA183" s="238"/>
      <c r="AB183" s="238"/>
      <c r="AC183" s="238"/>
      <c r="AD183" s="238"/>
      <c r="AE183" s="238"/>
      <c r="AF183" s="238"/>
      <c r="AG183" s="238"/>
      <c r="AH183" s="238"/>
      <c r="AI183" s="238"/>
      <c r="AJ183" s="238"/>
    </row>
    <row r="184" spans="19:36">
      <c r="S184" s="238"/>
      <c r="T184" s="238"/>
      <c r="U184" s="238"/>
      <c r="V184" s="238"/>
      <c r="W184" s="238"/>
      <c r="X184" s="238"/>
      <c r="Y184" s="238"/>
      <c r="Z184" s="238"/>
      <c r="AA184" s="238"/>
      <c r="AB184" s="238"/>
      <c r="AC184" s="238"/>
      <c r="AD184" s="238"/>
      <c r="AE184" s="238"/>
      <c r="AF184" s="238"/>
      <c r="AG184" s="238"/>
      <c r="AH184" s="238"/>
      <c r="AI184" s="238"/>
      <c r="AJ184" s="238"/>
    </row>
    <row r="185" spans="19:36">
      <c r="S185" s="238"/>
      <c r="T185" s="238"/>
      <c r="U185" s="238"/>
      <c r="V185" s="238"/>
      <c r="W185" s="238"/>
      <c r="X185" s="238"/>
      <c r="Y185" s="238"/>
      <c r="Z185" s="238"/>
      <c r="AA185" s="238"/>
      <c r="AB185" s="238"/>
      <c r="AC185" s="238"/>
      <c r="AD185" s="238"/>
      <c r="AE185" s="238"/>
      <c r="AF185" s="238"/>
      <c r="AG185" s="238"/>
      <c r="AH185" s="238"/>
      <c r="AI185" s="238"/>
      <c r="AJ185" s="238"/>
    </row>
    <row r="186" spans="19:36">
      <c r="S186" s="238"/>
      <c r="T186" s="238"/>
      <c r="U186" s="238"/>
      <c r="V186" s="238"/>
      <c r="W186" s="238"/>
      <c r="X186" s="238"/>
      <c r="Y186" s="238"/>
      <c r="Z186" s="238"/>
      <c r="AA186" s="238"/>
      <c r="AB186" s="238"/>
      <c r="AC186" s="238"/>
      <c r="AD186" s="238"/>
      <c r="AE186" s="238"/>
      <c r="AF186" s="238"/>
      <c r="AG186" s="238"/>
      <c r="AH186" s="238"/>
      <c r="AI186" s="238"/>
      <c r="AJ186" s="238"/>
    </row>
    <row r="187" spans="19:36">
      <c r="S187" s="238"/>
      <c r="T187" s="238"/>
      <c r="U187" s="238"/>
      <c r="V187" s="238"/>
      <c r="W187" s="238"/>
      <c r="X187" s="238"/>
      <c r="Y187" s="238"/>
      <c r="Z187" s="238"/>
      <c r="AA187" s="238"/>
      <c r="AB187" s="238"/>
      <c r="AC187" s="238"/>
      <c r="AD187" s="238"/>
      <c r="AE187" s="238"/>
      <c r="AF187" s="238"/>
      <c r="AG187" s="238"/>
      <c r="AH187" s="238"/>
      <c r="AI187" s="238"/>
      <c r="AJ187" s="238"/>
    </row>
    <row r="188" spans="19:36">
      <c r="S188" s="238"/>
      <c r="T188" s="238"/>
      <c r="U188" s="238"/>
      <c r="V188" s="238"/>
      <c r="W188" s="238"/>
      <c r="X188" s="238"/>
      <c r="Y188" s="238"/>
      <c r="Z188" s="238"/>
      <c r="AA188" s="238"/>
      <c r="AB188" s="238"/>
      <c r="AC188" s="238"/>
      <c r="AD188" s="238"/>
      <c r="AE188" s="238"/>
      <c r="AF188" s="238"/>
      <c r="AG188" s="238"/>
      <c r="AH188" s="238"/>
      <c r="AI188" s="238"/>
      <c r="AJ188" s="238"/>
    </row>
    <row r="189" spans="19:36">
      <c r="S189" s="238"/>
      <c r="T189" s="238"/>
      <c r="U189" s="238"/>
      <c r="V189" s="238"/>
      <c r="W189" s="238"/>
      <c r="X189" s="238"/>
      <c r="Y189" s="238"/>
      <c r="Z189" s="238"/>
      <c r="AA189" s="238"/>
      <c r="AB189" s="238"/>
      <c r="AC189" s="238"/>
      <c r="AD189" s="238"/>
      <c r="AE189" s="238"/>
      <c r="AF189" s="238"/>
      <c r="AG189" s="238"/>
      <c r="AH189" s="238"/>
      <c r="AI189" s="238"/>
      <c r="AJ189" s="238"/>
    </row>
    <row r="190" spans="19:36">
      <c r="S190" s="238"/>
      <c r="T190" s="238"/>
      <c r="U190" s="238"/>
      <c r="V190" s="238"/>
      <c r="W190" s="238"/>
      <c r="X190" s="238"/>
      <c r="Y190" s="238"/>
      <c r="Z190" s="238"/>
      <c r="AA190" s="238"/>
      <c r="AB190" s="238"/>
      <c r="AC190" s="238"/>
      <c r="AD190" s="238"/>
      <c r="AE190" s="238"/>
      <c r="AF190" s="238"/>
      <c r="AG190" s="238"/>
      <c r="AH190" s="238"/>
      <c r="AI190" s="238"/>
      <c r="AJ190" s="238"/>
    </row>
    <row r="191" spans="19:36">
      <c r="S191" s="238"/>
      <c r="T191" s="238"/>
      <c r="U191" s="238"/>
      <c r="V191" s="238"/>
      <c r="W191" s="238"/>
      <c r="X191" s="238"/>
      <c r="Y191" s="238"/>
      <c r="Z191" s="238"/>
      <c r="AA191" s="238"/>
      <c r="AB191" s="238"/>
      <c r="AC191" s="238"/>
      <c r="AD191" s="238"/>
      <c r="AE191" s="238"/>
      <c r="AF191" s="238"/>
      <c r="AG191" s="238"/>
      <c r="AH191" s="238"/>
      <c r="AI191" s="238"/>
      <c r="AJ191" s="238"/>
    </row>
    <row r="192" spans="19:36">
      <c r="S192" s="238"/>
      <c r="T192" s="238"/>
      <c r="U192" s="238"/>
      <c r="V192" s="238"/>
      <c r="W192" s="238"/>
      <c r="X192" s="238"/>
      <c r="Y192" s="238"/>
      <c r="Z192" s="238"/>
      <c r="AA192" s="238"/>
      <c r="AB192" s="238"/>
      <c r="AC192" s="238"/>
      <c r="AD192" s="238"/>
      <c r="AE192" s="238"/>
      <c r="AF192" s="238"/>
      <c r="AG192" s="238"/>
      <c r="AH192" s="238"/>
      <c r="AI192" s="238"/>
      <c r="AJ192" s="238"/>
    </row>
    <row r="193" spans="19:36">
      <c r="S193" s="238"/>
      <c r="T193" s="238"/>
      <c r="U193" s="238"/>
      <c r="V193" s="238"/>
      <c r="W193" s="238"/>
      <c r="X193" s="238"/>
      <c r="Y193" s="238"/>
      <c r="Z193" s="238"/>
      <c r="AA193" s="238"/>
      <c r="AB193" s="238"/>
      <c r="AC193" s="238"/>
      <c r="AD193" s="238"/>
      <c r="AE193" s="238"/>
      <c r="AF193" s="238"/>
      <c r="AG193" s="238"/>
      <c r="AH193" s="238"/>
      <c r="AI193" s="238"/>
      <c r="AJ193" s="238"/>
    </row>
  </sheetData>
  <phoneticPr fontId="10" type="noConversion"/>
  <printOptions verticalCentered="1" gridLines="1" gridLinesSet="0"/>
  <pageMargins left="0.5" right="0.5" top="0.5" bottom="0.75" header="0.27" footer="0.21"/>
  <pageSetup scale="81" fitToWidth="2" fitToHeight="3" orientation="landscape" horizontalDpi="4294967292" r:id="rId1"/>
  <headerFooter alignWithMargins="0">
    <oddHeader>&amp;L&amp;12GREENHOUSE GAS INVENTORY:  ENERGY</oddHeader>
    <oddFooter>&amp;LPage &amp;P of &amp;N&amp;C&amp;F  &amp;A&amp;R&amp;D  &amp;T</oddFooter>
  </headerFooter>
  <rowBreaks count="3" manualBreakCount="3">
    <brk id="53" max="12" man="1"/>
    <brk id="98" max="12" man="1"/>
    <brk id="134" max="12" man="1"/>
  </rowBreaks>
  <ignoredErrors>
    <ignoredError sqref="C14:F14"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D8856-3957-49EB-B485-3952C6291BEE}">
  <sheetPr transitionEvaluation="1" transitionEntry="1"/>
  <dimension ref="A1:BV82"/>
  <sheetViews>
    <sheetView topLeftCell="AB1" workbookViewId="0">
      <selection sqref="A1:B1"/>
    </sheetView>
  </sheetViews>
  <sheetFormatPr defaultColWidth="9.6640625" defaultRowHeight="12.95"/>
  <cols>
    <col min="1" max="1" width="5" style="1" customWidth="1"/>
    <col min="2" max="2" width="27.6640625" style="1" customWidth="1"/>
    <col min="3" max="6" width="9.6640625" style="1" customWidth="1"/>
    <col min="7" max="7" width="10.33203125" style="1" customWidth="1"/>
    <col min="8" max="27" width="9.6640625" style="1" customWidth="1"/>
    <col min="28" max="28" width="11.5" style="1" bestFit="1" customWidth="1"/>
    <col min="29" max="29" width="12" style="1" bestFit="1" customWidth="1"/>
    <col min="30" max="35" width="9.6640625" style="1" customWidth="1"/>
    <col min="36" max="36" width="19" style="1" customWidth="1"/>
    <col min="37" max="37" width="8" style="1" customWidth="1"/>
    <col min="38" max="38" width="5" style="1" customWidth="1"/>
    <col min="39" max="39" width="27.6640625" style="1" customWidth="1"/>
    <col min="40" max="66" width="9.6640625" style="1" bestFit="1" customWidth="1"/>
    <col min="67" max="69" width="9.6640625" style="1" customWidth="1"/>
    <col min="70" max="72" width="11" style="1" customWidth="1"/>
    <col min="73" max="16384" width="9.6640625" style="1"/>
  </cols>
  <sheetData>
    <row r="1" spans="1:72" ht="17.45">
      <c r="A1" s="1232" t="s">
        <v>1512</v>
      </c>
      <c r="B1" s="1232"/>
      <c r="C1" s="14"/>
      <c r="D1" s="14"/>
      <c r="I1" s="5"/>
      <c r="AN1" s="14"/>
      <c r="AO1" s="14"/>
      <c r="AT1" s="5"/>
    </row>
    <row r="2" spans="1:72" ht="38.25" customHeight="1">
      <c r="B2" s="5" t="s">
        <v>1513</v>
      </c>
      <c r="J2" s="21"/>
      <c r="K2" s="21"/>
      <c r="L2" s="21"/>
      <c r="AM2" s="646" t="s">
        <v>1514</v>
      </c>
      <c r="AU2" s="21"/>
      <c r="AV2" s="21"/>
      <c r="AW2" s="21"/>
    </row>
    <row r="3" spans="1:72" ht="26.1">
      <c r="B3" s="4" t="s">
        <v>1469</v>
      </c>
      <c r="C3" s="23">
        <v>1990</v>
      </c>
      <c r="D3" s="23">
        <v>1991</v>
      </c>
      <c r="E3" s="23">
        <v>1992</v>
      </c>
      <c r="F3" s="23">
        <v>1993</v>
      </c>
      <c r="G3" s="23">
        <v>1994</v>
      </c>
      <c r="H3" s="23">
        <v>1995</v>
      </c>
      <c r="I3" s="23">
        <v>1996</v>
      </c>
      <c r="J3" s="23">
        <v>1997</v>
      </c>
      <c r="K3" s="23">
        <v>1998</v>
      </c>
      <c r="L3" s="23">
        <v>1999</v>
      </c>
      <c r="M3" s="23">
        <v>2000</v>
      </c>
      <c r="N3" s="23">
        <v>2001</v>
      </c>
      <c r="O3" s="23">
        <v>2002</v>
      </c>
      <c r="P3" s="23">
        <v>2003</v>
      </c>
      <c r="Q3" s="23">
        <v>2004</v>
      </c>
      <c r="R3" s="23">
        <v>2005</v>
      </c>
      <c r="S3" s="23">
        <v>2006</v>
      </c>
      <c r="T3" s="23">
        <v>2007</v>
      </c>
      <c r="U3" s="23">
        <v>2008</v>
      </c>
      <c r="V3" s="23">
        <v>2009</v>
      </c>
      <c r="W3" s="23">
        <v>2010</v>
      </c>
      <c r="X3" s="23">
        <v>2011</v>
      </c>
      <c r="Y3" s="23">
        <v>2012</v>
      </c>
      <c r="Z3" s="23">
        <v>2013</v>
      </c>
      <c r="AA3" s="23">
        <v>2014</v>
      </c>
      <c r="AB3" s="23">
        <v>2015</v>
      </c>
      <c r="AC3" s="23">
        <v>2016</v>
      </c>
      <c r="AD3" s="23">
        <v>2017</v>
      </c>
      <c r="AE3" s="23">
        <v>2018</v>
      </c>
      <c r="AF3" s="23">
        <v>2019</v>
      </c>
      <c r="AG3" s="23">
        <v>2020</v>
      </c>
      <c r="AH3" s="23">
        <v>2021</v>
      </c>
      <c r="AI3" s="23">
        <v>2022</v>
      </c>
      <c r="AJ3" s="753" t="s">
        <v>1515</v>
      </c>
      <c r="AM3" s="4" t="s">
        <v>1469</v>
      </c>
      <c r="AN3" s="23">
        <v>1990</v>
      </c>
      <c r="AO3" s="23">
        <v>1991</v>
      </c>
      <c r="AP3" s="23">
        <v>1992</v>
      </c>
      <c r="AQ3" s="23">
        <v>1993</v>
      </c>
      <c r="AR3" s="23">
        <v>1994</v>
      </c>
      <c r="AS3" s="23">
        <v>1995</v>
      </c>
      <c r="AT3" s="23">
        <v>1996</v>
      </c>
      <c r="AU3" s="23">
        <v>1997</v>
      </c>
      <c r="AV3" s="23">
        <v>1998</v>
      </c>
      <c r="AW3" s="23">
        <v>1999</v>
      </c>
      <c r="AX3" s="23">
        <v>2000</v>
      </c>
      <c r="AY3" s="23">
        <v>2001</v>
      </c>
      <c r="AZ3" s="23">
        <v>2002</v>
      </c>
      <c r="BA3" s="23">
        <v>2003</v>
      </c>
      <c r="BB3" s="23">
        <v>2004</v>
      </c>
      <c r="BC3" s="23">
        <v>2005</v>
      </c>
      <c r="BD3" s="23">
        <v>2006</v>
      </c>
      <c r="BE3" s="23">
        <v>2007</v>
      </c>
      <c r="BF3" s="23">
        <v>2008</v>
      </c>
      <c r="BG3" s="23">
        <v>2009</v>
      </c>
      <c r="BH3" s="23">
        <v>2010</v>
      </c>
      <c r="BI3" s="23">
        <v>2011</v>
      </c>
      <c r="BJ3" s="23">
        <v>2012</v>
      </c>
      <c r="BK3" s="23">
        <v>2013</v>
      </c>
      <c r="BL3" s="23">
        <v>2014</v>
      </c>
      <c r="BM3" s="23">
        <v>2015</v>
      </c>
      <c r="BN3" s="23">
        <v>2016</v>
      </c>
      <c r="BO3" s="23">
        <v>2017</v>
      </c>
      <c r="BP3" s="23">
        <v>2018</v>
      </c>
      <c r="BQ3" s="23">
        <v>2019</v>
      </c>
      <c r="BR3" s="23">
        <v>2020</v>
      </c>
      <c r="BS3" s="23">
        <v>2021</v>
      </c>
      <c r="BT3" s="23">
        <v>2022</v>
      </c>
    </row>
    <row r="4" spans="1:72">
      <c r="B4" s="5" t="s">
        <v>1435</v>
      </c>
      <c r="C4" s="235">
        <f t="shared" ref="C4:C26" si="0">IFERROR((AN4-C31)/C31, "NA")</f>
        <v>-1.7727065210795388E-6</v>
      </c>
      <c r="D4" s="235">
        <f t="shared" ref="D4:D26" si="1">IFERROR((AO4-D31)/D31, "NA")</f>
        <v>-1.5378367894446773E-6</v>
      </c>
      <c r="E4" s="235">
        <f t="shared" ref="E4:E26" si="2">IFERROR((AP4-E31)/E31, "NA")</f>
        <v>-1.6748230473466682E-6</v>
      </c>
      <c r="F4" s="235">
        <f t="shared" ref="F4:F26" si="3">IFERROR((AQ4-F31)/F31, "NA")</f>
        <v>-1.5487016353592256E-6</v>
      </c>
      <c r="G4" s="235">
        <f t="shared" ref="G4:G26" si="4">IFERROR((AR4-G31)/G31, "NA")</f>
        <v>-1.1467464016762913E-6</v>
      </c>
      <c r="H4" s="235">
        <f t="shared" ref="H4:H26" si="5">IFERROR((AS4-H31)/H31, "NA")</f>
        <v>-1.7005696421457907E-6</v>
      </c>
      <c r="I4" s="235">
        <f t="shared" ref="I4:I26" si="6">IFERROR((AT4-I31)/I31, "NA")</f>
        <v>-4.0439794903160327E-6</v>
      </c>
      <c r="J4" s="235">
        <f t="shared" ref="J4:J26" si="7">IFERROR((AU4-J31)/J31, "NA")</f>
        <v>-2.7398277409702638E-6</v>
      </c>
      <c r="K4" s="235">
        <f t="shared" ref="K4:K26" si="8">IFERROR((AV4-K31)/K31, "NA")</f>
        <v>-2.3027565122148957E-6</v>
      </c>
      <c r="L4" s="235">
        <f t="shared" ref="L4:L26" si="9">IFERROR((AW4-L31)/L31, "NA")</f>
        <v>-1.9491551281784611E-6</v>
      </c>
      <c r="M4" s="235">
        <f t="shared" ref="M4:M26" si="10">IFERROR((AX4-M31)/M31, "NA")</f>
        <v>-2.9862042216943449E-6</v>
      </c>
      <c r="N4" s="235">
        <f t="shared" ref="N4:N26" si="11">IFERROR((AY4-N31)/N31, "NA")</f>
        <v>-2.6461437219223524E-6</v>
      </c>
      <c r="O4" s="235">
        <f t="shared" ref="O4:O26" si="12">IFERROR((AZ4-O31)/O31, "NA")</f>
        <v>-2.9189398276981477E-6</v>
      </c>
      <c r="P4" s="235">
        <f t="shared" ref="P4:P26" si="13">IFERROR((BA4-P31)/P31, "NA")</f>
        <v>-2.893518304099148E-6</v>
      </c>
      <c r="Q4" s="235">
        <f t="shared" ref="Q4:Q26" si="14">IFERROR((BB4-Q31)/Q31, "NA")</f>
        <v>-3.3244475976427765E-6</v>
      </c>
      <c r="R4" s="235">
        <f t="shared" ref="R4:R26" si="15">IFERROR((BC4-R31)/R31, "NA")</f>
        <v>-2.4980453074529015E-6</v>
      </c>
      <c r="S4" s="235">
        <f t="shared" ref="S4:S26" si="16">IFERROR((BD4-S31)/S31, "NA")</f>
        <v>-2.4975912991402262E-6</v>
      </c>
      <c r="T4" s="235">
        <f t="shared" ref="T4:T26" si="17">IFERROR((BE4-T31)/T31, "NA")</f>
        <v>-2.6635682372625159E-6</v>
      </c>
      <c r="U4" s="235">
        <f t="shared" ref="U4:U26" si="18">IFERROR((BF4-U31)/U31, "NA")</f>
        <v>-2.5506352948940328E-6</v>
      </c>
      <c r="V4" s="235">
        <f t="shared" ref="V4:V26" si="19">IFERROR((BG4-V31)/V31, "NA")</f>
        <v>-1.874387606816596E-6</v>
      </c>
      <c r="W4" s="235">
        <f t="shared" ref="W4:W26" si="20">IFERROR((BH4-W31)/W31, "NA")</f>
        <v>-2.4280780013859262E-6</v>
      </c>
      <c r="X4" s="235">
        <f t="shared" ref="X4:X26" si="21">IFERROR((BI4-X31)/X31, "NA")</f>
        <v>-2.9499328774022382E-6</v>
      </c>
      <c r="Y4" s="235">
        <f t="shared" ref="Y4:Y26" si="22">IFERROR((BJ4-Y31)/Y31, "NA")</f>
        <v>-3.6193906187947791E-6</v>
      </c>
      <c r="Z4" s="235">
        <f t="shared" ref="Z4:Z26" si="23">IFERROR((BK4-Z31)/Z31, "NA")</f>
        <v>-3.3276344293110525E-6</v>
      </c>
      <c r="AA4" s="235">
        <f t="shared" ref="AA4:AA26" si="24">IFERROR((BL4-AA31)/AA31, "NA")</f>
        <v>-3.024361485495146E-6</v>
      </c>
      <c r="AB4" s="235">
        <f t="shared" ref="AB4:AB26" si="25">IFERROR((BM4-AB31)/AB31, "NA")</f>
        <v>-3.2966907533139849E-6</v>
      </c>
      <c r="AC4" s="235">
        <f t="shared" ref="AC4:AC26" si="26">IFERROR((BN4-AC31)/AC31, "NA")</f>
        <v>-3.0577234868811978E-6</v>
      </c>
      <c r="AD4" s="235">
        <f t="shared" ref="AD4:AD26" si="27">IFERROR((BO4-AD31)/AD31, "NA")</f>
        <v>-3.4688247876502892E-6</v>
      </c>
      <c r="AE4" s="235">
        <f t="shared" ref="AE4:AE26" si="28">IFERROR((BP4-AE31)/AE31, "NA")</f>
        <v>-4.3992485339291366E-6</v>
      </c>
      <c r="AF4" s="235">
        <f t="shared" ref="AF4:AF26" si="29">IFERROR((BQ4-AF31)/AF31, "NA")</f>
        <v>-4.9725736776020962E-6</v>
      </c>
      <c r="AG4" s="235">
        <f t="shared" ref="AG4:AG26" si="30">IFERROR((BR4-AG31)/AG31, "NA")</f>
        <v>-2.8617530995503551E-6</v>
      </c>
      <c r="AH4" s="235">
        <f t="shared" ref="AH4:AH26" si="31">IFERROR((BS4-AH31)/AH31, "NA")</f>
        <v>-6.2672915897355549E-6</v>
      </c>
      <c r="AI4" s="235">
        <f t="shared" ref="AI4:AI26" si="32">IFERROR((BT4-AI31)/AI31, "NA")</f>
        <v>4.5058330946282461E-3</v>
      </c>
      <c r="AM4" s="5" t="s">
        <v>1435</v>
      </c>
      <c r="AN4" s="29">
        <f>'Summary Table'!C7</f>
        <v>1719.7905675202103</v>
      </c>
      <c r="AO4" s="29">
        <f>'Summary Table'!D7</f>
        <v>1715.8414906701021</v>
      </c>
      <c r="AP4" s="29">
        <f>'Summary Table'!E7</f>
        <v>1732.964083384602</v>
      </c>
      <c r="AQ4" s="29">
        <f>'Summary Table'!F7</f>
        <v>1798.3022089945043</v>
      </c>
      <c r="AR4" s="29">
        <f>'Summary Table'!G7</f>
        <v>1805.0387555753732</v>
      </c>
      <c r="AS4" s="29">
        <f>'Summary Table'!H7</f>
        <v>1820.3661884011299</v>
      </c>
      <c r="AT4" s="29">
        <f>'Summary Table'!I7</f>
        <v>1905.2425111796135</v>
      </c>
      <c r="AU4" s="29">
        <f>'Summary Table'!J7</f>
        <v>1950.5093171006006</v>
      </c>
      <c r="AV4" s="29">
        <f>'Summary Table'!K7</f>
        <v>1979.3871034768661</v>
      </c>
      <c r="AW4" s="29">
        <f>'Summary Table'!L7</f>
        <v>1979.3982527801702</v>
      </c>
      <c r="AX4" s="29">
        <f>'Summary Table'!M7</f>
        <v>2065.1671427441197</v>
      </c>
      <c r="AY4" s="29">
        <f>'Summary Table'!N7</f>
        <v>2009.9844368029458</v>
      </c>
      <c r="AZ4" s="29">
        <f>'Summary Table'!O7</f>
        <v>2019.6929977786024</v>
      </c>
      <c r="BA4" s="29">
        <f>'Summary Table'!P7</f>
        <v>2061.0498326404877</v>
      </c>
      <c r="BB4" s="29">
        <f>'Summary Table'!Q7</f>
        <v>2076.2520875449427</v>
      </c>
      <c r="BC4" s="29">
        <f>'Summary Table'!R7</f>
        <v>2113.691770874987</v>
      </c>
      <c r="BD4" s="29">
        <f>'Summary Table'!S7</f>
        <v>2078.5236284534776</v>
      </c>
      <c r="BE4" s="29">
        <f>'Summary Table'!T7</f>
        <v>2107.8204533788362</v>
      </c>
      <c r="BF4" s="29">
        <f>'Summary Table'!U7</f>
        <v>2075.5075810551166</v>
      </c>
      <c r="BG4" s="29">
        <f>'Summary Table'!V7</f>
        <v>1837.5505397748595</v>
      </c>
      <c r="BH4" s="29">
        <f>'Summary Table'!W7</f>
        <v>1931.1818293988238</v>
      </c>
      <c r="BI4" s="29">
        <f>'Summary Table'!X7</f>
        <v>1817.6029485892238</v>
      </c>
      <c r="BJ4" s="29">
        <f>'Summary Table'!Y7</f>
        <v>1597.3385397365948</v>
      </c>
      <c r="BK4" s="29">
        <f>'Summary Table'!Z7</f>
        <v>1658.0054569283284</v>
      </c>
      <c r="BL4" s="29">
        <f>'Summary Table'!AA7</f>
        <v>1655.0570628896492</v>
      </c>
      <c r="BM4" s="29">
        <f>'Summary Table'!AB7</f>
        <v>1427.6334643005637</v>
      </c>
      <c r="BN4" s="29">
        <f>'Summary Table'!AC7</f>
        <v>1310.7026459470271</v>
      </c>
      <c r="BO4" s="29">
        <f>'Summary Table'!AD7</f>
        <v>1270.0160052537956</v>
      </c>
      <c r="BP4" s="29">
        <f>'Summary Table'!AE7</f>
        <v>1211.64115115703</v>
      </c>
      <c r="BQ4" s="29">
        <f>'Summary Table'!AF7</f>
        <v>1028.1585450392627</v>
      </c>
      <c r="BR4" s="29">
        <f>'Summary Table'!AG7</f>
        <v>835.60310155720231</v>
      </c>
      <c r="BS4" s="29">
        <f>'Summary Table'!AH7</f>
        <v>957.40984544204184</v>
      </c>
      <c r="BT4" s="29">
        <f>'Summary Table'!AI7</f>
        <v>898.40874766057198</v>
      </c>
    </row>
    <row r="5" spans="1:72">
      <c r="B5" s="6" t="s">
        <v>1434</v>
      </c>
      <c r="C5" s="232">
        <f t="shared" si="0"/>
        <v>0</v>
      </c>
      <c r="D5" s="232">
        <f t="shared" si="1"/>
        <v>0</v>
      </c>
      <c r="E5" s="232">
        <f t="shared" si="2"/>
        <v>0</v>
      </c>
      <c r="F5" s="232">
        <f t="shared" si="3"/>
        <v>0</v>
      </c>
      <c r="G5" s="232">
        <f t="shared" si="4"/>
        <v>0</v>
      </c>
      <c r="H5" s="232">
        <f t="shared" si="5"/>
        <v>0</v>
      </c>
      <c r="I5" s="232">
        <f t="shared" si="6"/>
        <v>0</v>
      </c>
      <c r="J5" s="232">
        <f t="shared" si="7"/>
        <v>0</v>
      </c>
      <c r="K5" s="232">
        <f t="shared" si="8"/>
        <v>0</v>
      </c>
      <c r="L5" s="232">
        <f t="shared" si="9"/>
        <v>0</v>
      </c>
      <c r="M5" s="232">
        <f t="shared" si="10"/>
        <v>0</v>
      </c>
      <c r="N5" s="232">
        <f t="shared" si="11"/>
        <v>0</v>
      </c>
      <c r="O5" s="232">
        <f t="shared" si="12"/>
        <v>0</v>
      </c>
      <c r="P5" s="232">
        <f t="shared" si="13"/>
        <v>0</v>
      </c>
      <c r="Q5" s="232">
        <f t="shared" si="14"/>
        <v>0</v>
      </c>
      <c r="R5" s="232">
        <f t="shared" si="15"/>
        <v>0</v>
      </c>
      <c r="S5" s="232">
        <f t="shared" si="16"/>
        <v>0</v>
      </c>
      <c r="T5" s="232">
        <f t="shared" si="17"/>
        <v>0</v>
      </c>
      <c r="U5" s="232" t="str">
        <f t="shared" si="18"/>
        <v>NA</v>
      </c>
      <c r="V5" s="232" t="str">
        <f t="shared" si="19"/>
        <v>NA</v>
      </c>
      <c r="W5" s="232" t="str">
        <f t="shared" si="20"/>
        <v>NA</v>
      </c>
      <c r="X5" s="232" t="str">
        <f t="shared" si="21"/>
        <v>NA</v>
      </c>
      <c r="Y5" s="232" t="str">
        <f t="shared" si="22"/>
        <v>NA</v>
      </c>
      <c r="Z5" s="232" t="str">
        <f t="shared" si="23"/>
        <v>NA</v>
      </c>
      <c r="AA5" s="232" t="str">
        <f t="shared" si="24"/>
        <v>NA</v>
      </c>
      <c r="AB5" s="232" t="str">
        <f t="shared" si="25"/>
        <v>NA</v>
      </c>
      <c r="AC5" s="232" t="str">
        <f t="shared" si="26"/>
        <v>NA</v>
      </c>
      <c r="AD5" s="232" t="str">
        <f t="shared" si="27"/>
        <v>NA</v>
      </c>
      <c r="AE5" s="232" t="str">
        <f t="shared" si="28"/>
        <v>NA</v>
      </c>
      <c r="AF5" s="232" t="str">
        <f t="shared" si="29"/>
        <v>NA</v>
      </c>
      <c r="AG5" s="232" t="str">
        <f t="shared" si="30"/>
        <v>NA</v>
      </c>
      <c r="AH5" s="232" t="str">
        <f t="shared" si="31"/>
        <v>NA</v>
      </c>
      <c r="AI5" s="232" t="str">
        <f t="shared" si="32"/>
        <v>NA</v>
      </c>
      <c r="AM5" s="6" t="s">
        <v>1434</v>
      </c>
      <c r="AN5" s="25">
        <f>'Summary Table'!C8</f>
        <v>2.9876952520607118</v>
      </c>
      <c r="AO5" s="25">
        <f>'Summary Table'!D8</f>
        <v>2.4418665673276769</v>
      </c>
      <c r="AP5" s="25">
        <f>'Summary Table'!E8</f>
        <v>2.4754382193886699</v>
      </c>
      <c r="AQ5" s="25">
        <f>'Summary Table'!F8</f>
        <v>2.4697527866952389</v>
      </c>
      <c r="AR5" s="25">
        <f>'Summary Table'!G8</f>
        <v>1.9941820840028137</v>
      </c>
      <c r="AS5" s="25">
        <f>'Summary Table'!H8</f>
        <v>1.6716718149582452</v>
      </c>
      <c r="AT5" s="25">
        <f>'Summary Table'!I8</f>
        <v>1.5825801930815993</v>
      </c>
      <c r="AU5" s="25">
        <f>'Summary Table'!J8</f>
        <v>1.5181715699565763</v>
      </c>
      <c r="AV5" s="25">
        <f>'Summary Table'!K8</f>
        <v>1.1032453604176209</v>
      </c>
      <c r="AW5" s="25">
        <f>'Summary Table'!L8</f>
        <v>1.3314380787302316</v>
      </c>
      <c r="AX5" s="25">
        <f>'Summary Table'!M8</f>
        <v>1.0827568764835389</v>
      </c>
      <c r="AY5" s="25">
        <f>'Summary Table'!N8</f>
        <v>1.1408450183687231</v>
      </c>
      <c r="AZ5" s="25">
        <f>'Summary Table'!O8</f>
        <v>1.1660507086849294</v>
      </c>
      <c r="BA5" s="25">
        <f>'Summary Table'!P8</f>
        <v>1.1687672828281666</v>
      </c>
      <c r="BB5" s="25">
        <f>'Summary Table'!Q8</f>
        <v>1.0852533688090795</v>
      </c>
      <c r="BC5" s="25">
        <f>'Summary Table'!R8</f>
        <v>0.80525533457459764</v>
      </c>
      <c r="BD5" s="25">
        <f>'Summary Table'!S8</f>
        <v>0.61705166323197502</v>
      </c>
      <c r="BE5" s="25">
        <f>'Summary Table'!T8</f>
        <v>0.73943487324772961</v>
      </c>
      <c r="BF5" s="25">
        <f>'Summary Table'!U8</f>
        <v>0</v>
      </c>
      <c r="BG5" s="25">
        <f>'Summary Table'!V8</f>
        <v>0</v>
      </c>
      <c r="BH5" s="25">
        <f>'Summary Table'!W8</f>
        <v>0</v>
      </c>
      <c r="BI5" s="25">
        <f>'Summary Table'!X8</f>
        <v>0</v>
      </c>
      <c r="BJ5" s="25">
        <f>'Summary Table'!Y8</f>
        <v>0</v>
      </c>
      <c r="BK5" s="25">
        <f>'Summary Table'!Z8</f>
        <v>0</v>
      </c>
      <c r="BL5" s="25">
        <f>'Summary Table'!AA8</f>
        <v>0</v>
      </c>
      <c r="BM5" s="25">
        <f>'Summary Table'!AB8</f>
        <v>0</v>
      </c>
      <c r="BN5" s="25">
        <f>'Summary Table'!AC8</f>
        <v>0</v>
      </c>
      <c r="BO5" s="25">
        <f>'Summary Table'!AD8</f>
        <v>0</v>
      </c>
      <c r="BP5" s="25">
        <f>'Summary Table'!AE8</f>
        <v>0</v>
      </c>
      <c r="BQ5" s="25">
        <f>'Summary Table'!AF8</f>
        <v>0</v>
      </c>
      <c r="BR5" s="25">
        <f>'Summary Table'!AG8</f>
        <v>0</v>
      </c>
      <c r="BS5" s="25">
        <f>'Summary Table'!AH8</f>
        <v>0</v>
      </c>
      <c r="BT5" s="25">
        <f>'Summary Table'!AI8</f>
        <v>0</v>
      </c>
    </row>
    <row r="6" spans="1:72">
      <c r="B6" s="6" t="s">
        <v>1441</v>
      </c>
      <c r="C6" s="232">
        <f t="shared" si="0"/>
        <v>0</v>
      </c>
      <c r="D6" s="232">
        <f t="shared" si="1"/>
        <v>0</v>
      </c>
      <c r="E6" s="232">
        <f t="shared" si="2"/>
        <v>0</v>
      </c>
      <c r="F6" s="232">
        <f t="shared" si="3"/>
        <v>0</v>
      </c>
      <c r="G6" s="232">
        <f t="shared" si="4"/>
        <v>0</v>
      </c>
      <c r="H6" s="232">
        <f t="shared" si="5"/>
        <v>0</v>
      </c>
      <c r="I6" s="232">
        <f t="shared" si="6"/>
        <v>0</v>
      </c>
      <c r="J6" s="232">
        <f t="shared" si="7"/>
        <v>0</v>
      </c>
      <c r="K6" s="232">
        <f t="shared" si="8"/>
        <v>0</v>
      </c>
      <c r="L6" s="232">
        <f t="shared" si="9"/>
        <v>0</v>
      </c>
      <c r="M6" s="232">
        <f t="shared" si="10"/>
        <v>0</v>
      </c>
      <c r="N6" s="232">
        <f t="shared" si="11"/>
        <v>0</v>
      </c>
      <c r="O6" s="232">
        <f t="shared" si="12"/>
        <v>0</v>
      </c>
      <c r="P6" s="232">
        <f t="shared" si="13"/>
        <v>0</v>
      </c>
      <c r="Q6" s="232">
        <f t="shared" si="14"/>
        <v>0</v>
      </c>
      <c r="R6" s="232">
        <f t="shared" si="15"/>
        <v>0</v>
      </c>
      <c r="S6" s="232">
        <f t="shared" si="16"/>
        <v>0</v>
      </c>
      <c r="T6" s="232">
        <f t="shared" si="17"/>
        <v>0</v>
      </c>
      <c r="U6" s="232">
        <f t="shared" si="18"/>
        <v>0</v>
      </c>
      <c r="V6" s="232">
        <f t="shared" si="19"/>
        <v>0</v>
      </c>
      <c r="W6" s="232">
        <f t="shared" si="20"/>
        <v>0</v>
      </c>
      <c r="X6" s="232">
        <f t="shared" si="21"/>
        <v>0</v>
      </c>
      <c r="Y6" s="232">
        <f t="shared" si="22"/>
        <v>0</v>
      </c>
      <c r="Z6" s="232">
        <f t="shared" si="23"/>
        <v>0</v>
      </c>
      <c r="AA6" s="232">
        <f t="shared" si="24"/>
        <v>0</v>
      </c>
      <c r="AB6" s="232">
        <f t="shared" si="25"/>
        <v>0</v>
      </c>
      <c r="AC6" s="232">
        <f t="shared" si="26"/>
        <v>0</v>
      </c>
      <c r="AD6" s="232">
        <f t="shared" si="27"/>
        <v>0</v>
      </c>
      <c r="AE6" s="232">
        <f t="shared" si="28"/>
        <v>0</v>
      </c>
      <c r="AF6" s="232">
        <f t="shared" si="29"/>
        <v>0</v>
      </c>
      <c r="AG6" s="232">
        <f t="shared" si="30"/>
        <v>0</v>
      </c>
      <c r="AH6" s="232">
        <f t="shared" si="31"/>
        <v>0</v>
      </c>
      <c r="AI6" s="232">
        <f t="shared" si="32"/>
        <v>9.0378219660473044E-4</v>
      </c>
      <c r="AM6" s="6" t="s">
        <v>1441</v>
      </c>
      <c r="AN6" s="25">
        <f>'Summary Table'!C9</f>
        <v>11.950781008242847</v>
      </c>
      <c r="AO6" s="25">
        <f>'Summary Table'!D9</f>
        <v>11.123951798824036</v>
      </c>
      <c r="AP6" s="25">
        <f>'Summary Table'!E9</f>
        <v>11.2767921073171</v>
      </c>
      <c r="AQ6" s="25">
        <f>'Summary Table'!F9</f>
        <v>11.251191944732801</v>
      </c>
      <c r="AR6" s="25">
        <f>'Summary Table'!G9</f>
        <v>11.300110030238828</v>
      </c>
      <c r="AS6" s="25">
        <f>'Summary Table'!H9</f>
        <v>11.187393726740217</v>
      </c>
      <c r="AT6" s="25">
        <f>'Summary Table'!I9</f>
        <v>11.605301798192992</v>
      </c>
      <c r="AU6" s="25">
        <f>'Summary Table'!J9</f>
        <v>12.283500350691053</v>
      </c>
      <c r="AV6" s="25">
        <f>'Summary Table'!K9</f>
        <v>8.9264663574628376</v>
      </c>
      <c r="AW6" s="25">
        <f>'Summary Table'!L9</f>
        <v>9.7635618041440733</v>
      </c>
      <c r="AX6" s="25">
        <f>'Summary Table'!M9</f>
        <v>8.7603401271750982</v>
      </c>
      <c r="AY6" s="25">
        <f>'Summary Table'!N9</f>
        <v>9.2306379407867158</v>
      </c>
      <c r="AZ6" s="25">
        <f>'Summary Table'!O9</f>
        <v>8.5511654681646281</v>
      </c>
      <c r="BA6" s="25">
        <f>'Summary Table'!P9</f>
        <v>7.8219705072625967</v>
      </c>
      <c r="BB6" s="25">
        <f>'Summary Table'!Q9</f>
        <v>9.7670904901110305</v>
      </c>
      <c r="BC6" s="25">
        <f>'Summary Table'!R9</f>
        <v>9.2601022167636504</v>
      </c>
      <c r="BD6" s="25">
        <f>'Summary Table'!S9</f>
        <v>6.2387890463696039</v>
      </c>
      <c r="BE6" s="25">
        <f>'Summary Table'!T9</f>
        <v>6.6546288033802021</v>
      </c>
      <c r="BF6" s="25">
        <f>'Summary Table'!U9</f>
        <v>7.6116885807047296</v>
      </c>
      <c r="BG6" s="25">
        <f>'Summary Table'!V9</f>
        <v>6.9212944879527454</v>
      </c>
      <c r="BH6" s="25">
        <f>'Summary Table'!W9</f>
        <v>6.5764502150490669</v>
      </c>
      <c r="BI6" s="25">
        <f>'Summary Table'!X9</f>
        <v>5.8411054745380699</v>
      </c>
      <c r="BJ6" s="25">
        <f>'Summary Table'!Y9</f>
        <v>4.1332779377363469</v>
      </c>
      <c r="BK6" s="25">
        <f>'Summary Table'!Z9</f>
        <v>3.9349591086762437</v>
      </c>
      <c r="BL6" s="25">
        <f>'Summary Table'!AA9</f>
        <v>3.815747352827314</v>
      </c>
      <c r="BM6" s="25">
        <f>'Summary Table'!AB9</f>
        <v>2.9645721255676034</v>
      </c>
      <c r="BN6" s="25">
        <f>'Summary Table'!AC9</f>
        <v>2.2649918397973812</v>
      </c>
      <c r="BO6" s="25">
        <f>'Summary Table'!AD9</f>
        <v>1.9759169500269727</v>
      </c>
      <c r="BP6" s="25">
        <f>'Summary Table'!AE9</f>
        <v>1.7911940979329957</v>
      </c>
      <c r="BQ6" s="25">
        <f>'Summary Table'!AF9</f>
        <v>1.6000991942164422</v>
      </c>
      <c r="BR6" s="25">
        <f>'Summary Table'!AG9</f>
        <v>1.3945916740834434</v>
      </c>
      <c r="BS6" s="25">
        <f>'Summary Table'!AH9</f>
        <v>1.4304169328982714</v>
      </c>
      <c r="BT6" s="25">
        <f>'Summary Table'!AI9</f>
        <v>1.3881296839221755</v>
      </c>
    </row>
    <row r="7" spans="1:72">
      <c r="B7" s="6" t="s">
        <v>1443</v>
      </c>
      <c r="C7" s="232">
        <f t="shared" si="0"/>
        <v>-1.931480601521222E-5</v>
      </c>
      <c r="D7" s="232">
        <f t="shared" si="1"/>
        <v>-1.7063331821822714E-5</v>
      </c>
      <c r="E7" s="232">
        <f t="shared" si="2"/>
        <v>-1.9313642808786417E-5</v>
      </c>
      <c r="F7" s="232">
        <f t="shared" si="3"/>
        <v>-1.8256488988775035E-5</v>
      </c>
      <c r="G7" s="232">
        <f t="shared" si="4"/>
        <v>-1.34873870549874E-5</v>
      </c>
      <c r="H7" s="232">
        <f t="shared" si="5"/>
        <v>-2.1027648088026028E-5</v>
      </c>
      <c r="I7" s="232">
        <f t="shared" si="6"/>
        <v>-5.4996097004188251E-5</v>
      </c>
      <c r="J7" s="232">
        <f t="shared" si="7"/>
        <v>-3.810527494749209E-5</v>
      </c>
      <c r="K7" s="232">
        <f t="shared" si="8"/>
        <v>-3.2153300260807153E-5</v>
      </c>
      <c r="L7" s="232">
        <f t="shared" si="9"/>
        <v>-2.912159828729364E-5</v>
      </c>
      <c r="M7" s="232">
        <f t="shared" si="10"/>
        <v>-4.7996152792548415E-5</v>
      </c>
      <c r="N7" s="232">
        <f t="shared" si="11"/>
        <v>-4.0854498784363224E-5</v>
      </c>
      <c r="O7" s="232">
        <f t="shared" si="12"/>
        <v>-4.951452539634425E-5</v>
      </c>
      <c r="P7" s="232">
        <f t="shared" si="13"/>
        <v>-4.9928648740330614E-5</v>
      </c>
      <c r="Q7" s="232">
        <f t="shared" si="14"/>
        <v>-5.7309438002287383E-5</v>
      </c>
      <c r="R7" s="232">
        <f t="shared" si="15"/>
        <v>-4.4804933344351018E-5</v>
      </c>
      <c r="S7" s="232">
        <f t="shared" si="16"/>
        <v>-4.4913568387386597E-5</v>
      </c>
      <c r="T7" s="232">
        <f t="shared" si="17"/>
        <v>-5.0680143318328975E-5</v>
      </c>
      <c r="U7" s="232">
        <f t="shared" si="18"/>
        <v>-4.9904489591241784E-5</v>
      </c>
      <c r="V7" s="232">
        <f t="shared" si="19"/>
        <v>-3.9557494454517844E-5</v>
      </c>
      <c r="W7" s="232">
        <f t="shared" si="20"/>
        <v>-4.9794154613068142E-5</v>
      </c>
      <c r="X7" s="232">
        <f t="shared" si="21"/>
        <v>-6.2376472785368933E-5</v>
      </c>
      <c r="Y7" s="232">
        <f t="shared" si="22"/>
        <v>-7.3902675611034211E-5</v>
      </c>
      <c r="Z7" s="232">
        <f t="shared" si="23"/>
        <v>-6.9356383274609348E-5</v>
      </c>
      <c r="AA7" s="232">
        <f t="shared" si="24"/>
        <v>-6.3162716766838973E-5</v>
      </c>
      <c r="AB7" s="232">
        <f t="shared" si="25"/>
        <v>-6.7259365926247434E-5</v>
      </c>
      <c r="AC7" s="232">
        <f t="shared" si="26"/>
        <v>-6.3460092842996101E-5</v>
      </c>
      <c r="AD7" s="232">
        <f t="shared" si="27"/>
        <v>-7.5079807876214281E-5</v>
      </c>
      <c r="AE7" s="232">
        <f t="shared" si="28"/>
        <v>-9.794431726799479E-5</v>
      </c>
      <c r="AF7" s="232">
        <f t="shared" si="29"/>
        <v>-1.0336187182791128E-4</v>
      </c>
      <c r="AG7" s="232">
        <f t="shared" si="30"/>
        <v>-5.5652077074708102E-5</v>
      </c>
      <c r="AH7" s="232">
        <f t="shared" si="31"/>
        <v>-1.3943921409266495E-4</v>
      </c>
      <c r="AI7" s="232">
        <f t="shared" si="32"/>
        <v>1.9310174004540247E-4</v>
      </c>
      <c r="AJ7" s="394">
        <f>AVERAGE(C7:AH7)</f>
        <v>-5.1846644314023363E-5</v>
      </c>
      <c r="AM7" s="6" t="s">
        <v>1443</v>
      </c>
      <c r="AN7" s="25">
        <f>'Summary Table'!C10</f>
        <v>157.83904177851264</v>
      </c>
      <c r="AO7" s="25">
        <f>'Summary Table'!D10</f>
        <v>154.63821661006179</v>
      </c>
      <c r="AP7" s="25">
        <f>'Summary Table'!E10</f>
        <v>150.2749647363666</v>
      </c>
      <c r="AQ7" s="25">
        <f>'Summary Table'!F10</f>
        <v>152.54778954502495</v>
      </c>
      <c r="AR7" s="25">
        <f>'Summary Table'!G10</f>
        <v>153.46902592244419</v>
      </c>
      <c r="AS7" s="25">
        <f>'Summary Table'!H10</f>
        <v>147.21568642995061</v>
      </c>
      <c r="AT7" s="25">
        <f>'Summary Table'!I10</f>
        <v>140.08937876434783</v>
      </c>
      <c r="AU7" s="25">
        <f>'Summary Table'!J10</f>
        <v>140.23965311448606</v>
      </c>
      <c r="AV7" s="25">
        <f>'Summary Table'!K10</f>
        <v>141.75560347689387</v>
      </c>
      <c r="AW7" s="25">
        <f>'Summary Table'!L10</f>
        <v>132.48068946628473</v>
      </c>
      <c r="AX7" s="25">
        <f>'Summary Table'!M10</f>
        <v>128.48390763754276</v>
      </c>
      <c r="AY7" s="25">
        <f>'Summary Table'!N10</f>
        <v>130.18161126003045</v>
      </c>
      <c r="AZ7" s="25">
        <f>'Summary Table'!O10</f>
        <v>119.05774285576179</v>
      </c>
      <c r="BA7" s="25">
        <f>'Summary Table'!P10</f>
        <v>119.43854006261547</v>
      </c>
      <c r="BB7" s="25">
        <f>'Summary Table'!Q10</f>
        <v>120.43424047781994</v>
      </c>
      <c r="BC7" s="25">
        <f>'Summary Table'!R10</f>
        <v>117.84136322777762</v>
      </c>
      <c r="BD7" s="25">
        <f>'Summary Table'!S10</f>
        <v>115.57937880961637</v>
      </c>
      <c r="BE7" s="25">
        <f>'Summary Table'!T10</f>
        <v>110.7742334657229</v>
      </c>
      <c r="BF7" s="25">
        <f>'Summary Table'!U10</f>
        <v>106.0748691930491</v>
      </c>
      <c r="BG7" s="25">
        <f>'Summary Table'!V10</f>
        <v>87.066994880340218</v>
      </c>
      <c r="BH7" s="25">
        <f>'Summary Table'!W10</f>
        <v>94.164426530393271</v>
      </c>
      <c r="BI7" s="25">
        <f>'Summary Table'!X10</f>
        <v>85.953690906971573</v>
      </c>
      <c r="BJ7" s="25">
        <f>'Summary Table'!Y10</f>
        <v>78.224309760947136</v>
      </c>
      <c r="BK7" s="25">
        <f>'Summary Table'!Z10</f>
        <v>79.543821123315311</v>
      </c>
      <c r="BL7" s="25">
        <f>'Summary Table'!AA10</f>
        <v>79.242788637601819</v>
      </c>
      <c r="BM7" s="25">
        <f>'Summary Table'!AB10</f>
        <v>69.970403927797904</v>
      </c>
      <c r="BN7" s="25">
        <f>'Summary Table'!AC10</f>
        <v>63.150304482426023</v>
      </c>
      <c r="BO7" s="25">
        <f>'Summary Table'!AD10</f>
        <v>58.672866160806755</v>
      </c>
      <c r="BP7" s="25">
        <f>'Summary Table'!AE10</f>
        <v>54.41675515263988</v>
      </c>
      <c r="BQ7" s="25">
        <f>'Summary Table'!AF10</f>
        <v>49.458189949163135</v>
      </c>
      <c r="BR7" s="25">
        <f>'Summary Table'!AG10</f>
        <v>42.966294417900514</v>
      </c>
      <c r="BS7" s="25">
        <f>'Summary Table'!AH10</f>
        <v>43.026401331772739</v>
      </c>
      <c r="BT7" s="25">
        <f>'Summary Table'!AI10</f>
        <v>42.659992596041015</v>
      </c>
    </row>
    <row r="8" spans="1:72">
      <c r="B8" s="6" t="s">
        <v>1445</v>
      </c>
      <c r="C8" s="232" t="str">
        <f t="shared" si="0"/>
        <v>NA</v>
      </c>
      <c r="D8" s="232" t="str">
        <f t="shared" si="1"/>
        <v>NA</v>
      </c>
      <c r="E8" s="232" t="str">
        <f t="shared" si="2"/>
        <v>NA</v>
      </c>
      <c r="F8" s="232" t="str">
        <f t="shared" si="3"/>
        <v>NA</v>
      </c>
      <c r="G8" s="232" t="str">
        <f t="shared" si="4"/>
        <v>NA</v>
      </c>
      <c r="H8" s="232" t="str">
        <f t="shared" si="5"/>
        <v>NA</v>
      </c>
      <c r="I8" s="232" t="str">
        <f t="shared" si="6"/>
        <v>NA</v>
      </c>
      <c r="J8" s="232" t="str">
        <f t="shared" si="7"/>
        <v>NA</v>
      </c>
      <c r="K8" s="232" t="str">
        <f t="shared" si="8"/>
        <v>NA</v>
      </c>
      <c r="L8" s="232" t="str">
        <f t="shared" si="9"/>
        <v>NA</v>
      </c>
      <c r="M8" s="232" t="str">
        <f t="shared" si="10"/>
        <v>NA</v>
      </c>
      <c r="N8" s="232" t="str">
        <f t="shared" si="11"/>
        <v>NA</v>
      </c>
      <c r="O8" s="232" t="str">
        <f t="shared" si="12"/>
        <v>NA</v>
      </c>
      <c r="P8" s="232" t="str">
        <f t="shared" si="13"/>
        <v>NA</v>
      </c>
      <c r="Q8" s="232" t="str">
        <f t="shared" si="14"/>
        <v>NA</v>
      </c>
      <c r="R8" s="232" t="str">
        <f t="shared" si="15"/>
        <v>NA</v>
      </c>
      <c r="S8" s="232" t="str">
        <f t="shared" si="16"/>
        <v>NA</v>
      </c>
      <c r="T8" s="232" t="str">
        <f t="shared" si="17"/>
        <v>NA</v>
      </c>
      <c r="U8" s="232" t="str">
        <f t="shared" si="18"/>
        <v>NA</v>
      </c>
      <c r="V8" s="232" t="str">
        <f t="shared" si="19"/>
        <v>NA</v>
      </c>
      <c r="W8" s="232" t="str">
        <f t="shared" si="20"/>
        <v>NA</v>
      </c>
      <c r="X8" s="232" t="str">
        <f t="shared" si="21"/>
        <v>NA</v>
      </c>
      <c r="Y8" s="232" t="str">
        <f t="shared" si="22"/>
        <v>NA</v>
      </c>
      <c r="Z8" s="232" t="str">
        <f t="shared" si="23"/>
        <v>NA</v>
      </c>
      <c r="AA8" s="232" t="str">
        <f t="shared" si="24"/>
        <v>NA</v>
      </c>
      <c r="AB8" s="232" t="str">
        <f t="shared" si="25"/>
        <v>NA</v>
      </c>
      <c r="AC8" s="232" t="str">
        <f t="shared" si="26"/>
        <v>NA</v>
      </c>
      <c r="AD8" s="232" t="str">
        <f t="shared" si="27"/>
        <v>NA</v>
      </c>
      <c r="AE8" s="232" t="str">
        <f t="shared" si="28"/>
        <v>NA</v>
      </c>
      <c r="AF8" s="232" t="str">
        <f t="shared" si="29"/>
        <v>NA</v>
      </c>
      <c r="AG8" s="232" t="str">
        <f t="shared" si="30"/>
        <v>NA</v>
      </c>
      <c r="AH8" s="232" t="str">
        <f t="shared" si="31"/>
        <v>NA</v>
      </c>
      <c r="AI8" s="232" t="str">
        <f t="shared" si="32"/>
        <v>NA</v>
      </c>
      <c r="AM8" s="6" t="s">
        <v>1445</v>
      </c>
      <c r="AN8" s="25" t="str">
        <f>'Summary Table'!C11</f>
        <v>NO</v>
      </c>
      <c r="AO8" s="25" t="str">
        <f>'Summary Table'!D11</f>
        <v>NO</v>
      </c>
      <c r="AP8" s="25" t="str">
        <f>'Summary Table'!E11</f>
        <v>NO</v>
      </c>
      <c r="AQ8" s="25" t="str">
        <f>'Summary Table'!F11</f>
        <v>NO</v>
      </c>
      <c r="AR8" s="25" t="str">
        <f>'Summary Table'!G11</f>
        <v>NO</v>
      </c>
      <c r="AS8" s="25" t="str">
        <f>'Summary Table'!H11</f>
        <v>NO</v>
      </c>
      <c r="AT8" s="25" t="str">
        <f>'Summary Table'!I11</f>
        <v>NO</v>
      </c>
      <c r="AU8" s="25" t="str">
        <f>'Summary Table'!J11</f>
        <v>NO</v>
      </c>
      <c r="AV8" s="25" t="str">
        <f>'Summary Table'!K11</f>
        <v>NO</v>
      </c>
      <c r="AW8" s="25" t="str">
        <f>'Summary Table'!L11</f>
        <v>NO</v>
      </c>
      <c r="AX8" s="25" t="str">
        <f>'Summary Table'!M11</f>
        <v>NO</v>
      </c>
      <c r="AY8" s="25" t="str">
        <f>'Summary Table'!N11</f>
        <v>NO</v>
      </c>
      <c r="AZ8" s="25" t="str">
        <f>'Summary Table'!O11</f>
        <v>NO</v>
      </c>
      <c r="BA8" s="25" t="str">
        <f>'Summary Table'!P11</f>
        <v>NO</v>
      </c>
      <c r="BB8" s="25" t="str">
        <f>'Summary Table'!Q11</f>
        <v>NO</v>
      </c>
      <c r="BC8" s="25" t="str">
        <f>'Summary Table'!R11</f>
        <v>NO</v>
      </c>
      <c r="BD8" s="25" t="str">
        <f>'Summary Table'!S11</f>
        <v>NO</v>
      </c>
      <c r="BE8" s="25" t="str">
        <f>'Summary Table'!T11</f>
        <v>NO</v>
      </c>
      <c r="BF8" s="25" t="str">
        <f>'Summary Table'!U11</f>
        <v>NO</v>
      </c>
      <c r="BG8" s="25" t="str">
        <f>'Summary Table'!V11</f>
        <v>NO</v>
      </c>
      <c r="BH8" s="25" t="str">
        <f>'Summary Table'!W11</f>
        <v>NO</v>
      </c>
      <c r="BI8" s="25" t="str">
        <f>'Summary Table'!X11</f>
        <v>NO</v>
      </c>
      <c r="BJ8" s="25" t="str">
        <f>'Summary Table'!Y11</f>
        <v>NO</v>
      </c>
      <c r="BK8" s="25" t="str">
        <f>'Summary Table'!Z11</f>
        <v>NO</v>
      </c>
      <c r="BL8" s="25" t="str">
        <f>'Summary Table'!AA11</f>
        <v>NO</v>
      </c>
      <c r="BM8" s="25" t="str">
        <f>'Summary Table'!AB11</f>
        <v>NO</v>
      </c>
      <c r="BN8" s="25" t="str">
        <f>'Summary Table'!AC11</f>
        <v>NO</v>
      </c>
      <c r="BO8" s="25" t="str">
        <f>'Summary Table'!AD11</f>
        <v>NO</v>
      </c>
      <c r="BP8" s="25" t="str">
        <f>'Summary Table'!AE11</f>
        <v>NO</v>
      </c>
      <c r="BQ8" s="25" t="str">
        <f>'Summary Table'!AF11</f>
        <v>NO</v>
      </c>
      <c r="BR8" s="25" t="str">
        <f>'Summary Table'!AG11</f>
        <v>NO</v>
      </c>
      <c r="BS8" s="25" t="str">
        <f>'Summary Table'!AH11</f>
        <v>NO</v>
      </c>
      <c r="BT8" s="25" t="str">
        <f>'Summary Table'!AI11</f>
        <v>NO</v>
      </c>
    </row>
    <row r="9" spans="1:72">
      <c r="B9" s="6" t="s">
        <v>1474</v>
      </c>
      <c r="C9" s="232">
        <f t="shared" si="0"/>
        <v>0</v>
      </c>
      <c r="D9" s="232">
        <f t="shared" si="1"/>
        <v>0</v>
      </c>
      <c r="E9" s="232">
        <f t="shared" si="2"/>
        <v>0</v>
      </c>
      <c r="F9" s="232">
        <f t="shared" si="3"/>
        <v>0</v>
      </c>
      <c r="G9" s="232">
        <f t="shared" si="4"/>
        <v>0</v>
      </c>
      <c r="H9" s="232">
        <f t="shared" si="5"/>
        <v>0</v>
      </c>
      <c r="I9" s="232">
        <f t="shared" si="6"/>
        <v>0</v>
      </c>
      <c r="J9" s="232">
        <f t="shared" si="7"/>
        <v>0</v>
      </c>
      <c r="K9" s="232">
        <f t="shared" si="8"/>
        <v>0</v>
      </c>
      <c r="L9" s="232">
        <f t="shared" si="9"/>
        <v>0</v>
      </c>
      <c r="M9" s="232">
        <f t="shared" si="10"/>
        <v>0</v>
      </c>
      <c r="N9" s="232">
        <f t="shared" si="11"/>
        <v>0</v>
      </c>
      <c r="O9" s="232">
        <f t="shared" si="12"/>
        <v>0</v>
      </c>
      <c r="P9" s="232">
        <f t="shared" si="13"/>
        <v>0</v>
      </c>
      <c r="Q9" s="232">
        <f t="shared" si="14"/>
        <v>0</v>
      </c>
      <c r="R9" s="232">
        <f t="shared" si="15"/>
        <v>0</v>
      </c>
      <c r="S9" s="232">
        <f t="shared" si="16"/>
        <v>0</v>
      </c>
      <c r="T9" s="232">
        <f t="shared" si="17"/>
        <v>0</v>
      </c>
      <c r="U9" s="232">
        <f t="shared" si="18"/>
        <v>0</v>
      </c>
      <c r="V9" s="232">
        <f t="shared" si="19"/>
        <v>0</v>
      </c>
      <c r="W9" s="232">
        <f t="shared" si="20"/>
        <v>0</v>
      </c>
      <c r="X9" s="232">
        <f t="shared" si="21"/>
        <v>0</v>
      </c>
      <c r="Y9" s="232">
        <f t="shared" si="22"/>
        <v>0</v>
      </c>
      <c r="Z9" s="232">
        <f t="shared" si="23"/>
        <v>0</v>
      </c>
      <c r="AA9" s="232">
        <f t="shared" si="24"/>
        <v>0</v>
      </c>
      <c r="AB9" s="232">
        <f t="shared" si="25"/>
        <v>0</v>
      </c>
      <c r="AC9" s="232">
        <f t="shared" si="26"/>
        <v>0</v>
      </c>
      <c r="AD9" s="232">
        <f t="shared" si="27"/>
        <v>0</v>
      </c>
      <c r="AE9" s="232">
        <f t="shared" si="28"/>
        <v>0</v>
      </c>
      <c r="AF9" s="232">
        <f t="shared" si="29"/>
        <v>0</v>
      </c>
      <c r="AG9" s="232">
        <f t="shared" si="30"/>
        <v>0</v>
      </c>
      <c r="AH9" s="232">
        <f t="shared" si="31"/>
        <v>0</v>
      </c>
      <c r="AI9" s="232">
        <f t="shared" si="32"/>
        <v>4.7441435423407992E-3</v>
      </c>
      <c r="AM9" s="6" t="s">
        <v>1474</v>
      </c>
      <c r="AN9" s="25">
        <f>'Summary Table'!C12</f>
        <v>1546.5138658365147</v>
      </c>
      <c r="AO9" s="25">
        <f>'Summary Table'!D12</f>
        <v>1547.1744736994474</v>
      </c>
      <c r="AP9" s="25">
        <f>'Summary Table'!E12</f>
        <v>1568.5414841172681</v>
      </c>
      <c r="AQ9" s="25">
        <f>'Summary Table'!F12</f>
        <v>1631.6188101341861</v>
      </c>
      <c r="AR9" s="25">
        <f>'Summary Table'!G12</f>
        <v>1637.8528422171717</v>
      </c>
      <c r="AS9" s="25">
        <f>'Summary Table'!H12</f>
        <v>1659.8609103723704</v>
      </c>
      <c r="AT9" s="25">
        <f>'Summary Table'!I12</f>
        <v>1751.5233947269828</v>
      </c>
      <c r="AU9" s="25">
        <f>'Summary Table'!J12</f>
        <v>1796.0188853915236</v>
      </c>
      <c r="AV9" s="25">
        <f>'Summary Table'!K12</f>
        <v>1827.1476965735826</v>
      </c>
      <c r="AW9" s="25">
        <f>'Summary Table'!L12</f>
        <v>1835.4022340292524</v>
      </c>
      <c r="AX9" s="25">
        <f>'Summary Table'!M12</f>
        <v>1926.3651342158976</v>
      </c>
      <c r="AY9" s="25">
        <f>'Summary Table'!N12</f>
        <v>1868.8345135593859</v>
      </c>
      <c r="AZ9" s="25">
        <f>'Summary Table'!O12</f>
        <v>1888.8946691071951</v>
      </c>
      <c r="BA9" s="25">
        <f>'Summary Table'!P12</f>
        <v>1929.9566599629634</v>
      </c>
      <c r="BB9" s="25">
        <f>'Summary Table'!Q12</f>
        <v>1942.0197985409238</v>
      </c>
      <c r="BC9" s="25">
        <f>'Summary Table'!R12</f>
        <v>1982.7713676303179</v>
      </c>
      <c r="BD9" s="25">
        <f>'Summary Table'!S12</f>
        <v>1952.6895189382972</v>
      </c>
      <c r="BE9" s="25">
        <f>'Summary Table'!T12</f>
        <v>1986.2497853491975</v>
      </c>
      <c r="BF9" s="25">
        <f>'Summary Table'!U12</f>
        <v>1958.3876061335875</v>
      </c>
      <c r="BG9" s="25">
        <f>'Summary Table'!V12</f>
        <v>1740.1526692444147</v>
      </c>
      <c r="BH9" s="25">
        <f>'Summary Table'!W12</f>
        <v>1827.2452396274032</v>
      </c>
      <c r="BI9" s="25">
        <f>'Summary Table'!X12</f>
        <v>1722.3698705628942</v>
      </c>
      <c r="BJ9" s="25">
        <f>'Summary Table'!Y12</f>
        <v>1511.6931055686455</v>
      </c>
      <c r="BK9" s="25">
        <f>'Summary Table'!Z12</f>
        <v>1571.2511273959044</v>
      </c>
      <c r="BL9" s="25">
        <f>'Summary Table'!AA12</f>
        <v>1568.556173908122</v>
      </c>
      <c r="BM9" s="25">
        <f>'Summary Table'!AB12</f>
        <v>1351.3884116145925</v>
      </c>
      <c r="BN9" s="25">
        <f>'Summary Table'!AC12</f>
        <v>1242.0166623259897</v>
      </c>
      <c r="BO9" s="25">
        <f>'Summary Table'!AD12</f>
        <v>1207.0667392920539</v>
      </c>
      <c r="BP9" s="25">
        <f>'Summary Table'!AE12</f>
        <v>1152.8764230464151</v>
      </c>
      <c r="BQ9" s="25">
        <f>'Summary Table'!AF12</f>
        <v>973.5397823880611</v>
      </c>
      <c r="BR9" s="25">
        <f>'Summary Table'!AG12</f>
        <v>788.15962639841325</v>
      </c>
      <c r="BS9" s="25">
        <f>'Summary Table'!AH12</f>
        <v>910.06445819817407</v>
      </c>
      <c r="BT9" s="25">
        <f>'Summary Table'!AI12</f>
        <v>851.47205640141203</v>
      </c>
    </row>
    <row r="10" spans="1:72">
      <c r="B10" s="6" t="s">
        <v>1476</v>
      </c>
      <c r="C10" s="232">
        <f t="shared" si="0"/>
        <v>0</v>
      </c>
      <c r="D10" s="232">
        <f t="shared" si="1"/>
        <v>0</v>
      </c>
      <c r="E10" s="232">
        <f t="shared" si="2"/>
        <v>0</v>
      </c>
      <c r="F10" s="232">
        <f t="shared" si="3"/>
        <v>0</v>
      </c>
      <c r="G10" s="232">
        <f t="shared" si="4"/>
        <v>0</v>
      </c>
      <c r="H10" s="232">
        <f t="shared" si="5"/>
        <v>0</v>
      </c>
      <c r="I10" s="232">
        <f t="shared" si="6"/>
        <v>0</v>
      </c>
      <c r="J10" s="232">
        <f t="shared" si="7"/>
        <v>0</v>
      </c>
      <c r="K10" s="232">
        <f t="shared" si="8"/>
        <v>0</v>
      </c>
      <c r="L10" s="232">
        <f t="shared" si="9"/>
        <v>0</v>
      </c>
      <c r="M10" s="232">
        <f t="shared" si="10"/>
        <v>0</v>
      </c>
      <c r="N10" s="232">
        <f t="shared" si="11"/>
        <v>0</v>
      </c>
      <c r="O10" s="232">
        <f t="shared" si="12"/>
        <v>0</v>
      </c>
      <c r="P10" s="232">
        <f t="shared" si="13"/>
        <v>0</v>
      </c>
      <c r="Q10" s="232">
        <f t="shared" si="14"/>
        <v>0</v>
      </c>
      <c r="R10" s="232">
        <f t="shared" si="15"/>
        <v>0</v>
      </c>
      <c r="S10" s="232">
        <f t="shared" si="16"/>
        <v>0</v>
      </c>
      <c r="T10" s="232">
        <f t="shared" si="17"/>
        <v>0</v>
      </c>
      <c r="U10" s="232">
        <f t="shared" si="18"/>
        <v>0</v>
      </c>
      <c r="V10" s="232">
        <f t="shared" si="19"/>
        <v>0</v>
      </c>
      <c r="W10" s="232">
        <f t="shared" si="20"/>
        <v>0</v>
      </c>
      <c r="X10" s="232">
        <f t="shared" si="21"/>
        <v>0</v>
      </c>
      <c r="Y10" s="232">
        <f t="shared" si="22"/>
        <v>0</v>
      </c>
      <c r="Z10" s="232">
        <f t="shared" si="23"/>
        <v>0</v>
      </c>
      <c r="AA10" s="232">
        <f t="shared" si="24"/>
        <v>0</v>
      </c>
      <c r="AB10" s="232">
        <f t="shared" si="25"/>
        <v>0</v>
      </c>
      <c r="AC10" s="232">
        <f t="shared" si="26"/>
        <v>0</v>
      </c>
      <c r="AD10" s="232">
        <f t="shared" si="27"/>
        <v>0</v>
      </c>
      <c r="AE10" s="232">
        <f t="shared" si="28"/>
        <v>0</v>
      </c>
      <c r="AF10" s="232">
        <f t="shared" si="29"/>
        <v>0</v>
      </c>
      <c r="AG10" s="232">
        <f t="shared" si="30"/>
        <v>0</v>
      </c>
      <c r="AH10" s="232">
        <f t="shared" si="31"/>
        <v>0</v>
      </c>
      <c r="AI10" s="232">
        <f t="shared" si="32"/>
        <v>0</v>
      </c>
      <c r="AJ10" s="394">
        <f>AVERAGE(C10:AH10)</f>
        <v>0</v>
      </c>
      <c r="AM10" s="6" t="s">
        <v>1476</v>
      </c>
      <c r="AN10" s="25">
        <f>'Summary Table'!C13</f>
        <v>0.49918364487950195</v>
      </c>
      <c r="AO10" s="25">
        <f>'Summary Table'!D13</f>
        <v>0.46298199444111593</v>
      </c>
      <c r="AP10" s="25">
        <f>'Summary Table'!E13</f>
        <v>0.39540420426145789</v>
      </c>
      <c r="AQ10" s="25">
        <f>'Summary Table'!F13</f>
        <v>0.414664583865334</v>
      </c>
      <c r="AR10" s="25">
        <f>'Summary Table'!G13</f>
        <v>0.4225953215157458</v>
      </c>
      <c r="AS10" s="25">
        <f>'Summary Table'!H13</f>
        <v>0.43052605711056213</v>
      </c>
      <c r="AT10" s="25">
        <f>'Summary Table'!I13</f>
        <v>0.44185569700838989</v>
      </c>
      <c r="AU10" s="25">
        <f>'Summary Table'!J13</f>
        <v>0.44910667394322812</v>
      </c>
      <c r="AV10" s="25">
        <f>'Summary Table'!K13</f>
        <v>0.45409170850918595</v>
      </c>
      <c r="AW10" s="25">
        <f>'Summary Table'!L13</f>
        <v>0.42032940175863998</v>
      </c>
      <c r="AX10" s="25">
        <f>'Summary Table'!M13</f>
        <v>0.47500388702083407</v>
      </c>
      <c r="AY10" s="25">
        <f>'Summary Table'!N13</f>
        <v>0.59682902437400609</v>
      </c>
      <c r="AZ10" s="25">
        <f>'Summary Table'!O13</f>
        <v>2.0233696387959919</v>
      </c>
      <c r="BA10" s="25">
        <f>'Summary Table'!P13</f>
        <v>2.6638948248182412</v>
      </c>
      <c r="BB10" s="25">
        <f>'Summary Table'!Q13</f>
        <v>2.9457046672788625</v>
      </c>
      <c r="BC10" s="25">
        <f>'Summary Table'!R13</f>
        <v>3.0136824655534786</v>
      </c>
      <c r="BD10" s="25">
        <f>'Summary Table'!S13</f>
        <v>3.3988899959624983</v>
      </c>
      <c r="BE10" s="25">
        <f>'Summary Table'!T13</f>
        <v>3.4023708872877636</v>
      </c>
      <c r="BF10" s="25">
        <f>'Summary Table'!U13</f>
        <v>3.4334171477753794</v>
      </c>
      <c r="BG10" s="25">
        <f>'Summary Table'!V13</f>
        <v>3.4095811621519387</v>
      </c>
      <c r="BH10" s="25">
        <f>'Summary Table'!W13</f>
        <v>3.1957130259780819</v>
      </c>
      <c r="BI10" s="25">
        <f>'Summary Table'!X13</f>
        <v>3.4382816448199178</v>
      </c>
      <c r="BJ10" s="25">
        <f>'Summary Table'!Y13</f>
        <v>3.2878464692658049</v>
      </c>
      <c r="BK10" s="25">
        <f>'Summary Table'!Z13</f>
        <v>3.275549300432385</v>
      </c>
      <c r="BL10" s="25">
        <f>'Summary Table'!AA13</f>
        <v>3.4423529910979647</v>
      </c>
      <c r="BM10" s="25">
        <f>'Summary Table'!AB13</f>
        <v>3.3100766326055582</v>
      </c>
      <c r="BN10" s="25">
        <f>'Summary Table'!AC13</f>
        <v>3.2706872988139057</v>
      </c>
      <c r="BO10" s="25">
        <f>'Summary Table'!AD13</f>
        <v>2.3004828509080002</v>
      </c>
      <c r="BP10" s="25">
        <f>'Summary Table'!AE13</f>
        <v>2.5567788600420003</v>
      </c>
      <c r="BQ10" s="25">
        <f>'Summary Table'!AF13</f>
        <v>3.5604735078220004</v>
      </c>
      <c r="BR10" s="25">
        <f>'Summary Table'!AG13</f>
        <v>3.0825890668051215</v>
      </c>
      <c r="BS10" s="25">
        <f>'Summary Table'!AH13</f>
        <v>2.8885689791967102</v>
      </c>
      <c r="BT10" s="25">
        <f>'Summary Table'!AI13</f>
        <v>2.8885689791967102</v>
      </c>
    </row>
    <row r="11" spans="1:72">
      <c r="B11" s="5" t="s">
        <v>1439</v>
      </c>
      <c r="C11" s="235">
        <f t="shared" si="0"/>
        <v>0</v>
      </c>
      <c r="D11" s="235">
        <f t="shared" si="1"/>
        <v>0</v>
      </c>
      <c r="E11" s="235">
        <f t="shared" si="2"/>
        <v>0</v>
      </c>
      <c r="F11" s="235">
        <f t="shared" si="3"/>
        <v>0</v>
      </c>
      <c r="G11" s="235">
        <f t="shared" si="4"/>
        <v>0</v>
      </c>
      <c r="H11" s="235">
        <f t="shared" si="5"/>
        <v>0</v>
      </c>
      <c r="I11" s="235">
        <f t="shared" si="6"/>
        <v>0</v>
      </c>
      <c r="J11" s="235">
        <f t="shared" si="7"/>
        <v>0</v>
      </c>
      <c r="K11" s="235">
        <f t="shared" si="8"/>
        <v>0</v>
      </c>
      <c r="L11" s="235">
        <f t="shared" si="9"/>
        <v>0</v>
      </c>
      <c r="M11" s="235">
        <f t="shared" si="10"/>
        <v>0</v>
      </c>
      <c r="N11" s="235">
        <f t="shared" si="11"/>
        <v>0</v>
      </c>
      <c r="O11" s="235">
        <f t="shared" si="12"/>
        <v>0</v>
      </c>
      <c r="P11" s="235">
        <f t="shared" si="13"/>
        <v>0</v>
      </c>
      <c r="Q11" s="235">
        <f t="shared" si="14"/>
        <v>0</v>
      </c>
      <c r="R11" s="235">
        <f t="shared" si="15"/>
        <v>0</v>
      </c>
      <c r="S11" s="235">
        <f t="shared" si="16"/>
        <v>0</v>
      </c>
      <c r="T11" s="235">
        <f t="shared" si="17"/>
        <v>0</v>
      </c>
      <c r="U11" s="235">
        <f t="shared" si="18"/>
        <v>0</v>
      </c>
      <c r="V11" s="235">
        <f t="shared" si="19"/>
        <v>0</v>
      </c>
      <c r="W11" s="235">
        <f t="shared" si="20"/>
        <v>0</v>
      </c>
      <c r="X11" s="235">
        <f t="shared" si="21"/>
        <v>0</v>
      </c>
      <c r="Y11" s="235">
        <f t="shared" si="22"/>
        <v>0</v>
      </c>
      <c r="Z11" s="235">
        <f t="shared" si="23"/>
        <v>0</v>
      </c>
      <c r="AA11" s="235">
        <f t="shared" si="24"/>
        <v>0</v>
      </c>
      <c r="AB11" s="235">
        <f t="shared" si="25"/>
        <v>0</v>
      </c>
      <c r="AC11" s="235">
        <f t="shared" si="26"/>
        <v>0</v>
      </c>
      <c r="AD11" s="235">
        <f t="shared" si="27"/>
        <v>0</v>
      </c>
      <c r="AE11" s="235">
        <f t="shared" si="28"/>
        <v>0</v>
      </c>
      <c r="AF11" s="235">
        <f t="shared" si="29"/>
        <v>-5.3390782460783644E-6</v>
      </c>
      <c r="AG11" s="235">
        <f t="shared" si="30"/>
        <v>2.0711277859428454E-3</v>
      </c>
      <c r="AH11" s="235">
        <f t="shared" si="31"/>
        <v>7.7312676967610904E-4</v>
      </c>
      <c r="AI11" s="235">
        <f t="shared" si="32"/>
        <v>-1.9110308905895331E-3</v>
      </c>
      <c r="AJ11" s="496">
        <f>AVERAGE(AE11:AH11)</f>
        <v>7.0972886934321901E-4</v>
      </c>
      <c r="AM11" s="5" t="s">
        <v>1439</v>
      </c>
      <c r="AN11" s="29">
        <f>'Summary Table'!C14</f>
        <v>998.62349225994672</v>
      </c>
      <c r="AO11" s="29">
        <f>'Summary Table'!D14</f>
        <v>1020.8766721472523</v>
      </c>
      <c r="AP11" s="29">
        <f>'Summary Table'!E14</f>
        <v>1054.3448652335699</v>
      </c>
      <c r="AQ11" s="29">
        <f>'Summary Table'!F14</f>
        <v>1081.8087995998724</v>
      </c>
      <c r="AR11" s="29">
        <f>'Summary Table'!G14</f>
        <v>1106.597648493778</v>
      </c>
      <c r="AS11" s="29">
        <f>'Summary Table'!H14</f>
        <v>1155.0125862325747</v>
      </c>
      <c r="AT11" s="29">
        <f>'Summary Table'!I14</f>
        <v>1176.2845125565316</v>
      </c>
      <c r="AU11" s="29">
        <f>'Summary Table'!J14</f>
        <v>1182.4608296957772</v>
      </c>
      <c r="AV11" s="29">
        <f>'Summary Table'!K14</f>
        <v>1158.6521439145599</v>
      </c>
      <c r="AW11" s="29">
        <f>'Summary Table'!L14</f>
        <v>1162.936857405308</v>
      </c>
      <c r="AX11" s="29">
        <f>'Summary Table'!M14</f>
        <v>1218.6319252846156</v>
      </c>
      <c r="AY11" s="29">
        <f>'Summary Table'!N14</f>
        <v>1169.4461080717133</v>
      </c>
      <c r="AZ11" s="29">
        <f>'Summary Table'!O14</f>
        <v>1207.9329265155102</v>
      </c>
      <c r="BA11" s="29">
        <f>'Summary Table'!P14</f>
        <v>1176.9526767172179</v>
      </c>
      <c r="BB11" s="29">
        <f>'Summary Table'!Q14</f>
        <v>1182.8257812622635</v>
      </c>
      <c r="BC11" s="29">
        <f>'Summary Table'!R14</f>
        <v>1166.1619067933786</v>
      </c>
      <c r="BD11" s="29">
        <f>'Summary Table'!S14</f>
        <v>1151.0489744030008</v>
      </c>
      <c r="BE11" s="29">
        <f>'Summary Table'!T14</f>
        <v>1225.0297403637483</v>
      </c>
      <c r="BF11" s="29">
        <f>'Summary Table'!U14</f>
        <v>1235.880817407465</v>
      </c>
      <c r="BG11" s="29">
        <f>'Summary Table'!V14</f>
        <v>1214.2348492596584</v>
      </c>
      <c r="BH11" s="29">
        <f>'Summary Table'!W14</f>
        <v>1273.1434121564739</v>
      </c>
      <c r="BI11" s="29">
        <f>'Summary Table'!X14</f>
        <v>1292.7853933595727</v>
      </c>
      <c r="BJ11" s="29">
        <f>'Summary Table'!Y14</f>
        <v>1352.7983238212385</v>
      </c>
      <c r="BK11" s="29">
        <f>'Summary Table'!Z14</f>
        <v>1390.8096077883677</v>
      </c>
      <c r="BL11" s="29">
        <f>'Summary Table'!AA14</f>
        <v>1419.1264948240514</v>
      </c>
      <c r="BM11" s="29">
        <f>'Summary Table'!AB14</f>
        <v>1455.3863220654703</v>
      </c>
      <c r="BN11" s="29">
        <f>'Summary Table'!AC14</f>
        <v>1461.3213135943815</v>
      </c>
      <c r="BO11" s="29">
        <f>'Summary Table'!AD14</f>
        <v>1433.2473396264857</v>
      </c>
      <c r="BP11" s="29">
        <f>'Summary Table'!AE14</f>
        <v>1591.9666965204153</v>
      </c>
      <c r="BQ11" s="29">
        <f>'Summary Table'!AF14</f>
        <v>1649.2440851633467</v>
      </c>
      <c r="BR11" s="29">
        <f>'Summary Table'!AG14</f>
        <v>1615.678934586985</v>
      </c>
      <c r="BS11" s="29">
        <f>'Summary Table'!AH14</f>
        <v>1622.0683091042599</v>
      </c>
      <c r="BT11" s="29">
        <f>'Summary Table'!AI14</f>
        <v>1709.0814150991439</v>
      </c>
    </row>
    <row r="12" spans="1:72">
      <c r="B12" s="6" t="s">
        <v>1434</v>
      </c>
      <c r="C12" s="232">
        <f t="shared" si="0"/>
        <v>0</v>
      </c>
      <c r="D12" s="232">
        <f t="shared" si="1"/>
        <v>0</v>
      </c>
      <c r="E12" s="232">
        <f t="shared" si="2"/>
        <v>0</v>
      </c>
      <c r="F12" s="232">
        <f t="shared" si="3"/>
        <v>0</v>
      </c>
      <c r="G12" s="232">
        <f t="shared" si="4"/>
        <v>0</v>
      </c>
      <c r="H12" s="232">
        <f t="shared" si="5"/>
        <v>0</v>
      </c>
      <c r="I12" s="232">
        <f t="shared" si="6"/>
        <v>0</v>
      </c>
      <c r="J12" s="232">
        <f t="shared" si="7"/>
        <v>0</v>
      </c>
      <c r="K12" s="232">
        <f t="shared" si="8"/>
        <v>0</v>
      </c>
      <c r="L12" s="232">
        <f t="shared" si="9"/>
        <v>0</v>
      </c>
      <c r="M12" s="232">
        <f t="shared" si="10"/>
        <v>0</v>
      </c>
      <c r="N12" s="232">
        <f t="shared" si="11"/>
        <v>0</v>
      </c>
      <c r="O12" s="232">
        <f t="shared" si="12"/>
        <v>0</v>
      </c>
      <c r="P12" s="232">
        <f t="shared" si="13"/>
        <v>0</v>
      </c>
      <c r="Q12" s="232">
        <f t="shared" si="14"/>
        <v>0</v>
      </c>
      <c r="R12" s="232">
        <f t="shared" si="15"/>
        <v>0</v>
      </c>
      <c r="S12" s="232">
        <f t="shared" si="16"/>
        <v>0</v>
      </c>
      <c r="T12" s="232">
        <f t="shared" si="17"/>
        <v>0</v>
      </c>
      <c r="U12" s="232">
        <f t="shared" si="18"/>
        <v>0</v>
      </c>
      <c r="V12" s="232">
        <f t="shared" si="19"/>
        <v>0</v>
      </c>
      <c r="W12" s="232">
        <f t="shared" si="20"/>
        <v>0</v>
      </c>
      <c r="X12" s="232">
        <f t="shared" si="21"/>
        <v>0</v>
      </c>
      <c r="Y12" s="232">
        <f t="shared" si="22"/>
        <v>0</v>
      </c>
      <c r="Z12" s="232">
        <f t="shared" si="23"/>
        <v>0</v>
      </c>
      <c r="AA12" s="232">
        <f t="shared" si="24"/>
        <v>0</v>
      </c>
      <c r="AB12" s="232">
        <f t="shared" si="25"/>
        <v>0</v>
      </c>
      <c r="AC12" s="232">
        <f t="shared" si="26"/>
        <v>0</v>
      </c>
      <c r="AD12" s="232">
        <f t="shared" si="27"/>
        <v>0</v>
      </c>
      <c r="AE12" s="232">
        <f t="shared" si="28"/>
        <v>0</v>
      </c>
      <c r="AF12" s="232">
        <f t="shared" si="29"/>
        <v>0</v>
      </c>
      <c r="AG12" s="232">
        <f t="shared" si="30"/>
        <v>2.4764382380433627E-6</v>
      </c>
      <c r="AH12" s="232">
        <f t="shared" si="31"/>
        <v>1.0146492024262997E-4</v>
      </c>
      <c r="AI12" s="232">
        <f t="shared" si="32"/>
        <v>-5.4617909728650986E-3</v>
      </c>
      <c r="AM12" s="6" t="s">
        <v>1434</v>
      </c>
      <c r="AN12" s="25">
        <f>'Summary Table'!C15</f>
        <v>237.79751316701928</v>
      </c>
      <c r="AO12" s="25">
        <f>'Summary Table'!D15</f>
        <v>247.3163708646733</v>
      </c>
      <c r="AP12" s="25">
        <f>'Summary Table'!E15</f>
        <v>254.59497787985759</v>
      </c>
      <c r="AQ12" s="25">
        <f>'Summary Table'!F15</f>
        <v>268.22932615115491</v>
      </c>
      <c r="AR12" s="25">
        <f>'Summary Table'!G15</f>
        <v>262.94355944535857</v>
      </c>
      <c r="AS12" s="25">
        <f>'Summary Table'!H15</f>
        <v>262.76570850496319</v>
      </c>
      <c r="AT12" s="25">
        <f>'Summary Table'!I15</f>
        <v>283.99195492868381</v>
      </c>
      <c r="AU12" s="25">
        <f>'Summary Table'!J15</f>
        <v>270.12382236394063</v>
      </c>
      <c r="AV12" s="25">
        <f>'Summary Table'!K15</f>
        <v>246.13967860387044</v>
      </c>
      <c r="AW12" s="25">
        <f>'Summary Table'!L15</f>
        <v>256.37921536804282</v>
      </c>
      <c r="AX12" s="25">
        <f>'Summary Table'!M15</f>
        <v>270.80589926201588</v>
      </c>
      <c r="AY12" s="25">
        <f>'Summary Table'!N15</f>
        <v>259.1889647876601</v>
      </c>
      <c r="AZ12" s="25">
        <f>'Summary Table'!O15</f>
        <v>265.05318507540636</v>
      </c>
      <c r="BA12" s="25">
        <f>'Summary Table'!P15</f>
        <v>276.17534859880868</v>
      </c>
      <c r="BB12" s="25">
        <f>'Summary Table'!Q15</f>
        <v>264.17877611421051</v>
      </c>
      <c r="BC12" s="25">
        <f>'Summary Table'!R15</f>
        <v>262.2286055672738</v>
      </c>
      <c r="BD12" s="25">
        <f>'Summary Table'!S15</f>
        <v>237.28839962332515</v>
      </c>
      <c r="BE12" s="25">
        <f>'Summary Table'!T15</f>
        <v>256.4079028660679</v>
      </c>
      <c r="BF12" s="25">
        <f>'Summary Table'!U15</f>
        <v>265.66749545875354</v>
      </c>
      <c r="BG12" s="25">
        <f>'Summary Table'!V15</f>
        <v>259.05601805220141</v>
      </c>
      <c r="BH12" s="25">
        <f>'Summary Table'!W15</f>
        <v>258.91127602274685</v>
      </c>
      <c r="BI12" s="25">
        <f>'Summary Table'!X15</f>
        <v>255.06803132826391</v>
      </c>
      <c r="BJ12" s="25">
        <f>'Summary Table'!Y15</f>
        <v>225.10147681644284</v>
      </c>
      <c r="BK12" s="25">
        <f>'Summary Table'!Z15</f>
        <v>266.35053365110366</v>
      </c>
      <c r="BL12" s="25">
        <f>'Summary Table'!AA15</f>
        <v>277.6716054191445</v>
      </c>
      <c r="BM12" s="25">
        <f>'Summary Table'!AB15</f>
        <v>252.72391355879935</v>
      </c>
      <c r="BN12" s="25">
        <f>'Summary Table'!AC15</f>
        <v>238.38223392683929</v>
      </c>
      <c r="BO12" s="25">
        <f>'Summary Table'!AD15</f>
        <v>241.48609403530835</v>
      </c>
      <c r="BP12" s="25">
        <f>'Summary Table'!AE15</f>
        <v>273.81436679347121</v>
      </c>
      <c r="BQ12" s="25">
        <f>'Summary Table'!AF15</f>
        <v>275.46887973202541</v>
      </c>
      <c r="BR12" s="25">
        <f>'Summary Table'!AG15</f>
        <v>256.36135242960933</v>
      </c>
      <c r="BS12" s="25">
        <f>'Summary Table'!AH15</f>
        <v>258.64706539139297</v>
      </c>
      <c r="BT12" s="25">
        <f>'Summary Table'!AI15</f>
        <v>271.98681887741003</v>
      </c>
    </row>
    <row r="13" spans="1:72">
      <c r="B13" s="6" t="s">
        <v>1441</v>
      </c>
      <c r="C13" s="232">
        <f t="shared" si="0"/>
        <v>0</v>
      </c>
      <c r="D13" s="232">
        <f t="shared" si="1"/>
        <v>0</v>
      </c>
      <c r="E13" s="232">
        <f t="shared" si="2"/>
        <v>0</v>
      </c>
      <c r="F13" s="232">
        <f t="shared" si="3"/>
        <v>0</v>
      </c>
      <c r="G13" s="232">
        <f t="shared" si="4"/>
        <v>0</v>
      </c>
      <c r="H13" s="232">
        <f t="shared" si="5"/>
        <v>0</v>
      </c>
      <c r="I13" s="232">
        <f t="shared" si="6"/>
        <v>0</v>
      </c>
      <c r="J13" s="232">
        <f t="shared" si="7"/>
        <v>0</v>
      </c>
      <c r="K13" s="232">
        <f t="shared" si="8"/>
        <v>0</v>
      </c>
      <c r="L13" s="232">
        <f t="shared" si="9"/>
        <v>0</v>
      </c>
      <c r="M13" s="232">
        <f t="shared" si="10"/>
        <v>0</v>
      </c>
      <c r="N13" s="232">
        <f t="shared" si="11"/>
        <v>0</v>
      </c>
      <c r="O13" s="232">
        <f t="shared" si="12"/>
        <v>0</v>
      </c>
      <c r="P13" s="232">
        <f t="shared" si="13"/>
        <v>0</v>
      </c>
      <c r="Q13" s="232">
        <f t="shared" si="14"/>
        <v>0</v>
      </c>
      <c r="R13" s="232">
        <f t="shared" si="15"/>
        <v>0</v>
      </c>
      <c r="S13" s="232">
        <f t="shared" si="16"/>
        <v>0</v>
      </c>
      <c r="T13" s="232">
        <f t="shared" si="17"/>
        <v>0</v>
      </c>
      <c r="U13" s="232">
        <f t="shared" si="18"/>
        <v>0</v>
      </c>
      <c r="V13" s="232">
        <f t="shared" si="19"/>
        <v>0</v>
      </c>
      <c r="W13" s="232">
        <f t="shared" si="20"/>
        <v>0</v>
      </c>
      <c r="X13" s="232">
        <f t="shared" si="21"/>
        <v>0</v>
      </c>
      <c r="Y13" s="232">
        <f t="shared" si="22"/>
        <v>0</v>
      </c>
      <c r="Z13" s="232">
        <f t="shared" si="23"/>
        <v>0</v>
      </c>
      <c r="AA13" s="232">
        <f t="shared" si="24"/>
        <v>0</v>
      </c>
      <c r="AB13" s="232">
        <f t="shared" si="25"/>
        <v>0</v>
      </c>
      <c r="AC13" s="232">
        <f t="shared" si="26"/>
        <v>0</v>
      </c>
      <c r="AD13" s="232">
        <f t="shared" si="27"/>
        <v>0</v>
      </c>
      <c r="AE13" s="232">
        <f t="shared" si="28"/>
        <v>0</v>
      </c>
      <c r="AF13" s="232">
        <f t="shared" si="29"/>
        <v>0</v>
      </c>
      <c r="AG13" s="232">
        <f t="shared" si="30"/>
        <v>-2.2963684755410753E-3</v>
      </c>
      <c r="AH13" s="232">
        <f t="shared" si="31"/>
        <v>-2.7668946134625084E-3</v>
      </c>
      <c r="AI13" s="232">
        <f t="shared" si="32"/>
        <v>-4.6697327025932572E-3</v>
      </c>
      <c r="AM13" s="6" t="s">
        <v>1441</v>
      </c>
      <c r="AN13" s="25">
        <f>'Summary Table'!C16</f>
        <v>142.02473544607753</v>
      </c>
      <c r="AO13" s="25">
        <f>'Summary Table'!D16</f>
        <v>148.12843320995771</v>
      </c>
      <c r="AP13" s="25">
        <f>'Summary Table'!E16</f>
        <v>152.1442839987414</v>
      </c>
      <c r="AQ13" s="25">
        <f>'Summary Table'!F16</f>
        <v>154.86031096580882</v>
      </c>
      <c r="AR13" s="25">
        <f>'Summary Table'!G16</f>
        <v>157.02801444190189</v>
      </c>
      <c r="AS13" s="25">
        <f>'Summary Table'!H16</f>
        <v>164.20845936813723</v>
      </c>
      <c r="AT13" s="25">
        <f>'Summary Table'!I16</f>
        <v>171.12093873822886</v>
      </c>
      <c r="AU13" s="25">
        <f>'Summary Table'!J16</f>
        <v>174.25040454967009</v>
      </c>
      <c r="AV13" s="25">
        <f>'Summary Table'!K16</f>
        <v>163.32937279129024</v>
      </c>
      <c r="AW13" s="25">
        <f>'Summary Table'!L16</f>
        <v>165.18012136905648</v>
      </c>
      <c r="AX13" s="25">
        <f>'Summary Table'!M16</f>
        <v>172.49806642837646</v>
      </c>
      <c r="AY13" s="25">
        <f>'Summary Table'!N16</f>
        <v>164.19987233758553</v>
      </c>
      <c r="AZ13" s="25">
        <f>'Summary Table'!O16</f>
        <v>170.46500850943963</v>
      </c>
      <c r="BA13" s="25">
        <f>'Summary Table'!P16</f>
        <v>172.87591133833368</v>
      </c>
      <c r="BB13" s="25">
        <f>'Summary Table'!Q16</f>
        <v>169.77666283715638</v>
      </c>
      <c r="BC13" s="25">
        <f>'Summary Table'!R16</f>
        <v>162.92508508024997</v>
      </c>
      <c r="BD13" s="25">
        <f>'Summary Table'!S16</f>
        <v>153.83155669866855</v>
      </c>
      <c r="BE13" s="25">
        <f>'Summary Table'!T16</f>
        <v>163.59043097479622</v>
      </c>
      <c r="BF13" s="25">
        <f>'Summary Table'!U16</f>
        <v>171.19325427303346</v>
      </c>
      <c r="BG13" s="25">
        <f>'Summary Table'!V16</f>
        <v>169.05333172555467</v>
      </c>
      <c r="BH13" s="25">
        <f>'Summary Table'!W16</f>
        <v>167.96887548912161</v>
      </c>
      <c r="BI13" s="25">
        <f>'Summary Table'!X16</f>
        <v>170.73801795221382</v>
      </c>
      <c r="BJ13" s="25">
        <f>'Summary Table'!Y16</f>
        <v>157.04279460910288</v>
      </c>
      <c r="BK13" s="25">
        <f>'Summary Table'!Z16</f>
        <v>179.21960261143067</v>
      </c>
      <c r="BL13" s="25">
        <f>'Summary Table'!AA16</f>
        <v>189.18938777422409</v>
      </c>
      <c r="BM13" s="25">
        <f>'Summary Table'!AB16</f>
        <v>175.4117517978259</v>
      </c>
      <c r="BN13" s="25">
        <f>'Summary Table'!AC16</f>
        <v>170.54056544370894</v>
      </c>
      <c r="BO13" s="25">
        <f>'Summary Table'!AD16</f>
        <v>173.19011617374824</v>
      </c>
      <c r="BP13" s="25">
        <f>'Summary Table'!AE16</f>
        <v>192.5283840865653</v>
      </c>
      <c r="BQ13" s="25">
        <f>'Summary Table'!AF16</f>
        <v>192.91620874877498</v>
      </c>
      <c r="BR13" s="25">
        <f>'Summary Table'!AG16</f>
        <v>173.45008271834308</v>
      </c>
      <c r="BS13" s="25">
        <f>'Summary Table'!AH16</f>
        <v>180.36282488864072</v>
      </c>
      <c r="BT13" s="25">
        <f>'Summary Table'!AI16</f>
        <v>192.26242231258678</v>
      </c>
    </row>
    <row r="14" spans="1:72">
      <c r="B14" s="6" t="s">
        <v>1443</v>
      </c>
      <c r="C14" s="232">
        <f t="shared" si="0"/>
        <v>0</v>
      </c>
      <c r="D14" s="232">
        <f t="shared" si="1"/>
        <v>0</v>
      </c>
      <c r="E14" s="232">
        <f t="shared" si="2"/>
        <v>0</v>
      </c>
      <c r="F14" s="232">
        <f t="shared" si="3"/>
        <v>0</v>
      </c>
      <c r="G14" s="232">
        <f t="shared" si="4"/>
        <v>0</v>
      </c>
      <c r="H14" s="232">
        <f t="shared" si="5"/>
        <v>0</v>
      </c>
      <c r="I14" s="232">
        <f t="shared" si="6"/>
        <v>0</v>
      </c>
      <c r="J14" s="232">
        <f t="shared" si="7"/>
        <v>0</v>
      </c>
      <c r="K14" s="232">
        <f t="shared" si="8"/>
        <v>0</v>
      </c>
      <c r="L14" s="232">
        <f t="shared" si="9"/>
        <v>0</v>
      </c>
      <c r="M14" s="232">
        <f t="shared" si="10"/>
        <v>0</v>
      </c>
      <c r="N14" s="232">
        <f t="shared" si="11"/>
        <v>0</v>
      </c>
      <c r="O14" s="232">
        <f t="shared" si="12"/>
        <v>0</v>
      </c>
      <c r="P14" s="232">
        <f t="shared" si="13"/>
        <v>0</v>
      </c>
      <c r="Q14" s="232">
        <f t="shared" si="14"/>
        <v>0</v>
      </c>
      <c r="R14" s="232">
        <f t="shared" si="15"/>
        <v>0</v>
      </c>
      <c r="S14" s="232">
        <f t="shared" si="16"/>
        <v>0</v>
      </c>
      <c r="T14" s="232">
        <f t="shared" si="17"/>
        <v>0</v>
      </c>
      <c r="U14" s="232">
        <f t="shared" si="18"/>
        <v>0</v>
      </c>
      <c r="V14" s="232">
        <f t="shared" si="19"/>
        <v>0</v>
      </c>
      <c r="W14" s="232">
        <f t="shared" si="20"/>
        <v>0</v>
      </c>
      <c r="X14" s="232">
        <f t="shared" si="21"/>
        <v>0</v>
      </c>
      <c r="Y14" s="232">
        <f t="shared" si="22"/>
        <v>0</v>
      </c>
      <c r="Z14" s="232">
        <f t="shared" si="23"/>
        <v>0</v>
      </c>
      <c r="AA14" s="232">
        <f t="shared" si="24"/>
        <v>0</v>
      </c>
      <c r="AB14" s="232">
        <f t="shared" si="25"/>
        <v>0</v>
      </c>
      <c r="AC14" s="232">
        <f t="shared" si="26"/>
        <v>0</v>
      </c>
      <c r="AD14" s="232">
        <f t="shared" si="27"/>
        <v>0</v>
      </c>
      <c r="AE14" s="232">
        <f t="shared" si="28"/>
        <v>0</v>
      </c>
      <c r="AF14" s="232">
        <f t="shared" si="29"/>
        <v>-1.7557699121072267E-5</v>
      </c>
      <c r="AG14" s="232">
        <f t="shared" si="30"/>
        <v>7.686647650467838E-3</v>
      </c>
      <c r="AH14" s="232">
        <f t="shared" si="31"/>
        <v>3.2375068278449985E-3</v>
      </c>
      <c r="AI14" s="232">
        <f t="shared" si="32"/>
        <v>-2.1872625303420174E-3</v>
      </c>
      <c r="AM14" s="6" t="s">
        <v>1443</v>
      </c>
      <c r="AN14" s="25">
        <f>'Summary Table'!C17</f>
        <v>407.44057591552206</v>
      </c>
      <c r="AO14" s="25">
        <f>'Summary Table'!D17</f>
        <v>413.59445395561858</v>
      </c>
      <c r="AP14" s="25">
        <f>'Summary Table'!E17</f>
        <v>429.30737763379256</v>
      </c>
      <c r="AQ14" s="25">
        <f>'Summary Table'!F17</f>
        <v>436.98219553873059</v>
      </c>
      <c r="AR14" s="25">
        <f>'Summary Table'!G17</f>
        <v>438.20865393150382</v>
      </c>
      <c r="AS14" s="25">
        <f>'Summary Table'!H17</f>
        <v>461.4680033053877</v>
      </c>
      <c r="AT14" s="25">
        <f>'Summary Table'!I17</f>
        <v>477.22704593798659</v>
      </c>
      <c r="AU14" s="25">
        <f>'Summary Table'!J17</f>
        <v>477.88613017996011</v>
      </c>
      <c r="AV14" s="25">
        <f>'Summary Table'!K17</f>
        <v>466.22857939809182</v>
      </c>
      <c r="AW14" s="25">
        <f>'Summary Table'!L17</f>
        <v>445.62145311258905</v>
      </c>
      <c r="AX14" s="25">
        <f>'Summary Table'!M17</f>
        <v>458.18470970362125</v>
      </c>
      <c r="AY14" s="25">
        <f>'Summary Table'!N17</f>
        <v>420.60012891527748</v>
      </c>
      <c r="AZ14" s="25">
        <f>'Summary Table'!O17</f>
        <v>428.10994471518688</v>
      </c>
      <c r="BA14" s="25">
        <f>'Summary Table'!P17</f>
        <v>415.08604298191261</v>
      </c>
      <c r="BB14" s="25">
        <f>'Summary Table'!Q17</f>
        <v>418.88608808286688</v>
      </c>
      <c r="BC14" s="25">
        <f>'Summary Table'!R17</f>
        <v>387.78439069369989</v>
      </c>
      <c r="BD14" s="25">
        <f>'Summary Table'!S17</f>
        <v>387.43556914859869</v>
      </c>
      <c r="BE14" s="25">
        <f>'Summary Table'!T17</f>
        <v>396.96908687881142</v>
      </c>
      <c r="BF14" s="25">
        <f>'Summary Table'!U17</f>
        <v>398.65113463252698</v>
      </c>
      <c r="BG14" s="25">
        <f>'Summary Table'!V17</f>
        <v>374.19964007784171</v>
      </c>
      <c r="BH14" s="25">
        <f>'Summary Table'!W17</f>
        <v>407.08948538432492</v>
      </c>
      <c r="BI14" s="25">
        <f>'Summary Table'!X17</f>
        <v>417.16969084127084</v>
      </c>
      <c r="BJ14" s="25">
        <f>'Summary Table'!Y17</f>
        <v>433.87411357806093</v>
      </c>
      <c r="BK14" s="25">
        <f>'Summary Table'!Z17</f>
        <v>450.93611572282049</v>
      </c>
      <c r="BL14" s="25">
        <f>'Summary Table'!AA17</f>
        <v>465.9360743641227</v>
      </c>
      <c r="BM14" s="25">
        <f>'Summary Table'!AB17</f>
        <v>459.64627978150747</v>
      </c>
      <c r="BN14" s="25">
        <f>'Summary Table'!AC17</f>
        <v>463.98257891833475</v>
      </c>
      <c r="BO14" s="25">
        <f>'Summary Table'!AD17</f>
        <v>468.13315809622293</v>
      </c>
      <c r="BP14" s="25">
        <f>'Summary Table'!AE17</f>
        <v>493.46897972996544</v>
      </c>
      <c r="BQ14" s="25">
        <f>'Summary Table'!AF17</f>
        <v>501.50851576791644</v>
      </c>
      <c r="BR14" s="25">
        <f>'Summary Table'!AG17</f>
        <v>489.71696452157283</v>
      </c>
      <c r="BS14" s="25">
        <f>'Summary Table'!AH17</f>
        <v>501.1666660948701</v>
      </c>
      <c r="BT14" s="25">
        <f>'Summary Table'!AI17</f>
        <v>511.44589460637036</v>
      </c>
    </row>
    <row r="15" spans="1:72">
      <c r="B15" s="6" t="s">
        <v>1445</v>
      </c>
      <c r="C15" s="232">
        <f t="shared" si="0"/>
        <v>0</v>
      </c>
      <c r="D15" s="232">
        <f t="shared" si="1"/>
        <v>0</v>
      </c>
      <c r="E15" s="232">
        <f t="shared" si="2"/>
        <v>0</v>
      </c>
      <c r="F15" s="232">
        <f t="shared" si="3"/>
        <v>0</v>
      </c>
      <c r="G15" s="232">
        <f t="shared" si="4"/>
        <v>0</v>
      </c>
      <c r="H15" s="232">
        <f t="shared" si="5"/>
        <v>0</v>
      </c>
      <c r="I15" s="232">
        <f t="shared" si="6"/>
        <v>0</v>
      </c>
      <c r="J15" s="232">
        <f t="shared" si="7"/>
        <v>0</v>
      </c>
      <c r="K15" s="232">
        <f t="shared" si="8"/>
        <v>0</v>
      </c>
      <c r="L15" s="232">
        <f t="shared" si="9"/>
        <v>0</v>
      </c>
      <c r="M15" s="232">
        <f t="shared" si="10"/>
        <v>0</v>
      </c>
      <c r="N15" s="232">
        <f t="shared" si="11"/>
        <v>0</v>
      </c>
      <c r="O15" s="232">
        <f t="shared" si="12"/>
        <v>0</v>
      </c>
      <c r="P15" s="232">
        <f t="shared" si="13"/>
        <v>0</v>
      </c>
      <c r="Q15" s="232">
        <f t="shared" si="14"/>
        <v>0</v>
      </c>
      <c r="R15" s="232">
        <f t="shared" si="15"/>
        <v>0</v>
      </c>
      <c r="S15" s="232">
        <f t="shared" si="16"/>
        <v>0</v>
      </c>
      <c r="T15" s="232">
        <f t="shared" si="17"/>
        <v>0</v>
      </c>
      <c r="U15" s="232">
        <f t="shared" si="18"/>
        <v>0</v>
      </c>
      <c r="V15" s="232">
        <f t="shared" si="19"/>
        <v>0</v>
      </c>
      <c r="W15" s="232">
        <f t="shared" si="20"/>
        <v>0</v>
      </c>
      <c r="X15" s="232">
        <f t="shared" si="21"/>
        <v>0</v>
      </c>
      <c r="Y15" s="232">
        <f t="shared" si="22"/>
        <v>0</v>
      </c>
      <c r="Z15" s="232">
        <f t="shared" si="23"/>
        <v>0</v>
      </c>
      <c r="AA15" s="232">
        <f t="shared" si="24"/>
        <v>0</v>
      </c>
      <c r="AB15" s="232">
        <f t="shared" si="25"/>
        <v>0</v>
      </c>
      <c r="AC15" s="232">
        <f t="shared" si="26"/>
        <v>0</v>
      </c>
      <c r="AD15" s="232">
        <f t="shared" si="27"/>
        <v>0</v>
      </c>
      <c r="AE15" s="232">
        <f t="shared" si="28"/>
        <v>0</v>
      </c>
      <c r="AF15" s="232">
        <f t="shared" si="29"/>
        <v>0</v>
      </c>
      <c r="AG15" s="232">
        <f t="shared" si="30"/>
        <v>0</v>
      </c>
      <c r="AH15" s="232">
        <f t="shared" si="31"/>
        <v>1.6314181714133383E-3</v>
      </c>
      <c r="AI15" s="232">
        <f t="shared" si="32"/>
        <v>2.7244800322304467E-2</v>
      </c>
      <c r="AM15" s="6" t="s">
        <v>1445</v>
      </c>
      <c r="AN15" s="25">
        <f>'Summary Table'!C18</f>
        <v>36.000628828726228</v>
      </c>
      <c r="AO15" s="25">
        <f>'Summary Table'!D18</f>
        <v>32.870998544585845</v>
      </c>
      <c r="AP15" s="25">
        <f>'Summary Table'!E18</f>
        <v>32.223566137943912</v>
      </c>
      <c r="AQ15" s="25">
        <f>'Summary Table'!F18</f>
        <v>34.15461398423664</v>
      </c>
      <c r="AR15" s="25">
        <f>'Summary Table'!G18</f>
        <v>37.56280519579169</v>
      </c>
      <c r="AS15" s="25">
        <f>'Summary Table'!H18</f>
        <v>38.397759997364879</v>
      </c>
      <c r="AT15" s="25">
        <f>'Summary Table'!I18</f>
        <v>39.083767671638746</v>
      </c>
      <c r="AU15" s="25">
        <f>'Summary Table'!J18</f>
        <v>41.387043476727435</v>
      </c>
      <c r="AV15" s="25">
        <f>'Summary Table'!K18</f>
        <v>35.288383859149057</v>
      </c>
      <c r="AW15" s="25">
        <f>'Summary Table'!L18</f>
        <v>35.810853010699333</v>
      </c>
      <c r="AX15" s="25">
        <f>'Summary Table'!M18</f>
        <v>35.650075735907123</v>
      </c>
      <c r="AY15" s="25">
        <f>'Summary Table'!N18</f>
        <v>34.885995822200002</v>
      </c>
      <c r="AZ15" s="25">
        <f>'Summary Table'!O18</f>
        <v>37.087113998567915</v>
      </c>
      <c r="BA15" s="25">
        <f>'Summary Table'!P18</f>
        <v>33.263751370962055</v>
      </c>
      <c r="BB15" s="25">
        <f>'Summary Table'!Q18</f>
        <v>31.927149340306773</v>
      </c>
      <c r="BC15" s="25">
        <f>'Summary Table'!R18</f>
        <v>33.075920910480484</v>
      </c>
      <c r="BD15" s="25">
        <f>'Summary Table'!S18</f>
        <v>33.132752480798366</v>
      </c>
      <c r="BE15" s="25">
        <f>'Summary Table'!T18</f>
        <v>35.181265831305353</v>
      </c>
      <c r="BF15" s="25">
        <f>'Summary Table'!U18</f>
        <v>36.701650199837665</v>
      </c>
      <c r="BG15" s="25">
        <f>'Summary Table'!V18</f>
        <v>37.924973610479</v>
      </c>
      <c r="BH15" s="25">
        <f>'Summary Table'!W18</f>
        <v>38.159193121908444</v>
      </c>
      <c r="BI15" s="25">
        <f>'Summary Table'!X18</f>
        <v>38.942984233329362</v>
      </c>
      <c r="BJ15" s="25">
        <f>'Summary Table'!Y18</f>
        <v>41.37800918377787</v>
      </c>
      <c r="BK15" s="25">
        <f>'Summary Table'!Z18</f>
        <v>47.049246645534772</v>
      </c>
      <c r="BL15" s="25">
        <f>'Summary Table'!AA18</f>
        <v>40.238122656789713</v>
      </c>
      <c r="BM15" s="25">
        <f>'Summary Table'!AB18</f>
        <v>39.405905197849926</v>
      </c>
      <c r="BN15" s="25">
        <f>'Summary Table'!AC18</f>
        <v>40.058807328702912</v>
      </c>
      <c r="BO15" s="25">
        <f>'Summary Table'!AD18</f>
        <v>42.257759266894162</v>
      </c>
      <c r="BP15" s="25">
        <f>'Summary Table'!AE18</f>
        <v>50.915434140965644</v>
      </c>
      <c r="BQ15" s="25">
        <f>'Summary Table'!AF18</f>
        <v>58.928767923685299</v>
      </c>
      <c r="BR15" s="25">
        <f>'Summary Table'!AG18</f>
        <v>58.653794375777238</v>
      </c>
      <c r="BS15" s="25">
        <f>'Summary Table'!AH18</f>
        <v>65.191015978471412</v>
      </c>
      <c r="BT15" s="25">
        <f>'Summary Table'!AI18</f>
        <v>70.161308648019386</v>
      </c>
    </row>
    <row r="16" spans="1:72">
      <c r="B16" s="6" t="s">
        <v>1474</v>
      </c>
      <c r="C16" s="232">
        <f t="shared" si="0"/>
        <v>0</v>
      </c>
      <c r="D16" s="232">
        <f t="shared" si="1"/>
        <v>0</v>
      </c>
      <c r="E16" s="232">
        <f t="shared" si="2"/>
        <v>0</v>
      </c>
      <c r="F16" s="232">
        <f t="shared" si="3"/>
        <v>0</v>
      </c>
      <c r="G16" s="232">
        <f t="shared" si="4"/>
        <v>0</v>
      </c>
      <c r="H16" s="232">
        <f t="shared" si="5"/>
        <v>0</v>
      </c>
      <c r="I16" s="232">
        <f t="shared" si="6"/>
        <v>0</v>
      </c>
      <c r="J16" s="232">
        <f t="shared" si="7"/>
        <v>0</v>
      </c>
      <c r="K16" s="232">
        <f t="shared" si="8"/>
        <v>0</v>
      </c>
      <c r="L16" s="232">
        <f t="shared" si="9"/>
        <v>0</v>
      </c>
      <c r="M16" s="232">
        <f t="shared" si="10"/>
        <v>0</v>
      </c>
      <c r="N16" s="232">
        <f t="shared" si="11"/>
        <v>0</v>
      </c>
      <c r="O16" s="232">
        <f t="shared" si="12"/>
        <v>0</v>
      </c>
      <c r="P16" s="232">
        <f t="shared" si="13"/>
        <v>0</v>
      </c>
      <c r="Q16" s="232">
        <f t="shared" si="14"/>
        <v>0</v>
      </c>
      <c r="R16" s="232">
        <f t="shared" si="15"/>
        <v>0</v>
      </c>
      <c r="S16" s="232">
        <f t="shared" si="16"/>
        <v>0</v>
      </c>
      <c r="T16" s="232">
        <f t="shared" si="17"/>
        <v>0</v>
      </c>
      <c r="U16" s="232">
        <f t="shared" si="18"/>
        <v>0</v>
      </c>
      <c r="V16" s="232">
        <f t="shared" si="19"/>
        <v>0</v>
      </c>
      <c r="W16" s="232">
        <f t="shared" si="20"/>
        <v>0</v>
      </c>
      <c r="X16" s="232">
        <f t="shared" si="21"/>
        <v>0</v>
      </c>
      <c r="Y16" s="232">
        <f t="shared" si="22"/>
        <v>0</v>
      </c>
      <c r="Z16" s="232">
        <f t="shared" si="23"/>
        <v>0</v>
      </c>
      <c r="AA16" s="232">
        <f t="shared" si="24"/>
        <v>0</v>
      </c>
      <c r="AB16" s="232">
        <f t="shared" si="25"/>
        <v>0</v>
      </c>
      <c r="AC16" s="232">
        <f t="shared" si="26"/>
        <v>0</v>
      </c>
      <c r="AD16" s="232">
        <f t="shared" si="27"/>
        <v>0</v>
      </c>
      <c r="AE16" s="232">
        <f t="shared" si="28"/>
        <v>0</v>
      </c>
      <c r="AF16" s="232">
        <f t="shared" si="29"/>
        <v>0</v>
      </c>
      <c r="AG16" s="232">
        <f t="shared" si="30"/>
        <v>3.750086877124555E-6</v>
      </c>
      <c r="AH16" s="232">
        <f t="shared" si="31"/>
        <v>6.2162675747967128E-6</v>
      </c>
      <c r="AI16" s="232">
        <f t="shared" si="32"/>
        <v>-2.4456085293729081E-3</v>
      </c>
      <c r="AM16" s="6" t="s">
        <v>1474</v>
      </c>
      <c r="AN16" s="25">
        <f>'Summary Table'!C19</f>
        <v>175.3600389026015</v>
      </c>
      <c r="AO16" s="25">
        <f>'Summary Table'!D19</f>
        <v>178.96641557241685</v>
      </c>
      <c r="AP16" s="25">
        <f>'Summary Table'!E19</f>
        <v>186.07465958323442</v>
      </c>
      <c r="AQ16" s="25">
        <f>'Summary Table'!F19</f>
        <v>187.58235295994123</v>
      </c>
      <c r="AR16" s="25">
        <f>'Summary Table'!G19</f>
        <v>210.85461547922213</v>
      </c>
      <c r="AS16" s="25">
        <f>'Summary Table'!H19</f>
        <v>228.17265505672165</v>
      </c>
      <c r="AT16" s="25">
        <f>'Summary Table'!I19</f>
        <v>204.86080527999366</v>
      </c>
      <c r="AU16" s="25">
        <f>'Summary Table'!J19</f>
        <v>218.81342912547896</v>
      </c>
      <c r="AV16" s="25">
        <f>'Summary Table'!K19</f>
        <v>247.66612926215842</v>
      </c>
      <c r="AW16" s="25">
        <f>'Summary Table'!L19</f>
        <v>259.94521454492025</v>
      </c>
      <c r="AX16" s="25">
        <f>'Summary Table'!M19</f>
        <v>280.82105213992054</v>
      </c>
      <c r="AY16" s="25">
        <f>'Summary Table'!N19</f>
        <v>289.35862946229537</v>
      </c>
      <c r="AZ16" s="25">
        <f>'Summary Table'!O19</f>
        <v>306.00875363034964</v>
      </c>
      <c r="BA16" s="25">
        <f>'Summary Table'!P19</f>
        <v>278.12739640727375</v>
      </c>
      <c r="BB16" s="25">
        <f>'Summary Table'!Q19</f>
        <v>296.75029743802992</v>
      </c>
      <c r="BC16" s="25">
        <f>'Summary Table'!R19</f>
        <v>318.85840260471355</v>
      </c>
      <c r="BD16" s="25">
        <f>'Summary Table'!S19</f>
        <v>337.97496302681611</v>
      </c>
      <c r="BE16" s="25">
        <f>'Summary Table'!T19</f>
        <v>371.46513223741312</v>
      </c>
      <c r="BF16" s="25">
        <f>'Summary Table'!U19</f>
        <v>362.11597738194661</v>
      </c>
      <c r="BG16" s="25">
        <f>'Summary Table'!V19</f>
        <v>372.54775041195018</v>
      </c>
      <c r="BH16" s="25">
        <f>'Summary Table'!W19</f>
        <v>399.53808692568629</v>
      </c>
      <c r="BI16" s="25">
        <f>'Summary Table'!X19</f>
        <v>409.42961840152782</v>
      </c>
      <c r="BJ16" s="25">
        <f>'Summary Table'!Y19</f>
        <v>492.79219630413746</v>
      </c>
      <c r="BK16" s="25">
        <f>'Summary Table'!Z19</f>
        <v>444.16593360966391</v>
      </c>
      <c r="BL16" s="25">
        <f>'Summary Table'!AA19</f>
        <v>442.88200596411235</v>
      </c>
      <c r="BM16" s="25">
        <f>'Summary Table'!AB19</f>
        <v>525.16054071183544</v>
      </c>
      <c r="BN16" s="25">
        <f>'Summary Table'!AC19</f>
        <v>544.99213211889321</v>
      </c>
      <c r="BO16" s="25">
        <f>'Summary Table'!AD19</f>
        <v>505.63466065505327</v>
      </c>
      <c r="BP16" s="25">
        <f>'Summary Table'!AE19</f>
        <v>577.93546402725235</v>
      </c>
      <c r="BQ16" s="25">
        <f>'Summary Table'!AF19</f>
        <v>616.64869033042908</v>
      </c>
      <c r="BR16" s="25">
        <f>'Summary Table'!AG19</f>
        <v>634.84915679760923</v>
      </c>
      <c r="BS16" s="25">
        <f>'Summary Table'!AH19</f>
        <v>612.7780915068297</v>
      </c>
      <c r="BT16" s="25">
        <f>'Summary Table'!AI19</f>
        <v>659.30521463869627</v>
      </c>
    </row>
    <row r="17" spans="2:74">
      <c r="B17" s="6" t="s">
        <v>1476</v>
      </c>
      <c r="C17" s="232" t="str">
        <f t="shared" si="0"/>
        <v>NA</v>
      </c>
      <c r="D17" s="232" t="str">
        <f t="shared" si="1"/>
        <v>NA</v>
      </c>
      <c r="E17" s="232" t="str">
        <f t="shared" si="2"/>
        <v>NA</v>
      </c>
      <c r="F17" s="232" t="str">
        <f t="shared" si="3"/>
        <v>NA</v>
      </c>
      <c r="G17" s="232" t="str">
        <f t="shared" si="4"/>
        <v>NA</v>
      </c>
      <c r="H17" s="232" t="str">
        <f t="shared" si="5"/>
        <v>NA</v>
      </c>
      <c r="I17" s="232" t="str">
        <f t="shared" si="6"/>
        <v>NA</v>
      </c>
      <c r="J17" s="232" t="str">
        <f t="shared" si="7"/>
        <v>NA</v>
      </c>
      <c r="K17" s="232" t="str">
        <f t="shared" si="8"/>
        <v>NA</v>
      </c>
      <c r="L17" s="232" t="str">
        <f t="shared" si="9"/>
        <v>NA</v>
      </c>
      <c r="M17" s="232">
        <f t="shared" si="10"/>
        <v>0</v>
      </c>
      <c r="N17" s="232">
        <f t="shared" si="11"/>
        <v>0</v>
      </c>
      <c r="O17" s="232">
        <f t="shared" si="12"/>
        <v>0</v>
      </c>
      <c r="P17" s="232">
        <f t="shared" si="13"/>
        <v>0</v>
      </c>
      <c r="Q17" s="232">
        <f t="shared" si="14"/>
        <v>0</v>
      </c>
      <c r="R17" s="232">
        <f t="shared" si="15"/>
        <v>0</v>
      </c>
      <c r="S17" s="232">
        <f t="shared" si="16"/>
        <v>0</v>
      </c>
      <c r="T17" s="232">
        <f t="shared" si="17"/>
        <v>0</v>
      </c>
      <c r="U17" s="232">
        <f t="shared" si="18"/>
        <v>0</v>
      </c>
      <c r="V17" s="232">
        <f t="shared" si="19"/>
        <v>0</v>
      </c>
      <c r="W17" s="232">
        <f t="shared" si="20"/>
        <v>0</v>
      </c>
      <c r="X17" s="232">
        <f t="shared" si="21"/>
        <v>0</v>
      </c>
      <c r="Y17" s="232">
        <f t="shared" si="22"/>
        <v>0</v>
      </c>
      <c r="Z17" s="232">
        <f t="shared" si="23"/>
        <v>0</v>
      </c>
      <c r="AA17" s="232">
        <f t="shared" si="24"/>
        <v>0</v>
      </c>
      <c r="AB17" s="232">
        <f t="shared" si="25"/>
        <v>0</v>
      </c>
      <c r="AC17" s="232">
        <f t="shared" si="26"/>
        <v>0</v>
      </c>
      <c r="AD17" s="232">
        <f t="shared" si="27"/>
        <v>0</v>
      </c>
      <c r="AE17" s="232">
        <f t="shared" si="28"/>
        <v>0</v>
      </c>
      <c r="AF17" s="232">
        <f t="shared" si="29"/>
        <v>0</v>
      </c>
      <c r="AG17" s="232">
        <f t="shared" si="30"/>
        <v>0</v>
      </c>
      <c r="AH17" s="232">
        <f t="shared" si="31"/>
        <v>0</v>
      </c>
      <c r="AI17" s="232">
        <f t="shared" si="32"/>
        <v>0</v>
      </c>
      <c r="AM17" s="6" t="s">
        <v>1476</v>
      </c>
      <c r="AN17" s="25" t="str">
        <f>'Summary Table'!C20</f>
        <v>NO</v>
      </c>
      <c r="AO17" s="25" t="str">
        <f>'Summary Table'!D20</f>
        <v>NO</v>
      </c>
      <c r="AP17" s="25" t="str">
        <f>'Summary Table'!E20</f>
        <v>NO</v>
      </c>
      <c r="AQ17" s="25" t="str">
        <f>'Summary Table'!F20</f>
        <v>NO</v>
      </c>
      <c r="AR17" s="25" t="str">
        <f>'Summary Table'!G20</f>
        <v>NO</v>
      </c>
      <c r="AS17" s="25" t="str">
        <f>'Summary Table'!H20</f>
        <v>NO</v>
      </c>
      <c r="AT17" s="25" t="str">
        <f>'Summary Table'!I20</f>
        <v>NO</v>
      </c>
      <c r="AU17" s="25" t="str">
        <f>'Summary Table'!J20</f>
        <v>NO</v>
      </c>
      <c r="AV17" s="25" t="str">
        <f>'Summary Table'!K20</f>
        <v>NO</v>
      </c>
      <c r="AW17" s="25" t="str">
        <f>'Summary Table'!L20</f>
        <v>NO</v>
      </c>
      <c r="AX17" s="25">
        <f>'Summary Table'!M20</f>
        <v>0.67212201477417799</v>
      </c>
      <c r="AY17" s="25">
        <f>'Summary Table'!N20</f>
        <v>1.2125167466946647</v>
      </c>
      <c r="AZ17" s="25">
        <f>'Summary Table'!O20</f>
        <v>1.2089205865598054</v>
      </c>
      <c r="BA17" s="25">
        <f>'Summary Table'!P20</f>
        <v>1.4242260199270667</v>
      </c>
      <c r="BB17" s="25">
        <f>'Summary Table'!Q20</f>
        <v>1.3068074496928888</v>
      </c>
      <c r="BC17" s="25">
        <f>'Summary Table'!R20</f>
        <v>1.2895019369609928</v>
      </c>
      <c r="BD17" s="25">
        <f>'Summary Table'!S20</f>
        <v>1.3857334247939026</v>
      </c>
      <c r="BE17" s="25">
        <f>'Summary Table'!T20</f>
        <v>1.415921575354</v>
      </c>
      <c r="BF17" s="25">
        <f>'Summary Table'!U20</f>
        <v>1.5513054613666941</v>
      </c>
      <c r="BG17" s="25">
        <f>'Summary Table'!V20</f>
        <v>1.4531353816314685</v>
      </c>
      <c r="BH17" s="25">
        <f>'Summary Table'!W20</f>
        <v>1.4764952126860063</v>
      </c>
      <c r="BI17" s="25">
        <f>'Summary Table'!X20</f>
        <v>1.4370506029671137</v>
      </c>
      <c r="BJ17" s="25">
        <f>'Summary Table'!Y20</f>
        <v>2.6097333297164047</v>
      </c>
      <c r="BK17" s="25">
        <f>'Summary Table'!Z20</f>
        <v>3.0881755478141319</v>
      </c>
      <c r="BL17" s="25">
        <f>'Summary Table'!AA20</f>
        <v>3.2092986456579755</v>
      </c>
      <c r="BM17" s="25">
        <f>'Summary Table'!AB20</f>
        <v>3.0379310176521801</v>
      </c>
      <c r="BN17" s="25">
        <f>'Summary Table'!AC20</f>
        <v>3.3649958579027071</v>
      </c>
      <c r="BO17" s="25">
        <f>'Summary Table'!AD20</f>
        <v>2.5455513992585312</v>
      </c>
      <c r="BP17" s="25">
        <f>'Summary Table'!AE20</f>
        <v>3.3040677421953082</v>
      </c>
      <c r="BQ17" s="25">
        <f>'Summary Table'!AF20</f>
        <v>3.773022660515549</v>
      </c>
      <c r="BR17" s="25">
        <f>'Summary Table'!AG20</f>
        <v>2.647583744073164</v>
      </c>
      <c r="BS17" s="25">
        <f>'Summary Table'!AH20</f>
        <v>3.9226452440549542</v>
      </c>
      <c r="BT17" s="25">
        <f>'Summary Table'!AI20</f>
        <v>3.9197560160609353</v>
      </c>
    </row>
    <row r="18" spans="2:74">
      <c r="B18" s="5" t="s">
        <v>1440</v>
      </c>
      <c r="C18" s="235">
        <f t="shared" si="0"/>
        <v>5.1789780092078418E-3</v>
      </c>
      <c r="D18" s="235">
        <f t="shared" si="1"/>
        <v>6.9443121805174918E-3</v>
      </c>
      <c r="E18" s="235">
        <f t="shared" si="2"/>
        <v>2.3127762788356962E-3</v>
      </c>
      <c r="F18" s="235">
        <f t="shared" si="3"/>
        <v>3.4756089703046216E-3</v>
      </c>
      <c r="G18" s="235">
        <f t="shared" si="4"/>
        <v>-9.9801479788203559E-4</v>
      </c>
      <c r="H18" s="235">
        <f t="shared" si="5"/>
        <v>5.2935247631530748E-4</v>
      </c>
      <c r="I18" s="235">
        <f t="shared" si="6"/>
        <v>-7.2277876213893231E-3</v>
      </c>
      <c r="J18" s="235">
        <f t="shared" si="7"/>
        <v>-6.7330260999491076E-3</v>
      </c>
      <c r="K18" s="235">
        <f t="shared" si="8"/>
        <v>1.6176486427662638E-3</v>
      </c>
      <c r="L18" s="235">
        <f t="shared" si="9"/>
        <v>-1.4370743599320219E-3</v>
      </c>
      <c r="M18" s="235">
        <f t="shared" si="10"/>
        <v>2.8743975260445897E-3</v>
      </c>
      <c r="N18" s="235">
        <f t="shared" si="11"/>
        <v>-5.1617774658284724E-3</v>
      </c>
      <c r="O18" s="235">
        <f t="shared" si="12"/>
        <v>-2.1747581341509514E-3</v>
      </c>
      <c r="P18" s="235">
        <f t="shared" si="13"/>
        <v>-4.6585606194023887E-3</v>
      </c>
      <c r="Q18" s="235">
        <f t="shared" si="14"/>
        <v>-3.8822047667878665E-3</v>
      </c>
      <c r="R18" s="235">
        <f t="shared" si="15"/>
        <v>-5.7605654380274689E-3</v>
      </c>
      <c r="S18" s="235">
        <f t="shared" si="16"/>
        <v>-7.0219559866491876E-3</v>
      </c>
      <c r="T18" s="235">
        <f t="shared" si="17"/>
        <v>-8.3578995156311196E-3</v>
      </c>
      <c r="U18" s="235">
        <f t="shared" si="18"/>
        <v>-4.0762143454967656E-3</v>
      </c>
      <c r="V18" s="235">
        <f t="shared" si="19"/>
        <v>-2.1194688428199386E-3</v>
      </c>
      <c r="W18" s="235">
        <f t="shared" si="20"/>
        <v>-6.2834906410436072E-3</v>
      </c>
      <c r="X18" s="235">
        <f t="shared" si="21"/>
        <v>-3.3831820718580605E-3</v>
      </c>
      <c r="Y18" s="235">
        <f t="shared" si="22"/>
        <v>-4.5837706179527584E-3</v>
      </c>
      <c r="Z18" s="235">
        <f t="shared" si="23"/>
        <v>-3.3303903017880372E-3</v>
      </c>
      <c r="AA18" s="235">
        <f t="shared" si="24"/>
        <v>4.2073893890838272E-4</v>
      </c>
      <c r="AB18" s="235">
        <f t="shared" si="25"/>
        <v>-3.89283664493847E-3</v>
      </c>
      <c r="AC18" s="235">
        <f t="shared" si="26"/>
        <v>-2.9543761880440529E-3</v>
      </c>
      <c r="AD18" s="235">
        <f t="shared" si="27"/>
        <v>-6.8533088281713915E-3</v>
      </c>
      <c r="AE18" s="235">
        <f t="shared" si="28"/>
        <v>-6.5442524741123644E-3</v>
      </c>
      <c r="AF18" s="235">
        <f t="shared" si="29"/>
        <v>-1.191650582792224E-2</v>
      </c>
      <c r="AG18" s="235">
        <f t="shared" si="30"/>
        <v>-1.609482990800272E-2</v>
      </c>
      <c r="AH18" s="235">
        <f t="shared" si="31"/>
        <v>-4.4155893503009455E-3</v>
      </c>
      <c r="AI18" s="235">
        <f t="shared" si="32"/>
        <v>-9.1893169944109749E-3</v>
      </c>
      <c r="AJ18" s="496">
        <f t="shared" ref="AJ18:AJ24" si="33">AVERAGE(C18:AH18)</f>
        <v>-3.3283758695369092E-3</v>
      </c>
      <c r="AK18" s="496">
        <f>AVERAGE(W18:AH18)</f>
        <v>-5.819316159602188E-3</v>
      </c>
      <c r="AM18" s="5" t="s">
        <v>1440</v>
      </c>
      <c r="AN18" s="29">
        <f>'Summary Table'!C21</f>
        <v>2027.9585074772485</v>
      </c>
      <c r="AO18" s="29">
        <f>'Summary Table'!D21</f>
        <v>1962.9995709240532</v>
      </c>
      <c r="AP18" s="29">
        <f>'Summary Table'!E21</f>
        <v>2005.0431704410603</v>
      </c>
      <c r="AQ18" s="29">
        <f>'Summary Table'!F21</f>
        <v>2028.4434212806348</v>
      </c>
      <c r="AR18" s="29">
        <f>'Summary Table'!G21</f>
        <v>2059.3415481767788</v>
      </c>
      <c r="AS18" s="29">
        <f>'Summary Table'!H21</f>
        <v>2055.1835399132642</v>
      </c>
      <c r="AT18" s="29">
        <f>'Summary Table'!I21</f>
        <v>2123.8826967420823</v>
      </c>
      <c r="AU18" s="29">
        <f>'Summary Table'!J21</f>
        <v>2132.8018515332233</v>
      </c>
      <c r="AV18" s="29">
        <f>'Summary Table'!K21</f>
        <v>2190.7850617670247</v>
      </c>
      <c r="AW18" s="29">
        <f>'Summary Table'!L21</f>
        <v>2231.3445066504405</v>
      </c>
      <c r="AX18" s="29">
        <f>'Summary Table'!M21</f>
        <v>2336.3109109139973</v>
      </c>
      <c r="AY18" s="29">
        <f>'Summary Table'!N21</f>
        <v>2344.1852971294861</v>
      </c>
      <c r="AZ18" s="29">
        <f>'Summary Table'!O21</f>
        <v>2337.0898220053723</v>
      </c>
      <c r="BA18" s="29">
        <f>'Summary Table'!P21</f>
        <v>2395.9444184338586</v>
      </c>
      <c r="BB18" s="29">
        <f>'Summary Table'!Q21</f>
        <v>2453.9530432108859</v>
      </c>
      <c r="BC18" s="29">
        <f>'Summary Table'!R21</f>
        <v>2459.2418631336527</v>
      </c>
      <c r="BD18" s="29">
        <f>'Summary Table'!S21</f>
        <v>2420.9125318252991</v>
      </c>
      <c r="BE18" s="29">
        <f>'Summary Table'!T21</f>
        <v>2401.5560753100167</v>
      </c>
      <c r="BF18" s="29">
        <f>'Summary Table'!U21</f>
        <v>2236.0288753650771</v>
      </c>
      <c r="BG18" s="29">
        <f>'Summary Table'!V21</f>
        <v>2127.2924397789957</v>
      </c>
      <c r="BH18" s="29">
        <f>'Summary Table'!W21</f>
        <v>2131.8196748023497</v>
      </c>
      <c r="BI18" s="29">
        <f>'Summary Table'!X21</f>
        <v>2093.7201137501879</v>
      </c>
      <c r="BJ18" s="29">
        <f>'Summary Table'!Y21</f>
        <v>2047.2717999985257</v>
      </c>
      <c r="BK18" s="29">
        <f>'Summary Table'!Z21</f>
        <v>2069.9217125947121</v>
      </c>
      <c r="BL18" s="29">
        <f>'Summary Table'!AA21</f>
        <v>2094.5191822520783</v>
      </c>
      <c r="BM18" s="29">
        <f>'Summary Table'!AB21</f>
        <v>2120.8989190567722</v>
      </c>
      <c r="BN18" s="29">
        <f>'Summary Table'!AC21</f>
        <v>2134.9011036530801</v>
      </c>
      <c r="BO18" s="29">
        <f>'Summary Table'!AD21</f>
        <v>2139.816039203602</v>
      </c>
      <c r="BP18" s="29">
        <f>'Summary Table'!AE21</f>
        <v>2178.9275554433234</v>
      </c>
      <c r="BQ18" s="29">
        <f>'Summary Table'!AF21</f>
        <v>2163.1750674226637</v>
      </c>
      <c r="BR18" s="29">
        <f>'Summary Table'!AG21</f>
        <v>1877.568338415364</v>
      </c>
      <c r="BS18" s="29">
        <f>'Summary Table'!AH21</f>
        <v>2062.7897667099305</v>
      </c>
      <c r="BT18" s="29">
        <f>'Summary Table'!AI21</f>
        <v>2082.0120849648615</v>
      </c>
    </row>
    <row r="19" spans="2:74">
      <c r="B19" s="6" t="s">
        <v>1434</v>
      </c>
      <c r="C19" s="232">
        <f t="shared" si="0"/>
        <v>-6.1917132972156575E-8</v>
      </c>
      <c r="D19" s="232">
        <f t="shared" si="1"/>
        <v>2.573015170588571E-7</v>
      </c>
      <c r="E19" s="232">
        <f t="shared" si="2"/>
        <v>-1.5289532375747242E-7</v>
      </c>
      <c r="F19" s="232">
        <f t="shared" si="3"/>
        <v>3.9927292802968994E-8</v>
      </c>
      <c r="G19" s="232">
        <f t="shared" si="4"/>
        <v>-1.9142887182125934E-7</v>
      </c>
      <c r="H19" s="232">
        <f t="shared" si="5"/>
        <v>6.1500966109501365E-9</v>
      </c>
      <c r="I19" s="232">
        <f t="shared" si="6"/>
        <v>7.3192651080291396E-9</v>
      </c>
      <c r="J19" s="232">
        <f t="shared" si="7"/>
        <v>-1.9598856702337828E-7</v>
      </c>
      <c r="K19" s="232">
        <f t="shared" si="8"/>
        <v>-6.3307618492209328E-8</v>
      </c>
      <c r="L19" s="232">
        <f t="shared" si="9"/>
        <v>1.8625343179365978E-7</v>
      </c>
      <c r="M19" s="232">
        <f t="shared" si="10"/>
        <v>1.8657320378428247E-8</v>
      </c>
      <c r="N19" s="232">
        <f t="shared" si="11"/>
        <v>-3.1840810303875483E-4</v>
      </c>
      <c r="O19" s="232">
        <f t="shared" si="12"/>
        <v>-5.6298697607932036E-4</v>
      </c>
      <c r="P19" s="232">
        <f t="shared" si="13"/>
        <v>-4.4920515194106974E-4</v>
      </c>
      <c r="Q19" s="232">
        <f t="shared" si="14"/>
        <v>-8.7348686124723047E-4</v>
      </c>
      <c r="R19" s="232">
        <f t="shared" si="15"/>
        <v>-3.0065022548340812E-3</v>
      </c>
      <c r="S19" s="232">
        <f t="shared" si="16"/>
        <v>-8.8726547761302718E-3</v>
      </c>
      <c r="T19" s="232">
        <f t="shared" si="17"/>
        <v>-1.2192903289843167E-2</v>
      </c>
      <c r="U19" s="232">
        <f t="shared" si="18"/>
        <v>-1.0567114232888605E-2</v>
      </c>
      <c r="V19" s="232">
        <f t="shared" si="19"/>
        <v>-6.4127443191702698E-3</v>
      </c>
      <c r="W19" s="232">
        <f t="shared" si="20"/>
        <v>-3.368027187464514E-3</v>
      </c>
      <c r="X19" s="232">
        <f t="shared" si="21"/>
        <v>2.5381743769600641E-3</v>
      </c>
      <c r="Y19" s="232">
        <f t="shared" si="22"/>
        <v>2.8525846782742775E-3</v>
      </c>
      <c r="Z19" s="232">
        <f t="shared" si="23"/>
        <v>2.4355559355910476E-3</v>
      </c>
      <c r="AA19" s="232">
        <f t="shared" si="24"/>
        <v>2.7975840603800925E-3</v>
      </c>
      <c r="AB19" s="232">
        <f t="shared" si="25"/>
        <v>4.7608676427657081E-3</v>
      </c>
      <c r="AC19" s="232">
        <f t="shared" si="26"/>
        <v>7.6812204306476554E-3</v>
      </c>
      <c r="AD19" s="232">
        <f t="shared" si="27"/>
        <v>1.0695530089673333E-2</v>
      </c>
      <c r="AE19" s="232">
        <f t="shared" si="28"/>
        <v>1.1204238298869129E-2</v>
      </c>
      <c r="AF19" s="232">
        <f t="shared" si="29"/>
        <v>2.2819499022175768E-2</v>
      </c>
      <c r="AG19" s="232">
        <f t="shared" si="30"/>
        <v>2.8494737413855279E-2</v>
      </c>
      <c r="AH19" s="232">
        <f t="shared" si="31"/>
        <v>0.10353070646732404</v>
      </c>
      <c r="AI19" s="232">
        <f t="shared" si="32"/>
        <v>0.13464639342057128</v>
      </c>
      <c r="AJ19" s="496">
        <f t="shared" si="33"/>
        <v>4.7870786042277748E-3</v>
      </c>
      <c r="AM19" s="6" t="s">
        <v>1434</v>
      </c>
      <c r="AN19" s="25">
        <f>'Summary Table'!C22</f>
        <v>97.78241223079533</v>
      </c>
      <c r="AO19" s="25">
        <f>'Summary Table'!D22</f>
        <v>97.952169988467361</v>
      </c>
      <c r="AP19" s="25">
        <f>'Summary Table'!E22</f>
        <v>96.897397560708882</v>
      </c>
      <c r="AQ19" s="25">
        <f>'Summary Table'!F22</f>
        <v>95.38268325283164</v>
      </c>
      <c r="AR19" s="25">
        <f>'Summary Table'!G22</f>
        <v>92.109480052541898</v>
      </c>
      <c r="AS19" s="25">
        <f>'Summary Table'!H22</f>
        <v>88.696195308228212</v>
      </c>
      <c r="AT19" s="25">
        <f>'Summary Table'!I22</f>
        <v>97.899890710711531</v>
      </c>
      <c r="AU19" s="25">
        <f>'Summary Table'!J22</f>
        <v>93.391358622908527</v>
      </c>
      <c r="AV19" s="25">
        <f>'Summary Table'!K22</f>
        <v>84.367234993758103</v>
      </c>
      <c r="AW19" s="25">
        <f>'Summary Table'!L22</f>
        <v>93.19613012040945</v>
      </c>
      <c r="AX19" s="25">
        <f>'Summary Table'!M22</f>
        <v>99.814277951232029</v>
      </c>
      <c r="AY19" s="25">
        <f>'Summary Table'!N22</f>
        <v>102.69033732360053</v>
      </c>
      <c r="AZ19" s="25">
        <f>'Summary Table'!O22</f>
        <v>94.809824998097724</v>
      </c>
      <c r="BA19" s="25">
        <f>'Summary Table'!P22</f>
        <v>102.73524037201688</v>
      </c>
      <c r="BB19" s="25">
        <f>'Summary Table'!Q22</f>
        <v>103.70575945407543</v>
      </c>
      <c r="BC19" s="25">
        <f>'Summary Table'!R22</f>
        <v>95.575442274390966</v>
      </c>
      <c r="BD19" s="25">
        <f>'Summary Table'!S22</f>
        <v>83.076643788508392</v>
      </c>
      <c r="BE19" s="25">
        <f>'Summary Table'!T22</f>
        <v>82.999286658834436</v>
      </c>
      <c r="BF19" s="25">
        <f>'Summary Table'!U22</f>
        <v>81.35310743989055</v>
      </c>
      <c r="BG19" s="25">
        <f>'Summary Table'!V22</f>
        <v>76.871691567355754</v>
      </c>
      <c r="BH19" s="25">
        <f>'Summary Table'!W22</f>
        <v>75.584117715666224</v>
      </c>
      <c r="BI19" s="25">
        <f>'Summary Table'!X22</f>
        <v>71.264898165119661</v>
      </c>
      <c r="BJ19" s="25">
        <f>'Summary Table'!Y22</f>
        <v>57.430156749728859</v>
      </c>
      <c r="BK19" s="25">
        <f>'Summary Table'!Z22</f>
        <v>62.914302900543817</v>
      </c>
      <c r="BL19" s="25">
        <f>'Summary Table'!AA22</f>
        <v>69.062290446070193</v>
      </c>
      <c r="BM19" s="25">
        <f>'Summary Table'!AB22</f>
        <v>64.893287996969548</v>
      </c>
      <c r="BN19" s="25">
        <f>'Summary Table'!AC22</f>
        <v>54.808963118601646</v>
      </c>
      <c r="BO19" s="25">
        <f>'Summary Table'!AD22</f>
        <v>52.479502214743725</v>
      </c>
      <c r="BP19" s="25">
        <f>'Summary Table'!AE22</f>
        <v>65.12530568088124</v>
      </c>
      <c r="BQ19" s="25">
        <f>'Summary Table'!AF22</f>
        <v>67.435980875494991</v>
      </c>
      <c r="BR19" s="25">
        <f>'Summary Table'!AG22</f>
        <v>58.433675778621101</v>
      </c>
      <c r="BS19" s="25">
        <f>'Summary Table'!AH22</f>
        <v>59.38652650747968</v>
      </c>
      <c r="BT19" s="25">
        <f>'Summary Table'!AI22</f>
        <v>61.113011543269025</v>
      </c>
    </row>
    <row r="20" spans="2:74">
      <c r="B20" s="6" t="s">
        <v>1441</v>
      </c>
      <c r="C20" s="232">
        <f t="shared" si="0"/>
        <v>-4.4628748294922421E-8</v>
      </c>
      <c r="D20" s="232">
        <f t="shared" si="1"/>
        <v>1.9092306511611061E-7</v>
      </c>
      <c r="E20" s="232">
        <f t="shared" si="2"/>
        <v>-1.1857874576026556E-7</v>
      </c>
      <c r="F20" s="232">
        <f t="shared" si="3"/>
        <v>3.3902694643530136E-8</v>
      </c>
      <c r="G20" s="232">
        <f t="shared" si="4"/>
        <v>-1.6325798548963371E-7</v>
      </c>
      <c r="H20" s="232">
        <f t="shared" si="5"/>
        <v>5.5109495941413247E-9</v>
      </c>
      <c r="I20" s="232">
        <f t="shared" si="6"/>
        <v>6.815146463342198E-9</v>
      </c>
      <c r="J20" s="232">
        <f t="shared" si="7"/>
        <v>-1.8114134165986012E-7</v>
      </c>
      <c r="K20" s="232">
        <f t="shared" si="8"/>
        <v>-6.1996966262536041E-8</v>
      </c>
      <c r="L20" s="232">
        <f t="shared" si="9"/>
        <v>2.0080314436506757E-7</v>
      </c>
      <c r="M20" s="232">
        <f t="shared" si="10"/>
        <v>1.8282314913417307E-8</v>
      </c>
      <c r="N20" s="232">
        <f t="shared" si="11"/>
        <v>-3.3267326266412208E-4</v>
      </c>
      <c r="O20" s="232">
        <f t="shared" si="12"/>
        <v>-5.517643493014099E-4</v>
      </c>
      <c r="P20" s="232">
        <f t="shared" si="13"/>
        <v>-4.1339432492212169E-4</v>
      </c>
      <c r="Q20" s="232">
        <f t="shared" si="14"/>
        <v>-7.8996094115150832E-4</v>
      </c>
      <c r="R20" s="232">
        <f t="shared" si="15"/>
        <v>-2.7480385784028334E-3</v>
      </c>
      <c r="S20" s="232">
        <f t="shared" si="16"/>
        <v>-8.1000142937839251E-3</v>
      </c>
      <c r="T20" s="232">
        <f t="shared" si="17"/>
        <v>-1.0251063043064265E-2</v>
      </c>
      <c r="U20" s="232">
        <f t="shared" si="18"/>
        <v>-9.1336037535422222E-3</v>
      </c>
      <c r="V20" s="232">
        <f t="shared" si="19"/>
        <v>-6.4667850599733189E-3</v>
      </c>
      <c r="W20" s="232">
        <f t="shared" si="20"/>
        <v>-3.56516653709662E-3</v>
      </c>
      <c r="X20" s="232">
        <f t="shared" si="21"/>
        <v>2.821813566320149E-3</v>
      </c>
      <c r="Y20" s="232">
        <f t="shared" si="22"/>
        <v>3.0738304536074667E-3</v>
      </c>
      <c r="Z20" s="232">
        <f t="shared" si="23"/>
        <v>2.6021476426036512E-3</v>
      </c>
      <c r="AA20" s="232">
        <f t="shared" si="24"/>
        <v>3.2695240442869263E-3</v>
      </c>
      <c r="AB20" s="232">
        <f t="shared" si="25"/>
        <v>3.0318188477522086E-3</v>
      </c>
      <c r="AC20" s="232">
        <f t="shared" si="26"/>
        <v>5.3359840263100655E-3</v>
      </c>
      <c r="AD20" s="232">
        <f t="shared" si="27"/>
        <v>7.2930924048833674E-3</v>
      </c>
      <c r="AE20" s="232">
        <f t="shared" si="28"/>
        <v>8.9150178328539255E-3</v>
      </c>
      <c r="AF20" s="232">
        <f t="shared" si="29"/>
        <v>1.8620128956469313E-2</v>
      </c>
      <c r="AG20" s="232">
        <f t="shared" si="30"/>
        <v>2.2550554103869302E-2</v>
      </c>
      <c r="AH20" s="232">
        <f t="shared" si="31"/>
        <v>7.3560529184535831E-2</v>
      </c>
      <c r="AI20" s="232">
        <f t="shared" si="32"/>
        <v>3.9454044084762073E-2</v>
      </c>
      <c r="AJ20" s="496">
        <f t="shared" si="33"/>
        <v>3.397558236034921E-3</v>
      </c>
      <c r="AM20" s="6" t="s">
        <v>1441</v>
      </c>
      <c r="AN20" s="25">
        <f>'Summary Table'!C23</f>
        <v>74.317009238006435</v>
      </c>
      <c r="AO20" s="25">
        <f>'Summary Table'!D23</f>
        <v>73.407833850551555</v>
      </c>
      <c r="AP20" s="25">
        <f>'Summary Table'!E23</f>
        <v>64.616730035679041</v>
      </c>
      <c r="AQ20" s="25">
        <f>'Summary Table'!F23</f>
        <v>56.873975020454345</v>
      </c>
      <c r="AR20" s="25">
        <f>'Summary Table'!G23</f>
        <v>56.369484996221161</v>
      </c>
      <c r="AS20" s="25">
        <f>'Summary Table'!H23</f>
        <v>52.391239933514434</v>
      </c>
      <c r="AT20" s="25">
        <f>'Summary Table'!I23</f>
        <v>54.832060684371058</v>
      </c>
      <c r="AU20" s="25">
        <f>'Summary Table'!J23</f>
        <v>51.284956381041496</v>
      </c>
      <c r="AV20" s="25">
        <f>'Summary Table'!K23</f>
        <v>47.862168349800406</v>
      </c>
      <c r="AW20" s="25">
        <f>'Summary Table'!L23</f>
        <v>45.78669586341524</v>
      </c>
      <c r="AX20" s="25">
        <f>'Summary Table'!M23</f>
        <v>55.272252292626497</v>
      </c>
      <c r="AY20" s="25">
        <f>'Summary Table'!N23</f>
        <v>55.007529049391842</v>
      </c>
      <c r="AZ20" s="25">
        <f>'Summary Table'!O23</f>
        <v>49.963577276939134</v>
      </c>
      <c r="BA20" s="25">
        <f>'Summary Table'!P23</f>
        <v>59.413372710105818</v>
      </c>
      <c r="BB20" s="25">
        <f>'Summary Table'!Q23</f>
        <v>58.386082462551457</v>
      </c>
      <c r="BC20" s="25">
        <f>'Summary Table'!R23</f>
        <v>54.793864419601839</v>
      </c>
      <c r="BD20" s="25">
        <f>'Summary Table'!S23</f>
        <v>51.31612703743734</v>
      </c>
      <c r="BE20" s="25">
        <f>'Summary Table'!T23</f>
        <v>52.302199112446594</v>
      </c>
      <c r="BF20" s="25">
        <f>'Summary Table'!U23</f>
        <v>48.260774591540994</v>
      </c>
      <c r="BG20" s="25">
        <f>'Summary Table'!V23</f>
        <v>51.732975084881019</v>
      </c>
      <c r="BH20" s="25">
        <f>'Summary Table'!W23</f>
        <v>49.736176633621213</v>
      </c>
      <c r="BI20" s="25">
        <f>'Summary Table'!X23</f>
        <v>48.019411873386588</v>
      </c>
      <c r="BJ20" s="25">
        <f>'Summary Table'!Y23</f>
        <v>39.253041337374341</v>
      </c>
      <c r="BK20" s="25">
        <f>'Summary Table'!Z23</f>
        <v>41.171116981845458</v>
      </c>
      <c r="BL20" s="25">
        <f>'Summary Table'!AA23</f>
        <v>39.547045254145807</v>
      </c>
      <c r="BM20" s="25">
        <f>'Summary Table'!AB23</f>
        <v>66.428800315750649</v>
      </c>
      <c r="BN20" s="25">
        <f>'Summary Table'!AC23</f>
        <v>59.055150951147297</v>
      </c>
      <c r="BO20" s="25">
        <f>'Summary Table'!AD23</f>
        <v>57.247196778983692</v>
      </c>
      <c r="BP20" s="25">
        <f>'Summary Table'!AE23</f>
        <v>51.977488359870641</v>
      </c>
      <c r="BQ20" s="25">
        <f>'Summary Table'!AF23</f>
        <v>57.233006553301081</v>
      </c>
      <c r="BR20" s="25">
        <f>'Summary Table'!AG23</f>
        <v>54.41904448356302</v>
      </c>
      <c r="BS20" s="25">
        <f>'Summary Table'!AH23</f>
        <v>55.734392755355948</v>
      </c>
      <c r="BT20" s="25">
        <f>'Summary Table'!AI23</f>
        <v>51.063464820652335</v>
      </c>
    </row>
    <row r="21" spans="2:74">
      <c r="B21" s="6" t="s">
        <v>1443</v>
      </c>
      <c r="C21" s="232">
        <f t="shared" si="0"/>
        <v>3.5368825620262591E-2</v>
      </c>
      <c r="D21" s="232">
        <f t="shared" si="1"/>
        <v>4.8478992540971981E-2</v>
      </c>
      <c r="E21" s="232">
        <f t="shared" si="2"/>
        <v>1.560887058235608E-2</v>
      </c>
      <c r="F21" s="232">
        <f t="shared" si="3"/>
        <v>2.4558028577902073E-2</v>
      </c>
      <c r="G21" s="232">
        <f t="shared" si="4"/>
        <v>-7.0701967282046354E-3</v>
      </c>
      <c r="H21" s="232">
        <f t="shared" si="5"/>
        <v>3.7378633662808894E-3</v>
      </c>
      <c r="I21" s="232">
        <f t="shared" si="6"/>
        <v>-4.8994475658500819E-2</v>
      </c>
      <c r="J21" s="232">
        <f t="shared" si="7"/>
        <v>-4.6846579575791615E-2</v>
      </c>
      <c r="K21" s="232">
        <f t="shared" si="8"/>
        <v>1.2153284349191967E-2</v>
      </c>
      <c r="L21" s="232">
        <f t="shared" si="9"/>
        <v>-1.1628422815156502E-2</v>
      </c>
      <c r="M21" s="232">
        <f t="shared" si="10"/>
        <v>2.2809715589912745E-2</v>
      </c>
      <c r="N21" s="232">
        <f t="shared" si="11"/>
        <v>-3.7311221179768504E-2</v>
      </c>
      <c r="O21" s="232">
        <f t="shared" si="12"/>
        <v>-1.6034248759879965E-2</v>
      </c>
      <c r="P21" s="232">
        <f t="shared" si="13"/>
        <v>-3.4306160208324027E-2</v>
      </c>
      <c r="Q21" s="232">
        <f t="shared" si="14"/>
        <v>-2.744515344036897E-2</v>
      </c>
      <c r="R21" s="232">
        <f t="shared" si="15"/>
        <v>-3.9266510818788652E-2</v>
      </c>
      <c r="S21" s="232">
        <f t="shared" si="16"/>
        <v>-4.2357241394168701E-2</v>
      </c>
      <c r="T21" s="232">
        <f t="shared" si="17"/>
        <v>-5.1223076658361268E-2</v>
      </c>
      <c r="U21" s="232">
        <f t="shared" si="18"/>
        <v>-2.4539570456228028E-2</v>
      </c>
      <c r="V21" s="232">
        <f t="shared" si="19"/>
        <v>-1.2908239465931337E-2</v>
      </c>
      <c r="W21" s="232">
        <f t="shared" si="20"/>
        <v>-4.3513205693820091E-2</v>
      </c>
      <c r="X21" s="232">
        <f t="shared" si="21"/>
        <v>-2.5128252738593877E-2</v>
      </c>
      <c r="Y21" s="232">
        <f t="shared" si="22"/>
        <v>-3.2709702808929986E-2</v>
      </c>
      <c r="Z21" s="232">
        <f t="shared" si="23"/>
        <v>-2.3388736164973643E-2</v>
      </c>
      <c r="AA21" s="232">
        <f t="shared" si="24"/>
        <v>2.0615753867668429E-3</v>
      </c>
      <c r="AB21" s="232">
        <f t="shared" si="25"/>
        <v>-3.2159570059096289E-2</v>
      </c>
      <c r="AC21" s="232">
        <f t="shared" si="26"/>
        <v>-2.620976286918509E-2</v>
      </c>
      <c r="AD21" s="232">
        <f t="shared" si="27"/>
        <v>-5.8769650827075554E-2</v>
      </c>
      <c r="AE21" s="232">
        <f t="shared" si="28"/>
        <v>-5.6930759958013763E-2</v>
      </c>
      <c r="AF21" s="232">
        <f t="shared" si="29"/>
        <v>-0.10384110605385163</v>
      </c>
      <c r="AG21" s="232">
        <f t="shared" si="30"/>
        <v>-0.13406780827096626</v>
      </c>
      <c r="AH21" s="232">
        <f t="shared" si="31"/>
        <v>-7.7558866445655517E-2</v>
      </c>
      <c r="AI21" s="232">
        <f t="shared" si="32"/>
        <v>-0.10634211304944072</v>
      </c>
      <c r="AJ21" s="496">
        <f>AVERAGE(C21:AH21)</f>
        <v>-2.6544730094874673E-2</v>
      </c>
      <c r="AK21" s="496">
        <f>AVERAGE(W21:AH21)</f>
        <v>-5.1017987208616243E-2</v>
      </c>
      <c r="AM21" s="6" t="s">
        <v>1443</v>
      </c>
      <c r="AN21" s="25">
        <f>'Summary Table'!C24</f>
        <v>305.86837004185293</v>
      </c>
      <c r="AO21" s="25">
        <f>'Summary Table'!D24</f>
        <v>292.78503629653778</v>
      </c>
      <c r="AP21" s="25">
        <f>'Summary Table'!E24</f>
        <v>301.0309862925227</v>
      </c>
      <c r="AQ21" s="25">
        <f>'Summary Table'!F24</f>
        <v>293.109363986299</v>
      </c>
      <c r="AR21" s="25">
        <f>'Summary Table'!G24</f>
        <v>288.92185498045387</v>
      </c>
      <c r="AS21" s="25">
        <f>'Summary Table'!H24</f>
        <v>291.98616883550289</v>
      </c>
      <c r="AT21" s="25">
        <f>'Summary Table'!I24</f>
        <v>300.13887686398715</v>
      </c>
      <c r="AU21" s="25">
        <f>'Summary Table'!J24</f>
        <v>294.15680944417926</v>
      </c>
      <c r="AV21" s="25">
        <f>'Summary Table'!K24</f>
        <v>294.66981451825228</v>
      </c>
      <c r="AW21" s="25">
        <f>'Summary Table'!L24</f>
        <v>272.94393939947111</v>
      </c>
      <c r="AX21" s="25">
        <f>'Summary Table'!M24</f>
        <v>300.26569092616825</v>
      </c>
      <c r="AY21" s="25">
        <f>'Summary Table'!N24</f>
        <v>312.50708100300676</v>
      </c>
      <c r="AZ21" s="25">
        <f>'Summary Table'!O24</f>
        <v>307.61140351199276</v>
      </c>
      <c r="BA21" s="25">
        <f>'Summary Table'!P24</f>
        <v>313.67173867621773</v>
      </c>
      <c r="BB21" s="25">
        <f>'Summary Table'!Q24</f>
        <v>334.05993630344665</v>
      </c>
      <c r="BC21" s="25">
        <f>'Summary Table'!R24</f>
        <v>337.87694040171903</v>
      </c>
      <c r="BD21" s="25">
        <f>'Summary Table'!S24</f>
        <v>360.76703849769871</v>
      </c>
      <c r="BE21" s="25">
        <f>'Summary Table'!T24</f>
        <v>345.90561733347892</v>
      </c>
      <c r="BF21" s="25">
        <f>'Summary Table'!U24</f>
        <v>311.56970424060825</v>
      </c>
      <c r="BG21" s="25">
        <f>'Summary Table'!V24</f>
        <v>281.82543519496528</v>
      </c>
      <c r="BH21" s="25">
        <f>'Summary Table'!W24</f>
        <v>286.78396176303283</v>
      </c>
      <c r="BI21" s="25">
        <f>'Summary Table'!X24</f>
        <v>287.98261274237649</v>
      </c>
      <c r="BJ21" s="25">
        <f>'Summary Table'!Y24</f>
        <v>287.17585056713943</v>
      </c>
      <c r="BK21" s="25">
        <f>'Summary Table'!Z24</f>
        <v>299.65492060422906</v>
      </c>
      <c r="BL21" s="25">
        <f>'Summary Table'!AA24</f>
        <v>271.87026978437501</v>
      </c>
      <c r="BM21" s="25">
        <f>'Summary Table'!AB24</f>
        <v>264.74084752094535</v>
      </c>
      <c r="BN21" s="25">
        <f>'Summary Table'!AC24</f>
        <v>262.20220123464566</v>
      </c>
      <c r="BO21" s="25">
        <f>'Summary Table'!AD24</f>
        <v>252.01898543113069</v>
      </c>
      <c r="BP21" s="25">
        <f>'Summary Table'!AE24</f>
        <v>257.32814684532644</v>
      </c>
      <c r="BQ21" s="25">
        <f>'Summary Table'!AF24</f>
        <v>247.15861528492468</v>
      </c>
      <c r="BR21" s="25">
        <f>'Summary Table'!AG24</f>
        <v>216.83444622153593</v>
      </c>
      <c r="BS21" s="25">
        <f>'Summary Table'!AH24</f>
        <v>224.64023657742564</v>
      </c>
      <c r="BT21" s="25">
        <f>'Summary Table'!AI24</f>
        <v>221.75314639126401</v>
      </c>
    </row>
    <row r="22" spans="2:74">
      <c r="B22" s="6" t="s">
        <v>1445</v>
      </c>
      <c r="C22" s="232">
        <f t="shared" si="0"/>
        <v>0</v>
      </c>
      <c r="D22" s="232">
        <f t="shared" si="1"/>
        <v>0</v>
      </c>
      <c r="E22" s="232">
        <f t="shared" si="2"/>
        <v>0</v>
      </c>
      <c r="F22" s="232">
        <f t="shared" si="3"/>
        <v>0</v>
      </c>
      <c r="G22" s="232">
        <f t="shared" si="4"/>
        <v>0</v>
      </c>
      <c r="H22" s="232">
        <f t="shared" si="5"/>
        <v>0</v>
      </c>
      <c r="I22" s="232">
        <f t="shared" si="6"/>
        <v>0</v>
      </c>
      <c r="J22" s="232">
        <f t="shared" si="7"/>
        <v>0</v>
      </c>
      <c r="K22" s="232">
        <f t="shared" si="8"/>
        <v>0</v>
      </c>
      <c r="L22" s="232">
        <f t="shared" si="9"/>
        <v>0</v>
      </c>
      <c r="M22" s="232">
        <f t="shared" si="10"/>
        <v>0</v>
      </c>
      <c r="N22" s="232">
        <f t="shared" si="11"/>
        <v>0</v>
      </c>
      <c r="O22" s="232">
        <f t="shared" si="12"/>
        <v>0</v>
      </c>
      <c r="P22" s="232">
        <f t="shared" si="13"/>
        <v>0</v>
      </c>
      <c r="Q22" s="232">
        <f t="shared" si="14"/>
        <v>0</v>
      </c>
      <c r="R22" s="232">
        <f t="shared" si="15"/>
        <v>0</v>
      </c>
      <c r="S22" s="232">
        <f t="shared" si="16"/>
        <v>0</v>
      </c>
      <c r="T22" s="232">
        <f t="shared" si="17"/>
        <v>0</v>
      </c>
      <c r="U22" s="232">
        <f t="shared" si="18"/>
        <v>0</v>
      </c>
      <c r="V22" s="232">
        <f t="shared" si="19"/>
        <v>0</v>
      </c>
      <c r="W22" s="232">
        <f t="shared" si="20"/>
        <v>0</v>
      </c>
      <c r="X22" s="232">
        <f t="shared" si="21"/>
        <v>0</v>
      </c>
      <c r="Y22" s="232">
        <f t="shared" si="22"/>
        <v>0</v>
      </c>
      <c r="Z22" s="232">
        <f t="shared" si="23"/>
        <v>0</v>
      </c>
      <c r="AA22" s="232">
        <f t="shared" si="24"/>
        <v>0</v>
      </c>
      <c r="AB22" s="232">
        <f t="shared" si="25"/>
        <v>0</v>
      </c>
      <c r="AC22" s="232">
        <f t="shared" si="26"/>
        <v>0</v>
      </c>
      <c r="AD22" s="232">
        <f t="shared" si="27"/>
        <v>0</v>
      </c>
      <c r="AE22" s="232">
        <f t="shared" si="28"/>
        <v>0</v>
      </c>
      <c r="AF22" s="232">
        <f t="shared" si="29"/>
        <v>2.5927845243741442E-8</v>
      </c>
      <c r="AG22" s="232">
        <f t="shared" si="30"/>
        <v>2.5657207558155225E-5</v>
      </c>
      <c r="AH22" s="232">
        <f t="shared" si="31"/>
        <v>2.0645004027558438E-4</v>
      </c>
      <c r="AI22" s="232">
        <f t="shared" si="32"/>
        <v>-1.3037981551171059E-3</v>
      </c>
      <c r="AJ22" s="496">
        <f t="shared" si="33"/>
        <v>7.25416173996823E-6</v>
      </c>
      <c r="AK22" s="496">
        <f>AVERAGE(W22:AH22)</f>
        <v>1.9344431306581948E-5</v>
      </c>
      <c r="AM22" s="6" t="s">
        <v>1445</v>
      </c>
      <c r="AN22" s="25">
        <f>'Summary Table'!C25</f>
        <v>1432.9432652886276</v>
      </c>
      <c r="AO22" s="25">
        <f>'Summary Table'!D25</f>
        <v>1389.4564060937773</v>
      </c>
      <c r="AP22" s="25">
        <f>'Summary Table'!E25</f>
        <v>1445.4198600226605</v>
      </c>
      <c r="AQ22" s="25">
        <f>'Summary Table'!F25</f>
        <v>1474.4524204610232</v>
      </c>
      <c r="AR22" s="25">
        <f>'Summary Table'!G25</f>
        <v>1516.3845483799519</v>
      </c>
      <c r="AS22" s="25">
        <f>'Summary Table'!H25</f>
        <v>1542.280097691809</v>
      </c>
      <c r="AT22" s="25">
        <f>'Summary Table'!I25</f>
        <v>1588.2793374504231</v>
      </c>
      <c r="AU22" s="25">
        <f>'Summary Table'!J25</f>
        <v>1602.1285102616407</v>
      </c>
      <c r="AV22" s="25">
        <f>'Summary Table'!K25</f>
        <v>1643.631953718932</v>
      </c>
      <c r="AW22" s="25">
        <f>'Summary Table'!L25</f>
        <v>1710.533470614638</v>
      </c>
      <c r="AX22" s="25">
        <f>'Summary Table'!M25</f>
        <v>1756.5518161208734</v>
      </c>
      <c r="AY22" s="25">
        <f>'Summary Table'!N25</f>
        <v>1727.5780724003682</v>
      </c>
      <c r="AZ22" s="25">
        <f>'Summary Table'!O25</f>
        <v>1765.9312304048144</v>
      </c>
      <c r="BA22" s="25">
        <f>'Summary Table'!P25</f>
        <v>1778.7205356811112</v>
      </c>
      <c r="BB22" s="25">
        <f>'Summary Table'!Q25</f>
        <v>1813.2935615739598</v>
      </c>
      <c r="BC22" s="25">
        <f>'Summary Table'!R25</f>
        <v>1825.4762484604264</v>
      </c>
      <c r="BD22" s="25">
        <f>'Summary Table'!S25</f>
        <v>1826.0002540005557</v>
      </c>
      <c r="BE22" s="25">
        <f>'Summary Table'!T25</f>
        <v>1825.5562316874011</v>
      </c>
      <c r="BF22" s="25">
        <f>'Summary Table'!U25</f>
        <v>1722.979673561545</v>
      </c>
      <c r="BG22" s="25">
        <f>'Summary Table'!V25</f>
        <v>1650.5556008859128</v>
      </c>
      <c r="BH22" s="25">
        <f>'Summary Table'!W25</f>
        <v>1658.4553294190557</v>
      </c>
      <c r="BI22" s="25">
        <f>'Summary Table'!X25</f>
        <v>1631.4345760286221</v>
      </c>
      <c r="BJ22" s="25">
        <f>'Summary Table'!Y25</f>
        <v>1618.0233222872737</v>
      </c>
      <c r="BK22" s="25">
        <f>'Summary Table'!Z25</f>
        <v>1621.9966735810883</v>
      </c>
      <c r="BL22" s="25">
        <f>'Summary Table'!AA25</f>
        <v>1667.1086070610122</v>
      </c>
      <c r="BM22" s="25">
        <f>'Summary Table'!AB25</f>
        <v>1678.9752558374032</v>
      </c>
      <c r="BN22" s="25">
        <f>'Summary Table'!AC25</f>
        <v>1717.8477376887884</v>
      </c>
      <c r="BO22" s="25">
        <f>'Summary Table'!AD25</f>
        <v>1738.0500649093556</v>
      </c>
      <c r="BP22" s="25">
        <f>'Summary Table'!AE25</f>
        <v>1762.2192146418806</v>
      </c>
      <c r="BQ22" s="25">
        <f>'Summary Table'!AF25</f>
        <v>1757.7069059853736</v>
      </c>
      <c r="BR22" s="25">
        <f>'Summary Table'!AG25</f>
        <v>1514.1664116985837</v>
      </c>
      <c r="BS22" s="25">
        <f>'Summary Table'!AH25</f>
        <v>1688.3549089409773</v>
      </c>
      <c r="BT22" s="25">
        <f>'Summary Table'!AI25</f>
        <v>1710.6018856605253</v>
      </c>
    </row>
    <row r="23" spans="2:74">
      <c r="B23" s="6" t="s">
        <v>1474</v>
      </c>
      <c r="C23" s="232">
        <f t="shared" si="0"/>
        <v>0</v>
      </c>
      <c r="D23" s="232">
        <f t="shared" si="1"/>
        <v>0</v>
      </c>
      <c r="E23" s="232">
        <f t="shared" si="2"/>
        <v>0</v>
      </c>
      <c r="F23" s="232">
        <f t="shared" si="3"/>
        <v>0</v>
      </c>
      <c r="G23" s="232">
        <f t="shared" si="4"/>
        <v>0</v>
      </c>
      <c r="H23" s="232">
        <f t="shared" si="5"/>
        <v>0</v>
      </c>
      <c r="I23" s="232">
        <f t="shared" si="6"/>
        <v>0</v>
      </c>
      <c r="J23" s="232">
        <f t="shared" si="7"/>
        <v>0</v>
      </c>
      <c r="K23" s="232">
        <f t="shared" si="8"/>
        <v>0</v>
      </c>
      <c r="L23" s="232">
        <f t="shared" si="9"/>
        <v>0</v>
      </c>
      <c r="M23" s="232">
        <f t="shared" si="10"/>
        <v>0</v>
      </c>
      <c r="N23" s="232">
        <f t="shared" si="11"/>
        <v>0</v>
      </c>
      <c r="O23" s="232">
        <f t="shared" si="12"/>
        <v>0</v>
      </c>
      <c r="P23" s="232">
        <f t="shared" si="13"/>
        <v>0</v>
      </c>
      <c r="Q23" s="232">
        <f t="shared" si="14"/>
        <v>0</v>
      </c>
      <c r="R23" s="232">
        <f t="shared" si="15"/>
        <v>0</v>
      </c>
      <c r="S23" s="232">
        <f t="shared" si="16"/>
        <v>0</v>
      </c>
      <c r="T23" s="232">
        <f t="shared" si="17"/>
        <v>0</v>
      </c>
      <c r="U23" s="232">
        <f t="shared" si="18"/>
        <v>0</v>
      </c>
      <c r="V23" s="232">
        <f t="shared" si="19"/>
        <v>0</v>
      </c>
      <c r="W23" s="232">
        <f t="shared" si="20"/>
        <v>0</v>
      </c>
      <c r="X23" s="232">
        <f t="shared" si="21"/>
        <v>0</v>
      </c>
      <c r="Y23" s="232">
        <f t="shared" si="22"/>
        <v>0</v>
      </c>
      <c r="Z23" s="232">
        <f t="shared" si="23"/>
        <v>0</v>
      </c>
      <c r="AA23" s="232">
        <f t="shared" si="24"/>
        <v>0</v>
      </c>
      <c r="AB23" s="232">
        <f t="shared" si="25"/>
        <v>0</v>
      </c>
      <c r="AC23" s="232">
        <f t="shared" si="26"/>
        <v>0</v>
      </c>
      <c r="AD23" s="232">
        <f t="shared" si="27"/>
        <v>0</v>
      </c>
      <c r="AE23" s="232">
        <f t="shared" si="28"/>
        <v>0</v>
      </c>
      <c r="AF23" s="232">
        <f t="shared" si="29"/>
        <v>0</v>
      </c>
      <c r="AG23" s="232">
        <f t="shared" si="30"/>
        <v>0</v>
      </c>
      <c r="AH23" s="232">
        <f t="shared" si="31"/>
        <v>0</v>
      </c>
      <c r="AI23" s="232">
        <f t="shared" si="32"/>
        <v>5.9246864028896923E-3</v>
      </c>
      <c r="AJ23" s="496">
        <f t="shared" si="33"/>
        <v>0</v>
      </c>
      <c r="AM23" s="6" t="s">
        <v>1474</v>
      </c>
      <c r="AN23" s="25">
        <f>'Summary Table'!C26</f>
        <v>97.538490680398411</v>
      </c>
      <c r="AO23" s="25">
        <f>'Summary Table'!D26</f>
        <v>90.678661907118197</v>
      </c>
      <c r="AP23" s="25">
        <f>'Summary Table'!E26</f>
        <v>75.527743357330678</v>
      </c>
      <c r="AQ23" s="25">
        <f>'Summary Table'!F26</f>
        <v>86.415412739867193</v>
      </c>
      <c r="AR23" s="25">
        <f>'Summary Table'!G26</f>
        <v>81.246850001075686</v>
      </c>
      <c r="AS23" s="25">
        <f>'Summary Table'!H26</f>
        <v>58.71177506316068</v>
      </c>
      <c r="AT23" s="25">
        <f>'Summary Table'!I26</f>
        <v>63.3962927596016</v>
      </c>
      <c r="AU23" s="25">
        <f>'Summary Table'!J26</f>
        <v>72.207404234661354</v>
      </c>
      <c r="AV23" s="25">
        <f>'Summary Table'!K26</f>
        <v>101.26271580049136</v>
      </c>
      <c r="AW23" s="25">
        <f>'Summary Table'!L26</f>
        <v>93.83330481405045</v>
      </c>
      <c r="AX23" s="25">
        <f>'Summary Table'!M26</f>
        <v>88.524423740199197</v>
      </c>
      <c r="AY23" s="25">
        <f>'Summary Table'!N26</f>
        <v>98.561015855192565</v>
      </c>
      <c r="AZ23" s="25">
        <f>'Summary Table'!O26</f>
        <v>76.854861578857893</v>
      </c>
      <c r="BA23" s="25">
        <f>'Summary Table'!P26</f>
        <v>95.127634817888449</v>
      </c>
      <c r="BB23" s="25">
        <f>'Summary Table'!Q26</f>
        <v>95.845222101221793</v>
      </c>
      <c r="BC23" s="25">
        <f>'Summary Table'!R26</f>
        <v>97.96669769888446</v>
      </c>
      <c r="BD23" s="25">
        <f>'Summary Table'!S26</f>
        <v>53.276122434926961</v>
      </c>
      <c r="BE23" s="25">
        <f>'Summary Table'!T26</f>
        <v>52.964488890730408</v>
      </c>
      <c r="BF23" s="25">
        <f>'Summary Table'!U26</f>
        <v>38.386647737556437</v>
      </c>
      <c r="BG23" s="25">
        <f>'Summary Table'!V26</f>
        <v>32.211435291660024</v>
      </c>
      <c r="BH23" s="25">
        <f>'Summary Table'!W26</f>
        <v>31.428996559920311</v>
      </c>
      <c r="BI23" s="25">
        <f>'Summary Table'!X26</f>
        <v>25.831553656440903</v>
      </c>
      <c r="BJ23" s="25">
        <f>'Summary Table'!Y26</f>
        <v>18.333108585152722</v>
      </c>
      <c r="BK23" s="25">
        <f>'Summary Table'!Z26</f>
        <v>22.420050113678617</v>
      </c>
      <c r="BL23" s="25">
        <f>'Summary Table'!AA26</f>
        <v>25.304369663240369</v>
      </c>
      <c r="BM23" s="25">
        <f>'Summary Table'!AB26</f>
        <v>23.674448825350165</v>
      </c>
      <c r="BN23" s="25">
        <f>'Summary Table'!AC26</f>
        <v>21.458011279651984</v>
      </c>
      <c r="BO23" s="25">
        <f>'Summary Table'!AD26</f>
        <v>18.920639478904537</v>
      </c>
      <c r="BP23" s="25">
        <f>'Summary Table'!AE26</f>
        <v>22.215728844761522</v>
      </c>
      <c r="BQ23" s="25">
        <f>'Summary Table'!AF26</f>
        <v>16.161308535890104</v>
      </c>
      <c r="BR23" s="25">
        <f>'Summary Table'!AG26</f>
        <v>16.166104737697388</v>
      </c>
      <c r="BS23" s="25">
        <f>'Summary Table'!AH26</f>
        <v>17.713212252599575</v>
      </c>
      <c r="BT23" s="25">
        <f>'Summary Table'!AI26</f>
        <v>20.522249226051947</v>
      </c>
    </row>
    <row r="24" spans="2:74">
      <c r="B24" s="6" t="s">
        <v>1476</v>
      </c>
      <c r="C24" s="232">
        <f t="shared" si="0"/>
        <v>0</v>
      </c>
      <c r="D24" s="232">
        <f t="shared" si="1"/>
        <v>0</v>
      </c>
      <c r="E24" s="232">
        <f t="shared" si="2"/>
        <v>0</v>
      </c>
      <c r="F24" s="232">
        <f t="shared" si="3"/>
        <v>0</v>
      </c>
      <c r="G24" s="232">
        <f t="shared" si="4"/>
        <v>0</v>
      </c>
      <c r="H24" s="232">
        <f t="shared" si="5"/>
        <v>0</v>
      </c>
      <c r="I24" s="232">
        <f t="shared" si="6"/>
        <v>0</v>
      </c>
      <c r="J24" s="232">
        <f t="shared" si="7"/>
        <v>0</v>
      </c>
      <c r="K24" s="232">
        <f t="shared" si="8"/>
        <v>0</v>
      </c>
      <c r="L24" s="232">
        <f t="shared" si="9"/>
        <v>0</v>
      </c>
      <c r="M24" s="232">
        <f t="shared" si="10"/>
        <v>0</v>
      </c>
      <c r="N24" s="232">
        <f t="shared" si="11"/>
        <v>0</v>
      </c>
      <c r="O24" s="232">
        <f t="shared" si="12"/>
        <v>0</v>
      </c>
      <c r="P24" s="232">
        <f t="shared" si="13"/>
        <v>0</v>
      </c>
      <c r="Q24" s="232">
        <f t="shared" si="14"/>
        <v>0</v>
      </c>
      <c r="R24" s="232">
        <f t="shared" si="15"/>
        <v>0</v>
      </c>
      <c r="S24" s="232">
        <f t="shared" si="16"/>
        <v>0</v>
      </c>
      <c r="T24" s="232">
        <f t="shared" si="17"/>
        <v>0</v>
      </c>
      <c r="U24" s="232">
        <f t="shared" si="18"/>
        <v>0</v>
      </c>
      <c r="V24" s="232">
        <f t="shared" si="19"/>
        <v>0</v>
      </c>
      <c r="W24" s="232">
        <f t="shared" si="20"/>
        <v>0</v>
      </c>
      <c r="X24" s="232">
        <f t="shared" si="21"/>
        <v>0</v>
      </c>
      <c r="Y24" s="232">
        <f t="shared" si="22"/>
        <v>0</v>
      </c>
      <c r="Z24" s="232">
        <f t="shared" si="23"/>
        <v>0</v>
      </c>
      <c r="AA24" s="232">
        <f t="shared" si="24"/>
        <v>0</v>
      </c>
      <c r="AB24" s="232">
        <f t="shared" si="25"/>
        <v>0</v>
      </c>
      <c r="AC24" s="232">
        <f t="shared" si="26"/>
        <v>0</v>
      </c>
      <c r="AD24" s="232">
        <f t="shared" si="27"/>
        <v>0</v>
      </c>
      <c r="AE24" s="232">
        <f t="shared" si="28"/>
        <v>0</v>
      </c>
      <c r="AF24" s="232">
        <f t="shared" si="29"/>
        <v>0</v>
      </c>
      <c r="AG24" s="232">
        <f t="shared" si="30"/>
        <v>0</v>
      </c>
      <c r="AH24" s="232">
        <f t="shared" si="31"/>
        <v>0</v>
      </c>
      <c r="AI24" s="232">
        <f t="shared" si="32"/>
        <v>4.9992394038048814E-6</v>
      </c>
      <c r="AJ24" s="496">
        <f t="shared" si="33"/>
        <v>0</v>
      </c>
      <c r="AK24" s="496">
        <f>AVERAGE(W24:AH24)</f>
        <v>0</v>
      </c>
      <c r="AM24" s="6" t="s">
        <v>1476</v>
      </c>
      <c r="AN24" s="25">
        <f>'Summary Table'!C27</f>
        <v>19.508959997567821</v>
      </c>
      <c r="AO24" s="25">
        <f>'Summary Table'!D27</f>
        <v>18.719462787601117</v>
      </c>
      <c r="AP24" s="25">
        <f>'Summary Table'!E27</f>
        <v>21.550453172158644</v>
      </c>
      <c r="AQ24" s="25">
        <f>'Summary Table'!F27</f>
        <v>22.209565820159433</v>
      </c>
      <c r="AR24" s="25">
        <f>'Summary Table'!G27</f>
        <v>24.309329766534255</v>
      </c>
      <c r="AS24" s="25">
        <f>'Summary Table'!H27</f>
        <v>21.11806308104892</v>
      </c>
      <c r="AT24" s="25">
        <f>'Summary Table'!I27</f>
        <v>19.336238272987909</v>
      </c>
      <c r="AU24" s="25">
        <f>'Summary Table'!J27</f>
        <v>19.632812588792206</v>
      </c>
      <c r="AV24" s="25">
        <f>'Summary Table'!K27</f>
        <v>18.991174385790437</v>
      </c>
      <c r="AW24" s="25">
        <f>'Summary Table'!L27</f>
        <v>15.05096583845658</v>
      </c>
      <c r="AX24" s="25">
        <f>'Summary Table'!M27</f>
        <v>35.882449882897561</v>
      </c>
      <c r="AY24" s="25">
        <f>'Summary Table'!N27</f>
        <v>47.84126149792592</v>
      </c>
      <c r="AZ24" s="25">
        <f>'Summary Table'!O27</f>
        <v>41.918924234670499</v>
      </c>
      <c r="BA24" s="25">
        <f>'Summary Table'!P27</f>
        <v>46.275896176518664</v>
      </c>
      <c r="BB24" s="25">
        <f>'Summary Table'!Q27</f>
        <v>48.662481315630998</v>
      </c>
      <c r="BC24" s="25">
        <f>'Summary Table'!R27</f>
        <v>47.552669878629565</v>
      </c>
      <c r="BD24" s="25">
        <f>'Summary Table'!S27</f>
        <v>46.476346066172155</v>
      </c>
      <c r="BE24" s="25">
        <f>'Summary Table'!T27</f>
        <v>41.828251627125084</v>
      </c>
      <c r="BF24" s="25">
        <f>'Summary Table'!U27</f>
        <v>33.478967793935858</v>
      </c>
      <c r="BG24" s="25">
        <f>'Summary Table'!V27</f>
        <v>34.095301754220401</v>
      </c>
      <c r="BH24" s="25">
        <f>'Summary Table'!W27</f>
        <v>29.831092711053437</v>
      </c>
      <c r="BI24" s="25">
        <f>'Summary Table'!X27</f>
        <v>29.187061284242123</v>
      </c>
      <c r="BJ24" s="25">
        <f>'Summary Table'!Y27</f>
        <v>27.056320471856431</v>
      </c>
      <c r="BK24" s="25">
        <f>'Summary Table'!Z27</f>
        <v>21.764648413326455</v>
      </c>
      <c r="BL24" s="25">
        <f>'Summary Table'!AA27</f>
        <v>21.626600043234902</v>
      </c>
      <c r="BM24" s="25">
        <f>'Summary Table'!AB27</f>
        <v>22.186278560353131</v>
      </c>
      <c r="BN24" s="25">
        <f>'Summary Table'!AC27</f>
        <v>19.529039380245276</v>
      </c>
      <c r="BO24" s="25">
        <f>'Summary Table'!AD27</f>
        <v>21.099650390484019</v>
      </c>
      <c r="BP24" s="25">
        <f>'Summary Table'!AE27</f>
        <v>20.061671070602724</v>
      </c>
      <c r="BQ24" s="25">
        <f>'Summary Table'!AF27</f>
        <v>17.47925018767976</v>
      </c>
      <c r="BR24" s="25">
        <f>'Summary Table'!AG27</f>
        <v>17.548655495362741</v>
      </c>
      <c r="BS24" s="25">
        <f>'Summary Table'!AH27</f>
        <v>16.96048967609271</v>
      </c>
      <c r="BT24" s="25">
        <f>'Summary Table'!AI27</f>
        <v>16.958327323098519</v>
      </c>
    </row>
    <row r="25" spans="2:74">
      <c r="B25" s="5" t="s">
        <v>82</v>
      </c>
      <c r="C25" s="232">
        <f t="shared" si="0"/>
        <v>0</v>
      </c>
      <c r="D25" s="232">
        <f t="shared" si="1"/>
        <v>0</v>
      </c>
      <c r="E25" s="232">
        <f t="shared" si="2"/>
        <v>0</v>
      </c>
      <c r="F25" s="232">
        <f t="shared" si="3"/>
        <v>0</v>
      </c>
      <c r="G25" s="232">
        <f t="shared" si="4"/>
        <v>0</v>
      </c>
      <c r="H25" s="232">
        <f t="shared" si="5"/>
        <v>0</v>
      </c>
      <c r="I25" s="232">
        <f t="shared" si="6"/>
        <v>0</v>
      </c>
      <c r="J25" s="232">
        <f t="shared" si="7"/>
        <v>0</v>
      </c>
      <c r="K25" s="232">
        <f t="shared" si="8"/>
        <v>0</v>
      </c>
      <c r="L25" s="232">
        <f t="shared" si="9"/>
        <v>0</v>
      </c>
      <c r="M25" s="232">
        <f t="shared" si="10"/>
        <v>0</v>
      </c>
      <c r="N25" s="232">
        <f t="shared" si="11"/>
        <v>0</v>
      </c>
      <c r="O25" s="232">
        <f t="shared" si="12"/>
        <v>0</v>
      </c>
      <c r="P25" s="232">
        <f t="shared" si="13"/>
        <v>0</v>
      </c>
      <c r="Q25" s="232">
        <f t="shared" si="14"/>
        <v>0</v>
      </c>
      <c r="R25" s="232">
        <f t="shared" si="15"/>
        <v>0</v>
      </c>
      <c r="S25" s="232">
        <f t="shared" si="16"/>
        <v>0</v>
      </c>
      <c r="T25" s="232">
        <f t="shared" si="17"/>
        <v>0</v>
      </c>
      <c r="U25" s="232">
        <f t="shared" si="18"/>
        <v>0</v>
      </c>
      <c r="V25" s="232">
        <f t="shared" si="19"/>
        <v>0</v>
      </c>
      <c r="W25" s="232">
        <f t="shared" si="20"/>
        <v>0</v>
      </c>
      <c r="X25" s="232">
        <f t="shared" si="21"/>
        <v>0</v>
      </c>
      <c r="Y25" s="232">
        <f t="shared" si="22"/>
        <v>0</v>
      </c>
      <c r="Z25" s="232">
        <f t="shared" si="23"/>
        <v>0</v>
      </c>
      <c r="AA25" s="232">
        <f t="shared" si="24"/>
        <v>0</v>
      </c>
      <c r="AB25" s="232">
        <f t="shared" si="25"/>
        <v>0</v>
      </c>
      <c r="AC25" s="232">
        <f t="shared" si="26"/>
        <v>0</v>
      </c>
      <c r="AD25" s="232">
        <f t="shared" si="27"/>
        <v>0</v>
      </c>
      <c r="AE25" s="232">
        <f t="shared" si="28"/>
        <v>0</v>
      </c>
      <c r="AF25" s="232">
        <f t="shared" si="29"/>
        <v>0</v>
      </c>
      <c r="AG25" s="232">
        <f t="shared" si="30"/>
        <v>0</v>
      </c>
      <c r="AH25" s="232">
        <f t="shared" si="31"/>
        <v>0</v>
      </c>
      <c r="AI25" s="232">
        <f t="shared" si="32"/>
        <v>-4.5391772567092165E-3</v>
      </c>
      <c r="AM25" s="5" t="s">
        <v>82</v>
      </c>
      <c r="AN25" s="29">
        <f>'Summary Table'!C28</f>
        <v>0.53819391898531332</v>
      </c>
      <c r="AO25" s="29">
        <f>'Summary Table'!D28</f>
        <v>0.53913328761937329</v>
      </c>
      <c r="AP25" s="29">
        <f>'Summary Table'!E28</f>
        <v>0.54407238576943517</v>
      </c>
      <c r="AQ25" s="29">
        <f>'Summary Table'!F28</f>
        <v>0.55549804438478367</v>
      </c>
      <c r="AR25" s="29">
        <f>'Summary Table'!G28</f>
        <v>0.51416615280727973</v>
      </c>
      <c r="AS25" s="29">
        <f>'Summary Table'!H28</f>
        <v>0.42789739562582274</v>
      </c>
      <c r="AT25" s="29">
        <f>'Summary Table'!I28</f>
        <v>0.46247774297699551</v>
      </c>
      <c r="AU25" s="29">
        <f>'Summary Table'!J28</f>
        <v>0.48008445222437274</v>
      </c>
      <c r="AV25" s="29">
        <f>'Summary Table'!K28</f>
        <v>0.47808351702318308</v>
      </c>
      <c r="AW25" s="29">
        <f>'Summary Table'!L28</f>
        <v>0.48506929832140988</v>
      </c>
      <c r="AX25" s="29">
        <f>'Summary Table'!M28</f>
        <v>0.46106105539886988</v>
      </c>
      <c r="AY25" s="29">
        <f>'Summary Table'!N28</f>
        <v>0.44952386597193894</v>
      </c>
      <c r="AZ25" s="29">
        <f>'Summary Table'!O28</f>
        <v>0.46881399496422538</v>
      </c>
      <c r="BA25" s="29">
        <f>'Summary Table'!P28</f>
        <v>0.46668759381997493</v>
      </c>
      <c r="BB25" s="29">
        <f>'Summary Table'!Q28</f>
        <v>0.46734375342683254</v>
      </c>
      <c r="BC25" s="29">
        <f>'Summary Table'!R28</f>
        <v>0.46101770673125719</v>
      </c>
      <c r="BD25" s="29">
        <f>'Summary Table'!S28</f>
        <v>0.45493035004951315</v>
      </c>
      <c r="BE25" s="29">
        <f>'Summary Table'!T28</f>
        <v>0.45791243059931558</v>
      </c>
      <c r="BF25" s="29">
        <f>'Summary Table'!U28</f>
        <v>0.44186045906642402</v>
      </c>
      <c r="BG25" s="29">
        <f>'Summary Table'!V28</f>
        <v>0.43404580842672003</v>
      </c>
      <c r="BH25" s="29">
        <f>'Summary Table'!W28</f>
        <v>0.42666894035695202</v>
      </c>
      <c r="BI25" s="29">
        <f>'Summary Table'!X28</f>
        <v>0.436098145690272</v>
      </c>
      <c r="BJ25" s="29">
        <f>'Summary Table'!Y28</f>
        <v>0.43740649120955999</v>
      </c>
      <c r="BK25" s="29">
        <f>'Summary Table'!Z28</f>
        <v>0.43301642728912798</v>
      </c>
      <c r="BL25" s="29">
        <f>'Summary Table'!AA28</f>
        <v>0.42329941039188002</v>
      </c>
      <c r="BM25" s="29">
        <f>'Summary Table'!AB28</f>
        <v>0.41438842328750403</v>
      </c>
      <c r="BN25" s="29">
        <f>'Summary Table'!AC28</f>
        <v>0.40471025909529595</v>
      </c>
      <c r="BO25" s="29">
        <f>'Summary Table'!AD28</f>
        <v>0.410679019378689</v>
      </c>
      <c r="BP25" s="29">
        <f>'Summary Table'!AE28</f>
        <v>0.40475222088763196</v>
      </c>
      <c r="BQ25" s="29">
        <f>'Summary Table'!AF28</f>
        <v>0.37101446085844803</v>
      </c>
      <c r="BR25" s="29">
        <f>'Summary Table'!AG28</f>
        <v>0.39082596898509597</v>
      </c>
      <c r="BS25" s="29">
        <f>'Summary Table'!AH28</f>
        <v>0.37701789288105603</v>
      </c>
      <c r="BT25" s="29">
        <f>'Summary Table'!AI28</f>
        <v>0.38055713481468001</v>
      </c>
    </row>
    <row r="26" spans="2:74">
      <c r="B26" s="6" t="s">
        <v>1474</v>
      </c>
      <c r="C26" s="232">
        <f t="shared" si="0"/>
        <v>0</v>
      </c>
      <c r="D26" s="232">
        <f t="shared" si="1"/>
        <v>0</v>
      </c>
      <c r="E26" s="232">
        <f t="shared" si="2"/>
        <v>0</v>
      </c>
      <c r="F26" s="232">
        <f t="shared" si="3"/>
        <v>0</v>
      </c>
      <c r="G26" s="232">
        <f t="shared" si="4"/>
        <v>0</v>
      </c>
      <c r="H26" s="232">
        <f t="shared" si="5"/>
        <v>0</v>
      </c>
      <c r="I26" s="232">
        <f t="shared" si="6"/>
        <v>0</v>
      </c>
      <c r="J26" s="232">
        <f t="shared" si="7"/>
        <v>0</v>
      </c>
      <c r="K26" s="232">
        <f t="shared" si="8"/>
        <v>0</v>
      </c>
      <c r="L26" s="232">
        <f t="shared" si="9"/>
        <v>0</v>
      </c>
      <c r="M26" s="232">
        <f t="shared" si="10"/>
        <v>0</v>
      </c>
      <c r="N26" s="232">
        <f t="shared" si="11"/>
        <v>0</v>
      </c>
      <c r="O26" s="232">
        <f t="shared" si="12"/>
        <v>0</v>
      </c>
      <c r="P26" s="232">
        <f t="shared" si="13"/>
        <v>0</v>
      </c>
      <c r="Q26" s="232">
        <f t="shared" si="14"/>
        <v>0</v>
      </c>
      <c r="R26" s="232">
        <f t="shared" si="15"/>
        <v>0</v>
      </c>
      <c r="S26" s="232">
        <f t="shared" si="16"/>
        <v>0</v>
      </c>
      <c r="T26" s="232">
        <f t="shared" si="17"/>
        <v>0</v>
      </c>
      <c r="U26" s="232">
        <f t="shared" si="18"/>
        <v>0</v>
      </c>
      <c r="V26" s="232">
        <f t="shared" si="19"/>
        <v>0</v>
      </c>
      <c r="W26" s="232">
        <f t="shared" si="20"/>
        <v>0</v>
      </c>
      <c r="X26" s="232">
        <f t="shared" si="21"/>
        <v>0</v>
      </c>
      <c r="Y26" s="232">
        <f t="shared" si="22"/>
        <v>0</v>
      </c>
      <c r="Z26" s="232">
        <f t="shared" si="23"/>
        <v>0</v>
      </c>
      <c r="AA26" s="232">
        <f t="shared" si="24"/>
        <v>0</v>
      </c>
      <c r="AB26" s="232">
        <f t="shared" si="25"/>
        <v>0</v>
      </c>
      <c r="AC26" s="232">
        <f t="shared" si="26"/>
        <v>0</v>
      </c>
      <c r="AD26" s="232">
        <f t="shared" si="27"/>
        <v>0</v>
      </c>
      <c r="AE26" s="232">
        <f t="shared" si="28"/>
        <v>0</v>
      </c>
      <c r="AF26" s="232">
        <f t="shared" si="29"/>
        <v>0</v>
      </c>
      <c r="AG26" s="232">
        <f t="shared" si="30"/>
        <v>0</v>
      </c>
      <c r="AH26" s="232">
        <f t="shared" si="31"/>
        <v>0</v>
      </c>
      <c r="AI26" s="232">
        <f t="shared" si="32"/>
        <v>-4.5391772567092165E-3</v>
      </c>
      <c r="AM26" s="6" t="s">
        <v>1474</v>
      </c>
      <c r="AN26" s="25">
        <f>'Summary Table'!C29</f>
        <v>0.53819391898531332</v>
      </c>
      <c r="AO26" s="25">
        <f>'Summary Table'!D29</f>
        <v>0.53913328761937329</v>
      </c>
      <c r="AP26" s="25">
        <f>'Summary Table'!E29</f>
        <v>0.54407238576943517</v>
      </c>
      <c r="AQ26" s="25">
        <f>'Summary Table'!F29</f>
        <v>0.55549804438478367</v>
      </c>
      <c r="AR26" s="25">
        <f>'Summary Table'!G29</f>
        <v>0.51416615280727973</v>
      </c>
      <c r="AS26" s="25">
        <f>'Summary Table'!H29</f>
        <v>0.42789739562582274</v>
      </c>
      <c r="AT26" s="25">
        <f>'Summary Table'!I29</f>
        <v>0.46247774297699551</v>
      </c>
      <c r="AU26" s="25">
        <f>'Summary Table'!J29</f>
        <v>0.48008445222437274</v>
      </c>
      <c r="AV26" s="25">
        <f>'Summary Table'!K29</f>
        <v>0.47808351702318308</v>
      </c>
      <c r="AW26" s="25">
        <f>'Summary Table'!L29</f>
        <v>0.48506929832140988</v>
      </c>
      <c r="AX26" s="25">
        <f>'Summary Table'!M29</f>
        <v>0.46106105539886988</v>
      </c>
      <c r="AY26" s="25">
        <f>'Summary Table'!N29</f>
        <v>0.44952386597193894</v>
      </c>
      <c r="AZ26" s="25">
        <f>'Summary Table'!O29</f>
        <v>0.46881399496422538</v>
      </c>
      <c r="BA26" s="25">
        <f>'Summary Table'!P29</f>
        <v>0.46668759381997493</v>
      </c>
      <c r="BB26" s="25">
        <f>'Summary Table'!Q29</f>
        <v>0.46734375342683254</v>
      </c>
      <c r="BC26" s="25">
        <f>'Summary Table'!R29</f>
        <v>0.46101770673125719</v>
      </c>
      <c r="BD26" s="25">
        <f>'Summary Table'!S29</f>
        <v>0.45493035004951315</v>
      </c>
      <c r="BE26" s="25">
        <f>'Summary Table'!T29</f>
        <v>0.45791243059931558</v>
      </c>
      <c r="BF26" s="25">
        <f>'Summary Table'!U29</f>
        <v>0.44186045906642402</v>
      </c>
      <c r="BG26" s="25">
        <f>'Summary Table'!V29</f>
        <v>0.43404580842672003</v>
      </c>
      <c r="BH26" s="25">
        <f>'Summary Table'!W29</f>
        <v>0.42666894035695202</v>
      </c>
      <c r="BI26" s="25">
        <f>'Summary Table'!X29</f>
        <v>0.436098145690272</v>
      </c>
      <c r="BJ26" s="25">
        <f>'Summary Table'!Y29</f>
        <v>0.43740649120955999</v>
      </c>
      <c r="BK26" s="25">
        <f>'Summary Table'!Z29</f>
        <v>0.43301642728912798</v>
      </c>
      <c r="BL26" s="25">
        <f>'Summary Table'!AA29</f>
        <v>0.42329941039188002</v>
      </c>
      <c r="BM26" s="25">
        <f>'Summary Table'!AB29</f>
        <v>0.41438842328750403</v>
      </c>
      <c r="BN26" s="25">
        <f>'Summary Table'!AC29</f>
        <v>0.40471025909529595</v>
      </c>
      <c r="BO26" s="25">
        <f>'Summary Table'!AD29</f>
        <v>0.410679019378689</v>
      </c>
      <c r="BP26" s="25">
        <f>'Summary Table'!AE29</f>
        <v>0.40475222088763196</v>
      </c>
      <c r="BQ26" s="25">
        <f>'Summary Table'!AF29</f>
        <v>0.37101446085844803</v>
      </c>
      <c r="BR26" s="25">
        <f>'Summary Table'!AG29</f>
        <v>0.39082596898509597</v>
      </c>
      <c r="BS26" s="25">
        <f>'Summary Table'!AH29</f>
        <v>0.37701789288105603</v>
      </c>
      <c r="BT26" s="25">
        <f>'Summary Table'!AI29</f>
        <v>0.38055713481468001</v>
      </c>
    </row>
    <row r="27" spans="2:74">
      <c r="B27" s="4" t="s">
        <v>1480</v>
      </c>
      <c r="C27" s="237">
        <f t="shared" ref="C27:AI27" si="34">IFERROR((AN27-C54)/C54, "NA")</f>
        <v>2.2053557189398872E-3</v>
      </c>
      <c r="D27" s="237">
        <f t="shared" si="34"/>
        <v>2.8879532010011588E-3</v>
      </c>
      <c r="E27" s="237">
        <f t="shared" si="34"/>
        <v>9.6561206524912525E-4</v>
      </c>
      <c r="F27" s="237">
        <f t="shared" si="34"/>
        <v>1.4326291219965365E-3</v>
      </c>
      <c r="G27" s="237">
        <f t="shared" si="34"/>
        <v>-4.1406558021061504E-4</v>
      </c>
      <c r="H27" s="237">
        <f t="shared" si="34"/>
        <v>2.1555974445031808E-4</v>
      </c>
      <c r="I27" s="237">
        <f t="shared" si="34"/>
        <v>-2.9629235796814059E-3</v>
      </c>
      <c r="J27" s="237">
        <f t="shared" si="34"/>
        <v>-2.7388142980449845E-3</v>
      </c>
      <c r="K27" s="237">
        <f t="shared" si="34"/>
        <v>6.6349836589209038E-4</v>
      </c>
      <c r="L27" s="237">
        <f t="shared" si="34"/>
        <v>-5.9788987306306596E-4</v>
      </c>
      <c r="M27" s="237">
        <f t="shared" si="34"/>
        <v>1.1917017227512238E-3</v>
      </c>
      <c r="N27" s="237">
        <f t="shared" si="34"/>
        <v>-2.1979318060872596E-3</v>
      </c>
      <c r="O27" s="237">
        <f t="shared" si="34"/>
        <v>-9.1549692642262841E-4</v>
      </c>
      <c r="P27" s="237">
        <f t="shared" si="34"/>
        <v>-1.9873512285603179E-3</v>
      </c>
      <c r="Q27" s="237">
        <f t="shared" si="34"/>
        <v>-1.6723159350978257E-3</v>
      </c>
      <c r="R27" s="237">
        <f t="shared" si="34"/>
        <v>-2.4773120836416892E-3</v>
      </c>
      <c r="S27" s="237">
        <f t="shared" si="34"/>
        <v>-3.0213038656028853E-3</v>
      </c>
      <c r="T27" s="237">
        <f t="shared" si="34"/>
        <v>-3.5180472324986981E-3</v>
      </c>
      <c r="U27" s="237">
        <f t="shared" si="34"/>
        <v>-1.6478504415748797E-3</v>
      </c>
      <c r="V27" s="237">
        <f t="shared" si="34"/>
        <v>-8.7224564318452876E-4</v>
      </c>
      <c r="W27" s="237">
        <f t="shared" si="34"/>
        <v>-2.5204705701839048E-3</v>
      </c>
      <c r="X27" s="237">
        <f t="shared" si="34"/>
        <v>-1.3647950235995828E-3</v>
      </c>
      <c r="Y27" s="237">
        <f t="shared" si="34"/>
        <v>-1.8839010974990066E-3</v>
      </c>
      <c r="Z27" s="237">
        <f t="shared" si="34"/>
        <v>-1.3503853837375087E-3</v>
      </c>
      <c r="AA27" s="237">
        <f t="shared" si="34"/>
        <v>1.6947121850642316E-4</v>
      </c>
      <c r="AB27" s="237">
        <f t="shared" si="34"/>
        <v>-1.6544791034896289E-3</v>
      </c>
      <c r="AC27" s="237">
        <f t="shared" si="34"/>
        <v>-1.2882450988627209E-3</v>
      </c>
      <c r="AD27" s="237">
        <f t="shared" si="34"/>
        <v>-3.0402696080107775E-3</v>
      </c>
      <c r="AE27" s="237">
        <f t="shared" si="34"/>
        <v>-2.8732951387610041E-3</v>
      </c>
      <c r="AF27" s="237">
        <f t="shared" si="34"/>
        <v>-5.3630604287922485E-3</v>
      </c>
      <c r="AG27" s="237">
        <f t="shared" si="34"/>
        <v>-6.2838887921698363E-3</v>
      </c>
      <c r="AH27" s="237">
        <f t="shared" si="34"/>
        <v>-1.6990980480779639E-3</v>
      </c>
      <c r="AI27" s="237">
        <f t="shared" si="34"/>
        <v>-3.9405619864577345E-3</v>
      </c>
      <c r="AJ27" s="496">
        <f>AVERAGE(C27:AH27)</f>
        <v>-1.3941767383771314E-3</v>
      </c>
      <c r="AK27" s="496"/>
      <c r="AM27" s="4" t="s">
        <v>1480</v>
      </c>
      <c r="AN27" s="30">
        <f>'Summary Table'!C30</f>
        <v>4746.9107611763911</v>
      </c>
      <c r="AO27" s="30">
        <f>'Summary Table'!D30</f>
        <v>4700.2568670290275</v>
      </c>
      <c r="AP27" s="30">
        <f>'Summary Table'!E30</f>
        <v>4792.896191445001</v>
      </c>
      <c r="AQ27" s="30">
        <f>'Summary Table'!F30</f>
        <v>4909.1099279193959</v>
      </c>
      <c r="AR27" s="30">
        <f>'Summary Table'!G30</f>
        <v>4971.4921183987371</v>
      </c>
      <c r="AS27" s="30">
        <f>'Summary Table'!H30</f>
        <v>5030.9902119425951</v>
      </c>
      <c r="AT27" s="30">
        <f>'Summary Table'!I30</f>
        <v>5205.8721982212046</v>
      </c>
      <c r="AU27" s="30">
        <f>'Summary Table'!J30</f>
        <v>5266.2520827818253</v>
      </c>
      <c r="AV27" s="30">
        <f>'Summary Table'!K30</f>
        <v>5329.302392675474</v>
      </c>
      <c r="AW27" s="30">
        <f>'Summary Table'!L30</f>
        <v>5374.1646861342406</v>
      </c>
      <c r="AX27" s="30">
        <f>'Summary Table'!M30</f>
        <v>5620.5710399981317</v>
      </c>
      <c r="AY27" s="30">
        <f>'Summary Table'!N30</f>
        <v>5524.0653658701167</v>
      </c>
      <c r="AZ27" s="30">
        <f>'Summary Table'!O30</f>
        <v>5565.1845602944486</v>
      </c>
      <c r="BA27" s="30">
        <f>'Summary Table'!P30</f>
        <v>5634.4136153853842</v>
      </c>
      <c r="BB27" s="30">
        <f>'Summary Table'!Q30</f>
        <v>5713.4982557715184</v>
      </c>
      <c r="BC27" s="30">
        <f>'Summary Table'!R30</f>
        <v>5739.5565585087497</v>
      </c>
      <c r="BD27" s="30">
        <f>'Summary Table'!S30</f>
        <v>5650.9400650318275</v>
      </c>
      <c r="BE27" s="30">
        <f>'Summary Table'!T30</f>
        <v>5734.8641814831999</v>
      </c>
      <c r="BF27" s="30">
        <f>'Summary Table'!U30</f>
        <v>5547.8591342867257</v>
      </c>
      <c r="BG27" s="30">
        <f>'Summary Table'!V30</f>
        <v>5179.5118746219405</v>
      </c>
      <c r="BH27" s="30">
        <f>'Summary Table'!W30</f>
        <v>5336.5715852980038</v>
      </c>
      <c r="BI27" s="30">
        <f>'Summary Table'!X30</f>
        <v>5204.5445538446747</v>
      </c>
      <c r="BJ27" s="30">
        <f>'Summary Table'!Y30</f>
        <v>4997.8460700475689</v>
      </c>
      <c r="BK27" s="30">
        <f>'Summary Table'!Z30</f>
        <v>5119.1697937386962</v>
      </c>
      <c r="BL27" s="30">
        <f>'Summary Table'!AA30</f>
        <v>5169.1260393761713</v>
      </c>
      <c r="BM27" s="30">
        <f>'Summary Table'!AB30</f>
        <v>5004.3330938460931</v>
      </c>
      <c r="BN27" s="30">
        <f>'Summary Table'!AC30</f>
        <v>4907.3297734535845</v>
      </c>
      <c r="BO27" s="30">
        <f>'Summary Table'!AD30</f>
        <v>4843.4900631032624</v>
      </c>
      <c r="BP27" s="30">
        <f>'Summary Table'!AE30</f>
        <v>4982.9401553416565</v>
      </c>
      <c r="BQ27" s="30">
        <f>'Summary Table'!AF30</f>
        <v>4840.9487120861313</v>
      </c>
      <c r="BR27" s="30">
        <f>'Summary Table'!AG30</f>
        <v>4329.2412005285369</v>
      </c>
      <c r="BS27" s="30">
        <f>'Summary Table'!AH30</f>
        <v>4642.6449391491133</v>
      </c>
      <c r="BT27" s="30">
        <f>'Summary Table'!AI30</f>
        <v>4689.8828048593923</v>
      </c>
      <c r="BU27" s="5" t="s">
        <v>1515</v>
      </c>
    </row>
    <row r="28" spans="2:74">
      <c r="AN28" s="228">
        <f t="shared" ref="AN28:BT28" si="35">AN27-C54</f>
        <v>10.445590551596979</v>
      </c>
      <c r="AO28" s="228">
        <f t="shared" si="35"/>
        <v>13.535033321856645</v>
      </c>
      <c r="AP28" s="228">
        <f t="shared" si="35"/>
        <v>4.6236137727019013</v>
      </c>
      <c r="AQ28" s="228">
        <f t="shared" si="35"/>
        <v>7.0228726739069316</v>
      </c>
      <c r="AR28" s="228">
        <f t="shared" si="35"/>
        <v>-2.0593764854365872</v>
      </c>
      <c r="AS28" s="228">
        <f t="shared" si="35"/>
        <v>1.0842452447905089</v>
      </c>
      <c r="AT28" s="228">
        <f t="shared" si="35"/>
        <v>-15.470439218064712</v>
      </c>
      <c r="AU28" s="228">
        <f t="shared" si="35"/>
        <v>-14.462897692423212</v>
      </c>
      <c r="AV28" s="228">
        <f t="shared" si="35"/>
        <v>3.5336388652722235</v>
      </c>
      <c r="AW28" s="228">
        <f t="shared" si="35"/>
        <v>-3.2150809063277848</v>
      </c>
      <c r="AX28" s="228">
        <f t="shared" si="35"/>
        <v>6.6900716213349369</v>
      </c>
      <c r="AY28" s="228">
        <f t="shared" si="35"/>
        <v>-12.168263980979646</v>
      </c>
      <c r="AZ28" s="228">
        <f t="shared" si="35"/>
        <v>-5.0995780079165343</v>
      </c>
      <c r="BA28" s="228">
        <f t="shared" si="35"/>
        <v>-11.219856616584366</v>
      </c>
      <c r="BB28" s="228">
        <f t="shared" si="35"/>
        <v>-9.5707795454254665</v>
      </c>
      <c r="BC28" s="228">
        <f t="shared" si="35"/>
        <v>-14.253984384895375</v>
      </c>
      <c r="BD28" s="228">
        <f t="shared" si="35"/>
        <v>-17.124946730526062</v>
      </c>
      <c r="BE28" s="228">
        <f t="shared" si="35"/>
        <v>-20.246752092589304</v>
      </c>
      <c r="BF28" s="228">
        <f t="shared" si="35"/>
        <v>-9.1571317077577987</v>
      </c>
      <c r="BG28" s="228">
        <f t="shared" si="35"/>
        <v>-4.5217507438474058</v>
      </c>
      <c r="BH28" s="228">
        <f t="shared" si="35"/>
        <v>-13.484659313371594</v>
      </c>
      <c r="BI28" s="228">
        <f t="shared" si="35"/>
        <v>-7.1128440813954512</v>
      </c>
      <c r="BJ28" s="228">
        <f t="shared" si="35"/>
        <v>-9.4332189480228408</v>
      </c>
      <c r="BK28" s="228">
        <f t="shared" si="35"/>
        <v>-6.9221997036383982</v>
      </c>
      <c r="BL28" s="228">
        <f t="shared" si="35"/>
        <v>0.87586965380887705</v>
      </c>
      <c r="BM28" s="228">
        <f t="shared" si="35"/>
        <v>-8.2932855983917761</v>
      </c>
      <c r="BN28" s="228">
        <f t="shared" si="35"/>
        <v>-6.3299981182062766</v>
      </c>
      <c r="BO28" s="228">
        <f t="shared" si="35"/>
        <v>-14.770421699746294</v>
      </c>
      <c r="BP28" s="228">
        <f t="shared" si="35"/>
        <v>-14.358714549794968</v>
      </c>
      <c r="BQ28" s="228">
        <f t="shared" si="35"/>
        <v>-26.102288626837435</v>
      </c>
      <c r="BR28" s="228">
        <f t="shared" si="35"/>
        <v>-27.376501147329691</v>
      </c>
      <c r="BS28" s="228">
        <f t="shared" si="35"/>
        <v>-7.9017347761619021</v>
      </c>
      <c r="BT28" s="228">
        <f t="shared" si="35"/>
        <v>-18.553886642173893</v>
      </c>
      <c r="BU28" s="149"/>
    </row>
    <row r="29" spans="2:74">
      <c r="B29" s="646" t="s">
        <v>1516</v>
      </c>
    </row>
    <row r="30" spans="2:74">
      <c r="B30" s="4" t="s">
        <v>1469</v>
      </c>
      <c r="C30" s="23">
        <v>1990</v>
      </c>
      <c r="D30" s="23">
        <v>1991</v>
      </c>
      <c r="E30" s="23">
        <v>1992</v>
      </c>
      <c r="F30" s="23">
        <v>1993</v>
      </c>
      <c r="G30" s="23">
        <v>1994</v>
      </c>
      <c r="H30" s="23">
        <v>1995</v>
      </c>
      <c r="I30" s="23">
        <v>1996</v>
      </c>
      <c r="J30" s="23">
        <v>1997</v>
      </c>
      <c r="K30" s="23">
        <v>1998</v>
      </c>
      <c r="L30" s="23">
        <v>1999</v>
      </c>
      <c r="M30" s="23">
        <v>2000</v>
      </c>
      <c r="N30" s="23">
        <v>2001</v>
      </c>
      <c r="O30" s="23">
        <v>2002</v>
      </c>
      <c r="P30" s="23">
        <v>2003</v>
      </c>
      <c r="Q30" s="23">
        <v>2004</v>
      </c>
      <c r="R30" s="23">
        <v>2005</v>
      </c>
      <c r="S30" s="23">
        <v>2006</v>
      </c>
      <c r="T30" s="23">
        <v>2007</v>
      </c>
      <c r="U30" s="23">
        <v>2008</v>
      </c>
      <c r="V30" s="23">
        <v>2009</v>
      </c>
      <c r="W30" s="23">
        <v>2010</v>
      </c>
      <c r="X30" s="23">
        <v>2011</v>
      </c>
      <c r="Y30" s="23">
        <v>2012</v>
      </c>
      <c r="Z30" s="23">
        <v>2013</v>
      </c>
      <c r="AA30" s="23">
        <v>2014</v>
      </c>
      <c r="AB30" s="23">
        <v>2015</v>
      </c>
      <c r="AC30" s="23">
        <v>2016</v>
      </c>
      <c r="AD30" s="23">
        <v>2017</v>
      </c>
      <c r="AE30" s="23">
        <v>2018</v>
      </c>
      <c r="AF30" s="23">
        <v>2019</v>
      </c>
      <c r="AG30" s="23">
        <v>2020</v>
      </c>
      <c r="AH30" s="23">
        <v>2021</v>
      </c>
      <c r="AI30" s="23">
        <v>2022</v>
      </c>
    </row>
    <row r="31" spans="2:74">
      <c r="B31" s="5" t="s">
        <v>1435</v>
      </c>
      <c r="C31" s="676">
        <v>1719.7936162095687</v>
      </c>
      <c r="D31" s="676">
        <v>1715.8441293583292</v>
      </c>
      <c r="E31" s="676">
        <v>1732.9669857976501</v>
      </c>
      <c r="F31" s="676">
        <v>1798.3049940323895</v>
      </c>
      <c r="G31" s="676">
        <v>1805.0408254994447</v>
      </c>
      <c r="H31" s="676">
        <v>1820.3692840658719</v>
      </c>
      <c r="I31" s="676">
        <v>1905.2502159724108</v>
      </c>
      <c r="J31" s="676">
        <v>1950.5146611747784</v>
      </c>
      <c r="K31" s="676">
        <v>1979.3916615339049</v>
      </c>
      <c r="L31" s="676">
        <v>1979.4021109419455</v>
      </c>
      <c r="M31" s="676">
        <v>2065.1733097733759</v>
      </c>
      <c r="N31" s="676">
        <v>2009.9897555247185</v>
      </c>
      <c r="O31" s="676">
        <v>2019.6988931581416</v>
      </c>
      <c r="P31" s="676">
        <v>2061.0557963431602</v>
      </c>
      <c r="Q31" s="676">
        <v>2076.258989959154</v>
      </c>
      <c r="R31" s="676">
        <v>2113.6970509859866</v>
      </c>
      <c r="S31" s="676">
        <v>2078.5288197689729</v>
      </c>
      <c r="T31" s="676">
        <v>2107.8260677173998</v>
      </c>
      <c r="U31" s="676">
        <v>2075.5128749315104</v>
      </c>
      <c r="V31" s="676">
        <v>1837.5539840632741</v>
      </c>
      <c r="W31" s="676">
        <v>1931.1865184703258</v>
      </c>
      <c r="X31" s="676">
        <v>1817.608310411737</v>
      </c>
      <c r="Y31" s="676">
        <v>1597.3443211496458</v>
      </c>
      <c r="Z31" s="676">
        <v>1658.0109741827303</v>
      </c>
      <c r="AA31" s="676">
        <v>1655.0620683956249</v>
      </c>
      <c r="AB31" s="676">
        <v>1427.6381707821204</v>
      </c>
      <c r="AC31" s="676">
        <v>1310.7066537255466</v>
      </c>
      <c r="AD31" s="676">
        <v>1270.0204107320772</v>
      </c>
      <c r="AE31" s="676">
        <v>1211.6464814910373</v>
      </c>
      <c r="AF31" s="676">
        <v>1028.163657658803</v>
      </c>
      <c r="AG31" s="676">
        <v>835.60549285381148</v>
      </c>
      <c r="AH31" s="676">
        <v>957.41584584632039</v>
      </c>
      <c r="AI31" s="676">
        <v>894.37882594748305</v>
      </c>
    </row>
    <row r="32" spans="2:74">
      <c r="B32" s="6" t="s">
        <v>1434</v>
      </c>
      <c r="C32" s="677">
        <v>2.9876952520607118</v>
      </c>
      <c r="D32" s="677">
        <v>2.4418665673276769</v>
      </c>
      <c r="E32" s="677">
        <v>2.4754382193886699</v>
      </c>
      <c r="F32" s="677">
        <v>2.4697527866952389</v>
      </c>
      <c r="G32" s="677">
        <v>1.9941820840028137</v>
      </c>
      <c r="H32" s="677">
        <v>1.6716718149582452</v>
      </c>
      <c r="I32" s="677">
        <v>1.5825801930815993</v>
      </c>
      <c r="J32" s="677">
        <v>1.5181715699565763</v>
      </c>
      <c r="K32" s="677">
        <v>1.1032453604176209</v>
      </c>
      <c r="L32" s="677">
        <v>1.3314380787302316</v>
      </c>
      <c r="M32" s="677">
        <v>1.0827568764835389</v>
      </c>
      <c r="N32" s="677">
        <v>1.1408450183687231</v>
      </c>
      <c r="O32" s="677">
        <v>1.1660507086849294</v>
      </c>
      <c r="P32" s="677">
        <v>1.1687672828281666</v>
      </c>
      <c r="Q32" s="677">
        <v>1.0852533688090795</v>
      </c>
      <c r="R32" s="677">
        <v>0.80525533457459764</v>
      </c>
      <c r="S32" s="677">
        <v>0.61705166323197502</v>
      </c>
      <c r="T32" s="677">
        <v>0.73943487324772961</v>
      </c>
      <c r="U32" s="677">
        <v>0</v>
      </c>
      <c r="V32" s="677">
        <v>0</v>
      </c>
      <c r="W32" s="677">
        <v>0</v>
      </c>
      <c r="X32" s="677">
        <v>0</v>
      </c>
      <c r="Y32" s="677">
        <v>0</v>
      </c>
      <c r="Z32" s="677">
        <v>0</v>
      </c>
      <c r="AA32" s="677">
        <v>0</v>
      </c>
      <c r="AB32" s="677">
        <v>0</v>
      </c>
      <c r="AC32" s="677">
        <v>0</v>
      </c>
      <c r="AD32" s="677">
        <v>0</v>
      </c>
      <c r="AE32" s="677">
        <v>0</v>
      </c>
      <c r="AF32" s="677">
        <v>0</v>
      </c>
      <c r="AG32" s="677">
        <v>0</v>
      </c>
      <c r="AH32" s="677">
        <v>0</v>
      </c>
      <c r="AI32" s="677">
        <v>0</v>
      </c>
      <c r="BV32" s="1" t="s">
        <v>107</v>
      </c>
    </row>
    <row r="33" spans="2:35">
      <c r="B33" s="6" t="s">
        <v>1441</v>
      </c>
      <c r="C33" s="677">
        <v>11.950781008242847</v>
      </c>
      <c r="D33" s="677">
        <v>11.123951798824036</v>
      </c>
      <c r="E33" s="677">
        <v>11.2767921073171</v>
      </c>
      <c r="F33" s="677">
        <v>11.251191944732801</v>
      </c>
      <c r="G33" s="677">
        <v>11.300110030238828</v>
      </c>
      <c r="H33" s="677">
        <v>11.187393726740217</v>
      </c>
      <c r="I33" s="677">
        <v>11.605301798192992</v>
      </c>
      <c r="J33" s="677">
        <v>12.283500350691053</v>
      </c>
      <c r="K33" s="677">
        <v>8.9264663574628376</v>
      </c>
      <c r="L33" s="677">
        <v>9.7635618041440733</v>
      </c>
      <c r="M33" s="677">
        <v>8.7603401271750982</v>
      </c>
      <c r="N33" s="677">
        <v>9.2306379407867158</v>
      </c>
      <c r="O33" s="677">
        <v>8.5511654681646281</v>
      </c>
      <c r="P33" s="677">
        <v>7.8219705072625967</v>
      </c>
      <c r="Q33" s="677">
        <v>9.7670904901110305</v>
      </c>
      <c r="R33" s="677">
        <v>9.2601022167636504</v>
      </c>
      <c r="S33" s="677">
        <v>6.2387890463696039</v>
      </c>
      <c r="T33" s="677">
        <v>6.6546288033802021</v>
      </c>
      <c r="U33" s="677">
        <v>7.6116885807047296</v>
      </c>
      <c r="V33" s="677">
        <v>6.9212944879527454</v>
      </c>
      <c r="W33" s="677">
        <v>6.5764502150490669</v>
      </c>
      <c r="X33" s="677">
        <v>5.8411054745380699</v>
      </c>
      <c r="Y33" s="677">
        <v>4.1332779377363469</v>
      </c>
      <c r="Z33" s="677">
        <v>3.9349591086762437</v>
      </c>
      <c r="AA33" s="677">
        <v>3.815747352827314</v>
      </c>
      <c r="AB33" s="677">
        <v>2.9645721255676034</v>
      </c>
      <c r="AC33" s="677">
        <v>2.2649918397973812</v>
      </c>
      <c r="AD33" s="677">
        <v>1.9759169500269727</v>
      </c>
      <c r="AE33" s="677">
        <v>1.7911940979329957</v>
      </c>
      <c r="AF33" s="677">
        <v>1.6000991942164422</v>
      </c>
      <c r="AG33" s="677">
        <v>1.3945916740834434</v>
      </c>
      <c r="AH33" s="677">
        <v>1.4304169328982714</v>
      </c>
      <c r="AI33" s="677">
        <v>1.3868762498586593</v>
      </c>
    </row>
    <row r="34" spans="2:35">
      <c r="B34" s="6" t="s">
        <v>1443</v>
      </c>
      <c r="C34" s="677">
        <v>157.84209046787106</v>
      </c>
      <c r="D34" s="677">
        <v>154.64085529828895</v>
      </c>
      <c r="E34" s="677">
        <v>150.27786714941479</v>
      </c>
      <c r="F34" s="677">
        <v>152.55057458291006</v>
      </c>
      <c r="G34" s="677">
        <v>153.47109584651562</v>
      </c>
      <c r="H34" s="677">
        <v>147.21878209469244</v>
      </c>
      <c r="I34" s="677">
        <v>140.09708355714514</v>
      </c>
      <c r="J34" s="677">
        <v>140.24499718866394</v>
      </c>
      <c r="K34" s="677">
        <v>141.76016153393269</v>
      </c>
      <c r="L34" s="677">
        <v>132.48454762806003</v>
      </c>
      <c r="M34" s="677">
        <v>128.49007466679879</v>
      </c>
      <c r="N34" s="677">
        <v>130.18692998180313</v>
      </c>
      <c r="O34" s="677">
        <v>119.06363823530097</v>
      </c>
      <c r="P34" s="677">
        <v>119.44450376528793</v>
      </c>
      <c r="Q34" s="677">
        <v>120.44114289203144</v>
      </c>
      <c r="R34" s="677">
        <v>117.84664333877727</v>
      </c>
      <c r="S34" s="677">
        <v>115.58457012511121</v>
      </c>
      <c r="T34" s="677">
        <v>110.7798478042864</v>
      </c>
      <c r="U34" s="677">
        <v>106.08016306944283</v>
      </c>
      <c r="V34" s="677">
        <v>87.070439168754788</v>
      </c>
      <c r="W34" s="677">
        <v>94.169115601895328</v>
      </c>
      <c r="X34" s="677">
        <v>85.95905272948481</v>
      </c>
      <c r="Y34" s="677">
        <v>78.23009117399819</v>
      </c>
      <c r="Z34" s="677">
        <v>79.549338377717078</v>
      </c>
      <c r="AA34" s="677">
        <v>79.247794143577707</v>
      </c>
      <c r="AB34" s="677">
        <v>69.975110409354656</v>
      </c>
      <c r="AC34" s="677">
        <v>63.154312260945538</v>
      </c>
      <c r="AD34" s="677">
        <v>58.677271639088119</v>
      </c>
      <c r="AE34" s="677">
        <v>54.42208548664717</v>
      </c>
      <c r="AF34" s="677">
        <v>49.463302568703426</v>
      </c>
      <c r="AG34" s="677">
        <v>42.968685714509697</v>
      </c>
      <c r="AH34" s="677">
        <v>43.032401736051334</v>
      </c>
      <c r="AI34" s="677">
        <v>42.651756467651118</v>
      </c>
    </row>
    <row r="35" spans="2:35">
      <c r="B35" s="6" t="s">
        <v>1445</v>
      </c>
      <c r="C35" s="677" t="s">
        <v>108</v>
      </c>
      <c r="D35" s="677" t="s">
        <v>108</v>
      </c>
      <c r="E35" s="677" t="s">
        <v>108</v>
      </c>
      <c r="F35" s="677" t="s">
        <v>108</v>
      </c>
      <c r="G35" s="677" t="s">
        <v>108</v>
      </c>
      <c r="H35" s="677" t="s">
        <v>108</v>
      </c>
      <c r="I35" s="677" t="s">
        <v>108</v>
      </c>
      <c r="J35" s="677" t="s">
        <v>108</v>
      </c>
      <c r="K35" s="677" t="s">
        <v>108</v>
      </c>
      <c r="L35" s="677" t="s">
        <v>108</v>
      </c>
      <c r="M35" s="677" t="s">
        <v>108</v>
      </c>
      <c r="N35" s="677" t="s">
        <v>108</v>
      </c>
      <c r="O35" s="677" t="s">
        <v>108</v>
      </c>
      <c r="P35" s="677" t="s">
        <v>108</v>
      </c>
      <c r="Q35" s="677" t="s">
        <v>108</v>
      </c>
      <c r="R35" s="677" t="s">
        <v>108</v>
      </c>
      <c r="S35" s="677" t="s">
        <v>108</v>
      </c>
      <c r="T35" s="677" t="s">
        <v>108</v>
      </c>
      <c r="U35" s="677" t="s">
        <v>108</v>
      </c>
      <c r="V35" s="677" t="s">
        <v>108</v>
      </c>
      <c r="W35" s="677" t="s">
        <v>108</v>
      </c>
      <c r="X35" s="677" t="s">
        <v>108</v>
      </c>
      <c r="Y35" s="677" t="s">
        <v>108</v>
      </c>
      <c r="Z35" s="677" t="s">
        <v>108</v>
      </c>
      <c r="AA35" s="677" t="s">
        <v>108</v>
      </c>
      <c r="AB35" s="677" t="s">
        <v>108</v>
      </c>
      <c r="AC35" s="677" t="s">
        <v>108</v>
      </c>
      <c r="AD35" s="677" t="s">
        <v>108</v>
      </c>
      <c r="AE35" s="677" t="s">
        <v>108</v>
      </c>
      <c r="AF35" s="677" t="s">
        <v>108</v>
      </c>
      <c r="AG35" s="677" t="s">
        <v>108</v>
      </c>
      <c r="AH35" s="677" t="s">
        <v>108</v>
      </c>
      <c r="AI35" s="677" t="s">
        <v>108</v>
      </c>
    </row>
    <row r="36" spans="2:35">
      <c r="B36" s="6" t="s">
        <v>1474</v>
      </c>
      <c r="C36" s="677">
        <v>1546.5138658365147</v>
      </c>
      <c r="D36" s="677">
        <v>1547.1744736994474</v>
      </c>
      <c r="E36" s="677">
        <v>1568.5414841172681</v>
      </c>
      <c r="F36" s="677">
        <v>1631.6188101341861</v>
      </c>
      <c r="G36" s="677">
        <v>1637.8528422171717</v>
      </c>
      <c r="H36" s="677">
        <v>1659.8609103723704</v>
      </c>
      <c r="I36" s="677">
        <v>1751.5233947269828</v>
      </c>
      <c r="J36" s="677">
        <v>1796.0188853915236</v>
      </c>
      <c r="K36" s="677">
        <v>1827.1476965735826</v>
      </c>
      <c r="L36" s="677">
        <v>1835.4022340292524</v>
      </c>
      <c r="M36" s="677">
        <v>1926.3651342158976</v>
      </c>
      <c r="N36" s="677">
        <v>1868.8345135593859</v>
      </c>
      <c r="O36" s="677">
        <v>1888.8946691071951</v>
      </c>
      <c r="P36" s="677">
        <v>1929.9566599629634</v>
      </c>
      <c r="Q36" s="677">
        <v>1942.0197985409238</v>
      </c>
      <c r="R36" s="677">
        <v>1982.7713676303179</v>
      </c>
      <c r="S36" s="677">
        <v>1952.6895189382972</v>
      </c>
      <c r="T36" s="677">
        <v>1986.2497853491975</v>
      </c>
      <c r="U36" s="677">
        <v>1958.3876061335875</v>
      </c>
      <c r="V36" s="677">
        <v>1740.1526692444147</v>
      </c>
      <c r="W36" s="677">
        <v>1827.2452396274032</v>
      </c>
      <c r="X36" s="677">
        <v>1722.3698705628942</v>
      </c>
      <c r="Y36" s="677">
        <v>1511.6931055686455</v>
      </c>
      <c r="Z36" s="677">
        <v>1571.2511273959044</v>
      </c>
      <c r="AA36" s="677">
        <v>1568.556173908122</v>
      </c>
      <c r="AB36" s="677">
        <v>1351.3884116145925</v>
      </c>
      <c r="AC36" s="677">
        <v>1242.0166623259897</v>
      </c>
      <c r="AD36" s="677">
        <v>1207.0667392920539</v>
      </c>
      <c r="AE36" s="677">
        <v>1152.8764230464151</v>
      </c>
      <c r="AF36" s="677">
        <v>973.5397823880611</v>
      </c>
      <c r="AG36" s="677">
        <v>788.15962639841325</v>
      </c>
      <c r="AH36" s="677">
        <v>910.06445819817407</v>
      </c>
      <c r="AI36" s="677">
        <v>847.45162425077649</v>
      </c>
    </row>
    <row r="37" spans="2:35">
      <c r="B37" s="6" t="s">
        <v>1476</v>
      </c>
      <c r="C37" s="677">
        <v>0.49918364487950195</v>
      </c>
      <c r="D37" s="677">
        <v>0.46298199444111593</v>
      </c>
      <c r="E37" s="677">
        <v>0.39540420426145789</v>
      </c>
      <c r="F37" s="677">
        <v>0.414664583865334</v>
      </c>
      <c r="G37" s="677">
        <v>0.4225953215157458</v>
      </c>
      <c r="H37" s="677">
        <v>0.43052605711056213</v>
      </c>
      <c r="I37" s="677">
        <v>0.44185569700838989</v>
      </c>
      <c r="J37" s="677">
        <v>0.44910667394322812</v>
      </c>
      <c r="K37" s="677">
        <v>0.45409170850918595</v>
      </c>
      <c r="L37" s="677">
        <v>0.42032940175863998</v>
      </c>
      <c r="M37" s="677">
        <v>0.47500388702083407</v>
      </c>
      <c r="N37" s="677">
        <v>0.59682902437400609</v>
      </c>
      <c r="O37" s="677">
        <v>2.0233696387959919</v>
      </c>
      <c r="P37" s="677">
        <v>2.6638948248182412</v>
      </c>
      <c r="Q37" s="677">
        <v>2.9457046672788625</v>
      </c>
      <c r="R37" s="677">
        <v>3.0136824655534786</v>
      </c>
      <c r="S37" s="677">
        <v>3.3988899959624983</v>
      </c>
      <c r="T37" s="677">
        <v>3.4023708872877636</v>
      </c>
      <c r="U37" s="677">
        <v>3.4334171477753794</v>
      </c>
      <c r="V37" s="677">
        <v>3.4095811621519387</v>
      </c>
      <c r="W37" s="677">
        <v>3.1957130259780819</v>
      </c>
      <c r="X37" s="677">
        <v>3.4382816448199178</v>
      </c>
      <c r="Y37" s="677">
        <v>3.2878464692658049</v>
      </c>
      <c r="Z37" s="677">
        <v>3.275549300432385</v>
      </c>
      <c r="AA37" s="677">
        <v>3.4423529910979647</v>
      </c>
      <c r="AB37" s="677">
        <v>3.3100766326055582</v>
      </c>
      <c r="AC37" s="677">
        <v>3.2706872988139057</v>
      </c>
      <c r="AD37" s="677">
        <v>2.3004828509080002</v>
      </c>
      <c r="AE37" s="677">
        <v>2.5567788600420003</v>
      </c>
      <c r="AF37" s="677">
        <v>3.5604735078220004</v>
      </c>
      <c r="AG37" s="677">
        <v>3.0825890668051215</v>
      </c>
      <c r="AH37" s="677">
        <v>2.8885689791967102</v>
      </c>
      <c r="AI37" s="677">
        <v>2.8885689791967102</v>
      </c>
    </row>
    <row r="38" spans="2:35">
      <c r="B38" s="5" t="s">
        <v>1439</v>
      </c>
      <c r="C38" s="676">
        <v>998.62349225994672</v>
      </c>
      <c r="D38" s="676">
        <v>1020.8766721472523</v>
      </c>
      <c r="E38" s="676">
        <v>1054.3448652335699</v>
      </c>
      <c r="F38" s="676">
        <v>1081.8087995998724</v>
      </c>
      <c r="G38" s="676">
        <v>1106.597648493778</v>
      </c>
      <c r="H38" s="676">
        <v>1155.0125862325747</v>
      </c>
      <c r="I38" s="676">
        <v>1176.2845125565316</v>
      </c>
      <c r="J38" s="676">
        <v>1182.4608296957772</v>
      </c>
      <c r="K38" s="676">
        <v>1158.6521439145599</v>
      </c>
      <c r="L38" s="676">
        <v>1162.936857405308</v>
      </c>
      <c r="M38" s="676">
        <v>1218.6319252846156</v>
      </c>
      <c r="N38" s="676">
        <v>1169.4461080717133</v>
      </c>
      <c r="O38" s="676">
        <v>1207.9329265155102</v>
      </c>
      <c r="P38" s="676">
        <v>1176.9526767172179</v>
      </c>
      <c r="Q38" s="676">
        <v>1182.8257812622635</v>
      </c>
      <c r="R38" s="676">
        <v>1166.1619067933786</v>
      </c>
      <c r="S38" s="676">
        <v>1151.0489744030008</v>
      </c>
      <c r="T38" s="676">
        <v>1225.0297403637483</v>
      </c>
      <c r="U38" s="676">
        <v>1235.880817407465</v>
      </c>
      <c r="V38" s="676">
        <v>1214.2348492596584</v>
      </c>
      <c r="W38" s="676">
        <v>1273.1434121564739</v>
      </c>
      <c r="X38" s="676">
        <v>1292.7853933595727</v>
      </c>
      <c r="Y38" s="676">
        <v>1352.7983238212385</v>
      </c>
      <c r="Z38" s="676">
        <v>1390.8096077883677</v>
      </c>
      <c r="AA38" s="676">
        <v>1419.1264948240514</v>
      </c>
      <c r="AB38" s="676">
        <v>1455.3863220654703</v>
      </c>
      <c r="AC38" s="676">
        <v>1461.3213135943815</v>
      </c>
      <c r="AD38" s="676">
        <v>1433.2473396264857</v>
      </c>
      <c r="AE38" s="676">
        <v>1591.9666965204153</v>
      </c>
      <c r="AF38" s="676">
        <v>1649.2528906535774</v>
      </c>
      <c r="AG38" s="676">
        <v>1612.3395732963556</v>
      </c>
      <c r="AH38" s="676">
        <v>1620.8152134740249</v>
      </c>
      <c r="AI38" s="676">
        <v>1712.3537760608137</v>
      </c>
    </row>
    <row r="39" spans="2:35">
      <c r="B39" s="6" t="s">
        <v>1434</v>
      </c>
      <c r="C39" s="677">
        <v>237.79751316701928</v>
      </c>
      <c r="D39" s="677">
        <v>247.3163708646733</v>
      </c>
      <c r="E39" s="677">
        <v>254.59497787985759</v>
      </c>
      <c r="F39" s="677">
        <v>268.22932615115491</v>
      </c>
      <c r="G39" s="677">
        <v>262.94355944535857</v>
      </c>
      <c r="H39" s="677">
        <v>262.76570850496319</v>
      </c>
      <c r="I39" s="677">
        <v>283.99195492868381</v>
      </c>
      <c r="J39" s="677">
        <v>270.12382236394063</v>
      </c>
      <c r="K39" s="677">
        <v>246.13967860387044</v>
      </c>
      <c r="L39" s="677">
        <v>256.37921536804282</v>
      </c>
      <c r="M39" s="677">
        <v>270.80589926201588</v>
      </c>
      <c r="N39" s="677">
        <v>259.1889647876601</v>
      </c>
      <c r="O39" s="677">
        <v>265.05318507540636</v>
      </c>
      <c r="P39" s="677">
        <v>276.17534859880868</v>
      </c>
      <c r="Q39" s="677">
        <v>264.17877611421051</v>
      </c>
      <c r="R39" s="677">
        <v>262.2286055672738</v>
      </c>
      <c r="S39" s="677">
        <v>237.28839962332515</v>
      </c>
      <c r="T39" s="677">
        <v>256.4079028660679</v>
      </c>
      <c r="U39" s="677">
        <v>265.66749545875354</v>
      </c>
      <c r="V39" s="677">
        <v>259.05601805220141</v>
      </c>
      <c r="W39" s="677">
        <v>258.91127602274685</v>
      </c>
      <c r="X39" s="677">
        <v>255.06803132826391</v>
      </c>
      <c r="Y39" s="677">
        <v>225.10147681644284</v>
      </c>
      <c r="Z39" s="677">
        <v>266.35053365110366</v>
      </c>
      <c r="AA39" s="677">
        <v>277.6716054191445</v>
      </c>
      <c r="AB39" s="677">
        <v>252.72391355879935</v>
      </c>
      <c r="AC39" s="677">
        <v>238.38223392683929</v>
      </c>
      <c r="AD39" s="677">
        <v>241.48609403530835</v>
      </c>
      <c r="AE39" s="677">
        <v>273.81436679347121</v>
      </c>
      <c r="AF39" s="677">
        <v>275.46887973202541</v>
      </c>
      <c r="AG39" s="677">
        <v>256.36071756812561</v>
      </c>
      <c r="AH39" s="677">
        <v>258.62082445006706</v>
      </c>
      <c r="AI39" s="677">
        <v>273.48051227058403</v>
      </c>
    </row>
    <row r="40" spans="2:35">
      <c r="B40" s="6" t="s">
        <v>1441</v>
      </c>
      <c r="C40" s="677">
        <v>142.02473544607753</v>
      </c>
      <c r="D40" s="677">
        <v>148.12843320995771</v>
      </c>
      <c r="E40" s="677">
        <v>152.1442839987414</v>
      </c>
      <c r="F40" s="677">
        <v>154.86031096580882</v>
      </c>
      <c r="G40" s="677">
        <v>157.02801444190189</v>
      </c>
      <c r="H40" s="677">
        <v>164.20845936813723</v>
      </c>
      <c r="I40" s="677">
        <v>171.12093873822886</v>
      </c>
      <c r="J40" s="677">
        <v>174.25040454967009</v>
      </c>
      <c r="K40" s="677">
        <v>163.32937279129024</v>
      </c>
      <c r="L40" s="677">
        <v>165.18012136905648</v>
      </c>
      <c r="M40" s="677">
        <v>172.49806642837646</v>
      </c>
      <c r="N40" s="677">
        <v>164.19987233758553</v>
      </c>
      <c r="O40" s="677">
        <v>170.46500850943963</v>
      </c>
      <c r="P40" s="677">
        <v>172.87591133833368</v>
      </c>
      <c r="Q40" s="677">
        <v>169.77666283715638</v>
      </c>
      <c r="R40" s="677">
        <v>162.92508508024997</v>
      </c>
      <c r="S40" s="677">
        <v>153.83155669866855</v>
      </c>
      <c r="T40" s="677">
        <v>163.59043097479622</v>
      </c>
      <c r="U40" s="677">
        <v>171.19325427303346</v>
      </c>
      <c r="V40" s="677">
        <v>169.05333172555467</v>
      </c>
      <c r="W40" s="677">
        <v>167.96887548912161</v>
      </c>
      <c r="X40" s="677">
        <v>170.73801795221382</v>
      </c>
      <c r="Y40" s="677">
        <v>157.04279460910288</v>
      </c>
      <c r="Z40" s="677">
        <v>179.21960261143067</v>
      </c>
      <c r="AA40" s="677">
        <v>189.18938777422409</v>
      </c>
      <c r="AB40" s="677">
        <v>175.4117517978259</v>
      </c>
      <c r="AC40" s="677">
        <v>170.54056544370894</v>
      </c>
      <c r="AD40" s="677">
        <v>173.19011617374824</v>
      </c>
      <c r="AE40" s="677">
        <v>192.5283840865653</v>
      </c>
      <c r="AF40" s="677">
        <v>192.91620874877498</v>
      </c>
      <c r="AG40" s="677">
        <v>173.84930478133768</v>
      </c>
      <c r="AH40" s="677">
        <v>180.86325445316047</v>
      </c>
      <c r="AI40" s="677">
        <v>193.16444865545154</v>
      </c>
    </row>
    <row r="41" spans="2:35">
      <c r="B41" s="6" t="s">
        <v>1443</v>
      </c>
      <c r="C41" s="677">
        <v>407.44057591552206</v>
      </c>
      <c r="D41" s="677">
        <v>413.59445395561858</v>
      </c>
      <c r="E41" s="677">
        <v>429.30737763379256</v>
      </c>
      <c r="F41" s="677">
        <v>436.98219553873059</v>
      </c>
      <c r="G41" s="677">
        <v>438.20865393150382</v>
      </c>
      <c r="H41" s="677">
        <v>461.4680033053877</v>
      </c>
      <c r="I41" s="677">
        <v>477.22704593798659</v>
      </c>
      <c r="J41" s="677">
        <v>477.88613017996011</v>
      </c>
      <c r="K41" s="677">
        <v>466.22857939809182</v>
      </c>
      <c r="L41" s="677">
        <v>445.62145311258905</v>
      </c>
      <c r="M41" s="677">
        <v>458.18470970362125</v>
      </c>
      <c r="N41" s="677">
        <v>420.60012891527748</v>
      </c>
      <c r="O41" s="677">
        <v>428.10994471518688</v>
      </c>
      <c r="P41" s="677">
        <v>415.08604298191261</v>
      </c>
      <c r="Q41" s="677">
        <v>418.88608808286688</v>
      </c>
      <c r="R41" s="677">
        <v>387.78439069369989</v>
      </c>
      <c r="S41" s="677">
        <v>387.43556914859869</v>
      </c>
      <c r="T41" s="677">
        <v>396.96908687881142</v>
      </c>
      <c r="U41" s="677">
        <v>398.65113463252698</v>
      </c>
      <c r="V41" s="677">
        <v>374.19964007784171</v>
      </c>
      <c r="W41" s="677">
        <v>407.08948538432492</v>
      </c>
      <c r="X41" s="677">
        <v>417.16969084127084</v>
      </c>
      <c r="Y41" s="677">
        <v>433.87411357806093</v>
      </c>
      <c r="Z41" s="677">
        <v>450.93611572282049</v>
      </c>
      <c r="AA41" s="677">
        <v>465.9360743641227</v>
      </c>
      <c r="AB41" s="677">
        <v>459.64627978150747</v>
      </c>
      <c r="AC41" s="677">
        <v>463.98257891833475</v>
      </c>
      <c r="AD41" s="677">
        <v>468.13315809622293</v>
      </c>
      <c r="AE41" s="677">
        <v>493.46897972996544</v>
      </c>
      <c r="AF41" s="677">
        <v>501.51732125814709</v>
      </c>
      <c r="AG41" s="677">
        <v>485.98139675999653</v>
      </c>
      <c r="AH41" s="677">
        <v>499.54937159349049</v>
      </c>
      <c r="AI41" s="677">
        <v>512.5670132286948</v>
      </c>
    </row>
    <row r="42" spans="2:35">
      <c r="B42" s="6" t="s">
        <v>1445</v>
      </c>
      <c r="C42" s="677">
        <v>36.000628828726228</v>
      </c>
      <c r="D42" s="677">
        <v>32.870998544585845</v>
      </c>
      <c r="E42" s="677">
        <v>32.223566137943912</v>
      </c>
      <c r="F42" s="677">
        <v>34.15461398423664</v>
      </c>
      <c r="G42" s="677">
        <v>37.56280519579169</v>
      </c>
      <c r="H42" s="677">
        <v>38.397759997364879</v>
      </c>
      <c r="I42" s="677">
        <v>39.083767671638746</v>
      </c>
      <c r="J42" s="677">
        <v>41.387043476727435</v>
      </c>
      <c r="K42" s="677">
        <v>35.288383859149057</v>
      </c>
      <c r="L42" s="677">
        <v>35.810853010699333</v>
      </c>
      <c r="M42" s="677">
        <v>35.650075735907123</v>
      </c>
      <c r="N42" s="677">
        <v>34.885995822200002</v>
      </c>
      <c r="O42" s="677">
        <v>37.087113998567915</v>
      </c>
      <c r="P42" s="677">
        <v>33.263751370962055</v>
      </c>
      <c r="Q42" s="677">
        <v>31.927149340306773</v>
      </c>
      <c r="R42" s="677">
        <v>33.075920910480484</v>
      </c>
      <c r="S42" s="677">
        <v>33.132752480798366</v>
      </c>
      <c r="T42" s="677">
        <v>35.181265831305353</v>
      </c>
      <c r="U42" s="677">
        <v>36.701650199837665</v>
      </c>
      <c r="V42" s="677">
        <v>37.924973610479</v>
      </c>
      <c r="W42" s="677">
        <v>38.159193121908444</v>
      </c>
      <c r="X42" s="677">
        <v>38.942984233329362</v>
      </c>
      <c r="Y42" s="677">
        <v>41.37800918377787</v>
      </c>
      <c r="Z42" s="677">
        <v>47.049246645534772</v>
      </c>
      <c r="AA42" s="677">
        <v>40.238122656789713</v>
      </c>
      <c r="AB42" s="677">
        <v>39.405905197849926</v>
      </c>
      <c r="AC42" s="677">
        <v>40.058807328702912</v>
      </c>
      <c r="AD42" s="677">
        <v>42.257759266894162</v>
      </c>
      <c r="AE42" s="677">
        <v>50.915434140965644</v>
      </c>
      <c r="AF42" s="677">
        <v>58.928767923685299</v>
      </c>
      <c r="AG42" s="677">
        <v>58.653794375777238</v>
      </c>
      <c r="AH42" s="677">
        <v>65.084835395324035</v>
      </c>
      <c r="AI42" s="677">
        <v>68.300475822321843</v>
      </c>
    </row>
    <row r="43" spans="2:35">
      <c r="B43" s="6" t="s">
        <v>1474</v>
      </c>
      <c r="C43" s="677">
        <v>175.3600389026015</v>
      </c>
      <c r="D43" s="677">
        <v>178.96641557241685</v>
      </c>
      <c r="E43" s="677">
        <v>186.07465958323442</v>
      </c>
      <c r="F43" s="677">
        <v>187.58235295994123</v>
      </c>
      <c r="G43" s="677">
        <v>210.85461547922213</v>
      </c>
      <c r="H43" s="677">
        <v>228.17265505672165</v>
      </c>
      <c r="I43" s="677">
        <v>204.86080527999366</v>
      </c>
      <c r="J43" s="677">
        <v>218.81342912547896</v>
      </c>
      <c r="K43" s="677">
        <v>247.66612926215842</v>
      </c>
      <c r="L43" s="677">
        <v>259.94521454492025</v>
      </c>
      <c r="M43" s="677">
        <v>280.82105213992054</v>
      </c>
      <c r="N43" s="677">
        <v>289.35862946229537</v>
      </c>
      <c r="O43" s="677">
        <v>306.00875363034964</v>
      </c>
      <c r="P43" s="677">
        <v>278.12739640727375</v>
      </c>
      <c r="Q43" s="677">
        <v>296.75029743802992</v>
      </c>
      <c r="R43" s="677">
        <v>318.85840260471355</v>
      </c>
      <c r="S43" s="677">
        <v>337.97496302681611</v>
      </c>
      <c r="T43" s="677">
        <v>371.46513223741312</v>
      </c>
      <c r="U43" s="677">
        <v>362.11597738194661</v>
      </c>
      <c r="V43" s="677">
        <v>372.54775041195018</v>
      </c>
      <c r="W43" s="677">
        <v>399.53808692568629</v>
      </c>
      <c r="X43" s="677">
        <v>409.42961840152782</v>
      </c>
      <c r="Y43" s="677">
        <v>492.79219630413746</v>
      </c>
      <c r="Z43" s="677">
        <v>444.16593360966391</v>
      </c>
      <c r="AA43" s="677">
        <v>442.88200596411235</v>
      </c>
      <c r="AB43" s="677">
        <v>525.16054071183544</v>
      </c>
      <c r="AC43" s="677">
        <v>544.99213211889321</v>
      </c>
      <c r="AD43" s="677">
        <v>505.63466065505327</v>
      </c>
      <c r="AE43" s="677">
        <v>577.93546402725235</v>
      </c>
      <c r="AF43" s="677">
        <v>616.64869033042908</v>
      </c>
      <c r="AG43" s="677">
        <v>634.84677606704531</v>
      </c>
      <c r="AH43" s="677">
        <v>612.77428233792773</v>
      </c>
      <c r="AI43" s="677">
        <v>660.92157006770037</v>
      </c>
    </row>
    <row r="44" spans="2:35">
      <c r="B44" s="6" t="s">
        <v>1476</v>
      </c>
      <c r="C44" s="677" t="s">
        <v>108</v>
      </c>
      <c r="D44" s="677" t="s">
        <v>108</v>
      </c>
      <c r="E44" s="677" t="s">
        <v>108</v>
      </c>
      <c r="F44" s="677" t="s">
        <v>108</v>
      </c>
      <c r="G44" s="677" t="s">
        <v>108</v>
      </c>
      <c r="H44" s="677" t="s">
        <v>108</v>
      </c>
      <c r="I44" s="677" t="s">
        <v>108</v>
      </c>
      <c r="J44" s="677" t="s">
        <v>108</v>
      </c>
      <c r="K44" s="677" t="s">
        <v>108</v>
      </c>
      <c r="L44" s="677" t="s">
        <v>108</v>
      </c>
      <c r="M44" s="677">
        <v>0.67212201477417799</v>
      </c>
      <c r="N44" s="677">
        <v>1.2125167466946647</v>
      </c>
      <c r="O44" s="677">
        <v>1.2089205865598054</v>
      </c>
      <c r="P44" s="677">
        <v>1.4242260199270667</v>
      </c>
      <c r="Q44" s="677">
        <v>1.3068074496928888</v>
      </c>
      <c r="R44" s="677">
        <v>1.2895019369609928</v>
      </c>
      <c r="S44" s="677">
        <v>1.3857334247939026</v>
      </c>
      <c r="T44" s="677">
        <v>1.415921575354</v>
      </c>
      <c r="U44" s="677">
        <v>1.5513054613666941</v>
      </c>
      <c r="V44" s="677">
        <v>1.4531353816314685</v>
      </c>
      <c r="W44" s="677">
        <v>1.4764952126860063</v>
      </c>
      <c r="X44" s="677">
        <v>1.4370506029671137</v>
      </c>
      <c r="Y44" s="677">
        <v>2.6097333297164047</v>
      </c>
      <c r="Z44" s="677">
        <v>3.0881755478141319</v>
      </c>
      <c r="AA44" s="677">
        <v>3.2092986456579755</v>
      </c>
      <c r="AB44" s="677">
        <v>3.0379310176521801</v>
      </c>
      <c r="AC44" s="677">
        <v>3.3649958579027071</v>
      </c>
      <c r="AD44" s="677">
        <v>2.5455513992585312</v>
      </c>
      <c r="AE44" s="677">
        <v>3.3040677421953082</v>
      </c>
      <c r="AF44" s="677">
        <v>3.773022660515549</v>
      </c>
      <c r="AG44" s="677">
        <v>2.647583744073164</v>
      </c>
      <c r="AH44" s="677">
        <v>3.9226452440549542</v>
      </c>
      <c r="AI44" s="677">
        <v>3.9197560160609353</v>
      </c>
    </row>
    <row r="45" spans="2:35">
      <c r="B45" s="5" t="s">
        <v>1440</v>
      </c>
      <c r="C45" s="676">
        <v>2017.509868236293</v>
      </c>
      <c r="D45" s="676">
        <v>1949.4618989139701</v>
      </c>
      <c r="E45" s="676">
        <v>2000.4166542553107</v>
      </c>
      <c r="F45" s="676">
        <v>2021.4177635688418</v>
      </c>
      <c r="G45" s="676">
        <v>2061.3988547381446</v>
      </c>
      <c r="H45" s="676">
        <v>2054.0961990037317</v>
      </c>
      <c r="I45" s="676">
        <v>2139.3454311673495</v>
      </c>
      <c r="J45" s="676">
        <v>2147.2594051514693</v>
      </c>
      <c r="K45" s="676">
        <v>2187.2468648447139</v>
      </c>
      <c r="L45" s="676">
        <v>2234.5557293949933</v>
      </c>
      <c r="M45" s="676">
        <v>2329.6146722634062</v>
      </c>
      <c r="N45" s="676">
        <v>2356.3482423886926</v>
      </c>
      <c r="O45" s="676">
        <v>2342.1835046337487</v>
      </c>
      <c r="P45" s="676">
        <v>2407.1583113477705</v>
      </c>
      <c r="Q45" s="676">
        <v>2463.5169203421005</v>
      </c>
      <c r="R45" s="676">
        <v>2473.4905674075476</v>
      </c>
      <c r="S45" s="676">
        <v>2438.0322872403303</v>
      </c>
      <c r="T45" s="676">
        <v>2421.7972130640414</v>
      </c>
      <c r="U45" s="676">
        <v>2245.180713196441</v>
      </c>
      <c r="V45" s="676">
        <v>2131.8107462344283</v>
      </c>
      <c r="W45" s="676">
        <v>2145.2996450442192</v>
      </c>
      <c r="X45" s="676">
        <v>2100.8275960090705</v>
      </c>
      <c r="Y45" s="676">
        <v>2056.6992375334976</v>
      </c>
      <c r="Z45" s="676">
        <v>2076.8383950439475</v>
      </c>
      <c r="AA45" s="676">
        <v>2093.6383070922943</v>
      </c>
      <c r="AB45" s="676">
        <v>2129.1874981736073</v>
      </c>
      <c r="AC45" s="676">
        <v>2141.2270939927671</v>
      </c>
      <c r="AD45" s="676">
        <v>2154.5820554250663</v>
      </c>
      <c r="AE45" s="676">
        <v>2193.280939659111</v>
      </c>
      <c r="AF45" s="676">
        <v>2189.2634379397296</v>
      </c>
      <c r="AG45" s="676">
        <v>1908.281809556715</v>
      </c>
      <c r="AH45" s="676">
        <v>2071.9385967120497</v>
      </c>
      <c r="AI45" s="676">
        <v>2101.3217970653604</v>
      </c>
    </row>
    <row r="46" spans="2:35">
      <c r="B46" s="6" t="s">
        <v>1434</v>
      </c>
      <c r="C46" s="677">
        <v>97.782418285202326</v>
      </c>
      <c r="D46" s="677">
        <v>97.952144785231908</v>
      </c>
      <c r="E46" s="677">
        <v>96.897412375870118</v>
      </c>
      <c r="F46" s="677">
        <v>95.38267944445947</v>
      </c>
      <c r="G46" s="677">
        <v>92.109497684959123</v>
      </c>
      <c r="H46" s="677">
        <v>88.696194762738045</v>
      </c>
      <c r="I46" s="677">
        <v>97.899889994156283</v>
      </c>
      <c r="J46" s="677">
        <v>93.391376926550663</v>
      </c>
      <c r="K46" s="677">
        <v>84.367240334847168</v>
      </c>
      <c r="L46" s="677">
        <v>93.196112762313618</v>
      </c>
      <c r="M46" s="677">
        <v>99.814276088965102</v>
      </c>
      <c r="N46" s="677">
        <v>102.72304517355261</v>
      </c>
      <c r="O46" s="677">
        <v>94.863231762088574</v>
      </c>
      <c r="P46" s="677">
        <v>102.78141031105237</v>
      </c>
      <c r="Q46" s="677">
        <v>103.79642426691703</v>
      </c>
      <c r="R46" s="677">
        <v>95.863656574037449</v>
      </c>
      <c r="S46" s="677">
        <v>83.820352842493264</v>
      </c>
      <c r="T46" s="677">
        <v>84.023780488376218</v>
      </c>
      <c r="U46" s="677">
        <v>82.221956243972173</v>
      </c>
      <c r="V46" s="677">
        <v>77.367831690515629</v>
      </c>
      <c r="W46" s="677">
        <v>75.839547373103841</v>
      </c>
      <c r="X46" s="677">
        <v>71.084473376196499</v>
      </c>
      <c r="Y46" s="677">
        <v>57.266798358158553</v>
      </c>
      <c r="Z46" s="677">
        <v>62.76144389334312</v>
      </c>
      <c r="AA46" s="677">
        <v>68.869621889627368</v>
      </c>
      <c r="AB46" s="677">
        <v>64.585803534738986</v>
      </c>
      <c r="AC46" s="677">
        <v>54.391172532895091</v>
      </c>
      <c r="AD46" s="677">
        <v>51.924145949361737</v>
      </c>
      <c r="AE46" s="677">
        <v>64.403711153782723</v>
      </c>
      <c r="AF46" s="677">
        <v>65.93145803337184</v>
      </c>
      <c r="AG46" s="677">
        <v>56.814754274341041</v>
      </c>
      <c r="AH46" s="677">
        <v>53.815019518206888</v>
      </c>
      <c r="AI46" s="677">
        <v>53.86084325270199</v>
      </c>
    </row>
    <row r="47" spans="2:35">
      <c r="B47" s="6" t="s">
        <v>1441</v>
      </c>
      <c r="C47" s="677">
        <v>74.317012554681682</v>
      </c>
      <c r="D47" s="677">
        <v>73.407819835305588</v>
      </c>
      <c r="E47" s="677">
        <v>64.616737697850752</v>
      </c>
      <c r="F47" s="677">
        <v>56.873973092273403</v>
      </c>
      <c r="G47" s="677">
        <v>56.369494198991227</v>
      </c>
      <c r="H47" s="677">
        <v>52.391239644788953</v>
      </c>
      <c r="I47" s="677">
        <v>54.832060310682536</v>
      </c>
      <c r="J47" s="677">
        <v>51.284965670868985</v>
      </c>
      <c r="K47" s="677">
        <v>47.862171317109826</v>
      </c>
      <c r="L47" s="677">
        <v>45.786686669304586</v>
      </c>
      <c r="M47" s="677">
        <v>55.272251282121793</v>
      </c>
      <c r="N47" s="677">
        <v>55.025834673343439</v>
      </c>
      <c r="O47" s="677">
        <v>49.991160617147877</v>
      </c>
      <c r="P47" s="677">
        <v>59.437944018848249</v>
      </c>
      <c r="Q47" s="677">
        <v>58.432241651159799</v>
      </c>
      <c r="R47" s="677">
        <v>54.944855000828866</v>
      </c>
      <c r="S47" s="677">
        <v>51.735182757262692</v>
      </c>
      <c r="T47" s="677">
        <v>52.843905317295913</v>
      </c>
      <c r="U47" s="677">
        <v>48.705632539724469</v>
      </c>
      <c r="V47" s="677">
        <v>52.069698634085235</v>
      </c>
      <c r="W47" s="677">
        <v>49.914128815402215</v>
      </c>
      <c r="X47" s="677">
        <v>47.884291330496566</v>
      </c>
      <c r="Y47" s="677">
        <v>39.132753886743743</v>
      </c>
      <c r="Z47" s="677">
        <v>41.064261710041414</v>
      </c>
      <c r="AA47" s="677">
        <v>39.418166610630642</v>
      </c>
      <c r="AB47" s="677">
        <v>66.228008989846131</v>
      </c>
      <c r="AC47" s="677">
        <v>58.741706145476833</v>
      </c>
      <c r="AD47" s="677">
        <v>56.832710569182652</v>
      </c>
      <c r="AE47" s="677">
        <v>51.518202664400924</v>
      </c>
      <c r="AF47" s="677">
        <v>56.186801071694639</v>
      </c>
      <c r="AG47" s="677">
        <v>53.218928164636452</v>
      </c>
      <c r="AH47" s="677">
        <v>51.91546376774037</v>
      </c>
      <c r="AI47" s="677">
        <v>49.125274090990381</v>
      </c>
    </row>
    <row r="48" spans="2:35">
      <c r="B48" s="6" t="s">
        <v>1443</v>
      </c>
      <c r="C48" s="677">
        <v>295.41972142981524</v>
      </c>
      <c r="D48" s="677">
        <v>279.24740350493619</v>
      </c>
      <c r="E48" s="677">
        <v>296.40444762944003</v>
      </c>
      <c r="F48" s="677">
        <v>286.08371201105911</v>
      </c>
      <c r="G48" s="677">
        <v>290.97913470663252</v>
      </c>
      <c r="H48" s="677">
        <v>290.89882876018618</v>
      </c>
      <c r="I48" s="677">
        <v>315.60161237949808</v>
      </c>
      <c r="J48" s="677">
        <v>308.61433546895574</v>
      </c>
      <c r="K48" s="677">
        <v>291.13160928754291</v>
      </c>
      <c r="L48" s="677">
        <v>276.1551886962302</v>
      </c>
      <c r="M48" s="677">
        <v>293.56945514834877</v>
      </c>
      <c r="N48" s="677">
        <v>324.61901278830948</v>
      </c>
      <c r="O48" s="677">
        <v>312.62409603616931</v>
      </c>
      <c r="P48" s="677">
        <v>324.81489034235165</v>
      </c>
      <c r="Q48" s="677">
        <v>343.48698943321153</v>
      </c>
      <c r="R48" s="677">
        <v>351.68643979474047</v>
      </c>
      <c r="S48" s="677">
        <v>376.72402913891978</v>
      </c>
      <c r="T48" s="677">
        <v>364.58055505311239</v>
      </c>
      <c r="U48" s="677">
        <v>319.40783531970749</v>
      </c>
      <c r="V48" s="677">
        <v>285.51087797803405</v>
      </c>
      <c r="W48" s="677">
        <v>299.83055016568346</v>
      </c>
      <c r="X48" s="677">
        <v>295.40564033307209</v>
      </c>
      <c r="Y48" s="677">
        <v>296.88693394431232</v>
      </c>
      <c r="Z48" s="677">
        <v>306.8313173324695</v>
      </c>
      <c r="AA48" s="677">
        <v>271.31094182454899</v>
      </c>
      <c r="AB48" s="677">
        <v>273.53770242591582</v>
      </c>
      <c r="AC48" s="677">
        <v>269.25942696570957</v>
      </c>
      <c r="AD48" s="677">
        <v>267.75484412777826</v>
      </c>
      <c r="AE48" s="677">
        <v>272.8624112836826</v>
      </c>
      <c r="AF48" s="677">
        <v>275.79775969927141</v>
      </c>
      <c r="AG48" s="677">
        <v>250.40580347125777</v>
      </c>
      <c r="AH48" s="677">
        <v>243.52799154981659</v>
      </c>
      <c r="AI48" s="677">
        <v>248.14098284071014</v>
      </c>
    </row>
    <row r="49" spans="2:35">
      <c r="B49" s="6" t="s">
        <v>1445</v>
      </c>
      <c r="C49" s="677">
        <v>1432.9432652886276</v>
      </c>
      <c r="D49" s="677">
        <v>1389.4564060937773</v>
      </c>
      <c r="E49" s="677">
        <v>1445.4198600226605</v>
      </c>
      <c r="F49" s="677">
        <v>1474.4524204610232</v>
      </c>
      <c r="G49" s="677">
        <v>1516.3845483799519</v>
      </c>
      <c r="H49" s="677">
        <v>1542.280097691809</v>
      </c>
      <c r="I49" s="677">
        <v>1588.2793374504231</v>
      </c>
      <c r="J49" s="677">
        <v>1602.1285102616407</v>
      </c>
      <c r="K49" s="677">
        <v>1643.631953718932</v>
      </c>
      <c r="L49" s="677">
        <v>1710.533470614638</v>
      </c>
      <c r="M49" s="677">
        <v>1756.5518161208734</v>
      </c>
      <c r="N49" s="677">
        <v>1727.5780724003682</v>
      </c>
      <c r="O49" s="677">
        <v>1765.9312304048144</v>
      </c>
      <c r="P49" s="677">
        <v>1778.7205356811112</v>
      </c>
      <c r="Q49" s="677">
        <v>1813.2935615739598</v>
      </c>
      <c r="R49" s="677">
        <v>1825.4762484604264</v>
      </c>
      <c r="S49" s="677">
        <v>1826.0002540005557</v>
      </c>
      <c r="T49" s="677">
        <v>1825.5562316874011</v>
      </c>
      <c r="U49" s="677">
        <v>1722.979673561545</v>
      </c>
      <c r="V49" s="677">
        <v>1650.5556008859128</v>
      </c>
      <c r="W49" s="677">
        <v>1658.4553294190557</v>
      </c>
      <c r="X49" s="677">
        <v>1631.4345760286221</v>
      </c>
      <c r="Y49" s="677">
        <v>1618.0233222872737</v>
      </c>
      <c r="Z49" s="677">
        <v>1621.9966735810883</v>
      </c>
      <c r="AA49" s="677">
        <v>1667.1086070610122</v>
      </c>
      <c r="AB49" s="677">
        <v>1678.9752558374032</v>
      </c>
      <c r="AC49" s="677">
        <v>1717.8477376887884</v>
      </c>
      <c r="AD49" s="677">
        <v>1738.0500649093556</v>
      </c>
      <c r="AE49" s="677">
        <v>1762.2192146418806</v>
      </c>
      <c r="AF49" s="677">
        <v>1757.7068604118222</v>
      </c>
      <c r="AG49" s="677">
        <v>1514.1275634134197</v>
      </c>
      <c r="AH49" s="677">
        <v>1688.0064199475937</v>
      </c>
      <c r="AI49" s="677">
        <v>1712.8350768737732</v>
      </c>
    </row>
    <row r="50" spans="2:35">
      <c r="B50" s="6" t="s">
        <v>1474</v>
      </c>
      <c r="C50" s="677">
        <v>97.538490680398411</v>
      </c>
      <c r="D50" s="677">
        <v>90.678661907118197</v>
      </c>
      <c r="E50" s="677">
        <v>75.527743357330678</v>
      </c>
      <c r="F50" s="677">
        <v>86.415412739867193</v>
      </c>
      <c r="G50" s="677">
        <v>81.246850001075686</v>
      </c>
      <c r="H50" s="677">
        <v>58.71177506316068</v>
      </c>
      <c r="I50" s="677">
        <v>63.3962927596016</v>
      </c>
      <c r="J50" s="677">
        <v>72.207404234661354</v>
      </c>
      <c r="K50" s="677">
        <v>101.26271580049136</v>
      </c>
      <c r="L50" s="677">
        <v>93.83330481405045</v>
      </c>
      <c r="M50" s="677">
        <v>88.524423740199197</v>
      </c>
      <c r="N50" s="677">
        <v>98.561015855192565</v>
      </c>
      <c r="O50" s="677">
        <v>76.854861578857893</v>
      </c>
      <c r="P50" s="677">
        <v>95.127634817888449</v>
      </c>
      <c r="Q50" s="677">
        <v>95.845222101221793</v>
      </c>
      <c r="R50" s="677">
        <v>97.96669769888446</v>
      </c>
      <c r="S50" s="677">
        <v>53.276122434926961</v>
      </c>
      <c r="T50" s="677">
        <v>52.964488890730408</v>
      </c>
      <c r="U50" s="677">
        <v>38.386647737556437</v>
      </c>
      <c r="V50" s="677">
        <v>32.211435291660024</v>
      </c>
      <c r="W50" s="677">
        <v>31.428996559920311</v>
      </c>
      <c r="X50" s="677">
        <v>25.831553656440903</v>
      </c>
      <c r="Y50" s="677">
        <v>18.333108585152722</v>
      </c>
      <c r="Z50" s="677">
        <v>22.420050113678617</v>
      </c>
      <c r="AA50" s="677">
        <v>25.304369663240369</v>
      </c>
      <c r="AB50" s="677">
        <v>23.674448825350165</v>
      </c>
      <c r="AC50" s="677">
        <v>21.458011279651984</v>
      </c>
      <c r="AD50" s="677">
        <v>18.920639478904537</v>
      </c>
      <c r="AE50" s="677">
        <v>22.215728844761522</v>
      </c>
      <c r="AF50" s="677">
        <v>16.161308535890104</v>
      </c>
      <c r="AG50" s="677">
        <v>16.166104737697388</v>
      </c>
      <c r="AH50" s="677">
        <v>17.713212252599575</v>
      </c>
      <c r="AI50" s="677">
        <v>20.401377462400244</v>
      </c>
    </row>
    <row r="51" spans="2:35">
      <c r="B51" s="6" t="s">
        <v>1476</v>
      </c>
      <c r="C51" s="677">
        <v>19.508959997567821</v>
      </c>
      <c r="D51" s="677">
        <v>18.719462787601117</v>
      </c>
      <c r="E51" s="677">
        <v>21.550453172158644</v>
      </c>
      <c r="F51" s="677">
        <v>22.209565820159433</v>
      </c>
      <c r="G51" s="677">
        <v>24.309329766534255</v>
      </c>
      <c r="H51" s="677">
        <v>21.11806308104892</v>
      </c>
      <c r="I51" s="677">
        <v>19.336238272987909</v>
      </c>
      <c r="J51" s="677">
        <v>19.632812588792206</v>
      </c>
      <c r="K51" s="677">
        <v>18.991174385790437</v>
      </c>
      <c r="L51" s="677">
        <v>15.05096583845658</v>
      </c>
      <c r="M51" s="677">
        <v>35.882449882897561</v>
      </c>
      <c r="N51" s="677">
        <v>47.84126149792592</v>
      </c>
      <c r="O51" s="677">
        <v>41.918924234670499</v>
      </c>
      <c r="P51" s="677">
        <v>46.275896176518664</v>
      </c>
      <c r="Q51" s="677">
        <v>48.662481315630998</v>
      </c>
      <c r="R51" s="677">
        <v>47.552669878629565</v>
      </c>
      <c r="S51" s="677">
        <v>46.476346066172155</v>
      </c>
      <c r="T51" s="677">
        <v>41.828251627125084</v>
      </c>
      <c r="U51" s="677">
        <v>33.478967793935858</v>
      </c>
      <c r="V51" s="677">
        <v>34.095301754220401</v>
      </c>
      <c r="W51" s="677">
        <v>29.831092711053437</v>
      </c>
      <c r="X51" s="677">
        <v>29.187061284242123</v>
      </c>
      <c r="Y51" s="677">
        <v>27.056320471856431</v>
      </c>
      <c r="Z51" s="677">
        <v>21.764648413326455</v>
      </c>
      <c r="AA51" s="677">
        <v>21.626600043234902</v>
      </c>
      <c r="AB51" s="677">
        <v>22.186278560353131</v>
      </c>
      <c r="AC51" s="677">
        <v>19.529039380245276</v>
      </c>
      <c r="AD51" s="677">
        <v>21.099650390484019</v>
      </c>
      <c r="AE51" s="677">
        <v>20.061671070602724</v>
      </c>
      <c r="AF51" s="677">
        <v>17.47925018767976</v>
      </c>
      <c r="AG51" s="677">
        <v>17.548655495362741</v>
      </c>
      <c r="AH51" s="677">
        <v>16.96048967609271</v>
      </c>
      <c r="AI51" s="677">
        <v>16.95824254478417</v>
      </c>
    </row>
    <row r="52" spans="2:35">
      <c r="B52" s="5" t="s">
        <v>1479</v>
      </c>
      <c r="C52" s="676">
        <v>0.53819391898531332</v>
      </c>
      <c r="D52" s="676">
        <v>0.53913328761937329</v>
      </c>
      <c r="E52" s="676">
        <v>0.54407238576943517</v>
      </c>
      <c r="F52" s="676">
        <v>0.55549804438478367</v>
      </c>
      <c r="G52" s="676">
        <v>0.51416615280727973</v>
      </c>
      <c r="H52" s="676">
        <v>0.42789739562582274</v>
      </c>
      <c r="I52" s="676">
        <v>0.46247774297699551</v>
      </c>
      <c r="J52" s="676">
        <v>0.48008445222437274</v>
      </c>
      <c r="K52" s="676">
        <v>0.47808351702318308</v>
      </c>
      <c r="L52" s="676">
        <v>0.48506929832140988</v>
      </c>
      <c r="M52" s="676">
        <v>0.46106105539886988</v>
      </c>
      <c r="N52" s="676">
        <v>0.44952386597193894</v>
      </c>
      <c r="O52" s="676">
        <v>0.46881399496422538</v>
      </c>
      <c r="P52" s="676">
        <v>0.46668759381997493</v>
      </c>
      <c r="Q52" s="676">
        <v>0.46734375342683254</v>
      </c>
      <c r="R52" s="676">
        <v>0.46101770673125719</v>
      </c>
      <c r="S52" s="676">
        <v>0.45493035004951315</v>
      </c>
      <c r="T52" s="676">
        <v>0.45791243059931558</v>
      </c>
      <c r="U52" s="676">
        <v>0.44186045906642402</v>
      </c>
      <c r="V52" s="676">
        <v>0.43404580842672003</v>
      </c>
      <c r="W52" s="676">
        <v>0.42666894035695202</v>
      </c>
      <c r="X52" s="676">
        <v>0.436098145690272</v>
      </c>
      <c r="Y52" s="676">
        <v>0.43740649120955999</v>
      </c>
      <c r="Z52" s="676">
        <v>0.43301642728912798</v>
      </c>
      <c r="AA52" s="676">
        <v>0.42329941039188002</v>
      </c>
      <c r="AB52" s="676">
        <v>0.41438842328750403</v>
      </c>
      <c r="AC52" s="676">
        <v>0.40471025909529595</v>
      </c>
      <c r="AD52" s="676">
        <v>0.410679019378689</v>
      </c>
      <c r="AE52" s="676">
        <v>0.40475222088763196</v>
      </c>
      <c r="AF52" s="676">
        <v>0.37101446085844803</v>
      </c>
      <c r="AG52" s="676">
        <v>0.39082596898509597</v>
      </c>
      <c r="AH52" s="676">
        <v>0.37701789288105603</v>
      </c>
      <c r="AI52" s="676">
        <v>0.38229242790885604</v>
      </c>
    </row>
    <row r="53" spans="2:35">
      <c r="B53" s="6" t="s">
        <v>1474</v>
      </c>
      <c r="C53" s="677">
        <v>0.53819391898531332</v>
      </c>
      <c r="D53" s="677">
        <v>0.53913328761937329</v>
      </c>
      <c r="E53" s="677">
        <v>0.54407238576943517</v>
      </c>
      <c r="F53" s="677">
        <v>0.55549804438478367</v>
      </c>
      <c r="G53" s="677">
        <v>0.51416615280727973</v>
      </c>
      <c r="H53" s="677">
        <v>0.42789739562582274</v>
      </c>
      <c r="I53" s="677">
        <v>0.46247774297699551</v>
      </c>
      <c r="J53" s="677">
        <v>0.48008445222437274</v>
      </c>
      <c r="K53" s="677">
        <v>0.47808351702318308</v>
      </c>
      <c r="L53" s="677">
        <v>0.48506929832140988</v>
      </c>
      <c r="M53" s="677">
        <v>0.46106105539886988</v>
      </c>
      <c r="N53" s="677">
        <v>0.44952386597193894</v>
      </c>
      <c r="O53" s="677">
        <v>0.46881399496422538</v>
      </c>
      <c r="P53" s="677">
        <v>0.46668759381997493</v>
      </c>
      <c r="Q53" s="677">
        <v>0.46734375342683254</v>
      </c>
      <c r="R53" s="677">
        <v>0.46101770673125719</v>
      </c>
      <c r="S53" s="677">
        <v>0.45493035004951315</v>
      </c>
      <c r="T53" s="677">
        <v>0.45791243059931558</v>
      </c>
      <c r="U53" s="677">
        <v>0.44186045906642402</v>
      </c>
      <c r="V53" s="677">
        <v>0.43404580842672003</v>
      </c>
      <c r="W53" s="677">
        <v>0.42666894035695202</v>
      </c>
      <c r="X53" s="677">
        <v>0.436098145690272</v>
      </c>
      <c r="Y53" s="677">
        <v>0.43740649120955999</v>
      </c>
      <c r="Z53" s="677">
        <v>0.43301642728912798</v>
      </c>
      <c r="AA53" s="677">
        <v>0.42329941039188002</v>
      </c>
      <c r="AB53" s="677">
        <v>0.41438842328750403</v>
      </c>
      <c r="AC53" s="677">
        <v>0.40471025909529595</v>
      </c>
      <c r="AD53" s="677">
        <v>0.410679019378689</v>
      </c>
      <c r="AE53" s="677">
        <v>0.40475222088763196</v>
      </c>
      <c r="AF53" s="677">
        <v>0.37101446085844803</v>
      </c>
      <c r="AG53" s="677">
        <v>0.39082596898509597</v>
      </c>
      <c r="AH53" s="677">
        <v>0.37701789288105603</v>
      </c>
      <c r="AI53" s="677">
        <v>0.38229242790885604</v>
      </c>
    </row>
    <row r="54" spans="2:35">
      <c r="B54" s="4" t="s">
        <v>1480</v>
      </c>
      <c r="C54" s="678">
        <v>4736.4651706247942</v>
      </c>
      <c r="D54" s="678">
        <v>4686.7218337071708</v>
      </c>
      <c r="E54" s="678">
        <v>4788.2725776722991</v>
      </c>
      <c r="F54" s="678">
        <v>4902.087055245489</v>
      </c>
      <c r="G54" s="678">
        <v>4973.5514948841737</v>
      </c>
      <c r="H54" s="678">
        <v>5029.9059666978046</v>
      </c>
      <c r="I54" s="678">
        <v>5221.3426374392693</v>
      </c>
      <c r="J54" s="678">
        <v>5280.7149804742485</v>
      </c>
      <c r="K54" s="678">
        <v>5325.7687538102018</v>
      </c>
      <c r="L54" s="678">
        <v>5377.3797670405684</v>
      </c>
      <c r="M54" s="678">
        <v>5613.8809683767968</v>
      </c>
      <c r="N54" s="678">
        <v>5536.2336298510963</v>
      </c>
      <c r="O54" s="678">
        <v>5570.2841383023651</v>
      </c>
      <c r="P54" s="678">
        <v>5645.6334720019686</v>
      </c>
      <c r="Q54" s="678">
        <v>5723.0690353169439</v>
      </c>
      <c r="R54" s="678">
        <v>5753.8105428936451</v>
      </c>
      <c r="S54" s="678">
        <v>5668.0650117623536</v>
      </c>
      <c r="T54" s="678">
        <v>5755.1109335757892</v>
      </c>
      <c r="U54" s="678">
        <v>5557.0162659944835</v>
      </c>
      <c r="V54" s="678">
        <v>5184.0336253657879</v>
      </c>
      <c r="W54" s="678">
        <v>5350.0562446113754</v>
      </c>
      <c r="X54" s="678">
        <v>5211.6573979260702</v>
      </c>
      <c r="Y54" s="678">
        <v>5007.2792889955917</v>
      </c>
      <c r="Z54" s="678">
        <v>5126.0919934423346</v>
      </c>
      <c r="AA54" s="678">
        <v>5168.2501697223624</v>
      </c>
      <c r="AB54" s="678">
        <v>5012.6263794444849</v>
      </c>
      <c r="AC54" s="678">
        <v>4913.6597715717908</v>
      </c>
      <c r="AD54" s="678">
        <v>4858.2604848030087</v>
      </c>
      <c r="AE54" s="678">
        <v>4997.2988698914514</v>
      </c>
      <c r="AF54" s="678">
        <v>4867.0510007129687</v>
      </c>
      <c r="AG54" s="678">
        <v>4356.6177016758666</v>
      </c>
      <c r="AH54" s="678">
        <v>4650.5466739252752</v>
      </c>
      <c r="AI54" s="678">
        <v>4708.4366915015662</v>
      </c>
    </row>
    <row r="57" spans="2:35">
      <c r="B57" s="5" t="s">
        <v>1517</v>
      </c>
    </row>
    <row r="58" spans="2:35">
      <c r="B58" s="4" t="s">
        <v>1469</v>
      </c>
      <c r="C58" s="23">
        <v>1990</v>
      </c>
      <c r="D58" s="23">
        <v>1991</v>
      </c>
      <c r="E58" s="23">
        <v>1992</v>
      </c>
      <c r="F58" s="23">
        <v>1993</v>
      </c>
      <c r="G58" s="23">
        <v>1994</v>
      </c>
      <c r="H58" s="23">
        <v>1995</v>
      </c>
      <c r="I58" s="23">
        <v>1996</v>
      </c>
      <c r="J58" s="23">
        <v>1997</v>
      </c>
      <c r="K58" s="23">
        <v>1998</v>
      </c>
      <c r="L58" s="23">
        <v>1999</v>
      </c>
      <c r="M58" s="23">
        <v>2000</v>
      </c>
      <c r="N58" s="23">
        <v>2001</v>
      </c>
      <c r="O58" s="23">
        <v>2002</v>
      </c>
      <c r="P58" s="23">
        <v>2003</v>
      </c>
      <c r="Q58" s="23">
        <v>2004</v>
      </c>
      <c r="R58" s="23">
        <v>2005</v>
      </c>
      <c r="S58" s="23">
        <v>2006</v>
      </c>
      <c r="T58" s="23">
        <v>2007</v>
      </c>
      <c r="U58" s="23">
        <v>2008</v>
      </c>
      <c r="V58" s="23">
        <v>2009</v>
      </c>
      <c r="W58" s="23">
        <v>2010</v>
      </c>
      <c r="X58" s="23">
        <v>2011</v>
      </c>
      <c r="Y58" s="23">
        <v>2012</v>
      </c>
      <c r="Z58" s="23">
        <v>2013</v>
      </c>
      <c r="AA58" s="23">
        <v>2014</v>
      </c>
      <c r="AB58" s="23">
        <v>2015</v>
      </c>
      <c r="AC58" s="23">
        <v>2016</v>
      </c>
      <c r="AD58" s="23">
        <v>2017</v>
      </c>
      <c r="AE58" s="23">
        <v>2018</v>
      </c>
      <c r="AF58" s="23">
        <v>2019</v>
      </c>
      <c r="AG58" s="23">
        <v>2020</v>
      </c>
      <c r="AH58" s="23">
        <v>2021</v>
      </c>
      <c r="AI58" s="23">
        <v>2022</v>
      </c>
    </row>
    <row r="59" spans="2:35">
      <c r="B59" s="5" t="s">
        <v>1435</v>
      </c>
      <c r="C59" s="280">
        <f t="shared" ref="C59:C81" si="36">(AN4-C31)</f>
        <v>-3.0486893583656638E-3</v>
      </c>
      <c r="D59" s="280">
        <f t="shared" ref="D59:D81" si="37">(AO4-D31)</f>
        <v>-2.6386882270799106E-3</v>
      </c>
      <c r="E59" s="280">
        <f t="shared" ref="E59:E81" si="38">(AP4-E31)</f>
        <v>-2.9024130481047905E-3</v>
      </c>
      <c r="F59" s="280">
        <f t="shared" ref="F59:F81" si="39">(AQ4-F31)</f>
        <v>-2.7850378851326241E-3</v>
      </c>
      <c r="G59" s="280">
        <f t="shared" ref="G59:G81" si="40">(AR4-G31)</f>
        <v>-2.0699240715202905E-3</v>
      </c>
      <c r="H59" s="280">
        <f t="shared" ref="H59:H81" si="41">(AS4-H31)</f>
        <v>-3.0956647419770889E-3</v>
      </c>
      <c r="I59" s="280">
        <f t="shared" ref="I59:I81" si="42">(AT4-I31)</f>
        <v>-7.7047927973126207E-3</v>
      </c>
      <c r="J59" s="280">
        <f t="shared" ref="J59:J81" si="43">(AU4-J31)</f>
        <v>-5.3440741778558731E-3</v>
      </c>
      <c r="K59" s="280">
        <f t="shared" ref="K59:K81" si="44">(AV4-K31)</f>
        <v>-4.5580570388210617E-3</v>
      </c>
      <c r="L59" s="280">
        <f t="shared" ref="L59:L81" si="45">(AW4-L31)</f>
        <v>-3.8581617752697639E-3</v>
      </c>
      <c r="M59" s="280">
        <f t="shared" ref="M59:M81" si="46">(AX4-M31)</f>
        <v>-6.1670292561757378E-3</v>
      </c>
      <c r="N59" s="280">
        <f t="shared" ref="N59:N81" si="47">(AY4-N31)</f>
        <v>-5.3187217727099778E-3</v>
      </c>
      <c r="O59" s="280">
        <f t="shared" ref="O59:O81" si="48">(AZ4-O31)</f>
        <v>-5.8953795391971653E-3</v>
      </c>
      <c r="P59" s="280">
        <f t="shared" ref="P59:P81" si="49">(BA4-P31)</f>
        <v>-5.96370267248858E-3</v>
      </c>
      <c r="Q59" s="280">
        <f t="shared" ref="Q59:Q81" si="50">(BB4-Q31)</f>
        <v>-6.9024142112539266E-3</v>
      </c>
      <c r="R59" s="280">
        <f t="shared" ref="R59:R81" si="51">(BC4-R31)</f>
        <v>-5.2801109995925799E-3</v>
      </c>
      <c r="S59" s="280">
        <f t="shared" ref="S59:S81" si="52">(BD4-S31)</f>
        <v>-5.1913154952671903E-3</v>
      </c>
      <c r="T59" s="280">
        <f t="shared" ref="T59:T81" si="53">(BE4-T31)</f>
        <v>-5.6143385636460152E-3</v>
      </c>
      <c r="U59" s="280">
        <f t="shared" ref="U59:U81" si="54">(BF4-U31)</f>
        <v>-5.2938763938072952E-3</v>
      </c>
      <c r="V59" s="280">
        <f t="shared" ref="V59:V81" si="55">(BG4-V31)</f>
        <v>-3.444288414584662E-3</v>
      </c>
      <c r="W59" s="280">
        <f t="shared" ref="W59:W81" si="56">(BH4-W31)</f>
        <v>-4.689071502070874E-3</v>
      </c>
      <c r="X59" s="280">
        <f t="shared" ref="X59:X81" si="57">(BI4-X31)</f>
        <v>-5.3618225131231156E-3</v>
      </c>
      <c r="Y59" s="280">
        <f t="shared" ref="Y59:Y81" si="58">(BJ4-Y31)</f>
        <v>-5.7814130509541428E-3</v>
      </c>
      <c r="Z59" s="280">
        <f t="shared" ref="Z59:Z81" si="59">(BK4-Z31)</f>
        <v>-5.5172544018660119E-3</v>
      </c>
      <c r="AA59" s="280">
        <f t="shared" ref="AA59:AA81" si="60">(BL4-AA31)</f>
        <v>-5.0055059757596609E-3</v>
      </c>
      <c r="AB59" s="280">
        <f t="shared" ref="AB59:AB81" si="61">(BM4-AB31)</f>
        <v>-4.7064815566955076E-3</v>
      </c>
      <c r="AC59" s="280">
        <f t="shared" ref="AC59:AC81" si="62">(BN4-AC31)</f>
        <v>-4.0077785195080651E-3</v>
      </c>
      <c r="AD59" s="280">
        <f t="shared" ref="AD59:AD81" si="63">(BO4-AD31)</f>
        <v>-4.4054782815692306E-3</v>
      </c>
      <c r="AE59" s="280">
        <f t="shared" ref="AE59:AE81" si="64">(BP4-AE31)</f>
        <v>-5.3303340073398431E-3</v>
      </c>
      <c r="AF59" s="280">
        <f t="shared" ref="AF59:AF81" si="65">(BQ4-AF31)</f>
        <v>-5.1126195403412567E-3</v>
      </c>
      <c r="AG59" s="280">
        <f t="shared" ref="AG59:AG81" si="66">(BR4-AG31)</f>
        <v>-2.3912966091756971E-3</v>
      </c>
      <c r="AH59" s="280">
        <f t="shared" ref="AH59:AH81" si="67">(BS4-AH31)</f>
        <v>-6.000404278552196E-3</v>
      </c>
      <c r="AI59" s="280">
        <f t="shared" ref="AI59:AI81" si="68">(BT4-AI31)</f>
        <v>4.0299217130889247</v>
      </c>
    </row>
    <row r="60" spans="2:35">
      <c r="B60" s="6" t="s">
        <v>1434</v>
      </c>
      <c r="C60" s="675">
        <f t="shared" si="36"/>
        <v>0</v>
      </c>
      <c r="D60" s="675">
        <f t="shared" si="37"/>
        <v>0</v>
      </c>
      <c r="E60" s="675">
        <f t="shared" si="38"/>
        <v>0</v>
      </c>
      <c r="F60" s="675">
        <f t="shared" si="39"/>
        <v>0</v>
      </c>
      <c r="G60" s="675">
        <f t="shared" si="40"/>
        <v>0</v>
      </c>
      <c r="H60" s="675">
        <f t="shared" si="41"/>
        <v>0</v>
      </c>
      <c r="I60" s="675">
        <f t="shared" si="42"/>
        <v>0</v>
      </c>
      <c r="J60" s="675">
        <f t="shared" si="43"/>
        <v>0</v>
      </c>
      <c r="K60" s="675">
        <f t="shared" si="44"/>
        <v>0</v>
      </c>
      <c r="L60" s="675">
        <f t="shared" si="45"/>
        <v>0</v>
      </c>
      <c r="M60" s="675">
        <f t="shared" si="46"/>
        <v>0</v>
      </c>
      <c r="N60" s="675">
        <f t="shared" si="47"/>
        <v>0</v>
      </c>
      <c r="O60" s="675">
        <f t="shared" si="48"/>
        <v>0</v>
      </c>
      <c r="P60" s="675">
        <f t="shared" si="49"/>
        <v>0</v>
      </c>
      <c r="Q60" s="675">
        <f t="shared" si="50"/>
        <v>0</v>
      </c>
      <c r="R60" s="675">
        <f t="shared" si="51"/>
        <v>0</v>
      </c>
      <c r="S60" s="675">
        <f t="shared" si="52"/>
        <v>0</v>
      </c>
      <c r="T60" s="675">
        <f t="shared" si="53"/>
        <v>0</v>
      </c>
      <c r="U60" s="675">
        <f t="shared" si="54"/>
        <v>0</v>
      </c>
      <c r="V60" s="675">
        <f t="shared" si="55"/>
        <v>0</v>
      </c>
      <c r="W60" s="675">
        <f t="shared" si="56"/>
        <v>0</v>
      </c>
      <c r="X60" s="675">
        <f t="shared" si="57"/>
        <v>0</v>
      </c>
      <c r="Y60" s="675">
        <f t="shared" si="58"/>
        <v>0</v>
      </c>
      <c r="Z60" s="675">
        <f t="shared" si="59"/>
        <v>0</v>
      </c>
      <c r="AA60" s="675">
        <f t="shared" si="60"/>
        <v>0</v>
      </c>
      <c r="AB60" s="675">
        <f t="shared" si="61"/>
        <v>0</v>
      </c>
      <c r="AC60" s="675">
        <f t="shared" si="62"/>
        <v>0</v>
      </c>
      <c r="AD60" s="675">
        <f t="shared" si="63"/>
        <v>0</v>
      </c>
      <c r="AE60" s="675">
        <f t="shared" si="64"/>
        <v>0</v>
      </c>
      <c r="AF60" s="675">
        <f t="shared" si="65"/>
        <v>0</v>
      </c>
      <c r="AG60" s="675">
        <f t="shared" si="66"/>
        <v>0</v>
      </c>
      <c r="AH60" s="675">
        <f t="shared" si="67"/>
        <v>0</v>
      </c>
      <c r="AI60" s="675">
        <f t="shared" si="68"/>
        <v>0</v>
      </c>
    </row>
    <row r="61" spans="2:35">
      <c r="B61" s="6" t="s">
        <v>1441</v>
      </c>
      <c r="C61" s="675">
        <f t="shared" si="36"/>
        <v>0</v>
      </c>
      <c r="D61" s="675">
        <f t="shared" si="37"/>
        <v>0</v>
      </c>
      <c r="E61" s="675">
        <f t="shared" si="38"/>
        <v>0</v>
      </c>
      <c r="F61" s="675">
        <f t="shared" si="39"/>
        <v>0</v>
      </c>
      <c r="G61" s="675">
        <f t="shared" si="40"/>
        <v>0</v>
      </c>
      <c r="H61" s="675">
        <f t="shared" si="41"/>
        <v>0</v>
      </c>
      <c r="I61" s="675">
        <f t="shared" si="42"/>
        <v>0</v>
      </c>
      <c r="J61" s="675">
        <f t="shared" si="43"/>
        <v>0</v>
      </c>
      <c r="K61" s="675">
        <f t="shared" si="44"/>
        <v>0</v>
      </c>
      <c r="L61" s="675">
        <f t="shared" si="45"/>
        <v>0</v>
      </c>
      <c r="M61" s="675">
        <f t="shared" si="46"/>
        <v>0</v>
      </c>
      <c r="N61" s="675">
        <f t="shared" si="47"/>
        <v>0</v>
      </c>
      <c r="O61" s="675">
        <f t="shared" si="48"/>
        <v>0</v>
      </c>
      <c r="P61" s="675">
        <f t="shared" si="49"/>
        <v>0</v>
      </c>
      <c r="Q61" s="675">
        <f t="shared" si="50"/>
        <v>0</v>
      </c>
      <c r="R61" s="675">
        <f t="shared" si="51"/>
        <v>0</v>
      </c>
      <c r="S61" s="675">
        <f t="shared" si="52"/>
        <v>0</v>
      </c>
      <c r="T61" s="675">
        <f t="shared" si="53"/>
        <v>0</v>
      </c>
      <c r="U61" s="675">
        <f t="shared" si="54"/>
        <v>0</v>
      </c>
      <c r="V61" s="675">
        <f t="shared" si="55"/>
        <v>0</v>
      </c>
      <c r="W61" s="675">
        <f t="shared" si="56"/>
        <v>0</v>
      </c>
      <c r="X61" s="675">
        <f t="shared" si="57"/>
        <v>0</v>
      </c>
      <c r="Y61" s="675">
        <f t="shared" si="58"/>
        <v>0</v>
      </c>
      <c r="Z61" s="675">
        <f t="shared" si="59"/>
        <v>0</v>
      </c>
      <c r="AA61" s="675">
        <f t="shared" si="60"/>
        <v>0</v>
      </c>
      <c r="AB61" s="675">
        <f t="shared" si="61"/>
        <v>0</v>
      </c>
      <c r="AC61" s="675">
        <f t="shared" si="62"/>
        <v>0</v>
      </c>
      <c r="AD61" s="675">
        <f t="shared" si="63"/>
        <v>0</v>
      </c>
      <c r="AE61" s="675">
        <f t="shared" si="64"/>
        <v>0</v>
      </c>
      <c r="AF61" s="675">
        <f t="shared" si="65"/>
        <v>0</v>
      </c>
      <c r="AG61" s="675">
        <f t="shared" si="66"/>
        <v>0</v>
      </c>
      <c r="AH61" s="675">
        <f t="shared" si="67"/>
        <v>0</v>
      </c>
      <c r="AI61" s="675">
        <f t="shared" si="68"/>
        <v>1.25343406351619E-3</v>
      </c>
    </row>
    <row r="62" spans="2:35">
      <c r="B62" s="6" t="s">
        <v>1443</v>
      </c>
      <c r="C62" s="675">
        <f t="shared" si="36"/>
        <v>-3.0486893584225072E-3</v>
      </c>
      <c r="D62" s="675">
        <f t="shared" si="37"/>
        <v>-2.6386882271651757E-3</v>
      </c>
      <c r="E62" s="675">
        <f t="shared" si="38"/>
        <v>-2.9024130481900556E-3</v>
      </c>
      <c r="F62" s="675">
        <f t="shared" si="39"/>
        <v>-2.7850378851042024E-3</v>
      </c>
      <c r="G62" s="675">
        <f t="shared" si="40"/>
        <v>-2.0699240714350253E-3</v>
      </c>
      <c r="H62" s="675">
        <f t="shared" si="41"/>
        <v>-3.0956647418349803E-3</v>
      </c>
      <c r="I62" s="675">
        <f t="shared" si="42"/>
        <v>-7.7047927973126207E-3</v>
      </c>
      <c r="J62" s="675">
        <f t="shared" si="43"/>
        <v>-5.3440741778842948E-3</v>
      </c>
      <c r="K62" s="675">
        <f t="shared" si="44"/>
        <v>-4.5580570388210617E-3</v>
      </c>
      <c r="L62" s="675">
        <f t="shared" si="45"/>
        <v>-3.8581617752981856E-3</v>
      </c>
      <c r="M62" s="675">
        <f t="shared" si="46"/>
        <v>-6.1670292560336293E-3</v>
      </c>
      <c r="N62" s="675">
        <f t="shared" si="47"/>
        <v>-5.3187217726815561E-3</v>
      </c>
      <c r="O62" s="675">
        <f t="shared" si="48"/>
        <v>-5.8953795391829544E-3</v>
      </c>
      <c r="P62" s="675">
        <f t="shared" si="49"/>
        <v>-5.9637026724601583E-3</v>
      </c>
      <c r="Q62" s="675">
        <f t="shared" si="50"/>
        <v>-6.9024142114955112E-3</v>
      </c>
      <c r="R62" s="675">
        <f t="shared" si="51"/>
        <v>-5.2801109996494233E-3</v>
      </c>
      <c r="S62" s="675">
        <f t="shared" si="52"/>
        <v>-5.1913154948408646E-3</v>
      </c>
      <c r="T62" s="675">
        <f t="shared" si="53"/>
        <v>-5.6143385635039067E-3</v>
      </c>
      <c r="U62" s="675">
        <f t="shared" si="54"/>
        <v>-5.293876393736241E-3</v>
      </c>
      <c r="V62" s="675">
        <f t="shared" si="55"/>
        <v>-3.4442884145704511E-3</v>
      </c>
      <c r="W62" s="675">
        <f t="shared" si="56"/>
        <v>-4.6890715020566631E-3</v>
      </c>
      <c r="X62" s="675">
        <f t="shared" si="57"/>
        <v>-5.3618225132368025E-3</v>
      </c>
      <c r="Y62" s="675">
        <f t="shared" si="58"/>
        <v>-5.7814130510536188E-3</v>
      </c>
      <c r="Z62" s="675">
        <f t="shared" si="59"/>
        <v>-5.5172544017665359E-3</v>
      </c>
      <c r="AA62" s="675">
        <f t="shared" si="60"/>
        <v>-5.0055059758875586E-3</v>
      </c>
      <c r="AB62" s="675">
        <f t="shared" si="61"/>
        <v>-4.706481556752351E-3</v>
      </c>
      <c r="AC62" s="675">
        <f t="shared" si="62"/>
        <v>-4.0077785195151705E-3</v>
      </c>
      <c r="AD62" s="675">
        <f t="shared" si="63"/>
        <v>-4.4054782813631732E-3</v>
      </c>
      <c r="AE62" s="675">
        <f t="shared" si="64"/>
        <v>-5.3303340072901051E-3</v>
      </c>
      <c r="AF62" s="675">
        <f t="shared" si="65"/>
        <v>-5.1126195402915187E-3</v>
      </c>
      <c r="AG62" s="675">
        <f t="shared" si="66"/>
        <v>-2.3912966091828025E-3</v>
      </c>
      <c r="AH62" s="675">
        <f t="shared" si="67"/>
        <v>-6.0004042785948286E-3</v>
      </c>
      <c r="AI62" s="675">
        <f t="shared" si="68"/>
        <v>8.2361283898961801E-3</v>
      </c>
    </row>
    <row r="63" spans="2:35">
      <c r="B63" s="6" t="s">
        <v>1445</v>
      </c>
      <c r="C63" s="675">
        <f t="shared" si="36"/>
        <v>0</v>
      </c>
      <c r="D63" s="675">
        <f t="shared" si="37"/>
        <v>0</v>
      </c>
      <c r="E63" s="675">
        <f t="shared" si="38"/>
        <v>0</v>
      </c>
      <c r="F63" s="675">
        <f t="shared" si="39"/>
        <v>0</v>
      </c>
      <c r="G63" s="675">
        <f t="shared" si="40"/>
        <v>0</v>
      </c>
      <c r="H63" s="675">
        <f t="shared" si="41"/>
        <v>0</v>
      </c>
      <c r="I63" s="675">
        <f t="shared" si="42"/>
        <v>0</v>
      </c>
      <c r="J63" s="675">
        <f t="shared" si="43"/>
        <v>0</v>
      </c>
      <c r="K63" s="675">
        <f t="shared" si="44"/>
        <v>0</v>
      </c>
      <c r="L63" s="675">
        <f t="shared" si="45"/>
        <v>0</v>
      </c>
      <c r="M63" s="675">
        <f t="shared" si="46"/>
        <v>0</v>
      </c>
      <c r="N63" s="675">
        <f t="shared" si="47"/>
        <v>0</v>
      </c>
      <c r="O63" s="675">
        <f t="shared" si="48"/>
        <v>0</v>
      </c>
      <c r="P63" s="675">
        <f t="shared" si="49"/>
        <v>0</v>
      </c>
      <c r="Q63" s="675">
        <f t="shared" si="50"/>
        <v>0</v>
      </c>
      <c r="R63" s="675">
        <f t="shared" si="51"/>
        <v>0</v>
      </c>
      <c r="S63" s="675">
        <f t="shared" si="52"/>
        <v>0</v>
      </c>
      <c r="T63" s="675">
        <f t="shared" si="53"/>
        <v>0</v>
      </c>
      <c r="U63" s="675">
        <f t="shared" si="54"/>
        <v>0</v>
      </c>
      <c r="V63" s="675">
        <f t="shared" si="55"/>
        <v>0</v>
      </c>
      <c r="W63" s="675">
        <f t="shared" si="56"/>
        <v>0</v>
      </c>
      <c r="X63" s="675">
        <f t="shared" si="57"/>
        <v>0</v>
      </c>
      <c r="Y63" s="675">
        <f t="shared" si="58"/>
        <v>0</v>
      </c>
      <c r="Z63" s="675">
        <f t="shared" si="59"/>
        <v>0</v>
      </c>
      <c r="AA63" s="675">
        <f t="shared" si="60"/>
        <v>0</v>
      </c>
      <c r="AB63" s="675">
        <f t="shared" si="61"/>
        <v>0</v>
      </c>
      <c r="AC63" s="675">
        <f t="shared" si="62"/>
        <v>0</v>
      </c>
      <c r="AD63" s="675">
        <f t="shared" si="63"/>
        <v>0</v>
      </c>
      <c r="AE63" s="675">
        <f t="shared" si="64"/>
        <v>0</v>
      </c>
      <c r="AF63" s="675">
        <f t="shared" si="65"/>
        <v>0</v>
      </c>
      <c r="AG63" s="675">
        <f t="shared" si="66"/>
        <v>0</v>
      </c>
      <c r="AH63" s="675">
        <f t="shared" si="67"/>
        <v>0</v>
      </c>
      <c r="AI63" s="675">
        <f t="shared" si="68"/>
        <v>0</v>
      </c>
    </row>
    <row r="64" spans="2:35">
      <c r="B64" s="6" t="s">
        <v>1474</v>
      </c>
      <c r="C64" s="675">
        <f t="shared" si="36"/>
        <v>0</v>
      </c>
      <c r="D64" s="675">
        <f t="shared" si="37"/>
        <v>0</v>
      </c>
      <c r="E64" s="675">
        <f t="shared" si="38"/>
        <v>0</v>
      </c>
      <c r="F64" s="675">
        <f t="shared" si="39"/>
        <v>0</v>
      </c>
      <c r="G64" s="675">
        <f t="shared" si="40"/>
        <v>0</v>
      </c>
      <c r="H64" s="675">
        <f t="shared" si="41"/>
        <v>0</v>
      </c>
      <c r="I64" s="675">
        <f t="shared" si="42"/>
        <v>0</v>
      </c>
      <c r="J64" s="675">
        <f t="shared" si="43"/>
        <v>0</v>
      </c>
      <c r="K64" s="675">
        <f t="shared" si="44"/>
        <v>0</v>
      </c>
      <c r="L64" s="675">
        <f t="shared" si="45"/>
        <v>0</v>
      </c>
      <c r="M64" s="675">
        <f t="shared" si="46"/>
        <v>0</v>
      </c>
      <c r="N64" s="675">
        <f t="shared" si="47"/>
        <v>0</v>
      </c>
      <c r="O64" s="675">
        <f t="shared" si="48"/>
        <v>0</v>
      </c>
      <c r="P64" s="675">
        <f t="shared" si="49"/>
        <v>0</v>
      </c>
      <c r="Q64" s="675">
        <f t="shared" si="50"/>
        <v>0</v>
      </c>
      <c r="R64" s="675">
        <f t="shared" si="51"/>
        <v>0</v>
      </c>
      <c r="S64" s="675">
        <f t="shared" si="52"/>
        <v>0</v>
      </c>
      <c r="T64" s="675">
        <f t="shared" si="53"/>
        <v>0</v>
      </c>
      <c r="U64" s="675">
        <f t="shared" si="54"/>
        <v>0</v>
      </c>
      <c r="V64" s="675">
        <f t="shared" si="55"/>
        <v>0</v>
      </c>
      <c r="W64" s="675">
        <f t="shared" si="56"/>
        <v>0</v>
      </c>
      <c r="X64" s="675">
        <f t="shared" si="57"/>
        <v>0</v>
      </c>
      <c r="Y64" s="675">
        <f t="shared" si="58"/>
        <v>0</v>
      </c>
      <c r="Z64" s="675">
        <f t="shared" si="59"/>
        <v>0</v>
      </c>
      <c r="AA64" s="675">
        <f t="shared" si="60"/>
        <v>0</v>
      </c>
      <c r="AB64" s="675">
        <f t="shared" si="61"/>
        <v>0</v>
      </c>
      <c r="AC64" s="675">
        <f t="shared" si="62"/>
        <v>0</v>
      </c>
      <c r="AD64" s="675">
        <f t="shared" si="63"/>
        <v>0</v>
      </c>
      <c r="AE64" s="675">
        <f t="shared" si="64"/>
        <v>0</v>
      </c>
      <c r="AF64" s="675">
        <f t="shared" si="65"/>
        <v>0</v>
      </c>
      <c r="AG64" s="675">
        <f t="shared" si="66"/>
        <v>0</v>
      </c>
      <c r="AH64" s="675">
        <f t="shared" si="67"/>
        <v>0</v>
      </c>
      <c r="AI64" s="675">
        <f t="shared" si="68"/>
        <v>4.0204321506355427</v>
      </c>
    </row>
    <row r="65" spans="2:37">
      <c r="B65" s="6" t="s">
        <v>1476</v>
      </c>
      <c r="C65" s="675">
        <f t="shared" si="36"/>
        <v>0</v>
      </c>
      <c r="D65" s="675">
        <f t="shared" si="37"/>
        <v>0</v>
      </c>
      <c r="E65" s="675">
        <f t="shared" si="38"/>
        <v>0</v>
      </c>
      <c r="F65" s="675">
        <f t="shared" si="39"/>
        <v>0</v>
      </c>
      <c r="G65" s="675">
        <f t="shared" si="40"/>
        <v>0</v>
      </c>
      <c r="H65" s="675">
        <f t="shared" si="41"/>
        <v>0</v>
      </c>
      <c r="I65" s="675">
        <f t="shared" si="42"/>
        <v>0</v>
      </c>
      <c r="J65" s="675">
        <f t="shared" si="43"/>
        <v>0</v>
      </c>
      <c r="K65" s="675">
        <f t="shared" si="44"/>
        <v>0</v>
      </c>
      <c r="L65" s="675">
        <f t="shared" si="45"/>
        <v>0</v>
      </c>
      <c r="M65" s="675">
        <f t="shared" si="46"/>
        <v>0</v>
      </c>
      <c r="N65" s="675">
        <f t="shared" si="47"/>
        <v>0</v>
      </c>
      <c r="O65" s="675">
        <f t="shared" si="48"/>
        <v>0</v>
      </c>
      <c r="P65" s="675">
        <f t="shared" si="49"/>
        <v>0</v>
      </c>
      <c r="Q65" s="675">
        <f t="shared" si="50"/>
        <v>0</v>
      </c>
      <c r="R65" s="675">
        <f t="shared" si="51"/>
        <v>0</v>
      </c>
      <c r="S65" s="675">
        <f t="shared" si="52"/>
        <v>0</v>
      </c>
      <c r="T65" s="675">
        <f t="shared" si="53"/>
        <v>0</v>
      </c>
      <c r="U65" s="675">
        <f t="shared" si="54"/>
        <v>0</v>
      </c>
      <c r="V65" s="675">
        <f t="shared" si="55"/>
        <v>0</v>
      </c>
      <c r="W65" s="675">
        <f t="shared" si="56"/>
        <v>0</v>
      </c>
      <c r="X65" s="675">
        <f t="shared" si="57"/>
        <v>0</v>
      </c>
      <c r="Y65" s="675">
        <f t="shared" si="58"/>
        <v>0</v>
      </c>
      <c r="Z65" s="675">
        <f t="shared" si="59"/>
        <v>0</v>
      </c>
      <c r="AA65" s="675">
        <f t="shared" si="60"/>
        <v>0</v>
      </c>
      <c r="AB65" s="675">
        <f t="shared" si="61"/>
        <v>0</v>
      </c>
      <c r="AC65" s="675">
        <f t="shared" si="62"/>
        <v>0</v>
      </c>
      <c r="AD65" s="675">
        <f t="shared" si="63"/>
        <v>0</v>
      </c>
      <c r="AE65" s="675">
        <f t="shared" si="64"/>
        <v>0</v>
      </c>
      <c r="AF65" s="675">
        <f t="shared" si="65"/>
        <v>0</v>
      </c>
      <c r="AG65" s="675">
        <f t="shared" si="66"/>
        <v>0</v>
      </c>
      <c r="AH65" s="675">
        <f t="shared" si="67"/>
        <v>0</v>
      </c>
      <c r="AI65" s="675">
        <f t="shared" si="68"/>
        <v>0</v>
      </c>
      <c r="AJ65" s="1050">
        <f>AVERAGE(C65:AH65)</f>
        <v>0</v>
      </c>
    </row>
    <row r="66" spans="2:37">
      <c r="B66" s="5" t="s">
        <v>1439</v>
      </c>
      <c r="C66" s="280">
        <f t="shared" si="36"/>
        <v>0</v>
      </c>
      <c r="D66" s="280">
        <f t="shared" si="37"/>
        <v>0</v>
      </c>
      <c r="E66" s="280">
        <f t="shared" si="38"/>
        <v>0</v>
      </c>
      <c r="F66" s="280">
        <f t="shared" si="39"/>
        <v>0</v>
      </c>
      <c r="G66" s="280">
        <f t="shared" si="40"/>
        <v>0</v>
      </c>
      <c r="H66" s="280">
        <f t="shared" si="41"/>
        <v>0</v>
      </c>
      <c r="I66" s="280">
        <f t="shared" si="42"/>
        <v>0</v>
      </c>
      <c r="J66" s="280">
        <f t="shared" si="43"/>
        <v>0</v>
      </c>
      <c r="K66" s="280">
        <f t="shared" si="44"/>
        <v>0</v>
      </c>
      <c r="L66" s="280">
        <f t="shared" si="45"/>
        <v>0</v>
      </c>
      <c r="M66" s="280">
        <f t="shared" si="46"/>
        <v>0</v>
      </c>
      <c r="N66" s="280">
        <f t="shared" si="47"/>
        <v>0</v>
      </c>
      <c r="O66" s="280">
        <f t="shared" si="48"/>
        <v>0</v>
      </c>
      <c r="P66" s="280">
        <f t="shared" si="49"/>
        <v>0</v>
      </c>
      <c r="Q66" s="280">
        <f t="shared" si="50"/>
        <v>0</v>
      </c>
      <c r="R66" s="280">
        <f t="shared" si="51"/>
        <v>0</v>
      </c>
      <c r="S66" s="280">
        <f t="shared" si="52"/>
        <v>0</v>
      </c>
      <c r="T66" s="280">
        <f t="shared" si="53"/>
        <v>0</v>
      </c>
      <c r="U66" s="280">
        <f t="shared" si="54"/>
        <v>0</v>
      </c>
      <c r="V66" s="280">
        <f t="shared" si="55"/>
        <v>0</v>
      </c>
      <c r="W66" s="280">
        <f t="shared" si="56"/>
        <v>0</v>
      </c>
      <c r="X66" s="280">
        <f t="shared" si="57"/>
        <v>0</v>
      </c>
      <c r="Y66" s="280">
        <f t="shared" si="58"/>
        <v>0</v>
      </c>
      <c r="Z66" s="280">
        <f t="shared" si="59"/>
        <v>0</v>
      </c>
      <c r="AA66" s="280">
        <f t="shared" si="60"/>
        <v>0</v>
      </c>
      <c r="AB66" s="280">
        <f t="shared" si="61"/>
        <v>0</v>
      </c>
      <c r="AC66" s="280">
        <f t="shared" si="62"/>
        <v>0</v>
      </c>
      <c r="AD66" s="280">
        <f t="shared" si="63"/>
        <v>0</v>
      </c>
      <c r="AE66" s="280">
        <f t="shared" si="64"/>
        <v>0</v>
      </c>
      <c r="AF66" s="280">
        <f t="shared" si="65"/>
        <v>-8.8054902307703742E-3</v>
      </c>
      <c r="AG66" s="280">
        <f t="shared" si="66"/>
        <v>3.3393612906293129</v>
      </c>
      <c r="AH66" s="280">
        <f t="shared" si="67"/>
        <v>1.253095630235066</v>
      </c>
      <c r="AI66" s="280">
        <f t="shared" si="68"/>
        <v>-3.2723609616698468</v>
      </c>
      <c r="AJ66" s="1">
        <f>AVERAGE(AE66:AH66)</f>
        <v>1.1459128576584021</v>
      </c>
    </row>
    <row r="67" spans="2:37">
      <c r="B67" s="6" t="s">
        <v>1434</v>
      </c>
      <c r="C67" s="675">
        <f t="shared" si="36"/>
        <v>0</v>
      </c>
      <c r="D67" s="675">
        <f t="shared" si="37"/>
        <v>0</v>
      </c>
      <c r="E67" s="675">
        <f t="shared" si="38"/>
        <v>0</v>
      </c>
      <c r="F67" s="675">
        <f t="shared" si="39"/>
        <v>0</v>
      </c>
      <c r="G67" s="675">
        <f t="shared" si="40"/>
        <v>0</v>
      </c>
      <c r="H67" s="675">
        <f t="shared" si="41"/>
        <v>0</v>
      </c>
      <c r="I67" s="675">
        <f t="shared" si="42"/>
        <v>0</v>
      </c>
      <c r="J67" s="675">
        <f t="shared" si="43"/>
        <v>0</v>
      </c>
      <c r="K67" s="675">
        <f t="shared" si="44"/>
        <v>0</v>
      </c>
      <c r="L67" s="675">
        <f t="shared" si="45"/>
        <v>0</v>
      </c>
      <c r="M67" s="675">
        <f t="shared" si="46"/>
        <v>0</v>
      </c>
      <c r="N67" s="675">
        <f t="shared" si="47"/>
        <v>0</v>
      </c>
      <c r="O67" s="675">
        <f t="shared" si="48"/>
        <v>0</v>
      </c>
      <c r="P67" s="675">
        <f t="shared" si="49"/>
        <v>0</v>
      </c>
      <c r="Q67" s="675">
        <f t="shared" si="50"/>
        <v>0</v>
      </c>
      <c r="R67" s="675">
        <f t="shared" si="51"/>
        <v>0</v>
      </c>
      <c r="S67" s="675">
        <f t="shared" si="52"/>
        <v>0</v>
      </c>
      <c r="T67" s="675">
        <f t="shared" si="53"/>
        <v>0</v>
      </c>
      <c r="U67" s="675">
        <f t="shared" si="54"/>
        <v>0</v>
      </c>
      <c r="V67" s="675">
        <f t="shared" si="55"/>
        <v>0</v>
      </c>
      <c r="W67" s="675">
        <f t="shared" si="56"/>
        <v>0</v>
      </c>
      <c r="X67" s="675">
        <f t="shared" si="57"/>
        <v>0</v>
      </c>
      <c r="Y67" s="675">
        <f t="shared" si="58"/>
        <v>0</v>
      </c>
      <c r="Z67" s="675">
        <f t="shared" si="59"/>
        <v>0</v>
      </c>
      <c r="AA67" s="675">
        <f t="shared" si="60"/>
        <v>0</v>
      </c>
      <c r="AB67" s="675">
        <f t="shared" si="61"/>
        <v>0</v>
      </c>
      <c r="AC67" s="675">
        <f t="shared" si="62"/>
        <v>0</v>
      </c>
      <c r="AD67" s="675">
        <f t="shared" si="63"/>
        <v>0</v>
      </c>
      <c r="AE67" s="675">
        <f t="shared" si="64"/>
        <v>0</v>
      </c>
      <c r="AF67" s="675">
        <f t="shared" si="65"/>
        <v>0</v>
      </c>
      <c r="AG67" s="675">
        <f t="shared" si="66"/>
        <v>6.3486148371794116E-4</v>
      </c>
      <c r="AH67" s="675">
        <f t="shared" si="67"/>
        <v>2.6240941325909262E-2</v>
      </c>
      <c r="AI67" s="675">
        <f t="shared" si="68"/>
        <v>-1.4936933931739986</v>
      </c>
    </row>
    <row r="68" spans="2:37">
      <c r="B68" s="6" t="s">
        <v>1441</v>
      </c>
      <c r="C68" s="675">
        <f t="shared" si="36"/>
        <v>0</v>
      </c>
      <c r="D68" s="675">
        <f t="shared" si="37"/>
        <v>0</v>
      </c>
      <c r="E68" s="675">
        <f t="shared" si="38"/>
        <v>0</v>
      </c>
      <c r="F68" s="675">
        <f t="shared" si="39"/>
        <v>0</v>
      </c>
      <c r="G68" s="675">
        <f t="shared" si="40"/>
        <v>0</v>
      </c>
      <c r="H68" s="675">
        <f t="shared" si="41"/>
        <v>0</v>
      </c>
      <c r="I68" s="675">
        <f t="shared" si="42"/>
        <v>0</v>
      </c>
      <c r="J68" s="675">
        <f t="shared" si="43"/>
        <v>0</v>
      </c>
      <c r="K68" s="675">
        <f t="shared" si="44"/>
        <v>0</v>
      </c>
      <c r="L68" s="675">
        <f t="shared" si="45"/>
        <v>0</v>
      </c>
      <c r="M68" s="675">
        <f t="shared" si="46"/>
        <v>0</v>
      </c>
      <c r="N68" s="675">
        <f t="shared" si="47"/>
        <v>0</v>
      </c>
      <c r="O68" s="675">
        <f t="shared" si="48"/>
        <v>0</v>
      </c>
      <c r="P68" s="675">
        <f t="shared" si="49"/>
        <v>0</v>
      </c>
      <c r="Q68" s="675">
        <f t="shared" si="50"/>
        <v>0</v>
      </c>
      <c r="R68" s="675">
        <f t="shared" si="51"/>
        <v>0</v>
      </c>
      <c r="S68" s="675">
        <f t="shared" si="52"/>
        <v>0</v>
      </c>
      <c r="T68" s="675">
        <f t="shared" si="53"/>
        <v>0</v>
      </c>
      <c r="U68" s="675">
        <f t="shared" si="54"/>
        <v>0</v>
      </c>
      <c r="V68" s="675">
        <f t="shared" si="55"/>
        <v>0</v>
      </c>
      <c r="W68" s="675">
        <f t="shared" si="56"/>
        <v>0</v>
      </c>
      <c r="X68" s="675">
        <f t="shared" si="57"/>
        <v>0</v>
      </c>
      <c r="Y68" s="675">
        <f t="shared" si="58"/>
        <v>0</v>
      </c>
      <c r="Z68" s="675">
        <f t="shared" si="59"/>
        <v>0</v>
      </c>
      <c r="AA68" s="675">
        <f t="shared" si="60"/>
        <v>0</v>
      </c>
      <c r="AB68" s="675">
        <f t="shared" si="61"/>
        <v>0</v>
      </c>
      <c r="AC68" s="675">
        <f t="shared" si="62"/>
        <v>0</v>
      </c>
      <c r="AD68" s="675">
        <f t="shared" si="63"/>
        <v>0</v>
      </c>
      <c r="AE68" s="675">
        <f t="shared" si="64"/>
        <v>0</v>
      </c>
      <c r="AF68" s="675">
        <f t="shared" si="65"/>
        <v>0</v>
      </c>
      <c r="AG68" s="675">
        <f t="shared" si="66"/>
        <v>-0.39922206299459617</v>
      </c>
      <c r="AH68" s="675">
        <f t="shared" si="67"/>
        <v>-0.50042956451974874</v>
      </c>
      <c r="AI68" s="675">
        <f t="shared" si="68"/>
        <v>-0.90202634286475813</v>
      </c>
    </row>
    <row r="69" spans="2:37">
      <c r="B69" s="6" t="s">
        <v>1443</v>
      </c>
      <c r="C69" s="675">
        <f t="shared" si="36"/>
        <v>0</v>
      </c>
      <c r="D69" s="675">
        <f t="shared" si="37"/>
        <v>0</v>
      </c>
      <c r="E69" s="675">
        <f t="shared" si="38"/>
        <v>0</v>
      </c>
      <c r="F69" s="675">
        <f t="shared" si="39"/>
        <v>0</v>
      </c>
      <c r="G69" s="675">
        <f t="shared" si="40"/>
        <v>0</v>
      </c>
      <c r="H69" s="675">
        <f t="shared" si="41"/>
        <v>0</v>
      </c>
      <c r="I69" s="675">
        <f t="shared" si="42"/>
        <v>0</v>
      </c>
      <c r="J69" s="675">
        <f t="shared" si="43"/>
        <v>0</v>
      </c>
      <c r="K69" s="675">
        <f t="shared" si="44"/>
        <v>0</v>
      </c>
      <c r="L69" s="675">
        <f t="shared" si="45"/>
        <v>0</v>
      </c>
      <c r="M69" s="675">
        <f t="shared" si="46"/>
        <v>0</v>
      </c>
      <c r="N69" s="675">
        <f t="shared" si="47"/>
        <v>0</v>
      </c>
      <c r="O69" s="675">
        <f t="shared" si="48"/>
        <v>0</v>
      </c>
      <c r="P69" s="675">
        <f t="shared" si="49"/>
        <v>0</v>
      </c>
      <c r="Q69" s="675">
        <f t="shared" si="50"/>
        <v>0</v>
      </c>
      <c r="R69" s="675">
        <f t="shared" si="51"/>
        <v>0</v>
      </c>
      <c r="S69" s="675">
        <f t="shared" si="52"/>
        <v>0</v>
      </c>
      <c r="T69" s="675">
        <f t="shared" si="53"/>
        <v>0</v>
      </c>
      <c r="U69" s="675">
        <f t="shared" si="54"/>
        <v>0</v>
      </c>
      <c r="V69" s="675">
        <f t="shared" si="55"/>
        <v>0</v>
      </c>
      <c r="W69" s="675">
        <f t="shared" si="56"/>
        <v>0</v>
      </c>
      <c r="X69" s="675">
        <f t="shared" si="57"/>
        <v>0</v>
      </c>
      <c r="Y69" s="675">
        <f t="shared" si="58"/>
        <v>0</v>
      </c>
      <c r="Z69" s="675">
        <f t="shared" si="59"/>
        <v>0</v>
      </c>
      <c r="AA69" s="675">
        <f t="shared" si="60"/>
        <v>0</v>
      </c>
      <c r="AB69" s="675">
        <f t="shared" si="61"/>
        <v>0</v>
      </c>
      <c r="AC69" s="675">
        <f t="shared" si="62"/>
        <v>0</v>
      </c>
      <c r="AD69" s="675">
        <f t="shared" si="63"/>
        <v>0</v>
      </c>
      <c r="AE69" s="675">
        <f t="shared" si="64"/>
        <v>0</v>
      </c>
      <c r="AF69" s="675">
        <f t="shared" si="65"/>
        <v>-8.8054902306566873E-3</v>
      </c>
      <c r="AG69" s="675">
        <f t="shared" si="66"/>
        <v>3.7355677615763057</v>
      </c>
      <c r="AH69" s="675">
        <f t="shared" si="67"/>
        <v>1.6172945013796038</v>
      </c>
      <c r="AI69" s="675">
        <f t="shared" si="68"/>
        <v>-1.1211186223244454</v>
      </c>
    </row>
    <row r="70" spans="2:37">
      <c r="B70" s="6" t="s">
        <v>1445</v>
      </c>
      <c r="C70" s="675">
        <f t="shared" si="36"/>
        <v>0</v>
      </c>
      <c r="D70" s="675">
        <f t="shared" si="37"/>
        <v>0</v>
      </c>
      <c r="E70" s="675">
        <f t="shared" si="38"/>
        <v>0</v>
      </c>
      <c r="F70" s="675">
        <f t="shared" si="39"/>
        <v>0</v>
      </c>
      <c r="G70" s="675">
        <f t="shared" si="40"/>
        <v>0</v>
      </c>
      <c r="H70" s="675">
        <f t="shared" si="41"/>
        <v>0</v>
      </c>
      <c r="I70" s="675">
        <f t="shared" si="42"/>
        <v>0</v>
      </c>
      <c r="J70" s="675">
        <f t="shared" si="43"/>
        <v>0</v>
      </c>
      <c r="K70" s="675">
        <f t="shared" si="44"/>
        <v>0</v>
      </c>
      <c r="L70" s="675">
        <f t="shared" si="45"/>
        <v>0</v>
      </c>
      <c r="M70" s="675">
        <f t="shared" si="46"/>
        <v>0</v>
      </c>
      <c r="N70" s="675">
        <f t="shared" si="47"/>
        <v>0</v>
      </c>
      <c r="O70" s="675">
        <f t="shared" si="48"/>
        <v>0</v>
      </c>
      <c r="P70" s="675">
        <f t="shared" si="49"/>
        <v>0</v>
      </c>
      <c r="Q70" s="675">
        <f t="shared" si="50"/>
        <v>0</v>
      </c>
      <c r="R70" s="675">
        <f t="shared" si="51"/>
        <v>0</v>
      </c>
      <c r="S70" s="675">
        <f t="shared" si="52"/>
        <v>0</v>
      </c>
      <c r="T70" s="675">
        <f t="shared" si="53"/>
        <v>0</v>
      </c>
      <c r="U70" s="675">
        <f t="shared" si="54"/>
        <v>0</v>
      </c>
      <c r="V70" s="675">
        <f t="shared" si="55"/>
        <v>0</v>
      </c>
      <c r="W70" s="675">
        <f t="shared" si="56"/>
        <v>0</v>
      </c>
      <c r="X70" s="675">
        <f t="shared" si="57"/>
        <v>0</v>
      </c>
      <c r="Y70" s="675">
        <f t="shared" si="58"/>
        <v>0</v>
      </c>
      <c r="Z70" s="675">
        <f t="shared" si="59"/>
        <v>0</v>
      </c>
      <c r="AA70" s="675">
        <f t="shared" si="60"/>
        <v>0</v>
      </c>
      <c r="AB70" s="675">
        <f t="shared" si="61"/>
        <v>0</v>
      </c>
      <c r="AC70" s="675">
        <f t="shared" si="62"/>
        <v>0</v>
      </c>
      <c r="AD70" s="675">
        <f t="shared" si="63"/>
        <v>0</v>
      </c>
      <c r="AE70" s="675">
        <f t="shared" si="64"/>
        <v>0</v>
      </c>
      <c r="AF70" s="675">
        <f t="shared" si="65"/>
        <v>0</v>
      </c>
      <c r="AG70" s="675">
        <f t="shared" si="66"/>
        <v>0</v>
      </c>
      <c r="AH70" s="675">
        <f t="shared" si="67"/>
        <v>0.10618058314737766</v>
      </c>
      <c r="AI70" s="675">
        <f t="shared" si="68"/>
        <v>1.8608328256975426</v>
      </c>
    </row>
    <row r="71" spans="2:37">
      <c r="B71" s="6" t="s">
        <v>1474</v>
      </c>
      <c r="C71" s="675">
        <f t="shared" si="36"/>
        <v>0</v>
      </c>
      <c r="D71" s="675">
        <f t="shared" si="37"/>
        <v>0</v>
      </c>
      <c r="E71" s="675">
        <f t="shared" si="38"/>
        <v>0</v>
      </c>
      <c r="F71" s="675">
        <f t="shared" si="39"/>
        <v>0</v>
      </c>
      <c r="G71" s="675">
        <f t="shared" si="40"/>
        <v>0</v>
      </c>
      <c r="H71" s="675">
        <f t="shared" si="41"/>
        <v>0</v>
      </c>
      <c r="I71" s="675">
        <f t="shared" si="42"/>
        <v>0</v>
      </c>
      <c r="J71" s="675">
        <f t="shared" si="43"/>
        <v>0</v>
      </c>
      <c r="K71" s="675">
        <f t="shared" si="44"/>
        <v>0</v>
      </c>
      <c r="L71" s="675">
        <f t="shared" si="45"/>
        <v>0</v>
      </c>
      <c r="M71" s="675">
        <f t="shared" si="46"/>
        <v>0</v>
      </c>
      <c r="N71" s="675">
        <f t="shared" si="47"/>
        <v>0</v>
      </c>
      <c r="O71" s="675">
        <f t="shared" si="48"/>
        <v>0</v>
      </c>
      <c r="P71" s="675">
        <f t="shared" si="49"/>
        <v>0</v>
      </c>
      <c r="Q71" s="675">
        <f t="shared" si="50"/>
        <v>0</v>
      </c>
      <c r="R71" s="675">
        <f t="shared" si="51"/>
        <v>0</v>
      </c>
      <c r="S71" s="675">
        <f t="shared" si="52"/>
        <v>0</v>
      </c>
      <c r="T71" s="675">
        <f t="shared" si="53"/>
        <v>0</v>
      </c>
      <c r="U71" s="675">
        <f t="shared" si="54"/>
        <v>0</v>
      </c>
      <c r="V71" s="675">
        <f t="shared" si="55"/>
        <v>0</v>
      </c>
      <c r="W71" s="675">
        <f t="shared" si="56"/>
        <v>0</v>
      </c>
      <c r="X71" s="675">
        <f t="shared" si="57"/>
        <v>0</v>
      </c>
      <c r="Y71" s="675">
        <f t="shared" si="58"/>
        <v>0</v>
      </c>
      <c r="Z71" s="675">
        <f t="shared" si="59"/>
        <v>0</v>
      </c>
      <c r="AA71" s="675">
        <f t="shared" si="60"/>
        <v>0</v>
      </c>
      <c r="AB71" s="675">
        <f t="shared" si="61"/>
        <v>0</v>
      </c>
      <c r="AC71" s="675">
        <f t="shared" si="62"/>
        <v>0</v>
      </c>
      <c r="AD71" s="675">
        <f t="shared" si="63"/>
        <v>0</v>
      </c>
      <c r="AE71" s="675">
        <f t="shared" si="64"/>
        <v>0</v>
      </c>
      <c r="AF71" s="675">
        <f t="shared" si="65"/>
        <v>0</v>
      </c>
      <c r="AG71" s="675">
        <f t="shared" si="66"/>
        <v>2.3807305639138576E-3</v>
      </c>
      <c r="AH71" s="675">
        <f t="shared" si="67"/>
        <v>3.8091689019665864E-3</v>
      </c>
      <c r="AI71" s="675">
        <f t="shared" si="68"/>
        <v>-1.616355429004102</v>
      </c>
    </row>
    <row r="72" spans="2:37">
      <c r="B72" s="6" t="s">
        <v>1476</v>
      </c>
      <c r="C72" s="675">
        <f t="shared" si="36"/>
        <v>0</v>
      </c>
      <c r="D72" s="675">
        <f t="shared" si="37"/>
        <v>0</v>
      </c>
      <c r="E72" s="675">
        <f t="shared" si="38"/>
        <v>0</v>
      </c>
      <c r="F72" s="675">
        <f t="shared" si="39"/>
        <v>0</v>
      </c>
      <c r="G72" s="675">
        <f t="shared" si="40"/>
        <v>0</v>
      </c>
      <c r="H72" s="675">
        <f t="shared" si="41"/>
        <v>0</v>
      </c>
      <c r="I72" s="675">
        <f t="shared" si="42"/>
        <v>0</v>
      </c>
      <c r="J72" s="675">
        <f t="shared" si="43"/>
        <v>0</v>
      </c>
      <c r="K72" s="675">
        <f t="shared" si="44"/>
        <v>0</v>
      </c>
      <c r="L72" s="675">
        <f t="shared" si="45"/>
        <v>0</v>
      </c>
      <c r="M72" s="675">
        <f t="shared" si="46"/>
        <v>0</v>
      </c>
      <c r="N72" s="675">
        <f t="shared" si="47"/>
        <v>0</v>
      </c>
      <c r="O72" s="675">
        <f t="shared" si="48"/>
        <v>0</v>
      </c>
      <c r="P72" s="675">
        <f t="shared" si="49"/>
        <v>0</v>
      </c>
      <c r="Q72" s="675">
        <f t="shared" si="50"/>
        <v>0</v>
      </c>
      <c r="R72" s="675">
        <f t="shared" si="51"/>
        <v>0</v>
      </c>
      <c r="S72" s="675">
        <f t="shared" si="52"/>
        <v>0</v>
      </c>
      <c r="T72" s="675">
        <f t="shared" si="53"/>
        <v>0</v>
      </c>
      <c r="U72" s="675">
        <f t="shared" si="54"/>
        <v>0</v>
      </c>
      <c r="V72" s="675">
        <f t="shared" si="55"/>
        <v>0</v>
      </c>
      <c r="W72" s="675">
        <f t="shared" si="56"/>
        <v>0</v>
      </c>
      <c r="X72" s="675">
        <f t="shared" si="57"/>
        <v>0</v>
      </c>
      <c r="Y72" s="675">
        <f t="shared" si="58"/>
        <v>0</v>
      </c>
      <c r="Z72" s="675">
        <f t="shared" si="59"/>
        <v>0</v>
      </c>
      <c r="AA72" s="675">
        <f t="shared" si="60"/>
        <v>0</v>
      </c>
      <c r="AB72" s="675">
        <f t="shared" si="61"/>
        <v>0</v>
      </c>
      <c r="AC72" s="675">
        <f t="shared" si="62"/>
        <v>0</v>
      </c>
      <c r="AD72" s="675">
        <f t="shared" si="63"/>
        <v>0</v>
      </c>
      <c r="AE72" s="675">
        <f t="shared" si="64"/>
        <v>0</v>
      </c>
      <c r="AF72" s="675">
        <f t="shared" si="65"/>
        <v>0</v>
      </c>
      <c r="AG72" s="675">
        <f t="shared" si="66"/>
        <v>0</v>
      </c>
      <c r="AH72" s="675">
        <f t="shared" si="67"/>
        <v>0</v>
      </c>
      <c r="AI72" s="675">
        <f t="shared" si="68"/>
        <v>0</v>
      </c>
    </row>
    <row r="73" spans="2:37">
      <c r="B73" s="5" t="s">
        <v>1440</v>
      </c>
      <c r="C73" s="703">
        <f t="shared" si="36"/>
        <v>10.448639240955572</v>
      </c>
      <c r="D73" s="703">
        <f t="shared" si="37"/>
        <v>13.537672010083043</v>
      </c>
      <c r="E73" s="703">
        <f t="shared" si="38"/>
        <v>4.6265161857495514</v>
      </c>
      <c r="F73" s="703">
        <f t="shared" si="39"/>
        <v>7.0256577117929737</v>
      </c>
      <c r="G73" s="703">
        <f t="shared" si="40"/>
        <v>-2.0573065613657491</v>
      </c>
      <c r="H73" s="703">
        <f t="shared" si="41"/>
        <v>1.087340909532486</v>
      </c>
      <c r="I73" s="703">
        <f t="shared" si="42"/>
        <v>-15.462734425267172</v>
      </c>
      <c r="J73" s="703">
        <f t="shared" si="43"/>
        <v>-14.457553618246038</v>
      </c>
      <c r="K73" s="703">
        <f t="shared" si="44"/>
        <v>3.5381969223108172</v>
      </c>
      <c r="L73" s="703">
        <f t="shared" si="45"/>
        <v>-3.2112227445527424</v>
      </c>
      <c r="M73" s="703">
        <f t="shared" si="46"/>
        <v>6.6962386505911127</v>
      </c>
      <c r="N73" s="703">
        <f t="shared" si="47"/>
        <v>-12.162945259206481</v>
      </c>
      <c r="O73" s="703">
        <f t="shared" si="48"/>
        <v>-5.0936826283764276</v>
      </c>
      <c r="P73" s="703">
        <f t="shared" si="49"/>
        <v>-11.213892913911877</v>
      </c>
      <c r="Q73" s="703">
        <f t="shared" si="50"/>
        <v>-9.5638771312146673</v>
      </c>
      <c r="R73" s="703">
        <f t="shared" si="51"/>
        <v>-14.248704273894873</v>
      </c>
      <c r="S73" s="703">
        <f t="shared" si="52"/>
        <v>-17.11975541503125</v>
      </c>
      <c r="T73" s="703">
        <f t="shared" si="53"/>
        <v>-20.241137754024749</v>
      </c>
      <c r="U73" s="703">
        <f t="shared" si="54"/>
        <v>-9.1518378313639914</v>
      </c>
      <c r="V73" s="703">
        <f t="shared" si="55"/>
        <v>-4.5183064554325938</v>
      </c>
      <c r="W73" s="703">
        <f t="shared" si="56"/>
        <v>-13.479970241869523</v>
      </c>
      <c r="X73" s="703">
        <f t="shared" si="57"/>
        <v>-7.1074822588825555</v>
      </c>
      <c r="Y73" s="703">
        <f t="shared" si="58"/>
        <v>-9.4274375349718866</v>
      </c>
      <c r="Z73" s="703">
        <f t="shared" si="59"/>
        <v>-6.9166824492353953</v>
      </c>
      <c r="AA73" s="703">
        <f t="shared" si="60"/>
        <v>0.88087515978395459</v>
      </c>
      <c r="AB73" s="703">
        <f t="shared" si="61"/>
        <v>-8.2885791168350806</v>
      </c>
      <c r="AC73" s="703">
        <f t="shared" si="62"/>
        <v>-6.3259903396869959</v>
      </c>
      <c r="AD73" s="703">
        <f t="shared" si="63"/>
        <v>-14.76601622146427</v>
      </c>
      <c r="AE73" s="703">
        <f t="shared" si="64"/>
        <v>-14.353384215787628</v>
      </c>
      <c r="AF73" s="703">
        <f t="shared" si="65"/>
        <v>-26.088370517065869</v>
      </c>
      <c r="AG73" s="703">
        <f t="shared" si="66"/>
        <v>-30.713471141350965</v>
      </c>
      <c r="AH73" s="703">
        <f t="shared" si="67"/>
        <v>-9.1488300021192117</v>
      </c>
      <c r="AI73" s="703">
        <f t="shared" si="68"/>
        <v>-19.309712100498928</v>
      </c>
      <c r="AJ73" s="1050">
        <f t="shared" ref="AJ73:AJ82" si="69">AVERAGE(C73:AH73)</f>
        <v>-7.4149385706362025</v>
      </c>
      <c r="AK73" s="1">
        <f>AVERAGE(W73:AH73)</f>
        <v>-12.144611573290453</v>
      </c>
    </row>
    <row r="74" spans="2:37">
      <c r="B74" s="6" t="s">
        <v>1434</v>
      </c>
      <c r="C74" s="704">
        <f t="shared" si="36"/>
        <v>-6.054406995303907E-6</v>
      </c>
      <c r="D74" s="704">
        <f t="shared" si="37"/>
        <v>2.520323545240899E-5</v>
      </c>
      <c r="E74" s="704">
        <f t="shared" si="38"/>
        <v>-1.4815161236469976E-5</v>
      </c>
      <c r="F74" s="704">
        <f t="shared" si="39"/>
        <v>3.8083721705106655E-6</v>
      </c>
      <c r="G74" s="704">
        <f t="shared" si="40"/>
        <v>-1.7632417225854624E-5</v>
      </c>
      <c r="H74" s="704">
        <f t="shared" si="41"/>
        <v>5.4549016681448848E-7</v>
      </c>
      <c r="I74" s="704">
        <f t="shared" si="42"/>
        <v>7.1655524891411915E-7</v>
      </c>
      <c r="J74" s="704">
        <f t="shared" si="43"/>
        <v>-1.8303642136174858E-5</v>
      </c>
      <c r="K74" s="704">
        <f t="shared" si="44"/>
        <v>-5.3410890643590392E-6</v>
      </c>
      <c r="L74" s="704">
        <f t="shared" si="45"/>
        <v>1.7358095831809806E-5</v>
      </c>
      <c r="M74" s="704">
        <f t="shared" si="46"/>
        <v>1.8622669273327119E-6</v>
      </c>
      <c r="N74" s="704">
        <f t="shared" si="47"/>
        <v>-3.2707849952075208E-2</v>
      </c>
      <c r="O74" s="704">
        <f t="shared" si="48"/>
        <v>-5.3406763990849981E-2</v>
      </c>
      <c r="P74" s="704">
        <f t="shared" si="49"/>
        <v>-4.6169939035493712E-2</v>
      </c>
      <c r="Q74" s="704">
        <f t="shared" si="50"/>
        <v>-9.0664812841595221E-2</v>
      </c>
      <c r="R74" s="704">
        <f t="shared" si="51"/>
        <v>-0.2882142996464836</v>
      </c>
      <c r="S74" s="704">
        <f t="shared" si="52"/>
        <v>-0.74370905398487253</v>
      </c>
      <c r="T74" s="704">
        <f t="shared" si="53"/>
        <v>-1.0244938295417825</v>
      </c>
      <c r="U74" s="704">
        <f t="shared" si="54"/>
        <v>-0.86884880408162246</v>
      </c>
      <c r="V74" s="704">
        <f t="shared" si="55"/>
        <v>-0.49614012315987566</v>
      </c>
      <c r="W74" s="704">
        <f t="shared" si="56"/>
        <v>-0.2554296574376167</v>
      </c>
      <c r="X74" s="704">
        <f t="shared" si="57"/>
        <v>0.18042478892316183</v>
      </c>
      <c r="Y74" s="704">
        <f t="shared" si="58"/>
        <v>0.16335839157030563</v>
      </c>
      <c r="Z74" s="704">
        <f t="shared" si="59"/>
        <v>0.15285900720069634</v>
      </c>
      <c r="AA74" s="704">
        <f t="shared" si="60"/>
        <v>0.19266855644282543</v>
      </c>
      <c r="AB74" s="704">
        <f t="shared" si="61"/>
        <v>0.30748446223056192</v>
      </c>
      <c r="AC74" s="704">
        <f t="shared" si="62"/>
        <v>0.41779058570655536</v>
      </c>
      <c r="AD74" s="704">
        <f t="shared" si="63"/>
        <v>0.55535626538198812</v>
      </c>
      <c r="AE74" s="704">
        <f t="shared" si="64"/>
        <v>0.72159452709851735</v>
      </c>
      <c r="AF74" s="704">
        <f t="shared" si="65"/>
        <v>1.5045228421231513</v>
      </c>
      <c r="AG74" s="704">
        <f t="shared" si="66"/>
        <v>1.6189215042800598</v>
      </c>
      <c r="AH74" s="704">
        <f t="shared" si="67"/>
        <v>5.5715069892727911</v>
      </c>
      <c r="AI74" s="704">
        <f t="shared" si="68"/>
        <v>7.2521682905670346</v>
      </c>
      <c r="AJ74" s="1050">
        <f t="shared" si="69"/>
        <v>0.23395906668304645</v>
      </c>
    </row>
    <row r="75" spans="2:37">
      <c r="B75" s="6" t="s">
        <v>1441</v>
      </c>
      <c r="C75" s="704">
        <f t="shared" si="36"/>
        <v>-3.3166752473334782E-6</v>
      </c>
      <c r="D75" s="704">
        <f t="shared" si="37"/>
        <v>1.4015245966447765E-5</v>
      </c>
      <c r="E75" s="704">
        <f t="shared" si="38"/>
        <v>-7.6621717113312116E-6</v>
      </c>
      <c r="F75" s="704">
        <f t="shared" si="39"/>
        <v>1.9281809429116947E-6</v>
      </c>
      <c r="G75" s="704">
        <f t="shared" si="40"/>
        <v>-9.2027700659969014E-6</v>
      </c>
      <c r="H75" s="704">
        <f t="shared" si="41"/>
        <v>2.8872548085701055E-7</v>
      </c>
      <c r="I75" s="704">
        <f t="shared" si="42"/>
        <v>3.7368852190411417E-7</v>
      </c>
      <c r="J75" s="704">
        <f t="shared" si="43"/>
        <v>-9.2898274886010768E-6</v>
      </c>
      <c r="K75" s="704">
        <f t="shared" si="44"/>
        <v>-2.9673094203985784E-6</v>
      </c>
      <c r="L75" s="704">
        <f t="shared" si="45"/>
        <v>9.1941106532544836E-6</v>
      </c>
      <c r="M75" s="704">
        <f t="shared" si="46"/>
        <v>1.0105047039132842E-6</v>
      </c>
      <c r="N75" s="704">
        <f t="shared" si="47"/>
        <v>-1.8305623951597738E-2</v>
      </c>
      <c r="O75" s="704">
        <f t="shared" si="48"/>
        <v>-2.7583340208742868E-2</v>
      </c>
      <c r="P75" s="704">
        <f t="shared" si="49"/>
        <v>-2.4571308742430631E-2</v>
      </c>
      <c r="Q75" s="704">
        <f t="shared" si="50"/>
        <v>-4.6159188608342561E-2</v>
      </c>
      <c r="R75" s="704">
        <f t="shared" si="51"/>
        <v>-0.15099058122702758</v>
      </c>
      <c r="S75" s="704">
        <f t="shared" si="52"/>
        <v>-0.4190557198253515</v>
      </c>
      <c r="T75" s="704">
        <f t="shared" si="53"/>
        <v>-0.54170620484931931</v>
      </c>
      <c r="U75" s="704">
        <f t="shared" si="54"/>
        <v>-0.44485794818347557</v>
      </c>
      <c r="V75" s="704">
        <f t="shared" si="55"/>
        <v>-0.33672354920421554</v>
      </c>
      <c r="W75" s="704">
        <f t="shared" si="56"/>
        <v>-0.17795218178100214</v>
      </c>
      <c r="X75" s="704">
        <f t="shared" si="57"/>
        <v>0.13512054289002151</v>
      </c>
      <c r="Y75" s="704">
        <f t="shared" si="58"/>
        <v>0.12028745063059887</v>
      </c>
      <c r="Z75" s="704">
        <f t="shared" si="59"/>
        <v>0.10685527180404364</v>
      </c>
      <c r="AA75" s="704">
        <f t="shared" si="60"/>
        <v>0.12887864351516498</v>
      </c>
      <c r="AB75" s="704">
        <f t="shared" si="61"/>
        <v>0.2007913259045182</v>
      </c>
      <c r="AC75" s="704">
        <f t="shared" si="62"/>
        <v>0.31344480567046418</v>
      </c>
      <c r="AD75" s="704">
        <f t="shared" si="63"/>
        <v>0.41448620980104067</v>
      </c>
      <c r="AE75" s="704">
        <f t="shared" si="64"/>
        <v>0.45928569546971687</v>
      </c>
      <c r="AF75" s="704">
        <f t="shared" si="65"/>
        <v>1.0462054816064423</v>
      </c>
      <c r="AG75" s="704">
        <f t="shared" si="66"/>
        <v>1.2001163189265682</v>
      </c>
      <c r="AH75" s="704">
        <f t="shared" si="67"/>
        <v>3.8189289876155783</v>
      </c>
      <c r="AI75" s="704">
        <f t="shared" si="68"/>
        <v>1.9381907296619545</v>
      </c>
      <c r="AJ75" s="1050">
        <f t="shared" si="69"/>
        <v>0.17989029559234337</v>
      </c>
    </row>
    <row r="76" spans="2:37">
      <c r="B76" s="6" t="s">
        <v>1443</v>
      </c>
      <c r="C76" s="704">
        <f t="shared" si="36"/>
        <v>10.448648612037687</v>
      </c>
      <c r="D76" s="704">
        <f t="shared" si="37"/>
        <v>13.537632791601595</v>
      </c>
      <c r="E76" s="704">
        <f t="shared" si="38"/>
        <v>4.6265386630826697</v>
      </c>
      <c r="F76" s="704">
        <f t="shared" si="39"/>
        <v>7.0256519752398958</v>
      </c>
      <c r="G76" s="704">
        <f t="shared" si="40"/>
        <v>-2.0572797261786491</v>
      </c>
      <c r="H76" s="704">
        <f t="shared" si="41"/>
        <v>1.0873400753167175</v>
      </c>
      <c r="I76" s="704">
        <f t="shared" si="42"/>
        <v>-15.462735515510929</v>
      </c>
      <c r="J76" s="704">
        <f t="shared" si="43"/>
        <v>-14.457526024776485</v>
      </c>
      <c r="K76" s="704">
        <f t="shared" si="44"/>
        <v>3.5382052307093659</v>
      </c>
      <c r="L76" s="704">
        <f t="shared" si="45"/>
        <v>-3.2112492967590924</v>
      </c>
      <c r="M76" s="704">
        <f t="shared" si="46"/>
        <v>6.6962357778194814</v>
      </c>
      <c r="N76" s="704">
        <f t="shared" si="47"/>
        <v>-12.111931785302716</v>
      </c>
      <c r="O76" s="704">
        <f t="shared" si="48"/>
        <v>-5.0126925241765434</v>
      </c>
      <c r="P76" s="704">
        <f t="shared" si="49"/>
        <v>-11.143151666133917</v>
      </c>
      <c r="Q76" s="704">
        <f t="shared" si="50"/>
        <v>-9.4270531297648859</v>
      </c>
      <c r="R76" s="704">
        <f t="shared" si="51"/>
        <v>-13.80949939302144</v>
      </c>
      <c r="S76" s="704">
        <f t="shared" si="52"/>
        <v>-15.956990641221068</v>
      </c>
      <c r="T76" s="704">
        <f t="shared" si="53"/>
        <v>-18.674937719633476</v>
      </c>
      <c r="U76" s="704">
        <f t="shared" si="54"/>
        <v>-7.8381310790992416</v>
      </c>
      <c r="V76" s="704">
        <f t="shared" si="55"/>
        <v>-3.6854427830687655</v>
      </c>
      <c r="W76" s="704">
        <f t="shared" si="56"/>
        <v>-13.046588402650627</v>
      </c>
      <c r="X76" s="704">
        <f t="shared" si="57"/>
        <v>-7.4230275906955967</v>
      </c>
      <c r="Y76" s="704">
        <f t="shared" si="58"/>
        <v>-9.7110833771728835</v>
      </c>
      <c r="Z76" s="704">
        <f t="shared" si="59"/>
        <v>-7.1763967282404337</v>
      </c>
      <c r="AA76" s="704">
        <f t="shared" si="60"/>
        <v>0.55932795982602102</v>
      </c>
      <c r="AB76" s="704">
        <f t="shared" si="61"/>
        <v>-8.7968549049704734</v>
      </c>
      <c r="AC76" s="704">
        <f t="shared" si="62"/>
        <v>-7.0572257310639088</v>
      </c>
      <c r="AD76" s="704">
        <f t="shared" si="63"/>
        <v>-15.735858696647568</v>
      </c>
      <c r="AE76" s="704">
        <f t="shared" si="64"/>
        <v>-15.534264438356161</v>
      </c>
      <c r="AF76" s="704">
        <f t="shared" si="65"/>
        <v>-28.639144414346731</v>
      </c>
      <c r="AG76" s="704">
        <f t="shared" si="66"/>
        <v>-33.571357249721842</v>
      </c>
      <c r="AH76" s="704">
        <f t="shared" si="67"/>
        <v>-18.887754972390951</v>
      </c>
      <c r="AI76" s="704">
        <f t="shared" si="68"/>
        <v>-26.387836449446127</v>
      </c>
      <c r="AJ76" s="1050">
        <f t="shared" si="69"/>
        <v>-7.8408936470397173</v>
      </c>
      <c r="AK76" s="1">
        <f>AVERAGE(W76:AH76)</f>
        <v>-13.751685712202596</v>
      </c>
    </row>
    <row r="77" spans="2:37">
      <c r="B77" s="6" t="s">
        <v>1445</v>
      </c>
      <c r="C77" s="704">
        <f t="shared" si="36"/>
        <v>0</v>
      </c>
      <c r="D77" s="704">
        <f t="shared" si="37"/>
        <v>0</v>
      </c>
      <c r="E77" s="704">
        <f t="shared" si="38"/>
        <v>0</v>
      </c>
      <c r="F77" s="704">
        <f t="shared" si="39"/>
        <v>0</v>
      </c>
      <c r="G77" s="704">
        <f t="shared" si="40"/>
        <v>0</v>
      </c>
      <c r="H77" s="704">
        <f t="shared" si="41"/>
        <v>0</v>
      </c>
      <c r="I77" s="704">
        <f t="shared" si="42"/>
        <v>0</v>
      </c>
      <c r="J77" s="704">
        <f t="shared" si="43"/>
        <v>0</v>
      </c>
      <c r="K77" s="704">
        <f t="shared" si="44"/>
        <v>0</v>
      </c>
      <c r="L77" s="704">
        <f t="shared" si="45"/>
        <v>0</v>
      </c>
      <c r="M77" s="704">
        <f t="shared" si="46"/>
        <v>0</v>
      </c>
      <c r="N77" s="704">
        <f t="shared" si="47"/>
        <v>0</v>
      </c>
      <c r="O77" s="704">
        <f t="shared" si="48"/>
        <v>0</v>
      </c>
      <c r="P77" s="704">
        <f t="shared" si="49"/>
        <v>0</v>
      </c>
      <c r="Q77" s="704">
        <f t="shared" si="50"/>
        <v>0</v>
      </c>
      <c r="R77" s="704">
        <f t="shared" si="51"/>
        <v>0</v>
      </c>
      <c r="S77" s="704">
        <f t="shared" si="52"/>
        <v>0</v>
      </c>
      <c r="T77" s="704">
        <f t="shared" si="53"/>
        <v>0</v>
      </c>
      <c r="U77" s="704">
        <f t="shared" si="54"/>
        <v>0</v>
      </c>
      <c r="V77" s="704">
        <f t="shared" si="55"/>
        <v>0</v>
      </c>
      <c r="W77" s="704">
        <f t="shared" si="56"/>
        <v>0</v>
      </c>
      <c r="X77" s="704">
        <f t="shared" si="57"/>
        <v>0</v>
      </c>
      <c r="Y77" s="704">
        <f t="shared" si="58"/>
        <v>0</v>
      </c>
      <c r="Z77" s="704">
        <f t="shared" si="59"/>
        <v>0</v>
      </c>
      <c r="AA77" s="704">
        <f t="shared" si="60"/>
        <v>0</v>
      </c>
      <c r="AB77" s="704">
        <f t="shared" si="61"/>
        <v>0</v>
      </c>
      <c r="AC77" s="704">
        <f t="shared" si="62"/>
        <v>0</v>
      </c>
      <c r="AD77" s="704">
        <f t="shared" si="63"/>
        <v>0</v>
      </c>
      <c r="AE77" s="704">
        <f t="shared" si="64"/>
        <v>0</v>
      </c>
      <c r="AF77" s="704">
        <f t="shared" si="65"/>
        <v>4.5573551460620365E-5</v>
      </c>
      <c r="AG77" s="704">
        <f t="shared" si="66"/>
        <v>3.8848285164021945E-2</v>
      </c>
      <c r="AH77" s="704">
        <f t="shared" si="67"/>
        <v>0.34848899338362571</v>
      </c>
      <c r="AI77" s="704">
        <f t="shared" si="68"/>
        <v>-2.2331912132478919</v>
      </c>
      <c r="AJ77" s="1050">
        <f t="shared" si="69"/>
        <v>1.2105714128097134E-2</v>
      </c>
      <c r="AK77" s="1">
        <f>AVERAGE(W77:AH77)</f>
        <v>3.2281904341592359E-2</v>
      </c>
    </row>
    <row r="78" spans="2:37">
      <c r="B78" s="6" t="s">
        <v>1474</v>
      </c>
      <c r="C78" s="704">
        <f t="shared" si="36"/>
        <v>0</v>
      </c>
      <c r="D78" s="704">
        <f t="shared" si="37"/>
        <v>0</v>
      </c>
      <c r="E78" s="704">
        <f t="shared" si="38"/>
        <v>0</v>
      </c>
      <c r="F78" s="704">
        <f t="shared" si="39"/>
        <v>0</v>
      </c>
      <c r="G78" s="704">
        <f t="shared" si="40"/>
        <v>0</v>
      </c>
      <c r="H78" s="704">
        <f t="shared" si="41"/>
        <v>0</v>
      </c>
      <c r="I78" s="704">
        <f t="shared" si="42"/>
        <v>0</v>
      </c>
      <c r="J78" s="704">
        <f t="shared" si="43"/>
        <v>0</v>
      </c>
      <c r="K78" s="704">
        <f t="shared" si="44"/>
        <v>0</v>
      </c>
      <c r="L78" s="704">
        <f t="shared" si="45"/>
        <v>0</v>
      </c>
      <c r="M78" s="704">
        <f t="shared" si="46"/>
        <v>0</v>
      </c>
      <c r="N78" s="704">
        <f t="shared" si="47"/>
        <v>0</v>
      </c>
      <c r="O78" s="704">
        <f t="shared" si="48"/>
        <v>0</v>
      </c>
      <c r="P78" s="704">
        <f t="shared" si="49"/>
        <v>0</v>
      </c>
      <c r="Q78" s="704">
        <f t="shared" si="50"/>
        <v>0</v>
      </c>
      <c r="R78" s="704">
        <f t="shared" si="51"/>
        <v>0</v>
      </c>
      <c r="S78" s="704">
        <f t="shared" si="52"/>
        <v>0</v>
      </c>
      <c r="T78" s="704">
        <f t="shared" si="53"/>
        <v>0</v>
      </c>
      <c r="U78" s="704">
        <f t="shared" si="54"/>
        <v>0</v>
      </c>
      <c r="V78" s="704">
        <f t="shared" si="55"/>
        <v>0</v>
      </c>
      <c r="W78" s="704">
        <f t="shared" si="56"/>
        <v>0</v>
      </c>
      <c r="X78" s="704">
        <f t="shared" si="57"/>
        <v>0</v>
      </c>
      <c r="Y78" s="704">
        <f t="shared" si="58"/>
        <v>0</v>
      </c>
      <c r="Z78" s="704">
        <f t="shared" si="59"/>
        <v>0</v>
      </c>
      <c r="AA78" s="704">
        <f t="shared" si="60"/>
        <v>0</v>
      </c>
      <c r="AB78" s="704">
        <f t="shared" si="61"/>
        <v>0</v>
      </c>
      <c r="AC78" s="704">
        <f t="shared" si="62"/>
        <v>0</v>
      </c>
      <c r="AD78" s="704">
        <f t="shared" si="63"/>
        <v>0</v>
      </c>
      <c r="AE78" s="704">
        <f t="shared" si="64"/>
        <v>0</v>
      </c>
      <c r="AF78" s="704">
        <f t="shared" si="65"/>
        <v>0</v>
      </c>
      <c r="AG78" s="704">
        <f t="shared" si="66"/>
        <v>0</v>
      </c>
      <c r="AH78" s="704">
        <f t="shared" si="67"/>
        <v>0</v>
      </c>
      <c r="AI78" s="704">
        <f t="shared" si="68"/>
        <v>0.12087176365170293</v>
      </c>
      <c r="AJ78" s="1050">
        <f t="shared" si="69"/>
        <v>0</v>
      </c>
    </row>
    <row r="79" spans="2:37">
      <c r="B79" s="6" t="s">
        <v>1476</v>
      </c>
      <c r="C79" s="704">
        <f t="shared" si="36"/>
        <v>0</v>
      </c>
      <c r="D79" s="704">
        <f t="shared" si="37"/>
        <v>0</v>
      </c>
      <c r="E79" s="704">
        <f t="shared" si="38"/>
        <v>0</v>
      </c>
      <c r="F79" s="704">
        <f t="shared" si="39"/>
        <v>0</v>
      </c>
      <c r="G79" s="704">
        <f t="shared" si="40"/>
        <v>0</v>
      </c>
      <c r="H79" s="704">
        <f t="shared" si="41"/>
        <v>0</v>
      </c>
      <c r="I79" s="704">
        <f t="shared" si="42"/>
        <v>0</v>
      </c>
      <c r="J79" s="704">
        <f t="shared" si="43"/>
        <v>0</v>
      </c>
      <c r="K79" s="704">
        <f t="shared" si="44"/>
        <v>0</v>
      </c>
      <c r="L79" s="704">
        <f t="shared" si="45"/>
        <v>0</v>
      </c>
      <c r="M79" s="704">
        <f t="shared" si="46"/>
        <v>0</v>
      </c>
      <c r="N79" s="704">
        <f t="shared" si="47"/>
        <v>0</v>
      </c>
      <c r="O79" s="704">
        <f t="shared" si="48"/>
        <v>0</v>
      </c>
      <c r="P79" s="704">
        <f t="shared" si="49"/>
        <v>0</v>
      </c>
      <c r="Q79" s="704">
        <f t="shared" si="50"/>
        <v>0</v>
      </c>
      <c r="R79" s="704">
        <f t="shared" si="51"/>
        <v>0</v>
      </c>
      <c r="S79" s="704">
        <f t="shared" si="52"/>
        <v>0</v>
      </c>
      <c r="T79" s="704">
        <f t="shared" si="53"/>
        <v>0</v>
      </c>
      <c r="U79" s="704">
        <f t="shared" si="54"/>
        <v>0</v>
      </c>
      <c r="V79" s="704">
        <f t="shared" si="55"/>
        <v>0</v>
      </c>
      <c r="W79" s="704">
        <f t="shared" si="56"/>
        <v>0</v>
      </c>
      <c r="X79" s="704">
        <f t="shared" si="57"/>
        <v>0</v>
      </c>
      <c r="Y79" s="704">
        <f t="shared" si="58"/>
        <v>0</v>
      </c>
      <c r="Z79" s="704">
        <f t="shared" si="59"/>
        <v>0</v>
      </c>
      <c r="AA79" s="704">
        <f t="shared" si="60"/>
        <v>0</v>
      </c>
      <c r="AB79" s="704">
        <f t="shared" si="61"/>
        <v>0</v>
      </c>
      <c r="AC79" s="704">
        <f t="shared" si="62"/>
        <v>0</v>
      </c>
      <c r="AD79" s="704">
        <f t="shared" si="63"/>
        <v>0</v>
      </c>
      <c r="AE79" s="704">
        <f t="shared" si="64"/>
        <v>0</v>
      </c>
      <c r="AF79" s="704">
        <f t="shared" si="65"/>
        <v>0</v>
      </c>
      <c r="AG79" s="704">
        <f t="shared" si="66"/>
        <v>0</v>
      </c>
      <c r="AH79" s="704">
        <f t="shared" si="67"/>
        <v>0</v>
      </c>
      <c r="AI79" s="704">
        <f t="shared" si="68"/>
        <v>8.4778314349165385E-5</v>
      </c>
      <c r="AJ79" s="1050">
        <f t="shared" si="69"/>
        <v>0</v>
      </c>
      <c r="AK79" s="1">
        <f>AVERAGE(W79:AH79)</f>
        <v>0</v>
      </c>
    </row>
    <row r="80" spans="2:37">
      <c r="B80" s="5" t="s">
        <v>82</v>
      </c>
      <c r="C80" s="704">
        <f t="shared" si="36"/>
        <v>0</v>
      </c>
      <c r="D80" s="704">
        <f t="shared" si="37"/>
        <v>0</v>
      </c>
      <c r="E80" s="704">
        <f t="shared" si="38"/>
        <v>0</v>
      </c>
      <c r="F80" s="704">
        <f t="shared" si="39"/>
        <v>0</v>
      </c>
      <c r="G80" s="704">
        <f t="shared" si="40"/>
        <v>0</v>
      </c>
      <c r="H80" s="704">
        <f t="shared" si="41"/>
        <v>0</v>
      </c>
      <c r="I80" s="704">
        <f t="shared" si="42"/>
        <v>0</v>
      </c>
      <c r="J80" s="704">
        <f t="shared" si="43"/>
        <v>0</v>
      </c>
      <c r="K80" s="704">
        <f t="shared" si="44"/>
        <v>0</v>
      </c>
      <c r="L80" s="704">
        <f t="shared" si="45"/>
        <v>0</v>
      </c>
      <c r="M80" s="704">
        <f t="shared" si="46"/>
        <v>0</v>
      </c>
      <c r="N80" s="704">
        <f t="shared" si="47"/>
        <v>0</v>
      </c>
      <c r="O80" s="704">
        <f t="shared" si="48"/>
        <v>0</v>
      </c>
      <c r="P80" s="704">
        <f t="shared" si="49"/>
        <v>0</v>
      </c>
      <c r="Q80" s="704">
        <f t="shared" si="50"/>
        <v>0</v>
      </c>
      <c r="R80" s="704">
        <f t="shared" si="51"/>
        <v>0</v>
      </c>
      <c r="S80" s="704">
        <f t="shared" si="52"/>
        <v>0</v>
      </c>
      <c r="T80" s="704">
        <f t="shared" si="53"/>
        <v>0</v>
      </c>
      <c r="U80" s="704">
        <f t="shared" si="54"/>
        <v>0</v>
      </c>
      <c r="V80" s="704">
        <f t="shared" si="55"/>
        <v>0</v>
      </c>
      <c r="W80" s="704">
        <f t="shared" si="56"/>
        <v>0</v>
      </c>
      <c r="X80" s="704">
        <f t="shared" si="57"/>
        <v>0</v>
      </c>
      <c r="Y80" s="704">
        <f t="shared" si="58"/>
        <v>0</v>
      </c>
      <c r="Z80" s="704">
        <f t="shared" si="59"/>
        <v>0</v>
      </c>
      <c r="AA80" s="704">
        <f t="shared" si="60"/>
        <v>0</v>
      </c>
      <c r="AB80" s="704">
        <f t="shared" si="61"/>
        <v>0</v>
      </c>
      <c r="AC80" s="704">
        <f t="shared" si="62"/>
        <v>0</v>
      </c>
      <c r="AD80" s="704">
        <f t="shared" si="63"/>
        <v>0</v>
      </c>
      <c r="AE80" s="704">
        <f t="shared" si="64"/>
        <v>0</v>
      </c>
      <c r="AF80" s="704">
        <f t="shared" si="65"/>
        <v>0</v>
      </c>
      <c r="AG80" s="704">
        <f t="shared" si="66"/>
        <v>0</v>
      </c>
      <c r="AH80" s="704">
        <f t="shared" si="67"/>
        <v>0</v>
      </c>
      <c r="AI80" s="704">
        <f t="shared" si="68"/>
        <v>-1.735293094176027E-3</v>
      </c>
      <c r="AJ80" s="1050">
        <f t="shared" si="69"/>
        <v>0</v>
      </c>
    </row>
    <row r="81" spans="2:36">
      <c r="B81" s="6" t="s">
        <v>1474</v>
      </c>
      <c r="C81" s="704">
        <f t="shared" si="36"/>
        <v>0</v>
      </c>
      <c r="D81" s="704">
        <f t="shared" si="37"/>
        <v>0</v>
      </c>
      <c r="E81" s="704">
        <f t="shared" si="38"/>
        <v>0</v>
      </c>
      <c r="F81" s="704">
        <f t="shared" si="39"/>
        <v>0</v>
      </c>
      <c r="G81" s="704">
        <f t="shared" si="40"/>
        <v>0</v>
      </c>
      <c r="H81" s="704">
        <f t="shared" si="41"/>
        <v>0</v>
      </c>
      <c r="I81" s="704">
        <f t="shared" si="42"/>
        <v>0</v>
      </c>
      <c r="J81" s="704">
        <f t="shared" si="43"/>
        <v>0</v>
      </c>
      <c r="K81" s="704">
        <f t="shared" si="44"/>
        <v>0</v>
      </c>
      <c r="L81" s="704">
        <f t="shared" si="45"/>
        <v>0</v>
      </c>
      <c r="M81" s="704">
        <f t="shared" si="46"/>
        <v>0</v>
      </c>
      <c r="N81" s="704">
        <f t="shared" si="47"/>
        <v>0</v>
      </c>
      <c r="O81" s="704">
        <f t="shared" si="48"/>
        <v>0</v>
      </c>
      <c r="P81" s="704">
        <f t="shared" si="49"/>
        <v>0</v>
      </c>
      <c r="Q81" s="704">
        <f t="shared" si="50"/>
        <v>0</v>
      </c>
      <c r="R81" s="704">
        <f t="shared" si="51"/>
        <v>0</v>
      </c>
      <c r="S81" s="704">
        <f t="shared" si="52"/>
        <v>0</v>
      </c>
      <c r="T81" s="704">
        <f t="shared" si="53"/>
        <v>0</v>
      </c>
      <c r="U81" s="704">
        <f t="shared" si="54"/>
        <v>0</v>
      </c>
      <c r="V81" s="704">
        <f t="shared" si="55"/>
        <v>0</v>
      </c>
      <c r="W81" s="704">
        <f t="shared" si="56"/>
        <v>0</v>
      </c>
      <c r="X81" s="704">
        <f t="shared" si="57"/>
        <v>0</v>
      </c>
      <c r="Y81" s="704">
        <f t="shared" si="58"/>
        <v>0</v>
      </c>
      <c r="Z81" s="704">
        <f t="shared" si="59"/>
        <v>0</v>
      </c>
      <c r="AA81" s="704">
        <f t="shared" si="60"/>
        <v>0</v>
      </c>
      <c r="AB81" s="704">
        <f t="shared" si="61"/>
        <v>0</v>
      </c>
      <c r="AC81" s="704">
        <f t="shared" si="62"/>
        <v>0</v>
      </c>
      <c r="AD81" s="704">
        <f t="shared" si="63"/>
        <v>0</v>
      </c>
      <c r="AE81" s="704">
        <f t="shared" si="64"/>
        <v>0</v>
      </c>
      <c r="AF81" s="704">
        <f t="shared" si="65"/>
        <v>0</v>
      </c>
      <c r="AG81" s="704">
        <f t="shared" si="66"/>
        <v>0</v>
      </c>
      <c r="AH81" s="704">
        <f t="shared" si="67"/>
        <v>0</v>
      </c>
      <c r="AI81" s="704">
        <f t="shared" si="68"/>
        <v>-1.735293094176027E-3</v>
      </c>
      <c r="AJ81" s="1050"/>
    </row>
    <row r="82" spans="2:36">
      <c r="B82" s="4" t="s">
        <v>1480</v>
      </c>
      <c r="C82" s="705">
        <f t="shared" ref="C82:AI82" si="70">(AN27-C54)</f>
        <v>10.445590551596979</v>
      </c>
      <c r="D82" s="705">
        <f t="shared" si="70"/>
        <v>13.535033321856645</v>
      </c>
      <c r="E82" s="705">
        <f t="shared" si="70"/>
        <v>4.6236137727019013</v>
      </c>
      <c r="F82" s="705">
        <f t="shared" si="70"/>
        <v>7.0228726739069316</v>
      </c>
      <c r="G82" s="705">
        <f t="shared" si="70"/>
        <v>-2.0593764854365872</v>
      </c>
      <c r="H82" s="705">
        <f t="shared" si="70"/>
        <v>1.0842452447905089</v>
      </c>
      <c r="I82" s="705">
        <f t="shared" si="70"/>
        <v>-15.470439218064712</v>
      </c>
      <c r="J82" s="705">
        <f t="shared" si="70"/>
        <v>-14.462897692423212</v>
      </c>
      <c r="K82" s="705">
        <f t="shared" si="70"/>
        <v>3.5336388652722235</v>
      </c>
      <c r="L82" s="705">
        <f t="shared" si="70"/>
        <v>-3.2150809063277848</v>
      </c>
      <c r="M82" s="705">
        <f t="shared" si="70"/>
        <v>6.6900716213349369</v>
      </c>
      <c r="N82" s="705">
        <f t="shared" si="70"/>
        <v>-12.168263980979646</v>
      </c>
      <c r="O82" s="705">
        <f t="shared" si="70"/>
        <v>-5.0995780079165343</v>
      </c>
      <c r="P82" s="705">
        <f t="shared" si="70"/>
        <v>-11.219856616584366</v>
      </c>
      <c r="Q82" s="705">
        <f t="shared" si="70"/>
        <v>-9.5707795454254665</v>
      </c>
      <c r="R82" s="705">
        <f t="shared" si="70"/>
        <v>-14.253984384895375</v>
      </c>
      <c r="S82" s="705">
        <f t="shared" si="70"/>
        <v>-17.124946730526062</v>
      </c>
      <c r="T82" s="705">
        <f t="shared" si="70"/>
        <v>-20.246752092589304</v>
      </c>
      <c r="U82" s="705">
        <f t="shared" si="70"/>
        <v>-9.1571317077577987</v>
      </c>
      <c r="V82" s="705">
        <f t="shared" si="70"/>
        <v>-4.5217507438474058</v>
      </c>
      <c r="W82" s="705">
        <f t="shared" si="70"/>
        <v>-13.484659313371594</v>
      </c>
      <c r="X82" s="705">
        <f t="shared" si="70"/>
        <v>-7.1128440813954512</v>
      </c>
      <c r="Y82" s="705">
        <f t="shared" si="70"/>
        <v>-9.4332189480228408</v>
      </c>
      <c r="Z82" s="705">
        <f t="shared" si="70"/>
        <v>-6.9221997036383982</v>
      </c>
      <c r="AA82" s="705">
        <f t="shared" si="70"/>
        <v>0.87586965380887705</v>
      </c>
      <c r="AB82" s="705">
        <f t="shared" si="70"/>
        <v>-8.2932855983917761</v>
      </c>
      <c r="AC82" s="705">
        <f t="shared" si="70"/>
        <v>-6.3299981182062766</v>
      </c>
      <c r="AD82" s="705">
        <f t="shared" si="70"/>
        <v>-14.770421699746294</v>
      </c>
      <c r="AE82" s="705">
        <f t="shared" si="70"/>
        <v>-14.358714549794968</v>
      </c>
      <c r="AF82" s="705">
        <f t="shared" si="70"/>
        <v>-26.102288626837435</v>
      </c>
      <c r="AG82" s="705">
        <f t="shared" si="70"/>
        <v>-27.376501147329691</v>
      </c>
      <c r="AH82" s="705">
        <f t="shared" si="70"/>
        <v>-7.9017347761619021</v>
      </c>
      <c r="AI82" s="705">
        <f t="shared" si="70"/>
        <v>-18.553886642173893</v>
      </c>
      <c r="AJ82" s="1050">
        <f t="shared" si="69"/>
        <v>-7.2764302803250587</v>
      </c>
    </row>
  </sheetData>
  <mergeCells count="1">
    <mergeCell ref="A1:B1"/>
  </mergeCells>
  <conditionalFormatting sqref="C4:AI27">
    <cfRule type="cellIs" dxfId="61" priority="1" operator="equal">
      <formula>"NA"</formula>
    </cfRule>
    <cfRule type="cellIs" dxfId="60" priority="4" operator="lessThan">
      <formula>0</formula>
    </cfRule>
    <cfRule type="cellIs" dxfId="59" priority="5" operator="greaterThan">
      <formula>0</formula>
    </cfRule>
  </conditionalFormatting>
  <conditionalFormatting sqref="C59:AI82">
    <cfRule type="cellIs" dxfId="58" priority="2" operator="lessThan">
      <formula>0</formula>
    </cfRule>
    <cfRule type="cellIs" dxfId="57" priority="3" operator="greaterThan">
      <formula>0</formula>
    </cfRule>
  </conditionalFormatting>
  <printOptions verticalCentered="1" gridLines="1" gridLinesSet="0"/>
  <pageMargins left="0.5" right="0.5" top="0.5" bottom="0.75" header="0.27" footer="0.21"/>
  <pageSetup scale="81" fitToWidth="2" fitToHeight="3" orientation="landscape" horizontalDpi="4294967292" r:id="rId1"/>
  <headerFooter alignWithMargins="0">
    <oddHeader>&amp;L&amp;12GREENHOUSE GAS INVENTORY:  ENERGY</oddHeader>
    <oddFooter>&amp;LPage &amp;P of &amp;N&amp;C&amp;F  &amp;A&amp;R&amp;D  &amp;T</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DA63-88DE-4D29-9ACC-B7F5AAC624B8}">
  <sheetPr transitionEvaluation="1" transitionEntry="1" codeName="Sheet53"/>
  <dimension ref="A1:BV82"/>
  <sheetViews>
    <sheetView workbookViewId="0">
      <selection activeCell="D1" sqref="D1"/>
    </sheetView>
  </sheetViews>
  <sheetFormatPr defaultColWidth="9.6640625" defaultRowHeight="12.95"/>
  <cols>
    <col min="1" max="1" width="5" style="1" customWidth="1"/>
    <col min="2" max="2" width="36.6640625" style="1" customWidth="1"/>
    <col min="3" max="6" width="9.6640625" style="1" customWidth="1"/>
    <col min="7" max="7" width="10.33203125" style="1" customWidth="1"/>
    <col min="8" max="27" width="9.6640625" style="1" customWidth="1"/>
    <col min="28" max="28" width="11.5" style="1" bestFit="1" customWidth="1"/>
    <col min="29" max="29" width="12" style="1" bestFit="1" customWidth="1"/>
    <col min="30" max="35" width="9.6640625" style="1" customWidth="1"/>
    <col min="36" max="36" width="19" style="1" customWidth="1"/>
    <col min="37" max="37" width="8" style="1" customWidth="1"/>
    <col min="38" max="38" width="5" style="1" customWidth="1"/>
    <col min="39" max="39" width="27.6640625" style="1" customWidth="1"/>
    <col min="40" max="66" width="9.6640625" style="1" bestFit="1" customWidth="1"/>
    <col min="67" max="69" width="9.6640625" style="1" customWidth="1"/>
    <col min="70" max="72" width="11" style="1" customWidth="1"/>
    <col min="73" max="16384" width="9.6640625" style="1"/>
  </cols>
  <sheetData>
    <row r="1" spans="1:72" ht="17.45">
      <c r="A1" s="1232" t="s">
        <v>1512</v>
      </c>
      <c r="B1" s="1232"/>
      <c r="C1" s="14"/>
      <c r="D1" s="14"/>
      <c r="I1" s="5"/>
      <c r="AN1" s="14"/>
      <c r="AO1" s="14"/>
      <c r="AT1" s="5"/>
    </row>
    <row r="2" spans="1:72" ht="38.25" customHeight="1">
      <c r="B2" s="5" t="s">
        <v>1513</v>
      </c>
      <c r="J2" s="21"/>
      <c r="K2" s="21"/>
      <c r="L2" s="21"/>
      <c r="AM2" s="646" t="s">
        <v>1514</v>
      </c>
      <c r="AU2" s="21"/>
      <c r="AV2" s="21"/>
      <c r="AW2" s="21"/>
    </row>
    <row r="3" spans="1:72" ht="26.1">
      <c r="B3" s="4" t="s">
        <v>1469</v>
      </c>
      <c r="C3" s="23">
        <v>1990</v>
      </c>
      <c r="D3" s="23">
        <v>1991</v>
      </c>
      <c r="E3" s="23">
        <v>1992</v>
      </c>
      <c r="F3" s="23">
        <v>1993</v>
      </c>
      <c r="G3" s="23">
        <v>1994</v>
      </c>
      <c r="H3" s="23">
        <v>1995</v>
      </c>
      <c r="I3" s="23">
        <v>1996</v>
      </c>
      <c r="J3" s="23">
        <v>1997</v>
      </c>
      <c r="K3" s="23">
        <v>1998</v>
      </c>
      <c r="L3" s="23">
        <v>1999</v>
      </c>
      <c r="M3" s="23">
        <v>2000</v>
      </c>
      <c r="N3" s="23">
        <v>2001</v>
      </c>
      <c r="O3" s="23">
        <v>2002</v>
      </c>
      <c r="P3" s="23">
        <v>2003</v>
      </c>
      <c r="Q3" s="23">
        <v>2004</v>
      </c>
      <c r="R3" s="23">
        <v>2005</v>
      </c>
      <c r="S3" s="23">
        <v>2006</v>
      </c>
      <c r="T3" s="23">
        <v>2007</v>
      </c>
      <c r="U3" s="23">
        <v>2008</v>
      </c>
      <c r="V3" s="23">
        <v>2009</v>
      </c>
      <c r="W3" s="23">
        <v>2010</v>
      </c>
      <c r="X3" s="23">
        <v>2011</v>
      </c>
      <c r="Y3" s="23">
        <v>2012</v>
      </c>
      <c r="Z3" s="23">
        <v>2013</v>
      </c>
      <c r="AA3" s="23">
        <v>2014</v>
      </c>
      <c r="AB3" s="23">
        <v>2015</v>
      </c>
      <c r="AC3" s="23">
        <v>2016</v>
      </c>
      <c r="AD3" s="23">
        <v>2017</v>
      </c>
      <c r="AE3" s="23">
        <v>2018</v>
      </c>
      <c r="AF3" s="23">
        <v>2019</v>
      </c>
      <c r="AG3" s="23">
        <v>2020</v>
      </c>
      <c r="AH3" s="23">
        <v>2021</v>
      </c>
      <c r="AI3" s="23">
        <v>2022</v>
      </c>
      <c r="AJ3" s="753" t="s">
        <v>1515</v>
      </c>
      <c r="AM3" s="4" t="s">
        <v>1469</v>
      </c>
      <c r="AN3" s="23">
        <v>1990</v>
      </c>
      <c r="AO3" s="23">
        <v>1991</v>
      </c>
      <c r="AP3" s="23">
        <v>1992</v>
      </c>
      <c r="AQ3" s="23">
        <v>1993</v>
      </c>
      <c r="AR3" s="23">
        <v>1994</v>
      </c>
      <c r="AS3" s="23">
        <v>1995</v>
      </c>
      <c r="AT3" s="23">
        <v>1996</v>
      </c>
      <c r="AU3" s="23">
        <v>1997</v>
      </c>
      <c r="AV3" s="23">
        <v>1998</v>
      </c>
      <c r="AW3" s="23">
        <v>1999</v>
      </c>
      <c r="AX3" s="23">
        <v>2000</v>
      </c>
      <c r="AY3" s="23">
        <v>2001</v>
      </c>
      <c r="AZ3" s="23">
        <v>2002</v>
      </c>
      <c r="BA3" s="23">
        <v>2003</v>
      </c>
      <c r="BB3" s="23">
        <v>2004</v>
      </c>
      <c r="BC3" s="23">
        <v>2005</v>
      </c>
      <c r="BD3" s="23">
        <v>2006</v>
      </c>
      <c r="BE3" s="23">
        <v>2007</v>
      </c>
      <c r="BF3" s="23">
        <v>2008</v>
      </c>
      <c r="BG3" s="23">
        <v>2009</v>
      </c>
      <c r="BH3" s="23">
        <v>2010</v>
      </c>
      <c r="BI3" s="23">
        <v>2011</v>
      </c>
      <c r="BJ3" s="23">
        <v>2012</v>
      </c>
      <c r="BK3" s="23">
        <v>2013</v>
      </c>
      <c r="BL3" s="23">
        <v>2014</v>
      </c>
      <c r="BM3" s="23">
        <v>2015</v>
      </c>
      <c r="BN3" s="23">
        <v>2016</v>
      </c>
      <c r="BO3" s="23">
        <v>2017</v>
      </c>
      <c r="BP3" s="23">
        <v>2018</v>
      </c>
      <c r="BQ3" s="23">
        <v>2019</v>
      </c>
      <c r="BR3" s="23">
        <v>2020</v>
      </c>
      <c r="BS3" s="23">
        <v>2021</v>
      </c>
      <c r="BT3" s="23">
        <v>2022</v>
      </c>
    </row>
    <row r="4" spans="1:72">
      <c r="B4" s="5" t="s">
        <v>1435</v>
      </c>
      <c r="C4" s="235">
        <f t="shared" ref="C4:C26" si="0">IFERROR((AN4-C31)/C31, "NA")</f>
        <v>-1.7727065210795388E-6</v>
      </c>
      <c r="D4" s="235">
        <f t="shared" ref="D4:D26" si="1">IFERROR((AO4-D31)/D31, "NA")</f>
        <v>-1.5378367894446773E-6</v>
      </c>
      <c r="E4" s="235">
        <f t="shared" ref="E4:E26" si="2">IFERROR((AP4-E31)/E31, "NA")</f>
        <v>-1.6748230473466682E-6</v>
      </c>
      <c r="F4" s="235">
        <f t="shared" ref="F4:F26" si="3">IFERROR((AQ4-F31)/F31, "NA")</f>
        <v>-1.5487016353592256E-6</v>
      </c>
      <c r="G4" s="235">
        <f t="shared" ref="G4:G26" si="4">IFERROR((AR4-G31)/G31, "NA")</f>
        <v>-1.1467464016762913E-6</v>
      </c>
      <c r="H4" s="235">
        <f t="shared" ref="H4:H26" si="5">IFERROR((AS4-H31)/H31, "NA")</f>
        <v>-1.7005696421457907E-6</v>
      </c>
      <c r="I4" s="235">
        <f t="shared" ref="I4:I26" si="6">IFERROR((AT4-I31)/I31, "NA")</f>
        <v>-4.0439794903160327E-6</v>
      </c>
      <c r="J4" s="235">
        <f t="shared" ref="J4:J26" si="7">IFERROR((AU4-J31)/J31, "NA")</f>
        <v>-2.7398277409702638E-6</v>
      </c>
      <c r="K4" s="235">
        <f t="shared" ref="K4:K26" si="8">IFERROR((AV4-K31)/K31, "NA")</f>
        <v>-2.3027565122148957E-6</v>
      </c>
      <c r="L4" s="235">
        <f t="shared" ref="L4:L26" si="9">IFERROR((AW4-L31)/L31, "NA")</f>
        <v>-1.9491551281784611E-6</v>
      </c>
      <c r="M4" s="235">
        <f t="shared" ref="M4:M26" si="10">IFERROR((AX4-M31)/M31, "NA")</f>
        <v>-2.9862042216943449E-6</v>
      </c>
      <c r="N4" s="235">
        <f t="shared" ref="N4:N26" si="11">IFERROR((AY4-N31)/N31, "NA")</f>
        <v>-2.6461437219223524E-6</v>
      </c>
      <c r="O4" s="235">
        <f t="shared" ref="O4:O26" si="12">IFERROR((AZ4-O31)/O31, "NA")</f>
        <v>-2.9189398276981477E-6</v>
      </c>
      <c r="P4" s="235">
        <f t="shared" ref="P4:P26" si="13">IFERROR((BA4-P31)/P31, "NA")</f>
        <v>-2.893518304099148E-6</v>
      </c>
      <c r="Q4" s="235">
        <f t="shared" ref="Q4:Q26" si="14">IFERROR((BB4-Q31)/Q31, "NA")</f>
        <v>-3.3244475976427765E-6</v>
      </c>
      <c r="R4" s="235">
        <f t="shared" ref="R4:R26" si="15">IFERROR((BC4-R31)/R31, "NA")</f>
        <v>-2.4980453074529015E-6</v>
      </c>
      <c r="S4" s="235">
        <f t="shared" ref="S4:S26" si="16">IFERROR((BD4-S31)/S31, "NA")</f>
        <v>-2.4975912991402262E-6</v>
      </c>
      <c r="T4" s="235">
        <f t="shared" ref="T4:T26" si="17">IFERROR((BE4-T31)/T31, "NA")</f>
        <v>-2.6635682372625159E-6</v>
      </c>
      <c r="U4" s="235">
        <f t="shared" ref="U4:U26" si="18">IFERROR((BF4-U31)/U31, "NA")</f>
        <v>-2.5506352948940328E-6</v>
      </c>
      <c r="V4" s="235">
        <f t="shared" ref="V4:V26" si="19">IFERROR((BG4-V31)/V31, "NA")</f>
        <v>-1.874387606816596E-6</v>
      </c>
      <c r="W4" s="235">
        <f t="shared" ref="W4:W26" si="20">IFERROR((BH4-W31)/W31, "NA")</f>
        <v>-2.4280780013859262E-6</v>
      </c>
      <c r="X4" s="235">
        <f t="shared" ref="X4:X26" si="21">IFERROR((BI4-X31)/X31, "NA")</f>
        <v>-2.9499328774022382E-6</v>
      </c>
      <c r="Y4" s="235">
        <f t="shared" ref="Y4:Y26" si="22">IFERROR((BJ4-Y31)/Y31, "NA")</f>
        <v>-3.6193906187947791E-6</v>
      </c>
      <c r="Z4" s="235">
        <f t="shared" ref="Z4:Z26" si="23">IFERROR((BK4-Z31)/Z31, "NA")</f>
        <v>-3.3276344293110525E-6</v>
      </c>
      <c r="AA4" s="235">
        <f t="shared" ref="AA4:AA26" si="24">IFERROR((BL4-AA31)/AA31, "NA")</f>
        <v>-3.024361485495146E-6</v>
      </c>
      <c r="AB4" s="235">
        <f t="shared" ref="AB4:AB26" si="25">IFERROR((BM4-AB31)/AB31, "NA")</f>
        <v>-3.2966907533139849E-6</v>
      </c>
      <c r="AC4" s="235">
        <f t="shared" ref="AC4:AC26" si="26">IFERROR((BN4-AC31)/AC31, "NA")</f>
        <v>-3.0577234868811978E-6</v>
      </c>
      <c r="AD4" s="235">
        <f t="shared" ref="AD4:AD26" si="27">IFERROR((BO4-AD31)/AD31, "NA")</f>
        <v>-3.4688247876502892E-6</v>
      </c>
      <c r="AE4" s="235">
        <f t="shared" ref="AE4:AE26" si="28">IFERROR((BP4-AE31)/AE31, "NA")</f>
        <v>-4.3992485339291366E-6</v>
      </c>
      <c r="AF4" s="235">
        <f t="shared" ref="AF4:AF26" si="29">IFERROR((BQ4-AF31)/AF31, "NA")</f>
        <v>-4.9725736776020962E-6</v>
      </c>
      <c r="AG4" s="235">
        <f t="shared" ref="AG4:AG26" si="30">IFERROR((BR4-AG31)/AG31, "NA")</f>
        <v>-2.8617530995503551E-6</v>
      </c>
      <c r="AH4" s="235">
        <f t="shared" ref="AH4:AH26" si="31">IFERROR((BS4-AH31)/AH31, "NA")</f>
        <v>-6.2672915897355549E-6</v>
      </c>
      <c r="AI4" s="235">
        <f t="shared" ref="AI4:AI26" si="32">IFERROR((BT4-AI31)/AI31, "NA")</f>
        <v>4.5058330946282461E-3</v>
      </c>
      <c r="AM4" s="5" t="s">
        <v>1435</v>
      </c>
      <c r="AN4" s="29">
        <f>'Summary Table'!C7</f>
        <v>1719.7905675202103</v>
      </c>
      <c r="AO4" s="29">
        <f>'Summary Table'!D7</f>
        <v>1715.8414906701021</v>
      </c>
      <c r="AP4" s="29">
        <f>'Summary Table'!E7</f>
        <v>1732.964083384602</v>
      </c>
      <c r="AQ4" s="29">
        <f>'Summary Table'!F7</f>
        <v>1798.3022089945043</v>
      </c>
      <c r="AR4" s="29">
        <f>'Summary Table'!G7</f>
        <v>1805.0387555753732</v>
      </c>
      <c r="AS4" s="29">
        <f>'Summary Table'!H7</f>
        <v>1820.3661884011299</v>
      </c>
      <c r="AT4" s="29">
        <f>'Summary Table'!I7</f>
        <v>1905.2425111796135</v>
      </c>
      <c r="AU4" s="29">
        <f>'Summary Table'!J7</f>
        <v>1950.5093171006006</v>
      </c>
      <c r="AV4" s="29">
        <f>'Summary Table'!K7</f>
        <v>1979.3871034768661</v>
      </c>
      <c r="AW4" s="29">
        <f>'Summary Table'!L7</f>
        <v>1979.3982527801702</v>
      </c>
      <c r="AX4" s="29">
        <f>'Summary Table'!M7</f>
        <v>2065.1671427441197</v>
      </c>
      <c r="AY4" s="29">
        <f>'Summary Table'!N7</f>
        <v>2009.9844368029458</v>
      </c>
      <c r="AZ4" s="29">
        <f>'Summary Table'!O7</f>
        <v>2019.6929977786024</v>
      </c>
      <c r="BA4" s="29">
        <f>'Summary Table'!P7</f>
        <v>2061.0498326404877</v>
      </c>
      <c r="BB4" s="29">
        <f>'Summary Table'!Q7</f>
        <v>2076.2520875449427</v>
      </c>
      <c r="BC4" s="29">
        <f>'Summary Table'!R7</f>
        <v>2113.691770874987</v>
      </c>
      <c r="BD4" s="29">
        <f>'Summary Table'!S7</f>
        <v>2078.5236284534776</v>
      </c>
      <c r="BE4" s="29">
        <f>'Summary Table'!T7</f>
        <v>2107.8204533788362</v>
      </c>
      <c r="BF4" s="29">
        <f>'Summary Table'!U7</f>
        <v>2075.5075810551166</v>
      </c>
      <c r="BG4" s="29">
        <f>'Summary Table'!V7</f>
        <v>1837.5505397748595</v>
      </c>
      <c r="BH4" s="29">
        <f>'Summary Table'!W7</f>
        <v>1931.1818293988238</v>
      </c>
      <c r="BI4" s="29">
        <f>'Summary Table'!X7</f>
        <v>1817.6029485892238</v>
      </c>
      <c r="BJ4" s="29">
        <f>'Summary Table'!Y7</f>
        <v>1597.3385397365948</v>
      </c>
      <c r="BK4" s="29">
        <f>'Summary Table'!Z7</f>
        <v>1658.0054569283284</v>
      </c>
      <c r="BL4" s="29">
        <f>'Summary Table'!AA7</f>
        <v>1655.0570628896492</v>
      </c>
      <c r="BM4" s="29">
        <f>'Summary Table'!AB7</f>
        <v>1427.6334643005637</v>
      </c>
      <c r="BN4" s="29">
        <f>'Summary Table'!AC7</f>
        <v>1310.7026459470271</v>
      </c>
      <c r="BO4" s="29">
        <f>'Summary Table'!AD7</f>
        <v>1270.0160052537956</v>
      </c>
      <c r="BP4" s="29">
        <f>'Summary Table'!AE7</f>
        <v>1211.64115115703</v>
      </c>
      <c r="BQ4" s="29">
        <f>'Summary Table'!AF7</f>
        <v>1028.1585450392627</v>
      </c>
      <c r="BR4" s="29">
        <f>'Summary Table'!AG7</f>
        <v>835.60310155720231</v>
      </c>
      <c r="BS4" s="29">
        <f>'Summary Table'!AH7</f>
        <v>957.40984544204184</v>
      </c>
      <c r="BT4" s="29">
        <f>'Summary Table'!AI7</f>
        <v>898.40874766057198</v>
      </c>
    </row>
    <row r="5" spans="1:72">
      <c r="B5" s="6" t="s">
        <v>1434</v>
      </c>
      <c r="C5" s="232">
        <f t="shared" si="0"/>
        <v>0</v>
      </c>
      <c r="D5" s="232">
        <f t="shared" si="1"/>
        <v>0</v>
      </c>
      <c r="E5" s="232">
        <f t="shared" si="2"/>
        <v>0</v>
      </c>
      <c r="F5" s="232">
        <f t="shared" si="3"/>
        <v>0</v>
      </c>
      <c r="G5" s="232">
        <f t="shared" si="4"/>
        <v>0</v>
      </c>
      <c r="H5" s="232">
        <f t="shared" si="5"/>
        <v>0</v>
      </c>
      <c r="I5" s="232">
        <f t="shared" si="6"/>
        <v>0</v>
      </c>
      <c r="J5" s="232">
        <f t="shared" si="7"/>
        <v>0</v>
      </c>
      <c r="K5" s="232">
        <f t="shared" si="8"/>
        <v>0</v>
      </c>
      <c r="L5" s="232">
        <f t="shared" si="9"/>
        <v>0</v>
      </c>
      <c r="M5" s="232">
        <f t="shared" si="10"/>
        <v>0</v>
      </c>
      <c r="N5" s="232">
        <f t="shared" si="11"/>
        <v>0</v>
      </c>
      <c r="O5" s="232">
        <f t="shared" si="12"/>
        <v>0</v>
      </c>
      <c r="P5" s="232">
        <f t="shared" si="13"/>
        <v>0</v>
      </c>
      <c r="Q5" s="232">
        <f t="shared" si="14"/>
        <v>0</v>
      </c>
      <c r="R5" s="232">
        <f t="shared" si="15"/>
        <v>0</v>
      </c>
      <c r="S5" s="232">
        <f t="shared" si="16"/>
        <v>0</v>
      </c>
      <c r="T5" s="232">
        <f t="shared" si="17"/>
        <v>0</v>
      </c>
      <c r="U5" s="232" t="str">
        <f t="shared" si="18"/>
        <v>NA</v>
      </c>
      <c r="V5" s="232" t="str">
        <f t="shared" si="19"/>
        <v>NA</v>
      </c>
      <c r="W5" s="232" t="str">
        <f t="shared" si="20"/>
        <v>NA</v>
      </c>
      <c r="X5" s="232" t="str">
        <f t="shared" si="21"/>
        <v>NA</v>
      </c>
      <c r="Y5" s="232" t="str">
        <f t="shared" si="22"/>
        <v>NA</v>
      </c>
      <c r="Z5" s="232" t="str">
        <f t="shared" si="23"/>
        <v>NA</v>
      </c>
      <c r="AA5" s="232" t="str">
        <f t="shared" si="24"/>
        <v>NA</v>
      </c>
      <c r="AB5" s="232" t="str">
        <f t="shared" si="25"/>
        <v>NA</v>
      </c>
      <c r="AC5" s="232" t="str">
        <f t="shared" si="26"/>
        <v>NA</v>
      </c>
      <c r="AD5" s="232" t="str">
        <f t="shared" si="27"/>
        <v>NA</v>
      </c>
      <c r="AE5" s="232" t="str">
        <f t="shared" si="28"/>
        <v>NA</v>
      </c>
      <c r="AF5" s="232" t="str">
        <f t="shared" si="29"/>
        <v>NA</v>
      </c>
      <c r="AG5" s="232" t="str">
        <f t="shared" si="30"/>
        <v>NA</v>
      </c>
      <c r="AH5" s="232" t="str">
        <f t="shared" si="31"/>
        <v>NA</v>
      </c>
      <c r="AI5" s="232" t="str">
        <f t="shared" si="32"/>
        <v>NA</v>
      </c>
      <c r="AM5" s="6" t="s">
        <v>1434</v>
      </c>
      <c r="AN5" s="25">
        <f>'Summary Table'!C8</f>
        <v>2.9876952520607118</v>
      </c>
      <c r="AO5" s="25">
        <f>'Summary Table'!D8</f>
        <v>2.4418665673276769</v>
      </c>
      <c r="AP5" s="25">
        <f>'Summary Table'!E8</f>
        <v>2.4754382193886699</v>
      </c>
      <c r="AQ5" s="25">
        <f>'Summary Table'!F8</f>
        <v>2.4697527866952389</v>
      </c>
      <c r="AR5" s="25">
        <f>'Summary Table'!G8</f>
        <v>1.9941820840028137</v>
      </c>
      <c r="AS5" s="25">
        <f>'Summary Table'!H8</f>
        <v>1.6716718149582452</v>
      </c>
      <c r="AT5" s="25">
        <f>'Summary Table'!I8</f>
        <v>1.5825801930815993</v>
      </c>
      <c r="AU5" s="25">
        <f>'Summary Table'!J8</f>
        <v>1.5181715699565763</v>
      </c>
      <c r="AV5" s="25">
        <f>'Summary Table'!K8</f>
        <v>1.1032453604176209</v>
      </c>
      <c r="AW5" s="25">
        <f>'Summary Table'!L8</f>
        <v>1.3314380787302316</v>
      </c>
      <c r="AX5" s="25">
        <f>'Summary Table'!M8</f>
        <v>1.0827568764835389</v>
      </c>
      <c r="AY5" s="25">
        <f>'Summary Table'!N8</f>
        <v>1.1408450183687231</v>
      </c>
      <c r="AZ5" s="25">
        <f>'Summary Table'!O8</f>
        <v>1.1660507086849294</v>
      </c>
      <c r="BA5" s="25">
        <f>'Summary Table'!P8</f>
        <v>1.1687672828281666</v>
      </c>
      <c r="BB5" s="25">
        <f>'Summary Table'!Q8</f>
        <v>1.0852533688090795</v>
      </c>
      <c r="BC5" s="25">
        <f>'Summary Table'!R8</f>
        <v>0.80525533457459764</v>
      </c>
      <c r="BD5" s="25">
        <f>'Summary Table'!S8</f>
        <v>0.61705166323197502</v>
      </c>
      <c r="BE5" s="25">
        <f>'Summary Table'!T8</f>
        <v>0.73943487324772961</v>
      </c>
      <c r="BF5" s="25">
        <f>'Summary Table'!U8</f>
        <v>0</v>
      </c>
      <c r="BG5" s="25">
        <f>'Summary Table'!V8</f>
        <v>0</v>
      </c>
      <c r="BH5" s="25">
        <f>'Summary Table'!W8</f>
        <v>0</v>
      </c>
      <c r="BI5" s="25">
        <f>'Summary Table'!X8</f>
        <v>0</v>
      </c>
      <c r="BJ5" s="25">
        <f>'Summary Table'!Y8</f>
        <v>0</v>
      </c>
      <c r="BK5" s="25">
        <f>'Summary Table'!Z8</f>
        <v>0</v>
      </c>
      <c r="BL5" s="25">
        <f>'Summary Table'!AA8</f>
        <v>0</v>
      </c>
      <c r="BM5" s="25">
        <f>'Summary Table'!AB8</f>
        <v>0</v>
      </c>
      <c r="BN5" s="25">
        <f>'Summary Table'!AC8</f>
        <v>0</v>
      </c>
      <c r="BO5" s="25">
        <f>'Summary Table'!AD8</f>
        <v>0</v>
      </c>
      <c r="BP5" s="25">
        <f>'Summary Table'!AE8</f>
        <v>0</v>
      </c>
      <c r="BQ5" s="25">
        <f>'Summary Table'!AF8</f>
        <v>0</v>
      </c>
      <c r="BR5" s="25">
        <f>'Summary Table'!AG8</f>
        <v>0</v>
      </c>
      <c r="BS5" s="25">
        <f>'Summary Table'!AH8</f>
        <v>0</v>
      </c>
      <c r="BT5" s="25">
        <f>'Summary Table'!AI8</f>
        <v>0</v>
      </c>
    </row>
    <row r="6" spans="1:72">
      <c r="B6" s="6" t="s">
        <v>1441</v>
      </c>
      <c r="C6" s="232">
        <f t="shared" si="0"/>
        <v>0</v>
      </c>
      <c r="D6" s="232">
        <f t="shared" si="1"/>
        <v>0</v>
      </c>
      <c r="E6" s="232">
        <f t="shared" si="2"/>
        <v>0</v>
      </c>
      <c r="F6" s="232">
        <f t="shared" si="3"/>
        <v>0</v>
      </c>
      <c r="G6" s="232">
        <f t="shared" si="4"/>
        <v>0</v>
      </c>
      <c r="H6" s="232">
        <f t="shared" si="5"/>
        <v>0</v>
      </c>
      <c r="I6" s="232">
        <f t="shared" si="6"/>
        <v>0</v>
      </c>
      <c r="J6" s="232">
        <f t="shared" si="7"/>
        <v>0</v>
      </c>
      <c r="K6" s="232">
        <f t="shared" si="8"/>
        <v>0</v>
      </c>
      <c r="L6" s="232">
        <f t="shared" si="9"/>
        <v>0</v>
      </c>
      <c r="M6" s="232">
        <f t="shared" si="10"/>
        <v>0</v>
      </c>
      <c r="N6" s="232">
        <f t="shared" si="11"/>
        <v>0</v>
      </c>
      <c r="O6" s="232">
        <f t="shared" si="12"/>
        <v>0</v>
      </c>
      <c r="P6" s="232">
        <f t="shared" si="13"/>
        <v>0</v>
      </c>
      <c r="Q6" s="232">
        <f t="shared" si="14"/>
        <v>0</v>
      </c>
      <c r="R6" s="232">
        <f t="shared" si="15"/>
        <v>0</v>
      </c>
      <c r="S6" s="232">
        <f t="shared" si="16"/>
        <v>0</v>
      </c>
      <c r="T6" s="232">
        <f t="shared" si="17"/>
        <v>0</v>
      </c>
      <c r="U6" s="232">
        <f t="shared" si="18"/>
        <v>0</v>
      </c>
      <c r="V6" s="232">
        <f t="shared" si="19"/>
        <v>0</v>
      </c>
      <c r="W6" s="232">
        <f t="shared" si="20"/>
        <v>0</v>
      </c>
      <c r="X6" s="232">
        <f t="shared" si="21"/>
        <v>0</v>
      </c>
      <c r="Y6" s="232">
        <f t="shared" si="22"/>
        <v>0</v>
      </c>
      <c r="Z6" s="232">
        <f t="shared" si="23"/>
        <v>0</v>
      </c>
      <c r="AA6" s="232">
        <f t="shared" si="24"/>
        <v>0</v>
      </c>
      <c r="AB6" s="232">
        <f t="shared" si="25"/>
        <v>0</v>
      </c>
      <c r="AC6" s="232">
        <f t="shared" si="26"/>
        <v>0</v>
      </c>
      <c r="AD6" s="232">
        <f t="shared" si="27"/>
        <v>0</v>
      </c>
      <c r="AE6" s="232">
        <f t="shared" si="28"/>
        <v>0</v>
      </c>
      <c r="AF6" s="232">
        <f t="shared" si="29"/>
        <v>0</v>
      </c>
      <c r="AG6" s="232">
        <f t="shared" si="30"/>
        <v>0</v>
      </c>
      <c r="AH6" s="232">
        <f t="shared" si="31"/>
        <v>0</v>
      </c>
      <c r="AI6" s="232">
        <f t="shared" si="32"/>
        <v>9.0378219660473044E-4</v>
      </c>
      <c r="AM6" s="6" t="s">
        <v>1441</v>
      </c>
      <c r="AN6" s="25">
        <f>'Summary Table'!C9</f>
        <v>11.950781008242847</v>
      </c>
      <c r="AO6" s="25">
        <f>'Summary Table'!D9</f>
        <v>11.123951798824036</v>
      </c>
      <c r="AP6" s="25">
        <f>'Summary Table'!E9</f>
        <v>11.2767921073171</v>
      </c>
      <c r="AQ6" s="25">
        <f>'Summary Table'!F9</f>
        <v>11.251191944732801</v>
      </c>
      <c r="AR6" s="25">
        <f>'Summary Table'!G9</f>
        <v>11.300110030238828</v>
      </c>
      <c r="AS6" s="25">
        <f>'Summary Table'!H9</f>
        <v>11.187393726740217</v>
      </c>
      <c r="AT6" s="25">
        <f>'Summary Table'!I9</f>
        <v>11.605301798192992</v>
      </c>
      <c r="AU6" s="25">
        <f>'Summary Table'!J9</f>
        <v>12.283500350691053</v>
      </c>
      <c r="AV6" s="25">
        <f>'Summary Table'!K9</f>
        <v>8.9264663574628376</v>
      </c>
      <c r="AW6" s="25">
        <f>'Summary Table'!L9</f>
        <v>9.7635618041440733</v>
      </c>
      <c r="AX6" s="25">
        <f>'Summary Table'!M9</f>
        <v>8.7603401271750982</v>
      </c>
      <c r="AY6" s="25">
        <f>'Summary Table'!N9</f>
        <v>9.2306379407867158</v>
      </c>
      <c r="AZ6" s="25">
        <f>'Summary Table'!O9</f>
        <v>8.5511654681646281</v>
      </c>
      <c r="BA6" s="25">
        <f>'Summary Table'!P9</f>
        <v>7.8219705072625967</v>
      </c>
      <c r="BB6" s="25">
        <f>'Summary Table'!Q9</f>
        <v>9.7670904901110305</v>
      </c>
      <c r="BC6" s="25">
        <f>'Summary Table'!R9</f>
        <v>9.2601022167636504</v>
      </c>
      <c r="BD6" s="25">
        <f>'Summary Table'!S9</f>
        <v>6.2387890463696039</v>
      </c>
      <c r="BE6" s="25">
        <f>'Summary Table'!T9</f>
        <v>6.6546288033802021</v>
      </c>
      <c r="BF6" s="25">
        <f>'Summary Table'!U9</f>
        <v>7.6116885807047296</v>
      </c>
      <c r="BG6" s="25">
        <f>'Summary Table'!V9</f>
        <v>6.9212944879527454</v>
      </c>
      <c r="BH6" s="25">
        <f>'Summary Table'!W9</f>
        <v>6.5764502150490669</v>
      </c>
      <c r="BI6" s="25">
        <f>'Summary Table'!X9</f>
        <v>5.8411054745380699</v>
      </c>
      <c r="BJ6" s="25">
        <f>'Summary Table'!Y9</f>
        <v>4.1332779377363469</v>
      </c>
      <c r="BK6" s="25">
        <f>'Summary Table'!Z9</f>
        <v>3.9349591086762437</v>
      </c>
      <c r="BL6" s="25">
        <f>'Summary Table'!AA9</f>
        <v>3.815747352827314</v>
      </c>
      <c r="BM6" s="25">
        <f>'Summary Table'!AB9</f>
        <v>2.9645721255676034</v>
      </c>
      <c r="BN6" s="25">
        <f>'Summary Table'!AC9</f>
        <v>2.2649918397973812</v>
      </c>
      <c r="BO6" s="25">
        <f>'Summary Table'!AD9</f>
        <v>1.9759169500269727</v>
      </c>
      <c r="BP6" s="25">
        <f>'Summary Table'!AE9</f>
        <v>1.7911940979329957</v>
      </c>
      <c r="BQ6" s="25">
        <f>'Summary Table'!AF9</f>
        <v>1.6000991942164422</v>
      </c>
      <c r="BR6" s="25">
        <f>'Summary Table'!AG9</f>
        <v>1.3945916740834434</v>
      </c>
      <c r="BS6" s="25">
        <f>'Summary Table'!AH9</f>
        <v>1.4304169328982714</v>
      </c>
      <c r="BT6" s="25">
        <f>'Summary Table'!AI9</f>
        <v>1.3881296839221755</v>
      </c>
    </row>
    <row r="7" spans="1:72">
      <c r="B7" s="6" t="s">
        <v>1443</v>
      </c>
      <c r="C7" s="232">
        <f t="shared" si="0"/>
        <v>-1.931480601521222E-5</v>
      </c>
      <c r="D7" s="232">
        <f t="shared" si="1"/>
        <v>-1.7063331821822714E-5</v>
      </c>
      <c r="E7" s="232">
        <f t="shared" si="2"/>
        <v>-1.9313642808786417E-5</v>
      </c>
      <c r="F7" s="232">
        <f t="shared" si="3"/>
        <v>-1.8256488988775035E-5</v>
      </c>
      <c r="G7" s="232">
        <f t="shared" si="4"/>
        <v>-1.34873870549874E-5</v>
      </c>
      <c r="H7" s="232">
        <f t="shared" si="5"/>
        <v>-2.1027648088026028E-5</v>
      </c>
      <c r="I7" s="232">
        <f t="shared" si="6"/>
        <v>-5.4996097004188251E-5</v>
      </c>
      <c r="J7" s="232">
        <f t="shared" si="7"/>
        <v>-3.810527494749209E-5</v>
      </c>
      <c r="K7" s="232">
        <f t="shared" si="8"/>
        <v>-3.2153300260807153E-5</v>
      </c>
      <c r="L7" s="232">
        <f t="shared" si="9"/>
        <v>-2.912159828729364E-5</v>
      </c>
      <c r="M7" s="232">
        <f t="shared" si="10"/>
        <v>-4.7996152792548415E-5</v>
      </c>
      <c r="N7" s="232">
        <f t="shared" si="11"/>
        <v>-4.0854498784363224E-5</v>
      </c>
      <c r="O7" s="232">
        <f t="shared" si="12"/>
        <v>-4.951452539634425E-5</v>
      </c>
      <c r="P7" s="232">
        <f t="shared" si="13"/>
        <v>-4.9928648740330614E-5</v>
      </c>
      <c r="Q7" s="232">
        <f t="shared" si="14"/>
        <v>-5.7309438002287383E-5</v>
      </c>
      <c r="R7" s="232">
        <f t="shared" si="15"/>
        <v>-4.4804933344351018E-5</v>
      </c>
      <c r="S7" s="232">
        <f t="shared" si="16"/>
        <v>-4.4913568387386597E-5</v>
      </c>
      <c r="T7" s="232">
        <f t="shared" si="17"/>
        <v>-5.0680143318328975E-5</v>
      </c>
      <c r="U7" s="232">
        <f t="shared" si="18"/>
        <v>-4.9904489591241784E-5</v>
      </c>
      <c r="V7" s="232">
        <f t="shared" si="19"/>
        <v>-3.9557494454517844E-5</v>
      </c>
      <c r="W7" s="232">
        <f t="shared" si="20"/>
        <v>-4.9794154613068142E-5</v>
      </c>
      <c r="X7" s="232">
        <f t="shared" si="21"/>
        <v>-6.2376472785368933E-5</v>
      </c>
      <c r="Y7" s="232">
        <f t="shared" si="22"/>
        <v>-7.3902675611034211E-5</v>
      </c>
      <c r="Z7" s="232">
        <f t="shared" si="23"/>
        <v>-6.9356383274609348E-5</v>
      </c>
      <c r="AA7" s="232">
        <f t="shared" si="24"/>
        <v>-6.3162716766838973E-5</v>
      </c>
      <c r="AB7" s="232">
        <f t="shared" si="25"/>
        <v>-6.7259365926247434E-5</v>
      </c>
      <c r="AC7" s="232">
        <f t="shared" si="26"/>
        <v>-6.3460092842996101E-5</v>
      </c>
      <c r="AD7" s="232">
        <f t="shared" si="27"/>
        <v>-7.5079807876214281E-5</v>
      </c>
      <c r="AE7" s="232">
        <f t="shared" si="28"/>
        <v>-9.794431726799479E-5</v>
      </c>
      <c r="AF7" s="232">
        <f t="shared" si="29"/>
        <v>-1.0336187182791128E-4</v>
      </c>
      <c r="AG7" s="232">
        <f t="shared" si="30"/>
        <v>-5.5652077074708102E-5</v>
      </c>
      <c r="AH7" s="232">
        <f t="shared" si="31"/>
        <v>-1.3943921409266495E-4</v>
      </c>
      <c r="AI7" s="232">
        <f t="shared" si="32"/>
        <v>1.9310174004540247E-4</v>
      </c>
      <c r="AJ7" s="394">
        <f>AVERAGE(C7:AI7)</f>
        <v>-4.4423966000101367E-5</v>
      </c>
      <c r="AM7" s="6" t="s">
        <v>1443</v>
      </c>
      <c r="AN7" s="25">
        <f>'Summary Table'!C10</f>
        <v>157.83904177851264</v>
      </c>
      <c r="AO7" s="25">
        <f>'Summary Table'!D10</f>
        <v>154.63821661006179</v>
      </c>
      <c r="AP7" s="25">
        <f>'Summary Table'!E10</f>
        <v>150.2749647363666</v>
      </c>
      <c r="AQ7" s="25">
        <f>'Summary Table'!F10</f>
        <v>152.54778954502495</v>
      </c>
      <c r="AR7" s="25">
        <f>'Summary Table'!G10</f>
        <v>153.46902592244419</v>
      </c>
      <c r="AS7" s="25">
        <f>'Summary Table'!H10</f>
        <v>147.21568642995061</v>
      </c>
      <c r="AT7" s="25">
        <f>'Summary Table'!I10</f>
        <v>140.08937876434783</v>
      </c>
      <c r="AU7" s="25">
        <f>'Summary Table'!J10</f>
        <v>140.23965311448606</v>
      </c>
      <c r="AV7" s="25">
        <f>'Summary Table'!K10</f>
        <v>141.75560347689387</v>
      </c>
      <c r="AW7" s="25">
        <f>'Summary Table'!L10</f>
        <v>132.48068946628473</v>
      </c>
      <c r="AX7" s="25">
        <f>'Summary Table'!M10</f>
        <v>128.48390763754276</v>
      </c>
      <c r="AY7" s="25">
        <f>'Summary Table'!N10</f>
        <v>130.18161126003045</v>
      </c>
      <c r="AZ7" s="25">
        <f>'Summary Table'!O10</f>
        <v>119.05774285576179</v>
      </c>
      <c r="BA7" s="25">
        <f>'Summary Table'!P10</f>
        <v>119.43854006261547</v>
      </c>
      <c r="BB7" s="25">
        <f>'Summary Table'!Q10</f>
        <v>120.43424047781994</v>
      </c>
      <c r="BC7" s="25">
        <f>'Summary Table'!R10</f>
        <v>117.84136322777762</v>
      </c>
      <c r="BD7" s="25">
        <f>'Summary Table'!S10</f>
        <v>115.57937880961637</v>
      </c>
      <c r="BE7" s="25">
        <f>'Summary Table'!T10</f>
        <v>110.7742334657229</v>
      </c>
      <c r="BF7" s="25">
        <f>'Summary Table'!U10</f>
        <v>106.0748691930491</v>
      </c>
      <c r="BG7" s="25">
        <f>'Summary Table'!V10</f>
        <v>87.066994880340218</v>
      </c>
      <c r="BH7" s="25">
        <f>'Summary Table'!W10</f>
        <v>94.164426530393271</v>
      </c>
      <c r="BI7" s="25">
        <f>'Summary Table'!X10</f>
        <v>85.953690906971573</v>
      </c>
      <c r="BJ7" s="25">
        <f>'Summary Table'!Y10</f>
        <v>78.224309760947136</v>
      </c>
      <c r="BK7" s="25">
        <f>'Summary Table'!Z10</f>
        <v>79.543821123315311</v>
      </c>
      <c r="BL7" s="25">
        <f>'Summary Table'!AA10</f>
        <v>79.242788637601819</v>
      </c>
      <c r="BM7" s="25">
        <f>'Summary Table'!AB10</f>
        <v>69.970403927797904</v>
      </c>
      <c r="BN7" s="25">
        <f>'Summary Table'!AC10</f>
        <v>63.150304482426023</v>
      </c>
      <c r="BO7" s="25">
        <f>'Summary Table'!AD10</f>
        <v>58.672866160806755</v>
      </c>
      <c r="BP7" s="25">
        <f>'Summary Table'!AE10</f>
        <v>54.41675515263988</v>
      </c>
      <c r="BQ7" s="25">
        <f>'Summary Table'!AF10</f>
        <v>49.458189949163135</v>
      </c>
      <c r="BR7" s="25">
        <f>'Summary Table'!AG10</f>
        <v>42.966294417900514</v>
      </c>
      <c r="BS7" s="25">
        <f>'Summary Table'!AH10</f>
        <v>43.026401331772739</v>
      </c>
      <c r="BT7" s="25">
        <f>'Summary Table'!AI10</f>
        <v>42.659992596041015</v>
      </c>
    </row>
    <row r="8" spans="1:72">
      <c r="B8" s="6" t="s">
        <v>1445</v>
      </c>
      <c r="C8" s="232" t="str">
        <f t="shared" si="0"/>
        <v>NA</v>
      </c>
      <c r="D8" s="232" t="str">
        <f t="shared" si="1"/>
        <v>NA</v>
      </c>
      <c r="E8" s="232" t="str">
        <f t="shared" si="2"/>
        <v>NA</v>
      </c>
      <c r="F8" s="232" t="str">
        <f t="shared" si="3"/>
        <v>NA</v>
      </c>
      <c r="G8" s="232" t="str">
        <f t="shared" si="4"/>
        <v>NA</v>
      </c>
      <c r="H8" s="232" t="str">
        <f t="shared" si="5"/>
        <v>NA</v>
      </c>
      <c r="I8" s="232" t="str">
        <f t="shared" si="6"/>
        <v>NA</v>
      </c>
      <c r="J8" s="232" t="str">
        <f t="shared" si="7"/>
        <v>NA</v>
      </c>
      <c r="K8" s="232" t="str">
        <f t="shared" si="8"/>
        <v>NA</v>
      </c>
      <c r="L8" s="232" t="str">
        <f t="shared" si="9"/>
        <v>NA</v>
      </c>
      <c r="M8" s="232" t="str">
        <f t="shared" si="10"/>
        <v>NA</v>
      </c>
      <c r="N8" s="232" t="str">
        <f t="shared" si="11"/>
        <v>NA</v>
      </c>
      <c r="O8" s="232" t="str">
        <f t="shared" si="12"/>
        <v>NA</v>
      </c>
      <c r="P8" s="232" t="str">
        <f t="shared" si="13"/>
        <v>NA</v>
      </c>
      <c r="Q8" s="232" t="str">
        <f t="shared" si="14"/>
        <v>NA</v>
      </c>
      <c r="R8" s="232" t="str">
        <f t="shared" si="15"/>
        <v>NA</v>
      </c>
      <c r="S8" s="232" t="str">
        <f t="shared" si="16"/>
        <v>NA</v>
      </c>
      <c r="T8" s="232" t="str">
        <f t="shared" si="17"/>
        <v>NA</v>
      </c>
      <c r="U8" s="232" t="str">
        <f t="shared" si="18"/>
        <v>NA</v>
      </c>
      <c r="V8" s="232" t="str">
        <f t="shared" si="19"/>
        <v>NA</v>
      </c>
      <c r="W8" s="232" t="str">
        <f t="shared" si="20"/>
        <v>NA</v>
      </c>
      <c r="X8" s="232" t="str">
        <f t="shared" si="21"/>
        <v>NA</v>
      </c>
      <c r="Y8" s="232" t="str">
        <f t="shared" si="22"/>
        <v>NA</v>
      </c>
      <c r="Z8" s="232" t="str">
        <f t="shared" si="23"/>
        <v>NA</v>
      </c>
      <c r="AA8" s="232" t="str">
        <f t="shared" si="24"/>
        <v>NA</v>
      </c>
      <c r="AB8" s="232" t="str">
        <f t="shared" si="25"/>
        <v>NA</v>
      </c>
      <c r="AC8" s="232" t="str">
        <f t="shared" si="26"/>
        <v>NA</v>
      </c>
      <c r="AD8" s="232" t="str">
        <f t="shared" si="27"/>
        <v>NA</v>
      </c>
      <c r="AE8" s="232" t="str">
        <f t="shared" si="28"/>
        <v>NA</v>
      </c>
      <c r="AF8" s="232" t="str">
        <f t="shared" si="29"/>
        <v>NA</v>
      </c>
      <c r="AG8" s="232" t="str">
        <f t="shared" si="30"/>
        <v>NA</v>
      </c>
      <c r="AH8" s="232" t="str">
        <f t="shared" si="31"/>
        <v>NA</v>
      </c>
      <c r="AI8" s="232" t="str">
        <f t="shared" si="32"/>
        <v>NA</v>
      </c>
      <c r="AM8" s="6" t="s">
        <v>1445</v>
      </c>
      <c r="AN8" s="25" t="str">
        <f>'Summary Table'!C11</f>
        <v>NO</v>
      </c>
      <c r="AO8" s="25" t="str">
        <f>'Summary Table'!D11</f>
        <v>NO</v>
      </c>
      <c r="AP8" s="25" t="str">
        <f>'Summary Table'!E11</f>
        <v>NO</v>
      </c>
      <c r="AQ8" s="25" t="str">
        <f>'Summary Table'!F11</f>
        <v>NO</v>
      </c>
      <c r="AR8" s="25" t="str">
        <f>'Summary Table'!G11</f>
        <v>NO</v>
      </c>
      <c r="AS8" s="25" t="str">
        <f>'Summary Table'!H11</f>
        <v>NO</v>
      </c>
      <c r="AT8" s="25" t="str">
        <f>'Summary Table'!I11</f>
        <v>NO</v>
      </c>
      <c r="AU8" s="25" t="str">
        <f>'Summary Table'!J11</f>
        <v>NO</v>
      </c>
      <c r="AV8" s="25" t="str">
        <f>'Summary Table'!K11</f>
        <v>NO</v>
      </c>
      <c r="AW8" s="25" t="str">
        <f>'Summary Table'!L11</f>
        <v>NO</v>
      </c>
      <c r="AX8" s="25" t="str">
        <f>'Summary Table'!M11</f>
        <v>NO</v>
      </c>
      <c r="AY8" s="25" t="str">
        <f>'Summary Table'!N11</f>
        <v>NO</v>
      </c>
      <c r="AZ8" s="25" t="str">
        <f>'Summary Table'!O11</f>
        <v>NO</v>
      </c>
      <c r="BA8" s="25" t="str">
        <f>'Summary Table'!P11</f>
        <v>NO</v>
      </c>
      <c r="BB8" s="25" t="str">
        <f>'Summary Table'!Q11</f>
        <v>NO</v>
      </c>
      <c r="BC8" s="25" t="str">
        <f>'Summary Table'!R11</f>
        <v>NO</v>
      </c>
      <c r="BD8" s="25" t="str">
        <f>'Summary Table'!S11</f>
        <v>NO</v>
      </c>
      <c r="BE8" s="25" t="str">
        <f>'Summary Table'!T11</f>
        <v>NO</v>
      </c>
      <c r="BF8" s="25" t="str">
        <f>'Summary Table'!U11</f>
        <v>NO</v>
      </c>
      <c r="BG8" s="25" t="str">
        <f>'Summary Table'!V11</f>
        <v>NO</v>
      </c>
      <c r="BH8" s="25" t="str">
        <f>'Summary Table'!W11</f>
        <v>NO</v>
      </c>
      <c r="BI8" s="25" t="str">
        <f>'Summary Table'!X11</f>
        <v>NO</v>
      </c>
      <c r="BJ8" s="25" t="str">
        <f>'Summary Table'!Y11</f>
        <v>NO</v>
      </c>
      <c r="BK8" s="25" t="str">
        <f>'Summary Table'!Z11</f>
        <v>NO</v>
      </c>
      <c r="BL8" s="25" t="str">
        <f>'Summary Table'!AA11</f>
        <v>NO</v>
      </c>
      <c r="BM8" s="25" t="str">
        <f>'Summary Table'!AB11</f>
        <v>NO</v>
      </c>
      <c r="BN8" s="25" t="str">
        <f>'Summary Table'!AC11</f>
        <v>NO</v>
      </c>
      <c r="BO8" s="25" t="str">
        <f>'Summary Table'!AD11</f>
        <v>NO</v>
      </c>
      <c r="BP8" s="25" t="str">
        <f>'Summary Table'!AE11</f>
        <v>NO</v>
      </c>
      <c r="BQ8" s="25" t="str">
        <f>'Summary Table'!AF11</f>
        <v>NO</v>
      </c>
      <c r="BR8" s="25" t="str">
        <f>'Summary Table'!AG11</f>
        <v>NO</v>
      </c>
      <c r="BS8" s="25" t="str">
        <f>'Summary Table'!AH11</f>
        <v>NO</v>
      </c>
      <c r="BT8" s="25" t="str">
        <f>'Summary Table'!AI11</f>
        <v>NO</v>
      </c>
    </row>
    <row r="9" spans="1:72">
      <c r="B9" s="6" t="s">
        <v>1474</v>
      </c>
      <c r="C9" s="232">
        <f t="shared" si="0"/>
        <v>0</v>
      </c>
      <c r="D9" s="232">
        <f t="shared" si="1"/>
        <v>0</v>
      </c>
      <c r="E9" s="232">
        <f t="shared" si="2"/>
        <v>0</v>
      </c>
      <c r="F9" s="232">
        <f t="shared" si="3"/>
        <v>0</v>
      </c>
      <c r="G9" s="232">
        <f t="shared" si="4"/>
        <v>0</v>
      </c>
      <c r="H9" s="232">
        <f t="shared" si="5"/>
        <v>0</v>
      </c>
      <c r="I9" s="232">
        <f t="shared" si="6"/>
        <v>0</v>
      </c>
      <c r="J9" s="232">
        <f t="shared" si="7"/>
        <v>0</v>
      </c>
      <c r="K9" s="232">
        <f t="shared" si="8"/>
        <v>0</v>
      </c>
      <c r="L9" s="232">
        <f t="shared" si="9"/>
        <v>0</v>
      </c>
      <c r="M9" s="232">
        <f t="shared" si="10"/>
        <v>0</v>
      </c>
      <c r="N9" s="232">
        <f t="shared" si="11"/>
        <v>0</v>
      </c>
      <c r="O9" s="232">
        <f t="shared" si="12"/>
        <v>0</v>
      </c>
      <c r="P9" s="232">
        <f t="shared" si="13"/>
        <v>0</v>
      </c>
      <c r="Q9" s="232">
        <f t="shared" si="14"/>
        <v>0</v>
      </c>
      <c r="R9" s="232">
        <f t="shared" si="15"/>
        <v>0</v>
      </c>
      <c r="S9" s="232">
        <f t="shared" si="16"/>
        <v>0</v>
      </c>
      <c r="T9" s="232">
        <f t="shared" si="17"/>
        <v>0</v>
      </c>
      <c r="U9" s="232">
        <f t="shared" si="18"/>
        <v>0</v>
      </c>
      <c r="V9" s="232">
        <f t="shared" si="19"/>
        <v>0</v>
      </c>
      <c r="W9" s="232">
        <f t="shared" si="20"/>
        <v>0</v>
      </c>
      <c r="X9" s="232">
        <f t="shared" si="21"/>
        <v>0</v>
      </c>
      <c r="Y9" s="232">
        <f t="shared" si="22"/>
        <v>0</v>
      </c>
      <c r="Z9" s="232">
        <f t="shared" si="23"/>
        <v>0</v>
      </c>
      <c r="AA9" s="232">
        <f t="shared" si="24"/>
        <v>0</v>
      </c>
      <c r="AB9" s="232">
        <f t="shared" si="25"/>
        <v>0</v>
      </c>
      <c r="AC9" s="232">
        <f t="shared" si="26"/>
        <v>0</v>
      </c>
      <c r="AD9" s="232">
        <f t="shared" si="27"/>
        <v>0</v>
      </c>
      <c r="AE9" s="232">
        <f t="shared" si="28"/>
        <v>0</v>
      </c>
      <c r="AF9" s="232">
        <f t="shared" si="29"/>
        <v>0</v>
      </c>
      <c r="AG9" s="232">
        <f t="shared" si="30"/>
        <v>0</v>
      </c>
      <c r="AH9" s="232">
        <f t="shared" si="31"/>
        <v>0</v>
      </c>
      <c r="AI9" s="232">
        <f t="shared" si="32"/>
        <v>4.7441435423407992E-3</v>
      </c>
      <c r="AM9" s="6" t="s">
        <v>1474</v>
      </c>
      <c r="AN9" s="25">
        <f>'Summary Table'!C12</f>
        <v>1546.5138658365147</v>
      </c>
      <c r="AO9" s="25">
        <f>'Summary Table'!D12</f>
        <v>1547.1744736994474</v>
      </c>
      <c r="AP9" s="25">
        <f>'Summary Table'!E12</f>
        <v>1568.5414841172681</v>
      </c>
      <c r="AQ9" s="25">
        <f>'Summary Table'!F12</f>
        <v>1631.6188101341861</v>
      </c>
      <c r="AR9" s="25">
        <f>'Summary Table'!G12</f>
        <v>1637.8528422171717</v>
      </c>
      <c r="AS9" s="25">
        <f>'Summary Table'!H12</f>
        <v>1659.8609103723704</v>
      </c>
      <c r="AT9" s="25">
        <f>'Summary Table'!I12</f>
        <v>1751.5233947269828</v>
      </c>
      <c r="AU9" s="25">
        <f>'Summary Table'!J12</f>
        <v>1796.0188853915236</v>
      </c>
      <c r="AV9" s="25">
        <f>'Summary Table'!K12</f>
        <v>1827.1476965735826</v>
      </c>
      <c r="AW9" s="25">
        <f>'Summary Table'!L12</f>
        <v>1835.4022340292524</v>
      </c>
      <c r="AX9" s="25">
        <f>'Summary Table'!M12</f>
        <v>1926.3651342158976</v>
      </c>
      <c r="AY9" s="25">
        <f>'Summary Table'!N12</f>
        <v>1868.8345135593859</v>
      </c>
      <c r="AZ9" s="25">
        <f>'Summary Table'!O12</f>
        <v>1888.8946691071951</v>
      </c>
      <c r="BA9" s="25">
        <f>'Summary Table'!P12</f>
        <v>1929.9566599629634</v>
      </c>
      <c r="BB9" s="25">
        <f>'Summary Table'!Q12</f>
        <v>1942.0197985409238</v>
      </c>
      <c r="BC9" s="25">
        <f>'Summary Table'!R12</f>
        <v>1982.7713676303179</v>
      </c>
      <c r="BD9" s="25">
        <f>'Summary Table'!S12</f>
        <v>1952.6895189382972</v>
      </c>
      <c r="BE9" s="25">
        <f>'Summary Table'!T12</f>
        <v>1986.2497853491975</v>
      </c>
      <c r="BF9" s="25">
        <f>'Summary Table'!U12</f>
        <v>1958.3876061335875</v>
      </c>
      <c r="BG9" s="25">
        <f>'Summary Table'!V12</f>
        <v>1740.1526692444147</v>
      </c>
      <c r="BH9" s="25">
        <f>'Summary Table'!W12</f>
        <v>1827.2452396274032</v>
      </c>
      <c r="BI9" s="25">
        <f>'Summary Table'!X12</f>
        <v>1722.3698705628942</v>
      </c>
      <c r="BJ9" s="25">
        <f>'Summary Table'!Y12</f>
        <v>1511.6931055686455</v>
      </c>
      <c r="BK9" s="25">
        <f>'Summary Table'!Z12</f>
        <v>1571.2511273959044</v>
      </c>
      <c r="BL9" s="25">
        <f>'Summary Table'!AA12</f>
        <v>1568.556173908122</v>
      </c>
      <c r="BM9" s="25">
        <f>'Summary Table'!AB12</f>
        <v>1351.3884116145925</v>
      </c>
      <c r="BN9" s="25">
        <f>'Summary Table'!AC12</f>
        <v>1242.0166623259897</v>
      </c>
      <c r="BO9" s="25">
        <f>'Summary Table'!AD12</f>
        <v>1207.0667392920539</v>
      </c>
      <c r="BP9" s="25">
        <f>'Summary Table'!AE12</f>
        <v>1152.8764230464151</v>
      </c>
      <c r="BQ9" s="25">
        <f>'Summary Table'!AF12</f>
        <v>973.5397823880611</v>
      </c>
      <c r="BR9" s="25">
        <f>'Summary Table'!AG12</f>
        <v>788.15962639841325</v>
      </c>
      <c r="BS9" s="25">
        <f>'Summary Table'!AH12</f>
        <v>910.06445819817407</v>
      </c>
      <c r="BT9" s="25">
        <f>'Summary Table'!AI12</f>
        <v>851.47205640141203</v>
      </c>
    </row>
    <row r="10" spans="1:72">
      <c r="B10" s="6" t="s">
        <v>1476</v>
      </c>
      <c r="C10" s="232">
        <f t="shared" si="0"/>
        <v>0</v>
      </c>
      <c r="D10" s="232">
        <f t="shared" si="1"/>
        <v>0</v>
      </c>
      <c r="E10" s="232">
        <f t="shared" si="2"/>
        <v>0</v>
      </c>
      <c r="F10" s="232">
        <f t="shared" si="3"/>
        <v>0</v>
      </c>
      <c r="G10" s="232">
        <f t="shared" si="4"/>
        <v>0</v>
      </c>
      <c r="H10" s="232">
        <f t="shared" si="5"/>
        <v>0</v>
      </c>
      <c r="I10" s="232">
        <f t="shared" si="6"/>
        <v>0</v>
      </c>
      <c r="J10" s="232">
        <f t="shared" si="7"/>
        <v>0</v>
      </c>
      <c r="K10" s="232">
        <f t="shared" si="8"/>
        <v>0</v>
      </c>
      <c r="L10" s="232">
        <f t="shared" si="9"/>
        <v>0</v>
      </c>
      <c r="M10" s="232">
        <f t="shared" si="10"/>
        <v>0</v>
      </c>
      <c r="N10" s="232">
        <f t="shared" si="11"/>
        <v>0</v>
      </c>
      <c r="O10" s="232">
        <f t="shared" si="12"/>
        <v>0</v>
      </c>
      <c r="P10" s="232">
        <f t="shared" si="13"/>
        <v>0</v>
      </c>
      <c r="Q10" s="232">
        <f t="shared" si="14"/>
        <v>0</v>
      </c>
      <c r="R10" s="232">
        <f t="shared" si="15"/>
        <v>0</v>
      </c>
      <c r="S10" s="232">
        <f t="shared" si="16"/>
        <v>0</v>
      </c>
      <c r="T10" s="232">
        <f t="shared" si="17"/>
        <v>0</v>
      </c>
      <c r="U10" s="232">
        <f t="shared" si="18"/>
        <v>0</v>
      </c>
      <c r="V10" s="232">
        <f t="shared" si="19"/>
        <v>0</v>
      </c>
      <c r="W10" s="232">
        <f t="shared" si="20"/>
        <v>0</v>
      </c>
      <c r="X10" s="232">
        <f t="shared" si="21"/>
        <v>0</v>
      </c>
      <c r="Y10" s="232">
        <f t="shared" si="22"/>
        <v>0</v>
      </c>
      <c r="Z10" s="232">
        <f t="shared" si="23"/>
        <v>0</v>
      </c>
      <c r="AA10" s="232">
        <f t="shared" si="24"/>
        <v>0</v>
      </c>
      <c r="AB10" s="232">
        <f t="shared" si="25"/>
        <v>0</v>
      </c>
      <c r="AC10" s="232">
        <f t="shared" si="26"/>
        <v>0</v>
      </c>
      <c r="AD10" s="232">
        <f t="shared" si="27"/>
        <v>0</v>
      </c>
      <c r="AE10" s="232">
        <f t="shared" si="28"/>
        <v>0</v>
      </c>
      <c r="AF10" s="232">
        <f t="shared" si="29"/>
        <v>0</v>
      </c>
      <c r="AG10" s="232">
        <f t="shared" si="30"/>
        <v>0</v>
      </c>
      <c r="AH10" s="232">
        <f t="shared" si="31"/>
        <v>0</v>
      </c>
      <c r="AI10" s="232">
        <f t="shared" si="32"/>
        <v>0</v>
      </c>
      <c r="AJ10" s="394">
        <f t="shared" ref="AJ10:AJ11" si="33">AVERAGE(C10:AI10)</f>
        <v>0</v>
      </c>
      <c r="AM10" s="6" t="s">
        <v>1476</v>
      </c>
      <c r="AN10" s="25">
        <f>'Summary Table'!C13</f>
        <v>0.49918364487950195</v>
      </c>
      <c r="AO10" s="25">
        <f>'Summary Table'!D13</f>
        <v>0.46298199444111593</v>
      </c>
      <c r="AP10" s="25">
        <f>'Summary Table'!E13</f>
        <v>0.39540420426145789</v>
      </c>
      <c r="AQ10" s="25">
        <f>'Summary Table'!F13</f>
        <v>0.414664583865334</v>
      </c>
      <c r="AR10" s="25">
        <f>'Summary Table'!G13</f>
        <v>0.4225953215157458</v>
      </c>
      <c r="AS10" s="25">
        <f>'Summary Table'!H13</f>
        <v>0.43052605711056213</v>
      </c>
      <c r="AT10" s="25">
        <f>'Summary Table'!I13</f>
        <v>0.44185569700838989</v>
      </c>
      <c r="AU10" s="25">
        <f>'Summary Table'!J13</f>
        <v>0.44910667394322812</v>
      </c>
      <c r="AV10" s="25">
        <f>'Summary Table'!K13</f>
        <v>0.45409170850918595</v>
      </c>
      <c r="AW10" s="25">
        <f>'Summary Table'!L13</f>
        <v>0.42032940175863998</v>
      </c>
      <c r="AX10" s="25">
        <f>'Summary Table'!M13</f>
        <v>0.47500388702083407</v>
      </c>
      <c r="AY10" s="25">
        <f>'Summary Table'!N13</f>
        <v>0.59682902437400609</v>
      </c>
      <c r="AZ10" s="25">
        <f>'Summary Table'!O13</f>
        <v>2.0233696387959919</v>
      </c>
      <c r="BA10" s="25">
        <f>'Summary Table'!P13</f>
        <v>2.6638948248182412</v>
      </c>
      <c r="BB10" s="25">
        <f>'Summary Table'!Q13</f>
        <v>2.9457046672788625</v>
      </c>
      <c r="BC10" s="25">
        <f>'Summary Table'!R13</f>
        <v>3.0136824655534786</v>
      </c>
      <c r="BD10" s="25">
        <f>'Summary Table'!S13</f>
        <v>3.3988899959624983</v>
      </c>
      <c r="BE10" s="25">
        <f>'Summary Table'!T13</f>
        <v>3.4023708872877636</v>
      </c>
      <c r="BF10" s="25">
        <f>'Summary Table'!U13</f>
        <v>3.4334171477753794</v>
      </c>
      <c r="BG10" s="25">
        <f>'Summary Table'!V13</f>
        <v>3.4095811621519387</v>
      </c>
      <c r="BH10" s="25">
        <f>'Summary Table'!W13</f>
        <v>3.1957130259780819</v>
      </c>
      <c r="BI10" s="25">
        <f>'Summary Table'!X13</f>
        <v>3.4382816448199178</v>
      </c>
      <c r="BJ10" s="25">
        <f>'Summary Table'!Y13</f>
        <v>3.2878464692658049</v>
      </c>
      <c r="BK10" s="25">
        <f>'Summary Table'!Z13</f>
        <v>3.275549300432385</v>
      </c>
      <c r="BL10" s="25">
        <f>'Summary Table'!AA13</f>
        <v>3.4423529910979647</v>
      </c>
      <c r="BM10" s="25">
        <f>'Summary Table'!AB13</f>
        <v>3.3100766326055582</v>
      </c>
      <c r="BN10" s="25">
        <f>'Summary Table'!AC13</f>
        <v>3.2706872988139057</v>
      </c>
      <c r="BO10" s="25">
        <f>'Summary Table'!AD13</f>
        <v>2.3004828509080002</v>
      </c>
      <c r="BP10" s="25">
        <f>'Summary Table'!AE13</f>
        <v>2.5567788600420003</v>
      </c>
      <c r="BQ10" s="25">
        <f>'Summary Table'!AF13</f>
        <v>3.5604735078220004</v>
      </c>
      <c r="BR10" s="25">
        <f>'Summary Table'!AG13</f>
        <v>3.0825890668051215</v>
      </c>
      <c r="BS10" s="25">
        <f>'Summary Table'!AH13</f>
        <v>2.8885689791967102</v>
      </c>
      <c r="BT10" s="25">
        <f>'Summary Table'!AI13</f>
        <v>2.8885689791967102</v>
      </c>
    </row>
    <row r="11" spans="1:72">
      <c r="B11" s="5" t="s">
        <v>1439</v>
      </c>
      <c r="C11" s="235">
        <f t="shared" si="0"/>
        <v>0</v>
      </c>
      <c r="D11" s="235">
        <f t="shared" si="1"/>
        <v>0</v>
      </c>
      <c r="E11" s="235">
        <f t="shared" si="2"/>
        <v>0</v>
      </c>
      <c r="F11" s="235">
        <f t="shared" si="3"/>
        <v>0</v>
      </c>
      <c r="G11" s="235">
        <f t="shared" si="4"/>
        <v>0</v>
      </c>
      <c r="H11" s="235">
        <f t="shared" si="5"/>
        <v>0</v>
      </c>
      <c r="I11" s="235">
        <f t="shared" si="6"/>
        <v>0</v>
      </c>
      <c r="J11" s="235">
        <f t="shared" si="7"/>
        <v>0</v>
      </c>
      <c r="K11" s="235">
        <f t="shared" si="8"/>
        <v>0</v>
      </c>
      <c r="L11" s="235">
        <f t="shared" si="9"/>
        <v>0</v>
      </c>
      <c r="M11" s="235">
        <f t="shared" si="10"/>
        <v>0</v>
      </c>
      <c r="N11" s="235">
        <f t="shared" si="11"/>
        <v>0</v>
      </c>
      <c r="O11" s="235">
        <f t="shared" si="12"/>
        <v>0</v>
      </c>
      <c r="P11" s="235">
        <f t="shared" si="13"/>
        <v>0</v>
      </c>
      <c r="Q11" s="235">
        <f t="shared" si="14"/>
        <v>0</v>
      </c>
      <c r="R11" s="235">
        <f t="shared" si="15"/>
        <v>0</v>
      </c>
      <c r="S11" s="235">
        <f t="shared" si="16"/>
        <v>0</v>
      </c>
      <c r="T11" s="235">
        <f t="shared" si="17"/>
        <v>0</v>
      </c>
      <c r="U11" s="235">
        <f t="shared" si="18"/>
        <v>0</v>
      </c>
      <c r="V11" s="235">
        <f t="shared" si="19"/>
        <v>0</v>
      </c>
      <c r="W11" s="235">
        <f t="shared" si="20"/>
        <v>0</v>
      </c>
      <c r="X11" s="235">
        <f t="shared" si="21"/>
        <v>0</v>
      </c>
      <c r="Y11" s="235">
        <f t="shared" si="22"/>
        <v>0</v>
      </c>
      <c r="Z11" s="235">
        <f t="shared" si="23"/>
        <v>0</v>
      </c>
      <c r="AA11" s="235">
        <f t="shared" si="24"/>
        <v>0</v>
      </c>
      <c r="AB11" s="235">
        <f t="shared" si="25"/>
        <v>0</v>
      </c>
      <c r="AC11" s="235">
        <f t="shared" si="26"/>
        <v>0</v>
      </c>
      <c r="AD11" s="235">
        <f t="shared" si="27"/>
        <v>0</v>
      </c>
      <c r="AE11" s="235">
        <f t="shared" si="28"/>
        <v>0</v>
      </c>
      <c r="AF11" s="235">
        <f t="shared" si="29"/>
        <v>-5.3390782460783644E-6</v>
      </c>
      <c r="AG11" s="235">
        <f t="shared" si="30"/>
        <v>2.0711277859428454E-3</v>
      </c>
      <c r="AH11" s="235">
        <f t="shared" si="31"/>
        <v>7.7312676967610904E-4</v>
      </c>
      <c r="AI11" s="235">
        <f t="shared" si="32"/>
        <v>-1.9110308905895331E-3</v>
      </c>
      <c r="AJ11" s="394">
        <f t="shared" si="33"/>
        <v>2.8117714751010394E-5</v>
      </c>
      <c r="AM11" s="5" t="s">
        <v>1439</v>
      </c>
      <c r="AN11" s="29">
        <f>'Summary Table'!C14</f>
        <v>998.62349225994672</v>
      </c>
      <c r="AO11" s="29">
        <f>'Summary Table'!D14</f>
        <v>1020.8766721472523</v>
      </c>
      <c r="AP11" s="29">
        <f>'Summary Table'!E14</f>
        <v>1054.3448652335699</v>
      </c>
      <c r="AQ11" s="29">
        <f>'Summary Table'!F14</f>
        <v>1081.8087995998724</v>
      </c>
      <c r="AR11" s="29">
        <f>'Summary Table'!G14</f>
        <v>1106.597648493778</v>
      </c>
      <c r="AS11" s="29">
        <f>'Summary Table'!H14</f>
        <v>1155.0125862325747</v>
      </c>
      <c r="AT11" s="29">
        <f>'Summary Table'!I14</f>
        <v>1176.2845125565316</v>
      </c>
      <c r="AU11" s="29">
        <f>'Summary Table'!J14</f>
        <v>1182.4608296957772</v>
      </c>
      <c r="AV11" s="29">
        <f>'Summary Table'!K14</f>
        <v>1158.6521439145599</v>
      </c>
      <c r="AW11" s="29">
        <f>'Summary Table'!L14</f>
        <v>1162.936857405308</v>
      </c>
      <c r="AX11" s="29">
        <f>'Summary Table'!M14</f>
        <v>1218.6319252846156</v>
      </c>
      <c r="AY11" s="29">
        <f>'Summary Table'!N14</f>
        <v>1169.4461080717133</v>
      </c>
      <c r="AZ11" s="29">
        <f>'Summary Table'!O14</f>
        <v>1207.9329265155102</v>
      </c>
      <c r="BA11" s="29">
        <f>'Summary Table'!P14</f>
        <v>1176.9526767172179</v>
      </c>
      <c r="BB11" s="29">
        <f>'Summary Table'!Q14</f>
        <v>1182.8257812622635</v>
      </c>
      <c r="BC11" s="29">
        <f>'Summary Table'!R14</f>
        <v>1166.1619067933786</v>
      </c>
      <c r="BD11" s="29">
        <f>'Summary Table'!S14</f>
        <v>1151.0489744030008</v>
      </c>
      <c r="BE11" s="29">
        <f>'Summary Table'!T14</f>
        <v>1225.0297403637483</v>
      </c>
      <c r="BF11" s="29">
        <f>'Summary Table'!U14</f>
        <v>1235.880817407465</v>
      </c>
      <c r="BG11" s="29">
        <f>'Summary Table'!V14</f>
        <v>1214.2348492596584</v>
      </c>
      <c r="BH11" s="29">
        <f>'Summary Table'!W14</f>
        <v>1273.1434121564739</v>
      </c>
      <c r="BI11" s="29">
        <f>'Summary Table'!X14</f>
        <v>1292.7853933595727</v>
      </c>
      <c r="BJ11" s="29">
        <f>'Summary Table'!Y14</f>
        <v>1352.7983238212385</v>
      </c>
      <c r="BK11" s="29">
        <f>'Summary Table'!Z14</f>
        <v>1390.8096077883677</v>
      </c>
      <c r="BL11" s="29">
        <f>'Summary Table'!AA14</f>
        <v>1419.1264948240514</v>
      </c>
      <c r="BM11" s="29">
        <f>'Summary Table'!AB14</f>
        <v>1455.3863220654703</v>
      </c>
      <c r="BN11" s="29">
        <f>'Summary Table'!AC14</f>
        <v>1461.3213135943815</v>
      </c>
      <c r="BO11" s="29">
        <f>'Summary Table'!AD14</f>
        <v>1433.2473396264857</v>
      </c>
      <c r="BP11" s="29">
        <f>'Summary Table'!AE14</f>
        <v>1591.9666965204153</v>
      </c>
      <c r="BQ11" s="29">
        <f>'Summary Table'!AF14</f>
        <v>1649.2440851633467</v>
      </c>
      <c r="BR11" s="29">
        <f>'Summary Table'!AG14</f>
        <v>1615.678934586985</v>
      </c>
      <c r="BS11" s="29">
        <f>'Summary Table'!AH14</f>
        <v>1622.0683091042599</v>
      </c>
      <c r="BT11" s="29">
        <f>'Summary Table'!AI14</f>
        <v>1709.0814150991439</v>
      </c>
    </row>
    <row r="12" spans="1:72">
      <c r="B12" s="6" t="s">
        <v>1434</v>
      </c>
      <c r="C12" s="232">
        <f t="shared" si="0"/>
        <v>0</v>
      </c>
      <c r="D12" s="232">
        <f t="shared" si="1"/>
        <v>0</v>
      </c>
      <c r="E12" s="232">
        <f t="shared" si="2"/>
        <v>0</v>
      </c>
      <c r="F12" s="232">
        <f t="shared" si="3"/>
        <v>0</v>
      </c>
      <c r="G12" s="232">
        <f t="shared" si="4"/>
        <v>0</v>
      </c>
      <c r="H12" s="232">
        <f t="shared" si="5"/>
        <v>0</v>
      </c>
      <c r="I12" s="232">
        <f t="shared" si="6"/>
        <v>0</v>
      </c>
      <c r="J12" s="232">
        <f t="shared" si="7"/>
        <v>0</v>
      </c>
      <c r="K12" s="232">
        <f t="shared" si="8"/>
        <v>0</v>
      </c>
      <c r="L12" s="232">
        <f t="shared" si="9"/>
        <v>0</v>
      </c>
      <c r="M12" s="232">
        <f t="shared" si="10"/>
        <v>0</v>
      </c>
      <c r="N12" s="232">
        <f t="shared" si="11"/>
        <v>0</v>
      </c>
      <c r="O12" s="232">
        <f t="shared" si="12"/>
        <v>0</v>
      </c>
      <c r="P12" s="232">
        <f t="shared" si="13"/>
        <v>0</v>
      </c>
      <c r="Q12" s="232">
        <f t="shared" si="14"/>
        <v>0</v>
      </c>
      <c r="R12" s="232">
        <f t="shared" si="15"/>
        <v>0</v>
      </c>
      <c r="S12" s="232">
        <f t="shared" si="16"/>
        <v>0</v>
      </c>
      <c r="T12" s="232">
        <f t="shared" si="17"/>
        <v>0</v>
      </c>
      <c r="U12" s="232">
        <f t="shared" si="18"/>
        <v>0</v>
      </c>
      <c r="V12" s="232">
        <f t="shared" si="19"/>
        <v>0</v>
      </c>
      <c r="W12" s="232">
        <f t="shared" si="20"/>
        <v>0</v>
      </c>
      <c r="X12" s="232">
        <f t="shared" si="21"/>
        <v>0</v>
      </c>
      <c r="Y12" s="232">
        <f t="shared" si="22"/>
        <v>0</v>
      </c>
      <c r="Z12" s="232">
        <f t="shared" si="23"/>
        <v>0</v>
      </c>
      <c r="AA12" s="232">
        <f t="shared" si="24"/>
        <v>0</v>
      </c>
      <c r="AB12" s="232">
        <f t="shared" si="25"/>
        <v>0</v>
      </c>
      <c r="AC12" s="232">
        <f t="shared" si="26"/>
        <v>0</v>
      </c>
      <c r="AD12" s="232">
        <f t="shared" si="27"/>
        <v>0</v>
      </c>
      <c r="AE12" s="232">
        <f t="shared" si="28"/>
        <v>0</v>
      </c>
      <c r="AF12" s="232">
        <f t="shared" si="29"/>
        <v>0</v>
      </c>
      <c r="AG12" s="232">
        <f t="shared" si="30"/>
        <v>2.4764382380433627E-6</v>
      </c>
      <c r="AH12" s="232">
        <f t="shared" si="31"/>
        <v>1.0146492024262997E-4</v>
      </c>
      <c r="AI12" s="232">
        <f t="shared" si="32"/>
        <v>-5.4617909728650986E-3</v>
      </c>
      <c r="AM12" s="6" t="s">
        <v>1434</v>
      </c>
      <c r="AN12" s="25">
        <f>'Summary Table'!C15</f>
        <v>237.79751316701928</v>
      </c>
      <c r="AO12" s="25">
        <f>'Summary Table'!D15</f>
        <v>247.3163708646733</v>
      </c>
      <c r="AP12" s="25">
        <f>'Summary Table'!E15</f>
        <v>254.59497787985759</v>
      </c>
      <c r="AQ12" s="25">
        <f>'Summary Table'!F15</f>
        <v>268.22932615115491</v>
      </c>
      <c r="AR12" s="25">
        <f>'Summary Table'!G15</f>
        <v>262.94355944535857</v>
      </c>
      <c r="AS12" s="25">
        <f>'Summary Table'!H15</f>
        <v>262.76570850496319</v>
      </c>
      <c r="AT12" s="25">
        <f>'Summary Table'!I15</f>
        <v>283.99195492868381</v>
      </c>
      <c r="AU12" s="25">
        <f>'Summary Table'!J15</f>
        <v>270.12382236394063</v>
      </c>
      <c r="AV12" s="25">
        <f>'Summary Table'!K15</f>
        <v>246.13967860387044</v>
      </c>
      <c r="AW12" s="25">
        <f>'Summary Table'!L15</f>
        <v>256.37921536804282</v>
      </c>
      <c r="AX12" s="25">
        <f>'Summary Table'!M15</f>
        <v>270.80589926201588</v>
      </c>
      <c r="AY12" s="25">
        <f>'Summary Table'!N15</f>
        <v>259.1889647876601</v>
      </c>
      <c r="AZ12" s="25">
        <f>'Summary Table'!O15</f>
        <v>265.05318507540636</v>
      </c>
      <c r="BA12" s="25">
        <f>'Summary Table'!P15</f>
        <v>276.17534859880868</v>
      </c>
      <c r="BB12" s="25">
        <f>'Summary Table'!Q15</f>
        <v>264.17877611421051</v>
      </c>
      <c r="BC12" s="25">
        <f>'Summary Table'!R15</f>
        <v>262.2286055672738</v>
      </c>
      <c r="BD12" s="25">
        <f>'Summary Table'!S15</f>
        <v>237.28839962332515</v>
      </c>
      <c r="BE12" s="25">
        <f>'Summary Table'!T15</f>
        <v>256.4079028660679</v>
      </c>
      <c r="BF12" s="25">
        <f>'Summary Table'!U15</f>
        <v>265.66749545875354</v>
      </c>
      <c r="BG12" s="25">
        <f>'Summary Table'!V15</f>
        <v>259.05601805220141</v>
      </c>
      <c r="BH12" s="25">
        <f>'Summary Table'!W15</f>
        <v>258.91127602274685</v>
      </c>
      <c r="BI12" s="25">
        <f>'Summary Table'!X15</f>
        <v>255.06803132826391</v>
      </c>
      <c r="BJ12" s="25">
        <f>'Summary Table'!Y15</f>
        <v>225.10147681644284</v>
      </c>
      <c r="BK12" s="25">
        <f>'Summary Table'!Z15</f>
        <v>266.35053365110366</v>
      </c>
      <c r="BL12" s="25">
        <f>'Summary Table'!AA15</f>
        <v>277.6716054191445</v>
      </c>
      <c r="BM12" s="25">
        <f>'Summary Table'!AB15</f>
        <v>252.72391355879935</v>
      </c>
      <c r="BN12" s="25">
        <f>'Summary Table'!AC15</f>
        <v>238.38223392683929</v>
      </c>
      <c r="BO12" s="25">
        <f>'Summary Table'!AD15</f>
        <v>241.48609403530835</v>
      </c>
      <c r="BP12" s="25">
        <f>'Summary Table'!AE15</f>
        <v>273.81436679347121</v>
      </c>
      <c r="BQ12" s="25">
        <f>'Summary Table'!AF15</f>
        <v>275.46887973202541</v>
      </c>
      <c r="BR12" s="25">
        <f>'Summary Table'!AG15</f>
        <v>256.36135242960933</v>
      </c>
      <c r="BS12" s="25">
        <f>'Summary Table'!AH15</f>
        <v>258.64706539139297</v>
      </c>
      <c r="BT12" s="25">
        <f>'Summary Table'!AI15</f>
        <v>271.98681887741003</v>
      </c>
    </row>
    <row r="13" spans="1:72">
      <c r="B13" s="6" t="s">
        <v>1441</v>
      </c>
      <c r="C13" s="232">
        <f t="shared" si="0"/>
        <v>0</v>
      </c>
      <c r="D13" s="232">
        <f t="shared" si="1"/>
        <v>0</v>
      </c>
      <c r="E13" s="232">
        <f t="shared" si="2"/>
        <v>0</v>
      </c>
      <c r="F13" s="232">
        <f t="shared" si="3"/>
        <v>0</v>
      </c>
      <c r="G13" s="232">
        <f t="shared" si="4"/>
        <v>0</v>
      </c>
      <c r="H13" s="232">
        <f t="shared" si="5"/>
        <v>0</v>
      </c>
      <c r="I13" s="232">
        <f t="shared" si="6"/>
        <v>0</v>
      </c>
      <c r="J13" s="232">
        <f t="shared" si="7"/>
        <v>0</v>
      </c>
      <c r="K13" s="232">
        <f t="shared" si="8"/>
        <v>0</v>
      </c>
      <c r="L13" s="232">
        <f t="shared" si="9"/>
        <v>0</v>
      </c>
      <c r="M13" s="232">
        <f t="shared" si="10"/>
        <v>0</v>
      </c>
      <c r="N13" s="232">
        <f t="shared" si="11"/>
        <v>0</v>
      </c>
      <c r="O13" s="232">
        <f t="shared" si="12"/>
        <v>0</v>
      </c>
      <c r="P13" s="232">
        <f t="shared" si="13"/>
        <v>0</v>
      </c>
      <c r="Q13" s="232">
        <f t="shared" si="14"/>
        <v>0</v>
      </c>
      <c r="R13" s="232">
        <f t="shared" si="15"/>
        <v>0</v>
      </c>
      <c r="S13" s="232">
        <f t="shared" si="16"/>
        <v>0</v>
      </c>
      <c r="T13" s="232">
        <f t="shared" si="17"/>
        <v>0</v>
      </c>
      <c r="U13" s="232">
        <f t="shared" si="18"/>
        <v>0</v>
      </c>
      <c r="V13" s="232">
        <f t="shared" si="19"/>
        <v>0</v>
      </c>
      <c r="W13" s="232">
        <f t="shared" si="20"/>
        <v>0</v>
      </c>
      <c r="X13" s="232">
        <f t="shared" si="21"/>
        <v>0</v>
      </c>
      <c r="Y13" s="232">
        <f t="shared" si="22"/>
        <v>0</v>
      </c>
      <c r="Z13" s="232">
        <f t="shared" si="23"/>
        <v>0</v>
      </c>
      <c r="AA13" s="232">
        <f t="shared" si="24"/>
        <v>0</v>
      </c>
      <c r="AB13" s="232">
        <f t="shared" si="25"/>
        <v>0</v>
      </c>
      <c r="AC13" s="232">
        <f t="shared" si="26"/>
        <v>0</v>
      </c>
      <c r="AD13" s="232">
        <f t="shared" si="27"/>
        <v>0</v>
      </c>
      <c r="AE13" s="232">
        <f t="shared" si="28"/>
        <v>0</v>
      </c>
      <c r="AF13" s="232">
        <f t="shared" si="29"/>
        <v>0</v>
      </c>
      <c r="AG13" s="232">
        <f t="shared" si="30"/>
        <v>-2.2963684755410753E-3</v>
      </c>
      <c r="AH13" s="232">
        <f t="shared" si="31"/>
        <v>-2.7668946134625084E-3</v>
      </c>
      <c r="AI13" s="232">
        <f t="shared" si="32"/>
        <v>-4.6697327025932572E-3</v>
      </c>
      <c r="AM13" s="6" t="s">
        <v>1441</v>
      </c>
      <c r="AN13" s="25">
        <f>'Summary Table'!C16</f>
        <v>142.02473544607753</v>
      </c>
      <c r="AO13" s="25">
        <f>'Summary Table'!D16</f>
        <v>148.12843320995771</v>
      </c>
      <c r="AP13" s="25">
        <f>'Summary Table'!E16</f>
        <v>152.1442839987414</v>
      </c>
      <c r="AQ13" s="25">
        <f>'Summary Table'!F16</f>
        <v>154.86031096580882</v>
      </c>
      <c r="AR13" s="25">
        <f>'Summary Table'!G16</f>
        <v>157.02801444190189</v>
      </c>
      <c r="AS13" s="25">
        <f>'Summary Table'!H16</f>
        <v>164.20845936813723</v>
      </c>
      <c r="AT13" s="25">
        <f>'Summary Table'!I16</f>
        <v>171.12093873822886</v>
      </c>
      <c r="AU13" s="25">
        <f>'Summary Table'!J16</f>
        <v>174.25040454967009</v>
      </c>
      <c r="AV13" s="25">
        <f>'Summary Table'!K16</f>
        <v>163.32937279129024</v>
      </c>
      <c r="AW13" s="25">
        <f>'Summary Table'!L16</f>
        <v>165.18012136905648</v>
      </c>
      <c r="AX13" s="25">
        <f>'Summary Table'!M16</f>
        <v>172.49806642837646</v>
      </c>
      <c r="AY13" s="25">
        <f>'Summary Table'!N16</f>
        <v>164.19987233758553</v>
      </c>
      <c r="AZ13" s="25">
        <f>'Summary Table'!O16</f>
        <v>170.46500850943963</v>
      </c>
      <c r="BA13" s="25">
        <f>'Summary Table'!P16</f>
        <v>172.87591133833368</v>
      </c>
      <c r="BB13" s="25">
        <f>'Summary Table'!Q16</f>
        <v>169.77666283715638</v>
      </c>
      <c r="BC13" s="25">
        <f>'Summary Table'!R16</f>
        <v>162.92508508024997</v>
      </c>
      <c r="BD13" s="25">
        <f>'Summary Table'!S16</f>
        <v>153.83155669866855</v>
      </c>
      <c r="BE13" s="25">
        <f>'Summary Table'!T16</f>
        <v>163.59043097479622</v>
      </c>
      <c r="BF13" s="25">
        <f>'Summary Table'!U16</f>
        <v>171.19325427303346</v>
      </c>
      <c r="BG13" s="25">
        <f>'Summary Table'!V16</f>
        <v>169.05333172555467</v>
      </c>
      <c r="BH13" s="25">
        <f>'Summary Table'!W16</f>
        <v>167.96887548912161</v>
      </c>
      <c r="BI13" s="25">
        <f>'Summary Table'!X16</f>
        <v>170.73801795221382</v>
      </c>
      <c r="BJ13" s="25">
        <f>'Summary Table'!Y16</f>
        <v>157.04279460910288</v>
      </c>
      <c r="BK13" s="25">
        <f>'Summary Table'!Z16</f>
        <v>179.21960261143067</v>
      </c>
      <c r="BL13" s="25">
        <f>'Summary Table'!AA16</f>
        <v>189.18938777422409</v>
      </c>
      <c r="BM13" s="25">
        <f>'Summary Table'!AB16</f>
        <v>175.4117517978259</v>
      </c>
      <c r="BN13" s="25">
        <f>'Summary Table'!AC16</f>
        <v>170.54056544370894</v>
      </c>
      <c r="BO13" s="25">
        <f>'Summary Table'!AD16</f>
        <v>173.19011617374824</v>
      </c>
      <c r="BP13" s="25">
        <f>'Summary Table'!AE16</f>
        <v>192.5283840865653</v>
      </c>
      <c r="BQ13" s="25">
        <f>'Summary Table'!AF16</f>
        <v>192.91620874877498</v>
      </c>
      <c r="BR13" s="25">
        <f>'Summary Table'!AG16</f>
        <v>173.45008271834308</v>
      </c>
      <c r="BS13" s="25">
        <f>'Summary Table'!AH16</f>
        <v>180.36282488864072</v>
      </c>
      <c r="BT13" s="25">
        <f>'Summary Table'!AI16</f>
        <v>192.26242231258678</v>
      </c>
    </row>
    <row r="14" spans="1:72">
      <c r="B14" s="6" t="s">
        <v>1443</v>
      </c>
      <c r="C14" s="232">
        <f t="shared" si="0"/>
        <v>0</v>
      </c>
      <c r="D14" s="232">
        <f t="shared" si="1"/>
        <v>0</v>
      </c>
      <c r="E14" s="232">
        <f t="shared" si="2"/>
        <v>0</v>
      </c>
      <c r="F14" s="232">
        <f t="shared" si="3"/>
        <v>0</v>
      </c>
      <c r="G14" s="232">
        <f t="shared" si="4"/>
        <v>0</v>
      </c>
      <c r="H14" s="232">
        <f t="shared" si="5"/>
        <v>0</v>
      </c>
      <c r="I14" s="232">
        <f t="shared" si="6"/>
        <v>0</v>
      </c>
      <c r="J14" s="232">
        <f t="shared" si="7"/>
        <v>0</v>
      </c>
      <c r="K14" s="232">
        <f t="shared" si="8"/>
        <v>0</v>
      </c>
      <c r="L14" s="232">
        <f t="shared" si="9"/>
        <v>0</v>
      </c>
      <c r="M14" s="232">
        <f t="shared" si="10"/>
        <v>0</v>
      </c>
      <c r="N14" s="232">
        <f t="shared" si="11"/>
        <v>0</v>
      </c>
      <c r="O14" s="232">
        <f t="shared" si="12"/>
        <v>0</v>
      </c>
      <c r="P14" s="232">
        <f t="shared" si="13"/>
        <v>0</v>
      </c>
      <c r="Q14" s="232">
        <f t="shared" si="14"/>
        <v>0</v>
      </c>
      <c r="R14" s="232">
        <f t="shared" si="15"/>
        <v>0</v>
      </c>
      <c r="S14" s="232">
        <f t="shared" si="16"/>
        <v>0</v>
      </c>
      <c r="T14" s="232">
        <f t="shared" si="17"/>
        <v>0</v>
      </c>
      <c r="U14" s="232">
        <f t="shared" si="18"/>
        <v>0</v>
      </c>
      <c r="V14" s="232">
        <f t="shared" si="19"/>
        <v>0</v>
      </c>
      <c r="W14" s="232">
        <f t="shared" si="20"/>
        <v>0</v>
      </c>
      <c r="X14" s="232">
        <f t="shared" si="21"/>
        <v>0</v>
      </c>
      <c r="Y14" s="232">
        <f t="shared" si="22"/>
        <v>0</v>
      </c>
      <c r="Z14" s="232">
        <f t="shared" si="23"/>
        <v>0</v>
      </c>
      <c r="AA14" s="232">
        <f t="shared" si="24"/>
        <v>0</v>
      </c>
      <c r="AB14" s="232">
        <f t="shared" si="25"/>
        <v>0</v>
      </c>
      <c r="AC14" s="232">
        <f t="shared" si="26"/>
        <v>0</v>
      </c>
      <c r="AD14" s="232">
        <f t="shared" si="27"/>
        <v>0</v>
      </c>
      <c r="AE14" s="232">
        <f t="shared" si="28"/>
        <v>0</v>
      </c>
      <c r="AF14" s="232">
        <f t="shared" si="29"/>
        <v>-1.7557699121072267E-5</v>
      </c>
      <c r="AG14" s="232">
        <f t="shared" si="30"/>
        <v>7.686647650467838E-3</v>
      </c>
      <c r="AH14" s="232">
        <f t="shared" si="31"/>
        <v>3.2375068278449985E-3</v>
      </c>
      <c r="AI14" s="232">
        <f t="shared" si="32"/>
        <v>-2.1872625303420174E-3</v>
      </c>
      <c r="AM14" s="6" t="s">
        <v>1443</v>
      </c>
      <c r="AN14" s="25">
        <f>'Summary Table'!C17</f>
        <v>407.44057591552206</v>
      </c>
      <c r="AO14" s="25">
        <f>'Summary Table'!D17</f>
        <v>413.59445395561858</v>
      </c>
      <c r="AP14" s="25">
        <f>'Summary Table'!E17</f>
        <v>429.30737763379256</v>
      </c>
      <c r="AQ14" s="25">
        <f>'Summary Table'!F17</f>
        <v>436.98219553873059</v>
      </c>
      <c r="AR14" s="25">
        <f>'Summary Table'!G17</f>
        <v>438.20865393150382</v>
      </c>
      <c r="AS14" s="25">
        <f>'Summary Table'!H17</f>
        <v>461.4680033053877</v>
      </c>
      <c r="AT14" s="25">
        <f>'Summary Table'!I17</f>
        <v>477.22704593798659</v>
      </c>
      <c r="AU14" s="25">
        <f>'Summary Table'!J17</f>
        <v>477.88613017996011</v>
      </c>
      <c r="AV14" s="25">
        <f>'Summary Table'!K17</f>
        <v>466.22857939809182</v>
      </c>
      <c r="AW14" s="25">
        <f>'Summary Table'!L17</f>
        <v>445.62145311258905</v>
      </c>
      <c r="AX14" s="25">
        <f>'Summary Table'!M17</f>
        <v>458.18470970362125</v>
      </c>
      <c r="AY14" s="25">
        <f>'Summary Table'!N17</f>
        <v>420.60012891527748</v>
      </c>
      <c r="AZ14" s="25">
        <f>'Summary Table'!O17</f>
        <v>428.10994471518688</v>
      </c>
      <c r="BA14" s="25">
        <f>'Summary Table'!P17</f>
        <v>415.08604298191261</v>
      </c>
      <c r="BB14" s="25">
        <f>'Summary Table'!Q17</f>
        <v>418.88608808286688</v>
      </c>
      <c r="BC14" s="25">
        <f>'Summary Table'!R17</f>
        <v>387.78439069369989</v>
      </c>
      <c r="BD14" s="25">
        <f>'Summary Table'!S17</f>
        <v>387.43556914859869</v>
      </c>
      <c r="BE14" s="25">
        <f>'Summary Table'!T17</f>
        <v>396.96908687881142</v>
      </c>
      <c r="BF14" s="25">
        <f>'Summary Table'!U17</f>
        <v>398.65113463252698</v>
      </c>
      <c r="BG14" s="25">
        <f>'Summary Table'!V17</f>
        <v>374.19964007784171</v>
      </c>
      <c r="BH14" s="25">
        <f>'Summary Table'!W17</f>
        <v>407.08948538432492</v>
      </c>
      <c r="BI14" s="25">
        <f>'Summary Table'!X17</f>
        <v>417.16969084127084</v>
      </c>
      <c r="BJ14" s="25">
        <f>'Summary Table'!Y17</f>
        <v>433.87411357806093</v>
      </c>
      <c r="BK14" s="25">
        <f>'Summary Table'!Z17</f>
        <v>450.93611572282049</v>
      </c>
      <c r="BL14" s="25">
        <f>'Summary Table'!AA17</f>
        <v>465.9360743641227</v>
      </c>
      <c r="BM14" s="25">
        <f>'Summary Table'!AB17</f>
        <v>459.64627978150747</v>
      </c>
      <c r="BN14" s="25">
        <f>'Summary Table'!AC17</f>
        <v>463.98257891833475</v>
      </c>
      <c r="BO14" s="25">
        <f>'Summary Table'!AD17</f>
        <v>468.13315809622293</v>
      </c>
      <c r="BP14" s="25">
        <f>'Summary Table'!AE17</f>
        <v>493.46897972996544</v>
      </c>
      <c r="BQ14" s="25">
        <f>'Summary Table'!AF17</f>
        <v>501.50851576791644</v>
      </c>
      <c r="BR14" s="25">
        <f>'Summary Table'!AG17</f>
        <v>489.71696452157283</v>
      </c>
      <c r="BS14" s="25">
        <f>'Summary Table'!AH17</f>
        <v>501.1666660948701</v>
      </c>
      <c r="BT14" s="25">
        <f>'Summary Table'!AI17</f>
        <v>511.44589460637036</v>
      </c>
    </row>
    <row r="15" spans="1:72">
      <c r="B15" s="6" t="s">
        <v>1445</v>
      </c>
      <c r="C15" s="232">
        <f t="shared" si="0"/>
        <v>0</v>
      </c>
      <c r="D15" s="232">
        <f t="shared" si="1"/>
        <v>0</v>
      </c>
      <c r="E15" s="232">
        <f t="shared" si="2"/>
        <v>0</v>
      </c>
      <c r="F15" s="232">
        <f t="shared" si="3"/>
        <v>0</v>
      </c>
      <c r="G15" s="232">
        <f t="shared" si="4"/>
        <v>0</v>
      </c>
      <c r="H15" s="232">
        <f t="shared" si="5"/>
        <v>0</v>
      </c>
      <c r="I15" s="232">
        <f t="shared" si="6"/>
        <v>0</v>
      </c>
      <c r="J15" s="232">
        <f t="shared" si="7"/>
        <v>0</v>
      </c>
      <c r="K15" s="232">
        <f t="shared" si="8"/>
        <v>0</v>
      </c>
      <c r="L15" s="232">
        <f t="shared" si="9"/>
        <v>0</v>
      </c>
      <c r="M15" s="232">
        <f t="shared" si="10"/>
        <v>0</v>
      </c>
      <c r="N15" s="232">
        <f t="shared" si="11"/>
        <v>0</v>
      </c>
      <c r="O15" s="232">
        <f t="shared" si="12"/>
        <v>0</v>
      </c>
      <c r="P15" s="232">
        <f t="shared" si="13"/>
        <v>0</v>
      </c>
      <c r="Q15" s="232">
        <f t="shared" si="14"/>
        <v>0</v>
      </c>
      <c r="R15" s="232">
        <f t="shared" si="15"/>
        <v>0</v>
      </c>
      <c r="S15" s="232">
        <f t="shared" si="16"/>
        <v>0</v>
      </c>
      <c r="T15" s="232">
        <f t="shared" si="17"/>
        <v>0</v>
      </c>
      <c r="U15" s="232">
        <f t="shared" si="18"/>
        <v>0</v>
      </c>
      <c r="V15" s="232">
        <f t="shared" si="19"/>
        <v>0</v>
      </c>
      <c r="W15" s="232">
        <f t="shared" si="20"/>
        <v>0</v>
      </c>
      <c r="X15" s="232">
        <f t="shared" si="21"/>
        <v>0</v>
      </c>
      <c r="Y15" s="232">
        <f t="shared" si="22"/>
        <v>0</v>
      </c>
      <c r="Z15" s="232">
        <f t="shared" si="23"/>
        <v>0</v>
      </c>
      <c r="AA15" s="232">
        <f t="shared" si="24"/>
        <v>0</v>
      </c>
      <c r="AB15" s="232">
        <f t="shared" si="25"/>
        <v>0</v>
      </c>
      <c r="AC15" s="232">
        <f t="shared" si="26"/>
        <v>0</v>
      </c>
      <c r="AD15" s="232">
        <f t="shared" si="27"/>
        <v>0</v>
      </c>
      <c r="AE15" s="232">
        <f t="shared" si="28"/>
        <v>0</v>
      </c>
      <c r="AF15" s="232">
        <f t="shared" si="29"/>
        <v>0</v>
      </c>
      <c r="AG15" s="232">
        <f t="shared" si="30"/>
        <v>0</v>
      </c>
      <c r="AH15" s="232">
        <f t="shared" si="31"/>
        <v>1.6314181714133383E-3</v>
      </c>
      <c r="AI15" s="232">
        <f t="shared" si="32"/>
        <v>2.7244800322304467E-2</v>
      </c>
      <c r="AM15" s="6" t="s">
        <v>1445</v>
      </c>
      <c r="AN15" s="25">
        <f>'Summary Table'!C18</f>
        <v>36.000628828726228</v>
      </c>
      <c r="AO15" s="25">
        <f>'Summary Table'!D18</f>
        <v>32.870998544585845</v>
      </c>
      <c r="AP15" s="25">
        <f>'Summary Table'!E18</f>
        <v>32.223566137943912</v>
      </c>
      <c r="AQ15" s="25">
        <f>'Summary Table'!F18</f>
        <v>34.15461398423664</v>
      </c>
      <c r="AR15" s="25">
        <f>'Summary Table'!G18</f>
        <v>37.56280519579169</v>
      </c>
      <c r="AS15" s="25">
        <f>'Summary Table'!H18</f>
        <v>38.397759997364879</v>
      </c>
      <c r="AT15" s="25">
        <f>'Summary Table'!I18</f>
        <v>39.083767671638746</v>
      </c>
      <c r="AU15" s="25">
        <f>'Summary Table'!J18</f>
        <v>41.387043476727435</v>
      </c>
      <c r="AV15" s="25">
        <f>'Summary Table'!K18</f>
        <v>35.288383859149057</v>
      </c>
      <c r="AW15" s="25">
        <f>'Summary Table'!L18</f>
        <v>35.810853010699333</v>
      </c>
      <c r="AX15" s="25">
        <f>'Summary Table'!M18</f>
        <v>35.650075735907123</v>
      </c>
      <c r="AY15" s="25">
        <f>'Summary Table'!N18</f>
        <v>34.885995822200002</v>
      </c>
      <c r="AZ15" s="25">
        <f>'Summary Table'!O18</f>
        <v>37.087113998567915</v>
      </c>
      <c r="BA15" s="25">
        <f>'Summary Table'!P18</f>
        <v>33.263751370962055</v>
      </c>
      <c r="BB15" s="25">
        <f>'Summary Table'!Q18</f>
        <v>31.927149340306773</v>
      </c>
      <c r="BC15" s="25">
        <f>'Summary Table'!R18</f>
        <v>33.075920910480484</v>
      </c>
      <c r="BD15" s="25">
        <f>'Summary Table'!S18</f>
        <v>33.132752480798366</v>
      </c>
      <c r="BE15" s="25">
        <f>'Summary Table'!T18</f>
        <v>35.181265831305353</v>
      </c>
      <c r="BF15" s="25">
        <f>'Summary Table'!U18</f>
        <v>36.701650199837665</v>
      </c>
      <c r="BG15" s="25">
        <f>'Summary Table'!V18</f>
        <v>37.924973610479</v>
      </c>
      <c r="BH15" s="25">
        <f>'Summary Table'!W18</f>
        <v>38.159193121908444</v>
      </c>
      <c r="BI15" s="25">
        <f>'Summary Table'!X18</f>
        <v>38.942984233329362</v>
      </c>
      <c r="BJ15" s="25">
        <f>'Summary Table'!Y18</f>
        <v>41.37800918377787</v>
      </c>
      <c r="BK15" s="25">
        <f>'Summary Table'!Z18</f>
        <v>47.049246645534772</v>
      </c>
      <c r="BL15" s="25">
        <f>'Summary Table'!AA18</f>
        <v>40.238122656789713</v>
      </c>
      <c r="BM15" s="25">
        <f>'Summary Table'!AB18</f>
        <v>39.405905197849926</v>
      </c>
      <c r="BN15" s="25">
        <f>'Summary Table'!AC18</f>
        <v>40.058807328702912</v>
      </c>
      <c r="BO15" s="25">
        <f>'Summary Table'!AD18</f>
        <v>42.257759266894162</v>
      </c>
      <c r="BP15" s="25">
        <f>'Summary Table'!AE18</f>
        <v>50.915434140965644</v>
      </c>
      <c r="BQ15" s="25">
        <f>'Summary Table'!AF18</f>
        <v>58.928767923685299</v>
      </c>
      <c r="BR15" s="25">
        <f>'Summary Table'!AG18</f>
        <v>58.653794375777238</v>
      </c>
      <c r="BS15" s="25">
        <f>'Summary Table'!AH18</f>
        <v>65.191015978471412</v>
      </c>
      <c r="BT15" s="25">
        <f>'Summary Table'!AI18</f>
        <v>70.161308648019386</v>
      </c>
    </row>
    <row r="16" spans="1:72">
      <c r="B16" s="6" t="s">
        <v>1474</v>
      </c>
      <c r="C16" s="232">
        <f t="shared" si="0"/>
        <v>0</v>
      </c>
      <c r="D16" s="232">
        <f t="shared" si="1"/>
        <v>0</v>
      </c>
      <c r="E16" s="232">
        <f t="shared" si="2"/>
        <v>0</v>
      </c>
      <c r="F16" s="232">
        <f t="shared" si="3"/>
        <v>0</v>
      </c>
      <c r="G16" s="232">
        <f t="shared" si="4"/>
        <v>0</v>
      </c>
      <c r="H16" s="232">
        <f t="shared" si="5"/>
        <v>0</v>
      </c>
      <c r="I16" s="232">
        <f t="shared" si="6"/>
        <v>0</v>
      </c>
      <c r="J16" s="232">
        <f t="shared" si="7"/>
        <v>0</v>
      </c>
      <c r="K16" s="232">
        <f t="shared" si="8"/>
        <v>0</v>
      </c>
      <c r="L16" s="232">
        <f t="shared" si="9"/>
        <v>0</v>
      </c>
      <c r="M16" s="232">
        <f t="shared" si="10"/>
        <v>0</v>
      </c>
      <c r="N16" s="232">
        <f t="shared" si="11"/>
        <v>0</v>
      </c>
      <c r="O16" s="232">
        <f t="shared" si="12"/>
        <v>0</v>
      </c>
      <c r="P16" s="232">
        <f t="shared" si="13"/>
        <v>0</v>
      </c>
      <c r="Q16" s="232">
        <f t="shared" si="14"/>
        <v>0</v>
      </c>
      <c r="R16" s="232">
        <f t="shared" si="15"/>
        <v>0</v>
      </c>
      <c r="S16" s="232">
        <f t="shared" si="16"/>
        <v>0</v>
      </c>
      <c r="T16" s="232">
        <f t="shared" si="17"/>
        <v>0</v>
      </c>
      <c r="U16" s="232">
        <f t="shared" si="18"/>
        <v>0</v>
      </c>
      <c r="V16" s="232">
        <f t="shared" si="19"/>
        <v>0</v>
      </c>
      <c r="W16" s="232">
        <f t="shared" si="20"/>
        <v>0</v>
      </c>
      <c r="X16" s="232">
        <f t="shared" si="21"/>
        <v>0</v>
      </c>
      <c r="Y16" s="232">
        <f t="shared" si="22"/>
        <v>0</v>
      </c>
      <c r="Z16" s="232">
        <f t="shared" si="23"/>
        <v>0</v>
      </c>
      <c r="AA16" s="232">
        <f t="shared" si="24"/>
        <v>0</v>
      </c>
      <c r="AB16" s="232">
        <f t="shared" si="25"/>
        <v>0</v>
      </c>
      <c r="AC16" s="232">
        <f t="shared" si="26"/>
        <v>0</v>
      </c>
      <c r="AD16" s="232">
        <f t="shared" si="27"/>
        <v>0</v>
      </c>
      <c r="AE16" s="232">
        <f t="shared" si="28"/>
        <v>0</v>
      </c>
      <c r="AF16" s="232">
        <f t="shared" si="29"/>
        <v>0</v>
      </c>
      <c r="AG16" s="232">
        <f t="shared" si="30"/>
        <v>3.750086877124555E-6</v>
      </c>
      <c r="AH16" s="232">
        <f t="shared" si="31"/>
        <v>6.2162675747967128E-6</v>
      </c>
      <c r="AI16" s="232">
        <f t="shared" si="32"/>
        <v>-2.4456085293729081E-3</v>
      </c>
      <c r="AM16" s="6" t="s">
        <v>1474</v>
      </c>
      <c r="AN16" s="25">
        <f>'Summary Table'!C19</f>
        <v>175.3600389026015</v>
      </c>
      <c r="AO16" s="25">
        <f>'Summary Table'!D19</f>
        <v>178.96641557241685</v>
      </c>
      <c r="AP16" s="25">
        <f>'Summary Table'!E19</f>
        <v>186.07465958323442</v>
      </c>
      <c r="AQ16" s="25">
        <f>'Summary Table'!F19</f>
        <v>187.58235295994123</v>
      </c>
      <c r="AR16" s="25">
        <f>'Summary Table'!G19</f>
        <v>210.85461547922213</v>
      </c>
      <c r="AS16" s="25">
        <f>'Summary Table'!H19</f>
        <v>228.17265505672165</v>
      </c>
      <c r="AT16" s="25">
        <f>'Summary Table'!I19</f>
        <v>204.86080527999366</v>
      </c>
      <c r="AU16" s="25">
        <f>'Summary Table'!J19</f>
        <v>218.81342912547896</v>
      </c>
      <c r="AV16" s="25">
        <f>'Summary Table'!K19</f>
        <v>247.66612926215842</v>
      </c>
      <c r="AW16" s="25">
        <f>'Summary Table'!L19</f>
        <v>259.94521454492025</v>
      </c>
      <c r="AX16" s="25">
        <f>'Summary Table'!M19</f>
        <v>280.82105213992054</v>
      </c>
      <c r="AY16" s="25">
        <f>'Summary Table'!N19</f>
        <v>289.35862946229537</v>
      </c>
      <c r="AZ16" s="25">
        <f>'Summary Table'!O19</f>
        <v>306.00875363034964</v>
      </c>
      <c r="BA16" s="25">
        <f>'Summary Table'!P19</f>
        <v>278.12739640727375</v>
      </c>
      <c r="BB16" s="25">
        <f>'Summary Table'!Q19</f>
        <v>296.75029743802992</v>
      </c>
      <c r="BC16" s="25">
        <f>'Summary Table'!R19</f>
        <v>318.85840260471355</v>
      </c>
      <c r="BD16" s="25">
        <f>'Summary Table'!S19</f>
        <v>337.97496302681611</v>
      </c>
      <c r="BE16" s="25">
        <f>'Summary Table'!T19</f>
        <v>371.46513223741312</v>
      </c>
      <c r="BF16" s="25">
        <f>'Summary Table'!U19</f>
        <v>362.11597738194661</v>
      </c>
      <c r="BG16" s="25">
        <f>'Summary Table'!V19</f>
        <v>372.54775041195018</v>
      </c>
      <c r="BH16" s="25">
        <f>'Summary Table'!W19</f>
        <v>399.53808692568629</v>
      </c>
      <c r="BI16" s="25">
        <f>'Summary Table'!X19</f>
        <v>409.42961840152782</v>
      </c>
      <c r="BJ16" s="25">
        <f>'Summary Table'!Y19</f>
        <v>492.79219630413746</v>
      </c>
      <c r="BK16" s="25">
        <f>'Summary Table'!Z19</f>
        <v>444.16593360966391</v>
      </c>
      <c r="BL16" s="25">
        <f>'Summary Table'!AA19</f>
        <v>442.88200596411235</v>
      </c>
      <c r="BM16" s="25">
        <f>'Summary Table'!AB19</f>
        <v>525.16054071183544</v>
      </c>
      <c r="BN16" s="25">
        <f>'Summary Table'!AC19</f>
        <v>544.99213211889321</v>
      </c>
      <c r="BO16" s="25">
        <f>'Summary Table'!AD19</f>
        <v>505.63466065505327</v>
      </c>
      <c r="BP16" s="25">
        <f>'Summary Table'!AE19</f>
        <v>577.93546402725235</v>
      </c>
      <c r="BQ16" s="25">
        <f>'Summary Table'!AF19</f>
        <v>616.64869033042908</v>
      </c>
      <c r="BR16" s="25">
        <f>'Summary Table'!AG19</f>
        <v>634.84915679760923</v>
      </c>
      <c r="BS16" s="25">
        <f>'Summary Table'!AH19</f>
        <v>612.7780915068297</v>
      </c>
      <c r="BT16" s="25">
        <f>'Summary Table'!AI19</f>
        <v>659.30521463869627</v>
      </c>
    </row>
    <row r="17" spans="2:74">
      <c r="B17" s="6" t="s">
        <v>1476</v>
      </c>
      <c r="C17" s="232" t="str">
        <f t="shared" si="0"/>
        <v>NA</v>
      </c>
      <c r="D17" s="232" t="str">
        <f t="shared" si="1"/>
        <v>NA</v>
      </c>
      <c r="E17" s="232" t="str">
        <f t="shared" si="2"/>
        <v>NA</v>
      </c>
      <c r="F17" s="232" t="str">
        <f t="shared" si="3"/>
        <v>NA</v>
      </c>
      <c r="G17" s="232" t="str">
        <f t="shared" si="4"/>
        <v>NA</v>
      </c>
      <c r="H17" s="232" t="str">
        <f t="shared" si="5"/>
        <v>NA</v>
      </c>
      <c r="I17" s="232" t="str">
        <f t="shared" si="6"/>
        <v>NA</v>
      </c>
      <c r="J17" s="232" t="str">
        <f t="shared" si="7"/>
        <v>NA</v>
      </c>
      <c r="K17" s="232" t="str">
        <f t="shared" si="8"/>
        <v>NA</v>
      </c>
      <c r="L17" s="232" t="str">
        <f t="shared" si="9"/>
        <v>NA</v>
      </c>
      <c r="M17" s="232">
        <f t="shared" si="10"/>
        <v>0</v>
      </c>
      <c r="N17" s="232">
        <f t="shared" si="11"/>
        <v>0</v>
      </c>
      <c r="O17" s="232">
        <f t="shared" si="12"/>
        <v>0</v>
      </c>
      <c r="P17" s="232">
        <f t="shared" si="13"/>
        <v>0</v>
      </c>
      <c r="Q17" s="232">
        <f t="shared" si="14"/>
        <v>0</v>
      </c>
      <c r="R17" s="232">
        <f t="shared" si="15"/>
        <v>0</v>
      </c>
      <c r="S17" s="232">
        <f t="shared" si="16"/>
        <v>0</v>
      </c>
      <c r="T17" s="232">
        <f t="shared" si="17"/>
        <v>0</v>
      </c>
      <c r="U17" s="232">
        <f t="shared" si="18"/>
        <v>0</v>
      </c>
      <c r="V17" s="232">
        <f t="shared" si="19"/>
        <v>0</v>
      </c>
      <c r="W17" s="232">
        <f t="shared" si="20"/>
        <v>0</v>
      </c>
      <c r="X17" s="232">
        <f t="shared" si="21"/>
        <v>0</v>
      </c>
      <c r="Y17" s="232">
        <f t="shared" si="22"/>
        <v>0</v>
      </c>
      <c r="Z17" s="232">
        <f t="shared" si="23"/>
        <v>0</v>
      </c>
      <c r="AA17" s="232">
        <f t="shared" si="24"/>
        <v>0</v>
      </c>
      <c r="AB17" s="232">
        <f t="shared" si="25"/>
        <v>0</v>
      </c>
      <c r="AC17" s="232">
        <f t="shared" si="26"/>
        <v>0</v>
      </c>
      <c r="AD17" s="232">
        <f t="shared" si="27"/>
        <v>0</v>
      </c>
      <c r="AE17" s="232">
        <f t="shared" si="28"/>
        <v>0</v>
      </c>
      <c r="AF17" s="232">
        <f t="shared" si="29"/>
        <v>0</v>
      </c>
      <c r="AG17" s="232">
        <f t="shared" si="30"/>
        <v>0</v>
      </c>
      <c r="AH17" s="232">
        <f t="shared" si="31"/>
        <v>0</v>
      </c>
      <c r="AI17" s="232">
        <f t="shared" si="32"/>
        <v>0</v>
      </c>
      <c r="AM17" s="6" t="s">
        <v>1476</v>
      </c>
      <c r="AN17" s="25" t="str">
        <f>'Summary Table'!C20</f>
        <v>NO</v>
      </c>
      <c r="AO17" s="25" t="str">
        <f>'Summary Table'!D20</f>
        <v>NO</v>
      </c>
      <c r="AP17" s="25" t="str">
        <f>'Summary Table'!E20</f>
        <v>NO</v>
      </c>
      <c r="AQ17" s="25" t="str">
        <f>'Summary Table'!F20</f>
        <v>NO</v>
      </c>
      <c r="AR17" s="25" t="str">
        <f>'Summary Table'!G20</f>
        <v>NO</v>
      </c>
      <c r="AS17" s="25" t="str">
        <f>'Summary Table'!H20</f>
        <v>NO</v>
      </c>
      <c r="AT17" s="25" t="str">
        <f>'Summary Table'!I20</f>
        <v>NO</v>
      </c>
      <c r="AU17" s="25" t="str">
        <f>'Summary Table'!J20</f>
        <v>NO</v>
      </c>
      <c r="AV17" s="25" t="str">
        <f>'Summary Table'!K20</f>
        <v>NO</v>
      </c>
      <c r="AW17" s="25" t="str">
        <f>'Summary Table'!L20</f>
        <v>NO</v>
      </c>
      <c r="AX17" s="25">
        <f>'Summary Table'!M20</f>
        <v>0.67212201477417799</v>
      </c>
      <c r="AY17" s="25">
        <f>'Summary Table'!N20</f>
        <v>1.2125167466946647</v>
      </c>
      <c r="AZ17" s="25">
        <f>'Summary Table'!O20</f>
        <v>1.2089205865598054</v>
      </c>
      <c r="BA17" s="25">
        <f>'Summary Table'!P20</f>
        <v>1.4242260199270667</v>
      </c>
      <c r="BB17" s="25">
        <f>'Summary Table'!Q20</f>
        <v>1.3068074496928888</v>
      </c>
      <c r="BC17" s="25">
        <f>'Summary Table'!R20</f>
        <v>1.2895019369609928</v>
      </c>
      <c r="BD17" s="25">
        <f>'Summary Table'!S20</f>
        <v>1.3857334247939026</v>
      </c>
      <c r="BE17" s="25">
        <f>'Summary Table'!T20</f>
        <v>1.415921575354</v>
      </c>
      <c r="BF17" s="25">
        <f>'Summary Table'!U20</f>
        <v>1.5513054613666941</v>
      </c>
      <c r="BG17" s="25">
        <f>'Summary Table'!V20</f>
        <v>1.4531353816314685</v>
      </c>
      <c r="BH17" s="25">
        <f>'Summary Table'!W20</f>
        <v>1.4764952126860063</v>
      </c>
      <c r="BI17" s="25">
        <f>'Summary Table'!X20</f>
        <v>1.4370506029671137</v>
      </c>
      <c r="BJ17" s="25">
        <f>'Summary Table'!Y20</f>
        <v>2.6097333297164047</v>
      </c>
      <c r="BK17" s="25">
        <f>'Summary Table'!Z20</f>
        <v>3.0881755478141319</v>
      </c>
      <c r="BL17" s="25">
        <f>'Summary Table'!AA20</f>
        <v>3.2092986456579755</v>
      </c>
      <c r="BM17" s="25">
        <f>'Summary Table'!AB20</f>
        <v>3.0379310176521801</v>
      </c>
      <c r="BN17" s="25">
        <f>'Summary Table'!AC20</f>
        <v>3.3649958579027071</v>
      </c>
      <c r="BO17" s="25">
        <f>'Summary Table'!AD20</f>
        <v>2.5455513992585312</v>
      </c>
      <c r="BP17" s="25">
        <f>'Summary Table'!AE20</f>
        <v>3.3040677421953082</v>
      </c>
      <c r="BQ17" s="25">
        <f>'Summary Table'!AF20</f>
        <v>3.773022660515549</v>
      </c>
      <c r="BR17" s="25">
        <f>'Summary Table'!AG20</f>
        <v>2.647583744073164</v>
      </c>
      <c r="BS17" s="25">
        <f>'Summary Table'!AH20</f>
        <v>3.9226452440549542</v>
      </c>
      <c r="BT17" s="25">
        <f>'Summary Table'!AI20</f>
        <v>3.9197560160609353</v>
      </c>
    </row>
    <row r="18" spans="2:74">
      <c r="B18" s="5" t="s">
        <v>1440</v>
      </c>
      <c r="C18" s="235">
        <f t="shared" si="0"/>
        <v>5.1789780092078418E-3</v>
      </c>
      <c r="D18" s="235">
        <f t="shared" si="1"/>
        <v>6.9443121805174918E-3</v>
      </c>
      <c r="E18" s="235">
        <f t="shared" si="2"/>
        <v>2.3127762788356962E-3</v>
      </c>
      <c r="F18" s="235">
        <f t="shared" si="3"/>
        <v>3.4756089703046216E-3</v>
      </c>
      <c r="G18" s="235">
        <f t="shared" si="4"/>
        <v>-9.9801479788203559E-4</v>
      </c>
      <c r="H18" s="235">
        <f t="shared" si="5"/>
        <v>5.2935247631530748E-4</v>
      </c>
      <c r="I18" s="235">
        <f t="shared" si="6"/>
        <v>-7.2277876213893231E-3</v>
      </c>
      <c r="J18" s="235">
        <f t="shared" si="7"/>
        <v>-6.7330260999491076E-3</v>
      </c>
      <c r="K18" s="235">
        <f t="shared" si="8"/>
        <v>1.6176486427662638E-3</v>
      </c>
      <c r="L18" s="235">
        <f t="shared" si="9"/>
        <v>-1.4370743599320219E-3</v>
      </c>
      <c r="M18" s="235">
        <f t="shared" si="10"/>
        <v>2.8743975260445897E-3</v>
      </c>
      <c r="N18" s="235">
        <f t="shared" si="11"/>
        <v>-5.1617774658284724E-3</v>
      </c>
      <c r="O18" s="235">
        <f t="shared" si="12"/>
        <v>-2.1747581341509514E-3</v>
      </c>
      <c r="P18" s="235">
        <f t="shared" si="13"/>
        <v>-4.6585606194023887E-3</v>
      </c>
      <c r="Q18" s="235">
        <f t="shared" si="14"/>
        <v>-3.8822047667878665E-3</v>
      </c>
      <c r="R18" s="235">
        <f t="shared" si="15"/>
        <v>-5.7605654380274689E-3</v>
      </c>
      <c r="S18" s="235">
        <f t="shared" si="16"/>
        <v>-7.0219559866491876E-3</v>
      </c>
      <c r="T18" s="235">
        <f t="shared" si="17"/>
        <v>-8.3578995156311196E-3</v>
      </c>
      <c r="U18" s="235">
        <f t="shared" si="18"/>
        <v>-4.0762143454967656E-3</v>
      </c>
      <c r="V18" s="235">
        <f t="shared" si="19"/>
        <v>-2.1194688428199386E-3</v>
      </c>
      <c r="W18" s="235">
        <f t="shared" si="20"/>
        <v>-6.2834906410436072E-3</v>
      </c>
      <c r="X18" s="235">
        <f t="shared" si="21"/>
        <v>-3.3831820718580605E-3</v>
      </c>
      <c r="Y18" s="235">
        <f t="shared" si="22"/>
        <v>-4.5837706179527584E-3</v>
      </c>
      <c r="Z18" s="235">
        <f t="shared" si="23"/>
        <v>-3.3303903017880372E-3</v>
      </c>
      <c r="AA18" s="235">
        <f t="shared" si="24"/>
        <v>4.2073893890838272E-4</v>
      </c>
      <c r="AB18" s="235">
        <f t="shared" si="25"/>
        <v>-3.89283664493847E-3</v>
      </c>
      <c r="AC18" s="235">
        <f t="shared" si="26"/>
        <v>-2.9543761880440529E-3</v>
      </c>
      <c r="AD18" s="235">
        <f t="shared" si="27"/>
        <v>-6.8533088281713915E-3</v>
      </c>
      <c r="AE18" s="235">
        <f t="shared" si="28"/>
        <v>-6.5442524741123644E-3</v>
      </c>
      <c r="AF18" s="235">
        <f t="shared" si="29"/>
        <v>-1.191650582792224E-2</v>
      </c>
      <c r="AG18" s="235">
        <f t="shared" si="30"/>
        <v>-1.609482990800272E-2</v>
      </c>
      <c r="AH18" s="235">
        <f t="shared" si="31"/>
        <v>-4.4155893503009455E-3</v>
      </c>
      <c r="AI18" s="235">
        <f t="shared" si="32"/>
        <v>-9.1893169944109749E-3</v>
      </c>
      <c r="AJ18" s="394">
        <f t="shared" ref="AJ18:AJ24" si="34">AVERAGE(C18:AI18)</f>
        <v>-3.5059801460482444E-3</v>
      </c>
      <c r="AK18" s="496">
        <f>AVERAGE(W18:AI18)</f>
        <v>-6.0785469930490178E-3</v>
      </c>
      <c r="AM18" s="5" t="s">
        <v>1440</v>
      </c>
      <c r="AN18" s="29">
        <f>'Summary Table'!C21</f>
        <v>2027.9585074772485</v>
      </c>
      <c r="AO18" s="29">
        <f>'Summary Table'!D21</f>
        <v>1962.9995709240532</v>
      </c>
      <c r="AP18" s="29">
        <f>'Summary Table'!E21</f>
        <v>2005.0431704410603</v>
      </c>
      <c r="AQ18" s="29">
        <f>'Summary Table'!F21</f>
        <v>2028.4434212806348</v>
      </c>
      <c r="AR18" s="29">
        <f>'Summary Table'!G21</f>
        <v>2059.3415481767788</v>
      </c>
      <c r="AS18" s="29">
        <f>'Summary Table'!H21</f>
        <v>2055.1835399132642</v>
      </c>
      <c r="AT18" s="29">
        <f>'Summary Table'!I21</f>
        <v>2123.8826967420823</v>
      </c>
      <c r="AU18" s="29">
        <f>'Summary Table'!J21</f>
        <v>2132.8018515332233</v>
      </c>
      <c r="AV18" s="29">
        <f>'Summary Table'!K21</f>
        <v>2190.7850617670247</v>
      </c>
      <c r="AW18" s="29">
        <f>'Summary Table'!L21</f>
        <v>2231.3445066504405</v>
      </c>
      <c r="AX18" s="29">
        <f>'Summary Table'!M21</f>
        <v>2336.3109109139973</v>
      </c>
      <c r="AY18" s="29">
        <f>'Summary Table'!N21</f>
        <v>2344.1852971294861</v>
      </c>
      <c r="AZ18" s="29">
        <f>'Summary Table'!O21</f>
        <v>2337.0898220053723</v>
      </c>
      <c r="BA18" s="29">
        <f>'Summary Table'!P21</f>
        <v>2395.9444184338586</v>
      </c>
      <c r="BB18" s="29">
        <f>'Summary Table'!Q21</f>
        <v>2453.9530432108859</v>
      </c>
      <c r="BC18" s="29">
        <f>'Summary Table'!R21</f>
        <v>2459.2418631336527</v>
      </c>
      <c r="BD18" s="29">
        <f>'Summary Table'!S21</f>
        <v>2420.9125318252991</v>
      </c>
      <c r="BE18" s="29">
        <f>'Summary Table'!T21</f>
        <v>2401.5560753100167</v>
      </c>
      <c r="BF18" s="29">
        <f>'Summary Table'!U21</f>
        <v>2236.0288753650771</v>
      </c>
      <c r="BG18" s="29">
        <f>'Summary Table'!V21</f>
        <v>2127.2924397789957</v>
      </c>
      <c r="BH18" s="29">
        <f>'Summary Table'!W21</f>
        <v>2131.8196748023497</v>
      </c>
      <c r="BI18" s="29">
        <f>'Summary Table'!X21</f>
        <v>2093.7201137501879</v>
      </c>
      <c r="BJ18" s="29">
        <f>'Summary Table'!Y21</f>
        <v>2047.2717999985257</v>
      </c>
      <c r="BK18" s="29">
        <f>'Summary Table'!Z21</f>
        <v>2069.9217125947121</v>
      </c>
      <c r="BL18" s="29">
        <f>'Summary Table'!AA21</f>
        <v>2094.5191822520783</v>
      </c>
      <c r="BM18" s="29">
        <f>'Summary Table'!AB21</f>
        <v>2120.8989190567722</v>
      </c>
      <c r="BN18" s="29">
        <f>'Summary Table'!AC21</f>
        <v>2134.9011036530801</v>
      </c>
      <c r="BO18" s="29">
        <f>'Summary Table'!AD21</f>
        <v>2139.816039203602</v>
      </c>
      <c r="BP18" s="29">
        <f>'Summary Table'!AE21</f>
        <v>2178.9275554433234</v>
      </c>
      <c r="BQ18" s="29">
        <f>'Summary Table'!AF21</f>
        <v>2163.1750674226637</v>
      </c>
      <c r="BR18" s="29">
        <f>'Summary Table'!AG21</f>
        <v>1877.568338415364</v>
      </c>
      <c r="BS18" s="29">
        <f>'Summary Table'!AH21</f>
        <v>2062.7897667099305</v>
      </c>
      <c r="BT18" s="29">
        <f>'Summary Table'!AI21</f>
        <v>2082.0120849648615</v>
      </c>
    </row>
    <row r="19" spans="2:74">
      <c r="B19" s="6" t="s">
        <v>1434</v>
      </c>
      <c r="C19" s="232">
        <f t="shared" si="0"/>
        <v>-6.1917132972156575E-8</v>
      </c>
      <c r="D19" s="232">
        <f t="shared" si="1"/>
        <v>2.573015170588571E-7</v>
      </c>
      <c r="E19" s="232">
        <f t="shared" si="2"/>
        <v>-1.5289532375747242E-7</v>
      </c>
      <c r="F19" s="232">
        <f t="shared" si="3"/>
        <v>3.9927292802968994E-8</v>
      </c>
      <c r="G19" s="232">
        <f t="shared" si="4"/>
        <v>-1.9142887182125934E-7</v>
      </c>
      <c r="H19" s="232">
        <f t="shared" si="5"/>
        <v>6.1500966109501365E-9</v>
      </c>
      <c r="I19" s="232">
        <f t="shared" si="6"/>
        <v>7.3192651080291396E-9</v>
      </c>
      <c r="J19" s="232">
        <f t="shared" si="7"/>
        <v>-1.9598856702337828E-7</v>
      </c>
      <c r="K19" s="232">
        <f t="shared" si="8"/>
        <v>-6.3307618492209328E-8</v>
      </c>
      <c r="L19" s="232">
        <f t="shared" si="9"/>
        <v>1.8625343179365978E-7</v>
      </c>
      <c r="M19" s="232">
        <f t="shared" si="10"/>
        <v>1.8657320378428247E-8</v>
      </c>
      <c r="N19" s="232">
        <f t="shared" si="11"/>
        <v>-3.1840810303875483E-4</v>
      </c>
      <c r="O19" s="232">
        <f t="shared" si="12"/>
        <v>-5.6298697607932036E-4</v>
      </c>
      <c r="P19" s="232">
        <f t="shared" si="13"/>
        <v>-4.4920515194106974E-4</v>
      </c>
      <c r="Q19" s="232">
        <f t="shared" si="14"/>
        <v>-8.7348686124723047E-4</v>
      </c>
      <c r="R19" s="232">
        <f t="shared" si="15"/>
        <v>-3.0065022548340812E-3</v>
      </c>
      <c r="S19" s="232">
        <f t="shared" si="16"/>
        <v>-8.8726547761302718E-3</v>
      </c>
      <c r="T19" s="232">
        <f t="shared" si="17"/>
        <v>-1.2192903289843167E-2</v>
      </c>
      <c r="U19" s="232">
        <f t="shared" si="18"/>
        <v>-1.0567114232888605E-2</v>
      </c>
      <c r="V19" s="232">
        <f t="shared" si="19"/>
        <v>-6.4127443191702698E-3</v>
      </c>
      <c r="W19" s="232">
        <f t="shared" si="20"/>
        <v>-3.368027187464514E-3</v>
      </c>
      <c r="X19" s="232">
        <f t="shared" si="21"/>
        <v>2.5381743769600641E-3</v>
      </c>
      <c r="Y19" s="232">
        <f t="shared" si="22"/>
        <v>2.8525846782742775E-3</v>
      </c>
      <c r="Z19" s="232">
        <f t="shared" si="23"/>
        <v>2.4355559355910476E-3</v>
      </c>
      <c r="AA19" s="232">
        <f t="shared" si="24"/>
        <v>2.7975840603800925E-3</v>
      </c>
      <c r="AB19" s="232">
        <f t="shared" si="25"/>
        <v>4.7608676427657081E-3</v>
      </c>
      <c r="AC19" s="232">
        <f t="shared" si="26"/>
        <v>7.6812204306476554E-3</v>
      </c>
      <c r="AD19" s="232">
        <f t="shared" si="27"/>
        <v>1.0695530089673333E-2</v>
      </c>
      <c r="AE19" s="232">
        <f t="shared" si="28"/>
        <v>1.1204238298869129E-2</v>
      </c>
      <c r="AF19" s="232">
        <f t="shared" si="29"/>
        <v>2.2819499022175768E-2</v>
      </c>
      <c r="AG19" s="232">
        <f t="shared" si="30"/>
        <v>2.8494737413855279E-2</v>
      </c>
      <c r="AH19" s="232">
        <f t="shared" si="31"/>
        <v>0.10353070646732404</v>
      </c>
      <c r="AI19" s="232">
        <f t="shared" si="32"/>
        <v>0.13464639342057128</v>
      </c>
      <c r="AJ19" s="394">
        <f t="shared" si="34"/>
        <v>8.7222093562381846E-3</v>
      </c>
      <c r="AM19" s="6" t="s">
        <v>1434</v>
      </c>
      <c r="AN19" s="25">
        <f>'Summary Table'!C22</f>
        <v>97.78241223079533</v>
      </c>
      <c r="AO19" s="25">
        <f>'Summary Table'!D22</f>
        <v>97.952169988467361</v>
      </c>
      <c r="AP19" s="25">
        <f>'Summary Table'!E22</f>
        <v>96.897397560708882</v>
      </c>
      <c r="AQ19" s="25">
        <f>'Summary Table'!F22</f>
        <v>95.38268325283164</v>
      </c>
      <c r="AR19" s="25">
        <f>'Summary Table'!G22</f>
        <v>92.109480052541898</v>
      </c>
      <c r="AS19" s="25">
        <f>'Summary Table'!H22</f>
        <v>88.696195308228212</v>
      </c>
      <c r="AT19" s="25">
        <f>'Summary Table'!I22</f>
        <v>97.899890710711531</v>
      </c>
      <c r="AU19" s="25">
        <f>'Summary Table'!J22</f>
        <v>93.391358622908527</v>
      </c>
      <c r="AV19" s="25">
        <f>'Summary Table'!K22</f>
        <v>84.367234993758103</v>
      </c>
      <c r="AW19" s="25">
        <f>'Summary Table'!L22</f>
        <v>93.19613012040945</v>
      </c>
      <c r="AX19" s="25">
        <f>'Summary Table'!M22</f>
        <v>99.814277951232029</v>
      </c>
      <c r="AY19" s="25">
        <f>'Summary Table'!N22</f>
        <v>102.69033732360053</v>
      </c>
      <c r="AZ19" s="25">
        <f>'Summary Table'!O22</f>
        <v>94.809824998097724</v>
      </c>
      <c r="BA19" s="25">
        <f>'Summary Table'!P22</f>
        <v>102.73524037201688</v>
      </c>
      <c r="BB19" s="25">
        <f>'Summary Table'!Q22</f>
        <v>103.70575945407543</v>
      </c>
      <c r="BC19" s="25">
        <f>'Summary Table'!R22</f>
        <v>95.575442274390966</v>
      </c>
      <c r="BD19" s="25">
        <f>'Summary Table'!S22</f>
        <v>83.076643788508392</v>
      </c>
      <c r="BE19" s="25">
        <f>'Summary Table'!T22</f>
        <v>82.999286658834436</v>
      </c>
      <c r="BF19" s="25">
        <f>'Summary Table'!U22</f>
        <v>81.35310743989055</v>
      </c>
      <c r="BG19" s="25">
        <f>'Summary Table'!V22</f>
        <v>76.871691567355754</v>
      </c>
      <c r="BH19" s="25">
        <f>'Summary Table'!W22</f>
        <v>75.584117715666224</v>
      </c>
      <c r="BI19" s="25">
        <f>'Summary Table'!X22</f>
        <v>71.264898165119661</v>
      </c>
      <c r="BJ19" s="25">
        <f>'Summary Table'!Y22</f>
        <v>57.430156749728859</v>
      </c>
      <c r="BK19" s="25">
        <f>'Summary Table'!Z22</f>
        <v>62.914302900543817</v>
      </c>
      <c r="BL19" s="25">
        <f>'Summary Table'!AA22</f>
        <v>69.062290446070193</v>
      </c>
      <c r="BM19" s="25">
        <f>'Summary Table'!AB22</f>
        <v>64.893287996969548</v>
      </c>
      <c r="BN19" s="25">
        <f>'Summary Table'!AC22</f>
        <v>54.808963118601646</v>
      </c>
      <c r="BO19" s="25">
        <f>'Summary Table'!AD22</f>
        <v>52.479502214743725</v>
      </c>
      <c r="BP19" s="25">
        <f>'Summary Table'!AE22</f>
        <v>65.12530568088124</v>
      </c>
      <c r="BQ19" s="25">
        <f>'Summary Table'!AF22</f>
        <v>67.435980875494991</v>
      </c>
      <c r="BR19" s="25">
        <f>'Summary Table'!AG22</f>
        <v>58.433675778621101</v>
      </c>
      <c r="BS19" s="25">
        <f>'Summary Table'!AH22</f>
        <v>59.38652650747968</v>
      </c>
      <c r="BT19" s="25">
        <f>'Summary Table'!AI22</f>
        <v>61.113011543269025</v>
      </c>
    </row>
    <row r="20" spans="2:74">
      <c r="B20" s="6" t="s">
        <v>1441</v>
      </c>
      <c r="C20" s="232">
        <f t="shared" si="0"/>
        <v>-4.4628748294922421E-8</v>
      </c>
      <c r="D20" s="232">
        <f t="shared" si="1"/>
        <v>1.9092306511611061E-7</v>
      </c>
      <c r="E20" s="232">
        <f t="shared" si="2"/>
        <v>-1.1857874576026556E-7</v>
      </c>
      <c r="F20" s="232">
        <f t="shared" si="3"/>
        <v>3.3902694643530136E-8</v>
      </c>
      <c r="G20" s="232">
        <f t="shared" si="4"/>
        <v>-1.6325798548963371E-7</v>
      </c>
      <c r="H20" s="232">
        <f t="shared" si="5"/>
        <v>5.5109495941413247E-9</v>
      </c>
      <c r="I20" s="232">
        <f t="shared" si="6"/>
        <v>6.815146463342198E-9</v>
      </c>
      <c r="J20" s="232">
        <f t="shared" si="7"/>
        <v>-1.8114134165986012E-7</v>
      </c>
      <c r="K20" s="232">
        <f t="shared" si="8"/>
        <v>-6.1996966262536041E-8</v>
      </c>
      <c r="L20" s="232">
        <f t="shared" si="9"/>
        <v>2.0080314436506757E-7</v>
      </c>
      <c r="M20" s="232">
        <f t="shared" si="10"/>
        <v>1.8282314913417307E-8</v>
      </c>
      <c r="N20" s="232">
        <f t="shared" si="11"/>
        <v>-3.3267326266412208E-4</v>
      </c>
      <c r="O20" s="232">
        <f t="shared" si="12"/>
        <v>-5.517643493014099E-4</v>
      </c>
      <c r="P20" s="232">
        <f t="shared" si="13"/>
        <v>-4.1339432492212169E-4</v>
      </c>
      <c r="Q20" s="232">
        <f t="shared" si="14"/>
        <v>-7.8996094115150832E-4</v>
      </c>
      <c r="R20" s="232">
        <f t="shared" si="15"/>
        <v>-2.7480385784028334E-3</v>
      </c>
      <c r="S20" s="232">
        <f t="shared" si="16"/>
        <v>-8.1000142937839251E-3</v>
      </c>
      <c r="T20" s="232">
        <f t="shared" si="17"/>
        <v>-1.0251063043064265E-2</v>
      </c>
      <c r="U20" s="232">
        <f t="shared" si="18"/>
        <v>-9.1336037535422222E-3</v>
      </c>
      <c r="V20" s="232">
        <f t="shared" si="19"/>
        <v>-6.4667850599733189E-3</v>
      </c>
      <c r="W20" s="232">
        <f t="shared" si="20"/>
        <v>-3.56516653709662E-3</v>
      </c>
      <c r="X20" s="232">
        <f t="shared" si="21"/>
        <v>2.821813566320149E-3</v>
      </c>
      <c r="Y20" s="232">
        <f t="shared" si="22"/>
        <v>3.0738304536074667E-3</v>
      </c>
      <c r="Z20" s="232">
        <f t="shared" si="23"/>
        <v>2.6021476426036512E-3</v>
      </c>
      <c r="AA20" s="232">
        <f t="shared" si="24"/>
        <v>3.2695240442869263E-3</v>
      </c>
      <c r="AB20" s="232">
        <f t="shared" si="25"/>
        <v>3.0318188477522086E-3</v>
      </c>
      <c r="AC20" s="232">
        <f t="shared" si="26"/>
        <v>5.3359840263100655E-3</v>
      </c>
      <c r="AD20" s="232">
        <f t="shared" si="27"/>
        <v>7.2930924048833674E-3</v>
      </c>
      <c r="AE20" s="232">
        <f t="shared" si="28"/>
        <v>8.9150178328539255E-3</v>
      </c>
      <c r="AF20" s="232">
        <f t="shared" si="29"/>
        <v>1.8620128956469313E-2</v>
      </c>
      <c r="AG20" s="232">
        <f t="shared" si="30"/>
        <v>2.2550554103869302E-2</v>
      </c>
      <c r="AH20" s="232">
        <f t="shared" si="31"/>
        <v>7.3560529184535831E-2</v>
      </c>
      <c r="AI20" s="232">
        <f t="shared" si="32"/>
        <v>3.9454044084762073E-2</v>
      </c>
      <c r="AJ20" s="394">
        <f t="shared" si="34"/>
        <v>4.4901790193296832E-3</v>
      </c>
      <c r="AM20" s="6" t="s">
        <v>1441</v>
      </c>
      <c r="AN20" s="25">
        <f>'Summary Table'!C23</f>
        <v>74.317009238006435</v>
      </c>
      <c r="AO20" s="25">
        <f>'Summary Table'!D23</f>
        <v>73.407833850551555</v>
      </c>
      <c r="AP20" s="25">
        <f>'Summary Table'!E23</f>
        <v>64.616730035679041</v>
      </c>
      <c r="AQ20" s="25">
        <f>'Summary Table'!F23</f>
        <v>56.873975020454345</v>
      </c>
      <c r="AR20" s="25">
        <f>'Summary Table'!G23</f>
        <v>56.369484996221161</v>
      </c>
      <c r="AS20" s="25">
        <f>'Summary Table'!H23</f>
        <v>52.391239933514434</v>
      </c>
      <c r="AT20" s="25">
        <f>'Summary Table'!I23</f>
        <v>54.832060684371058</v>
      </c>
      <c r="AU20" s="25">
        <f>'Summary Table'!J23</f>
        <v>51.284956381041496</v>
      </c>
      <c r="AV20" s="25">
        <f>'Summary Table'!K23</f>
        <v>47.862168349800406</v>
      </c>
      <c r="AW20" s="25">
        <f>'Summary Table'!L23</f>
        <v>45.78669586341524</v>
      </c>
      <c r="AX20" s="25">
        <f>'Summary Table'!M23</f>
        <v>55.272252292626497</v>
      </c>
      <c r="AY20" s="25">
        <f>'Summary Table'!N23</f>
        <v>55.007529049391842</v>
      </c>
      <c r="AZ20" s="25">
        <f>'Summary Table'!O23</f>
        <v>49.963577276939134</v>
      </c>
      <c r="BA20" s="25">
        <f>'Summary Table'!P23</f>
        <v>59.413372710105818</v>
      </c>
      <c r="BB20" s="25">
        <f>'Summary Table'!Q23</f>
        <v>58.386082462551457</v>
      </c>
      <c r="BC20" s="25">
        <f>'Summary Table'!R23</f>
        <v>54.793864419601839</v>
      </c>
      <c r="BD20" s="25">
        <f>'Summary Table'!S23</f>
        <v>51.31612703743734</v>
      </c>
      <c r="BE20" s="25">
        <f>'Summary Table'!T23</f>
        <v>52.302199112446594</v>
      </c>
      <c r="BF20" s="25">
        <f>'Summary Table'!U23</f>
        <v>48.260774591540994</v>
      </c>
      <c r="BG20" s="25">
        <f>'Summary Table'!V23</f>
        <v>51.732975084881019</v>
      </c>
      <c r="BH20" s="25">
        <f>'Summary Table'!W23</f>
        <v>49.736176633621213</v>
      </c>
      <c r="BI20" s="25">
        <f>'Summary Table'!X23</f>
        <v>48.019411873386588</v>
      </c>
      <c r="BJ20" s="25">
        <f>'Summary Table'!Y23</f>
        <v>39.253041337374341</v>
      </c>
      <c r="BK20" s="25">
        <f>'Summary Table'!Z23</f>
        <v>41.171116981845458</v>
      </c>
      <c r="BL20" s="25">
        <f>'Summary Table'!AA23</f>
        <v>39.547045254145807</v>
      </c>
      <c r="BM20" s="25">
        <f>'Summary Table'!AB23</f>
        <v>66.428800315750649</v>
      </c>
      <c r="BN20" s="25">
        <f>'Summary Table'!AC23</f>
        <v>59.055150951147297</v>
      </c>
      <c r="BO20" s="25">
        <f>'Summary Table'!AD23</f>
        <v>57.247196778983692</v>
      </c>
      <c r="BP20" s="25">
        <f>'Summary Table'!AE23</f>
        <v>51.977488359870641</v>
      </c>
      <c r="BQ20" s="25">
        <f>'Summary Table'!AF23</f>
        <v>57.233006553301081</v>
      </c>
      <c r="BR20" s="25">
        <f>'Summary Table'!AG23</f>
        <v>54.41904448356302</v>
      </c>
      <c r="BS20" s="25">
        <f>'Summary Table'!AH23</f>
        <v>55.734392755355948</v>
      </c>
      <c r="BT20" s="25">
        <f>'Summary Table'!AI23</f>
        <v>51.063464820652335</v>
      </c>
    </row>
    <row r="21" spans="2:74">
      <c r="B21" s="6" t="s">
        <v>1443</v>
      </c>
      <c r="C21" s="232">
        <f t="shared" si="0"/>
        <v>3.5368825620262591E-2</v>
      </c>
      <c r="D21" s="232">
        <f t="shared" si="1"/>
        <v>4.8478992540971981E-2</v>
      </c>
      <c r="E21" s="232">
        <f t="shared" si="2"/>
        <v>1.560887058235608E-2</v>
      </c>
      <c r="F21" s="232">
        <f t="shared" si="3"/>
        <v>2.4558028577902073E-2</v>
      </c>
      <c r="G21" s="232">
        <f t="shared" si="4"/>
        <v>-7.0701967282046354E-3</v>
      </c>
      <c r="H21" s="232">
        <f t="shared" si="5"/>
        <v>3.7378633662808894E-3</v>
      </c>
      <c r="I21" s="232">
        <f t="shared" si="6"/>
        <v>-4.8994475658500819E-2</v>
      </c>
      <c r="J21" s="232">
        <f t="shared" si="7"/>
        <v>-4.6846579575791615E-2</v>
      </c>
      <c r="K21" s="232">
        <f t="shared" si="8"/>
        <v>1.2153284349191967E-2</v>
      </c>
      <c r="L21" s="232">
        <f t="shared" si="9"/>
        <v>-1.1628422815156502E-2</v>
      </c>
      <c r="M21" s="232">
        <f t="shared" si="10"/>
        <v>2.2809715589912745E-2</v>
      </c>
      <c r="N21" s="232">
        <f t="shared" si="11"/>
        <v>-3.7311221179768504E-2</v>
      </c>
      <c r="O21" s="232">
        <f t="shared" si="12"/>
        <v>-1.6034248759879965E-2</v>
      </c>
      <c r="P21" s="232">
        <f t="shared" si="13"/>
        <v>-3.4306160208324027E-2</v>
      </c>
      <c r="Q21" s="232">
        <f t="shared" si="14"/>
        <v>-2.744515344036897E-2</v>
      </c>
      <c r="R21" s="232">
        <f t="shared" si="15"/>
        <v>-3.9266510818788652E-2</v>
      </c>
      <c r="S21" s="232">
        <f t="shared" si="16"/>
        <v>-4.2357241394168701E-2</v>
      </c>
      <c r="T21" s="232">
        <f t="shared" si="17"/>
        <v>-5.1223076658361268E-2</v>
      </c>
      <c r="U21" s="232">
        <f t="shared" si="18"/>
        <v>-2.4539570456228028E-2</v>
      </c>
      <c r="V21" s="232">
        <f t="shared" si="19"/>
        <v>-1.2908239465931337E-2</v>
      </c>
      <c r="W21" s="232">
        <f t="shared" si="20"/>
        <v>-4.3513205693820091E-2</v>
      </c>
      <c r="X21" s="232">
        <f t="shared" si="21"/>
        <v>-2.5128252738593877E-2</v>
      </c>
      <c r="Y21" s="232">
        <f t="shared" si="22"/>
        <v>-3.2709702808929986E-2</v>
      </c>
      <c r="Z21" s="232">
        <f t="shared" si="23"/>
        <v>-2.3388736164973643E-2</v>
      </c>
      <c r="AA21" s="232">
        <f t="shared" si="24"/>
        <v>2.0615753867668429E-3</v>
      </c>
      <c r="AB21" s="232">
        <f t="shared" si="25"/>
        <v>-3.2159570059096289E-2</v>
      </c>
      <c r="AC21" s="232">
        <f t="shared" si="26"/>
        <v>-2.620976286918509E-2</v>
      </c>
      <c r="AD21" s="232">
        <f t="shared" si="27"/>
        <v>-5.8769650827075554E-2</v>
      </c>
      <c r="AE21" s="232">
        <f t="shared" si="28"/>
        <v>-5.6930759958013763E-2</v>
      </c>
      <c r="AF21" s="232">
        <f t="shared" si="29"/>
        <v>-0.10384110605385163</v>
      </c>
      <c r="AG21" s="232">
        <f t="shared" si="30"/>
        <v>-0.13406780827096626</v>
      </c>
      <c r="AH21" s="232">
        <f t="shared" si="31"/>
        <v>-7.7558866445655517E-2</v>
      </c>
      <c r="AI21" s="232">
        <f t="shared" si="32"/>
        <v>-0.10634211304944072</v>
      </c>
      <c r="AJ21" s="394">
        <f t="shared" si="34"/>
        <v>-2.8962832608649403E-2</v>
      </c>
      <c r="AK21" s="496">
        <f>AVERAGE(W21:AI21)</f>
        <v>-5.5273689196371975E-2</v>
      </c>
      <c r="AM21" s="6" t="s">
        <v>1443</v>
      </c>
      <c r="AN21" s="25">
        <f>'Summary Table'!C24</f>
        <v>305.86837004185293</v>
      </c>
      <c r="AO21" s="25">
        <f>'Summary Table'!D24</f>
        <v>292.78503629653778</v>
      </c>
      <c r="AP21" s="25">
        <f>'Summary Table'!E24</f>
        <v>301.0309862925227</v>
      </c>
      <c r="AQ21" s="25">
        <f>'Summary Table'!F24</f>
        <v>293.109363986299</v>
      </c>
      <c r="AR21" s="25">
        <f>'Summary Table'!G24</f>
        <v>288.92185498045387</v>
      </c>
      <c r="AS21" s="25">
        <f>'Summary Table'!H24</f>
        <v>291.98616883550289</v>
      </c>
      <c r="AT21" s="25">
        <f>'Summary Table'!I24</f>
        <v>300.13887686398715</v>
      </c>
      <c r="AU21" s="25">
        <f>'Summary Table'!J24</f>
        <v>294.15680944417926</v>
      </c>
      <c r="AV21" s="25">
        <f>'Summary Table'!K24</f>
        <v>294.66981451825228</v>
      </c>
      <c r="AW21" s="25">
        <f>'Summary Table'!L24</f>
        <v>272.94393939947111</v>
      </c>
      <c r="AX21" s="25">
        <f>'Summary Table'!M24</f>
        <v>300.26569092616825</v>
      </c>
      <c r="AY21" s="25">
        <f>'Summary Table'!N24</f>
        <v>312.50708100300676</v>
      </c>
      <c r="AZ21" s="25">
        <f>'Summary Table'!O24</f>
        <v>307.61140351199276</v>
      </c>
      <c r="BA21" s="25">
        <f>'Summary Table'!P24</f>
        <v>313.67173867621773</v>
      </c>
      <c r="BB21" s="25">
        <f>'Summary Table'!Q24</f>
        <v>334.05993630344665</v>
      </c>
      <c r="BC21" s="25">
        <f>'Summary Table'!R24</f>
        <v>337.87694040171903</v>
      </c>
      <c r="BD21" s="25">
        <f>'Summary Table'!S24</f>
        <v>360.76703849769871</v>
      </c>
      <c r="BE21" s="25">
        <f>'Summary Table'!T24</f>
        <v>345.90561733347892</v>
      </c>
      <c r="BF21" s="25">
        <f>'Summary Table'!U24</f>
        <v>311.56970424060825</v>
      </c>
      <c r="BG21" s="25">
        <f>'Summary Table'!V24</f>
        <v>281.82543519496528</v>
      </c>
      <c r="BH21" s="25">
        <f>'Summary Table'!W24</f>
        <v>286.78396176303283</v>
      </c>
      <c r="BI21" s="25">
        <f>'Summary Table'!X24</f>
        <v>287.98261274237649</v>
      </c>
      <c r="BJ21" s="25">
        <f>'Summary Table'!Y24</f>
        <v>287.17585056713943</v>
      </c>
      <c r="BK21" s="25">
        <f>'Summary Table'!Z24</f>
        <v>299.65492060422906</v>
      </c>
      <c r="BL21" s="25">
        <f>'Summary Table'!AA24</f>
        <v>271.87026978437501</v>
      </c>
      <c r="BM21" s="25">
        <f>'Summary Table'!AB24</f>
        <v>264.74084752094535</v>
      </c>
      <c r="BN21" s="25">
        <f>'Summary Table'!AC24</f>
        <v>262.20220123464566</v>
      </c>
      <c r="BO21" s="25">
        <f>'Summary Table'!AD24</f>
        <v>252.01898543113069</v>
      </c>
      <c r="BP21" s="25">
        <f>'Summary Table'!AE24</f>
        <v>257.32814684532644</v>
      </c>
      <c r="BQ21" s="25">
        <f>'Summary Table'!AF24</f>
        <v>247.15861528492468</v>
      </c>
      <c r="BR21" s="25">
        <f>'Summary Table'!AG24</f>
        <v>216.83444622153593</v>
      </c>
      <c r="BS21" s="25">
        <f>'Summary Table'!AH24</f>
        <v>224.64023657742564</v>
      </c>
      <c r="BT21" s="25">
        <f>'Summary Table'!AI24</f>
        <v>221.75314639126401</v>
      </c>
    </row>
    <row r="22" spans="2:74">
      <c r="B22" s="6" t="s">
        <v>1445</v>
      </c>
      <c r="C22" s="232">
        <f t="shared" si="0"/>
        <v>0</v>
      </c>
      <c r="D22" s="232">
        <f t="shared" si="1"/>
        <v>0</v>
      </c>
      <c r="E22" s="232">
        <f t="shared" si="2"/>
        <v>0</v>
      </c>
      <c r="F22" s="232">
        <f t="shared" si="3"/>
        <v>0</v>
      </c>
      <c r="G22" s="232">
        <f t="shared" si="4"/>
        <v>0</v>
      </c>
      <c r="H22" s="232">
        <f t="shared" si="5"/>
        <v>0</v>
      </c>
      <c r="I22" s="232">
        <f t="shared" si="6"/>
        <v>0</v>
      </c>
      <c r="J22" s="232">
        <f t="shared" si="7"/>
        <v>0</v>
      </c>
      <c r="K22" s="232">
        <f t="shared" si="8"/>
        <v>0</v>
      </c>
      <c r="L22" s="232">
        <f t="shared" si="9"/>
        <v>0</v>
      </c>
      <c r="M22" s="232">
        <f t="shared" si="10"/>
        <v>0</v>
      </c>
      <c r="N22" s="232">
        <f t="shared" si="11"/>
        <v>0</v>
      </c>
      <c r="O22" s="232">
        <f t="shared" si="12"/>
        <v>0</v>
      </c>
      <c r="P22" s="232">
        <f t="shared" si="13"/>
        <v>0</v>
      </c>
      <c r="Q22" s="232">
        <f t="shared" si="14"/>
        <v>0</v>
      </c>
      <c r="R22" s="232">
        <f t="shared" si="15"/>
        <v>0</v>
      </c>
      <c r="S22" s="232">
        <f t="shared" si="16"/>
        <v>0</v>
      </c>
      <c r="T22" s="232">
        <f t="shared" si="17"/>
        <v>0</v>
      </c>
      <c r="U22" s="232">
        <f t="shared" si="18"/>
        <v>0</v>
      </c>
      <c r="V22" s="232">
        <f t="shared" si="19"/>
        <v>0</v>
      </c>
      <c r="W22" s="232">
        <f t="shared" si="20"/>
        <v>0</v>
      </c>
      <c r="X22" s="232">
        <f t="shared" si="21"/>
        <v>0</v>
      </c>
      <c r="Y22" s="232">
        <f t="shared" si="22"/>
        <v>0</v>
      </c>
      <c r="Z22" s="232">
        <f t="shared" si="23"/>
        <v>0</v>
      </c>
      <c r="AA22" s="232">
        <f t="shared" si="24"/>
        <v>0</v>
      </c>
      <c r="AB22" s="232">
        <f t="shared" si="25"/>
        <v>0</v>
      </c>
      <c r="AC22" s="232">
        <f t="shared" si="26"/>
        <v>0</v>
      </c>
      <c r="AD22" s="232">
        <f t="shared" si="27"/>
        <v>0</v>
      </c>
      <c r="AE22" s="232">
        <f t="shared" si="28"/>
        <v>0</v>
      </c>
      <c r="AF22" s="232">
        <f t="shared" si="29"/>
        <v>2.5927845243741442E-8</v>
      </c>
      <c r="AG22" s="232">
        <f t="shared" si="30"/>
        <v>2.5657207558155225E-5</v>
      </c>
      <c r="AH22" s="232">
        <f t="shared" si="31"/>
        <v>2.0645004027558438E-4</v>
      </c>
      <c r="AI22" s="232">
        <f t="shared" si="32"/>
        <v>-1.3037981551171059E-3</v>
      </c>
      <c r="AJ22" s="394">
        <f t="shared" si="34"/>
        <v>-3.2474696346609777E-5</v>
      </c>
      <c r="AK22" s="496">
        <f>AVERAGE(W22:AI22)</f>
        <v>-8.2435767649086353E-5</v>
      </c>
      <c r="AM22" s="6" t="s">
        <v>1445</v>
      </c>
      <c r="AN22" s="25">
        <f>'Summary Table'!C25</f>
        <v>1432.9432652886276</v>
      </c>
      <c r="AO22" s="25">
        <f>'Summary Table'!D25</f>
        <v>1389.4564060937773</v>
      </c>
      <c r="AP22" s="25">
        <f>'Summary Table'!E25</f>
        <v>1445.4198600226605</v>
      </c>
      <c r="AQ22" s="25">
        <f>'Summary Table'!F25</f>
        <v>1474.4524204610232</v>
      </c>
      <c r="AR22" s="25">
        <f>'Summary Table'!G25</f>
        <v>1516.3845483799519</v>
      </c>
      <c r="AS22" s="25">
        <f>'Summary Table'!H25</f>
        <v>1542.280097691809</v>
      </c>
      <c r="AT22" s="25">
        <f>'Summary Table'!I25</f>
        <v>1588.2793374504231</v>
      </c>
      <c r="AU22" s="25">
        <f>'Summary Table'!J25</f>
        <v>1602.1285102616407</v>
      </c>
      <c r="AV22" s="25">
        <f>'Summary Table'!K25</f>
        <v>1643.631953718932</v>
      </c>
      <c r="AW22" s="25">
        <f>'Summary Table'!L25</f>
        <v>1710.533470614638</v>
      </c>
      <c r="AX22" s="25">
        <f>'Summary Table'!M25</f>
        <v>1756.5518161208734</v>
      </c>
      <c r="AY22" s="25">
        <f>'Summary Table'!N25</f>
        <v>1727.5780724003682</v>
      </c>
      <c r="AZ22" s="25">
        <f>'Summary Table'!O25</f>
        <v>1765.9312304048144</v>
      </c>
      <c r="BA22" s="25">
        <f>'Summary Table'!P25</f>
        <v>1778.7205356811112</v>
      </c>
      <c r="BB22" s="25">
        <f>'Summary Table'!Q25</f>
        <v>1813.2935615739598</v>
      </c>
      <c r="BC22" s="25">
        <f>'Summary Table'!R25</f>
        <v>1825.4762484604264</v>
      </c>
      <c r="BD22" s="25">
        <f>'Summary Table'!S25</f>
        <v>1826.0002540005557</v>
      </c>
      <c r="BE22" s="25">
        <f>'Summary Table'!T25</f>
        <v>1825.5562316874011</v>
      </c>
      <c r="BF22" s="25">
        <f>'Summary Table'!U25</f>
        <v>1722.979673561545</v>
      </c>
      <c r="BG22" s="25">
        <f>'Summary Table'!V25</f>
        <v>1650.5556008859128</v>
      </c>
      <c r="BH22" s="25">
        <f>'Summary Table'!W25</f>
        <v>1658.4553294190557</v>
      </c>
      <c r="BI22" s="25">
        <f>'Summary Table'!X25</f>
        <v>1631.4345760286221</v>
      </c>
      <c r="BJ22" s="25">
        <f>'Summary Table'!Y25</f>
        <v>1618.0233222872737</v>
      </c>
      <c r="BK22" s="25">
        <f>'Summary Table'!Z25</f>
        <v>1621.9966735810883</v>
      </c>
      <c r="BL22" s="25">
        <f>'Summary Table'!AA25</f>
        <v>1667.1086070610122</v>
      </c>
      <c r="BM22" s="25">
        <f>'Summary Table'!AB25</f>
        <v>1678.9752558374032</v>
      </c>
      <c r="BN22" s="25">
        <f>'Summary Table'!AC25</f>
        <v>1717.8477376887884</v>
      </c>
      <c r="BO22" s="25">
        <f>'Summary Table'!AD25</f>
        <v>1738.0500649093556</v>
      </c>
      <c r="BP22" s="25">
        <f>'Summary Table'!AE25</f>
        <v>1762.2192146418806</v>
      </c>
      <c r="BQ22" s="25">
        <f>'Summary Table'!AF25</f>
        <v>1757.7069059853736</v>
      </c>
      <c r="BR22" s="25">
        <f>'Summary Table'!AG25</f>
        <v>1514.1664116985837</v>
      </c>
      <c r="BS22" s="25">
        <f>'Summary Table'!AH25</f>
        <v>1688.3549089409773</v>
      </c>
      <c r="BT22" s="25">
        <f>'Summary Table'!AI25</f>
        <v>1710.6018856605253</v>
      </c>
    </row>
    <row r="23" spans="2:74">
      <c r="B23" s="6" t="s">
        <v>1474</v>
      </c>
      <c r="C23" s="232">
        <f t="shared" si="0"/>
        <v>0</v>
      </c>
      <c r="D23" s="232">
        <f t="shared" si="1"/>
        <v>0</v>
      </c>
      <c r="E23" s="232">
        <f t="shared" si="2"/>
        <v>0</v>
      </c>
      <c r="F23" s="232">
        <f t="shared" si="3"/>
        <v>0</v>
      </c>
      <c r="G23" s="232">
        <f t="shared" si="4"/>
        <v>0</v>
      </c>
      <c r="H23" s="232">
        <f t="shared" si="5"/>
        <v>0</v>
      </c>
      <c r="I23" s="232">
        <f t="shared" si="6"/>
        <v>0</v>
      </c>
      <c r="J23" s="232">
        <f t="shared" si="7"/>
        <v>0</v>
      </c>
      <c r="K23" s="232">
        <f t="shared" si="8"/>
        <v>0</v>
      </c>
      <c r="L23" s="232">
        <f t="shared" si="9"/>
        <v>0</v>
      </c>
      <c r="M23" s="232">
        <f t="shared" si="10"/>
        <v>0</v>
      </c>
      <c r="N23" s="232">
        <f t="shared" si="11"/>
        <v>0</v>
      </c>
      <c r="O23" s="232">
        <f t="shared" si="12"/>
        <v>0</v>
      </c>
      <c r="P23" s="232">
        <f t="shared" si="13"/>
        <v>0</v>
      </c>
      <c r="Q23" s="232">
        <f t="shared" si="14"/>
        <v>0</v>
      </c>
      <c r="R23" s="232">
        <f t="shared" si="15"/>
        <v>0</v>
      </c>
      <c r="S23" s="232">
        <f t="shared" si="16"/>
        <v>0</v>
      </c>
      <c r="T23" s="232">
        <f t="shared" si="17"/>
        <v>0</v>
      </c>
      <c r="U23" s="232">
        <f t="shared" si="18"/>
        <v>0</v>
      </c>
      <c r="V23" s="232">
        <f t="shared" si="19"/>
        <v>0</v>
      </c>
      <c r="W23" s="232">
        <f t="shared" si="20"/>
        <v>0</v>
      </c>
      <c r="X23" s="232">
        <f t="shared" si="21"/>
        <v>0</v>
      </c>
      <c r="Y23" s="232">
        <f t="shared" si="22"/>
        <v>0</v>
      </c>
      <c r="Z23" s="232">
        <f t="shared" si="23"/>
        <v>0</v>
      </c>
      <c r="AA23" s="232">
        <f t="shared" si="24"/>
        <v>0</v>
      </c>
      <c r="AB23" s="232">
        <f t="shared" si="25"/>
        <v>0</v>
      </c>
      <c r="AC23" s="232">
        <f t="shared" si="26"/>
        <v>0</v>
      </c>
      <c r="AD23" s="232">
        <f t="shared" si="27"/>
        <v>0</v>
      </c>
      <c r="AE23" s="232">
        <f t="shared" si="28"/>
        <v>0</v>
      </c>
      <c r="AF23" s="232">
        <f t="shared" si="29"/>
        <v>0</v>
      </c>
      <c r="AG23" s="232">
        <f t="shared" si="30"/>
        <v>0</v>
      </c>
      <c r="AH23" s="232">
        <f t="shared" si="31"/>
        <v>0</v>
      </c>
      <c r="AI23" s="232">
        <f t="shared" si="32"/>
        <v>5.9246864028896923E-3</v>
      </c>
      <c r="AJ23" s="394">
        <f t="shared" si="34"/>
        <v>1.7953595160271794E-4</v>
      </c>
      <c r="AM23" s="6" t="s">
        <v>1474</v>
      </c>
      <c r="AN23" s="25">
        <f>'Summary Table'!C26</f>
        <v>97.538490680398411</v>
      </c>
      <c r="AO23" s="25">
        <f>'Summary Table'!D26</f>
        <v>90.678661907118197</v>
      </c>
      <c r="AP23" s="25">
        <f>'Summary Table'!E26</f>
        <v>75.527743357330678</v>
      </c>
      <c r="AQ23" s="25">
        <f>'Summary Table'!F26</f>
        <v>86.415412739867193</v>
      </c>
      <c r="AR23" s="25">
        <f>'Summary Table'!G26</f>
        <v>81.246850001075686</v>
      </c>
      <c r="AS23" s="25">
        <f>'Summary Table'!H26</f>
        <v>58.71177506316068</v>
      </c>
      <c r="AT23" s="25">
        <f>'Summary Table'!I26</f>
        <v>63.3962927596016</v>
      </c>
      <c r="AU23" s="25">
        <f>'Summary Table'!J26</f>
        <v>72.207404234661354</v>
      </c>
      <c r="AV23" s="25">
        <f>'Summary Table'!K26</f>
        <v>101.26271580049136</v>
      </c>
      <c r="AW23" s="25">
        <f>'Summary Table'!L26</f>
        <v>93.83330481405045</v>
      </c>
      <c r="AX23" s="25">
        <f>'Summary Table'!M26</f>
        <v>88.524423740199197</v>
      </c>
      <c r="AY23" s="25">
        <f>'Summary Table'!N26</f>
        <v>98.561015855192565</v>
      </c>
      <c r="AZ23" s="25">
        <f>'Summary Table'!O26</f>
        <v>76.854861578857893</v>
      </c>
      <c r="BA23" s="25">
        <f>'Summary Table'!P26</f>
        <v>95.127634817888449</v>
      </c>
      <c r="BB23" s="25">
        <f>'Summary Table'!Q26</f>
        <v>95.845222101221793</v>
      </c>
      <c r="BC23" s="25">
        <f>'Summary Table'!R26</f>
        <v>97.96669769888446</v>
      </c>
      <c r="BD23" s="25">
        <f>'Summary Table'!S26</f>
        <v>53.276122434926961</v>
      </c>
      <c r="BE23" s="25">
        <f>'Summary Table'!T26</f>
        <v>52.964488890730408</v>
      </c>
      <c r="BF23" s="25">
        <f>'Summary Table'!U26</f>
        <v>38.386647737556437</v>
      </c>
      <c r="BG23" s="25">
        <f>'Summary Table'!V26</f>
        <v>32.211435291660024</v>
      </c>
      <c r="BH23" s="25">
        <f>'Summary Table'!W26</f>
        <v>31.428996559920311</v>
      </c>
      <c r="BI23" s="25">
        <f>'Summary Table'!X26</f>
        <v>25.831553656440903</v>
      </c>
      <c r="BJ23" s="25">
        <f>'Summary Table'!Y26</f>
        <v>18.333108585152722</v>
      </c>
      <c r="BK23" s="25">
        <f>'Summary Table'!Z26</f>
        <v>22.420050113678617</v>
      </c>
      <c r="BL23" s="25">
        <f>'Summary Table'!AA26</f>
        <v>25.304369663240369</v>
      </c>
      <c r="BM23" s="25">
        <f>'Summary Table'!AB26</f>
        <v>23.674448825350165</v>
      </c>
      <c r="BN23" s="25">
        <f>'Summary Table'!AC26</f>
        <v>21.458011279651984</v>
      </c>
      <c r="BO23" s="25">
        <f>'Summary Table'!AD26</f>
        <v>18.920639478904537</v>
      </c>
      <c r="BP23" s="25">
        <f>'Summary Table'!AE26</f>
        <v>22.215728844761522</v>
      </c>
      <c r="BQ23" s="25">
        <f>'Summary Table'!AF26</f>
        <v>16.161308535890104</v>
      </c>
      <c r="BR23" s="25">
        <f>'Summary Table'!AG26</f>
        <v>16.166104737697388</v>
      </c>
      <c r="BS23" s="25">
        <f>'Summary Table'!AH26</f>
        <v>17.713212252599575</v>
      </c>
      <c r="BT23" s="25">
        <f>'Summary Table'!AI26</f>
        <v>20.522249226051947</v>
      </c>
    </row>
    <row r="24" spans="2:74">
      <c r="B24" s="6" t="s">
        <v>1476</v>
      </c>
      <c r="C24" s="232">
        <f t="shared" si="0"/>
        <v>0</v>
      </c>
      <c r="D24" s="232">
        <f t="shared" si="1"/>
        <v>0</v>
      </c>
      <c r="E24" s="232">
        <f t="shared" si="2"/>
        <v>0</v>
      </c>
      <c r="F24" s="232">
        <f t="shared" si="3"/>
        <v>0</v>
      </c>
      <c r="G24" s="232">
        <f t="shared" si="4"/>
        <v>0</v>
      </c>
      <c r="H24" s="232">
        <f t="shared" si="5"/>
        <v>0</v>
      </c>
      <c r="I24" s="232">
        <f t="shared" si="6"/>
        <v>0</v>
      </c>
      <c r="J24" s="232">
        <f t="shared" si="7"/>
        <v>0</v>
      </c>
      <c r="K24" s="232">
        <f t="shared" si="8"/>
        <v>0</v>
      </c>
      <c r="L24" s="232">
        <f t="shared" si="9"/>
        <v>0</v>
      </c>
      <c r="M24" s="232">
        <f t="shared" si="10"/>
        <v>0</v>
      </c>
      <c r="N24" s="232">
        <f t="shared" si="11"/>
        <v>0</v>
      </c>
      <c r="O24" s="232">
        <f t="shared" si="12"/>
        <v>0</v>
      </c>
      <c r="P24" s="232">
        <f t="shared" si="13"/>
        <v>0</v>
      </c>
      <c r="Q24" s="232">
        <f t="shared" si="14"/>
        <v>0</v>
      </c>
      <c r="R24" s="232">
        <f t="shared" si="15"/>
        <v>0</v>
      </c>
      <c r="S24" s="232">
        <f t="shared" si="16"/>
        <v>0</v>
      </c>
      <c r="T24" s="232">
        <f t="shared" si="17"/>
        <v>0</v>
      </c>
      <c r="U24" s="232">
        <f t="shared" si="18"/>
        <v>0</v>
      </c>
      <c r="V24" s="232">
        <f t="shared" si="19"/>
        <v>0</v>
      </c>
      <c r="W24" s="232">
        <f t="shared" si="20"/>
        <v>0</v>
      </c>
      <c r="X24" s="232">
        <f t="shared" si="21"/>
        <v>0</v>
      </c>
      <c r="Y24" s="232">
        <f t="shared" si="22"/>
        <v>0</v>
      </c>
      <c r="Z24" s="232">
        <f t="shared" si="23"/>
        <v>0</v>
      </c>
      <c r="AA24" s="232">
        <f t="shared" si="24"/>
        <v>0</v>
      </c>
      <c r="AB24" s="232">
        <f t="shared" si="25"/>
        <v>0</v>
      </c>
      <c r="AC24" s="232">
        <f t="shared" si="26"/>
        <v>0</v>
      </c>
      <c r="AD24" s="232">
        <f t="shared" si="27"/>
        <v>0</v>
      </c>
      <c r="AE24" s="232">
        <f t="shared" si="28"/>
        <v>0</v>
      </c>
      <c r="AF24" s="232">
        <f t="shared" si="29"/>
        <v>0</v>
      </c>
      <c r="AG24" s="232">
        <f t="shared" si="30"/>
        <v>0</v>
      </c>
      <c r="AH24" s="232">
        <f t="shared" si="31"/>
        <v>0</v>
      </c>
      <c r="AI24" s="232">
        <f t="shared" si="32"/>
        <v>4.9992394038048814E-6</v>
      </c>
      <c r="AJ24" s="394">
        <f t="shared" si="34"/>
        <v>1.5149210314560247E-7</v>
      </c>
      <c r="AK24" s="496">
        <f>AVERAGE(W24:AI24)</f>
        <v>3.8455687721576009E-7</v>
      </c>
      <c r="AM24" s="6" t="s">
        <v>1476</v>
      </c>
      <c r="AN24" s="25">
        <f>'Summary Table'!C27</f>
        <v>19.508959997567821</v>
      </c>
      <c r="AO24" s="25">
        <f>'Summary Table'!D27</f>
        <v>18.719462787601117</v>
      </c>
      <c r="AP24" s="25">
        <f>'Summary Table'!E27</f>
        <v>21.550453172158644</v>
      </c>
      <c r="AQ24" s="25">
        <f>'Summary Table'!F27</f>
        <v>22.209565820159433</v>
      </c>
      <c r="AR24" s="25">
        <f>'Summary Table'!G27</f>
        <v>24.309329766534255</v>
      </c>
      <c r="AS24" s="25">
        <f>'Summary Table'!H27</f>
        <v>21.11806308104892</v>
      </c>
      <c r="AT24" s="25">
        <f>'Summary Table'!I27</f>
        <v>19.336238272987909</v>
      </c>
      <c r="AU24" s="25">
        <f>'Summary Table'!J27</f>
        <v>19.632812588792206</v>
      </c>
      <c r="AV24" s="25">
        <f>'Summary Table'!K27</f>
        <v>18.991174385790437</v>
      </c>
      <c r="AW24" s="25">
        <f>'Summary Table'!L27</f>
        <v>15.05096583845658</v>
      </c>
      <c r="AX24" s="25">
        <f>'Summary Table'!M27</f>
        <v>35.882449882897561</v>
      </c>
      <c r="AY24" s="25">
        <f>'Summary Table'!N27</f>
        <v>47.84126149792592</v>
      </c>
      <c r="AZ24" s="25">
        <f>'Summary Table'!O27</f>
        <v>41.918924234670499</v>
      </c>
      <c r="BA24" s="25">
        <f>'Summary Table'!P27</f>
        <v>46.275896176518664</v>
      </c>
      <c r="BB24" s="25">
        <f>'Summary Table'!Q27</f>
        <v>48.662481315630998</v>
      </c>
      <c r="BC24" s="25">
        <f>'Summary Table'!R27</f>
        <v>47.552669878629565</v>
      </c>
      <c r="BD24" s="25">
        <f>'Summary Table'!S27</f>
        <v>46.476346066172155</v>
      </c>
      <c r="BE24" s="25">
        <f>'Summary Table'!T27</f>
        <v>41.828251627125084</v>
      </c>
      <c r="BF24" s="25">
        <f>'Summary Table'!U27</f>
        <v>33.478967793935858</v>
      </c>
      <c r="BG24" s="25">
        <f>'Summary Table'!V27</f>
        <v>34.095301754220401</v>
      </c>
      <c r="BH24" s="25">
        <f>'Summary Table'!W27</f>
        <v>29.831092711053437</v>
      </c>
      <c r="BI24" s="25">
        <f>'Summary Table'!X27</f>
        <v>29.187061284242123</v>
      </c>
      <c r="BJ24" s="25">
        <f>'Summary Table'!Y27</f>
        <v>27.056320471856431</v>
      </c>
      <c r="BK24" s="25">
        <f>'Summary Table'!Z27</f>
        <v>21.764648413326455</v>
      </c>
      <c r="BL24" s="25">
        <f>'Summary Table'!AA27</f>
        <v>21.626600043234902</v>
      </c>
      <c r="BM24" s="25">
        <f>'Summary Table'!AB27</f>
        <v>22.186278560353131</v>
      </c>
      <c r="BN24" s="25">
        <f>'Summary Table'!AC27</f>
        <v>19.529039380245276</v>
      </c>
      <c r="BO24" s="25">
        <f>'Summary Table'!AD27</f>
        <v>21.099650390484019</v>
      </c>
      <c r="BP24" s="25">
        <f>'Summary Table'!AE27</f>
        <v>20.061671070602724</v>
      </c>
      <c r="BQ24" s="25">
        <f>'Summary Table'!AF27</f>
        <v>17.47925018767976</v>
      </c>
      <c r="BR24" s="25">
        <f>'Summary Table'!AG27</f>
        <v>17.548655495362741</v>
      </c>
      <c r="BS24" s="25">
        <f>'Summary Table'!AH27</f>
        <v>16.96048967609271</v>
      </c>
      <c r="BT24" s="25">
        <f>'Summary Table'!AI27</f>
        <v>16.958327323098519</v>
      </c>
    </row>
    <row r="25" spans="2:74">
      <c r="B25" s="5" t="s">
        <v>82</v>
      </c>
      <c r="C25" s="232">
        <f t="shared" si="0"/>
        <v>0</v>
      </c>
      <c r="D25" s="232">
        <f t="shared" si="1"/>
        <v>0</v>
      </c>
      <c r="E25" s="232">
        <f t="shared" si="2"/>
        <v>0</v>
      </c>
      <c r="F25" s="232">
        <f t="shared" si="3"/>
        <v>0</v>
      </c>
      <c r="G25" s="232">
        <f t="shared" si="4"/>
        <v>0</v>
      </c>
      <c r="H25" s="232">
        <f t="shared" si="5"/>
        <v>0</v>
      </c>
      <c r="I25" s="232">
        <f t="shared" si="6"/>
        <v>0</v>
      </c>
      <c r="J25" s="232">
        <f t="shared" si="7"/>
        <v>0</v>
      </c>
      <c r="K25" s="232">
        <f t="shared" si="8"/>
        <v>0</v>
      </c>
      <c r="L25" s="232">
        <f t="shared" si="9"/>
        <v>0</v>
      </c>
      <c r="M25" s="232">
        <f t="shared" si="10"/>
        <v>0</v>
      </c>
      <c r="N25" s="232">
        <f t="shared" si="11"/>
        <v>0</v>
      </c>
      <c r="O25" s="232">
        <f t="shared" si="12"/>
        <v>0</v>
      </c>
      <c r="P25" s="232">
        <f t="shared" si="13"/>
        <v>0</v>
      </c>
      <c r="Q25" s="232">
        <f t="shared" si="14"/>
        <v>0</v>
      </c>
      <c r="R25" s="232">
        <f t="shared" si="15"/>
        <v>0</v>
      </c>
      <c r="S25" s="232">
        <f t="shared" si="16"/>
        <v>0</v>
      </c>
      <c r="T25" s="232">
        <f t="shared" si="17"/>
        <v>0</v>
      </c>
      <c r="U25" s="232">
        <f t="shared" si="18"/>
        <v>0</v>
      </c>
      <c r="V25" s="232">
        <f t="shared" si="19"/>
        <v>0</v>
      </c>
      <c r="W25" s="232">
        <f t="shared" si="20"/>
        <v>0</v>
      </c>
      <c r="X25" s="232">
        <f t="shared" si="21"/>
        <v>0</v>
      </c>
      <c r="Y25" s="232">
        <f t="shared" si="22"/>
        <v>0</v>
      </c>
      <c r="Z25" s="232">
        <f t="shared" si="23"/>
        <v>0</v>
      </c>
      <c r="AA25" s="232">
        <f t="shared" si="24"/>
        <v>0</v>
      </c>
      <c r="AB25" s="232">
        <f t="shared" si="25"/>
        <v>0</v>
      </c>
      <c r="AC25" s="232">
        <f t="shared" si="26"/>
        <v>0</v>
      </c>
      <c r="AD25" s="232">
        <f t="shared" si="27"/>
        <v>0</v>
      </c>
      <c r="AE25" s="232">
        <f t="shared" si="28"/>
        <v>0</v>
      </c>
      <c r="AF25" s="232">
        <f t="shared" si="29"/>
        <v>0</v>
      </c>
      <c r="AG25" s="232">
        <f t="shared" si="30"/>
        <v>0</v>
      </c>
      <c r="AH25" s="232">
        <f t="shared" si="31"/>
        <v>0</v>
      </c>
      <c r="AI25" s="232">
        <f t="shared" si="32"/>
        <v>-4.5391772567092165E-3</v>
      </c>
      <c r="AM25" s="5" t="s">
        <v>82</v>
      </c>
      <c r="AN25" s="29">
        <f>'Summary Table'!C28</f>
        <v>0.53819391898531332</v>
      </c>
      <c r="AO25" s="29">
        <f>'Summary Table'!D28</f>
        <v>0.53913328761937329</v>
      </c>
      <c r="AP25" s="29">
        <f>'Summary Table'!E28</f>
        <v>0.54407238576943517</v>
      </c>
      <c r="AQ25" s="29">
        <f>'Summary Table'!F28</f>
        <v>0.55549804438478367</v>
      </c>
      <c r="AR25" s="29">
        <f>'Summary Table'!G28</f>
        <v>0.51416615280727973</v>
      </c>
      <c r="AS25" s="29">
        <f>'Summary Table'!H28</f>
        <v>0.42789739562582274</v>
      </c>
      <c r="AT25" s="29">
        <f>'Summary Table'!I28</f>
        <v>0.46247774297699551</v>
      </c>
      <c r="AU25" s="29">
        <f>'Summary Table'!J28</f>
        <v>0.48008445222437274</v>
      </c>
      <c r="AV25" s="29">
        <f>'Summary Table'!K28</f>
        <v>0.47808351702318308</v>
      </c>
      <c r="AW25" s="29">
        <f>'Summary Table'!L28</f>
        <v>0.48506929832140988</v>
      </c>
      <c r="AX25" s="29">
        <f>'Summary Table'!M28</f>
        <v>0.46106105539886988</v>
      </c>
      <c r="AY25" s="29">
        <f>'Summary Table'!N28</f>
        <v>0.44952386597193894</v>
      </c>
      <c r="AZ25" s="29">
        <f>'Summary Table'!O28</f>
        <v>0.46881399496422538</v>
      </c>
      <c r="BA25" s="29">
        <f>'Summary Table'!P28</f>
        <v>0.46668759381997493</v>
      </c>
      <c r="BB25" s="29">
        <f>'Summary Table'!Q28</f>
        <v>0.46734375342683254</v>
      </c>
      <c r="BC25" s="29">
        <f>'Summary Table'!R28</f>
        <v>0.46101770673125719</v>
      </c>
      <c r="BD25" s="29">
        <f>'Summary Table'!S28</f>
        <v>0.45493035004951315</v>
      </c>
      <c r="BE25" s="29">
        <f>'Summary Table'!T28</f>
        <v>0.45791243059931558</v>
      </c>
      <c r="BF25" s="29">
        <f>'Summary Table'!U28</f>
        <v>0.44186045906642402</v>
      </c>
      <c r="BG25" s="29">
        <f>'Summary Table'!V28</f>
        <v>0.43404580842672003</v>
      </c>
      <c r="BH25" s="29">
        <f>'Summary Table'!W28</f>
        <v>0.42666894035695202</v>
      </c>
      <c r="BI25" s="29">
        <f>'Summary Table'!X28</f>
        <v>0.436098145690272</v>
      </c>
      <c r="BJ25" s="29">
        <f>'Summary Table'!Y28</f>
        <v>0.43740649120955999</v>
      </c>
      <c r="BK25" s="29">
        <f>'Summary Table'!Z28</f>
        <v>0.43301642728912798</v>
      </c>
      <c r="BL25" s="29">
        <f>'Summary Table'!AA28</f>
        <v>0.42329941039188002</v>
      </c>
      <c r="BM25" s="29">
        <f>'Summary Table'!AB28</f>
        <v>0.41438842328750403</v>
      </c>
      <c r="BN25" s="29">
        <f>'Summary Table'!AC28</f>
        <v>0.40471025909529595</v>
      </c>
      <c r="BO25" s="29">
        <f>'Summary Table'!AD28</f>
        <v>0.410679019378689</v>
      </c>
      <c r="BP25" s="29">
        <f>'Summary Table'!AE28</f>
        <v>0.40475222088763196</v>
      </c>
      <c r="BQ25" s="29">
        <f>'Summary Table'!AF28</f>
        <v>0.37101446085844803</v>
      </c>
      <c r="BR25" s="29">
        <f>'Summary Table'!AG28</f>
        <v>0.39082596898509597</v>
      </c>
      <c r="BS25" s="29">
        <f>'Summary Table'!AH28</f>
        <v>0.37701789288105603</v>
      </c>
      <c r="BT25" s="29">
        <f>'Summary Table'!AI28</f>
        <v>0.38055713481468001</v>
      </c>
    </row>
    <row r="26" spans="2:74">
      <c r="B26" s="6" t="s">
        <v>1474</v>
      </c>
      <c r="C26" s="232">
        <f t="shared" si="0"/>
        <v>0</v>
      </c>
      <c r="D26" s="232">
        <f t="shared" si="1"/>
        <v>0</v>
      </c>
      <c r="E26" s="232">
        <f t="shared" si="2"/>
        <v>0</v>
      </c>
      <c r="F26" s="232">
        <f t="shared" si="3"/>
        <v>0</v>
      </c>
      <c r="G26" s="232">
        <f t="shared" si="4"/>
        <v>0</v>
      </c>
      <c r="H26" s="232">
        <f t="shared" si="5"/>
        <v>0</v>
      </c>
      <c r="I26" s="232">
        <f t="shared" si="6"/>
        <v>0</v>
      </c>
      <c r="J26" s="232">
        <f t="shared" si="7"/>
        <v>0</v>
      </c>
      <c r="K26" s="232">
        <f t="shared" si="8"/>
        <v>0</v>
      </c>
      <c r="L26" s="232">
        <f t="shared" si="9"/>
        <v>0</v>
      </c>
      <c r="M26" s="232">
        <f t="shared" si="10"/>
        <v>0</v>
      </c>
      <c r="N26" s="232">
        <f t="shared" si="11"/>
        <v>0</v>
      </c>
      <c r="O26" s="232">
        <f t="shared" si="12"/>
        <v>0</v>
      </c>
      <c r="P26" s="232">
        <f t="shared" si="13"/>
        <v>0</v>
      </c>
      <c r="Q26" s="232">
        <f t="shared" si="14"/>
        <v>0</v>
      </c>
      <c r="R26" s="232">
        <f t="shared" si="15"/>
        <v>0</v>
      </c>
      <c r="S26" s="232">
        <f t="shared" si="16"/>
        <v>0</v>
      </c>
      <c r="T26" s="232">
        <f t="shared" si="17"/>
        <v>0</v>
      </c>
      <c r="U26" s="232">
        <f t="shared" si="18"/>
        <v>0</v>
      </c>
      <c r="V26" s="232">
        <f t="shared" si="19"/>
        <v>0</v>
      </c>
      <c r="W26" s="232">
        <f t="shared" si="20"/>
        <v>0</v>
      </c>
      <c r="X26" s="232">
        <f t="shared" si="21"/>
        <v>0</v>
      </c>
      <c r="Y26" s="232">
        <f t="shared" si="22"/>
        <v>0</v>
      </c>
      <c r="Z26" s="232">
        <f t="shared" si="23"/>
        <v>0</v>
      </c>
      <c r="AA26" s="232">
        <f t="shared" si="24"/>
        <v>0</v>
      </c>
      <c r="AB26" s="232">
        <f t="shared" si="25"/>
        <v>0</v>
      </c>
      <c r="AC26" s="232">
        <f t="shared" si="26"/>
        <v>0</v>
      </c>
      <c r="AD26" s="232">
        <f t="shared" si="27"/>
        <v>0</v>
      </c>
      <c r="AE26" s="232">
        <f t="shared" si="28"/>
        <v>0</v>
      </c>
      <c r="AF26" s="232">
        <f t="shared" si="29"/>
        <v>0</v>
      </c>
      <c r="AG26" s="232">
        <f t="shared" si="30"/>
        <v>0</v>
      </c>
      <c r="AH26" s="232">
        <f t="shared" si="31"/>
        <v>0</v>
      </c>
      <c r="AI26" s="232">
        <f t="shared" si="32"/>
        <v>-4.5391772567092165E-3</v>
      </c>
      <c r="AM26" s="6" t="s">
        <v>1474</v>
      </c>
      <c r="AN26" s="25">
        <f>'Summary Table'!C29</f>
        <v>0.53819391898531332</v>
      </c>
      <c r="AO26" s="25">
        <f>'Summary Table'!D29</f>
        <v>0.53913328761937329</v>
      </c>
      <c r="AP26" s="25">
        <f>'Summary Table'!E29</f>
        <v>0.54407238576943517</v>
      </c>
      <c r="AQ26" s="25">
        <f>'Summary Table'!F29</f>
        <v>0.55549804438478367</v>
      </c>
      <c r="AR26" s="25">
        <f>'Summary Table'!G29</f>
        <v>0.51416615280727973</v>
      </c>
      <c r="AS26" s="25">
        <f>'Summary Table'!H29</f>
        <v>0.42789739562582274</v>
      </c>
      <c r="AT26" s="25">
        <f>'Summary Table'!I29</f>
        <v>0.46247774297699551</v>
      </c>
      <c r="AU26" s="25">
        <f>'Summary Table'!J29</f>
        <v>0.48008445222437274</v>
      </c>
      <c r="AV26" s="25">
        <f>'Summary Table'!K29</f>
        <v>0.47808351702318308</v>
      </c>
      <c r="AW26" s="25">
        <f>'Summary Table'!L29</f>
        <v>0.48506929832140988</v>
      </c>
      <c r="AX26" s="25">
        <f>'Summary Table'!M29</f>
        <v>0.46106105539886988</v>
      </c>
      <c r="AY26" s="25">
        <f>'Summary Table'!N29</f>
        <v>0.44952386597193894</v>
      </c>
      <c r="AZ26" s="25">
        <f>'Summary Table'!O29</f>
        <v>0.46881399496422538</v>
      </c>
      <c r="BA26" s="25">
        <f>'Summary Table'!P29</f>
        <v>0.46668759381997493</v>
      </c>
      <c r="BB26" s="25">
        <f>'Summary Table'!Q29</f>
        <v>0.46734375342683254</v>
      </c>
      <c r="BC26" s="25">
        <f>'Summary Table'!R29</f>
        <v>0.46101770673125719</v>
      </c>
      <c r="BD26" s="25">
        <f>'Summary Table'!S29</f>
        <v>0.45493035004951315</v>
      </c>
      <c r="BE26" s="25">
        <f>'Summary Table'!T29</f>
        <v>0.45791243059931558</v>
      </c>
      <c r="BF26" s="25">
        <f>'Summary Table'!U29</f>
        <v>0.44186045906642402</v>
      </c>
      <c r="BG26" s="25">
        <f>'Summary Table'!V29</f>
        <v>0.43404580842672003</v>
      </c>
      <c r="BH26" s="25">
        <f>'Summary Table'!W29</f>
        <v>0.42666894035695202</v>
      </c>
      <c r="BI26" s="25">
        <f>'Summary Table'!X29</f>
        <v>0.436098145690272</v>
      </c>
      <c r="BJ26" s="25">
        <f>'Summary Table'!Y29</f>
        <v>0.43740649120955999</v>
      </c>
      <c r="BK26" s="25">
        <f>'Summary Table'!Z29</f>
        <v>0.43301642728912798</v>
      </c>
      <c r="BL26" s="25">
        <f>'Summary Table'!AA29</f>
        <v>0.42329941039188002</v>
      </c>
      <c r="BM26" s="25">
        <f>'Summary Table'!AB29</f>
        <v>0.41438842328750403</v>
      </c>
      <c r="BN26" s="25">
        <f>'Summary Table'!AC29</f>
        <v>0.40471025909529595</v>
      </c>
      <c r="BO26" s="25">
        <f>'Summary Table'!AD29</f>
        <v>0.410679019378689</v>
      </c>
      <c r="BP26" s="25">
        <f>'Summary Table'!AE29</f>
        <v>0.40475222088763196</v>
      </c>
      <c r="BQ26" s="25">
        <f>'Summary Table'!AF29</f>
        <v>0.37101446085844803</v>
      </c>
      <c r="BR26" s="25">
        <f>'Summary Table'!AG29</f>
        <v>0.39082596898509597</v>
      </c>
      <c r="BS26" s="25">
        <f>'Summary Table'!AH29</f>
        <v>0.37701789288105603</v>
      </c>
      <c r="BT26" s="25">
        <f>'Summary Table'!AI29</f>
        <v>0.38055713481468001</v>
      </c>
    </row>
    <row r="27" spans="2:74">
      <c r="B27" s="4" t="s">
        <v>1480</v>
      </c>
      <c r="C27" s="237">
        <f t="shared" ref="C27" si="35">IFERROR((AN27-C54)/C54, "NA")</f>
        <v>2.2053557189398872E-3</v>
      </c>
      <c r="D27" s="237">
        <f t="shared" ref="D27" si="36">IFERROR((AO27-D54)/D54, "NA")</f>
        <v>2.8879532010011588E-3</v>
      </c>
      <c r="E27" s="237">
        <f t="shared" ref="E27" si="37">IFERROR((AP27-E54)/E54, "NA")</f>
        <v>9.6561206524912525E-4</v>
      </c>
      <c r="F27" s="237">
        <f t="shared" ref="F27" si="38">IFERROR((AQ27-F54)/F54, "NA")</f>
        <v>1.4326291219965365E-3</v>
      </c>
      <c r="G27" s="237">
        <f t="shared" ref="G27" si="39">IFERROR((AR27-G54)/G54, "NA")</f>
        <v>-4.1406558021061504E-4</v>
      </c>
      <c r="H27" s="237">
        <f t="shared" ref="H27" si="40">IFERROR((AS27-H54)/H54, "NA")</f>
        <v>2.1555974445031808E-4</v>
      </c>
      <c r="I27" s="237">
        <f t="shared" ref="I27" si="41">IFERROR((AT27-I54)/I54, "NA")</f>
        <v>-2.9629235796814059E-3</v>
      </c>
      <c r="J27" s="237">
        <f t="shared" ref="J27" si="42">IFERROR((AU27-J54)/J54, "NA")</f>
        <v>-2.7388142980449845E-3</v>
      </c>
      <c r="K27" s="237">
        <f t="shared" ref="K27" si="43">IFERROR((AV27-K54)/K54, "NA")</f>
        <v>6.6349836589209038E-4</v>
      </c>
      <c r="L27" s="237">
        <f t="shared" ref="L27" si="44">IFERROR((AW27-L54)/L54, "NA")</f>
        <v>-5.9788987306306596E-4</v>
      </c>
      <c r="M27" s="237">
        <f t="shared" ref="M27" si="45">IFERROR((AX27-M54)/M54, "NA")</f>
        <v>1.1917017227512238E-3</v>
      </c>
      <c r="N27" s="237">
        <f t="shared" ref="N27" si="46">IFERROR((AY27-N54)/N54, "NA")</f>
        <v>-2.1979318060872596E-3</v>
      </c>
      <c r="O27" s="237">
        <f t="shared" ref="O27" si="47">IFERROR((AZ27-O54)/O54, "NA")</f>
        <v>-9.1549692642262841E-4</v>
      </c>
      <c r="P27" s="237">
        <f t="shared" ref="P27" si="48">IFERROR((BA27-P54)/P54, "NA")</f>
        <v>-1.9873512285603179E-3</v>
      </c>
      <c r="Q27" s="237">
        <f t="shared" ref="Q27" si="49">IFERROR((BB27-Q54)/Q54, "NA")</f>
        <v>-1.6723159350978257E-3</v>
      </c>
      <c r="R27" s="237">
        <f t="shared" ref="R27" si="50">IFERROR((BC27-R54)/R54, "NA")</f>
        <v>-2.4773120836416892E-3</v>
      </c>
      <c r="S27" s="237">
        <f t="shared" ref="S27" si="51">IFERROR((BD27-S54)/S54, "NA")</f>
        <v>-3.0213038656028853E-3</v>
      </c>
      <c r="T27" s="237">
        <f t="shared" ref="T27" si="52">IFERROR((BE27-T54)/T54, "NA")</f>
        <v>-3.5180472324986981E-3</v>
      </c>
      <c r="U27" s="237">
        <f t="shared" ref="U27" si="53">IFERROR((BF27-U54)/U54, "NA")</f>
        <v>-1.6478504415748797E-3</v>
      </c>
      <c r="V27" s="237">
        <f t="shared" ref="V27" si="54">IFERROR((BG27-V54)/V54, "NA")</f>
        <v>-8.7224564318452876E-4</v>
      </c>
      <c r="W27" s="237">
        <f t="shared" ref="W27" si="55">IFERROR((BH27-W54)/W54, "NA")</f>
        <v>-2.5204705701839048E-3</v>
      </c>
      <c r="X27" s="237">
        <f t="shared" ref="X27" si="56">IFERROR((BI27-X54)/X54, "NA")</f>
        <v>-1.3647950235995828E-3</v>
      </c>
      <c r="Y27" s="237">
        <f t="shared" ref="Y27" si="57">IFERROR((BJ27-Y54)/Y54, "NA")</f>
        <v>-1.8839010974990066E-3</v>
      </c>
      <c r="Z27" s="237">
        <f t="shared" ref="Z27" si="58">IFERROR((BK27-Z54)/Z54, "NA")</f>
        <v>-1.3503853837375087E-3</v>
      </c>
      <c r="AA27" s="237">
        <f t="shared" ref="AA27" si="59">IFERROR((BL27-AA54)/AA54, "NA")</f>
        <v>1.6947121850642316E-4</v>
      </c>
      <c r="AB27" s="237">
        <f t="shared" ref="AB27" si="60">IFERROR((BM27-AB54)/AB54, "NA")</f>
        <v>-1.6544791034896289E-3</v>
      </c>
      <c r="AC27" s="237">
        <f t="shared" ref="AC27" si="61">IFERROR((BN27-AC54)/AC54, "NA")</f>
        <v>-1.2882450988627209E-3</v>
      </c>
      <c r="AD27" s="237">
        <f t="shared" ref="AD27" si="62">IFERROR((BO27-AD54)/AD54, "NA")</f>
        <v>-3.0402696080107775E-3</v>
      </c>
      <c r="AE27" s="237">
        <f t="shared" ref="AE27" si="63">IFERROR((BP27-AE54)/AE54, "NA")</f>
        <v>-2.8732951387610041E-3</v>
      </c>
      <c r="AF27" s="237">
        <f t="shared" ref="AF27" si="64">IFERROR((BQ27-AF54)/AF54, "NA")</f>
        <v>-5.3630604287922485E-3</v>
      </c>
      <c r="AG27" s="237">
        <f t="shared" ref="AG27" si="65">IFERROR((BR27-AG54)/AG54, "NA")</f>
        <v>-6.2838887921698363E-3</v>
      </c>
      <c r="AH27" s="237">
        <f t="shared" ref="AH27:AI27" si="66">IFERROR((BS27-AH54)/AH54, "NA")</f>
        <v>-1.6990980480779639E-3</v>
      </c>
      <c r="AI27" s="237">
        <f t="shared" si="66"/>
        <v>-3.9405619864577345E-3</v>
      </c>
      <c r="AJ27" s="394">
        <f>AVERAGE(C27:AI27)</f>
        <v>-1.4713399277129073E-3</v>
      </c>
      <c r="AK27" s="496"/>
      <c r="AM27" s="4" t="s">
        <v>1480</v>
      </c>
      <c r="AN27" s="30">
        <f>'Summary Table'!C30</f>
        <v>4746.9107611763911</v>
      </c>
      <c r="AO27" s="30">
        <f>'Summary Table'!D30</f>
        <v>4700.2568670290275</v>
      </c>
      <c r="AP27" s="30">
        <f>'Summary Table'!E30</f>
        <v>4792.896191445001</v>
      </c>
      <c r="AQ27" s="30">
        <f>'Summary Table'!F30</f>
        <v>4909.1099279193959</v>
      </c>
      <c r="AR27" s="30">
        <f>'Summary Table'!G30</f>
        <v>4971.4921183987371</v>
      </c>
      <c r="AS27" s="30">
        <f>'Summary Table'!H30</f>
        <v>5030.9902119425951</v>
      </c>
      <c r="AT27" s="30">
        <f>'Summary Table'!I30</f>
        <v>5205.8721982212046</v>
      </c>
      <c r="AU27" s="30">
        <f>'Summary Table'!J30</f>
        <v>5266.2520827818253</v>
      </c>
      <c r="AV27" s="30">
        <f>'Summary Table'!K30</f>
        <v>5329.302392675474</v>
      </c>
      <c r="AW27" s="30">
        <f>'Summary Table'!L30</f>
        <v>5374.1646861342406</v>
      </c>
      <c r="AX27" s="30">
        <f>'Summary Table'!M30</f>
        <v>5620.5710399981317</v>
      </c>
      <c r="AY27" s="30">
        <f>'Summary Table'!N30</f>
        <v>5524.0653658701167</v>
      </c>
      <c r="AZ27" s="30">
        <f>'Summary Table'!O30</f>
        <v>5565.1845602944486</v>
      </c>
      <c r="BA27" s="30">
        <f>'Summary Table'!P30</f>
        <v>5634.4136153853842</v>
      </c>
      <c r="BB27" s="30">
        <f>'Summary Table'!Q30</f>
        <v>5713.4982557715184</v>
      </c>
      <c r="BC27" s="30">
        <f>'Summary Table'!R30</f>
        <v>5739.5565585087497</v>
      </c>
      <c r="BD27" s="30">
        <f>'Summary Table'!S30</f>
        <v>5650.9400650318275</v>
      </c>
      <c r="BE27" s="30">
        <f>'Summary Table'!T30</f>
        <v>5734.8641814831999</v>
      </c>
      <c r="BF27" s="30">
        <f>'Summary Table'!U30</f>
        <v>5547.8591342867257</v>
      </c>
      <c r="BG27" s="30">
        <f>'Summary Table'!V30</f>
        <v>5179.5118746219405</v>
      </c>
      <c r="BH27" s="30">
        <f>'Summary Table'!W30</f>
        <v>5336.5715852980038</v>
      </c>
      <c r="BI27" s="30">
        <f>'Summary Table'!X30</f>
        <v>5204.5445538446747</v>
      </c>
      <c r="BJ27" s="30">
        <f>'Summary Table'!Y30</f>
        <v>4997.8460700475689</v>
      </c>
      <c r="BK27" s="30">
        <f>'Summary Table'!Z30</f>
        <v>5119.1697937386962</v>
      </c>
      <c r="BL27" s="30">
        <f>'Summary Table'!AA30</f>
        <v>5169.1260393761713</v>
      </c>
      <c r="BM27" s="30">
        <f>'Summary Table'!AB30</f>
        <v>5004.3330938460931</v>
      </c>
      <c r="BN27" s="30">
        <f>'Summary Table'!AC30</f>
        <v>4907.3297734535845</v>
      </c>
      <c r="BO27" s="30">
        <f>'Summary Table'!AD30</f>
        <v>4843.4900631032624</v>
      </c>
      <c r="BP27" s="30">
        <f>'Summary Table'!AE30</f>
        <v>4982.9401553416565</v>
      </c>
      <c r="BQ27" s="30">
        <f>'Summary Table'!AF30</f>
        <v>4840.9487120861313</v>
      </c>
      <c r="BR27" s="30">
        <f>'Summary Table'!AG30</f>
        <v>4329.2412005285369</v>
      </c>
      <c r="BS27" s="30">
        <f>'Summary Table'!AH30</f>
        <v>4642.6449391491133</v>
      </c>
      <c r="BT27" s="30">
        <f>'Summary Table'!AI30</f>
        <v>4689.8828048593923</v>
      </c>
      <c r="BU27" s="5" t="s">
        <v>1515</v>
      </c>
    </row>
    <row r="28" spans="2:74">
      <c r="AN28" s="228">
        <f t="shared" ref="AN28:BT28" si="67">AN27-C54</f>
        <v>10.445590551596979</v>
      </c>
      <c r="AO28" s="228">
        <f t="shared" si="67"/>
        <v>13.535033321856645</v>
      </c>
      <c r="AP28" s="228">
        <f t="shared" si="67"/>
        <v>4.6236137727019013</v>
      </c>
      <c r="AQ28" s="228">
        <f t="shared" si="67"/>
        <v>7.0228726739069316</v>
      </c>
      <c r="AR28" s="228">
        <f t="shared" si="67"/>
        <v>-2.0593764854365872</v>
      </c>
      <c r="AS28" s="228">
        <f t="shared" si="67"/>
        <v>1.0842452447905089</v>
      </c>
      <c r="AT28" s="228">
        <f t="shared" si="67"/>
        <v>-15.470439218064712</v>
      </c>
      <c r="AU28" s="228">
        <f t="shared" si="67"/>
        <v>-14.462897692423212</v>
      </c>
      <c r="AV28" s="228">
        <f t="shared" si="67"/>
        <v>3.5336388652722235</v>
      </c>
      <c r="AW28" s="228">
        <f t="shared" si="67"/>
        <v>-3.2150809063277848</v>
      </c>
      <c r="AX28" s="228">
        <f t="shared" si="67"/>
        <v>6.6900716213349369</v>
      </c>
      <c r="AY28" s="228">
        <f t="shared" si="67"/>
        <v>-12.168263980979646</v>
      </c>
      <c r="AZ28" s="228">
        <f t="shared" si="67"/>
        <v>-5.0995780079165343</v>
      </c>
      <c r="BA28" s="228">
        <f t="shared" si="67"/>
        <v>-11.219856616584366</v>
      </c>
      <c r="BB28" s="228">
        <f t="shared" si="67"/>
        <v>-9.5707795454254665</v>
      </c>
      <c r="BC28" s="228">
        <f t="shared" si="67"/>
        <v>-14.253984384895375</v>
      </c>
      <c r="BD28" s="228">
        <f t="shared" si="67"/>
        <v>-17.124946730526062</v>
      </c>
      <c r="BE28" s="228">
        <f t="shared" si="67"/>
        <v>-20.246752092589304</v>
      </c>
      <c r="BF28" s="228">
        <f t="shared" si="67"/>
        <v>-9.1571317077577987</v>
      </c>
      <c r="BG28" s="228">
        <f t="shared" si="67"/>
        <v>-4.5217507438474058</v>
      </c>
      <c r="BH28" s="228">
        <f t="shared" si="67"/>
        <v>-13.484659313371594</v>
      </c>
      <c r="BI28" s="228">
        <f t="shared" si="67"/>
        <v>-7.1128440813954512</v>
      </c>
      <c r="BJ28" s="228">
        <f t="shared" si="67"/>
        <v>-9.4332189480228408</v>
      </c>
      <c r="BK28" s="228">
        <f t="shared" si="67"/>
        <v>-6.9221997036383982</v>
      </c>
      <c r="BL28" s="228">
        <f t="shared" si="67"/>
        <v>0.87586965380887705</v>
      </c>
      <c r="BM28" s="228">
        <f t="shared" si="67"/>
        <v>-8.2932855983917761</v>
      </c>
      <c r="BN28" s="228">
        <f t="shared" si="67"/>
        <v>-6.3299981182062766</v>
      </c>
      <c r="BO28" s="228">
        <f t="shared" si="67"/>
        <v>-14.770421699746294</v>
      </c>
      <c r="BP28" s="228">
        <f t="shared" si="67"/>
        <v>-14.358714549794968</v>
      </c>
      <c r="BQ28" s="228">
        <f t="shared" si="67"/>
        <v>-26.102288626837435</v>
      </c>
      <c r="BR28" s="228">
        <f t="shared" si="67"/>
        <v>-27.376501147329691</v>
      </c>
      <c r="BS28" s="228">
        <f t="shared" si="67"/>
        <v>-7.9017347761619021</v>
      </c>
      <c r="BT28" s="228">
        <f t="shared" si="67"/>
        <v>-18.553886642173893</v>
      </c>
      <c r="BU28" s="149"/>
    </row>
    <row r="29" spans="2:74">
      <c r="B29" s="646" t="s">
        <v>1516</v>
      </c>
    </row>
    <row r="30" spans="2:74">
      <c r="B30" s="4" t="s">
        <v>1469</v>
      </c>
      <c r="C30" s="23">
        <v>1990</v>
      </c>
      <c r="D30" s="23">
        <v>1991</v>
      </c>
      <c r="E30" s="23">
        <v>1992</v>
      </c>
      <c r="F30" s="23">
        <v>1993</v>
      </c>
      <c r="G30" s="23">
        <v>1994</v>
      </c>
      <c r="H30" s="23">
        <v>1995</v>
      </c>
      <c r="I30" s="23">
        <v>1996</v>
      </c>
      <c r="J30" s="23">
        <v>1997</v>
      </c>
      <c r="K30" s="23">
        <v>1998</v>
      </c>
      <c r="L30" s="23">
        <v>1999</v>
      </c>
      <c r="M30" s="23">
        <v>2000</v>
      </c>
      <c r="N30" s="23">
        <v>2001</v>
      </c>
      <c r="O30" s="23">
        <v>2002</v>
      </c>
      <c r="P30" s="23">
        <v>2003</v>
      </c>
      <c r="Q30" s="23">
        <v>2004</v>
      </c>
      <c r="R30" s="23">
        <v>2005</v>
      </c>
      <c r="S30" s="23">
        <v>2006</v>
      </c>
      <c r="T30" s="23">
        <v>2007</v>
      </c>
      <c r="U30" s="23">
        <v>2008</v>
      </c>
      <c r="V30" s="23">
        <v>2009</v>
      </c>
      <c r="W30" s="23">
        <v>2010</v>
      </c>
      <c r="X30" s="23">
        <v>2011</v>
      </c>
      <c r="Y30" s="23">
        <v>2012</v>
      </c>
      <c r="Z30" s="23">
        <v>2013</v>
      </c>
      <c r="AA30" s="23">
        <v>2014</v>
      </c>
      <c r="AB30" s="23">
        <v>2015</v>
      </c>
      <c r="AC30" s="23">
        <v>2016</v>
      </c>
      <c r="AD30" s="23">
        <v>2017</v>
      </c>
      <c r="AE30" s="23">
        <v>2018</v>
      </c>
      <c r="AF30" s="23">
        <v>2019</v>
      </c>
      <c r="AG30" s="23">
        <v>2020</v>
      </c>
      <c r="AH30" s="23">
        <v>2021</v>
      </c>
      <c r="AI30" s="23">
        <v>2022</v>
      </c>
    </row>
    <row r="31" spans="2:74">
      <c r="B31" s="5" t="s">
        <v>1435</v>
      </c>
      <c r="C31" s="676">
        <v>1719.7936162095687</v>
      </c>
      <c r="D31" s="676">
        <v>1715.8441293583292</v>
      </c>
      <c r="E31" s="676">
        <v>1732.9669857976501</v>
      </c>
      <c r="F31" s="676">
        <v>1798.3049940323895</v>
      </c>
      <c r="G31" s="676">
        <v>1805.0408254994447</v>
      </c>
      <c r="H31" s="676">
        <v>1820.3692840658719</v>
      </c>
      <c r="I31" s="676">
        <v>1905.2502159724108</v>
      </c>
      <c r="J31" s="676">
        <v>1950.5146611747784</v>
      </c>
      <c r="K31" s="676">
        <v>1979.3916615339049</v>
      </c>
      <c r="L31" s="676">
        <v>1979.4021109419455</v>
      </c>
      <c r="M31" s="676">
        <v>2065.1733097733759</v>
      </c>
      <c r="N31" s="676">
        <v>2009.9897555247185</v>
      </c>
      <c r="O31" s="676">
        <v>2019.6988931581416</v>
      </c>
      <c r="P31" s="676">
        <v>2061.0557963431602</v>
      </c>
      <c r="Q31" s="676">
        <v>2076.258989959154</v>
      </c>
      <c r="R31" s="676">
        <v>2113.6970509859866</v>
      </c>
      <c r="S31" s="676">
        <v>2078.5288197689729</v>
      </c>
      <c r="T31" s="676">
        <v>2107.8260677173998</v>
      </c>
      <c r="U31" s="676">
        <v>2075.5128749315104</v>
      </c>
      <c r="V31" s="676">
        <v>1837.5539840632741</v>
      </c>
      <c r="W31" s="676">
        <v>1931.1865184703258</v>
      </c>
      <c r="X31" s="676">
        <v>1817.608310411737</v>
      </c>
      <c r="Y31" s="676">
        <v>1597.3443211496458</v>
      </c>
      <c r="Z31" s="676">
        <v>1658.0109741827303</v>
      </c>
      <c r="AA31" s="676">
        <v>1655.0620683956249</v>
      </c>
      <c r="AB31" s="676">
        <v>1427.6381707821204</v>
      </c>
      <c r="AC31" s="676">
        <v>1310.7066537255466</v>
      </c>
      <c r="AD31" s="676">
        <v>1270.0204107320772</v>
      </c>
      <c r="AE31" s="676">
        <v>1211.6464814910373</v>
      </c>
      <c r="AF31" s="676">
        <v>1028.163657658803</v>
      </c>
      <c r="AG31" s="676">
        <v>835.60549285381148</v>
      </c>
      <c r="AH31" s="676">
        <v>957.41584584632039</v>
      </c>
      <c r="AI31" s="676">
        <v>894.37882594748305</v>
      </c>
    </row>
    <row r="32" spans="2:74">
      <c r="B32" s="6" t="s">
        <v>1434</v>
      </c>
      <c r="C32" s="677">
        <v>2.9876952520607118</v>
      </c>
      <c r="D32" s="677">
        <v>2.4418665673276769</v>
      </c>
      <c r="E32" s="677">
        <v>2.4754382193886699</v>
      </c>
      <c r="F32" s="677">
        <v>2.4697527866952389</v>
      </c>
      <c r="G32" s="677">
        <v>1.9941820840028137</v>
      </c>
      <c r="H32" s="677">
        <v>1.6716718149582452</v>
      </c>
      <c r="I32" s="677">
        <v>1.5825801930815993</v>
      </c>
      <c r="J32" s="677">
        <v>1.5181715699565763</v>
      </c>
      <c r="K32" s="677">
        <v>1.1032453604176209</v>
      </c>
      <c r="L32" s="677">
        <v>1.3314380787302316</v>
      </c>
      <c r="M32" s="677">
        <v>1.0827568764835389</v>
      </c>
      <c r="N32" s="677">
        <v>1.1408450183687231</v>
      </c>
      <c r="O32" s="677">
        <v>1.1660507086849294</v>
      </c>
      <c r="P32" s="677">
        <v>1.1687672828281666</v>
      </c>
      <c r="Q32" s="677">
        <v>1.0852533688090795</v>
      </c>
      <c r="R32" s="677">
        <v>0.80525533457459764</v>
      </c>
      <c r="S32" s="677">
        <v>0.61705166323197502</v>
      </c>
      <c r="T32" s="677">
        <v>0.73943487324772961</v>
      </c>
      <c r="U32" s="677">
        <v>0</v>
      </c>
      <c r="V32" s="677">
        <v>0</v>
      </c>
      <c r="W32" s="677">
        <v>0</v>
      </c>
      <c r="X32" s="677">
        <v>0</v>
      </c>
      <c r="Y32" s="677">
        <v>0</v>
      </c>
      <c r="Z32" s="677">
        <v>0</v>
      </c>
      <c r="AA32" s="677">
        <v>0</v>
      </c>
      <c r="AB32" s="677">
        <v>0</v>
      </c>
      <c r="AC32" s="677">
        <v>0</v>
      </c>
      <c r="AD32" s="677">
        <v>0</v>
      </c>
      <c r="AE32" s="677">
        <v>0</v>
      </c>
      <c r="AF32" s="677">
        <v>0</v>
      </c>
      <c r="AG32" s="677">
        <v>0</v>
      </c>
      <c r="AH32" s="677">
        <v>0</v>
      </c>
      <c r="AI32" s="677">
        <v>0</v>
      </c>
      <c r="BV32" s="1" t="s">
        <v>107</v>
      </c>
    </row>
    <row r="33" spans="2:35">
      <c r="B33" s="6" t="s">
        <v>1441</v>
      </c>
      <c r="C33" s="677">
        <v>11.950781008242847</v>
      </c>
      <c r="D33" s="677">
        <v>11.123951798824036</v>
      </c>
      <c r="E33" s="677">
        <v>11.2767921073171</v>
      </c>
      <c r="F33" s="677">
        <v>11.251191944732801</v>
      </c>
      <c r="G33" s="677">
        <v>11.300110030238828</v>
      </c>
      <c r="H33" s="677">
        <v>11.187393726740217</v>
      </c>
      <c r="I33" s="677">
        <v>11.605301798192992</v>
      </c>
      <c r="J33" s="677">
        <v>12.283500350691053</v>
      </c>
      <c r="K33" s="677">
        <v>8.9264663574628376</v>
      </c>
      <c r="L33" s="677">
        <v>9.7635618041440733</v>
      </c>
      <c r="M33" s="677">
        <v>8.7603401271750982</v>
      </c>
      <c r="N33" s="677">
        <v>9.2306379407867158</v>
      </c>
      <c r="O33" s="677">
        <v>8.5511654681646281</v>
      </c>
      <c r="P33" s="677">
        <v>7.8219705072625967</v>
      </c>
      <c r="Q33" s="677">
        <v>9.7670904901110305</v>
      </c>
      <c r="R33" s="677">
        <v>9.2601022167636504</v>
      </c>
      <c r="S33" s="677">
        <v>6.2387890463696039</v>
      </c>
      <c r="T33" s="677">
        <v>6.6546288033802021</v>
      </c>
      <c r="U33" s="677">
        <v>7.6116885807047296</v>
      </c>
      <c r="V33" s="677">
        <v>6.9212944879527454</v>
      </c>
      <c r="W33" s="677">
        <v>6.5764502150490669</v>
      </c>
      <c r="X33" s="677">
        <v>5.8411054745380699</v>
      </c>
      <c r="Y33" s="677">
        <v>4.1332779377363469</v>
      </c>
      <c r="Z33" s="677">
        <v>3.9349591086762437</v>
      </c>
      <c r="AA33" s="677">
        <v>3.815747352827314</v>
      </c>
      <c r="AB33" s="677">
        <v>2.9645721255676034</v>
      </c>
      <c r="AC33" s="677">
        <v>2.2649918397973812</v>
      </c>
      <c r="AD33" s="677">
        <v>1.9759169500269727</v>
      </c>
      <c r="AE33" s="677">
        <v>1.7911940979329957</v>
      </c>
      <c r="AF33" s="677">
        <v>1.6000991942164422</v>
      </c>
      <c r="AG33" s="677">
        <v>1.3945916740834434</v>
      </c>
      <c r="AH33" s="677">
        <v>1.4304169328982714</v>
      </c>
      <c r="AI33" s="677">
        <v>1.3868762498586593</v>
      </c>
    </row>
    <row r="34" spans="2:35">
      <c r="B34" s="6" t="s">
        <v>1443</v>
      </c>
      <c r="C34" s="677">
        <v>157.84209046787106</v>
      </c>
      <c r="D34" s="677">
        <v>154.64085529828895</v>
      </c>
      <c r="E34" s="677">
        <v>150.27786714941479</v>
      </c>
      <c r="F34" s="677">
        <v>152.55057458291006</v>
      </c>
      <c r="G34" s="677">
        <v>153.47109584651562</v>
      </c>
      <c r="H34" s="677">
        <v>147.21878209469244</v>
      </c>
      <c r="I34" s="677">
        <v>140.09708355714514</v>
      </c>
      <c r="J34" s="677">
        <v>140.24499718866394</v>
      </c>
      <c r="K34" s="677">
        <v>141.76016153393269</v>
      </c>
      <c r="L34" s="677">
        <v>132.48454762806003</v>
      </c>
      <c r="M34" s="677">
        <v>128.49007466679879</v>
      </c>
      <c r="N34" s="677">
        <v>130.18692998180313</v>
      </c>
      <c r="O34" s="677">
        <v>119.06363823530097</v>
      </c>
      <c r="P34" s="677">
        <v>119.44450376528793</v>
      </c>
      <c r="Q34" s="677">
        <v>120.44114289203144</v>
      </c>
      <c r="R34" s="677">
        <v>117.84664333877727</v>
      </c>
      <c r="S34" s="677">
        <v>115.58457012511121</v>
      </c>
      <c r="T34" s="677">
        <v>110.7798478042864</v>
      </c>
      <c r="U34" s="677">
        <v>106.08016306944283</v>
      </c>
      <c r="V34" s="677">
        <v>87.070439168754788</v>
      </c>
      <c r="W34" s="677">
        <v>94.169115601895328</v>
      </c>
      <c r="X34" s="677">
        <v>85.95905272948481</v>
      </c>
      <c r="Y34" s="677">
        <v>78.23009117399819</v>
      </c>
      <c r="Z34" s="677">
        <v>79.549338377717078</v>
      </c>
      <c r="AA34" s="677">
        <v>79.247794143577707</v>
      </c>
      <c r="AB34" s="677">
        <v>69.975110409354656</v>
      </c>
      <c r="AC34" s="677">
        <v>63.154312260945538</v>
      </c>
      <c r="AD34" s="677">
        <v>58.677271639088119</v>
      </c>
      <c r="AE34" s="677">
        <v>54.42208548664717</v>
      </c>
      <c r="AF34" s="677">
        <v>49.463302568703426</v>
      </c>
      <c r="AG34" s="677">
        <v>42.968685714509697</v>
      </c>
      <c r="AH34" s="677">
        <v>43.032401736051334</v>
      </c>
      <c r="AI34" s="677">
        <v>42.651756467651118</v>
      </c>
    </row>
    <row r="35" spans="2:35">
      <c r="B35" s="6" t="s">
        <v>1445</v>
      </c>
      <c r="C35" s="677" t="s">
        <v>108</v>
      </c>
      <c r="D35" s="677" t="s">
        <v>108</v>
      </c>
      <c r="E35" s="677" t="s">
        <v>108</v>
      </c>
      <c r="F35" s="677" t="s">
        <v>108</v>
      </c>
      <c r="G35" s="677" t="s">
        <v>108</v>
      </c>
      <c r="H35" s="677" t="s">
        <v>108</v>
      </c>
      <c r="I35" s="677" t="s">
        <v>108</v>
      </c>
      <c r="J35" s="677" t="s">
        <v>108</v>
      </c>
      <c r="K35" s="677" t="s">
        <v>108</v>
      </c>
      <c r="L35" s="677" t="s">
        <v>108</v>
      </c>
      <c r="M35" s="677" t="s">
        <v>108</v>
      </c>
      <c r="N35" s="677" t="s">
        <v>108</v>
      </c>
      <c r="O35" s="677" t="s">
        <v>108</v>
      </c>
      <c r="P35" s="677" t="s">
        <v>108</v>
      </c>
      <c r="Q35" s="677" t="s">
        <v>108</v>
      </c>
      <c r="R35" s="677" t="s">
        <v>108</v>
      </c>
      <c r="S35" s="677" t="s">
        <v>108</v>
      </c>
      <c r="T35" s="677" t="s">
        <v>108</v>
      </c>
      <c r="U35" s="677" t="s">
        <v>108</v>
      </c>
      <c r="V35" s="677" t="s">
        <v>108</v>
      </c>
      <c r="W35" s="677" t="s">
        <v>108</v>
      </c>
      <c r="X35" s="677" t="s">
        <v>108</v>
      </c>
      <c r="Y35" s="677" t="s">
        <v>108</v>
      </c>
      <c r="Z35" s="677" t="s">
        <v>108</v>
      </c>
      <c r="AA35" s="677" t="s">
        <v>108</v>
      </c>
      <c r="AB35" s="677" t="s">
        <v>108</v>
      </c>
      <c r="AC35" s="677" t="s">
        <v>108</v>
      </c>
      <c r="AD35" s="677" t="s">
        <v>108</v>
      </c>
      <c r="AE35" s="677" t="s">
        <v>108</v>
      </c>
      <c r="AF35" s="677" t="s">
        <v>108</v>
      </c>
      <c r="AG35" s="677" t="s">
        <v>108</v>
      </c>
      <c r="AH35" s="677" t="s">
        <v>108</v>
      </c>
      <c r="AI35" s="677" t="s">
        <v>108</v>
      </c>
    </row>
    <row r="36" spans="2:35">
      <c r="B36" s="6" t="s">
        <v>1474</v>
      </c>
      <c r="C36" s="677">
        <v>1546.5138658365147</v>
      </c>
      <c r="D36" s="677">
        <v>1547.1744736994474</v>
      </c>
      <c r="E36" s="677">
        <v>1568.5414841172681</v>
      </c>
      <c r="F36" s="677">
        <v>1631.6188101341861</v>
      </c>
      <c r="G36" s="677">
        <v>1637.8528422171717</v>
      </c>
      <c r="H36" s="677">
        <v>1659.8609103723704</v>
      </c>
      <c r="I36" s="677">
        <v>1751.5233947269828</v>
      </c>
      <c r="J36" s="677">
        <v>1796.0188853915236</v>
      </c>
      <c r="K36" s="677">
        <v>1827.1476965735826</v>
      </c>
      <c r="L36" s="677">
        <v>1835.4022340292524</v>
      </c>
      <c r="M36" s="677">
        <v>1926.3651342158976</v>
      </c>
      <c r="N36" s="677">
        <v>1868.8345135593859</v>
      </c>
      <c r="O36" s="677">
        <v>1888.8946691071951</v>
      </c>
      <c r="P36" s="677">
        <v>1929.9566599629634</v>
      </c>
      <c r="Q36" s="677">
        <v>1942.0197985409238</v>
      </c>
      <c r="R36" s="677">
        <v>1982.7713676303179</v>
      </c>
      <c r="S36" s="677">
        <v>1952.6895189382972</v>
      </c>
      <c r="T36" s="677">
        <v>1986.2497853491975</v>
      </c>
      <c r="U36" s="677">
        <v>1958.3876061335875</v>
      </c>
      <c r="V36" s="677">
        <v>1740.1526692444147</v>
      </c>
      <c r="W36" s="677">
        <v>1827.2452396274032</v>
      </c>
      <c r="X36" s="677">
        <v>1722.3698705628942</v>
      </c>
      <c r="Y36" s="677">
        <v>1511.6931055686455</v>
      </c>
      <c r="Z36" s="677">
        <v>1571.2511273959044</v>
      </c>
      <c r="AA36" s="677">
        <v>1568.556173908122</v>
      </c>
      <c r="AB36" s="677">
        <v>1351.3884116145925</v>
      </c>
      <c r="AC36" s="677">
        <v>1242.0166623259897</v>
      </c>
      <c r="AD36" s="677">
        <v>1207.0667392920539</v>
      </c>
      <c r="AE36" s="677">
        <v>1152.8764230464151</v>
      </c>
      <c r="AF36" s="677">
        <v>973.5397823880611</v>
      </c>
      <c r="AG36" s="677">
        <v>788.15962639841325</v>
      </c>
      <c r="AH36" s="677">
        <v>910.06445819817407</v>
      </c>
      <c r="AI36" s="677">
        <v>847.45162425077649</v>
      </c>
    </row>
    <row r="37" spans="2:35">
      <c r="B37" s="6" t="s">
        <v>1476</v>
      </c>
      <c r="C37" s="677">
        <v>0.49918364487950195</v>
      </c>
      <c r="D37" s="677">
        <v>0.46298199444111593</v>
      </c>
      <c r="E37" s="677">
        <v>0.39540420426145789</v>
      </c>
      <c r="F37" s="677">
        <v>0.414664583865334</v>
      </c>
      <c r="G37" s="677">
        <v>0.4225953215157458</v>
      </c>
      <c r="H37" s="677">
        <v>0.43052605711056213</v>
      </c>
      <c r="I37" s="677">
        <v>0.44185569700838989</v>
      </c>
      <c r="J37" s="677">
        <v>0.44910667394322812</v>
      </c>
      <c r="K37" s="677">
        <v>0.45409170850918595</v>
      </c>
      <c r="L37" s="677">
        <v>0.42032940175863998</v>
      </c>
      <c r="M37" s="677">
        <v>0.47500388702083407</v>
      </c>
      <c r="N37" s="677">
        <v>0.59682902437400609</v>
      </c>
      <c r="O37" s="677">
        <v>2.0233696387959919</v>
      </c>
      <c r="P37" s="677">
        <v>2.6638948248182412</v>
      </c>
      <c r="Q37" s="677">
        <v>2.9457046672788625</v>
      </c>
      <c r="R37" s="677">
        <v>3.0136824655534786</v>
      </c>
      <c r="S37" s="677">
        <v>3.3988899959624983</v>
      </c>
      <c r="T37" s="677">
        <v>3.4023708872877636</v>
      </c>
      <c r="U37" s="677">
        <v>3.4334171477753794</v>
      </c>
      <c r="V37" s="677">
        <v>3.4095811621519387</v>
      </c>
      <c r="W37" s="677">
        <v>3.1957130259780819</v>
      </c>
      <c r="X37" s="677">
        <v>3.4382816448199178</v>
      </c>
      <c r="Y37" s="677">
        <v>3.2878464692658049</v>
      </c>
      <c r="Z37" s="677">
        <v>3.275549300432385</v>
      </c>
      <c r="AA37" s="677">
        <v>3.4423529910979647</v>
      </c>
      <c r="AB37" s="677">
        <v>3.3100766326055582</v>
      </c>
      <c r="AC37" s="677">
        <v>3.2706872988139057</v>
      </c>
      <c r="AD37" s="677">
        <v>2.3004828509080002</v>
      </c>
      <c r="AE37" s="677">
        <v>2.5567788600420003</v>
      </c>
      <c r="AF37" s="677">
        <v>3.5604735078220004</v>
      </c>
      <c r="AG37" s="677">
        <v>3.0825890668051215</v>
      </c>
      <c r="AH37" s="677">
        <v>2.8885689791967102</v>
      </c>
      <c r="AI37" s="677">
        <v>2.8885689791967102</v>
      </c>
    </row>
    <row r="38" spans="2:35">
      <c r="B38" s="5" t="s">
        <v>1439</v>
      </c>
      <c r="C38" s="676">
        <v>998.62349225994672</v>
      </c>
      <c r="D38" s="676">
        <v>1020.8766721472523</v>
      </c>
      <c r="E38" s="676">
        <v>1054.3448652335699</v>
      </c>
      <c r="F38" s="676">
        <v>1081.8087995998724</v>
      </c>
      <c r="G38" s="676">
        <v>1106.597648493778</v>
      </c>
      <c r="H38" s="676">
        <v>1155.0125862325747</v>
      </c>
      <c r="I38" s="676">
        <v>1176.2845125565316</v>
      </c>
      <c r="J38" s="676">
        <v>1182.4608296957772</v>
      </c>
      <c r="K38" s="676">
        <v>1158.6521439145599</v>
      </c>
      <c r="L38" s="676">
        <v>1162.936857405308</v>
      </c>
      <c r="M38" s="676">
        <v>1218.6319252846156</v>
      </c>
      <c r="N38" s="676">
        <v>1169.4461080717133</v>
      </c>
      <c r="O38" s="676">
        <v>1207.9329265155102</v>
      </c>
      <c r="P38" s="676">
        <v>1176.9526767172179</v>
      </c>
      <c r="Q38" s="676">
        <v>1182.8257812622635</v>
      </c>
      <c r="R38" s="676">
        <v>1166.1619067933786</v>
      </c>
      <c r="S38" s="676">
        <v>1151.0489744030008</v>
      </c>
      <c r="T38" s="676">
        <v>1225.0297403637483</v>
      </c>
      <c r="U38" s="676">
        <v>1235.880817407465</v>
      </c>
      <c r="V38" s="676">
        <v>1214.2348492596584</v>
      </c>
      <c r="W38" s="676">
        <v>1273.1434121564739</v>
      </c>
      <c r="X38" s="676">
        <v>1292.7853933595727</v>
      </c>
      <c r="Y38" s="676">
        <v>1352.7983238212385</v>
      </c>
      <c r="Z38" s="676">
        <v>1390.8096077883677</v>
      </c>
      <c r="AA38" s="676">
        <v>1419.1264948240514</v>
      </c>
      <c r="AB38" s="676">
        <v>1455.3863220654703</v>
      </c>
      <c r="AC38" s="676">
        <v>1461.3213135943815</v>
      </c>
      <c r="AD38" s="676">
        <v>1433.2473396264857</v>
      </c>
      <c r="AE38" s="676">
        <v>1591.9666965204153</v>
      </c>
      <c r="AF38" s="676">
        <v>1649.2528906535774</v>
      </c>
      <c r="AG38" s="676">
        <v>1612.3395732963556</v>
      </c>
      <c r="AH38" s="676">
        <v>1620.8152134740249</v>
      </c>
      <c r="AI38" s="676">
        <v>1712.3537760608137</v>
      </c>
    </row>
    <row r="39" spans="2:35">
      <c r="B39" s="6" t="s">
        <v>1434</v>
      </c>
      <c r="C39" s="677">
        <v>237.79751316701928</v>
      </c>
      <c r="D39" s="677">
        <v>247.3163708646733</v>
      </c>
      <c r="E39" s="677">
        <v>254.59497787985759</v>
      </c>
      <c r="F39" s="677">
        <v>268.22932615115491</v>
      </c>
      <c r="G39" s="677">
        <v>262.94355944535857</v>
      </c>
      <c r="H39" s="677">
        <v>262.76570850496319</v>
      </c>
      <c r="I39" s="677">
        <v>283.99195492868381</v>
      </c>
      <c r="J39" s="677">
        <v>270.12382236394063</v>
      </c>
      <c r="K39" s="677">
        <v>246.13967860387044</v>
      </c>
      <c r="L39" s="677">
        <v>256.37921536804282</v>
      </c>
      <c r="M39" s="677">
        <v>270.80589926201588</v>
      </c>
      <c r="N39" s="677">
        <v>259.1889647876601</v>
      </c>
      <c r="O39" s="677">
        <v>265.05318507540636</v>
      </c>
      <c r="P39" s="677">
        <v>276.17534859880868</v>
      </c>
      <c r="Q39" s="677">
        <v>264.17877611421051</v>
      </c>
      <c r="R39" s="677">
        <v>262.2286055672738</v>
      </c>
      <c r="S39" s="677">
        <v>237.28839962332515</v>
      </c>
      <c r="T39" s="677">
        <v>256.4079028660679</v>
      </c>
      <c r="U39" s="677">
        <v>265.66749545875354</v>
      </c>
      <c r="V39" s="677">
        <v>259.05601805220141</v>
      </c>
      <c r="W39" s="677">
        <v>258.91127602274685</v>
      </c>
      <c r="X39" s="677">
        <v>255.06803132826391</v>
      </c>
      <c r="Y39" s="677">
        <v>225.10147681644284</v>
      </c>
      <c r="Z39" s="677">
        <v>266.35053365110366</v>
      </c>
      <c r="AA39" s="677">
        <v>277.6716054191445</v>
      </c>
      <c r="AB39" s="677">
        <v>252.72391355879935</v>
      </c>
      <c r="AC39" s="677">
        <v>238.38223392683929</v>
      </c>
      <c r="AD39" s="677">
        <v>241.48609403530835</v>
      </c>
      <c r="AE39" s="677">
        <v>273.81436679347121</v>
      </c>
      <c r="AF39" s="677">
        <v>275.46887973202541</v>
      </c>
      <c r="AG39" s="677">
        <v>256.36071756812561</v>
      </c>
      <c r="AH39" s="677">
        <v>258.62082445006706</v>
      </c>
      <c r="AI39" s="677">
        <v>273.48051227058403</v>
      </c>
    </row>
    <row r="40" spans="2:35">
      <c r="B40" s="6" t="s">
        <v>1441</v>
      </c>
      <c r="C40" s="677">
        <v>142.02473544607753</v>
      </c>
      <c r="D40" s="677">
        <v>148.12843320995771</v>
      </c>
      <c r="E40" s="677">
        <v>152.1442839987414</v>
      </c>
      <c r="F40" s="677">
        <v>154.86031096580882</v>
      </c>
      <c r="G40" s="677">
        <v>157.02801444190189</v>
      </c>
      <c r="H40" s="677">
        <v>164.20845936813723</v>
      </c>
      <c r="I40" s="677">
        <v>171.12093873822886</v>
      </c>
      <c r="J40" s="677">
        <v>174.25040454967009</v>
      </c>
      <c r="K40" s="677">
        <v>163.32937279129024</v>
      </c>
      <c r="L40" s="677">
        <v>165.18012136905648</v>
      </c>
      <c r="M40" s="677">
        <v>172.49806642837646</v>
      </c>
      <c r="N40" s="677">
        <v>164.19987233758553</v>
      </c>
      <c r="O40" s="677">
        <v>170.46500850943963</v>
      </c>
      <c r="P40" s="677">
        <v>172.87591133833368</v>
      </c>
      <c r="Q40" s="677">
        <v>169.77666283715638</v>
      </c>
      <c r="R40" s="677">
        <v>162.92508508024997</v>
      </c>
      <c r="S40" s="677">
        <v>153.83155669866855</v>
      </c>
      <c r="T40" s="677">
        <v>163.59043097479622</v>
      </c>
      <c r="U40" s="677">
        <v>171.19325427303346</v>
      </c>
      <c r="V40" s="677">
        <v>169.05333172555467</v>
      </c>
      <c r="W40" s="677">
        <v>167.96887548912161</v>
      </c>
      <c r="X40" s="677">
        <v>170.73801795221382</v>
      </c>
      <c r="Y40" s="677">
        <v>157.04279460910288</v>
      </c>
      <c r="Z40" s="677">
        <v>179.21960261143067</v>
      </c>
      <c r="AA40" s="677">
        <v>189.18938777422409</v>
      </c>
      <c r="AB40" s="677">
        <v>175.4117517978259</v>
      </c>
      <c r="AC40" s="677">
        <v>170.54056544370894</v>
      </c>
      <c r="AD40" s="677">
        <v>173.19011617374824</v>
      </c>
      <c r="AE40" s="677">
        <v>192.5283840865653</v>
      </c>
      <c r="AF40" s="677">
        <v>192.91620874877498</v>
      </c>
      <c r="AG40" s="677">
        <v>173.84930478133768</v>
      </c>
      <c r="AH40" s="677">
        <v>180.86325445316047</v>
      </c>
      <c r="AI40" s="677">
        <v>193.16444865545154</v>
      </c>
    </row>
    <row r="41" spans="2:35">
      <c r="B41" s="6" t="s">
        <v>1443</v>
      </c>
      <c r="C41" s="677">
        <v>407.44057591552206</v>
      </c>
      <c r="D41" s="677">
        <v>413.59445395561858</v>
      </c>
      <c r="E41" s="677">
        <v>429.30737763379256</v>
      </c>
      <c r="F41" s="677">
        <v>436.98219553873059</v>
      </c>
      <c r="G41" s="677">
        <v>438.20865393150382</v>
      </c>
      <c r="H41" s="677">
        <v>461.4680033053877</v>
      </c>
      <c r="I41" s="677">
        <v>477.22704593798659</v>
      </c>
      <c r="J41" s="677">
        <v>477.88613017996011</v>
      </c>
      <c r="K41" s="677">
        <v>466.22857939809182</v>
      </c>
      <c r="L41" s="677">
        <v>445.62145311258905</v>
      </c>
      <c r="M41" s="677">
        <v>458.18470970362125</v>
      </c>
      <c r="N41" s="677">
        <v>420.60012891527748</v>
      </c>
      <c r="O41" s="677">
        <v>428.10994471518688</v>
      </c>
      <c r="P41" s="677">
        <v>415.08604298191261</v>
      </c>
      <c r="Q41" s="677">
        <v>418.88608808286688</v>
      </c>
      <c r="R41" s="677">
        <v>387.78439069369989</v>
      </c>
      <c r="S41" s="677">
        <v>387.43556914859869</v>
      </c>
      <c r="T41" s="677">
        <v>396.96908687881142</v>
      </c>
      <c r="U41" s="677">
        <v>398.65113463252698</v>
      </c>
      <c r="V41" s="677">
        <v>374.19964007784171</v>
      </c>
      <c r="W41" s="677">
        <v>407.08948538432492</v>
      </c>
      <c r="X41" s="677">
        <v>417.16969084127084</v>
      </c>
      <c r="Y41" s="677">
        <v>433.87411357806093</v>
      </c>
      <c r="Z41" s="677">
        <v>450.93611572282049</v>
      </c>
      <c r="AA41" s="677">
        <v>465.9360743641227</v>
      </c>
      <c r="AB41" s="677">
        <v>459.64627978150747</v>
      </c>
      <c r="AC41" s="677">
        <v>463.98257891833475</v>
      </c>
      <c r="AD41" s="677">
        <v>468.13315809622293</v>
      </c>
      <c r="AE41" s="677">
        <v>493.46897972996544</v>
      </c>
      <c r="AF41" s="677">
        <v>501.51732125814709</v>
      </c>
      <c r="AG41" s="677">
        <v>485.98139675999653</v>
      </c>
      <c r="AH41" s="677">
        <v>499.54937159349049</v>
      </c>
      <c r="AI41" s="677">
        <v>512.5670132286948</v>
      </c>
    </row>
    <row r="42" spans="2:35">
      <c r="B42" s="6" t="s">
        <v>1445</v>
      </c>
      <c r="C42" s="677">
        <v>36.000628828726228</v>
      </c>
      <c r="D42" s="677">
        <v>32.870998544585845</v>
      </c>
      <c r="E42" s="677">
        <v>32.223566137943912</v>
      </c>
      <c r="F42" s="677">
        <v>34.15461398423664</v>
      </c>
      <c r="G42" s="677">
        <v>37.56280519579169</v>
      </c>
      <c r="H42" s="677">
        <v>38.397759997364879</v>
      </c>
      <c r="I42" s="677">
        <v>39.083767671638746</v>
      </c>
      <c r="J42" s="677">
        <v>41.387043476727435</v>
      </c>
      <c r="K42" s="677">
        <v>35.288383859149057</v>
      </c>
      <c r="L42" s="677">
        <v>35.810853010699333</v>
      </c>
      <c r="M42" s="677">
        <v>35.650075735907123</v>
      </c>
      <c r="N42" s="677">
        <v>34.885995822200002</v>
      </c>
      <c r="O42" s="677">
        <v>37.087113998567915</v>
      </c>
      <c r="P42" s="677">
        <v>33.263751370962055</v>
      </c>
      <c r="Q42" s="677">
        <v>31.927149340306773</v>
      </c>
      <c r="R42" s="677">
        <v>33.075920910480484</v>
      </c>
      <c r="S42" s="677">
        <v>33.132752480798366</v>
      </c>
      <c r="T42" s="677">
        <v>35.181265831305353</v>
      </c>
      <c r="U42" s="677">
        <v>36.701650199837665</v>
      </c>
      <c r="V42" s="677">
        <v>37.924973610479</v>
      </c>
      <c r="W42" s="677">
        <v>38.159193121908444</v>
      </c>
      <c r="X42" s="677">
        <v>38.942984233329362</v>
      </c>
      <c r="Y42" s="677">
        <v>41.37800918377787</v>
      </c>
      <c r="Z42" s="677">
        <v>47.049246645534772</v>
      </c>
      <c r="AA42" s="677">
        <v>40.238122656789713</v>
      </c>
      <c r="AB42" s="677">
        <v>39.405905197849926</v>
      </c>
      <c r="AC42" s="677">
        <v>40.058807328702912</v>
      </c>
      <c r="AD42" s="677">
        <v>42.257759266894162</v>
      </c>
      <c r="AE42" s="677">
        <v>50.915434140965644</v>
      </c>
      <c r="AF42" s="677">
        <v>58.928767923685299</v>
      </c>
      <c r="AG42" s="677">
        <v>58.653794375777238</v>
      </c>
      <c r="AH42" s="677">
        <v>65.084835395324035</v>
      </c>
      <c r="AI42" s="677">
        <v>68.300475822321843</v>
      </c>
    </row>
    <row r="43" spans="2:35">
      <c r="B43" s="6" t="s">
        <v>1474</v>
      </c>
      <c r="C43" s="677">
        <v>175.3600389026015</v>
      </c>
      <c r="D43" s="677">
        <v>178.96641557241685</v>
      </c>
      <c r="E43" s="677">
        <v>186.07465958323442</v>
      </c>
      <c r="F43" s="677">
        <v>187.58235295994123</v>
      </c>
      <c r="G43" s="677">
        <v>210.85461547922213</v>
      </c>
      <c r="H43" s="677">
        <v>228.17265505672165</v>
      </c>
      <c r="I43" s="677">
        <v>204.86080527999366</v>
      </c>
      <c r="J43" s="677">
        <v>218.81342912547896</v>
      </c>
      <c r="K43" s="677">
        <v>247.66612926215842</v>
      </c>
      <c r="L43" s="677">
        <v>259.94521454492025</v>
      </c>
      <c r="M43" s="677">
        <v>280.82105213992054</v>
      </c>
      <c r="N43" s="677">
        <v>289.35862946229537</v>
      </c>
      <c r="O43" s="677">
        <v>306.00875363034964</v>
      </c>
      <c r="P43" s="677">
        <v>278.12739640727375</v>
      </c>
      <c r="Q43" s="677">
        <v>296.75029743802992</v>
      </c>
      <c r="R43" s="677">
        <v>318.85840260471355</v>
      </c>
      <c r="S43" s="677">
        <v>337.97496302681611</v>
      </c>
      <c r="T43" s="677">
        <v>371.46513223741312</v>
      </c>
      <c r="U43" s="677">
        <v>362.11597738194661</v>
      </c>
      <c r="V43" s="677">
        <v>372.54775041195018</v>
      </c>
      <c r="W43" s="677">
        <v>399.53808692568629</v>
      </c>
      <c r="X43" s="677">
        <v>409.42961840152782</v>
      </c>
      <c r="Y43" s="677">
        <v>492.79219630413746</v>
      </c>
      <c r="Z43" s="677">
        <v>444.16593360966391</v>
      </c>
      <c r="AA43" s="677">
        <v>442.88200596411235</v>
      </c>
      <c r="AB43" s="677">
        <v>525.16054071183544</v>
      </c>
      <c r="AC43" s="677">
        <v>544.99213211889321</v>
      </c>
      <c r="AD43" s="677">
        <v>505.63466065505327</v>
      </c>
      <c r="AE43" s="677">
        <v>577.93546402725235</v>
      </c>
      <c r="AF43" s="677">
        <v>616.64869033042908</v>
      </c>
      <c r="AG43" s="677">
        <v>634.84677606704531</v>
      </c>
      <c r="AH43" s="677">
        <v>612.77428233792773</v>
      </c>
      <c r="AI43" s="677">
        <v>660.92157006770037</v>
      </c>
    </row>
    <row r="44" spans="2:35">
      <c r="B44" s="6" t="s">
        <v>1476</v>
      </c>
      <c r="C44" s="677" t="s">
        <v>108</v>
      </c>
      <c r="D44" s="677" t="s">
        <v>108</v>
      </c>
      <c r="E44" s="677" t="s">
        <v>108</v>
      </c>
      <c r="F44" s="677" t="s">
        <v>108</v>
      </c>
      <c r="G44" s="677" t="s">
        <v>108</v>
      </c>
      <c r="H44" s="677" t="s">
        <v>108</v>
      </c>
      <c r="I44" s="677" t="s">
        <v>108</v>
      </c>
      <c r="J44" s="677" t="s">
        <v>108</v>
      </c>
      <c r="K44" s="677" t="s">
        <v>108</v>
      </c>
      <c r="L44" s="677" t="s">
        <v>108</v>
      </c>
      <c r="M44" s="677">
        <v>0.67212201477417799</v>
      </c>
      <c r="N44" s="677">
        <v>1.2125167466946647</v>
      </c>
      <c r="O44" s="677">
        <v>1.2089205865598054</v>
      </c>
      <c r="P44" s="677">
        <v>1.4242260199270667</v>
      </c>
      <c r="Q44" s="677">
        <v>1.3068074496928888</v>
      </c>
      <c r="R44" s="677">
        <v>1.2895019369609928</v>
      </c>
      <c r="S44" s="677">
        <v>1.3857334247939026</v>
      </c>
      <c r="T44" s="677">
        <v>1.415921575354</v>
      </c>
      <c r="U44" s="677">
        <v>1.5513054613666941</v>
      </c>
      <c r="V44" s="677">
        <v>1.4531353816314685</v>
      </c>
      <c r="W44" s="677">
        <v>1.4764952126860063</v>
      </c>
      <c r="X44" s="677">
        <v>1.4370506029671137</v>
      </c>
      <c r="Y44" s="677">
        <v>2.6097333297164047</v>
      </c>
      <c r="Z44" s="677">
        <v>3.0881755478141319</v>
      </c>
      <c r="AA44" s="677">
        <v>3.2092986456579755</v>
      </c>
      <c r="AB44" s="677">
        <v>3.0379310176521801</v>
      </c>
      <c r="AC44" s="677">
        <v>3.3649958579027071</v>
      </c>
      <c r="AD44" s="677">
        <v>2.5455513992585312</v>
      </c>
      <c r="AE44" s="677">
        <v>3.3040677421953082</v>
      </c>
      <c r="AF44" s="677">
        <v>3.773022660515549</v>
      </c>
      <c r="AG44" s="677">
        <v>2.647583744073164</v>
      </c>
      <c r="AH44" s="677">
        <v>3.9226452440549542</v>
      </c>
      <c r="AI44" s="677">
        <v>3.9197560160609353</v>
      </c>
    </row>
    <row r="45" spans="2:35">
      <c r="B45" s="5" t="s">
        <v>1440</v>
      </c>
      <c r="C45" s="676">
        <v>2017.509868236293</v>
      </c>
      <c r="D45" s="676">
        <v>1949.4618989139701</v>
      </c>
      <c r="E45" s="676">
        <v>2000.4166542553107</v>
      </c>
      <c r="F45" s="676">
        <v>2021.4177635688418</v>
      </c>
      <c r="G45" s="676">
        <v>2061.3988547381446</v>
      </c>
      <c r="H45" s="676">
        <v>2054.0961990037317</v>
      </c>
      <c r="I45" s="676">
        <v>2139.3454311673495</v>
      </c>
      <c r="J45" s="676">
        <v>2147.2594051514693</v>
      </c>
      <c r="K45" s="676">
        <v>2187.2468648447139</v>
      </c>
      <c r="L45" s="676">
        <v>2234.5557293949933</v>
      </c>
      <c r="M45" s="676">
        <v>2329.6146722634062</v>
      </c>
      <c r="N45" s="676">
        <v>2356.3482423886926</v>
      </c>
      <c r="O45" s="676">
        <v>2342.1835046337487</v>
      </c>
      <c r="P45" s="676">
        <v>2407.1583113477705</v>
      </c>
      <c r="Q45" s="676">
        <v>2463.5169203421005</v>
      </c>
      <c r="R45" s="676">
        <v>2473.4905674075476</v>
      </c>
      <c r="S45" s="676">
        <v>2438.0322872403303</v>
      </c>
      <c r="T45" s="676">
        <v>2421.7972130640414</v>
      </c>
      <c r="U45" s="676">
        <v>2245.180713196441</v>
      </c>
      <c r="V45" s="676">
        <v>2131.8107462344283</v>
      </c>
      <c r="W45" s="676">
        <v>2145.2996450442192</v>
      </c>
      <c r="X45" s="676">
        <v>2100.8275960090705</v>
      </c>
      <c r="Y45" s="676">
        <v>2056.6992375334976</v>
      </c>
      <c r="Z45" s="676">
        <v>2076.8383950439475</v>
      </c>
      <c r="AA45" s="676">
        <v>2093.6383070922943</v>
      </c>
      <c r="AB45" s="676">
        <v>2129.1874981736073</v>
      </c>
      <c r="AC45" s="676">
        <v>2141.2270939927671</v>
      </c>
      <c r="AD45" s="676">
        <v>2154.5820554250663</v>
      </c>
      <c r="AE45" s="676">
        <v>2193.280939659111</v>
      </c>
      <c r="AF45" s="676">
        <v>2189.2634379397296</v>
      </c>
      <c r="AG45" s="676">
        <v>1908.281809556715</v>
      </c>
      <c r="AH45" s="676">
        <v>2071.9385967120497</v>
      </c>
      <c r="AI45" s="676">
        <v>2101.3217970653604</v>
      </c>
    </row>
    <row r="46" spans="2:35">
      <c r="B46" s="6" t="s">
        <v>1434</v>
      </c>
      <c r="C46" s="677">
        <v>97.782418285202326</v>
      </c>
      <c r="D46" s="677">
        <v>97.952144785231908</v>
      </c>
      <c r="E46" s="677">
        <v>96.897412375870118</v>
      </c>
      <c r="F46" s="677">
        <v>95.38267944445947</v>
      </c>
      <c r="G46" s="677">
        <v>92.109497684959123</v>
      </c>
      <c r="H46" s="677">
        <v>88.696194762738045</v>
      </c>
      <c r="I46" s="677">
        <v>97.899889994156283</v>
      </c>
      <c r="J46" s="677">
        <v>93.391376926550663</v>
      </c>
      <c r="K46" s="677">
        <v>84.367240334847168</v>
      </c>
      <c r="L46" s="677">
        <v>93.196112762313618</v>
      </c>
      <c r="M46" s="677">
        <v>99.814276088965102</v>
      </c>
      <c r="N46" s="677">
        <v>102.72304517355261</v>
      </c>
      <c r="O46" s="677">
        <v>94.863231762088574</v>
      </c>
      <c r="P46" s="677">
        <v>102.78141031105237</v>
      </c>
      <c r="Q46" s="677">
        <v>103.79642426691703</v>
      </c>
      <c r="R46" s="677">
        <v>95.863656574037449</v>
      </c>
      <c r="S46" s="677">
        <v>83.820352842493264</v>
      </c>
      <c r="T46" s="677">
        <v>84.023780488376218</v>
      </c>
      <c r="U46" s="677">
        <v>82.221956243972173</v>
      </c>
      <c r="V46" s="677">
        <v>77.367831690515629</v>
      </c>
      <c r="W46" s="677">
        <v>75.839547373103841</v>
      </c>
      <c r="X46" s="677">
        <v>71.084473376196499</v>
      </c>
      <c r="Y46" s="677">
        <v>57.266798358158553</v>
      </c>
      <c r="Z46" s="677">
        <v>62.76144389334312</v>
      </c>
      <c r="AA46" s="677">
        <v>68.869621889627368</v>
      </c>
      <c r="AB46" s="677">
        <v>64.585803534738986</v>
      </c>
      <c r="AC46" s="677">
        <v>54.391172532895091</v>
      </c>
      <c r="AD46" s="677">
        <v>51.924145949361737</v>
      </c>
      <c r="AE46" s="677">
        <v>64.403711153782723</v>
      </c>
      <c r="AF46" s="677">
        <v>65.93145803337184</v>
      </c>
      <c r="AG46" s="677">
        <v>56.814754274341041</v>
      </c>
      <c r="AH46" s="677">
        <v>53.815019518206888</v>
      </c>
      <c r="AI46" s="677">
        <v>53.86084325270199</v>
      </c>
    </row>
    <row r="47" spans="2:35">
      <c r="B47" s="6" t="s">
        <v>1441</v>
      </c>
      <c r="C47" s="677">
        <v>74.317012554681682</v>
      </c>
      <c r="D47" s="677">
        <v>73.407819835305588</v>
      </c>
      <c r="E47" s="677">
        <v>64.616737697850752</v>
      </c>
      <c r="F47" s="677">
        <v>56.873973092273403</v>
      </c>
      <c r="G47" s="677">
        <v>56.369494198991227</v>
      </c>
      <c r="H47" s="677">
        <v>52.391239644788953</v>
      </c>
      <c r="I47" s="677">
        <v>54.832060310682536</v>
      </c>
      <c r="J47" s="677">
        <v>51.284965670868985</v>
      </c>
      <c r="K47" s="677">
        <v>47.862171317109826</v>
      </c>
      <c r="L47" s="677">
        <v>45.786686669304586</v>
      </c>
      <c r="M47" s="677">
        <v>55.272251282121793</v>
      </c>
      <c r="N47" s="677">
        <v>55.025834673343439</v>
      </c>
      <c r="O47" s="677">
        <v>49.991160617147877</v>
      </c>
      <c r="P47" s="677">
        <v>59.437944018848249</v>
      </c>
      <c r="Q47" s="677">
        <v>58.432241651159799</v>
      </c>
      <c r="R47" s="677">
        <v>54.944855000828866</v>
      </c>
      <c r="S47" s="677">
        <v>51.735182757262692</v>
      </c>
      <c r="T47" s="677">
        <v>52.843905317295913</v>
      </c>
      <c r="U47" s="677">
        <v>48.705632539724469</v>
      </c>
      <c r="V47" s="677">
        <v>52.069698634085235</v>
      </c>
      <c r="W47" s="677">
        <v>49.914128815402215</v>
      </c>
      <c r="X47" s="677">
        <v>47.884291330496566</v>
      </c>
      <c r="Y47" s="677">
        <v>39.132753886743743</v>
      </c>
      <c r="Z47" s="677">
        <v>41.064261710041414</v>
      </c>
      <c r="AA47" s="677">
        <v>39.418166610630642</v>
      </c>
      <c r="AB47" s="677">
        <v>66.228008989846131</v>
      </c>
      <c r="AC47" s="677">
        <v>58.741706145476833</v>
      </c>
      <c r="AD47" s="677">
        <v>56.832710569182652</v>
      </c>
      <c r="AE47" s="677">
        <v>51.518202664400924</v>
      </c>
      <c r="AF47" s="677">
        <v>56.186801071694639</v>
      </c>
      <c r="AG47" s="677">
        <v>53.218928164636452</v>
      </c>
      <c r="AH47" s="677">
        <v>51.91546376774037</v>
      </c>
      <c r="AI47" s="677">
        <v>49.125274090990381</v>
      </c>
    </row>
    <row r="48" spans="2:35">
      <c r="B48" s="6" t="s">
        <v>1443</v>
      </c>
      <c r="C48" s="677">
        <v>295.41972142981524</v>
      </c>
      <c r="D48" s="677">
        <v>279.24740350493619</v>
      </c>
      <c r="E48" s="677">
        <v>296.40444762944003</v>
      </c>
      <c r="F48" s="677">
        <v>286.08371201105911</v>
      </c>
      <c r="G48" s="677">
        <v>290.97913470663252</v>
      </c>
      <c r="H48" s="677">
        <v>290.89882876018618</v>
      </c>
      <c r="I48" s="677">
        <v>315.60161237949808</v>
      </c>
      <c r="J48" s="677">
        <v>308.61433546895574</v>
      </c>
      <c r="K48" s="677">
        <v>291.13160928754291</v>
      </c>
      <c r="L48" s="677">
        <v>276.1551886962302</v>
      </c>
      <c r="M48" s="677">
        <v>293.56945514834877</v>
      </c>
      <c r="N48" s="677">
        <v>324.61901278830948</v>
      </c>
      <c r="O48" s="677">
        <v>312.62409603616931</v>
      </c>
      <c r="P48" s="677">
        <v>324.81489034235165</v>
      </c>
      <c r="Q48" s="677">
        <v>343.48698943321153</v>
      </c>
      <c r="R48" s="677">
        <v>351.68643979474047</v>
      </c>
      <c r="S48" s="677">
        <v>376.72402913891978</v>
      </c>
      <c r="T48" s="677">
        <v>364.58055505311239</v>
      </c>
      <c r="U48" s="677">
        <v>319.40783531970749</v>
      </c>
      <c r="V48" s="677">
        <v>285.51087797803405</v>
      </c>
      <c r="W48" s="677">
        <v>299.83055016568346</v>
      </c>
      <c r="X48" s="677">
        <v>295.40564033307209</v>
      </c>
      <c r="Y48" s="677">
        <v>296.88693394431232</v>
      </c>
      <c r="Z48" s="677">
        <v>306.8313173324695</v>
      </c>
      <c r="AA48" s="677">
        <v>271.31094182454899</v>
      </c>
      <c r="AB48" s="677">
        <v>273.53770242591582</v>
      </c>
      <c r="AC48" s="677">
        <v>269.25942696570957</v>
      </c>
      <c r="AD48" s="677">
        <v>267.75484412777826</v>
      </c>
      <c r="AE48" s="677">
        <v>272.8624112836826</v>
      </c>
      <c r="AF48" s="677">
        <v>275.79775969927141</v>
      </c>
      <c r="AG48" s="677">
        <v>250.40580347125777</v>
      </c>
      <c r="AH48" s="677">
        <v>243.52799154981659</v>
      </c>
      <c r="AI48" s="677">
        <v>248.14098284071014</v>
      </c>
    </row>
    <row r="49" spans="2:35">
      <c r="B49" s="6" t="s">
        <v>1445</v>
      </c>
      <c r="C49" s="677">
        <v>1432.9432652886276</v>
      </c>
      <c r="D49" s="677">
        <v>1389.4564060937773</v>
      </c>
      <c r="E49" s="677">
        <v>1445.4198600226605</v>
      </c>
      <c r="F49" s="677">
        <v>1474.4524204610232</v>
      </c>
      <c r="G49" s="677">
        <v>1516.3845483799519</v>
      </c>
      <c r="H49" s="677">
        <v>1542.280097691809</v>
      </c>
      <c r="I49" s="677">
        <v>1588.2793374504231</v>
      </c>
      <c r="J49" s="677">
        <v>1602.1285102616407</v>
      </c>
      <c r="K49" s="677">
        <v>1643.631953718932</v>
      </c>
      <c r="L49" s="677">
        <v>1710.533470614638</v>
      </c>
      <c r="M49" s="677">
        <v>1756.5518161208734</v>
      </c>
      <c r="N49" s="677">
        <v>1727.5780724003682</v>
      </c>
      <c r="O49" s="677">
        <v>1765.9312304048144</v>
      </c>
      <c r="P49" s="677">
        <v>1778.7205356811112</v>
      </c>
      <c r="Q49" s="677">
        <v>1813.2935615739598</v>
      </c>
      <c r="R49" s="677">
        <v>1825.4762484604264</v>
      </c>
      <c r="S49" s="677">
        <v>1826.0002540005557</v>
      </c>
      <c r="T49" s="677">
        <v>1825.5562316874011</v>
      </c>
      <c r="U49" s="677">
        <v>1722.979673561545</v>
      </c>
      <c r="V49" s="677">
        <v>1650.5556008859128</v>
      </c>
      <c r="W49" s="677">
        <v>1658.4553294190557</v>
      </c>
      <c r="X49" s="677">
        <v>1631.4345760286221</v>
      </c>
      <c r="Y49" s="677">
        <v>1618.0233222872737</v>
      </c>
      <c r="Z49" s="677">
        <v>1621.9966735810883</v>
      </c>
      <c r="AA49" s="677">
        <v>1667.1086070610122</v>
      </c>
      <c r="AB49" s="677">
        <v>1678.9752558374032</v>
      </c>
      <c r="AC49" s="677">
        <v>1717.8477376887884</v>
      </c>
      <c r="AD49" s="677">
        <v>1738.0500649093556</v>
      </c>
      <c r="AE49" s="677">
        <v>1762.2192146418806</v>
      </c>
      <c r="AF49" s="677">
        <v>1757.7068604118222</v>
      </c>
      <c r="AG49" s="677">
        <v>1514.1275634134197</v>
      </c>
      <c r="AH49" s="677">
        <v>1688.0064199475937</v>
      </c>
      <c r="AI49" s="677">
        <v>1712.8350768737732</v>
      </c>
    </row>
    <row r="50" spans="2:35">
      <c r="B50" s="6" t="s">
        <v>1474</v>
      </c>
      <c r="C50" s="677">
        <v>97.538490680398411</v>
      </c>
      <c r="D50" s="677">
        <v>90.678661907118197</v>
      </c>
      <c r="E50" s="677">
        <v>75.527743357330678</v>
      </c>
      <c r="F50" s="677">
        <v>86.415412739867193</v>
      </c>
      <c r="G50" s="677">
        <v>81.246850001075686</v>
      </c>
      <c r="H50" s="677">
        <v>58.71177506316068</v>
      </c>
      <c r="I50" s="677">
        <v>63.3962927596016</v>
      </c>
      <c r="J50" s="677">
        <v>72.207404234661354</v>
      </c>
      <c r="K50" s="677">
        <v>101.26271580049136</v>
      </c>
      <c r="L50" s="677">
        <v>93.83330481405045</v>
      </c>
      <c r="M50" s="677">
        <v>88.524423740199197</v>
      </c>
      <c r="N50" s="677">
        <v>98.561015855192565</v>
      </c>
      <c r="O50" s="677">
        <v>76.854861578857893</v>
      </c>
      <c r="P50" s="677">
        <v>95.127634817888449</v>
      </c>
      <c r="Q50" s="677">
        <v>95.845222101221793</v>
      </c>
      <c r="R50" s="677">
        <v>97.96669769888446</v>
      </c>
      <c r="S50" s="677">
        <v>53.276122434926961</v>
      </c>
      <c r="T50" s="677">
        <v>52.964488890730408</v>
      </c>
      <c r="U50" s="677">
        <v>38.386647737556437</v>
      </c>
      <c r="V50" s="677">
        <v>32.211435291660024</v>
      </c>
      <c r="W50" s="677">
        <v>31.428996559920311</v>
      </c>
      <c r="X50" s="677">
        <v>25.831553656440903</v>
      </c>
      <c r="Y50" s="677">
        <v>18.333108585152722</v>
      </c>
      <c r="Z50" s="677">
        <v>22.420050113678617</v>
      </c>
      <c r="AA50" s="677">
        <v>25.304369663240369</v>
      </c>
      <c r="AB50" s="677">
        <v>23.674448825350165</v>
      </c>
      <c r="AC50" s="677">
        <v>21.458011279651984</v>
      </c>
      <c r="AD50" s="677">
        <v>18.920639478904537</v>
      </c>
      <c r="AE50" s="677">
        <v>22.215728844761522</v>
      </c>
      <c r="AF50" s="677">
        <v>16.161308535890104</v>
      </c>
      <c r="AG50" s="677">
        <v>16.166104737697388</v>
      </c>
      <c r="AH50" s="677">
        <v>17.713212252599575</v>
      </c>
      <c r="AI50" s="677">
        <v>20.401377462400244</v>
      </c>
    </row>
    <row r="51" spans="2:35">
      <c r="B51" s="6" t="s">
        <v>1476</v>
      </c>
      <c r="C51" s="677">
        <v>19.508959997567821</v>
      </c>
      <c r="D51" s="677">
        <v>18.719462787601117</v>
      </c>
      <c r="E51" s="677">
        <v>21.550453172158644</v>
      </c>
      <c r="F51" s="677">
        <v>22.209565820159433</v>
      </c>
      <c r="G51" s="677">
        <v>24.309329766534255</v>
      </c>
      <c r="H51" s="677">
        <v>21.11806308104892</v>
      </c>
      <c r="I51" s="677">
        <v>19.336238272987909</v>
      </c>
      <c r="J51" s="677">
        <v>19.632812588792206</v>
      </c>
      <c r="K51" s="677">
        <v>18.991174385790437</v>
      </c>
      <c r="L51" s="677">
        <v>15.05096583845658</v>
      </c>
      <c r="M51" s="677">
        <v>35.882449882897561</v>
      </c>
      <c r="N51" s="677">
        <v>47.84126149792592</v>
      </c>
      <c r="O51" s="677">
        <v>41.918924234670499</v>
      </c>
      <c r="P51" s="677">
        <v>46.275896176518664</v>
      </c>
      <c r="Q51" s="677">
        <v>48.662481315630998</v>
      </c>
      <c r="R51" s="677">
        <v>47.552669878629565</v>
      </c>
      <c r="S51" s="677">
        <v>46.476346066172155</v>
      </c>
      <c r="T51" s="677">
        <v>41.828251627125084</v>
      </c>
      <c r="U51" s="677">
        <v>33.478967793935858</v>
      </c>
      <c r="V51" s="677">
        <v>34.095301754220401</v>
      </c>
      <c r="W51" s="677">
        <v>29.831092711053437</v>
      </c>
      <c r="X51" s="677">
        <v>29.187061284242123</v>
      </c>
      <c r="Y51" s="677">
        <v>27.056320471856431</v>
      </c>
      <c r="Z51" s="677">
        <v>21.764648413326455</v>
      </c>
      <c r="AA51" s="677">
        <v>21.626600043234902</v>
      </c>
      <c r="AB51" s="677">
        <v>22.186278560353131</v>
      </c>
      <c r="AC51" s="677">
        <v>19.529039380245276</v>
      </c>
      <c r="AD51" s="677">
        <v>21.099650390484019</v>
      </c>
      <c r="AE51" s="677">
        <v>20.061671070602724</v>
      </c>
      <c r="AF51" s="677">
        <v>17.47925018767976</v>
      </c>
      <c r="AG51" s="677">
        <v>17.548655495362741</v>
      </c>
      <c r="AH51" s="677">
        <v>16.96048967609271</v>
      </c>
      <c r="AI51" s="677">
        <v>16.95824254478417</v>
      </c>
    </row>
    <row r="52" spans="2:35">
      <c r="B52" s="5" t="s">
        <v>1479</v>
      </c>
      <c r="C52" s="676">
        <v>0.53819391898531332</v>
      </c>
      <c r="D52" s="676">
        <v>0.53913328761937329</v>
      </c>
      <c r="E52" s="676">
        <v>0.54407238576943517</v>
      </c>
      <c r="F52" s="676">
        <v>0.55549804438478367</v>
      </c>
      <c r="G52" s="676">
        <v>0.51416615280727973</v>
      </c>
      <c r="H52" s="676">
        <v>0.42789739562582274</v>
      </c>
      <c r="I52" s="676">
        <v>0.46247774297699551</v>
      </c>
      <c r="J52" s="676">
        <v>0.48008445222437274</v>
      </c>
      <c r="K52" s="676">
        <v>0.47808351702318308</v>
      </c>
      <c r="L52" s="676">
        <v>0.48506929832140988</v>
      </c>
      <c r="M52" s="676">
        <v>0.46106105539886988</v>
      </c>
      <c r="N52" s="676">
        <v>0.44952386597193894</v>
      </c>
      <c r="O52" s="676">
        <v>0.46881399496422538</v>
      </c>
      <c r="P52" s="676">
        <v>0.46668759381997493</v>
      </c>
      <c r="Q52" s="676">
        <v>0.46734375342683254</v>
      </c>
      <c r="R52" s="676">
        <v>0.46101770673125719</v>
      </c>
      <c r="S52" s="676">
        <v>0.45493035004951315</v>
      </c>
      <c r="T52" s="676">
        <v>0.45791243059931558</v>
      </c>
      <c r="U52" s="676">
        <v>0.44186045906642402</v>
      </c>
      <c r="V52" s="676">
        <v>0.43404580842672003</v>
      </c>
      <c r="W52" s="676">
        <v>0.42666894035695202</v>
      </c>
      <c r="X52" s="676">
        <v>0.436098145690272</v>
      </c>
      <c r="Y52" s="676">
        <v>0.43740649120955999</v>
      </c>
      <c r="Z52" s="676">
        <v>0.43301642728912798</v>
      </c>
      <c r="AA52" s="676">
        <v>0.42329941039188002</v>
      </c>
      <c r="AB52" s="676">
        <v>0.41438842328750403</v>
      </c>
      <c r="AC52" s="676">
        <v>0.40471025909529595</v>
      </c>
      <c r="AD52" s="676">
        <v>0.410679019378689</v>
      </c>
      <c r="AE52" s="676">
        <v>0.40475222088763196</v>
      </c>
      <c r="AF52" s="676">
        <v>0.37101446085844803</v>
      </c>
      <c r="AG52" s="676">
        <v>0.39082596898509597</v>
      </c>
      <c r="AH52" s="676">
        <v>0.37701789288105603</v>
      </c>
      <c r="AI52" s="676">
        <v>0.38229242790885604</v>
      </c>
    </row>
    <row r="53" spans="2:35">
      <c r="B53" s="6" t="s">
        <v>1474</v>
      </c>
      <c r="C53" s="677">
        <v>0.53819391898531332</v>
      </c>
      <c r="D53" s="677">
        <v>0.53913328761937329</v>
      </c>
      <c r="E53" s="677">
        <v>0.54407238576943517</v>
      </c>
      <c r="F53" s="677">
        <v>0.55549804438478367</v>
      </c>
      <c r="G53" s="677">
        <v>0.51416615280727973</v>
      </c>
      <c r="H53" s="677">
        <v>0.42789739562582274</v>
      </c>
      <c r="I53" s="677">
        <v>0.46247774297699551</v>
      </c>
      <c r="J53" s="677">
        <v>0.48008445222437274</v>
      </c>
      <c r="K53" s="677">
        <v>0.47808351702318308</v>
      </c>
      <c r="L53" s="677">
        <v>0.48506929832140988</v>
      </c>
      <c r="M53" s="677">
        <v>0.46106105539886988</v>
      </c>
      <c r="N53" s="677">
        <v>0.44952386597193894</v>
      </c>
      <c r="O53" s="677">
        <v>0.46881399496422538</v>
      </c>
      <c r="P53" s="677">
        <v>0.46668759381997493</v>
      </c>
      <c r="Q53" s="677">
        <v>0.46734375342683254</v>
      </c>
      <c r="R53" s="677">
        <v>0.46101770673125719</v>
      </c>
      <c r="S53" s="677">
        <v>0.45493035004951315</v>
      </c>
      <c r="T53" s="677">
        <v>0.45791243059931558</v>
      </c>
      <c r="U53" s="677">
        <v>0.44186045906642402</v>
      </c>
      <c r="V53" s="677">
        <v>0.43404580842672003</v>
      </c>
      <c r="W53" s="677">
        <v>0.42666894035695202</v>
      </c>
      <c r="X53" s="677">
        <v>0.436098145690272</v>
      </c>
      <c r="Y53" s="677">
        <v>0.43740649120955999</v>
      </c>
      <c r="Z53" s="677">
        <v>0.43301642728912798</v>
      </c>
      <c r="AA53" s="677">
        <v>0.42329941039188002</v>
      </c>
      <c r="AB53" s="677">
        <v>0.41438842328750403</v>
      </c>
      <c r="AC53" s="677">
        <v>0.40471025909529595</v>
      </c>
      <c r="AD53" s="677">
        <v>0.410679019378689</v>
      </c>
      <c r="AE53" s="677">
        <v>0.40475222088763196</v>
      </c>
      <c r="AF53" s="677">
        <v>0.37101446085844803</v>
      </c>
      <c r="AG53" s="677">
        <v>0.39082596898509597</v>
      </c>
      <c r="AH53" s="677">
        <v>0.37701789288105603</v>
      </c>
      <c r="AI53" s="677">
        <v>0.38229242790885604</v>
      </c>
    </row>
    <row r="54" spans="2:35">
      <c r="B54" s="4" t="s">
        <v>1480</v>
      </c>
      <c r="C54" s="678">
        <v>4736.4651706247942</v>
      </c>
      <c r="D54" s="678">
        <v>4686.7218337071708</v>
      </c>
      <c r="E54" s="678">
        <v>4788.2725776722991</v>
      </c>
      <c r="F54" s="678">
        <v>4902.087055245489</v>
      </c>
      <c r="G54" s="678">
        <v>4973.5514948841737</v>
      </c>
      <c r="H54" s="678">
        <v>5029.9059666978046</v>
      </c>
      <c r="I54" s="678">
        <v>5221.3426374392693</v>
      </c>
      <c r="J54" s="678">
        <v>5280.7149804742485</v>
      </c>
      <c r="K54" s="678">
        <v>5325.7687538102018</v>
      </c>
      <c r="L54" s="678">
        <v>5377.3797670405684</v>
      </c>
      <c r="M54" s="678">
        <v>5613.8809683767968</v>
      </c>
      <c r="N54" s="678">
        <v>5536.2336298510963</v>
      </c>
      <c r="O54" s="678">
        <v>5570.2841383023651</v>
      </c>
      <c r="P54" s="678">
        <v>5645.6334720019686</v>
      </c>
      <c r="Q54" s="678">
        <v>5723.0690353169439</v>
      </c>
      <c r="R54" s="678">
        <v>5753.8105428936451</v>
      </c>
      <c r="S54" s="678">
        <v>5668.0650117623536</v>
      </c>
      <c r="T54" s="678">
        <v>5755.1109335757892</v>
      </c>
      <c r="U54" s="678">
        <v>5557.0162659944835</v>
      </c>
      <c r="V54" s="678">
        <v>5184.0336253657879</v>
      </c>
      <c r="W54" s="678">
        <v>5350.0562446113754</v>
      </c>
      <c r="X54" s="678">
        <v>5211.6573979260702</v>
      </c>
      <c r="Y54" s="678">
        <v>5007.2792889955917</v>
      </c>
      <c r="Z54" s="678">
        <v>5126.0919934423346</v>
      </c>
      <c r="AA54" s="678">
        <v>5168.2501697223624</v>
      </c>
      <c r="AB54" s="678">
        <v>5012.6263794444849</v>
      </c>
      <c r="AC54" s="678">
        <v>4913.6597715717908</v>
      </c>
      <c r="AD54" s="678">
        <v>4858.2604848030087</v>
      </c>
      <c r="AE54" s="678">
        <v>4997.2988698914514</v>
      </c>
      <c r="AF54" s="678">
        <v>4867.0510007129687</v>
      </c>
      <c r="AG54" s="678">
        <v>4356.6177016758666</v>
      </c>
      <c r="AH54" s="678">
        <v>4650.5466739252752</v>
      </c>
      <c r="AI54" s="678">
        <v>4708.4366915015662</v>
      </c>
    </row>
    <row r="57" spans="2:35">
      <c r="B57" s="5" t="s">
        <v>1517</v>
      </c>
    </row>
    <row r="58" spans="2:35">
      <c r="B58" s="4" t="s">
        <v>1469</v>
      </c>
      <c r="C58" s="23">
        <v>1990</v>
      </c>
      <c r="D58" s="23">
        <v>1991</v>
      </c>
      <c r="E58" s="23">
        <v>1992</v>
      </c>
      <c r="F58" s="23">
        <v>1993</v>
      </c>
      <c r="G58" s="23">
        <v>1994</v>
      </c>
      <c r="H58" s="23">
        <v>1995</v>
      </c>
      <c r="I58" s="23">
        <v>1996</v>
      </c>
      <c r="J58" s="23">
        <v>1997</v>
      </c>
      <c r="K58" s="23">
        <v>1998</v>
      </c>
      <c r="L58" s="23">
        <v>1999</v>
      </c>
      <c r="M58" s="23">
        <v>2000</v>
      </c>
      <c r="N58" s="23">
        <v>2001</v>
      </c>
      <c r="O58" s="23">
        <v>2002</v>
      </c>
      <c r="P58" s="23">
        <v>2003</v>
      </c>
      <c r="Q58" s="23">
        <v>2004</v>
      </c>
      <c r="R58" s="23">
        <v>2005</v>
      </c>
      <c r="S58" s="23">
        <v>2006</v>
      </c>
      <c r="T58" s="23">
        <v>2007</v>
      </c>
      <c r="U58" s="23">
        <v>2008</v>
      </c>
      <c r="V58" s="23">
        <v>2009</v>
      </c>
      <c r="W58" s="23">
        <v>2010</v>
      </c>
      <c r="X58" s="23">
        <v>2011</v>
      </c>
      <c r="Y58" s="23">
        <v>2012</v>
      </c>
      <c r="Z58" s="23">
        <v>2013</v>
      </c>
      <c r="AA58" s="23">
        <v>2014</v>
      </c>
      <c r="AB58" s="23">
        <v>2015</v>
      </c>
      <c r="AC58" s="23">
        <v>2016</v>
      </c>
      <c r="AD58" s="23">
        <v>2017</v>
      </c>
      <c r="AE58" s="23">
        <v>2018</v>
      </c>
      <c r="AF58" s="23">
        <v>2019</v>
      </c>
      <c r="AG58" s="23">
        <v>2020</v>
      </c>
      <c r="AH58" s="23">
        <v>2021</v>
      </c>
      <c r="AI58" s="23">
        <v>2022</v>
      </c>
    </row>
    <row r="59" spans="2:35">
      <c r="B59" s="5" t="s">
        <v>1435</v>
      </c>
      <c r="C59" s="280">
        <f t="shared" ref="C59:C81" si="68">(AN4-C31)</f>
        <v>-3.0486893583656638E-3</v>
      </c>
      <c r="D59" s="280">
        <f t="shared" ref="D59:D81" si="69">(AO4-D31)</f>
        <v>-2.6386882270799106E-3</v>
      </c>
      <c r="E59" s="280">
        <f t="shared" ref="E59:E81" si="70">(AP4-E31)</f>
        <v>-2.9024130481047905E-3</v>
      </c>
      <c r="F59" s="280">
        <f t="shared" ref="F59:F81" si="71">(AQ4-F31)</f>
        <v>-2.7850378851326241E-3</v>
      </c>
      <c r="G59" s="280">
        <f t="shared" ref="G59:G81" si="72">(AR4-G31)</f>
        <v>-2.0699240715202905E-3</v>
      </c>
      <c r="H59" s="280">
        <f t="shared" ref="H59:H81" si="73">(AS4-H31)</f>
        <v>-3.0956647419770889E-3</v>
      </c>
      <c r="I59" s="280">
        <f t="shared" ref="I59:I81" si="74">(AT4-I31)</f>
        <v>-7.7047927973126207E-3</v>
      </c>
      <c r="J59" s="280">
        <f t="shared" ref="J59:J81" si="75">(AU4-J31)</f>
        <v>-5.3440741778558731E-3</v>
      </c>
      <c r="K59" s="280">
        <f t="shared" ref="K59:K81" si="76">(AV4-K31)</f>
        <v>-4.5580570388210617E-3</v>
      </c>
      <c r="L59" s="280">
        <f t="shared" ref="L59:L81" si="77">(AW4-L31)</f>
        <v>-3.8581617752697639E-3</v>
      </c>
      <c r="M59" s="280">
        <f t="shared" ref="M59:M81" si="78">(AX4-M31)</f>
        <v>-6.1670292561757378E-3</v>
      </c>
      <c r="N59" s="280">
        <f t="shared" ref="N59:N81" si="79">(AY4-N31)</f>
        <v>-5.3187217727099778E-3</v>
      </c>
      <c r="O59" s="280">
        <f t="shared" ref="O59:O81" si="80">(AZ4-O31)</f>
        <v>-5.8953795391971653E-3</v>
      </c>
      <c r="P59" s="280">
        <f t="shared" ref="P59:P81" si="81">(BA4-P31)</f>
        <v>-5.96370267248858E-3</v>
      </c>
      <c r="Q59" s="280">
        <f t="shared" ref="Q59:Q81" si="82">(BB4-Q31)</f>
        <v>-6.9024142112539266E-3</v>
      </c>
      <c r="R59" s="280">
        <f t="shared" ref="R59:R81" si="83">(BC4-R31)</f>
        <v>-5.2801109995925799E-3</v>
      </c>
      <c r="S59" s="280">
        <f t="shared" ref="S59:S81" si="84">(BD4-S31)</f>
        <v>-5.1913154952671903E-3</v>
      </c>
      <c r="T59" s="280">
        <f t="shared" ref="T59:T81" si="85">(BE4-T31)</f>
        <v>-5.6143385636460152E-3</v>
      </c>
      <c r="U59" s="280">
        <f t="shared" ref="U59:U81" si="86">(BF4-U31)</f>
        <v>-5.2938763938072952E-3</v>
      </c>
      <c r="V59" s="280">
        <f t="shared" ref="V59:V81" si="87">(BG4-V31)</f>
        <v>-3.444288414584662E-3</v>
      </c>
      <c r="W59" s="280">
        <f t="shared" ref="W59:W81" si="88">(BH4-W31)</f>
        <v>-4.689071502070874E-3</v>
      </c>
      <c r="X59" s="280">
        <f t="shared" ref="X59:X81" si="89">(BI4-X31)</f>
        <v>-5.3618225131231156E-3</v>
      </c>
      <c r="Y59" s="280">
        <f t="shared" ref="Y59:Y81" si="90">(BJ4-Y31)</f>
        <v>-5.7814130509541428E-3</v>
      </c>
      <c r="Z59" s="280">
        <f t="shared" ref="Z59:Z81" si="91">(BK4-Z31)</f>
        <v>-5.5172544018660119E-3</v>
      </c>
      <c r="AA59" s="280">
        <f t="shared" ref="AA59:AA81" si="92">(BL4-AA31)</f>
        <v>-5.0055059757596609E-3</v>
      </c>
      <c r="AB59" s="280">
        <f t="shared" ref="AB59:AB81" si="93">(BM4-AB31)</f>
        <v>-4.7064815566955076E-3</v>
      </c>
      <c r="AC59" s="280">
        <f t="shared" ref="AC59:AC81" si="94">(BN4-AC31)</f>
        <v>-4.0077785195080651E-3</v>
      </c>
      <c r="AD59" s="280">
        <f t="shared" ref="AD59:AD81" si="95">(BO4-AD31)</f>
        <v>-4.4054782815692306E-3</v>
      </c>
      <c r="AE59" s="280">
        <f t="shared" ref="AE59:AE81" si="96">(BP4-AE31)</f>
        <v>-5.3303340073398431E-3</v>
      </c>
      <c r="AF59" s="280">
        <f t="shared" ref="AF59:AF81" si="97">(BQ4-AF31)</f>
        <v>-5.1126195403412567E-3</v>
      </c>
      <c r="AG59" s="280">
        <f t="shared" ref="AG59:AG81" si="98">(BR4-AG31)</f>
        <v>-2.3912966091756971E-3</v>
      </c>
      <c r="AH59" s="280">
        <f t="shared" ref="AH59:AH81" si="99">(BS4-AH31)</f>
        <v>-6.000404278552196E-3</v>
      </c>
      <c r="AI59" s="280">
        <f t="shared" ref="AI59:AI81" si="100">(BT4-AI31)</f>
        <v>4.0299217130889247</v>
      </c>
    </row>
    <row r="60" spans="2:35">
      <c r="B60" s="6" t="s">
        <v>1434</v>
      </c>
      <c r="C60" s="675">
        <f t="shared" si="68"/>
        <v>0</v>
      </c>
      <c r="D60" s="675">
        <f t="shared" si="69"/>
        <v>0</v>
      </c>
      <c r="E60" s="675">
        <f t="shared" si="70"/>
        <v>0</v>
      </c>
      <c r="F60" s="675">
        <f t="shared" si="71"/>
        <v>0</v>
      </c>
      <c r="G60" s="675">
        <f t="shared" si="72"/>
        <v>0</v>
      </c>
      <c r="H60" s="675">
        <f t="shared" si="73"/>
        <v>0</v>
      </c>
      <c r="I60" s="675">
        <f t="shared" si="74"/>
        <v>0</v>
      </c>
      <c r="J60" s="675">
        <f t="shared" si="75"/>
        <v>0</v>
      </c>
      <c r="K60" s="675">
        <f t="shared" si="76"/>
        <v>0</v>
      </c>
      <c r="L60" s="675">
        <f t="shared" si="77"/>
        <v>0</v>
      </c>
      <c r="M60" s="675">
        <f t="shared" si="78"/>
        <v>0</v>
      </c>
      <c r="N60" s="675">
        <f t="shared" si="79"/>
        <v>0</v>
      </c>
      <c r="O60" s="675">
        <f t="shared" si="80"/>
        <v>0</v>
      </c>
      <c r="P60" s="675">
        <f t="shared" si="81"/>
        <v>0</v>
      </c>
      <c r="Q60" s="675">
        <f t="shared" si="82"/>
        <v>0</v>
      </c>
      <c r="R60" s="675">
        <f t="shared" si="83"/>
        <v>0</v>
      </c>
      <c r="S60" s="675">
        <f t="shared" si="84"/>
        <v>0</v>
      </c>
      <c r="T60" s="675">
        <f t="shared" si="85"/>
        <v>0</v>
      </c>
      <c r="U60" s="675">
        <f t="shared" si="86"/>
        <v>0</v>
      </c>
      <c r="V60" s="675">
        <f t="shared" si="87"/>
        <v>0</v>
      </c>
      <c r="W60" s="675">
        <f t="shared" si="88"/>
        <v>0</v>
      </c>
      <c r="X60" s="675">
        <f t="shared" si="89"/>
        <v>0</v>
      </c>
      <c r="Y60" s="675">
        <f t="shared" si="90"/>
        <v>0</v>
      </c>
      <c r="Z60" s="675">
        <f t="shared" si="91"/>
        <v>0</v>
      </c>
      <c r="AA60" s="675">
        <f t="shared" si="92"/>
        <v>0</v>
      </c>
      <c r="AB60" s="675">
        <f t="shared" si="93"/>
        <v>0</v>
      </c>
      <c r="AC60" s="675">
        <f t="shared" si="94"/>
        <v>0</v>
      </c>
      <c r="AD60" s="675">
        <f t="shared" si="95"/>
        <v>0</v>
      </c>
      <c r="AE60" s="675">
        <f t="shared" si="96"/>
        <v>0</v>
      </c>
      <c r="AF60" s="675">
        <f t="shared" si="97"/>
        <v>0</v>
      </c>
      <c r="AG60" s="675">
        <f t="shared" si="98"/>
        <v>0</v>
      </c>
      <c r="AH60" s="675">
        <f t="shared" si="99"/>
        <v>0</v>
      </c>
      <c r="AI60" s="675">
        <f t="shared" si="100"/>
        <v>0</v>
      </c>
    </row>
    <row r="61" spans="2:35">
      <c r="B61" s="6" t="s">
        <v>1441</v>
      </c>
      <c r="C61" s="675">
        <f t="shared" si="68"/>
        <v>0</v>
      </c>
      <c r="D61" s="675">
        <f t="shared" si="69"/>
        <v>0</v>
      </c>
      <c r="E61" s="675">
        <f t="shared" si="70"/>
        <v>0</v>
      </c>
      <c r="F61" s="675">
        <f t="shared" si="71"/>
        <v>0</v>
      </c>
      <c r="G61" s="675">
        <f t="shared" si="72"/>
        <v>0</v>
      </c>
      <c r="H61" s="675">
        <f t="shared" si="73"/>
        <v>0</v>
      </c>
      <c r="I61" s="675">
        <f t="shared" si="74"/>
        <v>0</v>
      </c>
      <c r="J61" s="675">
        <f t="shared" si="75"/>
        <v>0</v>
      </c>
      <c r="K61" s="675">
        <f t="shared" si="76"/>
        <v>0</v>
      </c>
      <c r="L61" s="675">
        <f t="shared" si="77"/>
        <v>0</v>
      </c>
      <c r="M61" s="675">
        <f t="shared" si="78"/>
        <v>0</v>
      </c>
      <c r="N61" s="675">
        <f t="shared" si="79"/>
        <v>0</v>
      </c>
      <c r="O61" s="675">
        <f t="shared" si="80"/>
        <v>0</v>
      </c>
      <c r="P61" s="675">
        <f t="shared" si="81"/>
        <v>0</v>
      </c>
      <c r="Q61" s="675">
        <f t="shared" si="82"/>
        <v>0</v>
      </c>
      <c r="R61" s="675">
        <f t="shared" si="83"/>
        <v>0</v>
      </c>
      <c r="S61" s="675">
        <f t="shared" si="84"/>
        <v>0</v>
      </c>
      <c r="T61" s="675">
        <f t="shared" si="85"/>
        <v>0</v>
      </c>
      <c r="U61" s="675">
        <f t="shared" si="86"/>
        <v>0</v>
      </c>
      <c r="V61" s="675">
        <f t="shared" si="87"/>
        <v>0</v>
      </c>
      <c r="W61" s="675">
        <f t="shared" si="88"/>
        <v>0</v>
      </c>
      <c r="X61" s="675">
        <f t="shared" si="89"/>
        <v>0</v>
      </c>
      <c r="Y61" s="675">
        <f t="shared" si="90"/>
        <v>0</v>
      </c>
      <c r="Z61" s="675">
        <f t="shared" si="91"/>
        <v>0</v>
      </c>
      <c r="AA61" s="675">
        <f t="shared" si="92"/>
        <v>0</v>
      </c>
      <c r="AB61" s="675">
        <f t="shared" si="93"/>
        <v>0</v>
      </c>
      <c r="AC61" s="675">
        <f t="shared" si="94"/>
        <v>0</v>
      </c>
      <c r="AD61" s="675">
        <f t="shared" si="95"/>
        <v>0</v>
      </c>
      <c r="AE61" s="675">
        <f t="shared" si="96"/>
        <v>0</v>
      </c>
      <c r="AF61" s="675">
        <f t="shared" si="97"/>
        <v>0</v>
      </c>
      <c r="AG61" s="675">
        <f t="shared" si="98"/>
        <v>0</v>
      </c>
      <c r="AH61" s="675">
        <f t="shared" si="99"/>
        <v>0</v>
      </c>
      <c r="AI61" s="675">
        <f t="shared" si="100"/>
        <v>1.25343406351619E-3</v>
      </c>
    </row>
    <row r="62" spans="2:35">
      <c r="B62" s="6" t="s">
        <v>1443</v>
      </c>
      <c r="C62" s="675">
        <f t="shared" si="68"/>
        <v>-3.0486893584225072E-3</v>
      </c>
      <c r="D62" s="675">
        <f t="shared" si="69"/>
        <v>-2.6386882271651757E-3</v>
      </c>
      <c r="E62" s="675">
        <f t="shared" si="70"/>
        <v>-2.9024130481900556E-3</v>
      </c>
      <c r="F62" s="675">
        <f t="shared" si="71"/>
        <v>-2.7850378851042024E-3</v>
      </c>
      <c r="G62" s="675">
        <f t="shared" si="72"/>
        <v>-2.0699240714350253E-3</v>
      </c>
      <c r="H62" s="675">
        <f t="shared" si="73"/>
        <v>-3.0956647418349803E-3</v>
      </c>
      <c r="I62" s="675">
        <f t="shared" si="74"/>
        <v>-7.7047927973126207E-3</v>
      </c>
      <c r="J62" s="675">
        <f t="shared" si="75"/>
        <v>-5.3440741778842948E-3</v>
      </c>
      <c r="K62" s="675">
        <f t="shared" si="76"/>
        <v>-4.5580570388210617E-3</v>
      </c>
      <c r="L62" s="675">
        <f t="shared" si="77"/>
        <v>-3.8581617752981856E-3</v>
      </c>
      <c r="M62" s="675">
        <f t="shared" si="78"/>
        <v>-6.1670292560336293E-3</v>
      </c>
      <c r="N62" s="675">
        <f t="shared" si="79"/>
        <v>-5.3187217726815561E-3</v>
      </c>
      <c r="O62" s="675">
        <f t="shared" si="80"/>
        <v>-5.8953795391829544E-3</v>
      </c>
      <c r="P62" s="675">
        <f t="shared" si="81"/>
        <v>-5.9637026724601583E-3</v>
      </c>
      <c r="Q62" s="675">
        <f t="shared" si="82"/>
        <v>-6.9024142114955112E-3</v>
      </c>
      <c r="R62" s="675">
        <f t="shared" si="83"/>
        <v>-5.2801109996494233E-3</v>
      </c>
      <c r="S62" s="675">
        <f t="shared" si="84"/>
        <v>-5.1913154948408646E-3</v>
      </c>
      <c r="T62" s="675">
        <f t="shared" si="85"/>
        <v>-5.6143385635039067E-3</v>
      </c>
      <c r="U62" s="675">
        <f t="shared" si="86"/>
        <v>-5.293876393736241E-3</v>
      </c>
      <c r="V62" s="675">
        <f t="shared" si="87"/>
        <v>-3.4442884145704511E-3</v>
      </c>
      <c r="W62" s="675">
        <f t="shared" si="88"/>
        <v>-4.6890715020566631E-3</v>
      </c>
      <c r="X62" s="675">
        <f t="shared" si="89"/>
        <v>-5.3618225132368025E-3</v>
      </c>
      <c r="Y62" s="675">
        <f t="shared" si="90"/>
        <v>-5.7814130510536188E-3</v>
      </c>
      <c r="Z62" s="675">
        <f t="shared" si="91"/>
        <v>-5.5172544017665359E-3</v>
      </c>
      <c r="AA62" s="675">
        <f t="shared" si="92"/>
        <v>-5.0055059758875586E-3</v>
      </c>
      <c r="AB62" s="675">
        <f t="shared" si="93"/>
        <v>-4.706481556752351E-3</v>
      </c>
      <c r="AC62" s="675">
        <f t="shared" si="94"/>
        <v>-4.0077785195151705E-3</v>
      </c>
      <c r="AD62" s="675">
        <f t="shared" si="95"/>
        <v>-4.4054782813631732E-3</v>
      </c>
      <c r="AE62" s="675">
        <f t="shared" si="96"/>
        <v>-5.3303340072901051E-3</v>
      </c>
      <c r="AF62" s="675">
        <f t="shared" si="97"/>
        <v>-5.1126195402915187E-3</v>
      </c>
      <c r="AG62" s="675">
        <f t="shared" si="98"/>
        <v>-2.3912966091828025E-3</v>
      </c>
      <c r="AH62" s="675">
        <f t="shared" si="99"/>
        <v>-6.0004042785948286E-3</v>
      </c>
      <c r="AI62" s="675">
        <f t="shared" si="100"/>
        <v>8.2361283898961801E-3</v>
      </c>
    </row>
    <row r="63" spans="2:35">
      <c r="B63" s="6" t="s">
        <v>1445</v>
      </c>
      <c r="C63" s="675">
        <f t="shared" si="68"/>
        <v>0</v>
      </c>
      <c r="D63" s="675">
        <f t="shared" si="69"/>
        <v>0</v>
      </c>
      <c r="E63" s="675">
        <f t="shared" si="70"/>
        <v>0</v>
      </c>
      <c r="F63" s="675">
        <f t="shared" si="71"/>
        <v>0</v>
      </c>
      <c r="G63" s="675">
        <f t="shared" si="72"/>
        <v>0</v>
      </c>
      <c r="H63" s="675">
        <f t="shared" si="73"/>
        <v>0</v>
      </c>
      <c r="I63" s="675">
        <f t="shared" si="74"/>
        <v>0</v>
      </c>
      <c r="J63" s="675">
        <f t="shared" si="75"/>
        <v>0</v>
      </c>
      <c r="K63" s="675">
        <f t="shared" si="76"/>
        <v>0</v>
      </c>
      <c r="L63" s="675">
        <f t="shared" si="77"/>
        <v>0</v>
      </c>
      <c r="M63" s="675">
        <f t="shared" si="78"/>
        <v>0</v>
      </c>
      <c r="N63" s="675">
        <f t="shared" si="79"/>
        <v>0</v>
      </c>
      <c r="O63" s="675">
        <f t="shared" si="80"/>
        <v>0</v>
      </c>
      <c r="P63" s="675">
        <f t="shared" si="81"/>
        <v>0</v>
      </c>
      <c r="Q63" s="675">
        <f t="shared" si="82"/>
        <v>0</v>
      </c>
      <c r="R63" s="675">
        <f t="shared" si="83"/>
        <v>0</v>
      </c>
      <c r="S63" s="675">
        <f t="shared" si="84"/>
        <v>0</v>
      </c>
      <c r="T63" s="675">
        <f t="shared" si="85"/>
        <v>0</v>
      </c>
      <c r="U63" s="675">
        <f t="shared" si="86"/>
        <v>0</v>
      </c>
      <c r="V63" s="675">
        <f t="shared" si="87"/>
        <v>0</v>
      </c>
      <c r="W63" s="675">
        <f t="shared" si="88"/>
        <v>0</v>
      </c>
      <c r="X63" s="675">
        <f t="shared" si="89"/>
        <v>0</v>
      </c>
      <c r="Y63" s="675">
        <f t="shared" si="90"/>
        <v>0</v>
      </c>
      <c r="Z63" s="675">
        <f t="shared" si="91"/>
        <v>0</v>
      </c>
      <c r="AA63" s="675">
        <f t="shared" si="92"/>
        <v>0</v>
      </c>
      <c r="AB63" s="675">
        <f t="shared" si="93"/>
        <v>0</v>
      </c>
      <c r="AC63" s="675">
        <f t="shared" si="94"/>
        <v>0</v>
      </c>
      <c r="AD63" s="675">
        <f t="shared" si="95"/>
        <v>0</v>
      </c>
      <c r="AE63" s="675">
        <f t="shared" si="96"/>
        <v>0</v>
      </c>
      <c r="AF63" s="675">
        <f t="shared" si="97"/>
        <v>0</v>
      </c>
      <c r="AG63" s="675">
        <f t="shared" si="98"/>
        <v>0</v>
      </c>
      <c r="AH63" s="675">
        <f t="shared" si="99"/>
        <v>0</v>
      </c>
      <c r="AI63" s="675">
        <f t="shared" si="100"/>
        <v>0</v>
      </c>
    </row>
    <row r="64" spans="2:35">
      <c r="B64" s="6" t="s">
        <v>1474</v>
      </c>
      <c r="C64" s="675">
        <f t="shared" si="68"/>
        <v>0</v>
      </c>
      <c r="D64" s="675">
        <f t="shared" si="69"/>
        <v>0</v>
      </c>
      <c r="E64" s="675">
        <f t="shared" si="70"/>
        <v>0</v>
      </c>
      <c r="F64" s="675">
        <f t="shared" si="71"/>
        <v>0</v>
      </c>
      <c r="G64" s="675">
        <f t="shared" si="72"/>
        <v>0</v>
      </c>
      <c r="H64" s="675">
        <f t="shared" si="73"/>
        <v>0</v>
      </c>
      <c r="I64" s="675">
        <f t="shared" si="74"/>
        <v>0</v>
      </c>
      <c r="J64" s="675">
        <f t="shared" si="75"/>
        <v>0</v>
      </c>
      <c r="K64" s="675">
        <f t="shared" si="76"/>
        <v>0</v>
      </c>
      <c r="L64" s="675">
        <f t="shared" si="77"/>
        <v>0</v>
      </c>
      <c r="M64" s="675">
        <f t="shared" si="78"/>
        <v>0</v>
      </c>
      <c r="N64" s="675">
        <f t="shared" si="79"/>
        <v>0</v>
      </c>
      <c r="O64" s="675">
        <f t="shared" si="80"/>
        <v>0</v>
      </c>
      <c r="P64" s="675">
        <f t="shared" si="81"/>
        <v>0</v>
      </c>
      <c r="Q64" s="675">
        <f t="shared" si="82"/>
        <v>0</v>
      </c>
      <c r="R64" s="675">
        <f t="shared" si="83"/>
        <v>0</v>
      </c>
      <c r="S64" s="675">
        <f t="shared" si="84"/>
        <v>0</v>
      </c>
      <c r="T64" s="675">
        <f t="shared" si="85"/>
        <v>0</v>
      </c>
      <c r="U64" s="675">
        <f t="shared" si="86"/>
        <v>0</v>
      </c>
      <c r="V64" s="675">
        <f t="shared" si="87"/>
        <v>0</v>
      </c>
      <c r="W64" s="675">
        <f t="shared" si="88"/>
        <v>0</v>
      </c>
      <c r="X64" s="675">
        <f t="shared" si="89"/>
        <v>0</v>
      </c>
      <c r="Y64" s="675">
        <f t="shared" si="90"/>
        <v>0</v>
      </c>
      <c r="Z64" s="675">
        <f t="shared" si="91"/>
        <v>0</v>
      </c>
      <c r="AA64" s="675">
        <f t="shared" si="92"/>
        <v>0</v>
      </c>
      <c r="AB64" s="675">
        <f t="shared" si="93"/>
        <v>0</v>
      </c>
      <c r="AC64" s="675">
        <f t="shared" si="94"/>
        <v>0</v>
      </c>
      <c r="AD64" s="675">
        <f t="shared" si="95"/>
        <v>0</v>
      </c>
      <c r="AE64" s="675">
        <f t="shared" si="96"/>
        <v>0</v>
      </c>
      <c r="AF64" s="675">
        <f t="shared" si="97"/>
        <v>0</v>
      </c>
      <c r="AG64" s="675">
        <f t="shared" si="98"/>
        <v>0</v>
      </c>
      <c r="AH64" s="675">
        <f t="shared" si="99"/>
        <v>0</v>
      </c>
      <c r="AI64" s="675">
        <f t="shared" si="100"/>
        <v>4.0204321506355427</v>
      </c>
    </row>
    <row r="65" spans="2:37">
      <c r="B65" s="6" t="s">
        <v>1476</v>
      </c>
      <c r="C65" s="675">
        <f t="shared" si="68"/>
        <v>0</v>
      </c>
      <c r="D65" s="675">
        <f t="shared" si="69"/>
        <v>0</v>
      </c>
      <c r="E65" s="675">
        <f t="shared" si="70"/>
        <v>0</v>
      </c>
      <c r="F65" s="675">
        <f t="shared" si="71"/>
        <v>0</v>
      </c>
      <c r="G65" s="675">
        <f t="shared" si="72"/>
        <v>0</v>
      </c>
      <c r="H65" s="675">
        <f t="shared" si="73"/>
        <v>0</v>
      </c>
      <c r="I65" s="675">
        <f t="shared" si="74"/>
        <v>0</v>
      </c>
      <c r="J65" s="675">
        <f t="shared" si="75"/>
        <v>0</v>
      </c>
      <c r="K65" s="675">
        <f t="shared" si="76"/>
        <v>0</v>
      </c>
      <c r="L65" s="675">
        <f t="shared" si="77"/>
        <v>0</v>
      </c>
      <c r="M65" s="675">
        <f t="shared" si="78"/>
        <v>0</v>
      </c>
      <c r="N65" s="675">
        <f t="shared" si="79"/>
        <v>0</v>
      </c>
      <c r="O65" s="675">
        <f t="shared" si="80"/>
        <v>0</v>
      </c>
      <c r="P65" s="675">
        <f t="shared" si="81"/>
        <v>0</v>
      </c>
      <c r="Q65" s="675">
        <f t="shared" si="82"/>
        <v>0</v>
      </c>
      <c r="R65" s="675">
        <f t="shared" si="83"/>
        <v>0</v>
      </c>
      <c r="S65" s="675">
        <f t="shared" si="84"/>
        <v>0</v>
      </c>
      <c r="T65" s="675">
        <f t="shared" si="85"/>
        <v>0</v>
      </c>
      <c r="U65" s="675">
        <f t="shared" si="86"/>
        <v>0</v>
      </c>
      <c r="V65" s="675">
        <f t="shared" si="87"/>
        <v>0</v>
      </c>
      <c r="W65" s="675">
        <f t="shared" si="88"/>
        <v>0</v>
      </c>
      <c r="X65" s="675">
        <f t="shared" si="89"/>
        <v>0</v>
      </c>
      <c r="Y65" s="675">
        <f t="shared" si="90"/>
        <v>0</v>
      </c>
      <c r="Z65" s="675">
        <f t="shared" si="91"/>
        <v>0</v>
      </c>
      <c r="AA65" s="675">
        <f t="shared" si="92"/>
        <v>0</v>
      </c>
      <c r="AB65" s="675">
        <f t="shared" si="93"/>
        <v>0</v>
      </c>
      <c r="AC65" s="675">
        <f t="shared" si="94"/>
        <v>0</v>
      </c>
      <c r="AD65" s="675">
        <f t="shared" si="95"/>
        <v>0</v>
      </c>
      <c r="AE65" s="675">
        <f t="shared" si="96"/>
        <v>0</v>
      </c>
      <c r="AF65" s="675">
        <f t="shared" si="97"/>
        <v>0</v>
      </c>
      <c r="AG65" s="675">
        <f t="shared" si="98"/>
        <v>0</v>
      </c>
      <c r="AH65" s="675">
        <f t="shared" si="99"/>
        <v>0</v>
      </c>
      <c r="AI65" s="675">
        <f t="shared" si="100"/>
        <v>0</v>
      </c>
      <c r="AJ65" s="1050">
        <f>AVERAGE(C65:AI65)</f>
        <v>0</v>
      </c>
    </row>
    <row r="66" spans="2:37">
      <c r="B66" s="5" t="s">
        <v>1439</v>
      </c>
      <c r="C66" s="280">
        <f t="shared" si="68"/>
        <v>0</v>
      </c>
      <c r="D66" s="280">
        <f t="shared" si="69"/>
        <v>0</v>
      </c>
      <c r="E66" s="280">
        <f t="shared" si="70"/>
        <v>0</v>
      </c>
      <c r="F66" s="280">
        <f t="shared" si="71"/>
        <v>0</v>
      </c>
      <c r="G66" s="280">
        <f t="shared" si="72"/>
        <v>0</v>
      </c>
      <c r="H66" s="280">
        <f t="shared" si="73"/>
        <v>0</v>
      </c>
      <c r="I66" s="280">
        <f t="shared" si="74"/>
        <v>0</v>
      </c>
      <c r="J66" s="280">
        <f t="shared" si="75"/>
        <v>0</v>
      </c>
      <c r="K66" s="280">
        <f t="shared" si="76"/>
        <v>0</v>
      </c>
      <c r="L66" s="280">
        <f t="shared" si="77"/>
        <v>0</v>
      </c>
      <c r="M66" s="280">
        <f t="shared" si="78"/>
        <v>0</v>
      </c>
      <c r="N66" s="280">
        <f t="shared" si="79"/>
        <v>0</v>
      </c>
      <c r="O66" s="280">
        <f t="shared" si="80"/>
        <v>0</v>
      </c>
      <c r="P66" s="280">
        <f t="shared" si="81"/>
        <v>0</v>
      </c>
      <c r="Q66" s="280">
        <f t="shared" si="82"/>
        <v>0</v>
      </c>
      <c r="R66" s="280">
        <f t="shared" si="83"/>
        <v>0</v>
      </c>
      <c r="S66" s="280">
        <f t="shared" si="84"/>
        <v>0</v>
      </c>
      <c r="T66" s="280">
        <f t="shared" si="85"/>
        <v>0</v>
      </c>
      <c r="U66" s="280">
        <f t="shared" si="86"/>
        <v>0</v>
      </c>
      <c r="V66" s="280">
        <f t="shared" si="87"/>
        <v>0</v>
      </c>
      <c r="W66" s="280">
        <f t="shared" si="88"/>
        <v>0</v>
      </c>
      <c r="X66" s="280">
        <f t="shared" si="89"/>
        <v>0</v>
      </c>
      <c r="Y66" s="280">
        <f t="shared" si="90"/>
        <v>0</v>
      </c>
      <c r="Z66" s="280">
        <f t="shared" si="91"/>
        <v>0</v>
      </c>
      <c r="AA66" s="280">
        <f t="shared" si="92"/>
        <v>0</v>
      </c>
      <c r="AB66" s="280">
        <f t="shared" si="93"/>
        <v>0</v>
      </c>
      <c r="AC66" s="280">
        <f t="shared" si="94"/>
        <v>0</v>
      </c>
      <c r="AD66" s="280">
        <f t="shared" si="95"/>
        <v>0</v>
      </c>
      <c r="AE66" s="280">
        <f t="shared" si="96"/>
        <v>0</v>
      </c>
      <c r="AF66" s="280">
        <f t="shared" si="97"/>
        <v>-8.8054902307703742E-3</v>
      </c>
      <c r="AG66" s="280">
        <f t="shared" si="98"/>
        <v>3.3393612906293129</v>
      </c>
      <c r="AH66" s="280">
        <f t="shared" si="99"/>
        <v>1.253095630235066</v>
      </c>
      <c r="AI66" s="280">
        <f t="shared" si="100"/>
        <v>-3.2723609616698468</v>
      </c>
      <c r="AJ66" s="1">
        <f>AVERAGE(AE66:AI66)</f>
        <v>0.26225809379275233</v>
      </c>
    </row>
    <row r="67" spans="2:37">
      <c r="B67" s="6" t="s">
        <v>1434</v>
      </c>
      <c r="C67" s="675">
        <f t="shared" si="68"/>
        <v>0</v>
      </c>
      <c r="D67" s="675">
        <f t="shared" si="69"/>
        <v>0</v>
      </c>
      <c r="E67" s="675">
        <f t="shared" si="70"/>
        <v>0</v>
      </c>
      <c r="F67" s="675">
        <f t="shared" si="71"/>
        <v>0</v>
      </c>
      <c r="G67" s="675">
        <f t="shared" si="72"/>
        <v>0</v>
      </c>
      <c r="H67" s="675">
        <f t="shared" si="73"/>
        <v>0</v>
      </c>
      <c r="I67" s="675">
        <f t="shared" si="74"/>
        <v>0</v>
      </c>
      <c r="J67" s="675">
        <f t="shared" si="75"/>
        <v>0</v>
      </c>
      <c r="K67" s="675">
        <f t="shared" si="76"/>
        <v>0</v>
      </c>
      <c r="L67" s="675">
        <f t="shared" si="77"/>
        <v>0</v>
      </c>
      <c r="M67" s="675">
        <f t="shared" si="78"/>
        <v>0</v>
      </c>
      <c r="N67" s="675">
        <f t="shared" si="79"/>
        <v>0</v>
      </c>
      <c r="O67" s="675">
        <f t="shared" si="80"/>
        <v>0</v>
      </c>
      <c r="P67" s="675">
        <f t="shared" si="81"/>
        <v>0</v>
      </c>
      <c r="Q67" s="675">
        <f t="shared" si="82"/>
        <v>0</v>
      </c>
      <c r="R67" s="675">
        <f t="shared" si="83"/>
        <v>0</v>
      </c>
      <c r="S67" s="675">
        <f t="shared" si="84"/>
        <v>0</v>
      </c>
      <c r="T67" s="675">
        <f t="shared" si="85"/>
        <v>0</v>
      </c>
      <c r="U67" s="675">
        <f t="shared" si="86"/>
        <v>0</v>
      </c>
      <c r="V67" s="675">
        <f t="shared" si="87"/>
        <v>0</v>
      </c>
      <c r="W67" s="675">
        <f t="shared" si="88"/>
        <v>0</v>
      </c>
      <c r="X67" s="675">
        <f t="shared" si="89"/>
        <v>0</v>
      </c>
      <c r="Y67" s="675">
        <f t="shared" si="90"/>
        <v>0</v>
      </c>
      <c r="Z67" s="675">
        <f t="shared" si="91"/>
        <v>0</v>
      </c>
      <c r="AA67" s="675">
        <f t="shared" si="92"/>
        <v>0</v>
      </c>
      <c r="AB67" s="675">
        <f t="shared" si="93"/>
        <v>0</v>
      </c>
      <c r="AC67" s="675">
        <f t="shared" si="94"/>
        <v>0</v>
      </c>
      <c r="AD67" s="675">
        <f t="shared" si="95"/>
        <v>0</v>
      </c>
      <c r="AE67" s="675">
        <f t="shared" si="96"/>
        <v>0</v>
      </c>
      <c r="AF67" s="675">
        <f t="shared" si="97"/>
        <v>0</v>
      </c>
      <c r="AG67" s="675">
        <f t="shared" si="98"/>
        <v>6.3486148371794116E-4</v>
      </c>
      <c r="AH67" s="675">
        <f t="shared" si="99"/>
        <v>2.6240941325909262E-2</v>
      </c>
      <c r="AI67" s="675">
        <f t="shared" si="100"/>
        <v>-1.4936933931739986</v>
      </c>
    </row>
    <row r="68" spans="2:37">
      <c r="B68" s="6" t="s">
        <v>1441</v>
      </c>
      <c r="C68" s="675">
        <f t="shared" si="68"/>
        <v>0</v>
      </c>
      <c r="D68" s="675">
        <f t="shared" si="69"/>
        <v>0</v>
      </c>
      <c r="E68" s="675">
        <f t="shared" si="70"/>
        <v>0</v>
      </c>
      <c r="F68" s="675">
        <f t="shared" si="71"/>
        <v>0</v>
      </c>
      <c r="G68" s="675">
        <f t="shared" si="72"/>
        <v>0</v>
      </c>
      <c r="H68" s="675">
        <f t="shared" si="73"/>
        <v>0</v>
      </c>
      <c r="I68" s="675">
        <f t="shared" si="74"/>
        <v>0</v>
      </c>
      <c r="J68" s="675">
        <f t="shared" si="75"/>
        <v>0</v>
      </c>
      <c r="K68" s="675">
        <f t="shared" si="76"/>
        <v>0</v>
      </c>
      <c r="L68" s="675">
        <f t="shared" si="77"/>
        <v>0</v>
      </c>
      <c r="M68" s="675">
        <f t="shared" si="78"/>
        <v>0</v>
      </c>
      <c r="N68" s="675">
        <f t="shared" si="79"/>
        <v>0</v>
      </c>
      <c r="O68" s="675">
        <f t="shared" si="80"/>
        <v>0</v>
      </c>
      <c r="P68" s="675">
        <f t="shared" si="81"/>
        <v>0</v>
      </c>
      <c r="Q68" s="675">
        <f t="shared" si="82"/>
        <v>0</v>
      </c>
      <c r="R68" s="675">
        <f t="shared" si="83"/>
        <v>0</v>
      </c>
      <c r="S68" s="675">
        <f t="shared" si="84"/>
        <v>0</v>
      </c>
      <c r="T68" s="675">
        <f t="shared" si="85"/>
        <v>0</v>
      </c>
      <c r="U68" s="675">
        <f t="shared" si="86"/>
        <v>0</v>
      </c>
      <c r="V68" s="675">
        <f t="shared" si="87"/>
        <v>0</v>
      </c>
      <c r="W68" s="675">
        <f t="shared" si="88"/>
        <v>0</v>
      </c>
      <c r="X68" s="675">
        <f t="shared" si="89"/>
        <v>0</v>
      </c>
      <c r="Y68" s="675">
        <f t="shared" si="90"/>
        <v>0</v>
      </c>
      <c r="Z68" s="675">
        <f t="shared" si="91"/>
        <v>0</v>
      </c>
      <c r="AA68" s="675">
        <f t="shared" si="92"/>
        <v>0</v>
      </c>
      <c r="AB68" s="675">
        <f t="shared" si="93"/>
        <v>0</v>
      </c>
      <c r="AC68" s="675">
        <f t="shared" si="94"/>
        <v>0</v>
      </c>
      <c r="AD68" s="675">
        <f t="shared" si="95"/>
        <v>0</v>
      </c>
      <c r="AE68" s="675">
        <f t="shared" si="96"/>
        <v>0</v>
      </c>
      <c r="AF68" s="675">
        <f t="shared" si="97"/>
        <v>0</v>
      </c>
      <c r="AG68" s="675">
        <f t="shared" si="98"/>
        <v>-0.39922206299459617</v>
      </c>
      <c r="AH68" s="675">
        <f t="shared" si="99"/>
        <v>-0.50042956451974874</v>
      </c>
      <c r="AI68" s="675">
        <f t="shared" si="100"/>
        <v>-0.90202634286475813</v>
      </c>
    </row>
    <row r="69" spans="2:37">
      <c r="B69" s="6" t="s">
        <v>1443</v>
      </c>
      <c r="C69" s="675">
        <f t="shared" si="68"/>
        <v>0</v>
      </c>
      <c r="D69" s="675">
        <f t="shared" si="69"/>
        <v>0</v>
      </c>
      <c r="E69" s="675">
        <f t="shared" si="70"/>
        <v>0</v>
      </c>
      <c r="F69" s="675">
        <f t="shared" si="71"/>
        <v>0</v>
      </c>
      <c r="G69" s="675">
        <f t="shared" si="72"/>
        <v>0</v>
      </c>
      <c r="H69" s="675">
        <f t="shared" si="73"/>
        <v>0</v>
      </c>
      <c r="I69" s="675">
        <f t="shared" si="74"/>
        <v>0</v>
      </c>
      <c r="J69" s="675">
        <f t="shared" si="75"/>
        <v>0</v>
      </c>
      <c r="K69" s="675">
        <f t="shared" si="76"/>
        <v>0</v>
      </c>
      <c r="L69" s="675">
        <f t="shared" si="77"/>
        <v>0</v>
      </c>
      <c r="M69" s="675">
        <f t="shared" si="78"/>
        <v>0</v>
      </c>
      <c r="N69" s="675">
        <f t="shared" si="79"/>
        <v>0</v>
      </c>
      <c r="O69" s="675">
        <f t="shared" si="80"/>
        <v>0</v>
      </c>
      <c r="P69" s="675">
        <f t="shared" si="81"/>
        <v>0</v>
      </c>
      <c r="Q69" s="675">
        <f t="shared" si="82"/>
        <v>0</v>
      </c>
      <c r="R69" s="675">
        <f t="shared" si="83"/>
        <v>0</v>
      </c>
      <c r="S69" s="675">
        <f t="shared" si="84"/>
        <v>0</v>
      </c>
      <c r="T69" s="675">
        <f t="shared" si="85"/>
        <v>0</v>
      </c>
      <c r="U69" s="675">
        <f t="shared" si="86"/>
        <v>0</v>
      </c>
      <c r="V69" s="675">
        <f t="shared" si="87"/>
        <v>0</v>
      </c>
      <c r="W69" s="675">
        <f t="shared" si="88"/>
        <v>0</v>
      </c>
      <c r="X69" s="675">
        <f t="shared" si="89"/>
        <v>0</v>
      </c>
      <c r="Y69" s="675">
        <f t="shared" si="90"/>
        <v>0</v>
      </c>
      <c r="Z69" s="675">
        <f t="shared" si="91"/>
        <v>0</v>
      </c>
      <c r="AA69" s="675">
        <f t="shared" si="92"/>
        <v>0</v>
      </c>
      <c r="AB69" s="675">
        <f t="shared" si="93"/>
        <v>0</v>
      </c>
      <c r="AC69" s="675">
        <f t="shared" si="94"/>
        <v>0</v>
      </c>
      <c r="AD69" s="675">
        <f t="shared" si="95"/>
        <v>0</v>
      </c>
      <c r="AE69" s="675">
        <f t="shared" si="96"/>
        <v>0</v>
      </c>
      <c r="AF69" s="675">
        <f t="shared" si="97"/>
        <v>-8.8054902306566873E-3</v>
      </c>
      <c r="AG69" s="675">
        <f t="shared" si="98"/>
        <v>3.7355677615763057</v>
      </c>
      <c r="AH69" s="675">
        <f t="shared" si="99"/>
        <v>1.6172945013796038</v>
      </c>
      <c r="AI69" s="675">
        <f t="shared" si="100"/>
        <v>-1.1211186223244454</v>
      </c>
    </row>
    <row r="70" spans="2:37">
      <c r="B70" s="6" t="s">
        <v>1445</v>
      </c>
      <c r="C70" s="675">
        <f t="shared" si="68"/>
        <v>0</v>
      </c>
      <c r="D70" s="675">
        <f t="shared" si="69"/>
        <v>0</v>
      </c>
      <c r="E70" s="675">
        <f t="shared" si="70"/>
        <v>0</v>
      </c>
      <c r="F70" s="675">
        <f t="shared" si="71"/>
        <v>0</v>
      </c>
      <c r="G70" s="675">
        <f t="shared" si="72"/>
        <v>0</v>
      </c>
      <c r="H70" s="675">
        <f t="shared" si="73"/>
        <v>0</v>
      </c>
      <c r="I70" s="675">
        <f t="shared" si="74"/>
        <v>0</v>
      </c>
      <c r="J70" s="675">
        <f t="shared" si="75"/>
        <v>0</v>
      </c>
      <c r="K70" s="675">
        <f t="shared" si="76"/>
        <v>0</v>
      </c>
      <c r="L70" s="675">
        <f t="shared" si="77"/>
        <v>0</v>
      </c>
      <c r="M70" s="675">
        <f t="shared" si="78"/>
        <v>0</v>
      </c>
      <c r="N70" s="675">
        <f t="shared" si="79"/>
        <v>0</v>
      </c>
      <c r="O70" s="675">
        <f t="shared" si="80"/>
        <v>0</v>
      </c>
      <c r="P70" s="675">
        <f t="shared" si="81"/>
        <v>0</v>
      </c>
      <c r="Q70" s="675">
        <f t="shared" si="82"/>
        <v>0</v>
      </c>
      <c r="R70" s="675">
        <f t="shared" si="83"/>
        <v>0</v>
      </c>
      <c r="S70" s="675">
        <f t="shared" si="84"/>
        <v>0</v>
      </c>
      <c r="T70" s="675">
        <f t="shared" si="85"/>
        <v>0</v>
      </c>
      <c r="U70" s="675">
        <f t="shared" si="86"/>
        <v>0</v>
      </c>
      <c r="V70" s="675">
        <f t="shared" si="87"/>
        <v>0</v>
      </c>
      <c r="W70" s="675">
        <f t="shared" si="88"/>
        <v>0</v>
      </c>
      <c r="X70" s="675">
        <f t="shared" si="89"/>
        <v>0</v>
      </c>
      <c r="Y70" s="675">
        <f t="shared" si="90"/>
        <v>0</v>
      </c>
      <c r="Z70" s="675">
        <f t="shared" si="91"/>
        <v>0</v>
      </c>
      <c r="AA70" s="675">
        <f t="shared" si="92"/>
        <v>0</v>
      </c>
      <c r="AB70" s="675">
        <f t="shared" si="93"/>
        <v>0</v>
      </c>
      <c r="AC70" s="675">
        <f t="shared" si="94"/>
        <v>0</v>
      </c>
      <c r="AD70" s="675">
        <f t="shared" si="95"/>
        <v>0</v>
      </c>
      <c r="AE70" s="675">
        <f t="shared" si="96"/>
        <v>0</v>
      </c>
      <c r="AF70" s="675">
        <f t="shared" si="97"/>
        <v>0</v>
      </c>
      <c r="AG70" s="675">
        <f t="shared" si="98"/>
        <v>0</v>
      </c>
      <c r="AH70" s="675">
        <f t="shared" si="99"/>
        <v>0.10618058314737766</v>
      </c>
      <c r="AI70" s="675">
        <f t="shared" si="100"/>
        <v>1.8608328256975426</v>
      </c>
    </row>
    <row r="71" spans="2:37">
      <c r="B71" s="6" t="s">
        <v>1474</v>
      </c>
      <c r="C71" s="675">
        <f t="shared" si="68"/>
        <v>0</v>
      </c>
      <c r="D71" s="675">
        <f t="shared" si="69"/>
        <v>0</v>
      </c>
      <c r="E71" s="675">
        <f t="shared" si="70"/>
        <v>0</v>
      </c>
      <c r="F71" s="675">
        <f t="shared" si="71"/>
        <v>0</v>
      </c>
      <c r="G71" s="675">
        <f t="shared" si="72"/>
        <v>0</v>
      </c>
      <c r="H71" s="675">
        <f t="shared" si="73"/>
        <v>0</v>
      </c>
      <c r="I71" s="675">
        <f t="shared" si="74"/>
        <v>0</v>
      </c>
      <c r="J71" s="675">
        <f t="shared" si="75"/>
        <v>0</v>
      </c>
      <c r="K71" s="675">
        <f t="shared" si="76"/>
        <v>0</v>
      </c>
      <c r="L71" s="675">
        <f t="shared" si="77"/>
        <v>0</v>
      </c>
      <c r="M71" s="675">
        <f t="shared" si="78"/>
        <v>0</v>
      </c>
      <c r="N71" s="675">
        <f t="shared" si="79"/>
        <v>0</v>
      </c>
      <c r="O71" s="675">
        <f t="shared" si="80"/>
        <v>0</v>
      </c>
      <c r="P71" s="675">
        <f t="shared" si="81"/>
        <v>0</v>
      </c>
      <c r="Q71" s="675">
        <f t="shared" si="82"/>
        <v>0</v>
      </c>
      <c r="R71" s="675">
        <f t="shared" si="83"/>
        <v>0</v>
      </c>
      <c r="S71" s="675">
        <f t="shared" si="84"/>
        <v>0</v>
      </c>
      <c r="T71" s="675">
        <f t="shared" si="85"/>
        <v>0</v>
      </c>
      <c r="U71" s="675">
        <f t="shared" si="86"/>
        <v>0</v>
      </c>
      <c r="V71" s="675">
        <f t="shared" si="87"/>
        <v>0</v>
      </c>
      <c r="W71" s="675">
        <f t="shared" si="88"/>
        <v>0</v>
      </c>
      <c r="X71" s="675">
        <f t="shared" si="89"/>
        <v>0</v>
      </c>
      <c r="Y71" s="675">
        <f t="shared" si="90"/>
        <v>0</v>
      </c>
      <c r="Z71" s="675">
        <f t="shared" si="91"/>
        <v>0</v>
      </c>
      <c r="AA71" s="675">
        <f t="shared" si="92"/>
        <v>0</v>
      </c>
      <c r="AB71" s="675">
        <f t="shared" si="93"/>
        <v>0</v>
      </c>
      <c r="AC71" s="675">
        <f t="shared" si="94"/>
        <v>0</v>
      </c>
      <c r="AD71" s="675">
        <f t="shared" si="95"/>
        <v>0</v>
      </c>
      <c r="AE71" s="675">
        <f t="shared" si="96"/>
        <v>0</v>
      </c>
      <c r="AF71" s="675">
        <f t="shared" si="97"/>
        <v>0</v>
      </c>
      <c r="AG71" s="675">
        <f t="shared" si="98"/>
        <v>2.3807305639138576E-3</v>
      </c>
      <c r="AH71" s="675">
        <f t="shared" si="99"/>
        <v>3.8091689019665864E-3</v>
      </c>
      <c r="AI71" s="675">
        <f t="shared" si="100"/>
        <v>-1.616355429004102</v>
      </c>
    </row>
    <row r="72" spans="2:37">
      <c r="B72" s="6" t="s">
        <v>1476</v>
      </c>
      <c r="C72" s="675">
        <f t="shared" si="68"/>
        <v>0</v>
      </c>
      <c r="D72" s="675">
        <f t="shared" si="69"/>
        <v>0</v>
      </c>
      <c r="E72" s="675">
        <f t="shared" si="70"/>
        <v>0</v>
      </c>
      <c r="F72" s="675">
        <f t="shared" si="71"/>
        <v>0</v>
      </c>
      <c r="G72" s="675">
        <f t="shared" si="72"/>
        <v>0</v>
      </c>
      <c r="H72" s="675">
        <f t="shared" si="73"/>
        <v>0</v>
      </c>
      <c r="I72" s="675">
        <f t="shared" si="74"/>
        <v>0</v>
      </c>
      <c r="J72" s="675">
        <f t="shared" si="75"/>
        <v>0</v>
      </c>
      <c r="K72" s="675">
        <f t="shared" si="76"/>
        <v>0</v>
      </c>
      <c r="L72" s="675">
        <f t="shared" si="77"/>
        <v>0</v>
      </c>
      <c r="M72" s="675">
        <f t="shared" si="78"/>
        <v>0</v>
      </c>
      <c r="N72" s="675">
        <f t="shared" si="79"/>
        <v>0</v>
      </c>
      <c r="O72" s="675">
        <f t="shared" si="80"/>
        <v>0</v>
      </c>
      <c r="P72" s="675">
        <f t="shared" si="81"/>
        <v>0</v>
      </c>
      <c r="Q72" s="675">
        <f t="shared" si="82"/>
        <v>0</v>
      </c>
      <c r="R72" s="675">
        <f t="shared" si="83"/>
        <v>0</v>
      </c>
      <c r="S72" s="675">
        <f t="shared" si="84"/>
        <v>0</v>
      </c>
      <c r="T72" s="675">
        <f t="shared" si="85"/>
        <v>0</v>
      </c>
      <c r="U72" s="675">
        <f t="shared" si="86"/>
        <v>0</v>
      </c>
      <c r="V72" s="675">
        <f t="shared" si="87"/>
        <v>0</v>
      </c>
      <c r="W72" s="675">
        <f t="shared" si="88"/>
        <v>0</v>
      </c>
      <c r="X72" s="675">
        <f t="shared" si="89"/>
        <v>0</v>
      </c>
      <c r="Y72" s="675">
        <f t="shared" si="90"/>
        <v>0</v>
      </c>
      <c r="Z72" s="675">
        <f t="shared" si="91"/>
        <v>0</v>
      </c>
      <c r="AA72" s="675">
        <f t="shared" si="92"/>
        <v>0</v>
      </c>
      <c r="AB72" s="675">
        <f t="shared" si="93"/>
        <v>0</v>
      </c>
      <c r="AC72" s="675">
        <f t="shared" si="94"/>
        <v>0</v>
      </c>
      <c r="AD72" s="675">
        <f t="shared" si="95"/>
        <v>0</v>
      </c>
      <c r="AE72" s="675">
        <f t="shared" si="96"/>
        <v>0</v>
      </c>
      <c r="AF72" s="675">
        <f t="shared" si="97"/>
        <v>0</v>
      </c>
      <c r="AG72" s="675">
        <f t="shared" si="98"/>
        <v>0</v>
      </c>
      <c r="AH72" s="675">
        <f t="shared" si="99"/>
        <v>0</v>
      </c>
      <c r="AI72" s="675">
        <f t="shared" si="100"/>
        <v>0</v>
      </c>
    </row>
    <row r="73" spans="2:37">
      <c r="B73" s="5" t="s">
        <v>1440</v>
      </c>
      <c r="C73" s="703">
        <f t="shared" si="68"/>
        <v>10.448639240955572</v>
      </c>
      <c r="D73" s="703">
        <f t="shared" si="69"/>
        <v>13.537672010083043</v>
      </c>
      <c r="E73" s="703">
        <f t="shared" si="70"/>
        <v>4.6265161857495514</v>
      </c>
      <c r="F73" s="703">
        <f t="shared" si="71"/>
        <v>7.0256577117929737</v>
      </c>
      <c r="G73" s="703">
        <f t="shared" si="72"/>
        <v>-2.0573065613657491</v>
      </c>
      <c r="H73" s="703">
        <f t="shared" si="73"/>
        <v>1.087340909532486</v>
      </c>
      <c r="I73" s="703">
        <f t="shared" si="74"/>
        <v>-15.462734425267172</v>
      </c>
      <c r="J73" s="703">
        <f t="shared" si="75"/>
        <v>-14.457553618246038</v>
      </c>
      <c r="K73" s="703">
        <f t="shared" si="76"/>
        <v>3.5381969223108172</v>
      </c>
      <c r="L73" s="703">
        <f t="shared" si="77"/>
        <v>-3.2112227445527424</v>
      </c>
      <c r="M73" s="703">
        <f t="shared" si="78"/>
        <v>6.6962386505911127</v>
      </c>
      <c r="N73" s="703">
        <f t="shared" si="79"/>
        <v>-12.162945259206481</v>
      </c>
      <c r="O73" s="703">
        <f t="shared" si="80"/>
        <v>-5.0936826283764276</v>
      </c>
      <c r="P73" s="703">
        <f t="shared" si="81"/>
        <v>-11.213892913911877</v>
      </c>
      <c r="Q73" s="703">
        <f t="shared" si="82"/>
        <v>-9.5638771312146673</v>
      </c>
      <c r="R73" s="703">
        <f t="shared" si="83"/>
        <v>-14.248704273894873</v>
      </c>
      <c r="S73" s="703">
        <f t="shared" si="84"/>
        <v>-17.11975541503125</v>
      </c>
      <c r="T73" s="703">
        <f t="shared" si="85"/>
        <v>-20.241137754024749</v>
      </c>
      <c r="U73" s="703">
        <f t="shared" si="86"/>
        <v>-9.1518378313639914</v>
      </c>
      <c r="V73" s="703">
        <f t="shared" si="87"/>
        <v>-4.5183064554325938</v>
      </c>
      <c r="W73" s="703">
        <f t="shared" si="88"/>
        <v>-13.479970241869523</v>
      </c>
      <c r="X73" s="703">
        <f t="shared" si="89"/>
        <v>-7.1074822588825555</v>
      </c>
      <c r="Y73" s="703">
        <f t="shared" si="90"/>
        <v>-9.4274375349718866</v>
      </c>
      <c r="Z73" s="703">
        <f t="shared" si="91"/>
        <v>-6.9166824492353953</v>
      </c>
      <c r="AA73" s="703">
        <f t="shared" si="92"/>
        <v>0.88087515978395459</v>
      </c>
      <c r="AB73" s="703">
        <f t="shared" si="93"/>
        <v>-8.2885791168350806</v>
      </c>
      <c r="AC73" s="703">
        <f t="shared" si="94"/>
        <v>-6.3259903396869959</v>
      </c>
      <c r="AD73" s="703">
        <f t="shared" si="95"/>
        <v>-14.76601622146427</v>
      </c>
      <c r="AE73" s="703">
        <f t="shared" si="96"/>
        <v>-14.353384215787628</v>
      </c>
      <c r="AF73" s="703">
        <f t="shared" si="97"/>
        <v>-26.088370517065869</v>
      </c>
      <c r="AG73" s="703">
        <f t="shared" si="98"/>
        <v>-30.713471141350965</v>
      </c>
      <c r="AH73" s="703">
        <f t="shared" si="99"/>
        <v>-9.1488300021192117</v>
      </c>
      <c r="AI73" s="703">
        <f t="shared" si="100"/>
        <v>-19.309712100498928</v>
      </c>
      <c r="AJ73" s="1050">
        <f t="shared" ref="AJ73:AJ80" si="101">AVERAGE(C73:AI73)</f>
        <v>-7.775386253359315</v>
      </c>
      <c r="AK73" s="1">
        <f>AVERAGE(W73:AH73)</f>
        <v>-12.144611573290453</v>
      </c>
    </row>
    <row r="74" spans="2:37">
      <c r="B74" s="6" t="s">
        <v>1434</v>
      </c>
      <c r="C74" s="704">
        <f t="shared" si="68"/>
        <v>-6.054406995303907E-6</v>
      </c>
      <c r="D74" s="704">
        <f t="shared" si="69"/>
        <v>2.520323545240899E-5</v>
      </c>
      <c r="E74" s="704">
        <f t="shared" si="70"/>
        <v>-1.4815161236469976E-5</v>
      </c>
      <c r="F74" s="704">
        <f t="shared" si="71"/>
        <v>3.8083721705106655E-6</v>
      </c>
      <c r="G74" s="704">
        <f t="shared" si="72"/>
        <v>-1.7632417225854624E-5</v>
      </c>
      <c r="H74" s="704">
        <f t="shared" si="73"/>
        <v>5.4549016681448848E-7</v>
      </c>
      <c r="I74" s="704">
        <f t="shared" si="74"/>
        <v>7.1655524891411915E-7</v>
      </c>
      <c r="J74" s="704">
        <f t="shared" si="75"/>
        <v>-1.8303642136174858E-5</v>
      </c>
      <c r="K74" s="704">
        <f t="shared" si="76"/>
        <v>-5.3410890643590392E-6</v>
      </c>
      <c r="L74" s="704">
        <f t="shared" si="77"/>
        <v>1.7358095831809806E-5</v>
      </c>
      <c r="M74" s="704">
        <f t="shared" si="78"/>
        <v>1.8622669273327119E-6</v>
      </c>
      <c r="N74" s="704">
        <f t="shared" si="79"/>
        <v>-3.2707849952075208E-2</v>
      </c>
      <c r="O74" s="704">
        <f t="shared" si="80"/>
        <v>-5.3406763990849981E-2</v>
      </c>
      <c r="P74" s="704">
        <f t="shared" si="81"/>
        <v>-4.6169939035493712E-2</v>
      </c>
      <c r="Q74" s="704">
        <f t="shared" si="82"/>
        <v>-9.0664812841595221E-2</v>
      </c>
      <c r="R74" s="704">
        <f t="shared" si="83"/>
        <v>-0.2882142996464836</v>
      </c>
      <c r="S74" s="704">
        <f t="shared" si="84"/>
        <v>-0.74370905398487253</v>
      </c>
      <c r="T74" s="704">
        <f t="shared" si="85"/>
        <v>-1.0244938295417825</v>
      </c>
      <c r="U74" s="704">
        <f t="shared" si="86"/>
        <v>-0.86884880408162246</v>
      </c>
      <c r="V74" s="704">
        <f t="shared" si="87"/>
        <v>-0.49614012315987566</v>
      </c>
      <c r="W74" s="704">
        <f t="shared" si="88"/>
        <v>-0.2554296574376167</v>
      </c>
      <c r="X74" s="704">
        <f t="shared" si="89"/>
        <v>0.18042478892316183</v>
      </c>
      <c r="Y74" s="704">
        <f t="shared" si="90"/>
        <v>0.16335839157030563</v>
      </c>
      <c r="Z74" s="704">
        <f t="shared" si="91"/>
        <v>0.15285900720069634</v>
      </c>
      <c r="AA74" s="704">
        <f t="shared" si="92"/>
        <v>0.19266855644282543</v>
      </c>
      <c r="AB74" s="704">
        <f t="shared" si="93"/>
        <v>0.30748446223056192</v>
      </c>
      <c r="AC74" s="704">
        <f t="shared" si="94"/>
        <v>0.41779058570655536</v>
      </c>
      <c r="AD74" s="704">
        <f t="shared" si="95"/>
        <v>0.55535626538198812</v>
      </c>
      <c r="AE74" s="704">
        <f t="shared" si="96"/>
        <v>0.72159452709851735</v>
      </c>
      <c r="AF74" s="704">
        <f t="shared" si="97"/>
        <v>1.5045228421231513</v>
      </c>
      <c r="AG74" s="704">
        <f t="shared" si="98"/>
        <v>1.6189215042800598</v>
      </c>
      <c r="AH74" s="704">
        <f t="shared" si="99"/>
        <v>5.5715069892727911</v>
      </c>
      <c r="AI74" s="704">
        <f t="shared" si="100"/>
        <v>7.2521682905670346</v>
      </c>
      <c r="AJ74" s="1050">
        <f t="shared" si="101"/>
        <v>0.44663207346740974</v>
      </c>
    </row>
    <row r="75" spans="2:37">
      <c r="B75" s="6" t="s">
        <v>1441</v>
      </c>
      <c r="C75" s="704">
        <f t="shared" si="68"/>
        <v>-3.3166752473334782E-6</v>
      </c>
      <c r="D75" s="704">
        <f t="shared" si="69"/>
        <v>1.4015245966447765E-5</v>
      </c>
      <c r="E75" s="704">
        <f t="shared" si="70"/>
        <v>-7.6621717113312116E-6</v>
      </c>
      <c r="F75" s="704">
        <f t="shared" si="71"/>
        <v>1.9281809429116947E-6</v>
      </c>
      <c r="G75" s="704">
        <f t="shared" si="72"/>
        <v>-9.2027700659969014E-6</v>
      </c>
      <c r="H75" s="704">
        <f t="shared" si="73"/>
        <v>2.8872548085701055E-7</v>
      </c>
      <c r="I75" s="704">
        <f t="shared" si="74"/>
        <v>3.7368852190411417E-7</v>
      </c>
      <c r="J75" s="704">
        <f t="shared" si="75"/>
        <v>-9.2898274886010768E-6</v>
      </c>
      <c r="K75" s="704">
        <f t="shared" si="76"/>
        <v>-2.9673094203985784E-6</v>
      </c>
      <c r="L75" s="704">
        <f t="shared" si="77"/>
        <v>9.1941106532544836E-6</v>
      </c>
      <c r="M75" s="704">
        <f t="shared" si="78"/>
        <v>1.0105047039132842E-6</v>
      </c>
      <c r="N75" s="704">
        <f t="shared" si="79"/>
        <v>-1.8305623951597738E-2</v>
      </c>
      <c r="O75" s="704">
        <f t="shared" si="80"/>
        <v>-2.7583340208742868E-2</v>
      </c>
      <c r="P75" s="704">
        <f t="shared" si="81"/>
        <v>-2.4571308742430631E-2</v>
      </c>
      <c r="Q75" s="704">
        <f t="shared" si="82"/>
        <v>-4.6159188608342561E-2</v>
      </c>
      <c r="R75" s="704">
        <f t="shared" si="83"/>
        <v>-0.15099058122702758</v>
      </c>
      <c r="S75" s="704">
        <f t="shared" si="84"/>
        <v>-0.4190557198253515</v>
      </c>
      <c r="T75" s="704">
        <f t="shared" si="85"/>
        <v>-0.54170620484931931</v>
      </c>
      <c r="U75" s="704">
        <f t="shared" si="86"/>
        <v>-0.44485794818347557</v>
      </c>
      <c r="V75" s="704">
        <f t="shared" si="87"/>
        <v>-0.33672354920421554</v>
      </c>
      <c r="W75" s="704">
        <f t="shared" si="88"/>
        <v>-0.17795218178100214</v>
      </c>
      <c r="X75" s="704">
        <f t="shared" si="89"/>
        <v>0.13512054289002151</v>
      </c>
      <c r="Y75" s="704">
        <f t="shared" si="90"/>
        <v>0.12028745063059887</v>
      </c>
      <c r="Z75" s="704">
        <f t="shared" si="91"/>
        <v>0.10685527180404364</v>
      </c>
      <c r="AA75" s="704">
        <f t="shared" si="92"/>
        <v>0.12887864351516498</v>
      </c>
      <c r="AB75" s="704">
        <f t="shared" si="93"/>
        <v>0.2007913259045182</v>
      </c>
      <c r="AC75" s="704">
        <f t="shared" si="94"/>
        <v>0.31344480567046418</v>
      </c>
      <c r="AD75" s="704">
        <f t="shared" si="95"/>
        <v>0.41448620980104067</v>
      </c>
      <c r="AE75" s="704">
        <f t="shared" si="96"/>
        <v>0.45928569546971687</v>
      </c>
      <c r="AF75" s="704">
        <f t="shared" si="97"/>
        <v>1.0462054816064423</v>
      </c>
      <c r="AG75" s="704">
        <f t="shared" si="98"/>
        <v>1.2001163189265682</v>
      </c>
      <c r="AH75" s="704">
        <f t="shared" si="99"/>
        <v>3.8189289876155783</v>
      </c>
      <c r="AI75" s="704">
        <f t="shared" si="100"/>
        <v>1.9381907296619545</v>
      </c>
      <c r="AJ75" s="1050">
        <f t="shared" si="101"/>
        <v>0.23317212692778613</v>
      </c>
    </row>
    <row r="76" spans="2:37">
      <c r="B76" s="6" t="s">
        <v>1443</v>
      </c>
      <c r="C76" s="704">
        <f t="shared" si="68"/>
        <v>10.448648612037687</v>
      </c>
      <c r="D76" s="704">
        <f t="shared" si="69"/>
        <v>13.537632791601595</v>
      </c>
      <c r="E76" s="704">
        <f t="shared" si="70"/>
        <v>4.6265386630826697</v>
      </c>
      <c r="F76" s="704">
        <f t="shared" si="71"/>
        <v>7.0256519752398958</v>
      </c>
      <c r="G76" s="704">
        <f t="shared" si="72"/>
        <v>-2.0572797261786491</v>
      </c>
      <c r="H76" s="704">
        <f t="shared" si="73"/>
        <v>1.0873400753167175</v>
      </c>
      <c r="I76" s="704">
        <f t="shared" si="74"/>
        <v>-15.462735515510929</v>
      </c>
      <c r="J76" s="704">
        <f t="shared" si="75"/>
        <v>-14.457526024776485</v>
      </c>
      <c r="K76" s="704">
        <f t="shared" si="76"/>
        <v>3.5382052307093659</v>
      </c>
      <c r="L76" s="704">
        <f t="shared" si="77"/>
        <v>-3.2112492967590924</v>
      </c>
      <c r="M76" s="704">
        <f t="shared" si="78"/>
        <v>6.6962357778194814</v>
      </c>
      <c r="N76" s="704">
        <f t="shared" si="79"/>
        <v>-12.111931785302716</v>
      </c>
      <c r="O76" s="704">
        <f t="shared" si="80"/>
        <v>-5.0126925241765434</v>
      </c>
      <c r="P76" s="704">
        <f t="shared" si="81"/>
        <v>-11.143151666133917</v>
      </c>
      <c r="Q76" s="704">
        <f t="shared" si="82"/>
        <v>-9.4270531297648859</v>
      </c>
      <c r="R76" s="704">
        <f t="shared" si="83"/>
        <v>-13.80949939302144</v>
      </c>
      <c r="S76" s="704">
        <f t="shared" si="84"/>
        <v>-15.956990641221068</v>
      </c>
      <c r="T76" s="704">
        <f t="shared" si="85"/>
        <v>-18.674937719633476</v>
      </c>
      <c r="U76" s="704">
        <f t="shared" si="86"/>
        <v>-7.8381310790992416</v>
      </c>
      <c r="V76" s="704">
        <f t="shared" si="87"/>
        <v>-3.6854427830687655</v>
      </c>
      <c r="W76" s="704">
        <f t="shared" si="88"/>
        <v>-13.046588402650627</v>
      </c>
      <c r="X76" s="704">
        <f t="shared" si="89"/>
        <v>-7.4230275906955967</v>
      </c>
      <c r="Y76" s="704">
        <f t="shared" si="90"/>
        <v>-9.7110833771728835</v>
      </c>
      <c r="Z76" s="704">
        <f t="shared" si="91"/>
        <v>-7.1763967282404337</v>
      </c>
      <c r="AA76" s="704">
        <f t="shared" si="92"/>
        <v>0.55932795982602102</v>
      </c>
      <c r="AB76" s="704">
        <f t="shared" si="93"/>
        <v>-8.7968549049704734</v>
      </c>
      <c r="AC76" s="704">
        <f t="shared" si="94"/>
        <v>-7.0572257310639088</v>
      </c>
      <c r="AD76" s="704">
        <f t="shared" si="95"/>
        <v>-15.735858696647568</v>
      </c>
      <c r="AE76" s="704">
        <f t="shared" si="96"/>
        <v>-15.534264438356161</v>
      </c>
      <c r="AF76" s="704">
        <f t="shared" si="97"/>
        <v>-28.639144414346731</v>
      </c>
      <c r="AG76" s="704">
        <f t="shared" si="98"/>
        <v>-33.571357249721842</v>
      </c>
      <c r="AH76" s="704">
        <f t="shared" si="99"/>
        <v>-18.887754972390951</v>
      </c>
      <c r="AI76" s="704">
        <f t="shared" si="100"/>
        <v>-26.387836449446127</v>
      </c>
      <c r="AJ76" s="1050">
        <f t="shared" si="101"/>
        <v>-8.4029222168096087</v>
      </c>
      <c r="AK76" s="1">
        <f>AVERAGE(W76:AH76)</f>
        <v>-13.751685712202596</v>
      </c>
    </row>
    <row r="77" spans="2:37">
      <c r="B77" s="6" t="s">
        <v>1445</v>
      </c>
      <c r="C77" s="704">
        <f t="shared" si="68"/>
        <v>0</v>
      </c>
      <c r="D77" s="704">
        <f t="shared" si="69"/>
        <v>0</v>
      </c>
      <c r="E77" s="704">
        <f t="shared" si="70"/>
        <v>0</v>
      </c>
      <c r="F77" s="704">
        <f t="shared" si="71"/>
        <v>0</v>
      </c>
      <c r="G77" s="704">
        <f t="shared" si="72"/>
        <v>0</v>
      </c>
      <c r="H77" s="704">
        <f t="shared" si="73"/>
        <v>0</v>
      </c>
      <c r="I77" s="704">
        <f t="shared" si="74"/>
        <v>0</v>
      </c>
      <c r="J77" s="704">
        <f t="shared" si="75"/>
        <v>0</v>
      </c>
      <c r="K77" s="704">
        <f t="shared" si="76"/>
        <v>0</v>
      </c>
      <c r="L77" s="704">
        <f t="shared" si="77"/>
        <v>0</v>
      </c>
      <c r="M77" s="704">
        <f t="shared" si="78"/>
        <v>0</v>
      </c>
      <c r="N77" s="704">
        <f t="shared" si="79"/>
        <v>0</v>
      </c>
      <c r="O77" s="704">
        <f t="shared" si="80"/>
        <v>0</v>
      </c>
      <c r="P77" s="704">
        <f t="shared" si="81"/>
        <v>0</v>
      </c>
      <c r="Q77" s="704">
        <f t="shared" si="82"/>
        <v>0</v>
      </c>
      <c r="R77" s="704">
        <f t="shared" si="83"/>
        <v>0</v>
      </c>
      <c r="S77" s="704">
        <f t="shared" si="84"/>
        <v>0</v>
      </c>
      <c r="T77" s="704">
        <f t="shared" si="85"/>
        <v>0</v>
      </c>
      <c r="U77" s="704">
        <f t="shared" si="86"/>
        <v>0</v>
      </c>
      <c r="V77" s="704">
        <f t="shared" si="87"/>
        <v>0</v>
      </c>
      <c r="W77" s="704">
        <f t="shared" si="88"/>
        <v>0</v>
      </c>
      <c r="X77" s="704">
        <f t="shared" si="89"/>
        <v>0</v>
      </c>
      <c r="Y77" s="704">
        <f t="shared" si="90"/>
        <v>0</v>
      </c>
      <c r="Z77" s="704">
        <f t="shared" si="91"/>
        <v>0</v>
      </c>
      <c r="AA77" s="704">
        <f t="shared" si="92"/>
        <v>0</v>
      </c>
      <c r="AB77" s="704">
        <f t="shared" si="93"/>
        <v>0</v>
      </c>
      <c r="AC77" s="704">
        <f t="shared" si="94"/>
        <v>0</v>
      </c>
      <c r="AD77" s="704">
        <f t="shared" si="95"/>
        <v>0</v>
      </c>
      <c r="AE77" s="704">
        <f t="shared" si="96"/>
        <v>0</v>
      </c>
      <c r="AF77" s="704">
        <f t="shared" si="97"/>
        <v>4.5573551460620365E-5</v>
      </c>
      <c r="AG77" s="704">
        <f t="shared" si="98"/>
        <v>3.8848285164021945E-2</v>
      </c>
      <c r="AH77" s="704">
        <f t="shared" si="99"/>
        <v>0.34848899338362571</v>
      </c>
      <c r="AI77" s="704">
        <f t="shared" si="100"/>
        <v>-2.2331912132478919</v>
      </c>
      <c r="AJ77" s="1050">
        <f t="shared" si="101"/>
        <v>-5.5933586701478293E-2</v>
      </c>
      <c r="AK77" s="1">
        <f>AVERAGE(W77:AH77)</f>
        <v>3.2281904341592359E-2</v>
      </c>
    </row>
    <row r="78" spans="2:37">
      <c r="B78" s="6" t="s">
        <v>1474</v>
      </c>
      <c r="C78" s="704">
        <f t="shared" si="68"/>
        <v>0</v>
      </c>
      <c r="D78" s="704">
        <f t="shared" si="69"/>
        <v>0</v>
      </c>
      <c r="E78" s="704">
        <f t="shared" si="70"/>
        <v>0</v>
      </c>
      <c r="F78" s="704">
        <f t="shared" si="71"/>
        <v>0</v>
      </c>
      <c r="G78" s="704">
        <f t="shared" si="72"/>
        <v>0</v>
      </c>
      <c r="H78" s="704">
        <f t="shared" si="73"/>
        <v>0</v>
      </c>
      <c r="I78" s="704">
        <f t="shared" si="74"/>
        <v>0</v>
      </c>
      <c r="J78" s="704">
        <f t="shared" si="75"/>
        <v>0</v>
      </c>
      <c r="K78" s="704">
        <f t="shared" si="76"/>
        <v>0</v>
      </c>
      <c r="L78" s="704">
        <f t="shared" si="77"/>
        <v>0</v>
      </c>
      <c r="M78" s="704">
        <f t="shared" si="78"/>
        <v>0</v>
      </c>
      <c r="N78" s="704">
        <f t="shared" si="79"/>
        <v>0</v>
      </c>
      <c r="O78" s="704">
        <f t="shared" si="80"/>
        <v>0</v>
      </c>
      <c r="P78" s="704">
        <f t="shared" si="81"/>
        <v>0</v>
      </c>
      <c r="Q78" s="704">
        <f t="shared" si="82"/>
        <v>0</v>
      </c>
      <c r="R78" s="704">
        <f t="shared" si="83"/>
        <v>0</v>
      </c>
      <c r="S78" s="704">
        <f t="shared" si="84"/>
        <v>0</v>
      </c>
      <c r="T78" s="704">
        <f t="shared" si="85"/>
        <v>0</v>
      </c>
      <c r="U78" s="704">
        <f t="shared" si="86"/>
        <v>0</v>
      </c>
      <c r="V78" s="704">
        <f t="shared" si="87"/>
        <v>0</v>
      </c>
      <c r="W78" s="704">
        <f t="shared" si="88"/>
        <v>0</v>
      </c>
      <c r="X78" s="704">
        <f t="shared" si="89"/>
        <v>0</v>
      </c>
      <c r="Y78" s="704">
        <f t="shared" si="90"/>
        <v>0</v>
      </c>
      <c r="Z78" s="704">
        <f t="shared" si="91"/>
        <v>0</v>
      </c>
      <c r="AA78" s="704">
        <f t="shared" si="92"/>
        <v>0</v>
      </c>
      <c r="AB78" s="704">
        <f t="shared" si="93"/>
        <v>0</v>
      </c>
      <c r="AC78" s="704">
        <f t="shared" si="94"/>
        <v>0</v>
      </c>
      <c r="AD78" s="704">
        <f t="shared" si="95"/>
        <v>0</v>
      </c>
      <c r="AE78" s="704">
        <f t="shared" si="96"/>
        <v>0</v>
      </c>
      <c r="AF78" s="704">
        <f t="shared" si="97"/>
        <v>0</v>
      </c>
      <c r="AG78" s="704">
        <f t="shared" si="98"/>
        <v>0</v>
      </c>
      <c r="AH78" s="704">
        <f t="shared" si="99"/>
        <v>0</v>
      </c>
      <c r="AI78" s="704">
        <f t="shared" si="100"/>
        <v>0.12087176365170293</v>
      </c>
      <c r="AJ78" s="1050">
        <f t="shared" si="101"/>
        <v>3.6627807167182707E-3</v>
      </c>
    </row>
    <row r="79" spans="2:37">
      <c r="B79" s="6" t="s">
        <v>1476</v>
      </c>
      <c r="C79" s="704">
        <f t="shared" si="68"/>
        <v>0</v>
      </c>
      <c r="D79" s="704">
        <f t="shared" si="69"/>
        <v>0</v>
      </c>
      <c r="E79" s="704">
        <f t="shared" si="70"/>
        <v>0</v>
      </c>
      <c r="F79" s="704">
        <f t="shared" si="71"/>
        <v>0</v>
      </c>
      <c r="G79" s="704">
        <f t="shared" si="72"/>
        <v>0</v>
      </c>
      <c r="H79" s="704">
        <f t="shared" si="73"/>
        <v>0</v>
      </c>
      <c r="I79" s="704">
        <f t="shared" si="74"/>
        <v>0</v>
      </c>
      <c r="J79" s="704">
        <f t="shared" si="75"/>
        <v>0</v>
      </c>
      <c r="K79" s="704">
        <f t="shared" si="76"/>
        <v>0</v>
      </c>
      <c r="L79" s="704">
        <f t="shared" si="77"/>
        <v>0</v>
      </c>
      <c r="M79" s="704">
        <f t="shared" si="78"/>
        <v>0</v>
      </c>
      <c r="N79" s="704">
        <f t="shared" si="79"/>
        <v>0</v>
      </c>
      <c r="O79" s="704">
        <f t="shared" si="80"/>
        <v>0</v>
      </c>
      <c r="P79" s="704">
        <f t="shared" si="81"/>
        <v>0</v>
      </c>
      <c r="Q79" s="704">
        <f t="shared" si="82"/>
        <v>0</v>
      </c>
      <c r="R79" s="704">
        <f t="shared" si="83"/>
        <v>0</v>
      </c>
      <c r="S79" s="704">
        <f t="shared" si="84"/>
        <v>0</v>
      </c>
      <c r="T79" s="704">
        <f t="shared" si="85"/>
        <v>0</v>
      </c>
      <c r="U79" s="704">
        <f t="shared" si="86"/>
        <v>0</v>
      </c>
      <c r="V79" s="704">
        <f t="shared" si="87"/>
        <v>0</v>
      </c>
      <c r="W79" s="704">
        <f t="shared" si="88"/>
        <v>0</v>
      </c>
      <c r="X79" s="704">
        <f t="shared" si="89"/>
        <v>0</v>
      </c>
      <c r="Y79" s="704">
        <f t="shared" si="90"/>
        <v>0</v>
      </c>
      <c r="Z79" s="704">
        <f t="shared" si="91"/>
        <v>0</v>
      </c>
      <c r="AA79" s="704">
        <f t="shared" si="92"/>
        <v>0</v>
      </c>
      <c r="AB79" s="704">
        <f t="shared" si="93"/>
        <v>0</v>
      </c>
      <c r="AC79" s="704">
        <f t="shared" si="94"/>
        <v>0</v>
      </c>
      <c r="AD79" s="704">
        <f t="shared" si="95"/>
        <v>0</v>
      </c>
      <c r="AE79" s="704">
        <f t="shared" si="96"/>
        <v>0</v>
      </c>
      <c r="AF79" s="704">
        <f t="shared" si="97"/>
        <v>0</v>
      </c>
      <c r="AG79" s="704">
        <f t="shared" si="98"/>
        <v>0</v>
      </c>
      <c r="AH79" s="704">
        <f t="shared" si="99"/>
        <v>0</v>
      </c>
      <c r="AI79" s="704">
        <f t="shared" si="100"/>
        <v>8.4778314349165385E-5</v>
      </c>
      <c r="AJ79" s="1050">
        <f t="shared" si="101"/>
        <v>2.5690398287625875E-6</v>
      </c>
      <c r="AK79" s="1">
        <f>AVERAGE(W79:AH79)</f>
        <v>0</v>
      </c>
    </row>
    <row r="80" spans="2:37">
      <c r="B80" s="5" t="s">
        <v>82</v>
      </c>
      <c r="C80" s="704">
        <f t="shared" si="68"/>
        <v>0</v>
      </c>
      <c r="D80" s="704">
        <f t="shared" si="69"/>
        <v>0</v>
      </c>
      <c r="E80" s="704">
        <f t="shared" si="70"/>
        <v>0</v>
      </c>
      <c r="F80" s="704">
        <f t="shared" si="71"/>
        <v>0</v>
      </c>
      <c r="G80" s="704">
        <f t="shared" si="72"/>
        <v>0</v>
      </c>
      <c r="H80" s="704">
        <f t="shared" si="73"/>
        <v>0</v>
      </c>
      <c r="I80" s="704">
        <f t="shared" si="74"/>
        <v>0</v>
      </c>
      <c r="J80" s="704">
        <f t="shared" si="75"/>
        <v>0</v>
      </c>
      <c r="K80" s="704">
        <f t="shared" si="76"/>
        <v>0</v>
      </c>
      <c r="L80" s="704">
        <f t="shared" si="77"/>
        <v>0</v>
      </c>
      <c r="M80" s="704">
        <f t="shared" si="78"/>
        <v>0</v>
      </c>
      <c r="N80" s="704">
        <f t="shared" si="79"/>
        <v>0</v>
      </c>
      <c r="O80" s="704">
        <f t="shared" si="80"/>
        <v>0</v>
      </c>
      <c r="P80" s="704">
        <f t="shared" si="81"/>
        <v>0</v>
      </c>
      <c r="Q80" s="704">
        <f t="shared" si="82"/>
        <v>0</v>
      </c>
      <c r="R80" s="704">
        <f t="shared" si="83"/>
        <v>0</v>
      </c>
      <c r="S80" s="704">
        <f t="shared" si="84"/>
        <v>0</v>
      </c>
      <c r="T80" s="704">
        <f t="shared" si="85"/>
        <v>0</v>
      </c>
      <c r="U80" s="704">
        <f t="shared" si="86"/>
        <v>0</v>
      </c>
      <c r="V80" s="704">
        <f t="shared" si="87"/>
        <v>0</v>
      </c>
      <c r="W80" s="704">
        <f t="shared" si="88"/>
        <v>0</v>
      </c>
      <c r="X80" s="704">
        <f t="shared" si="89"/>
        <v>0</v>
      </c>
      <c r="Y80" s="704">
        <f t="shared" si="90"/>
        <v>0</v>
      </c>
      <c r="Z80" s="704">
        <f t="shared" si="91"/>
        <v>0</v>
      </c>
      <c r="AA80" s="704">
        <f t="shared" si="92"/>
        <v>0</v>
      </c>
      <c r="AB80" s="704">
        <f t="shared" si="93"/>
        <v>0</v>
      </c>
      <c r="AC80" s="704">
        <f t="shared" si="94"/>
        <v>0</v>
      </c>
      <c r="AD80" s="704">
        <f t="shared" si="95"/>
        <v>0</v>
      </c>
      <c r="AE80" s="704">
        <f t="shared" si="96"/>
        <v>0</v>
      </c>
      <c r="AF80" s="704">
        <f t="shared" si="97"/>
        <v>0</v>
      </c>
      <c r="AG80" s="704">
        <f t="shared" si="98"/>
        <v>0</v>
      </c>
      <c r="AH80" s="704">
        <f t="shared" si="99"/>
        <v>0</v>
      </c>
      <c r="AI80" s="704">
        <f t="shared" si="100"/>
        <v>-1.735293094176027E-3</v>
      </c>
      <c r="AJ80" s="1050">
        <f t="shared" si="101"/>
        <v>-5.2584639217455365E-5</v>
      </c>
    </row>
    <row r="81" spans="2:36">
      <c r="B81" s="6" t="s">
        <v>1474</v>
      </c>
      <c r="C81" s="704">
        <f t="shared" si="68"/>
        <v>0</v>
      </c>
      <c r="D81" s="704">
        <f t="shared" si="69"/>
        <v>0</v>
      </c>
      <c r="E81" s="704">
        <f t="shared" si="70"/>
        <v>0</v>
      </c>
      <c r="F81" s="704">
        <f t="shared" si="71"/>
        <v>0</v>
      </c>
      <c r="G81" s="704">
        <f t="shared" si="72"/>
        <v>0</v>
      </c>
      <c r="H81" s="704">
        <f t="shared" si="73"/>
        <v>0</v>
      </c>
      <c r="I81" s="704">
        <f t="shared" si="74"/>
        <v>0</v>
      </c>
      <c r="J81" s="704">
        <f t="shared" si="75"/>
        <v>0</v>
      </c>
      <c r="K81" s="704">
        <f t="shared" si="76"/>
        <v>0</v>
      </c>
      <c r="L81" s="704">
        <f t="shared" si="77"/>
        <v>0</v>
      </c>
      <c r="M81" s="704">
        <f t="shared" si="78"/>
        <v>0</v>
      </c>
      <c r="N81" s="704">
        <f t="shared" si="79"/>
        <v>0</v>
      </c>
      <c r="O81" s="704">
        <f t="shared" si="80"/>
        <v>0</v>
      </c>
      <c r="P81" s="704">
        <f t="shared" si="81"/>
        <v>0</v>
      </c>
      <c r="Q81" s="704">
        <f t="shared" si="82"/>
        <v>0</v>
      </c>
      <c r="R81" s="704">
        <f t="shared" si="83"/>
        <v>0</v>
      </c>
      <c r="S81" s="704">
        <f t="shared" si="84"/>
        <v>0</v>
      </c>
      <c r="T81" s="704">
        <f t="shared" si="85"/>
        <v>0</v>
      </c>
      <c r="U81" s="704">
        <f t="shared" si="86"/>
        <v>0</v>
      </c>
      <c r="V81" s="704">
        <f t="shared" si="87"/>
        <v>0</v>
      </c>
      <c r="W81" s="704">
        <f t="shared" si="88"/>
        <v>0</v>
      </c>
      <c r="X81" s="704">
        <f t="shared" si="89"/>
        <v>0</v>
      </c>
      <c r="Y81" s="704">
        <f t="shared" si="90"/>
        <v>0</v>
      </c>
      <c r="Z81" s="704">
        <f t="shared" si="91"/>
        <v>0</v>
      </c>
      <c r="AA81" s="704">
        <f t="shared" si="92"/>
        <v>0</v>
      </c>
      <c r="AB81" s="704">
        <f t="shared" si="93"/>
        <v>0</v>
      </c>
      <c r="AC81" s="704">
        <f t="shared" si="94"/>
        <v>0</v>
      </c>
      <c r="AD81" s="704">
        <f t="shared" si="95"/>
        <v>0</v>
      </c>
      <c r="AE81" s="704">
        <f t="shared" si="96"/>
        <v>0</v>
      </c>
      <c r="AF81" s="704">
        <f t="shared" si="97"/>
        <v>0</v>
      </c>
      <c r="AG81" s="704">
        <f t="shared" si="98"/>
        <v>0</v>
      </c>
      <c r="AH81" s="704">
        <f t="shared" si="99"/>
        <v>0</v>
      </c>
      <c r="AI81" s="704">
        <f t="shared" si="100"/>
        <v>-1.735293094176027E-3</v>
      </c>
      <c r="AJ81" s="1050"/>
    </row>
    <row r="82" spans="2:36">
      <c r="B82" s="4" t="s">
        <v>1480</v>
      </c>
      <c r="C82" s="705">
        <f t="shared" ref="C82" si="102">(AN27-C54)</f>
        <v>10.445590551596979</v>
      </c>
      <c r="D82" s="705">
        <f t="shared" ref="D82" si="103">(AO27-D54)</f>
        <v>13.535033321856645</v>
      </c>
      <c r="E82" s="705">
        <f t="shared" ref="E82" si="104">(AP27-E54)</f>
        <v>4.6236137727019013</v>
      </c>
      <c r="F82" s="705">
        <f t="shared" ref="F82" si="105">(AQ27-F54)</f>
        <v>7.0228726739069316</v>
      </c>
      <c r="G82" s="705">
        <f t="shared" ref="G82" si="106">(AR27-G54)</f>
        <v>-2.0593764854365872</v>
      </c>
      <c r="H82" s="705">
        <f t="shared" ref="H82" si="107">(AS27-H54)</f>
        <v>1.0842452447905089</v>
      </c>
      <c r="I82" s="705">
        <f t="shared" ref="I82" si="108">(AT27-I54)</f>
        <v>-15.470439218064712</v>
      </c>
      <c r="J82" s="705">
        <f t="shared" ref="J82" si="109">(AU27-J54)</f>
        <v>-14.462897692423212</v>
      </c>
      <c r="K82" s="705">
        <f t="shared" ref="K82" si="110">(AV27-K54)</f>
        <v>3.5336388652722235</v>
      </c>
      <c r="L82" s="705">
        <f t="shared" ref="L82" si="111">(AW27-L54)</f>
        <v>-3.2150809063277848</v>
      </c>
      <c r="M82" s="705">
        <f t="shared" ref="M82" si="112">(AX27-M54)</f>
        <v>6.6900716213349369</v>
      </c>
      <c r="N82" s="705">
        <f t="shared" ref="N82" si="113">(AY27-N54)</f>
        <v>-12.168263980979646</v>
      </c>
      <c r="O82" s="705">
        <f t="shared" ref="O82" si="114">(AZ27-O54)</f>
        <v>-5.0995780079165343</v>
      </c>
      <c r="P82" s="705">
        <f t="shared" ref="P82" si="115">(BA27-P54)</f>
        <v>-11.219856616584366</v>
      </c>
      <c r="Q82" s="705">
        <f t="shared" ref="Q82" si="116">(BB27-Q54)</f>
        <v>-9.5707795454254665</v>
      </c>
      <c r="R82" s="705">
        <f t="shared" ref="R82" si="117">(BC27-R54)</f>
        <v>-14.253984384895375</v>
      </c>
      <c r="S82" s="705">
        <f t="shared" ref="S82" si="118">(BD27-S54)</f>
        <v>-17.124946730526062</v>
      </c>
      <c r="T82" s="705">
        <f t="shared" ref="T82" si="119">(BE27-T54)</f>
        <v>-20.246752092589304</v>
      </c>
      <c r="U82" s="705">
        <f t="shared" ref="U82" si="120">(BF27-U54)</f>
        <v>-9.1571317077577987</v>
      </c>
      <c r="V82" s="705">
        <f t="shared" ref="V82" si="121">(BG27-V54)</f>
        <v>-4.5217507438474058</v>
      </c>
      <c r="W82" s="705">
        <f t="shared" ref="W82" si="122">(BH27-W54)</f>
        <v>-13.484659313371594</v>
      </c>
      <c r="X82" s="705">
        <f t="shared" ref="X82" si="123">(BI27-X54)</f>
        <v>-7.1128440813954512</v>
      </c>
      <c r="Y82" s="705">
        <f t="shared" ref="Y82" si="124">(BJ27-Y54)</f>
        <v>-9.4332189480228408</v>
      </c>
      <c r="Z82" s="705">
        <f t="shared" ref="Z82" si="125">(BK27-Z54)</f>
        <v>-6.9221997036383982</v>
      </c>
      <c r="AA82" s="705">
        <f t="shared" ref="AA82" si="126">(BL27-AA54)</f>
        <v>0.87586965380887705</v>
      </c>
      <c r="AB82" s="705">
        <f t="shared" ref="AB82" si="127">(BM27-AB54)</f>
        <v>-8.2932855983917761</v>
      </c>
      <c r="AC82" s="705">
        <f t="shared" ref="AC82" si="128">(BN27-AC54)</f>
        <v>-6.3299981182062766</v>
      </c>
      <c r="AD82" s="705">
        <f t="shared" ref="AD82" si="129">(BO27-AD54)</f>
        <v>-14.770421699746294</v>
      </c>
      <c r="AE82" s="705">
        <f t="shared" ref="AE82" si="130">(BP27-AE54)</f>
        <v>-14.358714549794968</v>
      </c>
      <c r="AF82" s="705">
        <f t="shared" ref="AF82" si="131">(BQ27-AF54)</f>
        <v>-26.102288626837435</v>
      </c>
      <c r="AG82" s="705">
        <f t="shared" ref="AG82" si="132">(BR27-AG54)</f>
        <v>-27.376501147329691</v>
      </c>
      <c r="AH82" s="705">
        <f t="shared" ref="AH82:AI82" si="133">(BS27-AH54)</f>
        <v>-7.9017347761619021</v>
      </c>
      <c r="AI82" s="705">
        <f t="shared" si="133"/>
        <v>-18.553886642173893</v>
      </c>
      <c r="AJ82" s="1050">
        <f>AVERAGE(C82:AI82)</f>
        <v>-7.6181713821992654</v>
      </c>
    </row>
  </sheetData>
  <mergeCells count="1">
    <mergeCell ref="A1:B1"/>
  </mergeCells>
  <conditionalFormatting sqref="C4:AI27">
    <cfRule type="cellIs" dxfId="56" priority="1" operator="equal">
      <formula>"NA"</formula>
    </cfRule>
    <cfRule type="cellIs" dxfId="55" priority="4" operator="lessThan">
      <formula>0</formula>
    </cfRule>
    <cfRule type="cellIs" dxfId="54" priority="5" operator="greaterThan">
      <formula>0</formula>
    </cfRule>
  </conditionalFormatting>
  <conditionalFormatting sqref="C59:AI82">
    <cfRule type="cellIs" dxfId="53" priority="2" operator="lessThan">
      <formula>0</formula>
    </cfRule>
    <cfRule type="cellIs" dxfId="52" priority="3" operator="greaterThan">
      <formula>0</formula>
    </cfRule>
  </conditionalFormatting>
  <printOptions verticalCentered="1" gridLines="1" gridLinesSet="0"/>
  <pageMargins left="0.5" right="0.5" top="0.5" bottom="0.75" header="0.27" footer="0.21"/>
  <pageSetup scale="81" fitToWidth="2" fitToHeight="3" orientation="landscape" horizontalDpi="4294967292" r:id="rId1"/>
  <headerFooter alignWithMargins="0">
    <oddHeader>&amp;L&amp;12GREENHOUSE GAS INVENTORY:  ENERGY</oddHeader>
    <oddFooter>&amp;LPage &amp;P of &amp;N&amp;C&amp;F  &amp;A&amp;R&amp;D  &amp;T</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ransitionEvaluation="1" transitionEntry="1" codeName="Sheet33"/>
  <dimension ref="A1:BS84"/>
  <sheetViews>
    <sheetView workbookViewId="0">
      <selection activeCell="V12" sqref="V12"/>
    </sheetView>
  </sheetViews>
  <sheetFormatPr defaultColWidth="9.6640625" defaultRowHeight="12.95"/>
  <cols>
    <col min="1" max="1" width="5" style="1" customWidth="1"/>
    <col min="2" max="2" width="27.6640625" style="1" customWidth="1"/>
    <col min="3" max="24" width="9.83203125" style="1" bestFit="1" customWidth="1"/>
    <col min="25" max="25" width="10.83203125" style="1" bestFit="1" customWidth="1"/>
    <col min="26" max="26" width="8.83203125" style="1" bestFit="1" customWidth="1"/>
    <col min="27" max="27" width="9" style="1" bestFit="1" customWidth="1"/>
    <col min="28" max="28" width="9.83203125" style="1" bestFit="1" customWidth="1"/>
    <col min="29" max="29" width="8.83203125" style="1" bestFit="1" customWidth="1"/>
    <col min="30" max="33" width="9.6640625" style="1" customWidth="1"/>
    <col min="34" max="34" width="11.5" style="1" bestFit="1" customWidth="1"/>
    <col min="35" max="35" width="19" style="1" customWidth="1"/>
    <col min="36" max="36" width="8" style="1" customWidth="1"/>
    <col min="37" max="37" width="5" style="1" customWidth="1"/>
    <col min="38" max="38" width="27.6640625" style="1" customWidth="1"/>
    <col min="39" max="59" width="9.83203125" style="1" bestFit="1" customWidth="1"/>
    <col min="60" max="65" width="9.6640625" style="1" bestFit="1" customWidth="1"/>
    <col min="66" max="70" width="9.6640625" style="1" customWidth="1"/>
    <col min="71" max="16384" width="9.6640625" style="1"/>
  </cols>
  <sheetData>
    <row r="1" spans="1:70" ht="17.45">
      <c r="A1" s="497" t="s">
        <v>1518</v>
      </c>
      <c r="C1" s="14"/>
      <c r="D1" s="14"/>
      <c r="I1" s="5"/>
      <c r="AM1" s="14"/>
      <c r="AN1" s="14"/>
      <c r="AS1" s="5"/>
    </row>
    <row r="2" spans="1:70" ht="38.25" customHeight="1">
      <c r="B2" s="5" t="s">
        <v>1519</v>
      </c>
      <c r="J2" s="21"/>
      <c r="K2" s="21"/>
      <c r="L2" s="21"/>
      <c r="AL2" s="646" t="s">
        <v>1520</v>
      </c>
      <c r="AT2" s="21"/>
      <c r="AU2" s="21"/>
      <c r="AV2" s="21"/>
    </row>
    <row r="3" spans="1:70" ht="26.1">
      <c r="B3" s="4" t="s">
        <v>1469</v>
      </c>
      <c r="C3" s="23">
        <v>1990</v>
      </c>
      <c r="D3" s="23">
        <v>1991</v>
      </c>
      <c r="E3" s="23">
        <v>1992</v>
      </c>
      <c r="F3" s="23">
        <v>1993</v>
      </c>
      <c r="G3" s="23">
        <v>1994</v>
      </c>
      <c r="H3" s="23">
        <v>1995</v>
      </c>
      <c r="I3" s="23">
        <v>1996</v>
      </c>
      <c r="J3" s="23">
        <v>1997</v>
      </c>
      <c r="K3" s="23">
        <v>1998</v>
      </c>
      <c r="L3" s="23">
        <v>1999</v>
      </c>
      <c r="M3" s="23">
        <v>2000</v>
      </c>
      <c r="N3" s="23">
        <v>2001</v>
      </c>
      <c r="O3" s="23">
        <v>2002</v>
      </c>
      <c r="P3" s="23">
        <v>2003</v>
      </c>
      <c r="Q3" s="23">
        <v>2004</v>
      </c>
      <c r="R3" s="23">
        <v>2005</v>
      </c>
      <c r="S3" s="23">
        <v>2006</v>
      </c>
      <c r="T3" s="23">
        <v>2007</v>
      </c>
      <c r="U3" s="23">
        <v>2008</v>
      </c>
      <c r="V3" s="23">
        <v>2009</v>
      </c>
      <c r="W3" s="23">
        <v>2010</v>
      </c>
      <c r="X3" s="23">
        <v>2011</v>
      </c>
      <c r="Y3" s="23">
        <v>2012</v>
      </c>
      <c r="Z3" s="23">
        <v>2013</v>
      </c>
      <c r="AA3" s="23">
        <v>2014</v>
      </c>
      <c r="AB3" s="23">
        <v>2015</v>
      </c>
      <c r="AC3" s="23">
        <v>2016</v>
      </c>
      <c r="AD3" s="23">
        <v>2017</v>
      </c>
      <c r="AE3" s="23">
        <v>2018</v>
      </c>
      <c r="AF3" s="23">
        <v>2019</v>
      </c>
      <c r="AG3" s="23">
        <v>2020</v>
      </c>
      <c r="AH3" s="23">
        <v>2021</v>
      </c>
      <c r="AI3" s="753" t="s">
        <v>1515</v>
      </c>
      <c r="AL3" s="4" t="s">
        <v>1469</v>
      </c>
      <c r="AM3" s="23">
        <v>1990</v>
      </c>
      <c r="AN3" s="23">
        <v>1991</v>
      </c>
      <c r="AO3" s="23">
        <v>1992</v>
      </c>
      <c r="AP3" s="23">
        <v>1993</v>
      </c>
      <c r="AQ3" s="23">
        <v>1994</v>
      </c>
      <c r="AR3" s="23">
        <v>1995</v>
      </c>
      <c r="AS3" s="23">
        <v>1996</v>
      </c>
      <c r="AT3" s="23">
        <v>1997</v>
      </c>
      <c r="AU3" s="23">
        <v>1998</v>
      </c>
      <c r="AV3" s="23">
        <v>1999</v>
      </c>
      <c r="AW3" s="23">
        <v>2000</v>
      </c>
      <c r="AX3" s="23">
        <v>2001</v>
      </c>
      <c r="AY3" s="23">
        <v>2002</v>
      </c>
      <c r="AZ3" s="23">
        <v>2003</v>
      </c>
      <c r="BA3" s="23">
        <v>2004</v>
      </c>
      <c r="BB3" s="23">
        <v>2005</v>
      </c>
      <c r="BC3" s="23">
        <v>2006</v>
      </c>
      <c r="BD3" s="23">
        <v>2007</v>
      </c>
      <c r="BE3" s="23">
        <v>2008</v>
      </c>
      <c r="BF3" s="23">
        <v>2009</v>
      </c>
      <c r="BG3" s="23">
        <v>2010</v>
      </c>
      <c r="BH3" s="23">
        <v>2011</v>
      </c>
      <c r="BI3" s="23">
        <v>2012</v>
      </c>
      <c r="BJ3" s="23">
        <v>2013</v>
      </c>
      <c r="BK3" s="23">
        <v>2014</v>
      </c>
      <c r="BL3" s="23">
        <v>2015</v>
      </c>
      <c r="BM3" s="23">
        <v>2016</v>
      </c>
      <c r="BN3" s="23">
        <v>2017</v>
      </c>
      <c r="BO3" s="23">
        <v>2018</v>
      </c>
      <c r="BP3" s="23">
        <v>2019</v>
      </c>
      <c r="BQ3" s="23">
        <v>2020</v>
      </c>
      <c r="BR3" s="23">
        <v>2021</v>
      </c>
    </row>
    <row r="4" spans="1:70">
      <c r="B4" s="5" t="s">
        <v>1435</v>
      </c>
      <c r="C4" s="235">
        <f t="shared" ref="C4:C26" si="0">IFERROR((AM4-C31)/C31, "NA")</f>
        <v>-1.7727065210795388E-6</v>
      </c>
      <c r="D4" s="235">
        <f t="shared" ref="D4:D26" si="1">IFERROR((AN4-D31)/D31, "NA")</f>
        <v>-1.5378367894446773E-6</v>
      </c>
      <c r="E4" s="235">
        <f t="shared" ref="E4:E26" si="2">IFERROR((AO4-E31)/E31, "NA")</f>
        <v>-1.6748230473466682E-6</v>
      </c>
      <c r="F4" s="235">
        <f t="shared" ref="F4:F26" si="3">IFERROR((AP4-F31)/F31, "NA")</f>
        <v>-1.5487016353592256E-6</v>
      </c>
      <c r="G4" s="235">
        <f t="shared" ref="G4:G26" si="4">IFERROR((AQ4-G31)/G31, "NA")</f>
        <v>-1.1467464016762913E-6</v>
      </c>
      <c r="H4" s="235">
        <f t="shared" ref="H4:H26" si="5">IFERROR((AR4-H31)/H31, "NA")</f>
        <v>-1.7005696421457907E-6</v>
      </c>
      <c r="I4" s="235">
        <f t="shared" ref="I4:I26" si="6">IFERROR((AS4-I31)/I31, "NA")</f>
        <v>-4.0439794903160327E-6</v>
      </c>
      <c r="J4" s="235">
        <f t="shared" ref="J4:J26" si="7">IFERROR((AT4-J31)/J31, "NA")</f>
        <v>-2.7398277409702638E-6</v>
      </c>
      <c r="K4" s="235">
        <f t="shared" ref="K4:K26" si="8">IFERROR((AU4-K31)/K31, "NA")</f>
        <v>-2.3027565122148957E-6</v>
      </c>
      <c r="L4" s="235">
        <f t="shared" ref="L4:L26" si="9">IFERROR((AV4-L31)/L31, "NA")</f>
        <v>-1.9491551281784611E-6</v>
      </c>
      <c r="M4" s="235">
        <f t="shared" ref="M4:M26" si="10">IFERROR((AW4-M31)/M31, "NA")</f>
        <v>-2.9862042216943449E-6</v>
      </c>
      <c r="N4" s="235">
        <f t="shared" ref="N4:N26" si="11">IFERROR((AX4-N31)/N31, "NA")</f>
        <v>-2.6461437219223524E-6</v>
      </c>
      <c r="O4" s="235">
        <f t="shared" ref="O4:O26" si="12">IFERROR((AY4-O31)/O31, "NA")</f>
        <v>-2.9189398276981477E-6</v>
      </c>
      <c r="P4" s="235">
        <f t="shared" ref="P4:P26" si="13">IFERROR((AZ4-P31)/P31, "NA")</f>
        <v>-2.893518304099148E-6</v>
      </c>
      <c r="Q4" s="235">
        <f t="shared" ref="Q4:Q26" si="14">IFERROR((BA4-Q31)/Q31, "NA")</f>
        <v>-3.3244475976427765E-6</v>
      </c>
      <c r="R4" s="235">
        <f t="shared" ref="R4:R26" si="15">IFERROR((BB4-R31)/R31, "NA")</f>
        <v>-2.4980453074529015E-6</v>
      </c>
      <c r="S4" s="235">
        <f t="shared" ref="S4:S26" si="16">IFERROR((BC4-S31)/S31, "NA")</f>
        <v>-2.4975912991402262E-6</v>
      </c>
      <c r="T4" s="235">
        <f t="shared" ref="T4:T26" si="17">IFERROR((BD4-T31)/T31, "NA")</f>
        <v>-2.6635682372625159E-6</v>
      </c>
      <c r="U4" s="235">
        <f t="shared" ref="U4:U26" si="18">IFERROR((BE4-U31)/U31, "NA")</f>
        <v>-2.5506352948940328E-6</v>
      </c>
      <c r="V4" s="235">
        <f t="shared" ref="V4:V26" si="19">IFERROR((BF4-V31)/V31, "NA")</f>
        <v>-1.874387606816596E-6</v>
      </c>
      <c r="W4" s="235">
        <f t="shared" ref="W4:W26" si="20">IFERROR((BG4-W31)/W31, "NA")</f>
        <v>-2.4280780013859262E-6</v>
      </c>
      <c r="X4" s="235">
        <f t="shared" ref="X4:X26" si="21">IFERROR((BH4-X31)/X31, "NA")</f>
        <v>-2.9499328774022382E-6</v>
      </c>
      <c r="Y4" s="235">
        <f t="shared" ref="Y4:Y26" si="22">IFERROR((BI4-Y31)/Y31, "NA")</f>
        <v>-3.6193906187947791E-6</v>
      </c>
      <c r="Z4" s="235">
        <f t="shared" ref="Z4:Z26" si="23">IFERROR((BJ4-Z31)/Z31, "NA")</f>
        <v>-3.3276344293110525E-6</v>
      </c>
      <c r="AA4" s="235">
        <f t="shared" ref="AA4:AA26" si="24">IFERROR((BK4-AA31)/AA31, "NA")</f>
        <v>-3.024361485495146E-6</v>
      </c>
      <c r="AB4" s="235">
        <f t="shared" ref="AB4:AB26" si="25">IFERROR((BL4-AB31)/AB31, "NA")</f>
        <v>-3.2966907533139849E-6</v>
      </c>
      <c r="AC4" s="235">
        <f t="shared" ref="AC4:AC26" si="26">IFERROR((BM4-AC31)/AC31, "NA")</f>
        <v>-3.0577234868811978E-6</v>
      </c>
      <c r="AD4" s="235">
        <f t="shared" ref="AD4:AD26" si="27">IFERROR((BN4-AD31)/AD31, "NA")</f>
        <v>-3.4688247876502892E-6</v>
      </c>
      <c r="AE4" s="235">
        <f t="shared" ref="AE4:AE26" si="28">IFERROR((BO4-AE31)/AE31, "NA")</f>
        <v>-4.3992485339291366E-6</v>
      </c>
      <c r="AF4" s="235">
        <f t="shared" ref="AF4:AF26" si="29">IFERROR((BP4-AF31)/AF31, "NA")</f>
        <v>-4.9725736776020962E-6</v>
      </c>
      <c r="AG4" s="235">
        <f t="shared" ref="AG4:AG26" si="30">IFERROR((BQ4-AG31)/AG31, "NA")</f>
        <v>-2.8617530995503551E-6</v>
      </c>
      <c r="AH4" s="235">
        <f t="shared" ref="AH4:AH26" si="31">IFERROR((BR4-AH31)/AH31, "NA")</f>
        <v>1.2425537168739588E-4</v>
      </c>
      <c r="AL4" s="5" t="s">
        <v>1435</v>
      </c>
      <c r="AM4" s="29">
        <f>'Summary Table'!C7</f>
        <v>1719.7905675202103</v>
      </c>
      <c r="AN4" s="29">
        <f>'Summary Table'!D7</f>
        <v>1715.8414906701021</v>
      </c>
      <c r="AO4" s="29">
        <f>'Summary Table'!E7</f>
        <v>1732.964083384602</v>
      </c>
      <c r="AP4" s="29">
        <f>'Summary Table'!F7</f>
        <v>1798.3022089945043</v>
      </c>
      <c r="AQ4" s="29">
        <f>'Summary Table'!G7</f>
        <v>1805.0387555753732</v>
      </c>
      <c r="AR4" s="29">
        <f>'Summary Table'!H7</f>
        <v>1820.3661884011299</v>
      </c>
      <c r="AS4" s="29">
        <f>'Summary Table'!I7</f>
        <v>1905.2425111796135</v>
      </c>
      <c r="AT4" s="29">
        <f>'Summary Table'!J7</f>
        <v>1950.5093171006006</v>
      </c>
      <c r="AU4" s="29">
        <f>'Summary Table'!K7</f>
        <v>1979.3871034768661</v>
      </c>
      <c r="AV4" s="29">
        <f>'Summary Table'!L7</f>
        <v>1979.3982527801702</v>
      </c>
      <c r="AW4" s="29">
        <f>'Summary Table'!M7</f>
        <v>2065.1671427441197</v>
      </c>
      <c r="AX4" s="29">
        <f>'Summary Table'!N7</f>
        <v>2009.9844368029458</v>
      </c>
      <c r="AY4" s="29">
        <f>'Summary Table'!O7</f>
        <v>2019.6929977786024</v>
      </c>
      <c r="AZ4" s="29">
        <f>'Summary Table'!P7</f>
        <v>2061.0498326404877</v>
      </c>
      <c r="BA4" s="29">
        <f>'Summary Table'!Q7</f>
        <v>2076.2520875449427</v>
      </c>
      <c r="BB4" s="29">
        <f>'Summary Table'!R7</f>
        <v>2113.691770874987</v>
      </c>
      <c r="BC4" s="29">
        <f>'Summary Table'!S7</f>
        <v>2078.5236284534776</v>
      </c>
      <c r="BD4" s="29">
        <f>'Summary Table'!T7</f>
        <v>2107.8204533788362</v>
      </c>
      <c r="BE4" s="29">
        <f>'Summary Table'!U7</f>
        <v>2075.5075810551166</v>
      </c>
      <c r="BF4" s="29">
        <f>'Summary Table'!V7</f>
        <v>1837.5505397748595</v>
      </c>
      <c r="BG4" s="29">
        <f>'Summary Table'!W7</f>
        <v>1931.1818293988238</v>
      </c>
      <c r="BH4" s="29">
        <f>'Summary Table'!X7</f>
        <v>1817.6029485892238</v>
      </c>
      <c r="BI4" s="29">
        <f>'Summary Table'!Y7</f>
        <v>1597.3385397365948</v>
      </c>
      <c r="BJ4" s="29">
        <f>'Summary Table'!Z7</f>
        <v>1658.0054569283284</v>
      </c>
      <c r="BK4" s="29">
        <f>'Summary Table'!AA7</f>
        <v>1655.0570628896492</v>
      </c>
      <c r="BL4" s="29">
        <f>'Summary Table'!AB7</f>
        <v>1427.6334643005637</v>
      </c>
      <c r="BM4" s="29">
        <f>'Summary Table'!AC7</f>
        <v>1310.7026459470271</v>
      </c>
      <c r="BN4" s="29">
        <f>'Summary Table'!AD7</f>
        <v>1270.0160052537956</v>
      </c>
      <c r="BO4" s="29">
        <f>'Summary Table'!AE7</f>
        <v>1211.64115115703</v>
      </c>
      <c r="BP4" s="29">
        <f>'Summary Table'!AF7</f>
        <v>1028.1585450392627</v>
      </c>
      <c r="BQ4" s="29">
        <f>'Summary Table'!AG7</f>
        <v>835.60310155720231</v>
      </c>
      <c r="BR4" s="29">
        <f>'Summary Table'!AH7</f>
        <v>957.40984544204184</v>
      </c>
    </row>
    <row r="5" spans="1:70">
      <c r="B5" s="6" t="s">
        <v>1434</v>
      </c>
      <c r="C5" s="232">
        <f t="shared" si="0"/>
        <v>0</v>
      </c>
      <c r="D5" s="232">
        <f t="shared" si="1"/>
        <v>0</v>
      </c>
      <c r="E5" s="232">
        <f t="shared" si="2"/>
        <v>0</v>
      </c>
      <c r="F5" s="232">
        <f t="shared" si="3"/>
        <v>0</v>
      </c>
      <c r="G5" s="232">
        <f t="shared" si="4"/>
        <v>0</v>
      </c>
      <c r="H5" s="232">
        <f t="shared" si="5"/>
        <v>0</v>
      </c>
      <c r="I5" s="232">
        <f t="shared" si="6"/>
        <v>0</v>
      </c>
      <c r="J5" s="232">
        <f t="shared" si="7"/>
        <v>0</v>
      </c>
      <c r="K5" s="232">
        <f t="shared" si="8"/>
        <v>0</v>
      </c>
      <c r="L5" s="232">
        <f t="shared" si="9"/>
        <v>0</v>
      </c>
      <c r="M5" s="232">
        <f t="shared" si="10"/>
        <v>0</v>
      </c>
      <c r="N5" s="232">
        <f t="shared" si="11"/>
        <v>0</v>
      </c>
      <c r="O5" s="232">
        <f t="shared" si="12"/>
        <v>0</v>
      </c>
      <c r="P5" s="232">
        <f t="shared" si="13"/>
        <v>0</v>
      </c>
      <c r="Q5" s="232">
        <f t="shared" si="14"/>
        <v>0</v>
      </c>
      <c r="R5" s="232">
        <f t="shared" si="15"/>
        <v>0</v>
      </c>
      <c r="S5" s="232">
        <f t="shared" si="16"/>
        <v>0</v>
      </c>
      <c r="T5" s="232">
        <f t="shared" si="17"/>
        <v>0</v>
      </c>
      <c r="U5" s="232" t="str">
        <f t="shared" si="18"/>
        <v>NA</v>
      </c>
      <c r="V5" s="232" t="str">
        <f t="shared" si="19"/>
        <v>NA</v>
      </c>
      <c r="W5" s="232" t="str">
        <f t="shared" si="20"/>
        <v>NA</v>
      </c>
      <c r="X5" s="232" t="str">
        <f t="shared" si="21"/>
        <v>NA</v>
      </c>
      <c r="Y5" s="232" t="str">
        <f t="shared" si="22"/>
        <v>NA</v>
      </c>
      <c r="Z5" s="232" t="str">
        <f t="shared" si="23"/>
        <v>NA</v>
      </c>
      <c r="AA5" s="232" t="str">
        <f t="shared" si="24"/>
        <v>NA</v>
      </c>
      <c r="AB5" s="232" t="str">
        <f t="shared" si="25"/>
        <v>NA</v>
      </c>
      <c r="AC5" s="232" t="str">
        <f t="shared" si="26"/>
        <v>NA</v>
      </c>
      <c r="AD5" s="232" t="str">
        <f t="shared" si="27"/>
        <v>NA</v>
      </c>
      <c r="AE5" s="232" t="str">
        <f t="shared" si="28"/>
        <v>NA</v>
      </c>
      <c r="AF5" s="232" t="str">
        <f t="shared" si="29"/>
        <v>NA</v>
      </c>
      <c r="AG5" s="232" t="str">
        <f t="shared" si="30"/>
        <v>NA</v>
      </c>
      <c r="AH5" s="232" t="str">
        <f t="shared" si="31"/>
        <v>NA</v>
      </c>
      <c r="AL5" s="6" t="s">
        <v>1434</v>
      </c>
      <c r="AM5" s="25">
        <f>'Summary Table'!C8</f>
        <v>2.9876952520607118</v>
      </c>
      <c r="AN5" s="25">
        <f>'Summary Table'!D8</f>
        <v>2.4418665673276769</v>
      </c>
      <c r="AO5" s="25">
        <f>'Summary Table'!E8</f>
        <v>2.4754382193886699</v>
      </c>
      <c r="AP5" s="25">
        <f>'Summary Table'!F8</f>
        <v>2.4697527866952389</v>
      </c>
      <c r="AQ5" s="25">
        <f>'Summary Table'!G8</f>
        <v>1.9941820840028137</v>
      </c>
      <c r="AR5" s="25">
        <f>'Summary Table'!H8</f>
        <v>1.6716718149582452</v>
      </c>
      <c r="AS5" s="25">
        <f>'Summary Table'!I8</f>
        <v>1.5825801930815993</v>
      </c>
      <c r="AT5" s="25">
        <f>'Summary Table'!J8</f>
        <v>1.5181715699565763</v>
      </c>
      <c r="AU5" s="25">
        <f>'Summary Table'!K8</f>
        <v>1.1032453604176209</v>
      </c>
      <c r="AV5" s="25">
        <f>'Summary Table'!L8</f>
        <v>1.3314380787302316</v>
      </c>
      <c r="AW5" s="25">
        <f>'Summary Table'!M8</f>
        <v>1.0827568764835389</v>
      </c>
      <c r="AX5" s="25">
        <f>'Summary Table'!N8</f>
        <v>1.1408450183687231</v>
      </c>
      <c r="AY5" s="25">
        <f>'Summary Table'!O8</f>
        <v>1.1660507086849294</v>
      </c>
      <c r="AZ5" s="25">
        <f>'Summary Table'!P8</f>
        <v>1.1687672828281666</v>
      </c>
      <c r="BA5" s="25">
        <f>'Summary Table'!Q8</f>
        <v>1.0852533688090795</v>
      </c>
      <c r="BB5" s="25">
        <f>'Summary Table'!R8</f>
        <v>0.80525533457459764</v>
      </c>
      <c r="BC5" s="25">
        <f>'Summary Table'!S8</f>
        <v>0.61705166323197502</v>
      </c>
      <c r="BD5" s="25">
        <f>'Summary Table'!T8</f>
        <v>0.73943487324772961</v>
      </c>
      <c r="BE5" s="25">
        <f>'Summary Table'!U8</f>
        <v>0</v>
      </c>
      <c r="BF5" s="25">
        <f>'Summary Table'!V8</f>
        <v>0</v>
      </c>
      <c r="BG5" s="25">
        <f>'Summary Table'!W8</f>
        <v>0</v>
      </c>
      <c r="BH5" s="25">
        <f>'Summary Table'!X8</f>
        <v>0</v>
      </c>
      <c r="BI5" s="25">
        <f>'Summary Table'!Y8</f>
        <v>0</v>
      </c>
      <c r="BJ5" s="25">
        <f>'Summary Table'!Z8</f>
        <v>0</v>
      </c>
      <c r="BK5" s="25">
        <f>'Summary Table'!AA8</f>
        <v>0</v>
      </c>
      <c r="BL5" s="25">
        <f>'Summary Table'!AB8</f>
        <v>0</v>
      </c>
      <c r="BM5" s="25">
        <f>'Summary Table'!AC8</f>
        <v>0</v>
      </c>
      <c r="BN5" s="25">
        <f>'Summary Table'!AD8</f>
        <v>0</v>
      </c>
      <c r="BO5" s="25">
        <f>'Summary Table'!AE8</f>
        <v>0</v>
      </c>
      <c r="BP5" s="25">
        <f>'Summary Table'!AF8</f>
        <v>0</v>
      </c>
      <c r="BQ5" s="25">
        <f>'Summary Table'!AG8</f>
        <v>0</v>
      </c>
      <c r="BR5" s="25">
        <f>'Summary Table'!AH8</f>
        <v>0</v>
      </c>
    </row>
    <row r="6" spans="1:70">
      <c r="B6" s="6" t="s">
        <v>1441</v>
      </c>
      <c r="C6" s="232">
        <f t="shared" si="0"/>
        <v>0</v>
      </c>
      <c r="D6" s="232">
        <f t="shared" si="1"/>
        <v>0</v>
      </c>
      <c r="E6" s="232">
        <f t="shared" si="2"/>
        <v>0</v>
      </c>
      <c r="F6" s="232">
        <f t="shared" si="3"/>
        <v>0</v>
      </c>
      <c r="G6" s="232">
        <f t="shared" si="4"/>
        <v>0</v>
      </c>
      <c r="H6" s="232">
        <f t="shared" si="5"/>
        <v>0</v>
      </c>
      <c r="I6" s="232">
        <f t="shared" si="6"/>
        <v>0</v>
      </c>
      <c r="J6" s="232">
        <f t="shared" si="7"/>
        <v>0</v>
      </c>
      <c r="K6" s="232">
        <f t="shared" si="8"/>
        <v>0</v>
      </c>
      <c r="L6" s="232">
        <f t="shared" si="9"/>
        <v>0</v>
      </c>
      <c r="M6" s="232">
        <f t="shared" si="10"/>
        <v>0</v>
      </c>
      <c r="N6" s="232">
        <f t="shared" si="11"/>
        <v>0</v>
      </c>
      <c r="O6" s="232">
        <f t="shared" si="12"/>
        <v>0</v>
      </c>
      <c r="P6" s="232">
        <f t="shared" si="13"/>
        <v>0</v>
      </c>
      <c r="Q6" s="232">
        <f t="shared" si="14"/>
        <v>0</v>
      </c>
      <c r="R6" s="232">
        <f t="shared" si="15"/>
        <v>0</v>
      </c>
      <c r="S6" s="232">
        <f t="shared" si="16"/>
        <v>0</v>
      </c>
      <c r="T6" s="232">
        <f t="shared" si="17"/>
        <v>0</v>
      </c>
      <c r="U6" s="232">
        <f t="shared" si="18"/>
        <v>0</v>
      </c>
      <c r="V6" s="232">
        <f t="shared" si="19"/>
        <v>0</v>
      </c>
      <c r="W6" s="232">
        <f t="shared" si="20"/>
        <v>0</v>
      </c>
      <c r="X6" s="232">
        <f t="shared" si="21"/>
        <v>0</v>
      </c>
      <c r="Y6" s="232">
        <f t="shared" si="22"/>
        <v>0</v>
      </c>
      <c r="Z6" s="232">
        <f t="shared" si="23"/>
        <v>0</v>
      </c>
      <c r="AA6" s="232">
        <f t="shared" si="24"/>
        <v>0</v>
      </c>
      <c r="AB6" s="232">
        <f t="shared" si="25"/>
        <v>0</v>
      </c>
      <c r="AC6" s="232">
        <f t="shared" si="26"/>
        <v>0</v>
      </c>
      <c r="AD6" s="232">
        <f t="shared" si="27"/>
        <v>0</v>
      </c>
      <c r="AE6" s="232">
        <f t="shared" si="28"/>
        <v>0</v>
      </c>
      <c r="AF6" s="232">
        <f t="shared" si="29"/>
        <v>0</v>
      </c>
      <c r="AG6" s="232">
        <f t="shared" si="30"/>
        <v>0</v>
      </c>
      <c r="AH6" s="232">
        <f t="shared" si="31"/>
        <v>0</v>
      </c>
      <c r="AL6" s="6" t="s">
        <v>1441</v>
      </c>
      <c r="AM6" s="25">
        <f>'Summary Table'!C9</f>
        <v>11.950781008242847</v>
      </c>
      <c r="AN6" s="25">
        <f>'Summary Table'!D9</f>
        <v>11.123951798824036</v>
      </c>
      <c r="AO6" s="25">
        <f>'Summary Table'!E9</f>
        <v>11.2767921073171</v>
      </c>
      <c r="AP6" s="25">
        <f>'Summary Table'!F9</f>
        <v>11.251191944732801</v>
      </c>
      <c r="AQ6" s="25">
        <f>'Summary Table'!G9</f>
        <v>11.300110030238828</v>
      </c>
      <c r="AR6" s="25">
        <f>'Summary Table'!H9</f>
        <v>11.187393726740217</v>
      </c>
      <c r="AS6" s="25">
        <f>'Summary Table'!I9</f>
        <v>11.605301798192992</v>
      </c>
      <c r="AT6" s="25">
        <f>'Summary Table'!J9</f>
        <v>12.283500350691053</v>
      </c>
      <c r="AU6" s="25">
        <f>'Summary Table'!K9</f>
        <v>8.9264663574628376</v>
      </c>
      <c r="AV6" s="25">
        <f>'Summary Table'!L9</f>
        <v>9.7635618041440733</v>
      </c>
      <c r="AW6" s="25">
        <f>'Summary Table'!M9</f>
        <v>8.7603401271750982</v>
      </c>
      <c r="AX6" s="25">
        <f>'Summary Table'!N9</f>
        <v>9.2306379407867158</v>
      </c>
      <c r="AY6" s="25">
        <f>'Summary Table'!O9</f>
        <v>8.5511654681646281</v>
      </c>
      <c r="AZ6" s="25">
        <f>'Summary Table'!P9</f>
        <v>7.8219705072625967</v>
      </c>
      <c r="BA6" s="25">
        <f>'Summary Table'!Q9</f>
        <v>9.7670904901110305</v>
      </c>
      <c r="BB6" s="25">
        <f>'Summary Table'!R9</f>
        <v>9.2601022167636504</v>
      </c>
      <c r="BC6" s="25">
        <f>'Summary Table'!S9</f>
        <v>6.2387890463696039</v>
      </c>
      <c r="BD6" s="25">
        <f>'Summary Table'!T9</f>
        <v>6.6546288033802021</v>
      </c>
      <c r="BE6" s="25">
        <f>'Summary Table'!U9</f>
        <v>7.6116885807047296</v>
      </c>
      <c r="BF6" s="25">
        <f>'Summary Table'!V9</f>
        <v>6.9212944879527454</v>
      </c>
      <c r="BG6" s="25">
        <f>'Summary Table'!W9</f>
        <v>6.5764502150490669</v>
      </c>
      <c r="BH6" s="25">
        <f>'Summary Table'!X9</f>
        <v>5.8411054745380699</v>
      </c>
      <c r="BI6" s="25">
        <f>'Summary Table'!Y9</f>
        <v>4.1332779377363469</v>
      </c>
      <c r="BJ6" s="25">
        <f>'Summary Table'!Z9</f>
        <v>3.9349591086762437</v>
      </c>
      <c r="BK6" s="25">
        <f>'Summary Table'!AA9</f>
        <v>3.815747352827314</v>
      </c>
      <c r="BL6" s="25">
        <f>'Summary Table'!AB9</f>
        <v>2.9645721255676034</v>
      </c>
      <c r="BM6" s="25">
        <f>'Summary Table'!AC9</f>
        <v>2.2649918397973812</v>
      </c>
      <c r="BN6" s="25">
        <f>'Summary Table'!AD9</f>
        <v>1.9759169500269727</v>
      </c>
      <c r="BO6" s="25">
        <f>'Summary Table'!AE9</f>
        <v>1.7911940979329957</v>
      </c>
      <c r="BP6" s="25">
        <f>'Summary Table'!AF9</f>
        <v>1.6000991942164422</v>
      </c>
      <c r="BQ6" s="25">
        <f>'Summary Table'!AG9</f>
        <v>1.3945916740834434</v>
      </c>
      <c r="BR6" s="25">
        <f>'Summary Table'!AH9</f>
        <v>1.4304169328982714</v>
      </c>
    </row>
    <row r="7" spans="1:70">
      <c r="B7" s="6" t="s">
        <v>1443</v>
      </c>
      <c r="C7" s="232">
        <f t="shared" si="0"/>
        <v>-1.931480601521222E-5</v>
      </c>
      <c r="D7" s="232">
        <f t="shared" si="1"/>
        <v>-1.7063331821822714E-5</v>
      </c>
      <c r="E7" s="232">
        <f t="shared" si="2"/>
        <v>-1.9313642808786417E-5</v>
      </c>
      <c r="F7" s="232">
        <f t="shared" si="3"/>
        <v>-1.8256488988775035E-5</v>
      </c>
      <c r="G7" s="232">
        <f t="shared" si="4"/>
        <v>-1.34873870549874E-5</v>
      </c>
      <c r="H7" s="232">
        <f t="shared" si="5"/>
        <v>-2.1027648088026028E-5</v>
      </c>
      <c r="I7" s="232">
        <f t="shared" si="6"/>
        <v>-5.4996097004188251E-5</v>
      </c>
      <c r="J7" s="232">
        <f t="shared" si="7"/>
        <v>-3.810527494749209E-5</v>
      </c>
      <c r="K7" s="232">
        <f t="shared" si="8"/>
        <v>-3.2153300260807153E-5</v>
      </c>
      <c r="L7" s="232">
        <f t="shared" si="9"/>
        <v>-2.912159828729364E-5</v>
      </c>
      <c r="M7" s="232">
        <f t="shared" si="10"/>
        <v>-4.7996152792548415E-5</v>
      </c>
      <c r="N7" s="232">
        <f t="shared" si="11"/>
        <v>-4.0854498784363224E-5</v>
      </c>
      <c r="O7" s="232">
        <f t="shared" si="12"/>
        <v>-4.951452539634425E-5</v>
      </c>
      <c r="P7" s="232">
        <f t="shared" si="13"/>
        <v>-4.9928648740330614E-5</v>
      </c>
      <c r="Q7" s="232">
        <f t="shared" si="14"/>
        <v>-5.7309438002287383E-5</v>
      </c>
      <c r="R7" s="232">
        <f t="shared" si="15"/>
        <v>-4.4804933344351018E-5</v>
      </c>
      <c r="S7" s="232">
        <f t="shared" si="16"/>
        <v>-4.4913568387386597E-5</v>
      </c>
      <c r="T7" s="232">
        <f t="shared" si="17"/>
        <v>-5.0680143318328975E-5</v>
      </c>
      <c r="U7" s="232">
        <f t="shared" si="18"/>
        <v>-4.9904489591241784E-5</v>
      </c>
      <c r="V7" s="232">
        <f t="shared" si="19"/>
        <v>-3.9557494454517844E-5</v>
      </c>
      <c r="W7" s="232">
        <f t="shared" si="20"/>
        <v>-4.9794154613068142E-5</v>
      </c>
      <c r="X7" s="232">
        <f t="shared" si="21"/>
        <v>-6.2376472785368933E-5</v>
      </c>
      <c r="Y7" s="232">
        <f t="shared" si="22"/>
        <v>-7.3902675611034211E-5</v>
      </c>
      <c r="Z7" s="232">
        <f t="shared" si="23"/>
        <v>-6.9356383274609348E-5</v>
      </c>
      <c r="AA7" s="232">
        <f t="shared" si="24"/>
        <v>-6.3162716766838973E-5</v>
      </c>
      <c r="AB7" s="232">
        <f t="shared" si="25"/>
        <v>-6.7259365926247434E-5</v>
      </c>
      <c r="AC7" s="232">
        <f t="shared" si="26"/>
        <v>-6.3460092842996101E-5</v>
      </c>
      <c r="AD7" s="232">
        <f t="shared" si="27"/>
        <v>-7.5079807876214281E-5</v>
      </c>
      <c r="AE7" s="232">
        <f t="shared" si="28"/>
        <v>-9.794431726799479E-5</v>
      </c>
      <c r="AF7" s="232">
        <f t="shared" si="29"/>
        <v>-1.0336187182791128E-4</v>
      </c>
      <c r="AG7" s="232">
        <f t="shared" si="30"/>
        <v>-5.5652077074708102E-5</v>
      </c>
      <c r="AH7" s="232">
        <f t="shared" si="31"/>
        <v>-1.3943921409266495E-4</v>
      </c>
      <c r="AI7" s="394">
        <f>AVERAGE(C7:AH7)</f>
        <v>-5.1846644314023363E-5</v>
      </c>
      <c r="AL7" s="6" t="s">
        <v>1443</v>
      </c>
      <c r="AM7" s="25">
        <f>'Summary Table'!C10</f>
        <v>157.83904177851264</v>
      </c>
      <c r="AN7" s="25">
        <f>'Summary Table'!D10</f>
        <v>154.63821661006179</v>
      </c>
      <c r="AO7" s="25">
        <f>'Summary Table'!E10</f>
        <v>150.2749647363666</v>
      </c>
      <c r="AP7" s="25">
        <f>'Summary Table'!F10</f>
        <v>152.54778954502495</v>
      </c>
      <c r="AQ7" s="25">
        <f>'Summary Table'!G10</f>
        <v>153.46902592244419</v>
      </c>
      <c r="AR7" s="25">
        <f>'Summary Table'!H10</f>
        <v>147.21568642995061</v>
      </c>
      <c r="AS7" s="25">
        <f>'Summary Table'!I10</f>
        <v>140.08937876434783</v>
      </c>
      <c r="AT7" s="25">
        <f>'Summary Table'!J10</f>
        <v>140.23965311448606</v>
      </c>
      <c r="AU7" s="25">
        <f>'Summary Table'!K10</f>
        <v>141.75560347689387</v>
      </c>
      <c r="AV7" s="25">
        <f>'Summary Table'!L10</f>
        <v>132.48068946628473</v>
      </c>
      <c r="AW7" s="25">
        <f>'Summary Table'!M10</f>
        <v>128.48390763754276</v>
      </c>
      <c r="AX7" s="25">
        <f>'Summary Table'!N10</f>
        <v>130.18161126003045</v>
      </c>
      <c r="AY7" s="25">
        <f>'Summary Table'!O10</f>
        <v>119.05774285576179</v>
      </c>
      <c r="AZ7" s="25">
        <f>'Summary Table'!P10</f>
        <v>119.43854006261547</v>
      </c>
      <c r="BA7" s="25">
        <f>'Summary Table'!Q10</f>
        <v>120.43424047781994</v>
      </c>
      <c r="BB7" s="25">
        <f>'Summary Table'!R10</f>
        <v>117.84136322777762</v>
      </c>
      <c r="BC7" s="25">
        <f>'Summary Table'!S10</f>
        <v>115.57937880961637</v>
      </c>
      <c r="BD7" s="25">
        <f>'Summary Table'!T10</f>
        <v>110.7742334657229</v>
      </c>
      <c r="BE7" s="25">
        <f>'Summary Table'!U10</f>
        <v>106.0748691930491</v>
      </c>
      <c r="BF7" s="25">
        <f>'Summary Table'!V10</f>
        <v>87.066994880340218</v>
      </c>
      <c r="BG7" s="25">
        <f>'Summary Table'!W10</f>
        <v>94.164426530393271</v>
      </c>
      <c r="BH7" s="25">
        <f>'Summary Table'!X10</f>
        <v>85.953690906971573</v>
      </c>
      <c r="BI7" s="25">
        <f>'Summary Table'!Y10</f>
        <v>78.224309760947136</v>
      </c>
      <c r="BJ7" s="25">
        <f>'Summary Table'!Z10</f>
        <v>79.543821123315311</v>
      </c>
      <c r="BK7" s="25">
        <f>'Summary Table'!AA10</f>
        <v>79.242788637601819</v>
      </c>
      <c r="BL7" s="25">
        <f>'Summary Table'!AB10</f>
        <v>69.970403927797904</v>
      </c>
      <c r="BM7" s="25">
        <f>'Summary Table'!AC10</f>
        <v>63.150304482426023</v>
      </c>
      <c r="BN7" s="25">
        <f>'Summary Table'!AD10</f>
        <v>58.672866160806755</v>
      </c>
      <c r="BO7" s="25">
        <f>'Summary Table'!AE10</f>
        <v>54.41675515263988</v>
      </c>
      <c r="BP7" s="25">
        <f>'Summary Table'!AF10</f>
        <v>49.458189949163135</v>
      </c>
      <c r="BQ7" s="25">
        <f>'Summary Table'!AG10</f>
        <v>42.966294417900514</v>
      </c>
      <c r="BR7" s="25">
        <f>'Summary Table'!AH10</f>
        <v>43.026401331772739</v>
      </c>
    </row>
    <row r="8" spans="1:70">
      <c r="B8" s="6" t="s">
        <v>1445</v>
      </c>
      <c r="C8" s="232" t="str">
        <f t="shared" si="0"/>
        <v>NA</v>
      </c>
      <c r="D8" s="232" t="str">
        <f t="shared" si="1"/>
        <v>NA</v>
      </c>
      <c r="E8" s="232" t="str">
        <f t="shared" si="2"/>
        <v>NA</v>
      </c>
      <c r="F8" s="232" t="str">
        <f t="shared" si="3"/>
        <v>NA</v>
      </c>
      <c r="G8" s="232" t="str">
        <f t="shared" si="4"/>
        <v>NA</v>
      </c>
      <c r="H8" s="232" t="str">
        <f t="shared" si="5"/>
        <v>NA</v>
      </c>
      <c r="I8" s="232" t="str">
        <f t="shared" si="6"/>
        <v>NA</v>
      </c>
      <c r="J8" s="232" t="str">
        <f t="shared" si="7"/>
        <v>NA</v>
      </c>
      <c r="K8" s="232" t="str">
        <f t="shared" si="8"/>
        <v>NA</v>
      </c>
      <c r="L8" s="232" t="str">
        <f t="shared" si="9"/>
        <v>NA</v>
      </c>
      <c r="M8" s="232" t="str">
        <f t="shared" si="10"/>
        <v>NA</v>
      </c>
      <c r="N8" s="232" t="str">
        <f t="shared" si="11"/>
        <v>NA</v>
      </c>
      <c r="O8" s="232" t="str">
        <f t="shared" si="12"/>
        <v>NA</v>
      </c>
      <c r="P8" s="232" t="str">
        <f t="shared" si="13"/>
        <v>NA</v>
      </c>
      <c r="Q8" s="232" t="str">
        <f t="shared" si="14"/>
        <v>NA</v>
      </c>
      <c r="R8" s="232" t="str">
        <f t="shared" si="15"/>
        <v>NA</v>
      </c>
      <c r="S8" s="232" t="str">
        <f t="shared" si="16"/>
        <v>NA</v>
      </c>
      <c r="T8" s="232" t="str">
        <f t="shared" si="17"/>
        <v>NA</v>
      </c>
      <c r="U8" s="232" t="str">
        <f t="shared" si="18"/>
        <v>NA</v>
      </c>
      <c r="V8" s="232" t="str">
        <f t="shared" si="19"/>
        <v>NA</v>
      </c>
      <c r="W8" s="232" t="str">
        <f t="shared" si="20"/>
        <v>NA</v>
      </c>
      <c r="X8" s="232" t="str">
        <f t="shared" si="21"/>
        <v>NA</v>
      </c>
      <c r="Y8" s="232" t="str">
        <f t="shared" si="22"/>
        <v>NA</v>
      </c>
      <c r="Z8" s="232" t="str">
        <f t="shared" si="23"/>
        <v>NA</v>
      </c>
      <c r="AA8" s="232" t="str">
        <f t="shared" si="24"/>
        <v>NA</v>
      </c>
      <c r="AB8" s="232" t="str">
        <f t="shared" si="25"/>
        <v>NA</v>
      </c>
      <c r="AC8" s="232" t="str">
        <f t="shared" si="26"/>
        <v>NA</v>
      </c>
      <c r="AD8" s="232" t="str">
        <f t="shared" si="27"/>
        <v>NA</v>
      </c>
      <c r="AE8" s="232" t="str">
        <f t="shared" si="28"/>
        <v>NA</v>
      </c>
      <c r="AF8" s="232" t="str">
        <f t="shared" si="29"/>
        <v>NA</v>
      </c>
      <c r="AG8" s="232" t="str">
        <f t="shared" si="30"/>
        <v>NA</v>
      </c>
      <c r="AH8" s="232" t="str">
        <f t="shared" si="31"/>
        <v>NA</v>
      </c>
      <c r="AL8" s="6" t="s">
        <v>1445</v>
      </c>
      <c r="AM8" s="25" t="str">
        <f>'Summary Table'!C11</f>
        <v>NO</v>
      </c>
      <c r="AN8" s="25" t="str">
        <f>'Summary Table'!D11</f>
        <v>NO</v>
      </c>
      <c r="AO8" s="25" t="str">
        <f>'Summary Table'!E11</f>
        <v>NO</v>
      </c>
      <c r="AP8" s="25" t="str">
        <f>'Summary Table'!F11</f>
        <v>NO</v>
      </c>
      <c r="AQ8" s="25" t="str">
        <f>'Summary Table'!G11</f>
        <v>NO</v>
      </c>
      <c r="AR8" s="25" t="str">
        <f>'Summary Table'!H11</f>
        <v>NO</v>
      </c>
      <c r="AS8" s="25" t="str">
        <f>'Summary Table'!I11</f>
        <v>NO</v>
      </c>
      <c r="AT8" s="25" t="str">
        <f>'Summary Table'!J11</f>
        <v>NO</v>
      </c>
      <c r="AU8" s="25" t="str">
        <f>'Summary Table'!K11</f>
        <v>NO</v>
      </c>
      <c r="AV8" s="25" t="str">
        <f>'Summary Table'!L11</f>
        <v>NO</v>
      </c>
      <c r="AW8" s="25" t="str">
        <f>'Summary Table'!M11</f>
        <v>NO</v>
      </c>
      <c r="AX8" s="25" t="str">
        <f>'Summary Table'!N11</f>
        <v>NO</v>
      </c>
      <c r="AY8" s="25" t="str">
        <f>'Summary Table'!O11</f>
        <v>NO</v>
      </c>
      <c r="AZ8" s="25" t="str">
        <f>'Summary Table'!P11</f>
        <v>NO</v>
      </c>
      <c r="BA8" s="25" t="str">
        <f>'Summary Table'!Q11</f>
        <v>NO</v>
      </c>
      <c r="BB8" s="25" t="str">
        <f>'Summary Table'!R11</f>
        <v>NO</v>
      </c>
      <c r="BC8" s="25" t="str">
        <f>'Summary Table'!S11</f>
        <v>NO</v>
      </c>
      <c r="BD8" s="25" t="str">
        <f>'Summary Table'!T11</f>
        <v>NO</v>
      </c>
      <c r="BE8" s="25" t="str">
        <f>'Summary Table'!U11</f>
        <v>NO</v>
      </c>
      <c r="BF8" s="25" t="str">
        <f>'Summary Table'!V11</f>
        <v>NO</v>
      </c>
      <c r="BG8" s="25" t="str">
        <f>'Summary Table'!W11</f>
        <v>NO</v>
      </c>
      <c r="BH8" s="25" t="str">
        <f>'Summary Table'!X11</f>
        <v>NO</v>
      </c>
      <c r="BI8" s="25" t="str">
        <f>'Summary Table'!Y11</f>
        <v>NO</v>
      </c>
      <c r="BJ8" s="25" t="str">
        <f>'Summary Table'!Z11</f>
        <v>NO</v>
      </c>
      <c r="BK8" s="25" t="str">
        <f>'Summary Table'!AA11</f>
        <v>NO</v>
      </c>
      <c r="BL8" s="25" t="str">
        <f>'Summary Table'!AB11</f>
        <v>NO</v>
      </c>
      <c r="BM8" s="25" t="str">
        <f>'Summary Table'!AC11</f>
        <v>NO</v>
      </c>
      <c r="BN8" s="25" t="str">
        <f>'Summary Table'!AD11</f>
        <v>NO</v>
      </c>
      <c r="BO8" s="25" t="str">
        <f>'Summary Table'!AE11</f>
        <v>NO</v>
      </c>
      <c r="BP8" s="25" t="str">
        <f>'Summary Table'!AF11</f>
        <v>NO</v>
      </c>
      <c r="BQ8" s="25" t="str">
        <f>'Summary Table'!AG11</f>
        <v>NO</v>
      </c>
      <c r="BR8" s="25" t="str">
        <f>'Summary Table'!AH11</f>
        <v>NO</v>
      </c>
    </row>
    <row r="9" spans="1:70">
      <c r="B9" s="6" t="s">
        <v>1474</v>
      </c>
      <c r="C9" s="232">
        <f t="shared" si="0"/>
        <v>0</v>
      </c>
      <c r="D9" s="232">
        <f t="shared" si="1"/>
        <v>0</v>
      </c>
      <c r="E9" s="232">
        <f t="shared" si="2"/>
        <v>0</v>
      </c>
      <c r="F9" s="232">
        <f t="shared" si="3"/>
        <v>0</v>
      </c>
      <c r="G9" s="232">
        <f t="shared" si="4"/>
        <v>0</v>
      </c>
      <c r="H9" s="232">
        <f t="shared" si="5"/>
        <v>0</v>
      </c>
      <c r="I9" s="232">
        <f t="shared" si="6"/>
        <v>0</v>
      </c>
      <c r="J9" s="232">
        <f t="shared" si="7"/>
        <v>0</v>
      </c>
      <c r="K9" s="232">
        <f t="shared" si="8"/>
        <v>0</v>
      </c>
      <c r="L9" s="232">
        <f t="shared" si="9"/>
        <v>0</v>
      </c>
      <c r="M9" s="232">
        <f t="shared" si="10"/>
        <v>0</v>
      </c>
      <c r="N9" s="232">
        <f t="shared" si="11"/>
        <v>0</v>
      </c>
      <c r="O9" s="232">
        <f t="shared" si="12"/>
        <v>0</v>
      </c>
      <c r="P9" s="232">
        <f t="shared" si="13"/>
        <v>0</v>
      </c>
      <c r="Q9" s="232">
        <f t="shared" si="14"/>
        <v>0</v>
      </c>
      <c r="R9" s="232">
        <f t="shared" si="15"/>
        <v>0</v>
      </c>
      <c r="S9" s="232">
        <f t="shared" si="16"/>
        <v>0</v>
      </c>
      <c r="T9" s="232">
        <f t="shared" si="17"/>
        <v>0</v>
      </c>
      <c r="U9" s="232">
        <f t="shared" si="18"/>
        <v>0</v>
      </c>
      <c r="V9" s="232">
        <f t="shared" si="19"/>
        <v>0</v>
      </c>
      <c r="W9" s="232">
        <f t="shared" si="20"/>
        <v>0</v>
      </c>
      <c r="X9" s="232">
        <f t="shared" si="21"/>
        <v>0</v>
      </c>
      <c r="Y9" s="232">
        <f t="shared" si="22"/>
        <v>0</v>
      </c>
      <c r="Z9" s="232">
        <f t="shared" si="23"/>
        <v>0</v>
      </c>
      <c r="AA9" s="232">
        <f t="shared" si="24"/>
        <v>0</v>
      </c>
      <c r="AB9" s="232">
        <f t="shared" si="25"/>
        <v>0</v>
      </c>
      <c r="AC9" s="232">
        <f t="shared" si="26"/>
        <v>0</v>
      </c>
      <c r="AD9" s="232">
        <f t="shared" si="27"/>
        <v>0</v>
      </c>
      <c r="AE9" s="232">
        <f t="shared" si="28"/>
        <v>0</v>
      </c>
      <c r="AF9" s="232">
        <f t="shared" si="29"/>
        <v>0</v>
      </c>
      <c r="AG9" s="232">
        <f t="shared" si="30"/>
        <v>0</v>
      </c>
      <c r="AH9" s="232">
        <f t="shared" si="31"/>
        <v>1.37315655837912E-4</v>
      </c>
      <c r="AL9" s="6" t="s">
        <v>1474</v>
      </c>
      <c r="AM9" s="25">
        <f>'Summary Table'!C12</f>
        <v>1546.5138658365147</v>
      </c>
      <c r="AN9" s="25">
        <f>'Summary Table'!D12</f>
        <v>1547.1744736994474</v>
      </c>
      <c r="AO9" s="25">
        <f>'Summary Table'!E12</f>
        <v>1568.5414841172681</v>
      </c>
      <c r="AP9" s="25">
        <f>'Summary Table'!F12</f>
        <v>1631.6188101341861</v>
      </c>
      <c r="AQ9" s="25">
        <f>'Summary Table'!G12</f>
        <v>1637.8528422171717</v>
      </c>
      <c r="AR9" s="25">
        <f>'Summary Table'!H12</f>
        <v>1659.8609103723704</v>
      </c>
      <c r="AS9" s="25">
        <f>'Summary Table'!I12</f>
        <v>1751.5233947269828</v>
      </c>
      <c r="AT9" s="25">
        <f>'Summary Table'!J12</f>
        <v>1796.0188853915236</v>
      </c>
      <c r="AU9" s="25">
        <f>'Summary Table'!K12</f>
        <v>1827.1476965735826</v>
      </c>
      <c r="AV9" s="25">
        <f>'Summary Table'!L12</f>
        <v>1835.4022340292524</v>
      </c>
      <c r="AW9" s="25">
        <f>'Summary Table'!M12</f>
        <v>1926.3651342158976</v>
      </c>
      <c r="AX9" s="25">
        <f>'Summary Table'!N12</f>
        <v>1868.8345135593859</v>
      </c>
      <c r="AY9" s="25">
        <f>'Summary Table'!O12</f>
        <v>1888.8946691071951</v>
      </c>
      <c r="AZ9" s="25">
        <f>'Summary Table'!P12</f>
        <v>1929.9566599629634</v>
      </c>
      <c r="BA9" s="25">
        <f>'Summary Table'!Q12</f>
        <v>1942.0197985409238</v>
      </c>
      <c r="BB9" s="25">
        <f>'Summary Table'!R12</f>
        <v>1982.7713676303179</v>
      </c>
      <c r="BC9" s="25">
        <f>'Summary Table'!S12</f>
        <v>1952.6895189382972</v>
      </c>
      <c r="BD9" s="25">
        <f>'Summary Table'!T12</f>
        <v>1986.2497853491975</v>
      </c>
      <c r="BE9" s="25">
        <f>'Summary Table'!U12</f>
        <v>1958.3876061335875</v>
      </c>
      <c r="BF9" s="25">
        <f>'Summary Table'!V12</f>
        <v>1740.1526692444147</v>
      </c>
      <c r="BG9" s="25">
        <f>'Summary Table'!W12</f>
        <v>1827.2452396274032</v>
      </c>
      <c r="BH9" s="25">
        <f>'Summary Table'!X12</f>
        <v>1722.3698705628942</v>
      </c>
      <c r="BI9" s="25">
        <f>'Summary Table'!Y12</f>
        <v>1511.6931055686455</v>
      </c>
      <c r="BJ9" s="25">
        <f>'Summary Table'!Z12</f>
        <v>1571.2511273959044</v>
      </c>
      <c r="BK9" s="25">
        <f>'Summary Table'!AA12</f>
        <v>1568.556173908122</v>
      </c>
      <c r="BL9" s="25">
        <f>'Summary Table'!AB12</f>
        <v>1351.3884116145925</v>
      </c>
      <c r="BM9" s="25">
        <f>'Summary Table'!AC12</f>
        <v>1242.0166623259897</v>
      </c>
      <c r="BN9" s="25">
        <f>'Summary Table'!AD12</f>
        <v>1207.0667392920539</v>
      </c>
      <c r="BO9" s="25">
        <f>'Summary Table'!AE12</f>
        <v>1152.8764230464151</v>
      </c>
      <c r="BP9" s="25">
        <f>'Summary Table'!AF12</f>
        <v>973.5397823880611</v>
      </c>
      <c r="BQ9" s="25">
        <f>'Summary Table'!AG12</f>
        <v>788.15962639841325</v>
      </c>
      <c r="BR9" s="25">
        <f>'Summary Table'!AH12</f>
        <v>910.06445819817407</v>
      </c>
    </row>
    <row r="10" spans="1:70">
      <c r="B10" s="6" t="s">
        <v>1476</v>
      </c>
      <c r="C10" s="232">
        <f t="shared" si="0"/>
        <v>0</v>
      </c>
      <c r="D10" s="232">
        <f t="shared" si="1"/>
        <v>0</v>
      </c>
      <c r="E10" s="232">
        <f t="shared" si="2"/>
        <v>0</v>
      </c>
      <c r="F10" s="232">
        <f t="shared" si="3"/>
        <v>0</v>
      </c>
      <c r="G10" s="232">
        <f t="shared" si="4"/>
        <v>0</v>
      </c>
      <c r="H10" s="232">
        <f t="shared" si="5"/>
        <v>0</v>
      </c>
      <c r="I10" s="232">
        <f t="shared" si="6"/>
        <v>0</v>
      </c>
      <c r="J10" s="232">
        <f t="shared" si="7"/>
        <v>0</v>
      </c>
      <c r="K10" s="232">
        <f t="shared" si="8"/>
        <v>0</v>
      </c>
      <c r="L10" s="232">
        <f t="shared" si="9"/>
        <v>0</v>
      </c>
      <c r="M10" s="232">
        <f t="shared" si="10"/>
        <v>0</v>
      </c>
      <c r="N10" s="232">
        <f t="shared" si="11"/>
        <v>0</v>
      </c>
      <c r="O10" s="232">
        <f t="shared" si="12"/>
        <v>0</v>
      </c>
      <c r="P10" s="232">
        <f t="shared" si="13"/>
        <v>0</v>
      </c>
      <c r="Q10" s="232">
        <f t="shared" si="14"/>
        <v>0</v>
      </c>
      <c r="R10" s="232">
        <f t="shared" si="15"/>
        <v>0</v>
      </c>
      <c r="S10" s="232">
        <f t="shared" si="16"/>
        <v>0</v>
      </c>
      <c r="T10" s="232">
        <f t="shared" si="17"/>
        <v>0</v>
      </c>
      <c r="U10" s="232">
        <f t="shared" si="18"/>
        <v>0</v>
      </c>
      <c r="V10" s="232">
        <f t="shared" si="19"/>
        <v>0</v>
      </c>
      <c r="W10" s="232">
        <f t="shared" si="20"/>
        <v>0</v>
      </c>
      <c r="X10" s="232">
        <f t="shared" si="21"/>
        <v>0</v>
      </c>
      <c r="Y10" s="232">
        <f t="shared" si="22"/>
        <v>0</v>
      </c>
      <c r="Z10" s="232">
        <f t="shared" si="23"/>
        <v>0</v>
      </c>
      <c r="AA10" s="232">
        <f t="shared" si="24"/>
        <v>0</v>
      </c>
      <c r="AB10" s="232">
        <f t="shared" si="25"/>
        <v>0</v>
      </c>
      <c r="AC10" s="232">
        <f t="shared" si="26"/>
        <v>0</v>
      </c>
      <c r="AD10" s="232">
        <f t="shared" si="27"/>
        <v>0</v>
      </c>
      <c r="AE10" s="232">
        <f t="shared" si="28"/>
        <v>0</v>
      </c>
      <c r="AF10" s="232">
        <f t="shared" si="29"/>
        <v>0</v>
      </c>
      <c r="AG10" s="232">
        <f t="shared" si="30"/>
        <v>0</v>
      </c>
      <c r="AH10" s="232">
        <f t="shared" si="31"/>
        <v>0</v>
      </c>
      <c r="AI10" s="394"/>
      <c r="AL10" s="6" t="s">
        <v>1476</v>
      </c>
      <c r="AM10" s="25">
        <f>'Summary Table'!C13</f>
        <v>0.49918364487950195</v>
      </c>
      <c r="AN10" s="25">
        <f>'Summary Table'!D13</f>
        <v>0.46298199444111593</v>
      </c>
      <c r="AO10" s="25">
        <f>'Summary Table'!E13</f>
        <v>0.39540420426145789</v>
      </c>
      <c r="AP10" s="25">
        <f>'Summary Table'!F13</f>
        <v>0.414664583865334</v>
      </c>
      <c r="AQ10" s="25">
        <f>'Summary Table'!G13</f>
        <v>0.4225953215157458</v>
      </c>
      <c r="AR10" s="25">
        <f>'Summary Table'!H13</f>
        <v>0.43052605711056213</v>
      </c>
      <c r="AS10" s="25">
        <f>'Summary Table'!I13</f>
        <v>0.44185569700838989</v>
      </c>
      <c r="AT10" s="25">
        <f>'Summary Table'!J13</f>
        <v>0.44910667394322812</v>
      </c>
      <c r="AU10" s="25">
        <f>'Summary Table'!K13</f>
        <v>0.45409170850918595</v>
      </c>
      <c r="AV10" s="25">
        <f>'Summary Table'!L13</f>
        <v>0.42032940175863998</v>
      </c>
      <c r="AW10" s="25">
        <f>'Summary Table'!M13</f>
        <v>0.47500388702083407</v>
      </c>
      <c r="AX10" s="25">
        <f>'Summary Table'!N13</f>
        <v>0.59682902437400609</v>
      </c>
      <c r="AY10" s="25">
        <f>'Summary Table'!O13</f>
        <v>2.0233696387959919</v>
      </c>
      <c r="AZ10" s="25">
        <f>'Summary Table'!P13</f>
        <v>2.6638948248182412</v>
      </c>
      <c r="BA10" s="25">
        <f>'Summary Table'!Q13</f>
        <v>2.9457046672788625</v>
      </c>
      <c r="BB10" s="25">
        <f>'Summary Table'!R13</f>
        <v>3.0136824655534786</v>
      </c>
      <c r="BC10" s="25">
        <f>'Summary Table'!S13</f>
        <v>3.3988899959624983</v>
      </c>
      <c r="BD10" s="25">
        <f>'Summary Table'!T13</f>
        <v>3.4023708872877636</v>
      </c>
      <c r="BE10" s="25">
        <f>'Summary Table'!U13</f>
        <v>3.4334171477753794</v>
      </c>
      <c r="BF10" s="25">
        <f>'Summary Table'!V13</f>
        <v>3.4095811621519387</v>
      </c>
      <c r="BG10" s="25">
        <f>'Summary Table'!W13</f>
        <v>3.1957130259780819</v>
      </c>
      <c r="BH10" s="25">
        <f>'Summary Table'!X13</f>
        <v>3.4382816448199178</v>
      </c>
      <c r="BI10" s="25">
        <f>'Summary Table'!Y13</f>
        <v>3.2878464692658049</v>
      </c>
      <c r="BJ10" s="25">
        <f>'Summary Table'!Z13</f>
        <v>3.275549300432385</v>
      </c>
      <c r="BK10" s="25">
        <f>'Summary Table'!AA13</f>
        <v>3.4423529910979647</v>
      </c>
      <c r="BL10" s="25">
        <f>'Summary Table'!AB13</f>
        <v>3.3100766326055582</v>
      </c>
      <c r="BM10" s="25">
        <f>'Summary Table'!AC13</f>
        <v>3.2706872988139057</v>
      </c>
      <c r="BN10" s="25">
        <f>'Summary Table'!AD13</f>
        <v>2.3004828509080002</v>
      </c>
      <c r="BO10" s="25">
        <f>'Summary Table'!AE13</f>
        <v>2.5567788600420003</v>
      </c>
      <c r="BP10" s="25">
        <f>'Summary Table'!AF13</f>
        <v>3.5604735078220004</v>
      </c>
      <c r="BQ10" s="25">
        <f>'Summary Table'!AG13</f>
        <v>3.0825890668051215</v>
      </c>
      <c r="BR10" s="25">
        <f>'Summary Table'!AH13</f>
        <v>2.8885689791967102</v>
      </c>
    </row>
    <row r="11" spans="1:70">
      <c r="B11" s="5" t="s">
        <v>1439</v>
      </c>
      <c r="C11" s="235">
        <f t="shared" si="0"/>
        <v>0</v>
      </c>
      <c r="D11" s="235">
        <f t="shared" si="1"/>
        <v>0</v>
      </c>
      <c r="E11" s="235">
        <f t="shared" si="2"/>
        <v>0</v>
      </c>
      <c r="F11" s="235">
        <f t="shared" si="3"/>
        <v>0</v>
      </c>
      <c r="G11" s="235">
        <f t="shared" si="4"/>
        <v>0</v>
      </c>
      <c r="H11" s="235">
        <f t="shared" si="5"/>
        <v>0</v>
      </c>
      <c r="I11" s="235">
        <f t="shared" si="6"/>
        <v>0</v>
      </c>
      <c r="J11" s="235">
        <f t="shared" si="7"/>
        <v>0</v>
      </c>
      <c r="K11" s="235">
        <f t="shared" si="8"/>
        <v>0</v>
      </c>
      <c r="L11" s="235">
        <f t="shared" si="9"/>
        <v>0</v>
      </c>
      <c r="M11" s="235">
        <f t="shared" si="10"/>
        <v>0</v>
      </c>
      <c r="N11" s="235">
        <f t="shared" si="11"/>
        <v>0</v>
      </c>
      <c r="O11" s="235">
        <f t="shared" si="12"/>
        <v>0</v>
      </c>
      <c r="P11" s="235">
        <f t="shared" si="13"/>
        <v>0</v>
      </c>
      <c r="Q11" s="235">
        <f t="shared" si="14"/>
        <v>0</v>
      </c>
      <c r="R11" s="235">
        <f t="shared" si="15"/>
        <v>0</v>
      </c>
      <c r="S11" s="235">
        <f t="shared" si="16"/>
        <v>0</v>
      </c>
      <c r="T11" s="235">
        <f t="shared" si="17"/>
        <v>0</v>
      </c>
      <c r="U11" s="235">
        <f t="shared" si="18"/>
        <v>0</v>
      </c>
      <c r="V11" s="235">
        <f t="shared" si="19"/>
        <v>0</v>
      </c>
      <c r="W11" s="235">
        <f t="shared" si="20"/>
        <v>0</v>
      </c>
      <c r="X11" s="235">
        <f t="shared" si="21"/>
        <v>0</v>
      </c>
      <c r="Y11" s="235">
        <f t="shared" si="22"/>
        <v>0</v>
      </c>
      <c r="Z11" s="235">
        <f t="shared" si="23"/>
        <v>0</v>
      </c>
      <c r="AA11" s="235">
        <f t="shared" si="24"/>
        <v>0</v>
      </c>
      <c r="AB11" s="235">
        <f t="shared" si="25"/>
        <v>0</v>
      </c>
      <c r="AC11" s="235">
        <f t="shared" si="26"/>
        <v>0</v>
      </c>
      <c r="AD11" s="235">
        <f t="shared" si="27"/>
        <v>0</v>
      </c>
      <c r="AE11" s="235">
        <f t="shared" si="28"/>
        <v>0</v>
      </c>
      <c r="AF11" s="235">
        <f t="shared" si="29"/>
        <v>-5.3390782460783644E-6</v>
      </c>
      <c r="AG11" s="235">
        <f t="shared" si="30"/>
        <v>2.0248340361344549E-3</v>
      </c>
      <c r="AH11" s="235">
        <f t="shared" si="31"/>
        <v>6.6981394868470523E-4</v>
      </c>
      <c r="AI11" s="496">
        <f>AVERAGE(AE11:AH11)</f>
        <v>6.7232722664327046E-4</v>
      </c>
      <c r="AL11" s="5" t="s">
        <v>1439</v>
      </c>
      <c r="AM11" s="29">
        <f>'Summary Table'!C14</f>
        <v>998.62349225994672</v>
      </c>
      <c r="AN11" s="29">
        <f>'Summary Table'!D14</f>
        <v>1020.8766721472523</v>
      </c>
      <c r="AO11" s="29">
        <f>'Summary Table'!E14</f>
        <v>1054.3448652335699</v>
      </c>
      <c r="AP11" s="29">
        <f>'Summary Table'!F14</f>
        <v>1081.8087995998724</v>
      </c>
      <c r="AQ11" s="29">
        <f>'Summary Table'!G14</f>
        <v>1106.597648493778</v>
      </c>
      <c r="AR11" s="29">
        <f>'Summary Table'!H14</f>
        <v>1155.0125862325747</v>
      </c>
      <c r="AS11" s="29">
        <f>'Summary Table'!I14</f>
        <v>1176.2845125565316</v>
      </c>
      <c r="AT11" s="29">
        <f>'Summary Table'!J14</f>
        <v>1182.4608296957772</v>
      </c>
      <c r="AU11" s="29">
        <f>'Summary Table'!K14</f>
        <v>1158.6521439145599</v>
      </c>
      <c r="AV11" s="29">
        <f>'Summary Table'!L14</f>
        <v>1162.936857405308</v>
      </c>
      <c r="AW11" s="29">
        <f>'Summary Table'!M14</f>
        <v>1218.6319252846156</v>
      </c>
      <c r="AX11" s="29">
        <f>'Summary Table'!N14</f>
        <v>1169.4461080717133</v>
      </c>
      <c r="AY11" s="29">
        <f>'Summary Table'!O14</f>
        <v>1207.9329265155102</v>
      </c>
      <c r="AZ11" s="29">
        <f>'Summary Table'!P14</f>
        <v>1176.9526767172179</v>
      </c>
      <c r="BA11" s="29">
        <f>'Summary Table'!Q14</f>
        <v>1182.8257812622635</v>
      </c>
      <c r="BB11" s="29">
        <f>'Summary Table'!R14</f>
        <v>1166.1619067933786</v>
      </c>
      <c r="BC11" s="29">
        <f>'Summary Table'!S14</f>
        <v>1151.0489744030008</v>
      </c>
      <c r="BD11" s="29">
        <f>'Summary Table'!T14</f>
        <v>1225.0297403637483</v>
      </c>
      <c r="BE11" s="29">
        <f>'Summary Table'!U14</f>
        <v>1235.880817407465</v>
      </c>
      <c r="BF11" s="29">
        <f>'Summary Table'!V14</f>
        <v>1214.2348492596584</v>
      </c>
      <c r="BG11" s="29">
        <f>'Summary Table'!W14</f>
        <v>1273.1434121564739</v>
      </c>
      <c r="BH11" s="29">
        <f>'Summary Table'!X14</f>
        <v>1292.7853933595727</v>
      </c>
      <c r="BI11" s="29">
        <f>'Summary Table'!Y14</f>
        <v>1352.7983238212385</v>
      </c>
      <c r="BJ11" s="29">
        <f>'Summary Table'!Z14</f>
        <v>1390.8096077883677</v>
      </c>
      <c r="BK11" s="29">
        <f>'Summary Table'!AA14</f>
        <v>1419.1264948240514</v>
      </c>
      <c r="BL11" s="29">
        <f>'Summary Table'!AB14</f>
        <v>1455.3863220654703</v>
      </c>
      <c r="BM11" s="29">
        <f>'Summary Table'!AC14</f>
        <v>1461.3213135943815</v>
      </c>
      <c r="BN11" s="29">
        <f>'Summary Table'!AD14</f>
        <v>1433.2473396264857</v>
      </c>
      <c r="BO11" s="29">
        <f>'Summary Table'!AE14</f>
        <v>1591.9666965204153</v>
      </c>
      <c r="BP11" s="29">
        <f>'Summary Table'!AF14</f>
        <v>1649.2440851633467</v>
      </c>
      <c r="BQ11" s="29">
        <f>'Summary Table'!AG14</f>
        <v>1615.678934586985</v>
      </c>
      <c r="BR11" s="29">
        <f>'Summary Table'!AH14</f>
        <v>1622.0683091042599</v>
      </c>
    </row>
    <row r="12" spans="1:70">
      <c r="B12" s="6" t="s">
        <v>1434</v>
      </c>
      <c r="C12" s="232">
        <f t="shared" si="0"/>
        <v>0</v>
      </c>
      <c r="D12" s="232">
        <f t="shared" si="1"/>
        <v>0</v>
      </c>
      <c r="E12" s="232">
        <f t="shared" si="2"/>
        <v>0</v>
      </c>
      <c r="F12" s="232">
        <f t="shared" si="3"/>
        <v>0</v>
      </c>
      <c r="G12" s="232">
        <f t="shared" si="4"/>
        <v>0</v>
      </c>
      <c r="H12" s="232">
        <f t="shared" si="5"/>
        <v>0</v>
      </c>
      <c r="I12" s="232">
        <f t="shared" si="6"/>
        <v>0</v>
      </c>
      <c r="J12" s="232">
        <f t="shared" si="7"/>
        <v>0</v>
      </c>
      <c r="K12" s="232">
        <f t="shared" si="8"/>
        <v>0</v>
      </c>
      <c r="L12" s="232">
        <f t="shared" si="9"/>
        <v>0</v>
      </c>
      <c r="M12" s="232">
        <f t="shared" si="10"/>
        <v>0</v>
      </c>
      <c r="N12" s="232">
        <f t="shared" si="11"/>
        <v>0</v>
      </c>
      <c r="O12" s="232">
        <f t="shared" si="12"/>
        <v>0</v>
      </c>
      <c r="P12" s="232">
        <f t="shared" si="13"/>
        <v>0</v>
      </c>
      <c r="Q12" s="232">
        <f t="shared" si="14"/>
        <v>0</v>
      </c>
      <c r="R12" s="232">
        <f t="shared" si="15"/>
        <v>0</v>
      </c>
      <c r="S12" s="232">
        <f t="shared" si="16"/>
        <v>0</v>
      </c>
      <c r="T12" s="232">
        <f t="shared" si="17"/>
        <v>0</v>
      </c>
      <c r="U12" s="232">
        <f t="shared" si="18"/>
        <v>0</v>
      </c>
      <c r="V12" s="232">
        <f t="shared" si="19"/>
        <v>0</v>
      </c>
      <c r="W12" s="232">
        <f t="shared" si="20"/>
        <v>0</v>
      </c>
      <c r="X12" s="232">
        <f t="shared" si="21"/>
        <v>0</v>
      </c>
      <c r="Y12" s="232">
        <f t="shared" si="22"/>
        <v>0</v>
      </c>
      <c r="Z12" s="232">
        <f t="shared" si="23"/>
        <v>0</v>
      </c>
      <c r="AA12" s="232">
        <f t="shared" si="24"/>
        <v>0</v>
      </c>
      <c r="AB12" s="232">
        <f t="shared" si="25"/>
        <v>0</v>
      </c>
      <c r="AC12" s="232">
        <f t="shared" si="26"/>
        <v>0</v>
      </c>
      <c r="AD12" s="232">
        <f t="shared" si="27"/>
        <v>0</v>
      </c>
      <c r="AE12" s="232">
        <f t="shared" si="28"/>
        <v>0</v>
      </c>
      <c r="AF12" s="232">
        <f t="shared" si="29"/>
        <v>0</v>
      </c>
      <c r="AG12" s="232">
        <f t="shared" si="30"/>
        <v>2.4764382380433627E-6</v>
      </c>
      <c r="AH12" s="232">
        <f t="shared" si="31"/>
        <v>1.0146492024262997E-4</v>
      </c>
      <c r="AI12" s="394">
        <f>AVERAGE(AE12:AH12)</f>
        <v>2.5985339620168335E-5</v>
      </c>
      <c r="AL12" s="6" t="s">
        <v>1434</v>
      </c>
      <c r="AM12" s="25">
        <f>'Summary Table'!C15</f>
        <v>237.79751316701928</v>
      </c>
      <c r="AN12" s="25">
        <f>'Summary Table'!D15</f>
        <v>247.3163708646733</v>
      </c>
      <c r="AO12" s="25">
        <f>'Summary Table'!E15</f>
        <v>254.59497787985759</v>
      </c>
      <c r="AP12" s="25">
        <f>'Summary Table'!F15</f>
        <v>268.22932615115491</v>
      </c>
      <c r="AQ12" s="25">
        <f>'Summary Table'!G15</f>
        <v>262.94355944535857</v>
      </c>
      <c r="AR12" s="25">
        <f>'Summary Table'!H15</f>
        <v>262.76570850496319</v>
      </c>
      <c r="AS12" s="25">
        <f>'Summary Table'!I15</f>
        <v>283.99195492868381</v>
      </c>
      <c r="AT12" s="25">
        <f>'Summary Table'!J15</f>
        <v>270.12382236394063</v>
      </c>
      <c r="AU12" s="25">
        <f>'Summary Table'!K15</f>
        <v>246.13967860387044</v>
      </c>
      <c r="AV12" s="25">
        <f>'Summary Table'!L15</f>
        <v>256.37921536804282</v>
      </c>
      <c r="AW12" s="25">
        <f>'Summary Table'!M15</f>
        <v>270.80589926201588</v>
      </c>
      <c r="AX12" s="25">
        <f>'Summary Table'!N15</f>
        <v>259.1889647876601</v>
      </c>
      <c r="AY12" s="25">
        <f>'Summary Table'!O15</f>
        <v>265.05318507540636</v>
      </c>
      <c r="AZ12" s="25">
        <f>'Summary Table'!P15</f>
        <v>276.17534859880868</v>
      </c>
      <c r="BA12" s="25">
        <f>'Summary Table'!Q15</f>
        <v>264.17877611421051</v>
      </c>
      <c r="BB12" s="25">
        <f>'Summary Table'!R15</f>
        <v>262.2286055672738</v>
      </c>
      <c r="BC12" s="25">
        <f>'Summary Table'!S15</f>
        <v>237.28839962332515</v>
      </c>
      <c r="BD12" s="25">
        <f>'Summary Table'!T15</f>
        <v>256.4079028660679</v>
      </c>
      <c r="BE12" s="25">
        <f>'Summary Table'!U15</f>
        <v>265.66749545875354</v>
      </c>
      <c r="BF12" s="25">
        <f>'Summary Table'!V15</f>
        <v>259.05601805220141</v>
      </c>
      <c r="BG12" s="25">
        <f>'Summary Table'!W15</f>
        <v>258.91127602274685</v>
      </c>
      <c r="BH12" s="25">
        <f>'Summary Table'!X15</f>
        <v>255.06803132826391</v>
      </c>
      <c r="BI12" s="25">
        <f>'Summary Table'!Y15</f>
        <v>225.10147681644284</v>
      </c>
      <c r="BJ12" s="25">
        <f>'Summary Table'!Z15</f>
        <v>266.35053365110366</v>
      </c>
      <c r="BK12" s="25">
        <f>'Summary Table'!AA15</f>
        <v>277.6716054191445</v>
      </c>
      <c r="BL12" s="25">
        <f>'Summary Table'!AB15</f>
        <v>252.72391355879935</v>
      </c>
      <c r="BM12" s="25">
        <f>'Summary Table'!AC15</f>
        <v>238.38223392683929</v>
      </c>
      <c r="BN12" s="25">
        <f>'Summary Table'!AD15</f>
        <v>241.48609403530835</v>
      </c>
      <c r="BO12" s="25">
        <f>'Summary Table'!AE15</f>
        <v>273.81436679347121</v>
      </c>
      <c r="BP12" s="25">
        <f>'Summary Table'!AF15</f>
        <v>275.46887973202541</v>
      </c>
      <c r="BQ12" s="25">
        <f>'Summary Table'!AG15</f>
        <v>256.36135242960933</v>
      </c>
      <c r="BR12" s="25">
        <f>'Summary Table'!AH15</f>
        <v>258.64706539139297</v>
      </c>
    </row>
    <row r="13" spans="1:70">
      <c r="B13" s="6" t="s">
        <v>1441</v>
      </c>
      <c r="C13" s="232">
        <f t="shared" si="0"/>
        <v>0</v>
      </c>
      <c r="D13" s="232">
        <f t="shared" si="1"/>
        <v>0</v>
      </c>
      <c r="E13" s="232">
        <f t="shared" si="2"/>
        <v>0</v>
      </c>
      <c r="F13" s="232">
        <f t="shared" si="3"/>
        <v>0</v>
      </c>
      <c r="G13" s="232">
        <f t="shared" si="4"/>
        <v>0</v>
      </c>
      <c r="H13" s="232">
        <f t="shared" si="5"/>
        <v>0</v>
      </c>
      <c r="I13" s="232">
        <f t="shared" si="6"/>
        <v>0</v>
      </c>
      <c r="J13" s="232">
        <f t="shared" si="7"/>
        <v>0</v>
      </c>
      <c r="K13" s="232">
        <f t="shared" si="8"/>
        <v>0</v>
      </c>
      <c r="L13" s="232">
        <f t="shared" si="9"/>
        <v>0</v>
      </c>
      <c r="M13" s="232">
        <f t="shared" si="10"/>
        <v>0</v>
      </c>
      <c r="N13" s="232">
        <f t="shared" si="11"/>
        <v>0</v>
      </c>
      <c r="O13" s="232">
        <f t="shared" si="12"/>
        <v>0</v>
      </c>
      <c r="P13" s="232">
        <f t="shared" si="13"/>
        <v>0</v>
      </c>
      <c r="Q13" s="232">
        <f t="shared" si="14"/>
        <v>0</v>
      </c>
      <c r="R13" s="232">
        <f t="shared" si="15"/>
        <v>0</v>
      </c>
      <c r="S13" s="232">
        <f t="shared" si="16"/>
        <v>0</v>
      </c>
      <c r="T13" s="232">
        <f t="shared" si="17"/>
        <v>0</v>
      </c>
      <c r="U13" s="232">
        <f t="shared" si="18"/>
        <v>0</v>
      </c>
      <c r="V13" s="232">
        <f t="shared" si="19"/>
        <v>0</v>
      </c>
      <c r="W13" s="232">
        <f t="shared" si="20"/>
        <v>0</v>
      </c>
      <c r="X13" s="232">
        <f t="shared" si="21"/>
        <v>0</v>
      </c>
      <c r="Y13" s="232">
        <f t="shared" si="22"/>
        <v>0</v>
      </c>
      <c r="Z13" s="232">
        <f t="shared" si="23"/>
        <v>0</v>
      </c>
      <c r="AA13" s="232">
        <f t="shared" si="24"/>
        <v>0</v>
      </c>
      <c r="AB13" s="232">
        <f t="shared" si="25"/>
        <v>0</v>
      </c>
      <c r="AC13" s="232">
        <f t="shared" si="26"/>
        <v>0</v>
      </c>
      <c r="AD13" s="232">
        <f t="shared" si="27"/>
        <v>0</v>
      </c>
      <c r="AE13" s="232">
        <f t="shared" si="28"/>
        <v>0</v>
      </c>
      <c r="AF13" s="232">
        <f t="shared" si="29"/>
        <v>0</v>
      </c>
      <c r="AG13" s="232">
        <f t="shared" si="30"/>
        <v>-2.2963684755410753E-3</v>
      </c>
      <c r="AH13" s="232">
        <f t="shared" si="31"/>
        <v>-2.7668946134625084E-3</v>
      </c>
      <c r="AI13" s="394">
        <f>AVERAGE(AE13:AH13)</f>
        <v>-1.265815772250896E-3</v>
      </c>
      <c r="AL13" s="6" t="s">
        <v>1441</v>
      </c>
      <c r="AM13" s="25">
        <f>'Summary Table'!C16</f>
        <v>142.02473544607753</v>
      </c>
      <c r="AN13" s="25">
        <f>'Summary Table'!D16</f>
        <v>148.12843320995771</v>
      </c>
      <c r="AO13" s="25">
        <f>'Summary Table'!E16</f>
        <v>152.1442839987414</v>
      </c>
      <c r="AP13" s="25">
        <f>'Summary Table'!F16</f>
        <v>154.86031096580882</v>
      </c>
      <c r="AQ13" s="25">
        <f>'Summary Table'!G16</f>
        <v>157.02801444190189</v>
      </c>
      <c r="AR13" s="25">
        <f>'Summary Table'!H16</f>
        <v>164.20845936813723</v>
      </c>
      <c r="AS13" s="25">
        <f>'Summary Table'!I16</f>
        <v>171.12093873822886</v>
      </c>
      <c r="AT13" s="25">
        <f>'Summary Table'!J16</f>
        <v>174.25040454967009</v>
      </c>
      <c r="AU13" s="25">
        <f>'Summary Table'!K16</f>
        <v>163.32937279129024</v>
      </c>
      <c r="AV13" s="25">
        <f>'Summary Table'!L16</f>
        <v>165.18012136905648</v>
      </c>
      <c r="AW13" s="25">
        <f>'Summary Table'!M16</f>
        <v>172.49806642837646</v>
      </c>
      <c r="AX13" s="25">
        <f>'Summary Table'!N16</f>
        <v>164.19987233758553</v>
      </c>
      <c r="AY13" s="25">
        <f>'Summary Table'!O16</f>
        <v>170.46500850943963</v>
      </c>
      <c r="AZ13" s="25">
        <f>'Summary Table'!P16</f>
        <v>172.87591133833368</v>
      </c>
      <c r="BA13" s="25">
        <f>'Summary Table'!Q16</f>
        <v>169.77666283715638</v>
      </c>
      <c r="BB13" s="25">
        <f>'Summary Table'!R16</f>
        <v>162.92508508024997</v>
      </c>
      <c r="BC13" s="25">
        <f>'Summary Table'!S16</f>
        <v>153.83155669866855</v>
      </c>
      <c r="BD13" s="25">
        <f>'Summary Table'!T16</f>
        <v>163.59043097479622</v>
      </c>
      <c r="BE13" s="25">
        <f>'Summary Table'!U16</f>
        <v>171.19325427303346</v>
      </c>
      <c r="BF13" s="25">
        <f>'Summary Table'!V16</f>
        <v>169.05333172555467</v>
      </c>
      <c r="BG13" s="25">
        <f>'Summary Table'!W16</f>
        <v>167.96887548912161</v>
      </c>
      <c r="BH13" s="25">
        <f>'Summary Table'!X16</f>
        <v>170.73801795221382</v>
      </c>
      <c r="BI13" s="25">
        <f>'Summary Table'!Y16</f>
        <v>157.04279460910288</v>
      </c>
      <c r="BJ13" s="25">
        <f>'Summary Table'!Z16</f>
        <v>179.21960261143067</v>
      </c>
      <c r="BK13" s="25">
        <f>'Summary Table'!AA16</f>
        <v>189.18938777422409</v>
      </c>
      <c r="BL13" s="25">
        <f>'Summary Table'!AB16</f>
        <v>175.4117517978259</v>
      </c>
      <c r="BM13" s="25">
        <f>'Summary Table'!AC16</f>
        <v>170.54056544370894</v>
      </c>
      <c r="BN13" s="25">
        <f>'Summary Table'!AD16</f>
        <v>173.19011617374824</v>
      </c>
      <c r="BO13" s="25">
        <f>'Summary Table'!AE16</f>
        <v>192.5283840865653</v>
      </c>
      <c r="BP13" s="25">
        <f>'Summary Table'!AF16</f>
        <v>192.91620874877498</v>
      </c>
      <c r="BQ13" s="25">
        <f>'Summary Table'!AG16</f>
        <v>173.45008271834308</v>
      </c>
      <c r="BR13" s="25">
        <f>'Summary Table'!AH16</f>
        <v>180.36282488864072</v>
      </c>
    </row>
    <row r="14" spans="1:70">
      <c r="B14" s="6" t="s">
        <v>1443</v>
      </c>
      <c r="C14" s="232">
        <f t="shared" si="0"/>
        <v>0</v>
      </c>
      <c r="D14" s="232">
        <f t="shared" si="1"/>
        <v>0</v>
      </c>
      <c r="E14" s="232">
        <f t="shared" si="2"/>
        <v>0</v>
      </c>
      <c r="F14" s="232">
        <f t="shared" si="3"/>
        <v>0</v>
      </c>
      <c r="G14" s="232">
        <f t="shared" si="4"/>
        <v>0</v>
      </c>
      <c r="H14" s="232">
        <f t="shared" si="5"/>
        <v>0</v>
      </c>
      <c r="I14" s="232">
        <f t="shared" si="6"/>
        <v>0</v>
      </c>
      <c r="J14" s="232">
        <f t="shared" si="7"/>
        <v>0</v>
      </c>
      <c r="K14" s="232">
        <f t="shared" si="8"/>
        <v>0</v>
      </c>
      <c r="L14" s="232">
        <f t="shared" si="9"/>
        <v>0</v>
      </c>
      <c r="M14" s="232">
        <f t="shared" si="10"/>
        <v>0</v>
      </c>
      <c r="N14" s="232">
        <f t="shared" si="11"/>
        <v>0</v>
      </c>
      <c r="O14" s="232">
        <f t="shared" si="12"/>
        <v>0</v>
      </c>
      <c r="P14" s="232">
        <f t="shared" si="13"/>
        <v>0</v>
      </c>
      <c r="Q14" s="232">
        <f t="shared" si="14"/>
        <v>0</v>
      </c>
      <c r="R14" s="232">
        <f t="shared" si="15"/>
        <v>0</v>
      </c>
      <c r="S14" s="232">
        <f t="shared" si="16"/>
        <v>0</v>
      </c>
      <c r="T14" s="232">
        <f t="shared" si="17"/>
        <v>0</v>
      </c>
      <c r="U14" s="232">
        <f t="shared" si="18"/>
        <v>0</v>
      </c>
      <c r="V14" s="232">
        <f t="shared" si="19"/>
        <v>0</v>
      </c>
      <c r="W14" s="232">
        <f t="shared" si="20"/>
        <v>0</v>
      </c>
      <c r="X14" s="232">
        <f t="shared" si="21"/>
        <v>0</v>
      </c>
      <c r="Y14" s="232">
        <f t="shared" si="22"/>
        <v>0</v>
      </c>
      <c r="Z14" s="232">
        <f t="shared" si="23"/>
        <v>0</v>
      </c>
      <c r="AA14" s="232">
        <f t="shared" si="24"/>
        <v>0</v>
      </c>
      <c r="AB14" s="232">
        <f t="shared" si="25"/>
        <v>0</v>
      </c>
      <c r="AC14" s="232">
        <f t="shared" si="26"/>
        <v>0</v>
      </c>
      <c r="AD14" s="232">
        <f t="shared" si="27"/>
        <v>0</v>
      </c>
      <c r="AE14" s="232">
        <f t="shared" si="28"/>
        <v>0</v>
      </c>
      <c r="AF14" s="232">
        <f t="shared" si="29"/>
        <v>-1.7557699121072267E-5</v>
      </c>
      <c r="AG14" s="232">
        <f t="shared" si="30"/>
        <v>7.5322148010084824E-3</v>
      </c>
      <c r="AH14" s="232">
        <f t="shared" si="31"/>
        <v>3.0878249341591349E-3</v>
      </c>
      <c r="AI14" s="394">
        <f>AVERAGE(C14:AH14)</f>
        <v>3.313275636264545E-4</v>
      </c>
      <c r="AJ14" s="496">
        <f>AVERAGE(AE14:AH14)</f>
        <v>2.650620509011636E-3</v>
      </c>
      <c r="AL14" s="6" t="s">
        <v>1443</v>
      </c>
      <c r="AM14" s="25">
        <f>'Summary Table'!C17</f>
        <v>407.44057591552206</v>
      </c>
      <c r="AN14" s="25">
        <f>'Summary Table'!D17</f>
        <v>413.59445395561858</v>
      </c>
      <c r="AO14" s="25">
        <f>'Summary Table'!E17</f>
        <v>429.30737763379256</v>
      </c>
      <c r="AP14" s="25">
        <f>'Summary Table'!F17</f>
        <v>436.98219553873059</v>
      </c>
      <c r="AQ14" s="25">
        <f>'Summary Table'!G17</f>
        <v>438.20865393150382</v>
      </c>
      <c r="AR14" s="25">
        <f>'Summary Table'!H17</f>
        <v>461.4680033053877</v>
      </c>
      <c r="AS14" s="25">
        <f>'Summary Table'!I17</f>
        <v>477.22704593798659</v>
      </c>
      <c r="AT14" s="25">
        <f>'Summary Table'!J17</f>
        <v>477.88613017996011</v>
      </c>
      <c r="AU14" s="25">
        <f>'Summary Table'!K17</f>
        <v>466.22857939809182</v>
      </c>
      <c r="AV14" s="25">
        <f>'Summary Table'!L17</f>
        <v>445.62145311258905</v>
      </c>
      <c r="AW14" s="25">
        <f>'Summary Table'!M17</f>
        <v>458.18470970362125</v>
      </c>
      <c r="AX14" s="25">
        <f>'Summary Table'!N17</f>
        <v>420.60012891527748</v>
      </c>
      <c r="AY14" s="25">
        <f>'Summary Table'!O17</f>
        <v>428.10994471518688</v>
      </c>
      <c r="AZ14" s="25">
        <f>'Summary Table'!P17</f>
        <v>415.08604298191261</v>
      </c>
      <c r="BA14" s="25">
        <f>'Summary Table'!Q17</f>
        <v>418.88608808286688</v>
      </c>
      <c r="BB14" s="25">
        <f>'Summary Table'!R17</f>
        <v>387.78439069369989</v>
      </c>
      <c r="BC14" s="25">
        <f>'Summary Table'!S17</f>
        <v>387.43556914859869</v>
      </c>
      <c r="BD14" s="25">
        <f>'Summary Table'!T17</f>
        <v>396.96908687881142</v>
      </c>
      <c r="BE14" s="25">
        <f>'Summary Table'!U17</f>
        <v>398.65113463252698</v>
      </c>
      <c r="BF14" s="25">
        <f>'Summary Table'!V17</f>
        <v>374.19964007784171</v>
      </c>
      <c r="BG14" s="25">
        <f>'Summary Table'!W17</f>
        <v>407.08948538432492</v>
      </c>
      <c r="BH14" s="25">
        <f>'Summary Table'!X17</f>
        <v>417.16969084127084</v>
      </c>
      <c r="BI14" s="25">
        <f>'Summary Table'!Y17</f>
        <v>433.87411357806093</v>
      </c>
      <c r="BJ14" s="25">
        <f>'Summary Table'!Z17</f>
        <v>450.93611572282049</v>
      </c>
      <c r="BK14" s="25">
        <f>'Summary Table'!AA17</f>
        <v>465.9360743641227</v>
      </c>
      <c r="BL14" s="25">
        <f>'Summary Table'!AB17</f>
        <v>459.64627978150747</v>
      </c>
      <c r="BM14" s="25">
        <f>'Summary Table'!AC17</f>
        <v>463.98257891833475</v>
      </c>
      <c r="BN14" s="25">
        <f>'Summary Table'!AD17</f>
        <v>468.13315809622293</v>
      </c>
      <c r="BO14" s="25">
        <f>'Summary Table'!AE17</f>
        <v>493.46897972996544</v>
      </c>
      <c r="BP14" s="25">
        <f>'Summary Table'!AF17</f>
        <v>501.50851576791644</v>
      </c>
      <c r="BQ14" s="25">
        <f>'Summary Table'!AG17</f>
        <v>489.71696452157283</v>
      </c>
      <c r="BR14" s="25">
        <f>'Summary Table'!AH17</f>
        <v>501.1666660948701</v>
      </c>
    </row>
    <row r="15" spans="1:70">
      <c r="B15" s="6" t="s">
        <v>1445</v>
      </c>
      <c r="C15" s="232">
        <f t="shared" si="0"/>
        <v>0</v>
      </c>
      <c r="D15" s="232">
        <f t="shared" si="1"/>
        <v>0</v>
      </c>
      <c r="E15" s="232">
        <f t="shared" si="2"/>
        <v>0</v>
      </c>
      <c r="F15" s="232">
        <f t="shared" si="3"/>
        <v>0</v>
      </c>
      <c r="G15" s="232">
        <f t="shared" si="4"/>
        <v>0</v>
      </c>
      <c r="H15" s="232">
        <f t="shared" si="5"/>
        <v>0</v>
      </c>
      <c r="I15" s="232">
        <f t="shared" si="6"/>
        <v>0</v>
      </c>
      <c r="J15" s="232">
        <f t="shared" si="7"/>
        <v>0</v>
      </c>
      <c r="K15" s="232">
        <f t="shared" si="8"/>
        <v>0</v>
      </c>
      <c r="L15" s="232">
        <f t="shared" si="9"/>
        <v>0</v>
      </c>
      <c r="M15" s="232">
        <f t="shared" si="10"/>
        <v>0</v>
      </c>
      <c r="N15" s="232">
        <f t="shared" si="11"/>
        <v>0</v>
      </c>
      <c r="O15" s="232">
        <f t="shared" si="12"/>
        <v>0</v>
      </c>
      <c r="P15" s="232">
        <f t="shared" si="13"/>
        <v>0</v>
      </c>
      <c r="Q15" s="232">
        <f t="shared" si="14"/>
        <v>0</v>
      </c>
      <c r="R15" s="232">
        <f t="shared" si="15"/>
        <v>0</v>
      </c>
      <c r="S15" s="232">
        <f t="shared" si="16"/>
        <v>0</v>
      </c>
      <c r="T15" s="232">
        <f t="shared" si="17"/>
        <v>0</v>
      </c>
      <c r="U15" s="232">
        <f t="shared" si="18"/>
        <v>0</v>
      </c>
      <c r="V15" s="232">
        <f t="shared" si="19"/>
        <v>0</v>
      </c>
      <c r="W15" s="232">
        <f t="shared" si="20"/>
        <v>0</v>
      </c>
      <c r="X15" s="232">
        <f t="shared" si="21"/>
        <v>0</v>
      </c>
      <c r="Y15" s="232">
        <f t="shared" si="22"/>
        <v>0</v>
      </c>
      <c r="Z15" s="232">
        <f t="shared" si="23"/>
        <v>0</v>
      </c>
      <c r="AA15" s="232">
        <f t="shared" si="24"/>
        <v>0</v>
      </c>
      <c r="AB15" s="232">
        <f t="shared" si="25"/>
        <v>0</v>
      </c>
      <c r="AC15" s="232">
        <f t="shared" si="26"/>
        <v>0</v>
      </c>
      <c r="AD15" s="232">
        <f t="shared" si="27"/>
        <v>0</v>
      </c>
      <c r="AE15" s="232">
        <f t="shared" si="28"/>
        <v>0</v>
      </c>
      <c r="AF15" s="232">
        <f t="shared" si="29"/>
        <v>0</v>
      </c>
      <c r="AG15" s="232">
        <f t="shared" si="30"/>
        <v>0</v>
      </c>
      <c r="AH15" s="232">
        <f t="shared" si="31"/>
        <v>1.6314181714133383E-3</v>
      </c>
      <c r="AI15" s="394">
        <f>AVERAGE(AE15:AH15)</f>
        <v>4.0785454285333458E-4</v>
      </c>
      <c r="AL15" s="6" t="s">
        <v>1445</v>
      </c>
      <c r="AM15" s="25">
        <f>'Summary Table'!C18</f>
        <v>36.000628828726228</v>
      </c>
      <c r="AN15" s="25">
        <f>'Summary Table'!D18</f>
        <v>32.870998544585845</v>
      </c>
      <c r="AO15" s="25">
        <f>'Summary Table'!E18</f>
        <v>32.223566137943912</v>
      </c>
      <c r="AP15" s="25">
        <f>'Summary Table'!F18</f>
        <v>34.15461398423664</v>
      </c>
      <c r="AQ15" s="25">
        <f>'Summary Table'!G18</f>
        <v>37.56280519579169</v>
      </c>
      <c r="AR15" s="25">
        <f>'Summary Table'!H18</f>
        <v>38.397759997364879</v>
      </c>
      <c r="AS15" s="25">
        <f>'Summary Table'!I18</f>
        <v>39.083767671638746</v>
      </c>
      <c r="AT15" s="25">
        <f>'Summary Table'!J18</f>
        <v>41.387043476727435</v>
      </c>
      <c r="AU15" s="25">
        <f>'Summary Table'!K18</f>
        <v>35.288383859149057</v>
      </c>
      <c r="AV15" s="25">
        <f>'Summary Table'!L18</f>
        <v>35.810853010699333</v>
      </c>
      <c r="AW15" s="25">
        <f>'Summary Table'!M18</f>
        <v>35.650075735907123</v>
      </c>
      <c r="AX15" s="25">
        <f>'Summary Table'!N18</f>
        <v>34.885995822200002</v>
      </c>
      <c r="AY15" s="25">
        <f>'Summary Table'!O18</f>
        <v>37.087113998567915</v>
      </c>
      <c r="AZ15" s="25">
        <f>'Summary Table'!P18</f>
        <v>33.263751370962055</v>
      </c>
      <c r="BA15" s="25">
        <f>'Summary Table'!Q18</f>
        <v>31.927149340306773</v>
      </c>
      <c r="BB15" s="25">
        <f>'Summary Table'!R18</f>
        <v>33.075920910480484</v>
      </c>
      <c r="BC15" s="25">
        <f>'Summary Table'!S18</f>
        <v>33.132752480798366</v>
      </c>
      <c r="BD15" s="25">
        <f>'Summary Table'!T18</f>
        <v>35.181265831305353</v>
      </c>
      <c r="BE15" s="25">
        <f>'Summary Table'!U18</f>
        <v>36.701650199837665</v>
      </c>
      <c r="BF15" s="25">
        <f>'Summary Table'!V18</f>
        <v>37.924973610479</v>
      </c>
      <c r="BG15" s="25">
        <f>'Summary Table'!W18</f>
        <v>38.159193121908444</v>
      </c>
      <c r="BH15" s="25">
        <f>'Summary Table'!X18</f>
        <v>38.942984233329362</v>
      </c>
      <c r="BI15" s="25">
        <f>'Summary Table'!Y18</f>
        <v>41.37800918377787</v>
      </c>
      <c r="BJ15" s="25">
        <f>'Summary Table'!Z18</f>
        <v>47.049246645534772</v>
      </c>
      <c r="BK15" s="25">
        <f>'Summary Table'!AA18</f>
        <v>40.238122656789713</v>
      </c>
      <c r="BL15" s="25">
        <f>'Summary Table'!AB18</f>
        <v>39.405905197849926</v>
      </c>
      <c r="BM15" s="25">
        <f>'Summary Table'!AC18</f>
        <v>40.058807328702912</v>
      </c>
      <c r="BN15" s="25">
        <f>'Summary Table'!AD18</f>
        <v>42.257759266894162</v>
      </c>
      <c r="BO15" s="25">
        <f>'Summary Table'!AE18</f>
        <v>50.915434140965644</v>
      </c>
      <c r="BP15" s="25">
        <f>'Summary Table'!AF18</f>
        <v>58.928767923685299</v>
      </c>
      <c r="BQ15" s="25">
        <f>'Summary Table'!AG18</f>
        <v>58.653794375777238</v>
      </c>
      <c r="BR15" s="25">
        <f>'Summary Table'!AH18</f>
        <v>65.191015978471412</v>
      </c>
    </row>
    <row r="16" spans="1:70">
      <c r="B16" s="6" t="s">
        <v>1474</v>
      </c>
      <c r="C16" s="232">
        <f t="shared" si="0"/>
        <v>0</v>
      </c>
      <c r="D16" s="232">
        <f t="shared" si="1"/>
        <v>0</v>
      </c>
      <c r="E16" s="232">
        <f t="shared" si="2"/>
        <v>0</v>
      </c>
      <c r="F16" s="232">
        <f t="shared" si="3"/>
        <v>0</v>
      </c>
      <c r="G16" s="232">
        <f t="shared" si="4"/>
        <v>0</v>
      </c>
      <c r="H16" s="232">
        <f t="shared" si="5"/>
        <v>0</v>
      </c>
      <c r="I16" s="232">
        <f t="shared" si="6"/>
        <v>0</v>
      </c>
      <c r="J16" s="232">
        <f t="shared" si="7"/>
        <v>0</v>
      </c>
      <c r="K16" s="232">
        <f t="shared" si="8"/>
        <v>0</v>
      </c>
      <c r="L16" s="232">
        <f t="shared" si="9"/>
        <v>0</v>
      </c>
      <c r="M16" s="232">
        <f t="shared" si="10"/>
        <v>0</v>
      </c>
      <c r="N16" s="232">
        <f t="shared" si="11"/>
        <v>0</v>
      </c>
      <c r="O16" s="232">
        <f t="shared" si="12"/>
        <v>0</v>
      </c>
      <c r="P16" s="232">
        <f t="shared" si="13"/>
        <v>0</v>
      </c>
      <c r="Q16" s="232">
        <f t="shared" si="14"/>
        <v>0</v>
      </c>
      <c r="R16" s="232">
        <f t="shared" si="15"/>
        <v>0</v>
      </c>
      <c r="S16" s="232">
        <f t="shared" si="16"/>
        <v>0</v>
      </c>
      <c r="T16" s="232">
        <f t="shared" si="17"/>
        <v>0</v>
      </c>
      <c r="U16" s="232">
        <f t="shared" si="18"/>
        <v>0</v>
      </c>
      <c r="V16" s="232">
        <f t="shared" si="19"/>
        <v>0</v>
      </c>
      <c r="W16" s="232">
        <f t="shared" si="20"/>
        <v>0</v>
      </c>
      <c r="X16" s="232">
        <f t="shared" si="21"/>
        <v>0</v>
      </c>
      <c r="Y16" s="232">
        <f t="shared" si="22"/>
        <v>0</v>
      </c>
      <c r="Z16" s="232">
        <f t="shared" si="23"/>
        <v>0</v>
      </c>
      <c r="AA16" s="232">
        <f t="shared" si="24"/>
        <v>0</v>
      </c>
      <c r="AB16" s="232">
        <f t="shared" si="25"/>
        <v>0</v>
      </c>
      <c r="AC16" s="232">
        <f t="shared" si="26"/>
        <v>0</v>
      </c>
      <c r="AD16" s="232">
        <f t="shared" si="27"/>
        <v>0</v>
      </c>
      <c r="AE16" s="232">
        <f t="shared" si="28"/>
        <v>0</v>
      </c>
      <c r="AF16" s="232">
        <f t="shared" si="29"/>
        <v>0</v>
      </c>
      <c r="AG16" s="232">
        <f t="shared" si="30"/>
        <v>3.750086877124555E-6</v>
      </c>
      <c r="AH16" s="232">
        <f t="shared" si="31"/>
        <v>-1.4519692959459707E-4</v>
      </c>
      <c r="AI16" s="394">
        <f>AVERAGE(AE16:AH16)</f>
        <v>-3.5361710679368127E-5</v>
      </c>
      <c r="AL16" s="6" t="s">
        <v>1474</v>
      </c>
      <c r="AM16" s="25">
        <f>'Summary Table'!C19</f>
        <v>175.3600389026015</v>
      </c>
      <c r="AN16" s="25">
        <f>'Summary Table'!D19</f>
        <v>178.96641557241685</v>
      </c>
      <c r="AO16" s="25">
        <f>'Summary Table'!E19</f>
        <v>186.07465958323442</v>
      </c>
      <c r="AP16" s="25">
        <f>'Summary Table'!F19</f>
        <v>187.58235295994123</v>
      </c>
      <c r="AQ16" s="25">
        <f>'Summary Table'!G19</f>
        <v>210.85461547922213</v>
      </c>
      <c r="AR16" s="25">
        <f>'Summary Table'!H19</f>
        <v>228.17265505672165</v>
      </c>
      <c r="AS16" s="25">
        <f>'Summary Table'!I19</f>
        <v>204.86080527999366</v>
      </c>
      <c r="AT16" s="25">
        <f>'Summary Table'!J19</f>
        <v>218.81342912547896</v>
      </c>
      <c r="AU16" s="25">
        <f>'Summary Table'!K19</f>
        <v>247.66612926215842</v>
      </c>
      <c r="AV16" s="25">
        <f>'Summary Table'!L19</f>
        <v>259.94521454492025</v>
      </c>
      <c r="AW16" s="25">
        <f>'Summary Table'!M19</f>
        <v>280.82105213992054</v>
      </c>
      <c r="AX16" s="25">
        <f>'Summary Table'!N19</f>
        <v>289.35862946229537</v>
      </c>
      <c r="AY16" s="25">
        <f>'Summary Table'!O19</f>
        <v>306.00875363034964</v>
      </c>
      <c r="AZ16" s="25">
        <f>'Summary Table'!P19</f>
        <v>278.12739640727375</v>
      </c>
      <c r="BA16" s="25">
        <f>'Summary Table'!Q19</f>
        <v>296.75029743802992</v>
      </c>
      <c r="BB16" s="25">
        <f>'Summary Table'!R19</f>
        <v>318.85840260471355</v>
      </c>
      <c r="BC16" s="25">
        <f>'Summary Table'!S19</f>
        <v>337.97496302681611</v>
      </c>
      <c r="BD16" s="25">
        <f>'Summary Table'!T19</f>
        <v>371.46513223741312</v>
      </c>
      <c r="BE16" s="25">
        <f>'Summary Table'!U19</f>
        <v>362.11597738194661</v>
      </c>
      <c r="BF16" s="25">
        <f>'Summary Table'!V19</f>
        <v>372.54775041195018</v>
      </c>
      <c r="BG16" s="25">
        <f>'Summary Table'!W19</f>
        <v>399.53808692568629</v>
      </c>
      <c r="BH16" s="25">
        <f>'Summary Table'!X19</f>
        <v>409.42961840152782</v>
      </c>
      <c r="BI16" s="25">
        <f>'Summary Table'!Y19</f>
        <v>492.79219630413746</v>
      </c>
      <c r="BJ16" s="25">
        <f>'Summary Table'!Z19</f>
        <v>444.16593360966391</v>
      </c>
      <c r="BK16" s="25">
        <f>'Summary Table'!AA19</f>
        <v>442.88200596411235</v>
      </c>
      <c r="BL16" s="25">
        <f>'Summary Table'!AB19</f>
        <v>525.16054071183544</v>
      </c>
      <c r="BM16" s="25">
        <f>'Summary Table'!AC19</f>
        <v>544.99213211889321</v>
      </c>
      <c r="BN16" s="25">
        <f>'Summary Table'!AD19</f>
        <v>505.63466065505327</v>
      </c>
      <c r="BO16" s="25">
        <f>'Summary Table'!AE19</f>
        <v>577.93546402725235</v>
      </c>
      <c r="BP16" s="25">
        <f>'Summary Table'!AF19</f>
        <v>616.64869033042908</v>
      </c>
      <c r="BQ16" s="25">
        <f>'Summary Table'!AG19</f>
        <v>634.84915679760923</v>
      </c>
      <c r="BR16" s="25">
        <f>'Summary Table'!AH19</f>
        <v>612.7780915068297</v>
      </c>
    </row>
    <row r="17" spans="2:71">
      <c r="B17" s="6" t="s">
        <v>1476</v>
      </c>
      <c r="C17" s="232" t="str">
        <f t="shared" si="0"/>
        <v>NA</v>
      </c>
      <c r="D17" s="232" t="str">
        <f t="shared" si="1"/>
        <v>NA</v>
      </c>
      <c r="E17" s="232" t="str">
        <f t="shared" si="2"/>
        <v>NA</v>
      </c>
      <c r="F17" s="232" t="str">
        <f t="shared" si="3"/>
        <v>NA</v>
      </c>
      <c r="G17" s="232" t="str">
        <f t="shared" si="4"/>
        <v>NA</v>
      </c>
      <c r="H17" s="232" t="str">
        <f t="shared" si="5"/>
        <v>NA</v>
      </c>
      <c r="I17" s="232" t="str">
        <f t="shared" si="6"/>
        <v>NA</v>
      </c>
      <c r="J17" s="232" t="str">
        <f t="shared" si="7"/>
        <v>NA</v>
      </c>
      <c r="K17" s="232" t="str">
        <f t="shared" si="8"/>
        <v>NA</v>
      </c>
      <c r="L17" s="232" t="str">
        <f t="shared" si="9"/>
        <v>NA</v>
      </c>
      <c r="M17" s="232">
        <f t="shared" si="10"/>
        <v>0</v>
      </c>
      <c r="N17" s="232">
        <f t="shared" si="11"/>
        <v>0</v>
      </c>
      <c r="O17" s="232">
        <f t="shared" si="12"/>
        <v>0</v>
      </c>
      <c r="P17" s="232">
        <f t="shared" si="13"/>
        <v>0</v>
      </c>
      <c r="Q17" s="232">
        <f t="shared" si="14"/>
        <v>0</v>
      </c>
      <c r="R17" s="232">
        <f t="shared" si="15"/>
        <v>0</v>
      </c>
      <c r="S17" s="232">
        <f t="shared" si="16"/>
        <v>0</v>
      </c>
      <c r="T17" s="232">
        <f t="shared" si="17"/>
        <v>0</v>
      </c>
      <c r="U17" s="232">
        <f t="shared" si="18"/>
        <v>0</v>
      </c>
      <c r="V17" s="232">
        <f t="shared" si="19"/>
        <v>0</v>
      </c>
      <c r="W17" s="232">
        <f t="shared" si="20"/>
        <v>0</v>
      </c>
      <c r="X17" s="232">
        <f t="shared" si="21"/>
        <v>0</v>
      </c>
      <c r="Y17" s="232">
        <f t="shared" si="22"/>
        <v>0</v>
      </c>
      <c r="Z17" s="232">
        <f t="shared" si="23"/>
        <v>0</v>
      </c>
      <c r="AA17" s="232">
        <f t="shared" si="24"/>
        <v>0</v>
      </c>
      <c r="AB17" s="232">
        <f t="shared" si="25"/>
        <v>0</v>
      </c>
      <c r="AC17" s="232">
        <f t="shared" si="26"/>
        <v>0</v>
      </c>
      <c r="AD17" s="232">
        <f t="shared" si="27"/>
        <v>0</v>
      </c>
      <c r="AE17" s="232">
        <f t="shared" si="28"/>
        <v>0</v>
      </c>
      <c r="AF17" s="232">
        <f t="shared" si="29"/>
        <v>0</v>
      </c>
      <c r="AG17" s="232">
        <f t="shared" si="30"/>
        <v>0</v>
      </c>
      <c r="AH17" s="232">
        <f t="shared" si="31"/>
        <v>0</v>
      </c>
      <c r="AL17" s="6" t="s">
        <v>1476</v>
      </c>
      <c r="AM17" s="25" t="str">
        <f>'Summary Table'!C20</f>
        <v>NO</v>
      </c>
      <c r="AN17" s="25" t="str">
        <f>'Summary Table'!D20</f>
        <v>NO</v>
      </c>
      <c r="AO17" s="25" t="str">
        <f>'Summary Table'!E20</f>
        <v>NO</v>
      </c>
      <c r="AP17" s="25" t="str">
        <f>'Summary Table'!F20</f>
        <v>NO</v>
      </c>
      <c r="AQ17" s="25" t="str">
        <f>'Summary Table'!G20</f>
        <v>NO</v>
      </c>
      <c r="AR17" s="25" t="str">
        <f>'Summary Table'!H20</f>
        <v>NO</v>
      </c>
      <c r="AS17" s="25" t="str">
        <f>'Summary Table'!I20</f>
        <v>NO</v>
      </c>
      <c r="AT17" s="25" t="str">
        <f>'Summary Table'!J20</f>
        <v>NO</v>
      </c>
      <c r="AU17" s="25" t="str">
        <f>'Summary Table'!K20</f>
        <v>NO</v>
      </c>
      <c r="AV17" s="25" t="str">
        <f>'Summary Table'!L20</f>
        <v>NO</v>
      </c>
      <c r="AW17" s="25">
        <f>'Summary Table'!M20</f>
        <v>0.67212201477417799</v>
      </c>
      <c r="AX17" s="25">
        <f>'Summary Table'!N20</f>
        <v>1.2125167466946647</v>
      </c>
      <c r="AY17" s="25">
        <f>'Summary Table'!O20</f>
        <v>1.2089205865598054</v>
      </c>
      <c r="AZ17" s="25">
        <f>'Summary Table'!P20</f>
        <v>1.4242260199270667</v>
      </c>
      <c r="BA17" s="25">
        <f>'Summary Table'!Q20</f>
        <v>1.3068074496928888</v>
      </c>
      <c r="BB17" s="25">
        <f>'Summary Table'!R20</f>
        <v>1.2895019369609928</v>
      </c>
      <c r="BC17" s="25">
        <f>'Summary Table'!S20</f>
        <v>1.3857334247939026</v>
      </c>
      <c r="BD17" s="25">
        <f>'Summary Table'!T20</f>
        <v>1.415921575354</v>
      </c>
      <c r="BE17" s="25">
        <f>'Summary Table'!U20</f>
        <v>1.5513054613666941</v>
      </c>
      <c r="BF17" s="25">
        <f>'Summary Table'!V20</f>
        <v>1.4531353816314685</v>
      </c>
      <c r="BG17" s="25">
        <f>'Summary Table'!W20</f>
        <v>1.4764952126860063</v>
      </c>
      <c r="BH17" s="25">
        <f>'Summary Table'!X20</f>
        <v>1.4370506029671137</v>
      </c>
      <c r="BI17" s="25">
        <f>'Summary Table'!Y20</f>
        <v>2.6097333297164047</v>
      </c>
      <c r="BJ17" s="25">
        <f>'Summary Table'!Z20</f>
        <v>3.0881755478141319</v>
      </c>
      <c r="BK17" s="25">
        <f>'Summary Table'!AA20</f>
        <v>3.2092986456579755</v>
      </c>
      <c r="BL17" s="25">
        <f>'Summary Table'!AB20</f>
        <v>3.0379310176521801</v>
      </c>
      <c r="BM17" s="25">
        <f>'Summary Table'!AC20</f>
        <v>3.3649958579027071</v>
      </c>
      <c r="BN17" s="25">
        <f>'Summary Table'!AD20</f>
        <v>2.5455513992585312</v>
      </c>
      <c r="BO17" s="25">
        <f>'Summary Table'!AE20</f>
        <v>3.3040677421953082</v>
      </c>
      <c r="BP17" s="25">
        <f>'Summary Table'!AF20</f>
        <v>3.773022660515549</v>
      </c>
      <c r="BQ17" s="25">
        <f>'Summary Table'!AG20</f>
        <v>2.647583744073164</v>
      </c>
      <c r="BR17" s="25">
        <f>'Summary Table'!AH20</f>
        <v>3.9226452440549542</v>
      </c>
    </row>
    <row r="18" spans="2:71">
      <c r="B18" s="5" t="s">
        <v>1440</v>
      </c>
      <c r="C18" s="235">
        <f t="shared" si="0"/>
        <v>9.3166749284654318E-3</v>
      </c>
      <c r="D18" s="235">
        <f t="shared" si="1"/>
        <v>1.1995133543105911E-2</v>
      </c>
      <c r="E18" s="235">
        <f t="shared" si="2"/>
        <v>7.6889307839526754E-3</v>
      </c>
      <c r="F18" s="235">
        <f t="shared" si="3"/>
        <v>8.9644867896396824E-3</v>
      </c>
      <c r="G18" s="235">
        <f t="shared" si="4"/>
        <v>4.471184079162153E-3</v>
      </c>
      <c r="H18" s="235">
        <f t="shared" si="5"/>
        <v>6.0049073660176705E-3</v>
      </c>
      <c r="I18" s="235">
        <f t="shared" si="6"/>
        <v>-1.740517548122429E-3</v>
      </c>
      <c r="J18" s="235">
        <f t="shared" si="7"/>
        <v>-1.6601922540047838E-3</v>
      </c>
      <c r="K18" s="235">
        <f t="shared" si="8"/>
        <v>6.1017780924548792E-3</v>
      </c>
      <c r="L18" s="235">
        <f t="shared" si="9"/>
        <v>4.0203896841505731E-3</v>
      </c>
      <c r="M18" s="235">
        <f t="shared" si="10"/>
        <v>7.7804599505550505E-3</v>
      </c>
      <c r="N18" s="235">
        <f t="shared" si="11"/>
        <v>-1.4704162164667252E-3</v>
      </c>
      <c r="O18" s="235">
        <f t="shared" si="12"/>
        <v>9.9206502783695939E-4</v>
      </c>
      <c r="P18" s="235">
        <f t="shared" si="13"/>
        <v>-1.6208435052982384E-3</v>
      </c>
      <c r="Q18" s="235">
        <f t="shared" si="14"/>
        <v>-8.9216091448076295E-4</v>
      </c>
      <c r="R18" s="235">
        <f t="shared" si="15"/>
        <v>-3.1394237462803627E-3</v>
      </c>
      <c r="S18" s="235">
        <f t="shared" si="16"/>
        <v>-5.1273545174902986E-3</v>
      </c>
      <c r="T18" s="235">
        <f t="shared" si="17"/>
        <v>-5.9189783339819576E-3</v>
      </c>
      <c r="U18" s="235">
        <f t="shared" si="18"/>
        <v>-1.8138425000051538E-3</v>
      </c>
      <c r="V18" s="235">
        <f t="shared" si="19"/>
        <v>-1.2708831324096631E-4</v>
      </c>
      <c r="W18" s="235">
        <f t="shared" si="20"/>
        <v>-3.8791937739727973E-3</v>
      </c>
      <c r="X18" s="235">
        <f t="shared" si="21"/>
        <v>-2.5192793271421178E-3</v>
      </c>
      <c r="Y18" s="235">
        <f t="shared" si="22"/>
        <v>-3.2261624317448181E-3</v>
      </c>
      <c r="Z18" s="235">
        <f t="shared" si="23"/>
        <v>-1.8283933598712795E-3</v>
      </c>
      <c r="AA18" s="235">
        <f t="shared" si="24"/>
        <v>1.8267479580193642E-3</v>
      </c>
      <c r="AB18" s="235">
        <f t="shared" si="25"/>
        <v>-1.3938279152954931E-3</v>
      </c>
      <c r="AC18" s="235">
        <f t="shared" si="26"/>
        <v>-1.217548141860231E-3</v>
      </c>
      <c r="AD18" s="235">
        <f t="shared" si="27"/>
        <v>-4.1980384745821031E-3</v>
      </c>
      <c r="AE18" s="235">
        <f t="shared" si="28"/>
        <v>-3.1583843720077364E-3</v>
      </c>
      <c r="AF18" s="235">
        <f t="shared" si="29"/>
        <v>-6.8715470587171175E-3</v>
      </c>
      <c r="AG18" s="235">
        <f t="shared" si="30"/>
        <v>-9.9803208212899328E-3</v>
      </c>
      <c r="AH18" s="235">
        <f t="shared" si="31"/>
        <v>1.1488273436862932E-3</v>
      </c>
      <c r="AL18" s="5" t="s">
        <v>1440</v>
      </c>
      <c r="AM18" s="29">
        <f>'Summary Table'!C21</f>
        <v>2027.9585074772485</v>
      </c>
      <c r="AN18" s="29">
        <f>'Summary Table'!D21</f>
        <v>1962.9995709240532</v>
      </c>
      <c r="AO18" s="29">
        <f>'Summary Table'!E21</f>
        <v>2005.0431704410603</v>
      </c>
      <c r="AP18" s="29">
        <f>'Summary Table'!F21</f>
        <v>2028.4434212806348</v>
      </c>
      <c r="AQ18" s="29">
        <f>'Summary Table'!G21</f>
        <v>2059.3415481767788</v>
      </c>
      <c r="AR18" s="29">
        <f>'Summary Table'!H21</f>
        <v>2055.1835399132642</v>
      </c>
      <c r="AS18" s="29">
        <f>'Summary Table'!I21</f>
        <v>2123.8826967420823</v>
      </c>
      <c r="AT18" s="29">
        <f>'Summary Table'!J21</f>
        <v>2132.8018515332233</v>
      </c>
      <c r="AU18" s="29">
        <f>'Summary Table'!K21</f>
        <v>2190.7850617670247</v>
      </c>
      <c r="AV18" s="29">
        <f>'Summary Table'!L21</f>
        <v>2231.3445066504405</v>
      </c>
      <c r="AW18" s="29">
        <f>'Summary Table'!M21</f>
        <v>2336.3109109139973</v>
      </c>
      <c r="AX18" s="29">
        <f>'Summary Table'!N21</f>
        <v>2344.1852971294861</v>
      </c>
      <c r="AY18" s="29">
        <f>'Summary Table'!O21</f>
        <v>2337.0898220053723</v>
      </c>
      <c r="AZ18" s="29">
        <f>'Summary Table'!P21</f>
        <v>2395.9444184338586</v>
      </c>
      <c r="BA18" s="29">
        <f>'Summary Table'!Q21</f>
        <v>2453.9530432108859</v>
      </c>
      <c r="BB18" s="29">
        <f>'Summary Table'!R21</f>
        <v>2459.2418631336527</v>
      </c>
      <c r="BC18" s="29">
        <f>'Summary Table'!S21</f>
        <v>2420.9125318252991</v>
      </c>
      <c r="BD18" s="29">
        <f>'Summary Table'!T21</f>
        <v>2401.5560753100167</v>
      </c>
      <c r="BE18" s="29">
        <f>'Summary Table'!U21</f>
        <v>2236.0288753650771</v>
      </c>
      <c r="BF18" s="29">
        <f>'Summary Table'!V21</f>
        <v>2127.2924397789957</v>
      </c>
      <c r="BG18" s="29">
        <f>'Summary Table'!W21</f>
        <v>2131.8196748023497</v>
      </c>
      <c r="BH18" s="29">
        <f>'Summary Table'!X21</f>
        <v>2093.7201137501879</v>
      </c>
      <c r="BI18" s="29">
        <f>'Summary Table'!Y21</f>
        <v>2047.2717999985257</v>
      </c>
      <c r="BJ18" s="29">
        <f>'Summary Table'!Z21</f>
        <v>2069.9217125947121</v>
      </c>
      <c r="BK18" s="29">
        <f>'Summary Table'!AA21</f>
        <v>2094.5191822520783</v>
      </c>
      <c r="BL18" s="29">
        <f>'Summary Table'!AB21</f>
        <v>2120.8989190567722</v>
      </c>
      <c r="BM18" s="29">
        <f>'Summary Table'!AC21</f>
        <v>2134.9011036530801</v>
      </c>
      <c r="BN18" s="29">
        <f>'Summary Table'!AD21</f>
        <v>2139.816039203602</v>
      </c>
      <c r="BO18" s="29">
        <f>'Summary Table'!AE21</f>
        <v>2178.9275554433234</v>
      </c>
      <c r="BP18" s="29">
        <f>'Summary Table'!AF21</f>
        <v>2163.1750674226637</v>
      </c>
      <c r="BQ18" s="29">
        <f>'Summary Table'!AG21</f>
        <v>1877.568338415364</v>
      </c>
      <c r="BR18" s="29">
        <f>'Summary Table'!AH21</f>
        <v>2062.7897667099305</v>
      </c>
    </row>
    <row r="19" spans="2:71">
      <c r="B19" s="6" t="s">
        <v>1434</v>
      </c>
      <c r="C19" s="232">
        <f t="shared" si="0"/>
        <v>-6.1917132972156575E-8</v>
      </c>
      <c r="D19" s="232">
        <f t="shared" si="1"/>
        <v>2.573015170588571E-7</v>
      </c>
      <c r="E19" s="232">
        <f t="shared" si="2"/>
        <v>-1.5289532375747242E-7</v>
      </c>
      <c r="F19" s="232">
        <f t="shared" si="3"/>
        <v>3.9927292802968994E-8</v>
      </c>
      <c r="G19" s="232">
        <f t="shared" si="4"/>
        <v>-1.9142887182125934E-7</v>
      </c>
      <c r="H19" s="232">
        <f t="shared" si="5"/>
        <v>6.1500966109501365E-9</v>
      </c>
      <c r="I19" s="232">
        <f t="shared" si="6"/>
        <v>7.3192651080291396E-9</v>
      </c>
      <c r="J19" s="232">
        <f t="shared" si="7"/>
        <v>-1.9598856702337828E-7</v>
      </c>
      <c r="K19" s="232">
        <f t="shared" si="8"/>
        <v>-6.3307618492209328E-8</v>
      </c>
      <c r="L19" s="232">
        <f t="shared" si="9"/>
        <v>1.8625343179365978E-7</v>
      </c>
      <c r="M19" s="232">
        <f t="shared" si="10"/>
        <v>1.8657320378428247E-8</v>
      </c>
      <c r="N19" s="232">
        <f t="shared" si="11"/>
        <v>-3.1840810303875483E-4</v>
      </c>
      <c r="O19" s="232">
        <f t="shared" si="12"/>
        <v>-5.6298697607932036E-4</v>
      </c>
      <c r="P19" s="232">
        <f t="shared" si="13"/>
        <v>-4.4920515194106974E-4</v>
      </c>
      <c r="Q19" s="232">
        <f t="shared" si="14"/>
        <v>-8.7348686124723047E-4</v>
      </c>
      <c r="R19" s="232">
        <f t="shared" si="15"/>
        <v>-3.0065022548340812E-3</v>
      </c>
      <c r="S19" s="232">
        <f t="shared" si="16"/>
        <v>-8.8726547761302718E-3</v>
      </c>
      <c r="T19" s="232">
        <f t="shared" si="17"/>
        <v>-1.2192903289843167E-2</v>
      </c>
      <c r="U19" s="232">
        <f t="shared" si="18"/>
        <v>-1.0567114232888605E-2</v>
      </c>
      <c r="V19" s="232">
        <f t="shared" si="19"/>
        <v>-6.4127443191702698E-3</v>
      </c>
      <c r="W19" s="232">
        <f t="shared" si="20"/>
        <v>-3.368027187464514E-3</v>
      </c>
      <c r="X19" s="232">
        <f t="shared" si="21"/>
        <v>2.5381743769600641E-3</v>
      </c>
      <c r="Y19" s="232">
        <f t="shared" si="22"/>
        <v>2.8525846782742775E-3</v>
      </c>
      <c r="Z19" s="232">
        <f t="shared" si="23"/>
        <v>2.4355559355910476E-3</v>
      </c>
      <c r="AA19" s="232">
        <f t="shared" si="24"/>
        <v>2.7975840603800925E-3</v>
      </c>
      <c r="AB19" s="232">
        <f t="shared" si="25"/>
        <v>4.7608676427657081E-3</v>
      </c>
      <c r="AC19" s="232">
        <f t="shared" si="26"/>
        <v>7.6812204306476554E-3</v>
      </c>
      <c r="AD19" s="232">
        <f t="shared" si="27"/>
        <v>1.0695530089673333E-2</v>
      </c>
      <c r="AE19" s="232">
        <f t="shared" si="28"/>
        <v>1.1204238298869129E-2</v>
      </c>
      <c r="AF19" s="232">
        <f t="shared" si="29"/>
        <v>2.2819499022175768E-2</v>
      </c>
      <c r="AG19" s="232">
        <f t="shared" si="30"/>
        <v>2.8494737413855279E-2</v>
      </c>
      <c r="AH19" s="232">
        <f t="shared" si="31"/>
        <v>8.531643266456812E-2</v>
      </c>
      <c r="AI19" s="394">
        <f>AVERAGE(C19:AH19)</f>
        <v>4.2178825478916522E-3</v>
      </c>
      <c r="AL19" s="6" t="s">
        <v>1434</v>
      </c>
      <c r="AM19" s="25">
        <f>'Summary Table'!C22</f>
        <v>97.78241223079533</v>
      </c>
      <c r="AN19" s="25">
        <f>'Summary Table'!D22</f>
        <v>97.952169988467361</v>
      </c>
      <c r="AO19" s="25">
        <f>'Summary Table'!E22</f>
        <v>96.897397560708882</v>
      </c>
      <c r="AP19" s="25">
        <f>'Summary Table'!F22</f>
        <v>95.38268325283164</v>
      </c>
      <c r="AQ19" s="25">
        <f>'Summary Table'!G22</f>
        <v>92.109480052541898</v>
      </c>
      <c r="AR19" s="25">
        <f>'Summary Table'!H22</f>
        <v>88.696195308228212</v>
      </c>
      <c r="AS19" s="25">
        <f>'Summary Table'!I22</f>
        <v>97.899890710711531</v>
      </c>
      <c r="AT19" s="25">
        <f>'Summary Table'!J22</f>
        <v>93.391358622908527</v>
      </c>
      <c r="AU19" s="25">
        <f>'Summary Table'!K22</f>
        <v>84.367234993758103</v>
      </c>
      <c r="AV19" s="25">
        <f>'Summary Table'!L22</f>
        <v>93.19613012040945</v>
      </c>
      <c r="AW19" s="25">
        <f>'Summary Table'!M22</f>
        <v>99.814277951232029</v>
      </c>
      <c r="AX19" s="25">
        <f>'Summary Table'!N22</f>
        <v>102.69033732360053</v>
      </c>
      <c r="AY19" s="25">
        <f>'Summary Table'!O22</f>
        <v>94.809824998097724</v>
      </c>
      <c r="AZ19" s="25">
        <f>'Summary Table'!P22</f>
        <v>102.73524037201688</v>
      </c>
      <c r="BA19" s="25">
        <f>'Summary Table'!Q22</f>
        <v>103.70575945407543</v>
      </c>
      <c r="BB19" s="25">
        <f>'Summary Table'!R22</f>
        <v>95.575442274390966</v>
      </c>
      <c r="BC19" s="25">
        <f>'Summary Table'!S22</f>
        <v>83.076643788508392</v>
      </c>
      <c r="BD19" s="25">
        <f>'Summary Table'!T22</f>
        <v>82.999286658834436</v>
      </c>
      <c r="BE19" s="25">
        <f>'Summary Table'!U22</f>
        <v>81.35310743989055</v>
      </c>
      <c r="BF19" s="25">
        <f>'Summary Table'!V22</f>
        <v>76.871691567355754</v>
      </c>
      <c r="BG19" s="25">
        <f>'Summary Table'!W22</f>
        <v>75.584117715666224</v>
      </c>
      <c r="BH19" s="25">
        <f>'Summary Table'!X22</f>
        <v>71.264898165119661</v>
      </c>
      <c r="BI19" s="25">
        <f>'Summary Table'!Y22</f>
        <v>57.430156749728859</v>
      </c>
      <c r="BJ19" s="25">
        <f>'Summary Table'!Z22</f>
        <v>62.914302900543817</v>
      </c>
      <c r="BK19" s="25">
        <f>'Summary Table'!AA22</f>
        <v>69.062290446070193</v>
      </c>
      <c r="BL19" s="25">
        <f>'Summary Table'!AB22</f>
        <v>64.893287996969548</v>
      </c>
      <c r="BM19" s="25">
        <f>'Summary Table'!AC22</f>
        <v>54.808963118601646</v>
      </c>
      <c r="BN19" s="25">
        <f>'Summary Table'!AD22</f>
        <v>52.479502214743725</v>
      </c>
      <c r="BO19" s="25">
        <f>'Summary Table'!AE22</f>
        <v>65.12530568088124</v>
      </c>
      <c r="BP19" s="25">
        <f>'Summary Table'!AF22</f>
        <v>67.435980875494991</v>
      </c>
      <c r="BQ19" s="25">
        <f>'Summary Table'!AG22</f>
        <v>58.433675778621101</v>
      </c>
      <c r="BR19" s="25">
        <f>'Summary Table'!AH22</f>
        <v>59.38652650747968</v>
      </c>
    </row>
    <row r="20" spans="2:71">
      <c r="B20" s="6" t="s">
        <v>1441</v>
      </c>
      <c r="C20" s="232">
        <f t="shared" si="0"/>
        <v>-4.4628748294922421E-8</v>
      </c>
      <c r="D20" s="232">
        <f t="shared" si="1"/>
        <v>1.9092306511611061E-7</v>
      </c>
      <c r="E20" s="232">
        <f t="shared" si="2"/>
        <v>-1.1857874576026556E-7</v>
      </c>
      <c r="F20" s="232">
        <f t="shared" si="3"/>
        <v>3.3902694643530136E-8</v>
      </c>
      <c r="G20" s="232">
        <f t="shared" si="4"/>
        <v>-1.6325798548963371E-7</v>
      </c>
      <c r="H20" s="232">
        <f t="shared" si="5"/>
        <v>5.5109495941413247E-9</v>
      </c>
      <c r="I20" s="232">
        <f t="shared" si="6"/>
        <v>6.815146463342198E-9</v>
      </c>
      <c r="J20" s="232">
        <f t="shared" si="7"/>
        <v>-1.8114134165986012E-7</v>
      </c>
      <c r="K20" s="232">
        <f t="shared" si="8"/>
        <v>-6.1996966262536041E-8</v>
      </c>
      <c r="L20" s="232">
        <f t="shared" si="9"/>
        <v>2.0080314436506757E-7</v>
      </c>
      <c r="M20" s="232">
        <f t="shared" si="10"/>
        <v>1.8282314913417307E-8</v>
      </c>
      <c r="N20" s="232">
        <f t="shared" si="11"/>
        <v>-3.3267326266412208E-4</v>
      </c>
      <c r="O20" s="232">
        <f t="shared" si="12"/>
        <v>-5.517643493014099E-4</v>
      </c>
      <c r="P20" s="232">
        <f t="shared" si="13"/>
        <v>-4.1339432492212169E-4</v>
      </c>
      <c r="Q20" s="232">
        <f t="shared" si="14"/>
        <v>-7.8996094115150832E-4</v>
      </c>
      <c r="R20" s="232">
        <f t="shared" si="15"/>
        <v>-2.7480385784028334E-3</v>
      </c>
      <c r="S20" s="232">
        <f t="shared" si="16"/>
        <v>-8.1000142937839251E-3</v>
      </c>
      <c r="T20" s="232">
        <f t="shared" si="17"/>
        <v>-1.0251063043064265E-2</v>
      </c>
      <c r="U20" s="232">
        <f t="shared" si="18"/>
        <v>-9.1336037535422222E-3</v>
      </c>
      <c r="V20" s="232">
        <f t="shared" si="19"/>
        <v>-6.4667850599733189E-3</v>
      </c>
      <c r="W20" s="232">
        <f t="shared" si="20"/>
        <v>-3.56516653709662E-3</v>
      </c>
      <c r="X20" s="232">
        <f t="shared" si="21"/>
        <v>2.821813566320149E-3</v>
      </c>
      <c r="Y20" s="232">
        <f t="shared" si="22"/>
        <v>3.0738304536074667E-3</v>
      </c>
      <c r="Z20" s="232">
        <f t="shared" si="23"/>
        <v>2.6021476426036512E-3</v>
      </c>
      <c r="AA20" s="232">
        <f t="shared" si="24"/>
        <v>3.2695240442869263E-3</v>
      </c>
      <c r="AB20" s="232">
        <f t="shared" si="25"/>
        <v>3.0318188477522086E-3</v>
      </c>
      <c r="AC20" s="232">
        <f t="shared" si="26"/>
        <v>5.3359840263100655E-3</v>
      </c>
      <c r="AD20" s="232">
        <f t="shared" si="27"/>
        <v>7.2930924048833674E-3</v>
      </c>
      <c r="AE20" s="232">
        <f t="shared" si="28"/>
        <v>8.9150178328539255E-3</v>
      </c>
      <c r="AF20" s="232">
        <f t="shared" si="29"/>
        <v>1.8620128956469313E-2</v>
      </c>
      <c r="AG20" s="232">
        <f t="shared" si="30"/>
        <v>2.2550554103869302E-2</v>
      </c>
      <c r="AH20" s="232">
        <f t="shared" si="31"/>
        <v>9.8478567283183882E-2</v>
      </c>
      <c r="AI20" s="394">
        <f>AVERAGE(C20:AH20)</f>
        <v>4.176246926617673E-3</v>
      </c>
      <c r="AL20" s="6" t="s">
        <v>1441</v>
      </c>
      <c r="AM20" s="25">
        <f>'Summary Table'!C23</f>
        <v>74.317009238006435</v>
      </c>
      <c r="AN20" s="25">
        <f>'Summary Table'!D23</f>
        <v>73.407833850551555</v>
      </c>
      <c r="AO20" s="25">
        <f>'Summary Table'!E23</f>
        <v>64.616730035679041</v>
      </c>
      <c r="AP20" s="25">
        <f>'Summary Table'!F23</f>
        <v>56.873975020454345</v>
      </c>
      <c r="AQ20" s="25">
        <f>'Summary Table'!G23</f>
        <v>56.369484996221161</v>
      </c>
      <c r="AR20" s="25">
        <f>'Summary Table'!H23</f>
        <v>52.391239933514434</v>
      </c>
      <c r="AS20" s="25">
        <f>'Summary Table'!I23</f>
        <v>54.832060684371058</v>
      </c>
      <c r="AT20" s="25">
        <f>'Summary Table'!J23</f>
        <v>51.284956381041496</v>
      </c>
      <c r="AU20" s="25">
        <f>'Summary Table'!K23</f>
        <v>47.862168349800406</v>
      </c>
      <c r="AV20" s="25">
        <f>'Summary Table'!L23</f>
        <v>45.78669586341524</v>
      </c>
      <c r="AW20" s="25">
        <f>'Summary Table'!M23</f>
        <v>55.272252292626497</v>
      </c>
      <c r="AX20" s="25">
        <f>'Summary Table'!N23</f>
        <v>55.007529049391842</v>
      </c>
      <c r="AY20" s="25">
        <f>'Summary Table'!O23</f>
        <v>49.963577276939134</v>
      </c>
      <c r="AZ20" s="25">
        <f>'Summary Table'!P23</f>
        <v>59.413372710105818</v>
      </c>
      <c r="BA20" s="25">
        <f>'Summary Table'!Q23</f>
        <v>58.386082462551457</v>
      </c>
      <c r="BB20" s="25">
        <f>'Summary Table'!R23</f>
        <v>54.793864419601839</v>
      </c>
      <c r="BC20" s="25">
        <f>'Summary Table'!S23</f>
        <v>51.31612703743734</v>
      </c>
      <c r="BD20" s="25">
        <f>'Summary Table'!T23</f>
        <v>52.302199112446594</v>
      </c>
      <c r="BE20" s="25">
        <f>'Summary Table'!U23</f>
        <v>48.260774591540994</v>
      </c>
      <c r="BF20" s="25">
        <f>'Summary Table'!V23</f>
        <v>51.732975084881019</v>
      </c>
      <c r="BG20" s="25">
        <f>'Summary Table'!W23</f>
        <v>49.736176633621213</v>
      </c>
      <c r="BH20" s="25">
        <f>'Summary Table'!X23</f>
        <v>48.019411873386588</v>
      </c>
      <c r="BI20" s="25">
        <f>'Summary Table'!Y23</f>
        <v>39.253041337374341</v>
      </c>
      <c r="BJ20" s="25">
        <f>'Summary Table'!Z23</f>
        <v>41.171116981845458</v>
      </c>
      <c r="BK20" s="25">
        <f>'Summary Table'!AA23</f>
        <v>39.547045254145807</v>
      </c>
      <c r="BL20" s="25">
        <f>'Summary Table'!AB23</f>
        <v>66.428800315750649</v>
      </c>
      <c r="BM20" s="25">
        <f>'Summary Table'!AC23</f>
        <v>59.055150951147297</v>
      </c>
      <c r="BN20" s="25">
        <f>'Summary Table'!AD23</f>
        <v>57.247196778983692</v>
      </c>
      <c r="BO20" s="25">
        <f>'Summary Table'!AE23</f>
        <v>51.977488359870641</v>
      </c>
      <c r="BP20" s="25">
        <f>'Summary Table'!AF23</f>
        <v>57.233006553301081</v>
      </c>
      <c r="BQ20" s="25">
        <f>'Summary Table'!AG23</f>
        <v>54.41904448356302</v>
      </c>
      <c r="BR20" s="25">
        <f>'Summary Table'!AH23</f>
        <v>55.734392755355948</v>
      </c>
    </row>
    <row r="21" spans="2:71">
      <c r="B21" s="6" t="s">
        <v>1443</v>
      </c>
      <c r="C21" s="232">
        <f t="shared" si="0"/>
        <v>6.5201573375126179E-2</v>
      </c>
      <c r="D21" s="232">
        <f t="shared" si="1"/>
        <v>8.6340835630151033E-2</v>
      </c>
      <c r="E21" s="232">
        <f t="shared" si="2"/>
        <v>5.3552251078358419E-2</v>
      </c>
      <c r="F21" s="232">
        <f t="shared" si="3"/>
        <v>6.5520802344783205E-2</v>
      </c>
      <c r="G21" s="232">
        <f t="shared" si="4"/>
        <v>3.2772740551099216E-2</v>
      </c>
      <c r="H21" s="232">
        <f t="shared" si="5"/>
        <v>4.386027895882498E-2</v>
      </c>
      <c r="I21" s="232">
        <f t="shared" si="6"/>
        <v>-1.2183214580322833E-2</v>
      </c>
      <c r="J21" s="232">
        <f t="shared" si="7"/>
        <v>-1.1910603116231017E-2</v>
      </c>
      <c r="K21" s="232">
        <f t="shared" si="8"/>
        <v>4.7221819322402186E-2</v>
      </c>
      <c r="L21" s="232">
        <f t="shared" si="9"/>
        <v>3.3846959788208918E-2</v>
      </c>
      <c r="M21" s="232">
        <f t="shared" si="10"/>
        <v>6.3920013315744442E-2</v>
      </c>
      <c r="N21" s="232">
        <f t="shared" si="11"/>
        <v>-1.0759521280107339E-2</v>
      </c>
      <c r="O21" s="232">
        <f t="shared" si="12"/>
        <v>7.8625952407495574E-3</v>
      </c>
      <c r="P21" s="232">
        <f t="shared" si="13"/>
        <v>-1.2021435359790292E-2</v>
      </c>
      <c r="Q21" s="232">
        <f t="shared" si="14"/>
        <v>-6.1048093314758616E-3</v>
      </c>
      <c r="R21" s="232">
        <f t="shared" si="15"/>
        <v>-2.1158740314256227E-2</v>
      </c>
      <c r="S21" s="232">
        <f t="shared" si="16"/>
        <v>-3.0402739981325949E-2</v>
      </c>
      <c r="T21" s="232">
        <f t="shared" si="17"/>
        <v>-3.5498540997847813E-2</v>
      </c>
      <c r="U21" s="232">
        <f t="shared" si="18"/>
        <v>-8.7385947162868429E-3</v>
      </c>
      <c r="V21" s="232">
        <f t="shared" si="19"/>
        <v>2.0069380380301942E-3</v>
      </c>
      <c r="W21" s="232">
        <f t="shared" si="20"/>
        <v>-2.6716513770713369E-2</v>
      </c>
      <c r="X21" s="232">
        <f t="shared" si="21"/>
        <v>-1.9102139234458658E-2</v>
      </c>
      <c r="Y21" s="232">
        <f t="shared" si="22"/>
        <v>-2.3525329510289399E-2</v>
      </c>
      <c r="Z21" s="232">
        <f t="shared" si="23"/>
        <v>-1.3520754663242767E-2</v>
      </c>
      <c r="AA21" s="232">
        <f t="shared" si="24"/>
        <v>1.2646664122725613E-2</v>
      </c>
      <c r="AB21" s="232">
        <f t="shared" si="25"/>
        <v>-1.3466042292269638E-2</v>
      </c>
      <c r="AC21" s="232">
        <f t="shared" si="26"/>
        <v>-1.3249657568953872E-2</v>
      </c>
      <c r="AD21" s="232">
        <f t="shared" si="27"/>
        <v>-3.8876875615901585E-2</v>
      </c>
      <c r="AE21" s="232">
        <f t="shared" si="28"/>
        <v>-3.130079382529187E-2</v>
      </c>
      <c r="AF21" s="232">
        <f t="shared" si="29"/>
        <v>-6.7019331413701644E-2</v>
      </c>
      <c r="AG21" s="232">
        <f t="shared" si="30"/>
        <v>-9.2262931192022918E-2</v>
      </c>
      <c r="AH21" s="232">
        <f t="shared" si="31"/>
        <v>-3.5661585727375059E-2</v>
      </c>
      <c r="AI21" s="394">
        <f>AVERAGE(C21:AH21)</f>
        <v>-2.7270883517690461E-4</v>
      </c>
      <c r="AL21" s="6" t="s">
        <v>1443</v>
      </c>
      <c r="AM21" s="25">
        <f>'Summary Table'!C24</f>
        <v>305.86837004185293</v>
      </c>
      <c r="AN21" s="25">
        <f>'Summary Table'!D24</f>
        <v>292.78503629653778</v>
      </c>
      <c r="AO21" s="25">
        <f>'Summary Table'!E24</f>
        <v>301.0309862925227</v>
      </c>
      <c r="AP21" s="25">
        <f>'Summary Table'!F24</f>
        <v>293.109363986299</v>
      </c>
      <c r="AQ21" s="25">
        <f>'Summary Table'!G24</f>
        <v>288.92185498045387</v>
      </c>
      <c r="AR21" s="25">
        <f>'Summary Table'!H24</f>
        <v>291.98616883550289</v>
      </c>
      <c r="AS21" s="25">
        <f>'Summary Table'!I24</f>
        <v>300.13887686398715</v>
      </c>
      <c r="AT21" s="25">
        <f>'Summary Table'!J24</f>
        <v>294.15680944417926</v>
      </c>
      <c r="AU21" s="25">
        <f>'Summary Table'!K24</f>
        <v>294.66981451825228</v>
      </c>
      <c r="AV21" s="25">
        <f>'Summary Table'!L24</f>
        <v>272.94393939947111</v>
      </c>
      <c r="AW21" s="25">
        <f>'Summary Table'!M24</f>
        <v>300.26569092616825</v>
      </c>
      <c r="AX21" s="25">
        <f>'Summary Table'!N24</f>
        <v>312.50708100300676</v>
      </c>
      <c r="AY21" s="25">
        <f>'Summary Table'!O24</f>
        <v>307.61140351199276</v>
      </c>
      <c r="AZ21" s="25">
        <f>'Summary Table'!P24</f>
        <v>313.67173867621773</v>
      </c>
      <c r="BA21" s="25">
        <f>'Summary Table'!Q24</f>
        <v>334.05993630344665</v>
      </c>
      <c r="BB21" s="25">
        <f>'Summary Table'!R24</f>
        <v>337.87694040171903</v>
      </c>
      <c r="BC21" s="25">
        <f>'Summary Table'!S24</f>
        <v>360.76703849769871</v>
      </c>
      <c r="BD21" s="25">
        <f>'Summary Table'!T24</f>
        <v>345.90561733347892</v>
      </c>
      <c r="BE21" s="25">
        <f>'Summary Table'!U24</f>
        <v>311.56970424060825</v>
      </c>
      <c r="BF21" s="25">
        <f>'Summary Table'!V24</f>
        <v>281.82543519496528</v>
      </c>
      <c r="BG21" s="25">
        <f>'Summary Table'!W24</f>
        <v>286.78396176303283</v>
      </c>
      <c r="BH21" s="25">
        <f>'Summary Table'!X24</f>
        <v>287.98261274237649</v>
      </c>
      <c r="BI21" s="25">
        <f>'Summary Table'!Y24</f>
        <v>287.17585056713943</v>
      </c>
      <c r="BJ21" s="25">
        <f>'Summary Table'!Z24</f>
        <v>299.65492060422906</v>
      </c>
      <c r="BK21" s="25">
        <f>'Summary Table'!AA24</f>
        <v>271.87026978437501</v>
      </c>
      <c r="BL21" s="25">
        <f>'Summary Table'!AB24</f>
        <v>264.74084752094535</v>
      </c>
      <c r="BM21" s="25">
        <f>'Summary Table'!AC24</f>
        <v>262.20220123464566</v>
      </c>
      <c r="BN21" s="25">
        <f>'Summary Table'!AD24</f>
        <v>252.01898543113069</v>
      </c>
      <c r="BO21" s="25">
        <f>'Summary Table'!AE24</f>
        <v>257.32814684532644</v>
      </c>
      <c r="BP21" s="25">
        <f>'Summary Table'!AF24</f>
        <v>247.15861528492468</v>
      </c>
      <c r="BQ21" s="25">
        <f>'Summary Table'!AG24</f>
        <v>216.83444622153593</v>
      </c>
      <c r="BR21" s="25">
        <f>'Summary Table'!AH24</f>
        <v>224.64023657742564</v>
      </c>
    </row>
    <row r="22" spans="2:71">
      <c r="B22" s="6" t="s">
        <v>1445</v>
      </c>
      <c r="C22" s="232">
        <f t="shared" si="0"/>
        <v>0</v>
      </c>
      <c r="D22" s="232">
        <f t="shared" si="1"/>
        <v>0</v>
      </c>
      <c r="E22" s="232">
        <f t="shared" si="2"/>
        <v>0</v>
      </c>
      <c r="F22" s="232">
        <f t="shared" si="3"/>
        <v>0</v>
      </c>
      <c r="G22" s="232">
        <f t="shared" si="4"/>
        <v>0</v>
      </c>
      <c r="H22" s="232">
        <f t="shared" si="5"/>
        <v>0</v>
      </c>
      <c r="I22" s="232">
        <f t="shared" si="6"/>
        <v>0</v>
      </c>
      <c r="J22" s="232">
        <f t="shared" si="7"/>
        <v>0</v>
      </c>
      <c r="K22" s="232">
        <f t="shared" si="8"/>
        <v>0</v>
      </c>
      <c r="L22" s="232">
        <f t="shared" si="9"/>
        <v>0</v>
      </c>
      <c r="M22" s="232">
        <f t="shared" si="10"/>
        <v>0</v>
      </c>
      <c r="N22" s="232">
        <f t="shared" si="11"/>
        <v>0</v>
      </c>
      <c r="O22" s="232">
        <f t="shared" si="12"/>
        <v>0</v>
      </c>
      <c r="P22" s="232">
        <f t="shared" si="13"/>
        <v>0</v>
      </c>
      <c r="Q22" s="232">
        <f t="shared" si="14"/>
        <v>0</v>
      </c>
      <c r="R22" s="232">
        <f t="shared" si="15"/>
        <v>0</v>
      </c>
      <c r="S22" s="232">
        <f t="shared" si="16"/>
        <v>0</v>
      </c>
      <c r="T22" s="232">
        <f t="shared" si="17"/>
        <v>0</v>
      </c>
      <c r="U22" s="232">
        <f t="shared" si="18"/>
        <v>0</v>
      </c>
      <c r="V22" s="232">
        <f t="shared" si="19"/>
        <v>0</v>
      </c>
      <c r="W22" s="232">
        <f t="shared" si="20"/>
        <v>3.411800851473582E-6</v>
      </c>
      <c r="X22" s="232">
        <f t="shared" si="21"/>
        <v>3.4297723447524827E-6</v>
      </c>
      <c r="Y22" s="232">
        <f t="shared" si="22"/>
        <v>5.8672984312828214E-6</v>
      </c>
      <c r="Z22" s="232">
        <f t="shared" si="23"/>
        <v>3.476970806090426E-5</v>
      </c>
      <c r="AA22" s="232">
        <f t="shared" si="24"/>
        <v>6.1813788915300816E-5</v>
      </c>
      <c r="AB22" s="232">
        <f t="shared" si="25"/>
        <v>8.7068273639381039E-5</v>
      </c>
      <c r="AC22" s="232">
        <f t="shared" si="26"/>
        <v>1.0929393427088038E-4</v>
      </c>
      <c r="AD22" s="232">
        <f t="shared" si="27"/>
        <v>1.1764752785123713E-4</v>
      </c>
      <c r="AE22" s="232">
        <f t="shared" si="28"/>
        <v>1.3152126401582467E-4</v>
      </c>
      <c r="AF22" s="232">
        <f t="shared" si="29"/>
        <v>1.3589198930483081E-4</v>
      </c>
      <c r="AG22" s="232">
        <f t="shared" si="30"/>
        <v>1.9497647282848754E-4</v>
      </c>
      <c r="AH22" s="232">
        <f t="shared" si="31"/>
        <v>5.999700679442479E-4</v>
      </c>
      <c r="AI22" s="394">
        <f>AVERAGE(C22:AH22)</f>
        <v>4.6426934326831356E-5</v>
      </c>
      <c r="AL22" s="6" t="s">
        <v>1445</v>
      </c>
      <c r="AM22" s="25">
        <f>'Summary Table'!C25</f>
        <v>1432.9432652886276</v>
      </c>
      <c r="AN22" s="25">
        <f>'Summary Table'!D25</f>
        <v>1389.4564060937773</v>
      </c>
      <c r="AO22" s="25">
        <f>'Summary Table'!E25</f>
        <v>1445.4198600226605</v>
      </c>
      <c r="AP22" s="25">
        <f>'Summary Table'!F25</f>
        <v>1474.4524204610232</v>
      </c>
      <c r="AQ22" s="25">
        <f>'Summary Table'!G25</f>
        <v>1516.3845483799519</v>
      </c>
      <c r="AR22" s="25">
        <f>'Summary Table'!H25</f>
        <v>1542.280097691809</v>
      </c>
      <c r="AS22" s="25">
        <f>'Summary Table'!I25</f>
        <v>1588.2793374504231</v>
      </c>
      <c r="AT22" s="25">
        <f>'Summary Table'!J25</f>
        <v>1602.1285102616407</v>
      </c>
      <c r="AU22" s="25">
        <f>'Summary Table'!K25</f>
        <v>1643.631953718932</v>
      </c>
      <c r="AV22" s="25">
        <f>'Summary Table'!L25</f>
        <v>1710.533470614638</v>
      </c>
      <c r="AW22" s="25">
        <f>'Summary Table'!M25</f>
        <v>1756.5518161208734</v>
      </c>
      <c r="AX22" s="25">
        <f>'Summary Table'!N25</f>
        <v>1727.5780724003682</v>
      </c>
      <c r="AY22" s="25">
        <f>'Summary Table'!O25</f>
        <v>1765.9312304048144</v>
      </c>
      <c r="AZ22" s="25">
        <f>'Summary Table'!P25</f>
        <v>1778.7205356811112</v>
      </c>
      <c r="BA22" s="25">
        <f>'Summary Table'!Q25</f>
        <v>1813.2935615739598</v>
      </c>
      <c r="BB22" s="25">
        <f>'Summary Table'!R25</f>
        <v>1825.4762484604264</v>
      </c>
      <c r="BC22" s="25">
        <f>'Summary Table'!S25</f>
        <v>1826.0002540005557</v>
      </c>
      <c r="BD22" s="25">
        <f>'Summary Table'!T25</f>
        <v>1825.5562316874011</v>
      </c>
      <c r="BE22" s="25">
        <f>'Summary Table'!U25</f>
        <v>1722.979673561545</v>
      </c>
      <c r="BF22" s="25">
        <f>'Summary Table'!V25</f>
        <v>1650.5556008859128</v>
      </c>
      <c r="BG22" s="25">
        <f>'Summary Table'!W25</f>
        <v>1658.4553294190557</v>
      </c>
      <c r="BH22" s="25">
        <f>'Summary Table'!X25</f>
        <v>1631.4345760286221</v>
      </c>
      <c r="BI22" s="25">
        <f>'Summary Table'!Y25</f>
        <v>1618.0233222872737</v>
      </c>
      <c r="BJ22" s="25">
        <f>'Summary Table'!Z25</f>
        <v>1621.9966735810883</v>
      </c>
      <c r="BK22" s="25">
        <f>'Summary Table'!AA25</f>
        <v>1667.1086070610122</v>
      </c>
      <c r="BL22" s="25">
        <f>'Summary Table'!AB25</f>
        <v>1678.9752558374032</v>
      </c>
      <c r="BM22" s="25">
        <f>'Summary Table'!AC25</f>
        <v>1717.8477376887884</v>
      </c>
      <c r="BN22" s="25">
        <f>'Summary Table'!AD25</f>
        <v>1738.0500649093556</v>
      </c>
      <c r="BO22" s="25">
        <f>'Summary Table'!AE25</f>
        <v>1762.2192146418806</v>
      </c>
      <c r="BP22" s="25">
        <f>'Summary Table'!AF25</f>
        <v>1757.7069059853736</v>
      </c>
      <c r="BQ22" s="25">
        <f>'Summary Table'!AG25</f>
        <v>1514.1664116985837</v>
      </c>
      <c r="BR22" s="25">
        <f>'Summary Table'!AH25</f>
        <v>1688.3549089409773</v>
      </c>
    </row>
    <row r="23" spans="2:71">
      <c r="B23" s="6" t="s">
        <v>1474</v>
      </c>
      <c r="C23" s="232">
        <f t="shared" si="0"/>
        <v>0</v>
      </c>
      <c r="D23" s="232">
        <f t="shared" si="1"/>
        <v>0</v>
      </c>
      <c r="E23" s="232">
        <f t="shared" si="2"/>
        <v>0</v>
      </c>
      <c r="F23" s="232">
        <f t="shared" si="3"/>
        <v>0</v>
      </c>
      <c r="G23" s="232">
        <f t="shared" si="4"/>
        <v>0</v>
      </c>
      <c r="H23" s="232">
        <f t="shared" si="5"/>
        <v>0</v>
      </c>
      <c r="I23" s="232">
        <f t="shared" si="6"/>
        <v>0</v>
      </c>
      <c r="J23" s="232">
        <f t="shared" si="7"/>
        <v>0</v>
      </c>
      <c r="K23" s="232">
        <f t="shared" si="8"/>
        <v>0</v>
      </c>
      <c r="L23" s="232">
        <f t="shared" si="9"/>
        <v>0</v>
      </c>
      <c r="M23" s="232">
        <f t="shared" si="10"/>
        <v>0</v>
      </c>
      <c r="N23" s="232">
        <f t="shared" si="11"/>
        <v>0</v>
      </c>
      <c r="O23" s="232">
        <f t="shared" si="12"/>
        <v>0</v>
      </c>
      <c r="P23" s="232">
        <f t="shared" si="13"/>
        <v>0</v>
      </c>
      <c r="Q23" s="232">
        <f t="shared" si="14"/>
        <v>0</v>
      </c>
      <c r="R23" s="232">
        <f t="shared" si="15"/>
        <v>0</v>
      </c>
      <c r="S23" s="232">
        <f t="shared" si="16"/>
        <v>0</v>
      </c>
      <c r="T23" s="232">
        <f t="shared" si="17"/>
        <v>0</v>
      </c>
      <c r="U23" s="232">
        <f t="shared" si="18"/>
        <v>0</v>
      </c>
      <c r="V23" s="232">
        <f t="shared" si="19"/>
        <v>0</v>
      </c>
      <c r="W23" s="232">
        <f t="shared" si="20"/>
        <v>0</v>
      </c>
      <c r="X23" s="232">
        <f t="shared" si="21"/>
        <v>0</v>
      </c>
      <c r="Y23" s="232">
        <f t="shared" si="22"/>
        <v>0</v>
      </c>
      <c r="Z23" s="232">
        <f t="shared" si="23"/>
        <v>0</v>
      </c>
      <c r="AA23" s="232">
        <f t="shared" si="24"/>
        <v>0</v>
      </c>
      <c r="AB23" s="232">
        <f t="shared" si="25"/>
        <v>0</v>
      </c>
      <c r="AC23" s="232">
        <f t="shared" si="26"/>
        <v>0</v>
      </c>
      <c r="AD23" s="232">
        <f t="shared" si="27"/>
        <v>0</v>
      </c>
      <c r="AE23" s="232">
        <f t="shared" si="28"/>
        <v>0</v>
      </c>
      <c r="AF23" s="232">
        <f t="shared" si="29"/>
        <v>0</v>
      </c>
      <c r="AG23" s="232">
        <f t="shared" si="30"/>
        <v>0</v>
      </c>
      <c r="AH23" s="232">
        <f t="shared" si="31"/>
        <v>-1.6793913531674545E-5</v>
      </c>
      <c r="AI23" s="394"/>
      <c r="AL23" s="6" t="s">
        <v>1474</v>
      </c>
      <c r="AM23" s="25">
        <f>'Summary Table'!C26</f>
        <v>97.538490680398411</v>
      </c>
      <c r="AN23" s="25">
        <f>'Summary Table'!D26</f>
        <v>90.678661907118197</v>
      </c>
      <c r="AO23" s="25">
        <f>'Summary Table'!E26</f>
        <v>75.527743357330678</v>
      </c>
      <c r="AP23" s="25">
        <f>'Summary Table'!F26</f>
        <v>86.415412739867193</v>
      </c>
      <c r="AQ23" s="25">
        <f>'Summary Table'!G26</f>
        <v>81.246850001075686</v>
      </c>
      <c r="AR23" s="25">
        <f>'Summary Table'!H26</f>
        <v>58.71177506316068</v>
      </c>
      <c r="AS23" s="25">
        <f>'Summary Table'!I26</f>
        <v>63.3962927596016</v>
      </c>
      <c r="AT23" s="25">
        <f>'Summary Table'!J26</f>
        <v>72.207404234661354</v>
      </c>
      <c r="AU23" s="25">
        <f>'Summary Table'!K26</f>
        <v>101.26271580049136</v>
      </c>
      <c r="AV23" s="25">
        <f>'Summary Table'!L26</f>
        <v>93.83330481405045</v>
      </c>
      <c r="AW23" s="25">
        <f>'Summary Table'!M26</f>
        <v>88.524423740199197</v>
      </c>
      <c r="AX23" s="25">
        <f>'Summary Table'!N26</f>
        <v>98.561015855192565</v>
      </c>
      <c r="AY23" s="25">
        <f>'Summary Table'!O26</f>
        <v>76.854861578857893</v>
      </c>
      <c r="AZ23" s="25">
        <f>'Summary Table'!P26</f>
        <v>95.127634817888449</v>
      </c>
      <c r="BA23" s="25">
        <f>'Summary Table'!Q26</f>
        <v>95.845222101221793</v>
      </c>
      <c r="BB23" s="25">
        <f>'Summary Table'!R26</f>
        <v>97.96669769888446</v>
      </c>
      <c r="BC23" s="25">
        <f>'Summary Table'!S26</f>
        <v>53.276122434926961</v>
      </c>
      <c r="BD23" s="25">
        <f>'Summary Table'!T26</f>
        <v>52.964488890730408</v>
      </c>
      <c r="BE23" s="25">
        <f>'Summary Table'!U26</f>
        <v>38.386647737556437</v>
      </c>
      <c r="BF23" s="25">
        <f>'Summary Table'!V26</f>
        <v>32.211435291660024</v>
      </c>
      <c r="BG23" s="25">
        <f>'Summary Table'!W26</f>
        <v>31.428996559920311</v>
      </c>
      <c r="BH23" s="25">
        <f>'Summary Table'!X26</f>
        <v>25.831553656440903</v>
      </c>
      <c r="BI23" s="25">
        <f>'Summary Table'!Y26</f>
        <v>18.333108585152722</v>
      </c>
      <c r="BJ23" s="25">
        <f>'Summary Table'!Z26</f>
        <v>22.420050113678617</v>
      </c>
      <c r="BK23" s="25">
        <f>'Summary Table'!AA26</f>
        <v>25.304369663240369</v>
      </c>
      <c r="BL23" s="25">
        <f>'Summary Table'!AB26</f>
        <v>23.674448825350165</v>
      </c>
      <c r="BM23" s="25">
        <f>'Summary Table'!AC26</f>
        <v>21.458011279651984</v>
      </c>
      <c r="BN23" s="25">
        <f>'Summary Table'!AD26</f>
        <v>18.920639478904537</v>
      </c>
      <c r="BO23" s="25">
        <f>'Summary Table'!AE26</f>
        <v>22.215728844761522</v>
      </c>
      <c r="BP23" s="25">
        <f>'Summary Table'!AF26</f>
        <v>16.161308535890104</v>
      </c>
      <c r="BQ23" s="25">
        <f>'Summary Table'!AG26</f>
        <v>16.166104737697388</v>
      </c>
      <c r="BR23" s="25">
        <f>'Summary Table'!AH26</f>
        <v>17.713212252599575</v>
      </c>
    </row>
    <row r="24" spans="2:71">
      <c r="B24" s="6" t="s">
        <v>1476</v>
      </c>
      <c r="C24" s="232">
        <f t="shared" si="0"/>
        <v>-1.5037988275821114E-4</v>
      </c>
      <c r="D24" s="232">
        <f t="shared" si="1"/>
        <v>-1.5133871498881527E-4</v>
      </c>
      <c r="E24" s="232">
        <f t="shared" si="2"/>
        <v>-1.128259413824751E-4</v>
      </c>
      <c r="F24" s="232">
        <f t="shared" si="3"/>
        <v>-6.4751620946119898E-5</v>
      </c>
      <c r="G24" s="232">
        <f t="shared" si="4"/>
        <v>-6.3964613245807704E-5</v>
      </c>
      <c r="H24" s="232">
        <f t="shared" si="5"/>
        <v>-4.6147099671938662E-5</v>
      </c>
      <c r="I24" s="232">
        <f t="shared" si="6"/>
        <v>-6.9599258169207904E-5</v>
      </c>
      <c r="J24" s="232">
        <f t="shared" si="7"/>
        <v>-4.6041482015278903E-5</v>
      </c>
      <c r="K24" s="232">
        <f t="shared" si="8"/>
        <v>-4.0510182275318045E-5</v>
      </c>
      <c r="L24" s="232">
        <f t="shared" si="9"/>
        <v>-6.2756060045686488E-5</v>
      </c>
      <c r="M24" s="232">
        <f t="shared" si="10"/>
        <v>-7.3710931260385955E-5</v>
      </c>
      <c r="N24" s="232">
        <f t="shared" si="11"/>
        <v>-4.1642286811498764E-5</v>
      </c>
      <c r="O24" s="232">
        <f t="shared" si="12"/>
        <v>-6.0072699729947551E-5</v>
      </c>
      <c r="P24" s="232">
        <f t="shared" si="13"/>
        <v>-5.0737635527259249E-5</v>
      </c>
      <c r="Q24" s="232">
        <f t="shared" si="14"/>
        <v>-5.246670255821877E-5</v>
      </c>
      <c r="R24" s="232">
        <f t="shared" si="15"/>
        <v>-4.472519196478895E-5</v>
      </c>
      <c r="S24" s="232">
        <f t="shared" si="16"/>
        <v>-3.9933493212009115E-5</v>
      </c>
      <c r="T24" s="232">
        <f t="shared" si="17"/>
        <v>-5.0601374112704065E-5</v>
      </c>
      <c r="U24" s="232">
        <f t="shared" si="18"/>
        <v>-8.3146358210053667E-5</v>
      </c>
      <c r="V24" s="232">
        <f t="shared" si="19"/>
        <v>-5.8597653979456385E-5</v>
      </c>
      <c r="W24" s="232">
        <f t="shared" si="20"/>
        <v>-6.831086196735268E-5</v>
      </c>
      <c r="X24" s="232">
        <f t="shared" si="21"/>
        <v>-3.1370839500792849E-5</v>
      </c>
      <c r="Y24" s="232">
        <f t="shared" si="22"/>
        <v>-2.5031990645494918E-5</v>
      </c>
      <c r="Z24" s="232">
        <f t="shared" si="23"/>
        <v>-2.6676026744236705E-5</v>
      </c>
      <c r="AA24" s="232">
        <f t="shared" si="24"/>
        <v>-3.3373635240624494E-5</v>
      </c>
      <c r="AB24" s="232">
        <f t="shared" si="25"/>
        <v>-4.8201828831399551E-5</v>
      </c>
      <c r="AC24" s="232">
        <f t="shared" si="26"/>
        <v>-3.7932648422406598E-5</v>
      </c>
      <c r="AD24" s="232">
        <f t="shared" si="27"/>
        <v>-5.5607696552425281E-5</v>
      </c>
      <c r="AE24" s="232">
        <f t="shared" si="28"/>
        <v>-7.3670379061584169E-5</v>
      </c>
      <c r="AF24" s="232">
        <f t="shared" si="29"/>
        <v>-1.4162243024644716E-4</v>
      </c>
      <c r="AG24" s="232">
        <f t="shared" si="30"/>
        <v>-1.5180322407234913E-4</v>
      </c>
      <c r="AH24" s="232">
        <f t="shared" si="31"/>
        <v>-1.5652739987622163E-4</v>
      </c>
      <c r="AI24" s="394">
        <f>AVERAGE(C24:AH24)</f>
        <v>-6.9189942000828637E-5</v>
      </c>
      <c r="AL24" s="6" t="s">
        <v>1476</v>
      </c>
      <c r="AM24" s="25">
        <f>'Summary Table'!C27</f>
        <v>19.508959997567821</v>
      </c>
      <c r="AN24" s="25">
        <f>'Summary Table'!D27</f>
        <v>18.719462787601117</v>
      </c>
      <c r="AO24" s="25">
        <f>'Summary Table'!E27</f>
        <v>21.550453172158644</v>
      </c>
      <c r="AP24" s="25">
        <f>'Summary Table'!F27</f>
        <v>22.209565820159433</v>
      </c>
      <c r="AQ24" s="25">
        <f>'Summary Table'!G27</f>
        <v>24.309329766534255</v>
      </c>
      <c r="AR24" s="25">
        <f>'Summary Table'!H27</f>
        <v>21.11806308104892</v>
      </c>
      <c r="AS24" s="25">
        <f>'Summary Table'!I27</f>
        <v>19.336238272987909</v>
      </c>
      <c r="AT24" s="25">
        <f>'Summary Table'!J27</f>
        <v>19.632812588792206</v>
      </c>
      <c r="AU24" s="25">
        <f>'Summary Table'!K27</f>
        <v>18.991174385790437</v>
      </c>
      <c r="AV24" s="25">
        <f>'Summary Table'!L27</f>
        <v>15.05096583845658</v>
      </c>
      <c r="AW24" s="25">
        <f>'Summary Table'!M27</f>
        <v>35.882449882897561</v>
      </c>
      <c r="AX24" s="25">
        <f>'Summary Table'!N27</f>
        <v>47.84126149792592</v>
      </c>
      <c r="AY24" s="25">
        <f>'Summary Table'!O27</f>
        <v>41.918924234670499</v>
      </c>
      <c r="AZ24" s="25">
        <f>'Summary Table'!P27</f>
        <v>46.275896176518664</v>
      </c>
      <c r="BA24" s="25">
        <f>'Summary Table'!Q27</f>
        <v>48.662481315630998</v>
      </c>
      <c r="BB24" s="25">
        <f>'Summary Table'!R27</f>
        <v>47.552669878629565</v>
      </c>
      <c r="BC24" s="25">
        <f>'Summary Table'!S27</f>
        <v>46.476346066172155</v>
      </c>
      <c r="BD24" s="25">
        <f>'Summary Table'!T27</f>
        <v>41.828251627125084</v>
      </c>
      <c r="BE24" s="25">
        <f>'Summary Table'!U27</f>
        <v>33.478967793935858</v>
      </c>
      <c r="BF24" s="25">
        <f>'Summary Table'!V27</f>
        <v>34.095301754220401</v>
      </c>
      <c r="BG24" s="25">
        <f>'Summary Table'!W27</f>
        <v>29.831092711053437</v>
      </c>
      <c r="BH24" s="25">
        <f>'Summary Table'!X27</f>
        <v>29.187061284242123</v>
      </c>
      <c r="BI24" s="25">
        <f>'Summary Table'!Y27</f>
        <v>27.056320471856431</v>
      </c>
      <c r="BJ24" s="25">
        <f>'Summary Table'!Z27</f>
        <v>21.764648413326455</v>
      </c>
      <c r="BK24" s="25">
        <f>'Summary Table'!AA27</f>
        <v>21.626600043234902</v>
      </c>
      <c r="BL24" s="25">
        <f>'Summary Table'!AB27</f>
        <v>22.186278560353131</v>
      </c>
      <c r="BM24" s="25">
        <f>'Summary Table'!AC27</f>
        <v>19.529039380245276</v>
      </c>
      <c r="BN24" s="25">
        <f>'Summary Table'!AD27</f>
        <v>21.099650390484019</v>
      </c>
      <c r="BO24" s="25">
        <f>'Summary Table'!AE27</f>
        <v>20.061671070602724</v>
      </c>
      <c r="BP24" s="25">
        <f>'Summary Table'!AF27</f>
        <v>17.47925018767976</v>
      </c>
      <c r="BQ24" s="25">
        <f>'Summary Table'!AG27</f>
        <v>17.548655495362741</v>
      </c>
      <c r="BR24" s="25">
        <f>'Summary Table'!AH27</f>
        <v>16.96048967609271</v>
      </c>
    </row>
    <row r="25" spans="2:71">
      <c r="B25" s="5" t="s">
        <v>82</v>
      </c>
      <c r="C25" s="232">
        <f t="shared" si="0"/>
        <v>0</v>
      </c>
      <c r="D25" s="232">
        <f t="shared" si="1"/>
        <v>0</v>
      </c>
      <c r="E25" s="232">
        <f t="shared" si="2"/>
        <v>0</v>
      </c>
      <c r="F25" s="232">
        <f t="shared" si="3"/>
        <v>0</v>
      </c>
      <c r="G25" s="232">
        <f t="shared" si="4"/>
        <v>0</v>
      </c>
      <c r="H25" s="232">
        <f t="shared" si="5"/>
        <v>0</v>
      </c>
      <c r="I25" s="232">
        <f t="shared" si="6"/>
        <v>0</v>
      </c>
      <c r="J25" s="232">
        <f t="shared" si="7"/>
        <v>0</v>
      </c>
      <c r="K25" s="232">
        <f t="shared" si="8"/>
        <v>0</v>
      </c>
      <c r="L25" s="232">
        <f t="shared" si="9"/>
        <v>0</v>
      </c>
      <c r="M25" s="232">
        <f t="shared" si="10"/>
        <v>0</v>
      </c>
      <c r="N25" s="232">
        <f t="shared" si="11"/>
        <v>0</v>
      </c>
      <c r="O25" s="232">
        <f t="shared" si="12"/>
        <v>0</v>
      </c>
      <c r="P25" s="232">
        <f t="shared" si="13"/>
        <v>0</v>
      </c>
      <c r="Q25" s="232">
        <f t="shared" si="14"/>
        <v>0</v>
      </c>
      <c r="R25" s="232">
        <f t="shared" si="15"/>
        <v>0</v>
      </c>
      <c r="S25" s="232">
        <f t="shared" si="16"/>
        <v>0</v>
      </c>
      <c r="T25" s="232">
        <f t="shared" si="17"/>
        <v>0</v>
      </c>
      <c r="U25" s="232">
        <f t="shared" si="18"/>
        <v>0</v>
      </c>
      <c r="V25" s="232">
        <f t="shared" si="19"/>
        <v>0</v>
      </c>
      <c r="W25" s="232">
        <f t="shared" si="20"/>
        <v>0</v>
      </c>
      <c r="X25" s="232">
        <f t="shared" si="21"/>
        <v>0</v>
      </c>
      <c r="Y25" s="232">
        <f t="shared" si="22"/>
        <v>0</v>
      </c>
      <c r="Z25" s="232">
        <f t="shared" si="23"/>
        <v>0</v>
      </c>
      <c r="AA25" s="232">
        <f t="shared" si="24"/>
        <v>0</v>
      </c>
      <c r="AB25" s="232">
        <f t="shared" si="25"/>
        <v>0</v>
      </c>
      <c r="AC25" s="232">
        <f t="shared" si="26"/>
        <v>0</v>
      </c>
      <c r="AD25" s="232">
        <f t="shared" si="27"/>
        <v>0</v>
      </c>
      <c r="AE25" s="232">
        <f t="shared" si="28"/>
        <v>0</v>
      </c>
      <c r="AF25" s="232">
        <f t="shared" si="29"/>
        <v>0</v>
      </c>
      <c r="AG25" s="232">
        <f t="shared" si="30"/>
        <v>0</v>
      </c>
      <c r="AH25" s="232">
        <f t="shared" si="31"/>
        <v>0</v>
      </c>
      <c r="AL25" s="5" t="s">
        <v>82</v>
      </c>
      <c r="AM25" s="29">
        <f>'Summary Table'!C28</f>
        <v>0.53819391898531332</v>
      </c>
      <c r="AN25" s="29">
        <f>'Summary Table'!D28</f>
        <v>0.53913328761937329</v>
      </c>
      <c r="AO25" s="29">
        <f>'Summary Table'!E28</f>
        <v>0.54407238576943517</v>
      </c>
      <c r="AP25" s="29">
        <f>'Summary Table'!F28</f>
        <v>0.55549804438478367</v>
      </c>
      <c r="AQ25" s="29">
        <f>'Summary Table'!G28</f>
        <v>0.51416615280727973</v>
      </c>
      <c r="AR25" s="29">
        <f>'Summary Table'!H28</f>
        <v>0.42789739562582274</v>
      </c>
      <c r="AS25" s="29">
        <f>'Summary Table'!I28</f>
        <v>0.46247774297699551</v>
      </c>
      <c r="AT25" s="29">
        <f>'Summary Table'!J28</f>
        <v>0.48008445222437274</v>
      </c>
      <c r="AU25" s="29">
        <f>'Summary Table'!K28</f>
        <v>0.47808351702318308</v>
      </c>
      <c r="AV25" s="29">
        <f>'Summary Table'!L28</f>
        <v>0.48506929832140988</v>
      </c>
      <c r="AW25" s="29">
        <f>'Summary Table'!M28</f>
        <v>0.46106105539886988</v>
      </c>
      <c r="AX25" s="29">
        <f>'Summary Table'!N28</f>
        <v>0.44952386597193894</v>
      </c>
      <c r="AY25" s="29">
        <f>'Summary Table'!O28</f>
        <v>0.46881399496422538</v>
      </c>
      <c r="AZ25" s="29">
        <f>'Summary Table'!P28</f>
        <v>0.46668759381997493</v>
      </c>
      <c r="BA25" s="29">
        <f>'Summary Table'!Q28</f>
        <v>0.46734375342683254</v>
      </c>
      <c r="BB25" s="29">
        <f>'Summary Table'!R28</f>
        <v>0.46101770673125719</v>
      </c>
      <c r="BC25" s="29">
        <f>'Summary Table'!S28</f>
        <v>0.45493035004951315</v>
      </c>
      <c r="BD25" s="29">
        <f>'Summary Table'!T28</f>
        <v>0.45791243059931558</v>
      </c>
      <c r="BE25" s="29">
        <f>'Summary Table'!U28</f>
        <v>0.44186045906642402</v>
      </c>
      <c r="BF25" s="29">
        <f>'Summary Table'!V28</f>
        <v>0.43404580842672003</v>
      </c>
      <c r="BG25" s="29">
        <f>'Summary Table'!W28</f>
        <v>0.42666894035695202</v>
      </c>
      <c r="BH25" s="29">
        <f>'Summary Table'!X28</f>
        <v>0.436098145690272</v>
      </c>
      <c r="BI25" s="29">
        <f>'Summary Table'!Y28</f>
        <v>0.43740649120955999</v>
      </c>
      <c r="BJ25" s="29">
        <f>'Summary Table'!Z28</f>
        <v>0.43301642728912798</v>
      </c>
      <c r="BK25" s="29">
        <f>'Summary Table'!AA28</f>
        <v>0.42329941039188002</v>
      </c>
      <c r="BL25" s="29">
        <f>'Summary Table'!AB28</f>
        <v>0.41438842328750403</v>
      </c>
      <c r="BM25" s="29">
        <f>'Summary Table'!AC28</f>
        <v>0.40471025909529595</v>
      </c>
      <c r="BN25" s="29">
        <f>'Summary Table'!AD28</f>
        <v>0.410679019378689</v>
      </c>
      <c r="BO25" s="29">
        <f>'Summary Table'!AE28</f>
        <v>0.40475222088763196</v>
      </c>
      <c r="BP25" s="29">
        <f>'Summary Table'!AF28</f>
        <v>0.37101446085844803</v>
      </c>
      <c r="BQ25" s="29">
        <f>'Summary Table'!AG28</f>
        <v>0.39082596898509597</v>
      </c>
      <c r="BR25" s="29">
        <f>'Summary Table'!AH28</f>
        <v>0.37701789288105603</v>
      </c>
    </row>
    <row r="26" spans="2:71">
      <c r="B26" s="6" t="s">
        <v>1474</v>
      </c>
      <c r="C26" s="232">
        <f t="shared" si="0"/>
        <v>0</v>
      </c>
      <c r="D26" s="232">
        <f t="shared" si="1"/>
        <v>0</v>
      </c>
      <c r="E26" s="232">
        <f t="shared" si="2"/>
        <v>0</v>
      </c>
      <c r="F26" s="232">
        <f t="shared" si="3"/>
        <v>0</v>
      </c>
      <c r="G26" s="232">
        <f t="shared" si="4"/>
        <v>0</v>
      </c>
      <c r="H26" s="232">
        <f t="shared" si="5"/>
        <v>0</v>
      </c>
      <c r="I26" s="232">
        <f t="shared" si="6"/>
        <v>0</v>
      </c>
      <c r="J26" s="232">
        <f t="shared" si="7"/>
        <v>0</v>
      </c>
      <c r="K26" s="232">
        <f t="shared" si="8"/>
        <v>0</v>
      </c>
      <c r="L26" s="232">
        <f t="shared" si="9"/>
        <v>0</v>
      </c>
      <c r="M26" s="232">
        <f t="shared" si="10"/>
        <v>0</v>
      </c>
      <c r="N26" s="232">
        <f t="shared" si="11"/>
        <v>0</v>
      </c>
      <c r="O26" s="232">
        <f t="shared" si="12"/>
        <v>0</v>
      </c>
      <c r="P26" s="232">
        <f t="shared" si="13"/>
        <v>0</v>
      </c>
      <c r="Q26" s="232">
        <f t="shared" si="14"/>
        <v>0</v>
      </c>
      <c r="R26" s="232">
        <f t="shared" si="15"/>
        <v>0</v>
      </c>
      <c r="S26" s="232">
        <f t="shared" si="16"/>
        <v>0</v>
      </c>
      <c r="T26" s="232">
        <f t="shared" si="17"/>
        <v>0</v>
      </c>
      <c r="U26" s="232">
        <f t="shared" si="18"/>
        <v>0</v>
      </c>
      <c r="V26" s="232">
        <f t="shared" si="19"/>
        <v>0</v>
      </c>
      <c r="W26" s="232">
        <f t="shared" si="20"/>
        <v>0</v>
      </c>
      <c r="X26" s="232">
        <f t="shared" si="21"/>
        <v>0</v>
      </c>
      <c r="Y26" s="232">
        <f t="shared" si="22"/>
        <v>0</v>
      </c>
      <c r="Z26" s="232">
        <f t="shared" si="23"/>
        <v>0</v>
      </c>
      <c r="AA26" s="232">
        <f t="shared" si="24"/>
        <v>0</v>
      </c>
      <c r="AB26" s="232">
        <f t="shared" si="25"/>
        <v>0</v>
      </c>
      <c r="AC26" s="232">
        <f t="shared" si="26"/>
        <v>0</v>
      </c>
      <c r="AD26" s="232">
        <f t="shared" si="27"/>
        <v>0</v>
      </c>
      <c r="AE26" s="232">
        <f t="shared" si="28"/>
        <v>0</v>
      </c>
      <c r="AF26" s="232">
        <f t="shared" si="29"/>
        <v>0</v>
      </c>
      <c r="AG26" s="232">
        <f t="shared" si="30"/>
        <v>0</v>
      </c>
      <c r="AH26" s="232">
        <f t="shared" si="31"/>
        <v>0</v>
      </c>
      <c r="AL26" s="6" t="s">
        <v>1474</v>
      </c>
      <c r="AM26" s="25">
        <f>'Summary Table'!C29</f>
        <v>0.53819391898531332</v>
      </c>
      <c r="AN26" s="25">
        <f>'Summary Table'!D29</f>
        <v>0.53913328761937329</v>
      </c>
      <c r="AO26" s="25">
        <f>'Summary Table'!E29</f>
        <v>0.54407238576943517</v>
      </c>
      <c r="AP26" s="25">
        <f>'Summary Table'!F29</f>
        <v>0.55549804438478367</v>
      </c>
      <c r="AQ26" s="25">
        <f>'Summary Table'!G29</f>
        <v>0.51416615280727973</v>
      </c>
      <c r="AR26" s="25">
        <f>'Summary Table'!H29</f>
        <v>0.42789739562582274</v>
      </c>
      <c r="AS26" s="25">
        <f>'Summary Table'!I29</f>
        <v>0.46247774297699551</v>
      </c>
      <c r="AT26" s="25">
        <f>'Summary Table'!J29</f>
        <v>0.48008445222437274</v>
      </c>
      <c r="AU26" s="25">
        <f>'Summary Table'!K29</f>
        <v>0.47808351702318308</v>
      </c>
      <c r="AV26" s="25">
        <f>'Summary Table'!L29</f>
        <v>0.48506929832140988</v>
      </c>
      <c r="AW26" s="25">
        <f>'Summary Table'!M29</f>
        <v>0.46106105539886988</v>
      </c>
      <c r="AX26" s="25">
        <f>'Summary Table'!N29</f>
        <v>0.44952386597193894</v>
      </c>
      <c r="AY26" s="25">
        <f>'Summary Table'!O29</f>
        <v>0.46881399496422538</v>
      </c>
      <c r="AZ26" s="25">
        <f>'Summary Table'!P29</f>
        <v>0.46668759381997493</v>
      </c>
      <c r="BA26" s="25">
        <f>'Summary Table'!Q29</f>
        <v>0.46734375342683254</v>
      </c>
      <c r="BB26" s="25">
        <f>'Summary Table'!R29</f>
        <v>0.46101770673125719</v>
      </c>
      <c r="BC26" s="25">
        <f>'Summary Table'!S29</f>
        <v>0.45493035004951315</v>
      </c>
      <c r="BD26" s="25">
        <f>'Summary Table'!T29</f>
        <v>0.45791243059931558</v>
      </c>
      <c r="BE26" s="25">
        <f>'Summary Table'!U29</f>
        <v>0.44186045906642402</v>
      </c>
      <c r="BF26" s="25">
        <f>'Summary Table'!V29</f>
        <v>0.43404580842672003</v>
      </c>
      <c r="BG26" s="25">
        <f>'Summary Table'!W29</f>
        <v>0.42666894035695202</v>
      </c>
      <c r="BH26" s="25">
        <f>'Summary Table'!X29</f>
        <v>0.436098145690272</v>
      </c>
      <c r="BI26" s="25">
        <f>'Summary Table'!Y29</f>
        <v>0.43740649120955999</v>
      </c>
      <c r="BJ26" s="25">
        <f>'Summary Table'!Z29</f>
        <v>0.43301642728912798</v>
      </c>
      <c r="BK26" s="25">
        <f>'Summary Table'!AA29</f>
        <v>0.42329941039188002</v>
      </c>
      <c r="BL26" s="25">
        <f>'Summary Table'!AB29</f>
        <v>0.41438842328750403</v>
      </c>
      <c r="BM26" s="25">
        <f>'Summary Table'!AC29</f>
        <v>0.40471025909529595</v>
      </c>
      <c r="BN26" s="25">
        <f>'Summary Table'!AD29</f>
        <v>0.410679019378689</v>
      </c>
      <c r="BO26" s="25">
        <f>'Summary Table'!AE29</f>
        <v>0.40475222088763196</v>
      </c>
      <c r="BP26" s="25">
        <f>'Summary Table'!AF29</f>
        <v>0.37101446085844803</v>
      </c>
      <c r="BQ26" s="25">
        <f>'Summary Table'!AG29</f>
        <v>0.39082596898509597</v>
      </c>
      <c r="BR26" s="25">
        <f>'Summary Table'!AH29</f>
        <v>0.37701789288105603</v>
      </c>
    </row>
    <row r="27" spans="2:71">
      <c r="B27" s="4" t="s">
        <v>1480</v>
      </c>
      <c r="C27" s="237">
        <f t="shared" ref="C27" si="32">IFERROR((AM27-C54)/C54, "NA")</f>
        <v>3.9584621865160164E-3</v>
      </c>
      <c r="D27" s="237">
        <f t="shared" ref="D27" si="33">IFERROR((AN27-D54)/D54, "NA")</f>
        <v>4.9742885139978715E-3</v>
      </c>
      <c r="E27" s="237">
        <f t="shared" ref="E27" si="34">IFERROR((AO27-E54)/E54, "NA")</f>
        <v>3.2016289491738682E-3</v>
      </c>
      <c r="F27" s="237">
        <f t="shared" ref="F27" si="35">IFERROR((AP27-F54)/F54, "NA")</f>
        <v>3.6841698955208885E-3</v>
      </c>
      <c r="G27" s="237">
        <f t="shared" ref="G27" si="36">IFERROR((AQ27-G54)/G54, "NA")</f>
        <v>1.8468428805394027E-3</v>
      </c>
      <c r="H27" s="237">
        <f t="shared" ref="H27" si="37">IFERROR((AR27-H54)/H54, "NA")</f>
        <v>2.443732992250969E-3</v>
      </c>
      <c r="I27" s="237">
        <f t="shared" ref="I27" si="38">IFERROR((AS27-I54)/I54, "NA")</f>
        <v>-7.1230369214639409E-4</v>
      </c>
      <c r="J27" s="237">
        <f t="shared" ref="J27" si="39">IFERROR((AT27-J54)/J54, "NA")</f>
        <v>-6.74046578296897E-4</v>
      </c>
      <c r="K27" s="237">
        <f t="shared" ref="K27" si="40">IFERROR((AU27-K54)/K54, "NA")</f>
        <v>2.4984957604703433E-3</v>
      </c>
      <c r="L27" s="237">
        <f t="shared" ref="L27" si="41">IFERROR((AV27-L54)/L54, "NA")</f>
        <v>1.6646235678300324E-3</v>
      </c>
      <c r="M27" s="237">
        <f t="shared" ref="M27" si="42">IFERROR((AW27-M54)/M54, "NA")</f>
        <v>3.2183739069114089E-3</v>
      </c>
      <c r="N27" s="237">
        <f t="shared" ref="N27" si="43">IFERROR((AX27-N54)/N54, "NA")</f>
        <v>-6.254741725142982E-4</v>
      </c>
      <c r="O27" s="237">
        <f t="shared" ref="O27" si="44">IFERROR((AY27-O54)/O54, "NA")</f>
        <v>4.153162098140987E-4</v>
      </c>
      <c r="P27" s="237">
        <f t="shared" ref="P27" si="45">IFERROR((AZ27-P54)/P54, "NA")</f>
        <v>-6.9093749672674792E-4</v>
      </c>
      <c r="Q27" s="237">
        <f t="shared" ref="Q27" si="46">IFERROR((BA27-Q54)/Q54, "NA")</f>
        <v>-3.8458627070683159E-4</v>
      </c>
      <c r="R27" s="237">
        <f t="shared" ref="R27" si="47">IFERROR((BB27-R54)/R54, "NA")</f>
        <v>-1.3484919666966366E-3</v>
      </c>
      <c r="S27" s="237">
        <f t="shared" ref="S27" si="48">IFERROR((BC27-S54)/S54, "NA")</f>
        <v>-2.2039751092077431E-3</v>
      </c>
      <c r="T27" s="237">
        <f t="shared" ref="T27" si="49">IFERROR((BD27-T54)/T54, "NA")</f>
        <v>-2.4881874327674939E-3</v>
      </c>
      <c r="U27" s="237">
        <f t="shared" ref="U27" si="50">IFERROR((BE27-U54)/U54, "NA")</f>
        <v>-7.3280279052032841E-4</v>
      </c>
      <c r="V27" s="237">
        <f t="shared" ref="V27" si="51">IFERROR((BF27-V54)/V54, "NA")</f>
        <v>-5.2865634803020286E-5</v>
      </c>
      <c r="W27" s="237">
        <f t="shared" ref="W27" si="52">IFERROR((BG27-W54)/W54, "NA")</f>
        <v>-1.5541299908194556E-3</v>
      </c>
      <c r="X27" s="237">
        <f t="shared" ref="X27" si="53">IFERROR((BH27-X54)/X54, "NA")</f>
        <v>-1.0160296036477116E-3</v>
      </c>
      <c r="Y27" s="237">
        <f t="shared" ref="Y27" si="54">IFERROR((BI27-Y54)/Y54, "NA")</f>
        <v>-1.3252111263997012E-3</v>
      </c>
      <c r="Z27" s="237">
        <f t="shared" ref="Z27" si="55">IFERROR((BJ27-Z54)/Z54, "NA")</f>
        <v>-7.4118785692100586E-4</v>
      </c>
      <c r="AA27" s="237">
        <f t="shared" ref="AA27" si="56">IFERROR((BK27-AA54)/AA54, "NA")</f>
        <v>7.3842132897563803E-4</v>
      </c>
      <c r="AB27" s="237">
        <f t="shared" ref="AB27" si="57">IFERROR((BL27-AB54)/AB54, "NA")</f>
        <v>-5.9213585555046677E-4</v>
      </c>
      <c r="AC27" s="237">
        <f t="shared" ref="AC27" si="58">IFERROR((BM27-AC54)/AC54, "NA")</f>
        <v>-5.3086663031460906E-4</v>
      </c>
      <c r="AD27" s="237">
        <f t="shared" ref="AD27" si="59">IFERROR((BN27-AD54)/AD54, "NA")</f>
        <v>-1.8599231407779033E-3</v>
      </c>
      <c r="AE27" s="237">
        <f t="shared" ref="AE27" si="60">IFERROR((BO27-AE54)/AE54, "NA")</f>
        <v>-1.384616116750553E-3</v>
      </c>
      <c r="AF27" s="237">
        <f t="shared" ref="AF27" si="61">IFERROR((BP27-AF54)/AF54, "NA")</f>
        <v>-3.0851197920581087E-3</v>
      </c>
      <c r="AG27" s="237">
        <f t="shared" ref="AG27:AH27" si="62">IFERROR((BQ27-AG54)/AG54, "NA")</f>
        <v>-3.6054076678827059E-3</v>
      </c>
      <c r="AH27" s="237">
        <f t="shared" si="62"/>
        <v>7.6993293007915483E-4</v>
      </c>
      <c r="AI27" s="394">
        <f>AVERAGE(C27:AH27)</f>
        <v>1.1893719364284625E-4</v>
      </c>
      <c r="AJ27" s="496"/>
      <c r="AL27" s="4" t="s">
        <v>1480</v>
      </c>
      <c r="AM27" s="30">
        <f>'Summary Table'!C30</f>
        <v>4746.9107611763911</v>
      </c>
      <c r="AN27" s="30">
        <f>'Summary Table'!D30</f>
        <v>4700.2568670290275</v>
      </c>
      <c r="AO27" s="30">
        <f>'Summary Table'!E30</f>
        <v>4792.896191445001</v>
      </c>
      <c r="AP27" s="30">
        <f>'Summary Table'!F30</f>
        <v>4909.1099279193959</v>
      </c>
      <c r="AQ27" s="30">
        <f>'Summary Table'!G30</f>
        <v>4971.4921183987371</v>
      </c>
      <c r="AR27" s="30">
        <f>'Summary Table'!H30</f>
        <v>5030.9902119425951</v>
      </c>
      <c r="AS27" s="30">
        <f>'Summary Table'!I30</f>
        <v>5205.8721982212046</v>
      </c>
      <c r="AT27" s="30">
        <f>'Summary Table'!J30</f>
        <v>5266.2520827818253</v>
      </c>
      <c r="AU27" s="30">
        <f>'Summary Table'!K30</f>
        <v>5329.302392675474</v>
      </c>
      <c r="AV27" s="30">
        <f>'Summary Table'!L30</f>
        <v>5374.1646861342406</v>
      </c>
      <c r="AW27" s="30">
        <f>'Summary Table'!M30</f>
        <v>5620.5710399981317</v>
      </c>
      <c r="AX27" s="30">
        <f>'Summary Table'!N30</f>
        <v>5524.0653658701167</v>
      </c>
      <c r="AY27" s="30">
        <f>'Summary Table'!O30</f>
        <v>5565.1845602944486</v>
      </c>
      <c r="AZ27" s="30">
        <f>'Summary Table'!P30</f>
        <v>5634.4136153853842</v>
      </c>
      <c r="BA27" s="30">
        <f>'Summary Table'!Q30</f>
        <v>5713.4982557715184</v>
      </c>
      <c r="BB27" s="30">
        <f>'Summary Table'!R30</f>
        <v>5739.5565585087497</v>
      </c>
      <c r="BC27" s="30">
        <f>'Summary Table'!S30</f>
        <v>5650.9400650318275</v>
      </c>
      <c r="BD27" s="30">
        <f>'Summary Table'!T30</f>
        <v>5734.8641814831999</v>
      </c>
      <c r="BE27" s="30">
        <f>'Summary Table'!U30</f>
        <v>5547.8591342867257</v>
      </c>
      <c r="BF27" s="30">
        <f>'Summary Table'!V30</f>
        <v>5179.5118746219405</v>
      </c>
      <c r="BG27" s="30">
        <f>'Summary Table'!W30</f>
        <v>5336.5715852980038</v>
      </c>
      <c r="BH27" s="30">
        <f>'Summary Table'!X30</f>
        <v>5204.5445538446747</v>
      </c>
      <c r="BI27" s="30">
        <f>'Summary Table'!Y30</f>
        <v>4997.8460700475689</v>
      </c>
      <c r="BJ27" s="30">
        <f>'Summary Table'!Z30</f>
        <v>5119.1697937386962</v>
      </c>
      <c r="BK27" s="30">
        <f>'Summary Table'!AA30</f>
        <v>5169.1260393761713</v>
      </c>
      <c r="BL27" s="30">
        <f>'Summary Table'!AB30</f>
        <v>5004.3330938460931</v>
      </c>
      <c r="BM27" s="30">
        <f>'Summary Table'!AC30</f>
        <v>4907.3297734535845</v>
      </c>
      <c r="BN27" s="30">
        <f>'Summary Table'!AD30</f>
        <v>4843.4900631032624</v>
      </c>
      <c r="BO27" s="30">
        <f>'Summary Table'!AE30</f>
        <v>4982.9401553416565</v>
      </c>
      <c r="BP27" s="30">
        <f>'Summary Table'!AF30</f>
        <v>4840.9487120861313</v>
      </c>
      <c r="BQ27" s="30">
        <f>'Summary Table'!AG30</f>
        <v>4329.2412005285369</v>
      </c>
      <c r="BR27" s="30">
        <f>'Summary Table'!AH30</f>
        <v>4642.6449391491133</v>
      </c>
      <c r="BS27" s="5" t="s">
        <v>1515</v>
      </c>
    </row>
    <row r="28" spans="2:71">
      <c r="AM28" s="228">
        <f t="shared" ref="AM28:BR28" si="63">AM27-C54</f>
        <v>18.716378673634608</v>
      </c>
      <c r="AN28" s="228">
        <f t="shared" si="63"/>
        <v>23.26470837485158</v>
      </c>
      <c r="AO28" s="228">
        <f t="shared" si="63"/>
        <v>15.296102751536637</v>
      </c>
      <c r="AP28" s="228">
        <f t="shared" si="63"/>
        <v>18.019607713974438</v>
      </c>
      <c r="AQ28" s="228">
        <f t="shared" si="63"/>
        <v>9.1646391759077233</v>
      </c>
      <c r="AR28" s="228">
        <f t="shared" si="63"/>
        <v>12.264425782699618</v>
      </c>
      <c r="AS28" s="228">
        <f t="shared" si="63"/>
        <v>-3.7108052078856417</v>
      </c>
      <c r="AT28" s="228">
        <f t="shared" si="63"/>
        <v>-3.5520934732994647</v>
      </c>
      <c r="AU28" s="228">
        <f t="shared" si="63"/>
        <v>13.282054278060059</v>
      </c>
      <c r="AV28" s="228">
        <f t="shared" si="63"/>
        <v>8.9310942839074414</v>
      </c>
      <c r="AW28" s="228">
        <f t="shared" si="63"/>
        <v>18.031068456836692</v>
      </c>
      <c r="AX28" s="228">
        <f t="shared" si="63"/>
        <v>-3.4573226796746894</v>
      </c>
      <c r="AY28" s="228">
        <f t="shared" si="63"/>
        <v>2.310351831931257</v>
      </c>
      <c r="AZ28" s="228">
        <f t="shared" si="63"/>
        <v>-3.8957193375044881</v>
      </c>
      <c r="BA28" s="228">
        <f t="shared" si="63"/>
        <v>-2.1981783761011684</v>
      </c>
      <c r="BB28" s="228">
        <f t="shared" si="63"/>
        <v>-7.7501969899312826</v>
      </c>
      <c r="BC28" s="228">
        <f t="shared" si="63"/>
        <v>-12.482041355414367</v>
      </c>
      <c r="BD28" s="228">
        <f t="shared" si="63"/>
        <v>-14.305010532427332</v>
      </c>
      <c r="BE28" s="228">
        <f t="shared" si="63"/>
        <v>-4.0684680397516786</v>
      </c>
      <c r="BF28" s="228">
        <f t="shared" si="63"/>
        <v>-0.2738326595590479</v>
      </c>
      <c r="BG28" s="228">
        <f t="shared" si="63"/>
        <v>-8.3066355402825138</v>
      </c>
      <c r="BH28" s="228">
        <f t="shared" si="63"/>
        <v>-5.293349540044801</v>
      </c>
      <c r="BI28" s="228">
        <f t="shared" si="63"/>
        <v>-6.6319900070075164</v>
      </c>
      <c r="BJ28" s="228">
        <f t="shared" si="63"/>
        <v>-3.7970808388454316</v>
      </c>
      <c r="BK28" s="228">
        <f t="shared" si="63"/>
        <v>3.81417645039528</v>
      </c>
      <c r="BL28" s="228">
        <f t="shared" si="63"/>
        <v>-2.9650007412346895</v>
      </c>
      <c r="BM28" s="228">
        <f t="shared" si="63"/>
        <v>-2.6065213358742767</v>
      </c>
      <c r="BN28" s="228">
        <f t="shared" si="63"/>
        <v>-9.0253056252786337</v>
      </c>
      <c r="BO28" s="228">
        <f t="shared" si="63"/>
        <v>-6.9090255960809372</v>
      </c>
      <c r="BP28" s="228">
        <f t="shared" si="63"/>
        <v>-14.981125250011246</v>
      </c>
      <c r="BQ28" s="228">
        <f t="shared" si="63"/>
        <v>-15.665158703808629</v>
      </c>
      <c r="BR28" s="228">
        <f t="shared" si="63"/>
        <v>3.5717751939755544</v>
      </c>
      <c r="BS28" s="149">
        <f>AVERAGE(AM28:BR28)</f>
        <v>0.4622350355529079</v>
      </c>
    </row>
    <row r="29" spans="2:71">
      <c r="B29" s="646" t="s">
        <v>1521</v>
      </c>
    </row>
    <row r="30" spans="2:71">
      <c r="B30" s="4" t="s">
        <v>1469</v>
      </c>
      <c r="C30" s="23">
        <v>1990</v>
      </c>
      <c r="D30" s="23">
        <v>1991</v>
      </c>
      <c r="E30" s="23">
        <v>1992</v>
      </c>
      <c r="F30" s="23">
        <v>1993</v>
      </c>
      <c r="G30" s="23">
        <v>1994</v>
      </c>
      <c r="H30" s="23">
        <v>1995</v>
      </c>
      <c r="I30" s="23">
        <v>1996</v>
      </c>
      <c r="J30" s="23">
        <v>1997</v>
      </c>
      <c r="K30" s="23">
        <v>1998</v>
      </c>
      <c r="L30" s="23">
        <v>1999</v>
      </c>
      <c r="M30" s="23">
        <v>2000</v>
      </c>
      <c r="N30" s="23">
        <v>2001</v>
      </c>
      <c r="O30" s="23">
        <v>2002</v>
      </c>
      <c r="P30" s="23">
        <v>2003</v>
      </c>
      <c r="Q30" s="23">
        <v>2004</v>
      </c>
      <c r="R30" s="23">
        <v>2005</v>
      </c>
      <c r="S30" s="23">
        <v>2006</v>
      </c>
      <c r="T30" s="23">
        <v>2007</v>
      </c>
      <c r="U30" s="23">
        <v>2008</v>
      </c>
      <c r="V30" s="23">
        <v>2009</v>
      </c>
      <c r="W30" s="23">
        <v>2010</v>
      </c>
      <c r="X30" s="23">
        <v>2011</v>
      </c>
      <c r="Y30" s="23">
        <v>2012</v>
      </c>
      <c r="Z30" s="23">
        <v>2013</v>
      </c>
      <c r="AA30" s="23">
        <v>2014</v>
      </c>
      <c r="AB30" s="23">
        <v>2015</v>
      </c>
      <c r="AC30" s="23">
        <v>2016</v>
      </c>
      <c r="AD30" s="23">
        <v>2017</v>
      </c>
      <c r="AE30" s="23">
        <v>2018</v>
      </c>
      <c r="AF30" s="23">
        <v>2019</v>
      </c>
      <c r="AG30" s="23">
        <v>2020</v>
      </c>
      <c r="AH30" s="23">
        <v>2021</v>
      </c>
    </row>
    <row r="31" spans="2:71">
      <c r="B31" s="5" t="s">
        <v>1435</v>
      </c>
      <c r="C31" s="676">
        <v>1719.7936162095687</v>
      </c>
      <c r="D31" s="676">
        <v>1715.8441293583292</v>
      </c>
      <c r="E31" s="676">
        <v>1732.9669857976501</v>
      </c>
      <c r="F31" s="676">
        <v>1798.3049940323895</v>
      </c>
      <c r="G31" s="676">
        <v>1805.0408254994447</v>
      </c>
      <c r="H31" s="676">
        <v>1820.3692840658719</v>
      </c>
      <c r="I31" s="676">
        <v>1905.2502159724108</v>
      </c>
      <c r="J31" s="676">
        <v>1950.5146611747784</v>
      </c>
      <c r="K31" s="676">
        <v>1979.3916615339049</v>
      </c>
      <c r="L31" s="676">
        <v>1979.4021109419455</v>
      </c>
      <c r="M31" s="676">
        <v>2065.1733097733759</v>
      </c>
      <c r="N31" s="676">
        <v>2009.9897555247185</v>
      </c>
      <c r="O31" s="676">
        <v>2019.6988931581416</v>
      </c>
      <c r="P31" s="676">
        <v>2061.0557963431602</v>
      </c>
      <c r="Q31" s="676">
        <v>2076.258989959154</v>
      </c>
      <c r="R31" s="676">
        <v>2113.6970509859866</v>
      </c>
      <c r="S31" s="676">
        <v>2078.5288197689729</v>
      </c>
      <c r="T31" s="676">
        <v>2107.8260677173998</v>
      </c>
      <c r="U31" s="676">
        <v>2075.5128749315104</v>
      </c>
      <c r="V31" s="676">
        <v>1837.5539840632741</v>
      </c>
      <c r="W31" s="676">
        <v>1931.1865184703258</v>
      </c>
      <c r="X31" s="676">
        <v>1817.608310411737</v>
      </c>
      <c r="Y31" s="676">
        <v>1597.3443211496458</v>
      </c>
      <c r="Z31" s="676">
        <v>1658.0109741827303</v>
      </c>
      <c r="AA31" s="676">
        <v>1655.0620683956249</v>
      </c>
      <c r="AB31" s="676">
        <v>1427.6381707821204</v>
      </c>
      <c r="AC31" s="676">
        <v>1310.7066537255466</v>
      </c>
      <c r="AD31" s="676">
        <v>1270.0204107320772</v>
      </c>
      <c r="AE31" s="676">
        <v>1211.6464814910373</v>
      </c>
      <c r="AF31" s="676">
        <v>1028.163657658803</v>
      </c>
      <c r="AG31" s="676">
        <v>835.60549285381148</v>
      </c>
      <c r="AH31" s="676">
        <v>957.29089690583385</v>
      </c>
    </row>
    <row r="32" spans="2:71">
      <c r="B32" s="6" t="s">
        <v>1434</v>
      </c>
      <c r="C32" s="677">
        <v>2.9876952520607118</v>
      </c>
      <c r="D32" s="677">
        <v>2.4418665673276769</v>
      </c>
      <c r="E32" s="677">
        <v>2.4754382193886699</v>
      </c>
      <c r="F32" s="677">
        <v>2.4697527866952389</v>
      </c>
      <c r="G32" s="677">
        <v>1.9941820840028137</v>
      </c>
      <c r="H32" s="677">
        <v>1.6716718149582452</v>
      </c>
      <c r="I32" s="677">
        <v>1.5825801930815993</v>
      </c>
      <c r="J32" s="677">
        <v>1.5181715699565763</v>
      </c>
      <c r="K32" s="677">
        <v>1.1032453604176209</v>
      </c>
      <c r="L32" s="677">
        <v>1.3314380787302316</v>
      </c>
      <c r="M32" s="677">
        <v>1.0827568764835389</v>
      </c>
      <c r="N32" s="677">
        <v>1.1408450183687231</v>
      </c>
      <c r="O32" s="677">
        <v>1.1660507086849294</v>
      </c>
      <c r="P32" s="677">
        <v>1.1687672828281666</v>
      </c>
      <c r="Q32" s="677">
        <v>1.0852533688090795</v>
      </c>
      <c r="R32" s="677">
        <v>0.80525533457459764</v>
      </c>
      <c r="S32" s="677">
        <v>0.61705166323197502</v>
      </c>
      <c r="T32" s="677">
        <v>0.73943487324772961</v>
      </c>
      <c r="U32" s="677">
        <v>0</v>
      </c>
      <c r="V32" s="677">
        <v>0</v>
      </c>
      <c r="W32" s="677">
        <v>0</v>
      </c>
      <c r="X32" s="677">
        <v>0</v>
      </c>
      <c r="Y32" s="677">
        <v>0</v>
      </c>
      <c r="Z32" s="677">
        <v>0</v>
      </c>
      <c r="AA32" s="677">
        <v>0</v>
      </c>
      <c r="AB32" s="677">
        <v>0</v>
      </c>
      <c r="AC32" s="677">
        <v>0</v>
      </c>
      <c r="AD32" s="677">
        <v>0</v>
      </c>
      <c r="AE32" s="677">
        <v>0</v>
      </c>
      <c r="AF32" s="677">
        <v>0</v>
      </c>
      <c r="AG32" s="677">
        <v>0</v>
      </c>
      <c r="AH32" s="677">
        <v>0</v>
      </c>
    </row>
    <row r="33" spans="2:34">
      <c r="B33" s="6" t="s">
        <v>1441</v>
      </c>
      <c r="C33" s="677">
        <v>11.950781008242847</v>
      </c>
      <c r="D33" s="677">
        <v>11.123951798824036</v>
      </c>
      <c r="E33" s="677">
        <v>11.2767921073171</v>
      </c>
      <c r="F33" s="677">
        <v>11.251191944732801</v>
      </c>
      <c r="G33" s="677">
        <v>11.300110030238828</v>
      </c>
      <c r="H33" s="677">
        <v>11.187393726740217</v>
      </c>
      <c r="I33" s="677">
        <v>11.605301798192992</v>
      </c>
      <c r="J33" s="677">
        <v>12.283500350691053</v>
      </c>
      <c r="K33" s="677">
        <v>8.9264663574628376</v>
      </c>
      <c r="L33" s="677">
        <v>9.7635618041440733</v>
      </c>
      <c r="M33" s="677">
        <v>8.7603401271750982</v>
      </c>
      <c r="N33" s="677">
        <v>9.2306379407867158</v>
      </c>
      <c r="O33" s="677">
        <v>8.5511654681646281</v>
      </c>
      <c r="P33" s="677">
        <v>7.8219705072625967</v>
      </c>
      <c r="Q33" s="677">
        <v>9.7670904901110305</v>
      </c>
      <c r="R33" s="677">
        <v>9.2601022167636504</v>
      </c>
      <c r="S33" s="677">
        <v>6.2387890463696039</v>
      </c>
      <c r="T33" s="677">
        <v>6.6546288033802021</v>
      </c>
      <c r="U33" s="677">
        <v>7.6116885807047296</v>
      </c>
      <c r="V33" s="677">
        <v>6.9212944879527454</v>
      </c>
      <c r="W33" s="677">
        <v>6.5764502150490669</v>
      </c>
      <c r="X33" s="677">
        <v>5.8411054745380699</v>
      </c>
      <c r="Y33" s="677">
        <v>4.1332779377363469</v>
      </c>
      <c r="Z33" s="677">
        <v>3.9349591086762437</v>
      </c>
      <c r="AA33" s="677">
        <v>3.815747352827314</v>
      </c>
      <c r="AB33" s="677">
        <v>2.9645721255676034</v>
      </c>
      <c r="AC33" s="677">
        <v>2.2649918397973812</v>
      </c>
      <c r="AD33" s="677">
        <v>1.9759169500269727</v>
      </c>
      <c r="AE33" s="677">
        <v>1.7911940979329957</v>
      </c>
      <c r="AF33" s="677">
        <v>1.6000991942164422</v>
      </c>
      <c r="AG33" s="677">
        <v>1.3945916740834434</v>
      </c>
      <c r="AH33" s="677">
        <v>1.4304169328982714</v>
      </c>
    </row>
    <row r="34" spans="2:34">
      <c r="B34" s="6" t="s">
        <v>1443</v>
      </c>
      <c r="C34" s="677">
        <v>157.84209046787106</v>
      </c>
      <c r="D34" s="677">
        <v>154.64085529828895</v>
      </c>
      <c r="E34" s="677">
        <v>150.27786714941479</v>
      </c>
      <c r="F34" s="677">
        <v>152.55057458291006</v>
      </c>
      <c r="G34" s="677">
        <v>153.47109584651562</v>
      </c>
      <c r="H34" s="677">
        <v>147.21878209469244</v>
      </c>
      <c r="I34" s="677">
        <v>140.09708355714514</v>
      </c>
      <c r="J34" s="677">
        <v>140.24499718866394</v>
      </c>
      <c r="K34" s="677">
        <v>141.76016153393269</v>
      </c>
      <c r="L34" s="677">
        <v>132.48454762806003</v>
      </c>
      <c r="M34" s="677">
        <v>128.49007466679879</v>
      </c>
      <c r="N34" s="677">
        <v>130.18692998180313</v>
      </c>
      <c r="O34" s="677">
        <v>119.06363823530097</v>
      </c>
      <c r="P34" s="677">
        <v>119.44450376528793</v>
      </c>
      <c r="Q34" s="677">
        <v>120.44114289203144</v>
      </c>
      <c r="R34" s="677">
        <v>117.84664333877727</v>
      </c>
      <c r="S34" s="677">
        <v>115.58457012511121</v>
      </c>
      <c r="T34" s="677">
        <v>110.7798478042864</v>
      </c>
      <c r="U34" s="677">
        <v>106.08016306944283</v>
      </c>
      <c r="V34" s="677">
        <v>87.070439168754788</v>
      </c>
      <c r="W34" s="677">
        <v>94.169115601895328</v>
      </c>
      <c r="X34" s="677">
        <v>85.95905272948481</v>
      </c>
      <c r="Y34" s="677">
        <v>78.23009117399819</v>
      </c>
      <c r="Z34" s="677">
        <v>79.549338377717078</v>
      </c>
      <c r="AA34" s="677">
        <v>79.247794143577707</v>
      </c>
      <c r="AB34" s="677">
        <v>69.975110409354656</v>
      </c>
      <c r="AC34" s="677">
        <v>63.154312260945538</v>
      </c>
      <c r="AD34" s="677">
        <v>58.677271639088119</v>
      </c>
      <c r="AE34" s="677">
        <v>54.42208548664717</v>
      </c>
      <c r="AF34" s="677">
        <v>49.463302568703426</v>
      </c>
      <c r="AG34" s="677">
        <v>42.968685714509697</v>
      </c>
      <c r="AH34" s="677">
        <v>43.032401736051334</v>
      </c>
    </row>
    <row r="35" spans="2:34">
      <c r="B35" s="6" t="s">
        <v>1445</v>
      </c>
      <c r="C35" s="677" t="s">
        <v>108</v>
      </c>
      <c r="D35" s="677" t="s">
        <v>108</v>
      </c>
      <c r="E35" s="677" t="s">
        <v>108</v>
      </c>
      <c r="F35" s="677" t="s">
        <v>108</v>
      </c>
      <c r="G35" s="677" t="s">
        <v>108</v>
      </c>
      <c r="H35" s="677" t="s">
        <v>108</v>
      </c>
      <c r="I35" s="677" t="s">
        <v>108</v>
      </c>
      <c r="J35" s="677" t="s">
        <v>108</v>
      </c>
      <c r="K35" s="677" t="s">
        <v>108</v>
      </c>
      <c r="L35" s="677" t="s">
        <v>108</v>
      </c>
      <c r="M35" s="677" t="s">
        <v>108</v>
      </c>
      <c r="N35" s="677" t="s">
        <v>108</v>
      </c>
      <c r="O35" s="677" t="s">
        <v>108</v>
      </c>
      <c r="P35" s="677" t="s">
        <v>108</v>
      </c>
      <c r="Q35" s="677" t="s">
        <v>108</v>
      </c>
      <c r="R35" s="677" t="s">
        <v>108</v>
      </c>
      <c r="S35" s="677" t="s">
        <v>108</v>
      </c>
      <c r="T35" s="677" t="s">
        <v>108</v>
      </c>
      <c r="U35" s="677" t="s">
        <v>108</v>
      </c>
      <c r="V35" s="677" t="s">
        <v>108</v>
      </c>
      <c r="W35" s="677" t="s">
        <v>108</v>
      </c>
      <c r="X35" s="677" t="s">
        <v>108</v>
      </c>
      <c r="Y35" s="677" t="s">
        <v>108</v>
      </c>
      <c r="Z35" s="677" t="s">
        <v>108</v>
      </c>
      <c r="AA35" s="677" t="s">
        <v>108</v>
      </c>
      <c r="AB35" s="677" t="s">
        <v>108</v>
      </c>
      <c r="AC35" s="677" t="s">
        <v>108</v>
      </c>
      <c r="AD35" s="677" t="s">
        <v>108</v>
      </c>
      <c r="AE35" s="677" t="s">
        <v>108</v>
      </c>
      <c r="AF35" s="677" t="s">
        <v>108</v>
      </c>
      <c r="AG35" s="677" t="s">
        <v>108</v>
      </c>
      <c r="AH35" s="677" t="s">
        <v>108</v>
      </c>
    </row>
    <row r="36" spans="2:34">
      <c r="B36" s="6" t="s">
        <v>1474</v>
      </c>
      <c r="C36" s="677">
        <v>1546.5138658365147</v>
      </c>
      <c r="D36" s="677">
        <v>1547.1744736994474</v>
      </c>
      <c r="E36" s="677">
        <v>1568.5414841172681</v>
      </c>
      <c r="F36" s="677">
        <v>1631.6188101341861</v>
      </c>
      <c r="G36" s="677">
        <v>1637.8528422171717</v>
      </c>
      <c r="H36" s="677">
        <v>1659.8609103723704</v>
      </c>
      <c r="I36" s="677">
        <v>1751.5233947269828</v>
      </c>
      <c r="J36" s="677">
        <v>1796.0188853915236</v>
      </c>
      <c r="K36" s="677">
        <v>1827.1476965735826</v>
      </c>
      <c r="L36" s="677">
        <v>1835.4022340292524</v>
      </c>
      <c r="M36" s="677">
        <v>1926.3651342158976</v>
      </c>
      <c r="N36" s="677">
        <v>1868.8345135593859</v>
      </c>
      <c r="O36" s="677">
        <v>1888.8946691071951</v>
      </c>
      <c r="P36" s="677">
        <v>1929.9566599629634</v>
      </c>
      <c r="Q36" s="677">
        <v>1942.0197985409238</v>
      </c>
      <c r="R36" s="677">
        <v>1982.7713676303179</v>
      </c>
      <c r="S36" s="677">
        <v>1952.6895189382972</v>
      </c>
      <c r="T36" s="677">
        <v>1986.2497853491975</v>
      </c>
      <c r="U36" s="677">
        <v>1958.3876061335875</v>
      </c>
      <c r="V36" s="677">
        <v>1740.1526692444147</v>
      </c>
      <c r="W36" s="677">
        <v>1827.2452396274032</v>
      </c>
      <c r="X36" s="677">
        <v>1722.3698705628942</v>
      </c>
      <c r="Y36" s="677">
        <v>1511.6931055686455</v>
      </c>
      <c r="Z36" s="677">
        <v>1571.2511273959044</v>
      </c>
      <c r="AA36" s="677">
        <v>1568.556173908122</v>
      </c>
      <c r="AB36" s="677">
        <v>1351.3884116145925</v>
      </c>
      <c r="AC36" s="677">
        <v>1242.0166623259897</v>
      </c>
      <c r="AD36" s="677">
        <v>1207.0667392920539</v>
      </c>
      <c r="AE36" s="677">
        <v>1152.8764230464151</v>
      </c>
      <c r="AF36" s="677">
        <v>973.5397823880611</v>
      </c>
      <c r="AG36" s="677">
        <v>788.15962639841325</v>
      </c>
      <c r="AH36" s="677">
        <v>909.93950925768752</v>
      </c>
    </row>
    <row r="37" spans="2:34">
      <c r="B37" s="6" t="s">
        <v>1476</v>
      </c>
      <c r="C37" s="677">
        <v>0.49918364487950195</v>
      </c>
      <c r="D37" s="677">
        <v>0.46298199444111593</v>
      </c>
      <c r="E37" s="677">
        <v>0.39540420426145789</v>
      </c>
      <c r="F37" s="677">
        <v>0.414664583865334</v>
      </c>
      <c r="G37" s="677">
        <v>0.4225953215157458</v>
      </c>
      <c r="H37" s="677">
        <v>0.43052605711056213</v>
      </c>
      <c r="I37" s="677">
        <v>0.44185569700838989</v>
      </c>
      <c r="J37" s="677">
        <v>0.44910667394322812</v>
      </c>
      <c r="K37" s="677">
        <v>0.45409170850918595</v>
      </c>
      <c r="L37" s="677">
        <v>0.42032940175863998</v>
      </c>
      <c r="M37" s="677">
        <v>0.47500388702083407</v>
      </c>
      <c r="N37" s="677">
        <v>0.59682902437400609</v>
      </c>
      <c r="O37" s="677">
        <v>2.0233696387959919</v>
      </c>
      <c r="P37" s="677">
        <v>2.6638948248182412</v>
      </c>
      <c r="Q37" s="677">
        <v>2.9457046672788625</v>
      </c>
      <c r="R37" s="677">
        <v>3.0136824655534786</v>
      </c>
      <c r="S37" s="677">
        <v>3.3988899959624983</v>
      </c>
      <c r="T37" s="677">
        <v>3.4023708872877636</v>
      </c>
      <c r="U37" s="677">
        <v>3.4334171477753794</v>
      </c>
      <c r="V37" s="677">
        <v>3.4095811621519387</v>
      </c>
      <c r="W37" s="677">
        <v>3.1957130259780819</v>
      </c>
      <c r="X37" s="677">
        <v>3.4382816448199178</v>
      </c>
      <c r="Y37" s="677">
        <v>3.2878464692658049</v>
      </c>
      <c r="Z37" s="677">
        <v>3.275549300432385</v>
      </c>
      <c r="AA37" s="677">
        <v>3.4423529910979647</v>
      </c>
      <c r="AB37" s="677">
        <v>3.3100766326055582</v>
      </c>
      <c r="AC37" s="677">
        <v>3.2706872988139057</v>
      </c>
      <c r="AD37" s="677">
        <v>2.3004828509080002</v>
      </c>
      <c r="AE37" s="677">
        <v>2.5567788600420003</v>
      </c>
      <c r="AF37" s="677">
        <v>3.5604735078220004</v>
      </c>
      <c r="AG37" s="677">
        <v>3.0825890668051215</v>
      </c>
      <c r="AH37" s="677">
        <v>2.8885689791967102</v>
      </c>
    </row>
    <row r="38" spans="2:34">
      <c r="B38" s="5" t="s">
        <v>1439</v>
      </c>
      <c r="C38" s="676">
        <v>998.62349225994672</v>
      </c>
      <c r="D38" s="676">
        <v>1020.8766721472523</v>
      </c>
      <c r="E38" s="676">
        <v>1054.3448652335699</v>
      </c>
      <c r="F38" s="676">
        <v>1081.8087995998724</v>
      </c>
      <c r="G38" s="676">
        <v>1106.597648493778</v>
      </c>
      <c r="H38" s="676">
        <v>1155.0125862325747</v>
      </c>
      <c r="I38" s="676">
        <v>1176.2845125565316</v>
      </c>
      <c r="J38" s="676">
        <v>1182.4608296957772</v>
      </c>
      <c r="K38" s="676">
        <v>1158.6521439145599</v>
      </c>
      <c r="L38" s="676">
        <v>1162.936857405308</v>
      </c>
      <c r="M38" s="676">
        <v>1218.6319252846156</v>
      </c>
      <c r="N38" s="676">
        <v>1169.4461080717133</v>
      </c>
      <c r="O38" s="676">
        <v>1207.9329265155102</v>
      </c>
      <c r="P38" s="676">
        <v>1176.9526767172179</v>
      </c>
      <c r="Q38" s="676">
        <v>1182.8257812622635</v>
      </c>
      <c r="R38" s="676">
        <v>1166.1619067933786</v>
      </c>
      <c r="S38" s="676">
        <v>1151.0489744030008</v>
      </c>
      <c r="T38" s="676">
        <v>1225.0297403637483</v>
      </c>
      <c r="U38" s="676">
        <v>1235.880817407465</v>
      </c>
      <c r="V38" s="676">
        <v>1214.2348492596584</v>
      </c>
      <c r="W38" s="676">
        <v>1273.1434121564739</v>
      </c>
      <c r="X38" s="676">
        <v>1292.7853933595727</v>
      </c>
      <c r="Y38" s="676">
        <v>1352.7983238212385</v>
      </c>
      <c r="Z38" s="676">
        <v>1390.8096077883677</v>
      </c>
      <c r="AA38" s="676">
        <v>1419.1264948240514</v>
      </c>
      <c r="AB38" s="676">
        <v>1455.3863220654703</v>
      </c>
      <c r="AC38" s="676">
        <v>1461.3213135943815</v>
      </c>
      <c r="AD38" s="676">
        <v>1433.2473396264857</v>
      </c>
      <c r="AE38" s="676">
        <v>1591.9666965204153</v>
      </c>
      <c r="AF38" s="676">
        <v>1649.2528906535774</v>
      </c>
      <c r="AG38" s="676">
        <v>1612.4140637104422</v>
      </c>
      <c r="AH38" s="676">
        <v>1620.9825523801012</v>
      </c>
    </row>
    <row r="39" spans="2:34">
      <c r="B39" s="6" t="s">
        <v>1434</v>
      </c>
      <c r="C39" s="677">
        <v>237.79751316701928</v>
      </c>
      <c r="D39" s="677">
        <v>247.3163708646733</v>
      </c>
      <c r="E39" s="677">
        <v>254.59497787985759</v>
      </c>
      <c r="F39" s="677">
        <v>268.22932615115491</v>
      </c>
      <c r="G39" s="677">
        <v>262.94355944535857</v>
      </c>
      <c r="H39" s="677">
        <v>262.76570850496319</v>
      </c>
      <c r="I39" s="677">
        <v>283.99195492868381</v>
      </c>
      <c r="J39" s="677">
        <v>270.12382236394063</v>
      </c>
      <c r="K39" s="677">
        <v>246.13967860387044</v>
      </c>
      <c r="L39" s="677">
        <v>256.37921536804282</v>
      </c>
      <c r="M39" s="677">
        <v>270.80589926201588</v>
      </c>
      <c r="N39" s="677">
        <v>259.1889647876601</v>
      </c>
      <c r="O39" s="677">
        <v>265.05318507540636</v>
      </c>
      <c r="P39" s="677">
        <v>276.17534859880868</v>
      </c>
      <c r="Q39" s="677">
        <v>264.17877611421051</v>
      </c>
      <c r="R39" s="677">
        <v>262.2286055672738</v>
      </c>
      <c r="S39" s="677">
        <v>237.28839962332515</v>
      </c>
      <c r="T39" s="677">
        <v>256.4079028660679</v>
      </c>
      <c r="U39" s="677">
        <v>265.66749545875354</v>
      </c>
      <c r="V39" s="677">
        <v>259.05601805220141</v>
      </c>
      <c r="W39" s="677">
        <v>258.91127602274685</v>
      </c>
      <c r="X39" s="677">
        <v>255.06803132826391</v>
      </c>
      <c r="Y39" s="677">
        <v>225.10147681644284</v>
      </c>
      <c r="Z39" s="677">
        <v>266.35053365110366</v>
      </c>
      <c r="AA39" s="677">
        <v>277.6716054191445</v>
      </c>
      <c r="AB39" s="677">
        <v>252.72391355879935</v>
      </c>
      <c r="AC39" s="677">
        <v>238.38223392683929</v>
      </c>
      <c r="AD39" s="677">
        <v>241.48609403530835</v>
      </c>
      <c r="AE39" s="677">
        <v>273.81436679347121</v>
      </c>
      <c r="AF39" s="677">
        <v>275.46887973202541</v>
      </c>
      <c r="AG39" s="677">
        <v>256.36071756812561</v>
      </c>
      <c r="AH39" s="677">
        <v>258.62082445006706</v>
      </c>
    </row>
    <row r="40" spans="2:34">
      <c r="B40" s="6" t="s">
        <v>1441</v>
      </c>
      <c r="C40" s="677">
        <v>142.02473544607753</v>
      </c>
      <c r="D40" s="677">
        <v>148.12843320995771</v>
      </c>
      <c r="E40" s="677">
        <v>152.1442839987414</v>
      </c>
      <c r="F40" s="677">
        <v>154.86031096580882</v>
      </c>
      <c r="G40" s="677">
        <v>157.02801444190189</v>
      </c>
      <c r="H40" s="677">
        <v>164.20845936813723</v>
      </c>
      <c r="I40" s="677">
        <v>171.12093873822886</v>
      </c>
      <c r="J40" s="677">
        <v>174.25040454967009</v>
      </c>
      <c r="K40" s="677">
        <v>163.32937279129024</v>
      </c>
      <c r="L40" s="677">
        <v>165.18012136905648</v>
      </c>
      <c r="M40" s="677">
        <v>172.49806642837646</v>
      </c>
      <c r="N40" s="677">
        <v>164.19987233758553</v>
      </c>
      <c r="O40" s="677">
        <v>170.46500850943963</v>
      </c>
      <c r="P40" s="677">
        <v>172.87591133833368</v>
      </c>
      <c r="Q40" s="677">
        <v>169.77666283715638</v>
      </c>
      <c r="R40" s="677">
        <v>162.92508508024997</v>
      </c>
      <c r="S40" s="677">
        <v>153.83155669866855</v>
      </c>
      <c r="T40" s="677">
        <v>163.59043097479622</v>
      </c>
      <c r="U40" s="677">
        <v>171.19325427303346</v>
      </c>
      <c r="V40" s="677">
        <v>169.05333172555467</v>
      </c>
      <c r="W40" s="677">
        <v>167.96887548912161</v>
      </c>
      <c r="X40" s="677">
        <v>170.73801795221382</v>
      </c>
      <c r="Y40" s="677">
        <v>157.04279460910288</v>
      </c>
      <c r="Z40" s="677">
        <v>179.21960261143067</v>
      </c>
      <c r="AA40" s="677">
        <v>189.18938777422409</v>
      </c>
      <c r="AB40" s="677">
        <v>175.4117517978259</v>
      </c>
      <c r="AC40" s="677">
        <v>170.54056544370894</v>
      </c>
      <c r="AD40" s="677">
        <v>173.19011617374824</v>
      </c>
      <c r="AE40" s="677">
        <v>192.5283840865653</v>
      </c>
      <c r="AF40" s="677">
        <v>192.91620874877498</v>
      </c>
      <c r="AG40" s="677">
        <v>173.84930478133768</v>
      </c>
      <c r="AH40" s="677">
        <v>180.86325445316047</v>
      </c>
    </row>
    <row r="41" spans="2:34">
      <c r="B41" s="6" t="s">
        <v>1443</v>
      </c>
      <c r="C41" s="677">
        <v>407.44057591552206</v>
      </c>
      <c r="D41" s="677">
        <v>413.59445395561858</v>
      </c>
      <c r="E41" s="677">
        <v>429.30737763379256</v>
      </c>
      <c r="F41" s="677">
        <v>436.98219553873059</v>
      </c>
      <c r="G41" s="677">
        <v>438.20865393150382</v>
      </c>
      <c r="H41" s="677">
        <v>461.4680033053877</v>
      </c>
      <c r="I41" s="677">
        <v>477.22704593798659</v>
      </c>
      <c r="J41" s="677">
        <v>477.88613017996011</v>
      </c>
      <c r="K41" s="677">
        <v>466.22857939809182</v>
      </c>
      <c r="L41" s="677">
        <v>445.62145311258905</v>
      </c>
      <c r="M41" s="677">
        <v>458.18470970362125</v>
      </c>
      <c r="N41" s="677">
        <v>420.60012891527748</v>
      </c>
      <c r="O41" s="677">
        <v>428.10994471518688</v>
      </c>
      <c r="P41" s="677">
        <v>415.08604298191261</v>
      </c>
      <c r="Q41" s="677">
        <v>418.88608808286688</v>
      </c>
      <c r="R41" s="677">
        <v>387.78439069369989</v>
      </c>
      <c r="S41" s="677">
        <v>387.43556914859869</v>
      </c>
      <c r="T41" s="677">
        <v>396.96908687881142</v>
      </c>
      <c r="U41" s="677">
        <v>398.65113463252698</v>
      </c>
      <c r="V41" s="677">
        <v>374.19964007784171</v>
      </c>
      <c r="W41" s="677">
        <v>407.08948538432492</v>
      </c>
      <c r="X41" s="677">
        <v>417.16969084127084</v>
      </c>
      <c r="Y41" s="677">
        <v>433.87411357806093</v>
      </c>
      <c r="Z41" s="677">
        <v>450.93611572282049</v>
      </c>
      <c r="AA41" s="677">
        <v>465.9360743641227</v>
      </c>
      <c r="AB41" s="677">
        <v>459.64627978150747</v>
      </c>
      <c r="AC41" s="677">
        <v>463.98257891833475</v>
      </c>
      <c r="AD41" s="677">
        <v>468.13315809622293</v>
      </c>
      <c r="AE41" s="677">
        <v>493.46897972996544</v>
      </c>
      <c r="AF41" s="677">
        <v>501.51732125814709</v>
      </c>
      <c r="AG41" s="677">
        <v>486.0558871740829</v>
      </c>
      <c r="AH41" s="677">
        <v>499.62391491270046</v>
      </c>
    </row>
    <row r="42" spans="2:34">
      <c r="B42" s="6" t="s">
        <v>1445</v>
      </c>
      <c r="C42" s="677">
        <v>36.000628828726228</v>
      </c>
      <c r="D42" s="677">
        <v>32.870998544585845</v>
      </c>
      <c r="E42" s="677">
        <v>32.223566137943912</v>
      </c>
      <c r="F42" s="677">
        <v>34.15461398423664</v>
      </c>
      <c r="G42" s="677">
        <v>37.56280519579169</v>
      </c>
      <c r="H42" s="677">
        <v>38.397759997364879</v>
      </c>
      <c r="I42" s="677">
        <v>39.083767671638746</v>
      </c>
      <c r="J42" s="677">
        <v>41.387043476727435</v>
      </c>
      <c r="K42" s="677">
        <v>35.288383859149057</v>
      </c>
      <c r="L42" s="677">
        <v>35.810853010699333</v>
      </c>
      <c r="M42" s="677">
        <v>35.650075735907123</v>
      </c>
      <c r="N42" s="677">
        <v>34.885995822200002</v>
      </c>
      <c r="O42" s="677">
        <v>37.087113998567915</v>
      </c>
      <c r="P42" s="677">
        <v>33.263751370962055</v>
      </c>
      <c r="Q42" s="677">
        <v>31.927149340306773</v>
      </c>
      <c r="R42" s="677">
        <v>33.075920910480484</v>
      </c>
      <c r="S42" s="677">
        <v>33.132752480798366</v>
      </c>
      <c r="T42" s="677">
        <v>35.181265831305353</v>
      </c>
      <c r="U42" s="677">
        <v>36.701650199837665</v>
      </c>
      <c r="V42" s="677">
        <v>37.924973610479</v>
      </c>
      <c r="W42" s="677">
        <v>38.159193121908444</v>
      </c>
      <c r="X42" s="677">
        <v>38.942984233329362</v>
      </c>
      <c r="Y42" s="677">
        <v>41.37800918377787</v>
      </c>
      <c r="Z42" s="677">
        <v>47.049246645534772</v>
      </c>
      <c r="AA42" s="677">
        <v>40.238122656789713</v>
      </c>
      <c r="AB42" s="677">
        <v>39.405905197849926</v>
      </c>
      <c r="AC42" s="677">
        <v>40.058807328702912</v>
      </c>
      <c r="AD42" s="677">
        <v>42.257759266894162</v>
      </c>
      <c r="AE42" s="677">
        <v>50.915434140965644</v>
      </c>
      <c r="AF42" s="677">
        <v>58.928767923685299</v>
      </c>
      <c r="AG42" s="677">
        <v>58.653794375777238</v>
      </c>
      <c r="AH42" s="677">
        <v>65.084835395324035</v>
      </c>
    </row>
    <row r="43" spans="2:34">
      <c r="B43" s="6" t="s">
        <v>1474</v>
      </c>
      <c r="C43" s="677">
        <v>175.3600389026015</v>
      </c>
      <c r="D43" s="677">
        <v>178.96641557241685</v>
      </c>
      <c r="E43" s="677">
        <v>186.07465958323442</v>
      </c>
      <c r="F43" s="677">
        <v>187.58235295994123</v>
      </c>
      <c r="G43" s="677">
        <v>210.85461547922213</v>
      </c>
      <c r="H43" s="677">
        <v>228.17265505672165</v>
      </c>
      <c r="I43" s="677">
        <v>204.86080527999366</v>
      </c>
      <c r="J43" s="677">
        <v>218.81342912547896</v>
      </c>
      <c r="K43" s="677">
        <v>247.66612926215842</v>
      </c>
      <c r="L43" s="677">
        <v>259.94521454492025</v>
      </c>
      <c r="M43" s="677">
        <v>280.82105213992054</v>
      </c>
      <c r="N43" s="677">
        <v>289.35862946229537</v>
      </c>
      <c r="O43" s="677">
        <v>306.00875363034964</v>
      </c>
      <c r="P43" s="677">
        <v>278.12739640727375</v>
      </c>
      <c r="Q43" s="677">
        <v>296.75029743802992</v>
      </c>
      <c r="R43" s="677">
        <v>318.85840260471355</v>
      </c>
      <c r="S43" s="677">
        <v>337.97496302681611</v>
      </c>
      <c r="T43" s="677">
        <v>371.46513223741312</v>
      </c>
      <c r="U43" s="677">
        <v>362.11597738194661</v>
      </c>
      <c r="V43" s="677">
        <v>372.54775041195018</v>
      </c>
      <c r="W43" s="677">
        <v>399.53808692568629</v>
      </c>
      <c r="X43" s="677">
        <v>409.42961840152782</v>
      </c>
      <c r="Y43" s="677">
        <v>492.79219630413746</v>
      </c>
      <c r="Z43" s="677">
        <v>444.16593360966391</v>
      </c>
      <c r="AA43" s="677">
        <v>442.88200596411235</v>
      </c>
      <c r="AB43" s="677">
        <v>525.16054071183544</v>
      </c>
      <c r="AC43" s="677">
        <v>544.99213211889321</v>
      </c>
      <c r="AD43" s="677">
        <v>505.63466065505327</v>
      </c>
      <c r="AE43" s="677">
        <v>577.93546402725235</v>
      </c>
      <c r="AF43" s="677">
        <v>616.64869033042908</v>
      </c>
      <c r="AG43" s="677">
        <v>634.84677606704531</v>
      </c>
      <c r="AH43" s="677">
        <v>612.86707792479399</v>
      </c>
    </row>
    <row r="44" spans="2:34">
      <c r="B44" s="6" t="s">
        <v>1476</v>
      </c>
      <c r="C44" s="677" t="s">
        <v>108</v>
      </c>
      <c r="D44" s="677" t="s">
        <v>108</v>
      </c>
      <c r="E44" s="677" t="s">
        <v>108</v>
      </c>
      <c r="F44" s="677" t="s">
        <v>108</v>
      </c>
      <c r="G44" s="677" t="s">
        <v>108</v>
      </c>
      <c r="H44" s="677" t="s">
        <v>108</v>
      </c>
      <c r="I44" s="677" t="s">
        <v>108</v>
      </c>
      <c r="J44" s="677" t="s">
        <v>108</v>
      </c>
      <c r="K44" s="677" t="s">
        <v>108</v>
      </c>
      <c r="L44" s="677" t="s">
        <v>108</v>
      </c>
      <c r="M44" s="677">
        <v>0.67212201477417799</v>
      </c>
      <c r="N44" s="677">
        <v>1.2125167466946647</v>
      </c>
      <c r="O44" s="677">
        <v>1.2089205865598054</v>
      </c>
      <c r="P44" s="677">
        <v>1.4242260199270667</v>
      </c>
      <c r="Q44" s="677">
        <v>1.3068074496928888</v>
      </c>
      <c r="R44" s="677">
        <v>1.2895019369609928</v>
      </c>
      <c r="S44" s="677">
        <v>1.3857334247939026</v>
      </c>
      <c r="T44" s="677">
        <v>1.415921575354</v>
      </c>
      <c r="U44" s="677">
        <v>1.5513054613666941</v>
      </c>
      <c r="V44" s="677">
        <v>1.4531353816314685</v>
      </c>
      <c r="W44" s="677">
        <v>1.4764952126860063</v>
      </c>
      <c r="X44" s="677">
        <v>1.4370506029671137</v>
      </c>
      <c r="Y44" s="677">
        <v>2.6097333297164047</v>
      </c>
      <c r="Z44" s="677">
        <v>3.0881755478141319</v>
      </c>
      <c r="AA44" s="677">
        <v>3.2092986456579755</v>
      </c>
      <c r="AB44" s="677">
        <v>3.0379310176521801</v>
      </c>
      <c r="AC44" s="677">
        <v>3.3649958579027071</v>
      </c>
      <c r="AD44" s="677">
        <v>2.5455513992585312</v>
      </c>
      <c r="AE44" s="677">
        <v>3.3040677421953082</v>
      </c>
      <c r="AF44" s="677">
        <v>3.773022660515549</v>
      </c>
      <c r="AG44" s="677">
        <v>2.647583744073164</v>
      </c>
      <c r="AH44" s="677">
        <v>3.9226452440549542</v>
      </c>
    </row>
    <row r="45" spans="2:34">
      <c r="B45" s="5" t="s">
        <v>1440</v>
      </c>
      <c r="C45" s="676">
        <v>2009.2390801142551</v>
      </c>
      <c r="D45" s="676">
        <v>1939.732223860975</v>
      </c>
      <c r="E45" s="676">
        <v>1989.7441652764758</v>
      </c>
      <c r="F45" s="676">
        <v>2010.4210285287747</v>
      </c>
      <c r="G45" s="676">
        <v>2050.1748390767998</v>
      </c>
      <c r="H45" s="676">
        <v>2042.9160184658233</v>
      </c>
      <c r="I45" s="676">
        <v>2127.5857971571704</v>
      </c>
      <c r="J45" s="676">
        <v>2136.3486009323451</v>
      </c>
      <c r="K45" s="676">
        <v>2177.4984494319265</v>
      </c>
      <c r="L45" s="676">
        <v>2222.409554204758</v>
      </c>
      <c r="M45" s="676">
        <v>2318.2736754279044</v>
      </c>
      <c r="N45" s="676">
        <v>2347.6373010873872</v>
      </c>
      <c r="O45" s="676">
        <v>2334.7735747939014</v>
      </c>
      <c r="P45" s="676">
        <v>2399.8341740686906</v>
      </c>
      <c r="Q45" s="676">
        <v>2456.1443191727758</v>
      </c>
      <c r="R45" s="676">
        <v>2466.9867800125839</v>
      </c>
      <c r="S45" s="676">
        <v>2433.3893818652186</v>
      </c>
      <c r="T45" s="676">
        <v>2415.8554715038799</v>
      </c>
      <c r="U45" s="676">
        <v>2240.0920495284354</v>
      </c>
      <c r="V45" s="676">
        <v>2127.5628281501395</v>
      </c>
      <c r="W45" s="676">
        <v>2140.1216212711292</v>
      </c>
      <c r="X45" s="676">
        <v>2099.0081014677194</v>
      </c>
      <c r="Y45" s="676">
        <v>2053.8980085924823</v>
      </c>
      <c r="Z45" s="676">
        <v>2073.7132761791549</v>
      </c>
      <c r="AA45" s="676">
        <v>2090.700000295707</v>
      </c>
      <c r="AB45" s="676">
        <v>2123.8592133164502</v>
      </c>
      <c r="AC45" s="676">
        <v>2137.5036172104342</v>
      </c>
      <c r="AD45" s="676">
        <v>2148.8369393505991</v>
      </c>
      <c r="AE45" s="676">
        <v>2185.8312507053975</v>
      </c>
      <c r="AF45" s="676">
        <v>2178.1422745629038</v>
      </c>
      <c r="AG45" s="676">
        <v>1896.4959766991067</v>
      </c>
      <c r="AH45" s="676">
        <v>2060.422696776322</v>
      </c>
    </row>
    <row r="46" spans="2:34">
      <c r="B46" s="6" t="s">
        <v>1434</v>
      </c>
      <c r="C46" s="677">
        <v>97.782418285202326</v>
      </c>
      <c r="D46" s="677">
        <v>97.952144785231908</v>
      </c>
      <c r="E46" s="677">
        <v>96.897412375870118</v>
      </c>
      <c r="F46" s="677">
        <v>95.38267944445947</v>
      </c>
      <c r="G46" s="677">
        <v>92.109497684959123</v>
      </c>
      <c r="H46" s="677">
        <v>88.696194762738045</v>
      </c>
      <c r="I46" s="677">
        <v>97.899889994156283</v>
      </c>
      <c r="J46" s="677">
        <v>93.391376926550663</v>
      </c>
      <c r="K46" s="677">
        <v>84.367240334847168</v>
      </c>
      <c r="L46" s="677">
        <v>93.196112762313618</v>
      </c>
      <c r="M46" s="677">
        <v>99.814276088965102</v>
      </c>
      <c r="N46" s="677">
        <v>102.72304517355261</v>
      </c>
      <c r="O46" s="677">
        <v>94.863231762088574</v>
      </c>
      <c r="P46" s="677">
        <v>102.78141031105237</v>
      </c>
      <c r="Q46" s="677">
        <v>103.79642426691703</v>
      </c>
      <c r="R46" s="677">
        <v>95.863656574037449</v>
      </c>
      <c r="S46" s="677">
        <v>83.820352842493264</v>
      </c>
      <c r="T46" s="677">
        <v>84.023780488376218</v>
      </c>
      <c r="U46" s="677">
        <v>82.221956243972173</v>
      </c>
      <c r="V46" s="677">
        <v>77.367831690515629</v>
      </c>
      <c r="W46" s="677">
        <v>75.839547373103841</v>
      </c>
      <c r="X46" s="677">
        <v>71.084473376196499</v>
      </c>
      <c r="Y46" s="677">
        <v>57.266798358158553</v>
      </c>
      <c r="Z46" s="677">
        <v>62.76144389334312</v>
      </c>
      <c r="AA46" s="677">
        <v>68.869621889627368</v>
      </c>
      <c r="AB46" s="677">
        <v>64.585803534738986</v>
      </c>
      <c r="AC46" s="677">
        <v>54.391172532895091</v>
      </c>
      <c r="AD46" s="677">
        <v>51.924145949361737</v>
      </c>
      <c r="AE46" s="677">
        <v>64.403711153782723</v>
      </c>
      <c r="AF46" s="677">
        <v>65.93145803337184</v>
      </c>
      <c r="AG46" s="677">
        <v>56.814754274341041</v>
      </c>
      <c r="AH46" s="677">
        <v>54.71816764229709</v>
      </c>
    </row>
    <row r="47" spans="2:34">
      <c r="B47" s="6" t="s">
        <v>1441</v>
      </c>
      <c r="C47" s="677">
        <v>74.317012554681682</v>
      </c>
      <c r="D47" s="677">
        <v>73.407819835305588</v>
      </c>
      <c r="E47" s="677">
        <v>64.616737697850752</v>
      </c>
      <c r="F47" s="677">
        <v>56.873973092273403</v>
      </c>
      <c r="G47" s="677">
        <v>56.369494198991227</v>
      </c>
      <c r="H47" s="677">
        <v>52.391239644788953</v>
      </c>
      <c r="I47" s="677">
        <v>54.832060310682536</v>
      </c>
      <c r="J47" s="677">
        <v>51.284965670868985</v>
      </c>
      <c r="K47" s="677">
        <v>47.862171317109826</v>
      </c>
      <c r="L47" s="677">
        <v>45.786686669304586</v>
      </c>
      <c r="M47" s="677">
        <v>55.272251282121793</v>
      </c>
      <c r="N47" s="677">
        <v>55.025834673343439</v>
      </c>
      <c r="O47" s="677">
        <v>49.991160617147877</v>
      </c>
      <c r="P47" s="677">
        <v>59.437944018848249</v>
      </c>
      <c r="Q47" s="677">
        <v>58.432241651159799</v>
      </c>
      <c r="R47" s="677">
        <v>54.944855000828866</v>
      </c>
      <c r="S47" s="677">
        <v>51.735182757262692</v>
      </c>
      <c r="T47" s="677">
        <v>52.843905317295913</v>
      </c>
      <c r="U47" s="677">
        <v>48.705632539724469</v>
      </c>
      <c r="V47" s="677">
        <v>52.069698634085235</v>
      </c>
      <c r="W47" s="677">
        <v>49.914128815402215</v>
      </c>
      <c r="X47" s="677">
        <v>47.884291330496566</v>
      </c>
      <c r="Y47" s="677">
        <v>39.132753886743743</v>
      </c>
      <c r="Z47" s="677">
        <v>41.064261710041414</v>
      </c>
      <c r="AA47" s="677">
        <v>39.418166610630642</v>
      </c>
      <c r="AB47" s="677">
        <v>66.228008989846131</v>
      </c>
      <c r="AC47" s="677">
        <v>58.741706145476833</v>
      </c>
      <c r="AD47" s="677">
        <v>56.832710569182652</v>
      </c>
      <c r="AE47" s="677">
        <v>51.518202664400924</v>
      </c>
      <c r="AF47" s="677">
        <v>56.186801071694639</v>
      </c>
      <c r="AG47" s="677">
        <v>53.218928164636452</v>
      </c>
      <c r="AH47" s="677">
        <v>50.737806285288968</v>
      </c>
    </row>
    <row r="48" spans="2:34">
      <c r="B48" s="6" t="s">
        <v>1443</v>
      </c>
      <c r="C48" s="677">
        <v>287.14599911141602</v>
      </c>
      <c r="D48" s="677">
        <v>269.51489504369289</v>
      </c>
      <c r="E48" s="677">
        <v>285.72952692607686</v>
      </c>
      <c r="F48" s="677">
        <v>275.0855387724792</v>
      </c>
      <c r="G48" s="677">
        <v>279.75356400894344</v>
      </c>
      <c r="H48" s="677">
        <v>279.71767363994149</v>
      </c>
      <c r="I48" s="677">
        <v>303.84063248780711</v>
      </c>
      <c r="J48" s="677">
        <v>297.70262728442327</v>
      </c>
      <c r="K48" s="677">
        <v>281.38242450765244</v>
      </c>
      <c r="L48" s="677">
        <v>264.00806890739966</v>
      </c>
      <c r="M48" s="677">
        <v>282.22581318907572</v>
      </c>
      <c r="N48" s="677">
        <v>315.90607918450775</v>
      </c>
      <c r="O48" s="677">
        <v>305.21164786209096</v>
      </c>
      <c r="P48" s="677">
        <v>317.48840501458346</v>
      </c>
      <c r="Q48" s="677">
        <v>336.11183496999092</v>
      </c>
      <c r="R48" s="677">
        <v>345.180525502362</v>
      </c>
      <c r="S48" s="677">
        <v>372.07926772683999</v>
      </c>
      <c r="T48" s="677">
        <v>358.63669681883505</v>
      </c>
      <c r="U48" s="677">
        <v>314.31638776598243</v>
      </c>
      <c r="V48" s="677">
        <v>281.26096187197146</v>
      </c>
      <c r="W48" s="677">
        <v>294.65614676572466</v>
      </c>
      <c r="X48" s="677">
        <v>293.59082557038158</v>
      </c>
      <c r="Y48" s="677">
        <v>294.09452108278265</v>
      </c>
      <c r="Z48" s="677">
        <v>303.76201224784512</v>
      </c>
      <c r="AA48" s="677">
        <v>268.47495717561191</v>
      </c>
      <c r="AB48" s="677">
        <v>268.35452084800636</v>
      </c>
      <c r="AC48" s="677">
        <v>265.72293918709056</v>
      </c>
      <c r="AD48" s="677">
        <v>262.21300792510647</v>
      </c>
      <c r="AE48" s="677">
        <v>265.64298309016726</v>
      </c>
      <c r="AF48" s="677">
        <v>264.91290077792553</v>
      </c>
      <c r="AG48" s="677">
        <v>238.87362725671076</v>
      </c>
      <c r="AH48" s="677">
        <v>232.94751432967217</v>
      </c>
    </row>
    <row r="49" spans="2:34">
      <c r="B49" s="6" t="s">
        <v>1445</v>
      </c>
      <c r="C49" s="677">
        <v>1432.9432652886276</v>
      </c>
      <c r="D49" s="677">
        <v>1389.4564060937773</v>
      </c>
      <c r="E49" s="677">
        <v>1445.4198600226605</v>
      </c>
      <c r="F49" s="677">
        <v>1474.4524204610232</v>
      </c>
      <c r="G49" s="677">
        <v>1516.3845483799519</v>
      </c>
      <c r="H49" s="677">
        <v>1542.280097691809</v>
      </c>
      <c r="I49" s="677">
        <v>1588.2793374504231</v>
      </c>
      <c r="J49" s="677">
        <v>1602.1285102616407</v>
      </c>
      <c r="K49" s="677">
        <v>1643.631953718932</v>
      </c>
      <c r="L49" s="677">
        <v>1710.533470614638</v>
      </c>
      <c r="M49" s="677">
        <v>1756.5518161208734</v>
      </c>
      <c r="N49" s="677">
        <v>1727.5780724003682</v>
      </c>
      <c r="O49" s="677">
        <v>1765.9312304048144</v>
      </c>
      <c r="P49" s="677">
        <v>1778.7205356811112</v>
      </c>
      <c r="Q49" s="677">
        <v>1813.2935615739598</v>
      </c>
      <c r="R49" s="677">
        <v>1825.4762484604264</v>
      </c>
      <c r="S49" s="677">
        <v>1826.0002540005557</v>
      </c>
      <c r="T49" s="677">
        <v>1825.5562316874011</v>
      </c>
      <c r="U49" s="677">
        <v>1722.979673561545</v>
      </c>
      <c r="V49" s="677">
        <v>1650.5556008859128</v>
      </c>
      <c r="W49" s="677">
        <v>1658.4496711190557</v>
      </c>
      <c r="X49" s="677">
        <v>1631.428980598622</v>
      </c>
      <c r="Y49" s="677">
        <v>1618.0138289172735</v>
      </c>
      <c r="Z49" s="677">
        <v>1621.9402791910886</v>
      </c>
      <c r="AA49" s="677">
        <v>1667.0055631310122</v>
      </c>
      <c r="AB49" s="677">
        <v>1678.8290830874032</v>
      </c>
      <c r="AC49" s="677">
        <v>1717.6600078687886</v>
      </c>
      <c r="AD49" s="677">
        <v>1737.8456116693555</v>
      </c>
      <c r="AE49" s="677">
        <v>1761.9874758218805</v>
      </c>
      <c r="AF49" s="677">
        <v>1757.4680801518221</v>
      </c>
      <c r="AG49" s="677">
        <v>1513.8712424234195</v>
      </c>
      <c r="AH49" s="677">
        <v>1687.3425539142602</v>
      </c>
    </row>
    <row r="50" spans="2:34">
      <c r="B50" s="6" t="s">
        <v>1474</v>
      </c>
      <c r="C50" s="677">
        <v>97.538490680398411</v>
      </c>
      <c r="D50" s="677">
        <v>90.678661907118197</v>
      </c>
      <c r="E50" s="677">
        <v>75.527743357330678</v>
      </c>
      <c r="F50" s="677">
        <v>86.415412739867193</v>
      </c>
      <c r="G50" s="677">
        <v>81.246850001075686</v>
      </c>
      <c r="H50" s="677">
        <v>58.71177506316068</v>
      </c>
      <c r="I50" s="677">
        <v>63.3962927596016</v>
      </c>
      <c r="J50" s="677">
        <v>72.207404234661354</v>
      </c>
      <c r="K50" s="677">
        <v>101.26271580049136</v>
      </c>
      <c r="L50" s="677">
        <v>93.83330481405045</v>
      </c>
      <c r="M50" s="677">
        <v>88.524423740199197</v>
      </c>
      <c r="N50" s="677">
        <v>98.561015855192565</v>
      </c>
      <c r="O50" s="677">
        <v>76.854861578857893</v>
      </c>
      <c r="P50" s="677">
        <v>95.127634817888449</v>
      </c>
      <c r="Q50" s="677">
        <v>95.845222101221793</v>
      </c>
      <c r="R50" s="677">
        <v>97.96669769888446</v>
      </c>
      <c r="S50" s="677">
        <v>53.276122434926961</v>
      </c>
      <c r="T50" s="677">
        <v>52.964488890730408</v>
      </c>
      <c r="U50" s="677">
        <v>38.386647737556437</v>
      </c>
      <c r="V50" s="677">
        <v>32.211435291660024</v>
      </c>
      <c r="W50" s="677">
        <v>31.428996559920311</v>
      </c>
      <c r="X50" s="677">
        <v>25.831553656440903</v>
      </c>
      <c r="Y50" s="677">
        <v>18.333108585152722</v>
      </c>
      <c r="Z50" s="677">
        <v>22.420050113678617</v>
      </c>
      <c r="AA50" s="677">
        <v>25.304369663240369</v>
      </c>
      <c r="AB50" s="677">
        <v>23.674448825350165</v>
      </c>
      <c r="AC50" s="677">
        <v>21.458011279651984</v>
      </c>
      <c r="AD50" s="677">
        <v>18.920639478904537</v>
      </c>
      <c r="AE50" s="677">
        <v>22.215728844761522</v>
      </c>
      <c r="AF50" s="677">
        <v>16.161308535890104</v>
      </c>
      <c r="AG50" s="677">
        <v>16.166104737697388</v>
      </c>
      <c r="AH50" s="677">
        <v>17.713509731750353</v>
      </c>
    </row>
    <row r="51" spans="2:34">
      <c r="B51" s="6" t="s">
        <v>1476</v>
      </c>
      <c r="C51" s="677">
        <v>19.511894193929095</v>
      </c>
      <c r="D51" s="677">
        <v>18.722296195849037</v>
      </c>
      <c r="E51" s="677">
        <v>21.552884896686621</v>
      </c>
      <c r="F51" s="677">
        <v>22.211004018672483</v>
      </c>
      <c r="G51" s="677">
        <v>24.310884802878334</v>
      </c>
      <c r="H51" s="677">
        <v>21.119037663384947</v>
      </c>
      <c r="I51" s="677">
        <v>19.337584154499847</v>
      </c>
      <c r="J51" s="677">
        <v>19.633716554199829</v>
      </c>
      <c r="K51" s="677">
        <v>18.991943752893629</v>
      </c>
      <c r="L51" s="677">
        <v>15.05191043705177</v>
      </c>
      <c r="M51" s="677">
        <v>35.88509500666887</v>
      </c>
      <c r="N51" s="677">
        <v>47.843253800422673</v>
      </c>
      <c r="O51" s="677">
        <v>41.921442568902187</v>
      </c>
      <c r="P51" s="677">
        <v>46.278244225207004</v>
      </c>
      <c r="Q51" s="677">
        <v>48.665034609526842</v>
      </c>
      <c r="R51" s="677">
        <v>47.554796776044221</v>
      </c>
      <c r="S51" s="677">
        <v>46.478202103140347</v>
      </c>
      <c r="T51" s="677">
        <v>41.830368301240767</v>
      </c>
      <c r="U51" s="677">
        <v>33.481751679654515</v>
      </c>
      <c r="V51" s="677">
        <v>34.097299775994308</v>
      </c>
      <c r="W51" s="677">
        <v>29.833130637922498</v>
      </c>
      <c r="X51" s="677">
        <v>29.187976935581922</v>
      </c>
      <c r="Y51" s="677">
        <v>27.056997762371314</v>
      </c>
      <c r="Z51" s="677">
        <v>21.765229023157971</v>
      </c>
      <c r="AA51" s="677">
        <v>21.62732182558474</v>
      </c>
      <c r="AB51" s="677">
        <v>22.187348031105149</v>
      </c>
      <c r="AC51" s="677">
        <v>19.529780196531238</v>
      </c>
      <c r="AD51" s="677">
        <v>21.100823758688598</v>
      </c>
      <c r="AE51" s="677">
        <v>20.06314913040433</v>
      </c>
      <c r="AF51" s="677">
        <v>17.481725992199678</v>
      </c>
      <c r="AG51" s="677">
        <v>17.551319842301528</v>
      </c>
      <c r="AH51" s="677">
        <v>16.963144873053412</v>
      </c>
    </row>
    <row r="52" spans="2:34">
      <c r="B52" s="5" t="s">
        <v>82</v>
      </c>
      <c r="C52" s="676">
        <v>0.53819391898531332</v>
      </c>
      <c r="D52" s="676">
        <v>0.53913328761937329</v>
      </c>
      <c r="E52" s="676">
        <v>0.54407238576943517</v>
      </c>
      <c r="F52" s="676">
        <v>0.55549804438478367</v>
      </c>
      <c r="G52" s="676">
        <v>0.51416615280727973</v>
      </c>
      <c r="H52" s="676">
        <v>0.42789739562582274</v>
      </c>
      <c r="I52" s="676">
        <v>0.46247774297699551</v>
      </c>
      <c r="J52" s="676">
        <v>0.48008445222437274</v>
      </c>
      <c r="K52" s="676">
        <v>0.47808351702318308</v>
      </c>
      <c r="L52" s="676">
        <v>0.48506929832140988</v>
      </c>
      <c r="M52" s="676">
        <v>0.46106105539886988</v>
      </c>
      <c r="N52" s="676">
        <v>0.44952386597193894</v>
      </c>
      <c r="O52" s="676">
        <v>0.46881399496422538</v>
      </c>
      <c r="P52" s="676">
        <v>0.46668759381997493</v>
      </c>
      <c r="Q52" s="676">
        <v>0.46734375342683254</v>
      </c>
      <c r="R52" s="676">
        <v>0.46101770673125719</v>
      </c>
      <c r="S52" s="676">
        <v>0.45493035004951315</v>
      </c>
      <c r="T52" s="676">
        <v>0.45791243059931558</v>
      </c>
      <c r="U52" s="676">
        <v>0.44186045906642402</v>
      </c>
      <c r="V52" s="676">
        <v>0.43404580842672003</v>
      </c>
      <c r="W52" s="676">
        <v>0.42666894035695202</v>
      </c>
      <c r="X52" s="676">
        <v>0.436098145690272</v>
      </c>
      <c r="Y52" s="676">
        <v>0.43740649120955999</v>
      </c>
      <c r="Z52" s="676">
        <v>0.43301642728912798</v>
      </c>
      <c r="AA52" s="676">
        <v>0.42329941039188002</v>
      </c>
      <c r="AB52" s="676">
        <v>0.41438842328750403</v>
      </c>
      <c r="AC52" s="676">
        <v>0.40471025909529595</v>
      </c>
      <c r="AD52" s="676">
        <v>0.410679019378689</v>
      </c>
      <c r="AE52" s="676">
        <v>0.40475222088763196</v>
      </c>
      <c r="AF52" s="676">
        <v>0.37101446085844803</v>
      </c>
      <c r="AG52" s="676">
        <v>0.39082596898509597</v>
      </c>
      <c r="AH52" s="676">
        <v>0.37701789288105603</v>
      </c>
    </row>
    <row r="53" spans="2:34">
      <c r="B53" s="6" t="s">
        <v>1474</v>
      </c>
      <c r="C53" s="677">
        <v>0.53819391898531332</v>
      </c>
      <c r="D53" s="677">
        <v>0.53913328761937329</v>
      </c>
      <c r="E53" s="677">
        <v>0.54407238576943517</v>
      </c>
      <c r="F53" s="677">
        <v>0.55549804438478367</v>
      </c>
      <c r="G53" s="677">
        <v>0.51416615280727973</v>
      </c>
      <c r="H53" s="677">
        <v>0.42789739562582274</v>
      </c>
      <c r="I53" s="677">
        <v>0.46247774297699551</v>
      </c>
      <c r="J53" s="677">
        <v>0.48008445222437274</v>
      </c>
      <c r="K53" s="677">
        <v>0.47808351702318308</v>
      </c>
      <c r="L53" s="677">
        <v>0.48506929832140988</v>
      </c>
      <c r="M53" s="677">
        <v>0.46106105539886988</v>
      </c>
      <c r="N53" s="677">
        <v>0.44952386597193894</v>
      </c>
      <c r="O53" s="677">
        <v>0.46881399496422538</v>
      </c>
      <c r="P53" s="677">
        <v>0.46668759381997493</v>
      </c>
      <c r="Q53" s="677">
        <v>0.46734375342683254</v>
      </c>
      <c r="R53" s="677">
        <v>0.46101770673125719</v>
      </c>
      <c r="S53" s="677">
        <v>0.45493035004951315</v>
      </c>
      <c r="T53" s="677">
        <v>0.45791243059931558</v>
      </c>
      <c r="U53" s="677">
        <v>0.44186045906642402</v>
      </c>
      <c r="V53" s="677">
        <v>0.43404580842672003</v>
      </c>
      <c r="W53" s="677">
        <v>0.42666894035695202</v>
      </c>
      <c r="X53" s="677">
        <v>0.436098145690272</v>
      </c>
      <c r="Y53" s="677">
        <v>0.43740649120955999</v>
      </c>
      <c r="Z53" s="677">
        <v>0.43301642728912798</v>
      </c>
      <c r="AA53" s="677">
        <v>0.42329941039188002</v>
      </c>
      <c r="AB53" s="677">
        <v>0.41438842328750403</v>
      </c>
      <c r="AC53" s="677">
        <v>0.40471025909529595</v>
      </c>
      <c r="AD53" s="677">
        <v>0.410679019378689</v>
      </c>
      <c r="AE53" s="677">
        <v>0.40475222088763196</v>
      </c>
      <c r="AF53" s="677">
        <v>0.37101446085844803</v>
      </c>
      <c r="AG53" s="677">
        <v>0.39082596898509597</v>
      </c>
      <c r="AH53" s="677">
        <v>0.37701789288105603</v>
      </c>
    </row>
    <row r="54" spans="2:34">
      <c r="B54" s="4" t="s">
        <v>1480</v>
      </c>
      <c r="C54" s="678">
        <v>4728.1943825027565</v>
      </c>
      <c r="D54" s="678">
        <v>4676.9921586541759</v>
      </c>
      <c r="E54" s="678">
        <v>4777.6000886934644</v>
      </c>
      <c r="F54" s="678">
        <v>4891.0903202054214</v>
      </c>
      <c r="G54" s="678">
        <v>4962.3274792228294</v>
      </c>
      <c r="H54" s="678">
        <v>5018.7257861598955</v>
      </c>
      <c r="I54" s="678">
        <v>5209.5830034290902</v>
      </c>
      <c r="J54" s="678">
        <v>5269.8041762551247</v>
      </c>
      <c r="K54" s="678">
        <v>5316.020338397414</v>
      </c>
      <c r="L54" s="678">
        <v>5365.2335918503331</v>
      </c>
      <c r="M54" s="678">
        <v>5602.539971541295</v>
      </c>
      <c r="N54" s="678">
        <v>5527.5226885497914</v>
      </c>
      <c r="O54" s="678">
        <v>5562.8742084625173</v>
      </c>
      <c r="P54" s="678">
        <v>5638.3093347228887</v>
      </c>
      <c r="Q54" s="678">
        <v>5715.6964341476196</v>
      </c>
      <c r="R54" s="678">
        <v>5747.306755498681</v>
      </c>
      <c r="S54" s="678">
        <v>5663.4221063872419</v>
      </c>
      <c r="T54" s="678">
        <v>5749.1691920156272</v>
      </c>
      <c r="U54" s="678">
        <v>5551.9276023264774</v>
      </c>
      <c r="V54" s="678">
        <v>5179.7857072814995</v>
      </c>
      <c r="W54" s="678">
        <v>5344.8782208382863</v>
      </c>
      <c r="X54" s="678">
        <v>5209.8379033847195</v>
      </c>
      <c r="Y54" s="678">
        <v>5004.4780600545764</v>
      </c>
      <c r="Z54" s="678">
        <v>5122.9668745775416</v>
      </c>
      <c r="AA54" s="678">
        <v>5165.311862925776</v>
      </c>
      <c r="AB54" s="678">
        <v>5007.2980945873278</v>
      </c>
      <c r="AC54" s="678">
        <v>4909.9362947894588</v>
      </c>
      <c r="AD54" s="678">
        <v>4852.515368728541</v>
      </c>
      <c r="AE54" s="678">
        <v>4989.8491809377374</v>
      </c>
      <c r="AF54" s="678">
        <v>4855.9298373361426</v>
      </c>
      <c r="AG54" s="678">
        <v>4344.9063592323455</v>
      </c>
      <c r="AH54" s="678">
        <v>4639.0731639551377</v>
      </c>
    </row>
    <row r="57" spans="2:34">
      <c r="B57" s="5" t="s">
        <v>1517</v>
      </c>
    </row>
    <row r="58" spans="2:34">
      <c r="B58" s="4" t="s">
        <v>1469</v>
      </c>
      <c r="C58" s="23">
        <v>1990</v>
      </c>
      <c r="D58" s="23">
        <v>1991</v>
      </c>
      <c r="E58" s="23">
        <v>1992</v>
      </c>
      <c r="F58" s="23">
        <v>1993</v>
      </c>
      <c r="G58" s="23">
        <v>1994</v>
      </c>
      <c r="H58" s="23">
        <v>1995</v>
      </c>
      <c r="I58" s="23">
        <v>1996</v>
      </c>
      <c r="J58" s="23">
        <v>1997</v>
      </c>
      <c r="K58" s="23">
        <v>1998</v>
      </c>
      <c r="L58" s="23">
        <v>1999</v>
      </c>
      <c r="M58" s="23">
        <v>2000</v>
      </c>
      <c r="N58" s="23">
        <v>2001</v>
      </c>
      <c r="O58" s="23">
        <v>2002</v>
      </c>
      <c r="P58" s="23">
        <v>2003</v>
      </c>
      <c r="Q58" s="23">
        <v>2004</v>
      </c>
      <c r="R58" s="23">
        <v>2005</v>
      </c>
      <c r="S58" s="23">
        <v>2006</v>
      </c>
      <c r="T58" s="23">
        <v>2007</v>
      </c>
      <c r="U58" s="23">
        <v>2008</v>
      </c>
      <c r="V58" s="23">
        <v>2009</v>
      </c>
      <c r="W58" s="23">
        <v>2010</v>
      </c>
      <c r="X58" s="23">
        <v>2011</v>
      </c>
      <c r="Y58" s="23">
        <v>2012</v>
      </c>
      <c r="Z58" s="23">
        <v>2013</v>
      </c>
      <c r="AA58" s="23">
        <v>2014</v>
      </c>
      <c r="AB58" s="23">
        <v>2015</v>
      </c>
      <c r="AC58" s="23">
        <v>2016</v>
      </c>
      <c r="AD58" s="23">
        <v>2017</v>
      </c>
      <c r="AE58" s="23">
        <v>2018</v>
      </c>
      <c r="AF58" s="23">
        <v>2019</v>
      </c>
      <c r="AG58" s="23">
        <v>2020</v>
      </c>
      <c r="AH58" s="23">
        <v>2021</v>
      </c>
    </row>
    <row r="59" spans="2:34">
      <c r="B59" s="5" t="s">
        <v>1435</v>
      </c>
      <c r="C59" s="280">
        <f t="shared" ref="C59:C81" si="64">(AM4-C31)</f>
        <v>-3.0486893583656638E-3</v>
      </c>
      <c r="D59" s="280">
        <f t="shared" ref="D59:D81" si="65">(AN4-D31)</f>
        <v>-2.6386882270799106E-3</v>
      </c>
      <c r="E59" s="280">
        <f t="shared" ref="E59:E81" si="66">(AO4-E31)</f>
        <v>-2.9024130481047905E-3</v>
      </c>
      <c r="F59" s="280">
        <f t="shared" ref="F59:F81" si="67">(AP4-F31)</f>
        <v>-2.7850378851326241E-3</v>
      </c>
      <c r="G59" s="280">
        <f t="shared" ref="G59:G81" si="68">(AQ4-G31)</f>
        <v>-2.0699240715202905E-3</v>
      </c>
      <c r="H59" s="280">
        <f t="shared" ref="H59:H81" si="69">(AR4-H31)</f>
        <v>-3.0956647419770889E-3</v>
      </c>
      <c r="I59" s="280">
        <f t="shared" ref="I59:I81" si="70">(AS4-I31)</f>
        <v>-7.7047927973126207E-3</v>
      </c>
      <c r="J59" s="280">
        <f t="shared" ref="J59:J81" si="71">(AT4-J31)</f>
        <v>-5.3440741778558731E-3</v>
      </c>
      <c r="K59" s="280">
        <f t="shared" ref="K59:K81" si="72">(AU4-K31)</f>
        <v>-4.5580570388210617E-3</v>
      </c>
      <c r="L59" s="280">
        <f t="shared" ref="L59:L81" si="73">(AV4-L31)</f>
        <v>-3.8581617752697639E-3</v>
      </c>
      <c r="M59" s="280">
        <f t="shared" ref="M59:M81" si="74">(AW4-M31)</f>
        <v>-6.1670292561757378E-3</v>
      </c>
      <c r="N59" s="280">
        <f t="shared" ref="N59:N81" si="75">(AX4-N31)</f>
        <v>-5.3187217727099778E-3</v>
      </c>
      <c r="O59" s="280">
        <f t="shared" ref="O59:O81" si="76">(AY4-O31)</f>
        <v>-5.8953795391971653E-3</v>
      </c>
      <c r="P59" s="280">
        <f t="shared" ref="P59:P81" si="77">(AZ4-P31)</f>
        <v>-5.96370267248858E-3</v>
      </c>
      <c r="Q59" s="280">
        <f t="shared" ref="Q59:Q81" si="78">(BA4-Q31)</f>
        <v>-6.9024142112539266E-3</v>
      </c>
      <c r="R59" s="280">
        <f t="shared" ref="R59:R81" si="79">(BB4-R31)</f>
        <v>-5.2801109995925799E-3</v>
      </c>
      <c r="S59" s="280">
        <f t="shared" ref="S59:S81" si="80">(BC4-S31)</f>
        <v>-5.1913154952671903E-3</v>
      </c>
      <c r="T59" s="280">
        <f t="shared" ref="T59:T81" si="81">(BD4-T31)</f>
        <v>-5.6143385636460152E-3</v>
      </c>
      <c r="U59" s="280">
        <f t="shared" ref="U59:U81" si="82">(BE4-U31)</f>
        <v>-5.2938763938072952E-3</v>
      </c>
      <c r="V59" s="280">
        <f t="shared" ref="V59:V81" si="83">(BF4-V31)</f>
        <v>-3.444288414584662E-3</v>
      </c>
      <c r="W59" s="280">
        <f t="shared" ref="W59:W81" si="84">(BG4-W31)</f>
        <v>-4.689071502070874E-3</v>
      </c>
      <c r="X59" s="280">
        <f t="shared" ref="X59:X81" si="85">(BH4-X31)</f>
        <v>-5.3618225131231156E-3</v>
      </c>
      <c r="Y59" s="280">
        <f t="shared" ref="Y59:Y81" si="86">(BI4-Y31)</f>
        <v>-5.7814130509541428E-3</v>
      </c>
      <c r="Z59" s="280">
        <f t="shared" ref="Z59:Z81" si="87">(BJ4-Z31)</f>
        <v>-5.5172544018660119E-3</v>
      </c>
      <c r="AA59" s="280">
        <f t="shared" ref="AA59:AA81" si="88">(BK4-AA31)</f>
        <v>-5.0055059757596609E-3</v>
      </c>
      <c r="AB59" s="280">
        <f t="shared" ref="AB59:AB81" si="89">(BL4-AB31)</f>
        <v>-4.7064815566955076E-3</v>
      </c>
      <c r="AC59" s="280">
        <f t="shared" ref="AC59:AC81" si="90">(BM4-AC31)</f>
        <v>-4.0077785195080651E-3</v>
      </c>
      <c r="AD59" s="280">
        <f t="shared" ref="AD59:AD81" si="91">(BN4-AD31)</f>
        <v>-4.4054782815692306E-3</v>
      </c>
      <c r="AE59" s="280">
        <f t="shared" ref="AE59:AE81" si="92">(BO4-AE31)</f>
        <v>-5.3303340073398431E-3</v>
      </c>
      <c r="AF59" s="280">
        <f t="shared" ref="AF59:AF81" si="93">(BP4-AF31)</f>
        <v>-5.1126195403412567E-3</v>
      </c>
      <c r="AG59" s="280">
        <f t="shared" ref="AG59:AG81" si="94">(BQ4-AG31)</f>
        <v>-2.3912966091756971E-3</v>
      </c>
      <c r="AH59" s="280">
        <f t="shared" ref="AH59:AH81" si="95">(BR4-AH31)</f>
        <v>0.11894853620799495</v>
      </c>
    </row>
    <row r="60" spans="2:34">
      <c r="B60" s="6" t="s">
        <v>1434</v>
      </c>
      <c r="C60" s="675">
        <f t="shared" si="64"/>
        <v>0</v>
      </c>
      <c r="D60" s="675">
        <f t="shared" si="65"/>
        <v>0</v>
      </c>
      <c r="E60" s="675">
        <f t="shared" si="66"/>
        <v>0</v>
      </c>
      <c r="F60" s="675">
        <f t="shared" si="67"/>
        <v>0</v>
      </c>
      <c r="G60" s="675">
        <f t="shared" si="68"/>
        <v>0</v>
      </c>
      <c r="H60" s="675">
        <f t="shared" si="69"/>
        <v>0</v>
      </c>
      <c r="I60" s="675">
        <f t="shared" si="70"/>
        <v>0</v>
      </c>
      <c r="J60" s="675">
        <f t="shared" si="71"/>
        <v>0</v>
      </c>
      <c r="K60" s="675">
        <f t="shared" si="72"/>
        <v>0</v>
      </c>
      <c r="L60" s="675">
        <f t="shared" si="73"/>
        <v>0</v>
      </c>
      <c r="M60" s="675">
        <f t="shared" si="74"/>
        <v>0</v>
      </c>
      <c r="N60" s="675">
        <f t="shared" si="75"/>
        <v>0</v>
      </c>
      <c r="O60" s="675">
        <f t="shared" si="76"/>
        <v>0</v>
      </c>
      <c r="P60" s="675">
        <f t="shared" si="77"/>
        <v>0</v>
      </c>
      <c r="Q60" s="675">
        <f t="shared" si="78"/>
        <v>0</v>
      </c>
      <c r="R60" s="675">
        <f t="shared" si="79"/>
        <v>0</v>
      </c>
      <c r="S60" s="675">
        <f t="shared" si="80"/>
        <v>0</v>
      </c>
      <c r="T60" s="675">
        <f t="shared" si="81"/>
        <v>0</v>
      </c>
      <c r="U60" s="675">
        <f t="shared" si="82"/>
        <v>0</v>
      </c>
      <c r="V60" s="675">
        <f t="shared" si="83"/>
        <v>0</v>
      </c>
      <c r="W60" s="675">
        <f t="shared" si="84"/>
        <v>0</v>
      </c>
      <c r="X60" s="675">
        <f t="shared" si="85"/>
        <v>0</v>
      </c>
      <c r="Y60" s="675">
        <f t="shared" si="86"/>
        <v>0</v>
      </c>
      <c r="Z60" s="675">
        <f t="shared" si="87"/>
        <v>0</v>
      </c>
      <c r="AA60" s="675">
        <f t="shared" si="88"/>
        <v>0</v>
      </c>
      <c r="AB60" s="675">
        <f t="shared" si="89"/>
        <v>0</v>
      </c>
      <c r="AC60" s="675">
        <f t="shared" si="90"/>
        <v>0</v>
      </c>
      <c r="AD60" s="675">
        <f t="shared" si="91"/>
        <v>0</v>
      </c>
      <c r="AE60" s="675">
        <f t="shared" si="92"/>
        <v>0</v>
      </c>
      <c r="AF60" s="675">
        <f t="shared" si="93"/>
        <v>0</v>
      </c>
      <c r="AG60" s="675">
        <f t="shared" si="94"/>
        <v>0</v>
      </c>
      <c r="AH60" s="675">
        <f t="shared" si="95"/>
        <v>0</v>
      </c>
    </row>
    <row r="61" spans="2:34">
      <c r="B61" s="6" t="s">
        <v>1441</v>
      </c>
      <c r="C61" s="675">
        <f t="shared" si="64"/>
        <v>0</v>
      </c>
      <c r="D61" s="675">
        <f t="shared" si="65"/>
        <v>0</v>
      </c>
      <c r="E61" s="675">
        <f t="shared" si="66"/>
        <v>0</v>
      </c>
      <c r="F61" s="675">
        <f t="shared" si="67"/>
        <v>0</v>
      </c>
      <c r="G61" s="675">
        <f t="shared" si="68"/>
        <v>0</v>
      </c>
      <c r="H61" s="675">
        <f t="shared" si="69"/>
        <v>0</v>
      </c>
      <c r="I61" s="675">
        <f t="shared" si="70"/>
        <v>0</v>
      </c>
      <c r="J61" s="675">
        <f t="shared" si="71"/>
        <v>0</v>
      </c>
      <c r="K61" s="675">
        <f t="shared" si="72"/>
        <v>0</v>
      </c>
      <c r="L61" s="675">
        <f t="shared" si="73"/>
        <v>0</v>
      </c>
      <c r="M61" s="675">
        <f t="shared" si="74"/>
        <v>0</v>
      </c>
      <c r="N61" s="675">
        <f t="shared" si="75"/>
        <v>0</v>
      </c>
      <c r="O61" s="675">
        <f t="shared" si="76"/>
        <v>0</v>
      </c>
      <c r="P61" s="675">
        <f t="shared" si="77"/>
        <v>0</v>
      </c>
      <c r="Q61" s="675">
        <f t="shared" si="78"/>
        <v>0</v>
      </c>
      <c r="R61" s="675">
        <f t="shared" si="79"/>
        <v>0</v>
      </c>
      <c r="S61" s="675">
        <f t="shared" si="80"/>
        <v>0</v>
      </c>
      <c r="T61" s="675">
        <f t="shared" si="81"/>
        <v>0</v>
      </c>
      <c r="U61" s="675">
        <f t="shared" si="82"/>
        <v>0</v>
      </c>
      <c r="V61" s="675">
        <f t="shared" si="83"/>
        <v>0</v>
      </c>
      <c r="W61" s="675">
        <f t="shared" si="84"/>
        <v>0</v>
      </c>
      <c r="X61" s="675">
        <f t="shared" si="85"/>
        <v>0</v>
      </c>
      <c r="Y61" s="675">
        <f t="shared" si="86"/>
        <v>0</v>
      </c>
      <c r="Z61" s="675">
        <f t="shared" si="87"/>
        <v>0</v>
      </c>
      <c r="AA61" s="675">
        <f t="shared" si="88"/>
        <v>0</v>
      </c>
      <c r="AB61" s="675">
        <f t="shared" si="89"/>
        <v>0</v>
      </c>
      <c r="AC61" s="675">
        <f t="shared" si="90"/>
        <v>0</v>
      </c>
      <c r="AD61" s="675">
        <f t="shared" si="91"/>
        <v>0</v>
      </c>
      <c r="AE61" s="675">
        <f t="shared" si="92"/>
        <v>0</v>
      </c>
      <c r="AF61" s="675">
        <f t="shared" si="93"/>
        <v>0</v>
      </c>
      <c r="AG61" s="675">
        <f t="shared" si="94"/>
        <v>0</v>
      </c>
      <c r="AH61" s="675">
        <f t="shared" si="95"/>
        <v>0</v>
      </c>
    </row>
    <row r="62" spans="2:34">
      <c r="B62" s="6" t="s">
        <v>1443</v>
      </c>
      <c r="C62" s="675">
        <f t="shared" si="64"/>
        <v>-3.0486893584225072E-3</v>
      </c>
      <c r="D62" s="675">
        <f t="shared" si="65"/>
        <v>-2.6386882271651757E-3</v>
      </c>
      <c r="E62" s="675">
        <f t="shared" si="66"/>
        <v>-2.9024130481900556E-3</v>
      </c>
      <c r="F62" s="675">
        <f t="shared" si="67"/>
        <v>-2.7850378851042024E-3</v>
      </c>
      <c r="G62" s="675">
        <f t="shared" si="68"/>
        <v>-2.0699240714350253E-3</v>
      </c>
      <c r="H62" s="675">
        <f t="shared" si="69"/>
        <v>-3.0956647418349803E-3</v>
      </c>
      <c r="I62" s="675">
        <f t="shared" si="70"/>
        <v>-7.7047927973126207E-3</v>
      </c>
      <c r="J62" s="675">
        <f t="shared" si="71"/>
        <v>-5.3440741778842948E-3</v>
      </c>
      <c r="K62" s="675">
        <f t="shared" si="72"/>
        <v>-4.5580570388210617E-3</v>
      </c>
      <c r="L62" s="675">
        <f t="shared" si="73"/>
        <v>-3.8581617752981856E-3</v>
      </c>
      <c r="M62" s="675">
        <f t="shared" si="74"/>
        <v>-6.1670292560336293E-3</v>
      </c>
      <c r="N62" s="675">
        <f t="shared" si="75"/>
        <v>-5.3187217726815561E-3</v>
      </c>
      <c r="O62" s="675">
        <f t="shared" si="76"/>
        <v>-5.8953795391829544E-3</v>
      </c>
      <c r="P62" s="675">
        <f t="shared" si="77"/>
        <v>-5.9637026724601583E-3</v>
      </c>
      <c r="Q62" s="675">
        <f t="shared" si="78"/>
        <v>-6.9024142114955112E-3</v>
      </c>
      <c r="R62" s="675">
        <f t="shared" si="79"/>
        <v>-5.2801109996494233E-3</v>
      </c>
      <c r="S62" s="675">
        <f t="shared" si="80"/>
        <v>-5.1913154948408646E-3</v>
      </c>
      <c r="T62" s="675">
        <f t="shared" si="81"/>
        <v>-5.6143385635039067E-3</v>
      </c>
      <c r="U62" s="675">
        <f t="shared" si="82"/>
        <v>-5.293876393736241E-3</v>
      </c>
      <c r="V62" s="675">
        <f t="shared" si="83"/>
        <v>-3.4442884145704511E-3</v>
      </c>
      <c r="W62" s="675">
        <f t="shared" si="84"/>
        <v>-4.6890715020566631E-3</v>
      </c>
      <c r="X62" s="675">
        <f t="shared" si="85"/>
        <v>-5.3618225132368025E-3</v>
      </c>
      <c r="Y62" s="675">
        <f t="shared" si="86"/>
        <v>-5.7814130510536188E-3</v>
      </c>
      <c r="Z62" s="675">
        <f t="shared" si="87"/>
        <v>-5.5172544017665359E-3</v>
      </c>
      <c r="AA62" s="675">
        <f t="shared" si="88"/>
        <v>-5.0055059758875586E-3</v>
      </c>
      <c r="AB62" s="675">
        <f t="shared" si="89"/>
        <v>-4.706481556752351E-3</v>
      </c>
      <c r="AC62" s="675">
        <f t="shared" si="90"/>
        <v>-4.0077785195151705E-3</v>
      </c>
      <c r="AD62" s="675">
        <f t="shared" si="91"/>
        <v>-4.4054782813631732E-3</v>
      </c>
      <c r="AE62" s="675">
        <f t="shared" si="92"/>
        <v>-5.3303340072901051E-3</v>
      </c>
      <c r="AF62" s="675">
        <f t="shared" si="93"/>
        <v>-5.1126195402915187E-3</v>
      </c>
      <c r="AG62" s="675">
        <f t="shared" si="94"/>
        <v>-2.3912966091828025E-3</v>
      </c>
      <c r="AH62" s="675">
        <f t="shared" si="95"/>
        <v>-6.0004042785948286E-3</v>
      </c>
    </row>
    <row r="63" spans="2:34">
      <c r="B63" s="6" t="s">
        <v>1445</v>
      </c>
      <c r="C63" s="675">
        <f t="shared" si="64"/>
        <v>0</v>
      </c>
      <c r="D63" s="675">
        <f t="shared" si="65"/>
        <v>0</v>
      </c>
      <c r="E63" s="675">
        <f t="shared" si="66"/>
        <v>0</v>
      </c>
      <c r="F63" s="675">
        <f t="shared" si="67"/>
        <v>0</v>
      </c>
      <c r="G63" s="675">
        <f t="shared" si="68"/>
        <v>0</v>
      </c>
      <c r="H63" s="675">
        <f t="shared" si="69"/>
        <v>0</v>
      </c>
      <c r="I63" s="675">
        <f t="shared" si="70"/>
        <v>0</v>
      </c>
      <c r="J63" s="675">
        <f t="shared" si="71"/>
        <v>0</v>
      </c>
      <c r="K63" s="675">
        <f t="shared" si="72"/>
        <v>0</v>
      </c>
      <c r="L63" s="675">
        <f t="shared" si="73"/>
        <v>0</v>
      </c>
      <c r="M63" s="675">
        <f t="shared" si="74"/>
        <v>0</v>
      </c>
      <c r="N63" s="675">
        <f t="shared" si="75"/>
        <v>0</v>
      </c>
      <c r="O63" s="675">
        <f t="shared" si="76"/>
        <v>0</v>
      </c>
      <c r="P63" s="675">
        <f t="shared" si="77"/>
        <v>0</v>
      </c>
      <c r="Q63" s="675">
        <f t="shared" si="78"/>
        <v>0</v>
      </c>
      <c r="R63" s="675">
        <f t="shared" si="79"/>
        <v>0</v>
      </c>
      <c r="S63" s="675">
        <f t="shared" si="80"/>
        <v>0</v>
      </c>
      <c r="T63" s="675">
        <f t="shared" si="81"/>
        <v>0</v>
      </c>
      <c r="U63" s="675">
        <f t="shared" si="82"/>
        <v>0</v>
      </c>
      <c r="V63" s="675">
        <f t="shared" si="83"/>
        <v>0</v>
      </c>
      <c r="W63" s="675">
        <f t="shared" si="84"/>
        <v>0</v>
      </c>
      <c r="X63" s="675">
        <f t="shared" si="85"/>
        <v>0</v>
      </c>
      <c r="Y63" s="675">
        <f t="shared" si="86"/>
        <v>0</v>
      </c>
      <c r="Z63" s="675">
        <f t="shared" si="87"/>
        <v>0</v>
      </c>
      <c r="AA63" s="675">
        <f t="shared" si="88"/>
        <v>0</v>
      </c>
      <c r="AB63" s="675">
        <f t="shared" si="89"/>
        <v>0</v>
      </c>
      <c r="AC63" s="675">
        <f t="shared" si="90"/>
        <v>0</v>
      </c>
      <c r="AD63" s="675">
        <f t="shared" si="91"/>
        <v>0</v>
      </c>
      <c r="AE63" s="675">
        <f t="shared" si="92"/>
        <v>0</v>
      </c>
      <c r="AF63" s="675">
        <f t="shared" si="93"/>
        <v>0</v>
      </c>
      <c r="AG63" s="675">
        <f t="shared" si="94"/>
        <v>0</v>
      </c>
      <c r="AH63" s="675">
        <f t="shared" si="95"/>
        <v>0</v>
      </c>
    </row>
    <row r="64" spans="2:34">
      <c r="B64" s="6" t="s">
        <v>1474</v>
      </c>
      <c r="C64" s="675">
        <f t="shared" si="64"/>
        <v>0</v>
      </c>
      <c r="D64" s="675">
        <f t="shared" si="65"/>
        <v>0</v>
      </c>
      <c r="E64" s="675">
        <f t="shared" si="66"/>
        <v>0</v>
      </c>
      <c r="F64" s="675">
        <f t="shared" si="67"/>
        <v>0</v>
      </c>
      <c r="G64" s="675">
        <f t="shared" si="68"/>
        <v>0</v>
      </c>
      <c r="H64" s="675">
        <f t="shared" si="69"/>
        <v>0</v>
      </c>
      <c r="I64" s="675">
        <f t="shared" si="70"/>
        <v>0</v>
      </c>
      <c r="J64" s="675">
        <f t="shared" si="71"/>
        <v>0</v>
      </c>
      <c r="K64" s="675">
        <f t="shared" si="72"/>
        <v>0</v>
      </c>
      <c r="L64" s="675">
        <f t="shared" si="73"/>
        <v>0</v>
      </c>
      <c r="M64" s="675">
        <f t="shared" si="74"/>
        <v>0</v>
      </c>
      <c r="N64" s="675">
        <f t="shared" si="75"/>
        <v>0</v>
      </c>
      <c r="O64" s="675">
        <f t="shared" si="76"/>
        <v>0</v>
      </c>
      <c r="P64" s="675">
        <f t="shared" si="77"/>
        <v>0</v>
      </c>
      <c r="Q64" s="675">
        <f t="shared" si="78"/>
        <v>0</v>
      </c>
      <c r="R64" s="675">
        <f t="shared" si="79"/>
        <v>0</v>
      </c>
      <c r="S64" s="675">
        <f t="shared" si="80"/>
        <v>0</v>
      </c>
      <c r="T64" s="675">
        <f t="shared" si="81"/>
        <v>0</v>
      </c>
      <c r="U64" s="675">
        <f t="shared" si="82"/>
        <v>0</v>
      </c>
      <c r="V64" s="675">
        <f t="shared" si="83"/>
        <v>0</v>
      </c>
      <c r="W64" s="675">
        <f t="shared" si="84"/>
        <v>0</v>
      </c>
      <c r="X64" s="675">
        <f t="shared" si="85"/>
        <v>0</v>
      </c>
      <c r="Y64" s="675">
        <f t="shared" si="86"/>
        <v>0</v>
      </c>
      <c r="Z64" s="675">
        <f t="shared" si="87"/>
        <v>0</v>
      </c>
      <c r="AA64" s="675">
        <f t="shared" si="88"/>
        <v>0</v>
      </c>
      <c r="AB64" s="675">
        <f t="shared" si="89"/>
        <v>0</v>
      </c>
      <c r="AC64" s="675">
        <f t="shared" si="90"/>
        <v>0</v>
      </c>
      <c r="AD64" s="675">
        <f t="shared" si="91"/>
        <v>0</v>
      </c>
      <c r="AE64" s="675">
        <f t="shared" si="92"/>
        <v>0</v>
      </c>
      <c r="AF64" s="675">
        <f t="shared" si="93"/>
        <v>0</v>
      </c>
      <c r="AG64" s="675">
        <f t="shared" si="94"/>
        <v>0</v>
      </c>
      <c r="AH64" s="675">
        <f t="shared" si="95"/>
        <v>0.12494894048654714</v>
      </c>
    </row>
    <row r="65" spans="2:36">
      <c r="B65" s="6" t="s">
        <v>1476</v>
      </c>
      <c r="C65" s="675">
        <f t="shared" si="64"/>
        <v>0</v>
      </c>
      <c r="D65" s="675">
        <f t="shared" si="65"/>
        <v>0</v>
      </c>
      <c r="E65" s="675">
        <f t="shared" si="66"/>
        <v>0</v>
      </c>
      <c r="F65" s="675">
        <f t="shared" si="67"/>
        <v>0</v>
      </c>
      <c r="G65" s="675">
        <f t="shared" si="68"/>
        <v>0</v>
      </c>
      <c r="H65" s="675">
        <f t="shared" si="69"/>
        <v>0</v>
      </c>
      <c r="I65" s="675">
        <f t="shared" si="70"/>
        <v>0</v>
      </c>
      <c r="J65" s="675">
        <f t="shared" si="71"/>
        <v>0</v>
      </c>
      <c r="K65" s="675">
        <f t="shared" si="72"/>
        <v>0</v>
      </c>
      <c r="L65" s="675">
        <f t="shared" si="73"/>
        <v>0</v>
      </c>
      <c r="M65" s="675">
        <f t="shared" si="74"/>
        <v>0</v>
      </c>
      <c r="N65" s="675">
        <f t="shared" si="75"/>
        <v>0</v>
      </c>
      <c r="O65" s="675">
        <f t="shared" si="76"/>
        <v>0</v>
      </c>
      <c r="P65" s="675">
        <f t="shared" si="77"/>
        <v>0</v>
      </c>
      <c r="Q65" s="675">
        <f t="shared" si="78"/>
        <v>0</v>
      </c>
      <c r="R65" s="675">
        <f t="shared" si="79"/>
        <v>0</v>
      </c>
      <c r="S65" s="675">
        <f t="shared" si="80"/>
        <v>0</v>
      </c>
      <c r="T65" s="675">
        <f t="shared" si="81"/>
        <v>0</v>
      </c>
      <c r="U65" s="675">
        <f t="shared" si="82"/>
        <v>0</v>
      </c>
      <c r="V65" s="675">
        <f t="shared" si="83"/>
        <v>0</v>
      </c>
      <c r="W65" s="675">
        <f t="shared" si="84"/>
        <v>0</v>
      </c>
      <c r="X65" s="675">
        <f t="shared" si="85"/>
        <v>0</v>
      </c>
      <c r="Y65" s="675">
        <f t="shared" si="86"/>
        <v>0</v>
      </c>
      <c r="Z65" s="675">
        <f t="shared" si="87"/>
        <v>0</v>
      </c>
      <c r="AA65" s="675">
        <f t="shared" si="88"/>
        <v>0</v>
      </c>
      <c r="AB65" s="675">
        <f t="shared" si="89"/>
        <v>0</v>
      </c>
      <c r="AC65" s="675">
        <f t="shared" si="90"/>
        <v>0</v>
      </c>
      <c r="AD65" s="675">
        <f t="shared" si="91"/>
        <v>0</v>
      </c>
      <c r="AE65" s="675">
        <f t="shared" si="92"/>
        <v>0</v>
      </c>
      <c r="AF65" s="675">
        <f t="shared" si="93"/>
        <v>0</v>
      </c>
      <c r="AG65" s="675">
        <f t="shared" si="94"/>
        <v>0</v>
      </c>
      <c r="AH65" s="675">
        <f t="shared" si="95"/>
        <v>0</v>
      </c>
    </row>
    <row r="66" spans="2:36">
      <c r="B66" s="5" t="s">
        <v>1439</v>
      </c>
      <c r="C66" s="280">
        <f t="shared" si="64"/>
        <v>0</v>
      </c>
      <c r="D66" s="280">
        <f t="shared" si="65"/>
        <v>0</v>
      </c>
      <c r="E66" s="280">
        <f t="shared" si="66"/>
        <v>0</v>
      </c>
      <c r="F66" s="280">
        <f t="shared" si="67"/>
        <v>0</v>
      </c>
      <c r="G66" s="280">
        <f t="shared" si="68"/>
        <v>0</v>
      </c>
      <c r="H66" s="280">
        <f t="shared" si="69"/>
        <v>0</v>
      </c>
      <c r="I66" s="280">
        <f t="shared" si="70"/>
        <v>0</v>
      </c>
      <c r="J66" s="280">
        <f t="shared" si="71"/>
        <v>0</v>
      </c>
      <c r="K66" s="280">
        <f t="shared" si="72"/>
        <v>0</v>
      </c>
      <c r="L66" s="280">
        <f t="shared" si="73"/>
        <v>0</v>
      </c>
      <c r="M66" s="280">
        <f t="shared" si="74"/>
        <v>0</v>
      </c>
      <c r="N66" s="280">
        <f t="shared" si="75"/>
        <v>0</v>
      </c>
      <c r="O66" s="280">
        <f t="shared" si="76"/>
        <v>0</v>
      </c>
      <c r="P66" s="280">
        <f t="shared" si="77"/>
        <v>0</v>
      </c>
      <c r="Q66" s="280">
        <f t="shared" si="78"/>
        <v>0</v>
      </c>
      <c r="R66" s="280">
        <f t="shared" si="79"/>
        <v>0</v>
      </c>
      <c r="S66" s="280">
        <f t="shared" si="80"/>
        <v>0</v>
      </c>
      <c r="T66" s="280">
        <f t="shared" si="81"/>
        <v>0</v>
      </c>
      <c r="U66" s="280">
        <f t="shared" si="82"/>
        <v>0</v>
      </c>
      <c r="V66" s="280">
        <f t="shared" si="83"/>
        <v>0</v>
      </c>
      <c r="W66" s="280">
        <f t="shared" si="84"/>
        <v>0</v>
      </c>
      <c r="X66" s="280">
        <f t="shared" si="85"/>
        <v>0</v>
      </c>
      <c r="Y66" s="280">
        <f t="shared" si="86"/>
        <v>0</v>
      </c>
      <c r="Z66" s="280">
        <f t="shared" si="87"/>
        <v>0</v>
      </c>
      <c r="AA66" s="280">
        <f t="shared" si="88"/>
        <v>0</v>
      </c>
      <c r="AB66" s="280">
        <f t="shared" si="89"/>
        <v>0</v>
      </c>
      <c r="AC66" s="280">
        <f t="shared" si="90"/>
        <v>0</v>
      </c>
      <c r="AD66" s="280">
        <f t="shared" si="91"/>
        <v>0</v>
      </c>
      <c r="AE66" s="280">
        <f t="shared" si="92"/>
        <v>0</v>
      </c>
      <c r="AF66" s="280">
        <f t="shared" si="93"/>
        <v>-8.8054902307703742E-3</v>
      </c>
      <c r="AG66" s="280">
        <f t="shared" si="94"/>
        <v>3.2648708765427727</v>
      </c>
      <c r="AH66" s="280">
        <f t="shared" si="95"/>
        <v>1.0857567241587276</v>
      </c>
      <c r="AI66" s="1">
        <f>AVERAGE(AE66:AH66)</f>
        <v>1.0854555276176825</v>
      </c>
    </row>
    <row r="67" spans="2:36">
      <c r="B67" s="6" t="s">
        <v>1434</v>
      </c>
      <c r="C67" s="675">
        <f t="shared" si="64"/>
        <v>0</v>
      </c>
      <c r="D67" s="675">
        <f t="shared" si="65"/>
        <v>0</v>
      </c>
      <c r="E67" s="675">
        <f t="shared" si="66"/>
        <v>0</v>
      </c>
      <c r="F67" s="675">
        <f t="shared" si="67"/>
        <v>0</v>
      </c>
      <c r="G67" s="675">
        <f t="shared" si="68"/>
        <v>0</v>
      </c>
      <c r="H67" s="675">
        <f t="shared" si="69"/>
        <v>0</v>
      </c>
      <c r="I67" s="675">
        <f t="shared" si="70"/>
        <v>0</v>
      </c>
      <c r="J67" s="675">
        <f t="shared" si="71"/>
        <v>0</v>
      </c>
      <c r="K67" s="675">
        <f t="shared" si="72"/>
        <v>0</v>
      </c>
      <c r="L67" s="675">
        <f t="shared" si="73"/>
        <v>0</v>
      </c>
      <c r="M67" s="675">
        <f t="shared" si="74"/>
        <v>0</v>
      </c>
      <c r="N67" s="675">
        <f t="shared" si="75"/>
        <v>0</v>
      </c>
      <c r="O67" s="675">
        <f t="shared" si="76"/>
        <v>0</v>
      </c>
      <c r="P67" s="675">
        <f t="shared" si="77"/>
        <v>0</v>
      </c>
      <c r="Q67" s="675">
        <f t="shared" si="78"/>
        <v>0</v>
      </c>
      <c r="R67" s="675">
        <f t="shared" si="79"/>
        <v>0</v>
      </c>
      <c r="S67" s="675">
        <f t="shared" si="80"/>
        <v>0</v>
      </c>
      <c r="T67" s="675">
        <f t="shared" si="81"/>
        <v>0</v>
      </c>
      <c r="U67" s="675">
        <f t="shared" si="82"/>
        <v>0</v>
      </c>
      <c r="V67" s="675">
        <f t="shared" si="83"/>
        <v>0</v>
      </c>
      <c r="W67" s="675">
        <f t="shared" si="84"/>
        <v>0</v>
      </c>
      <c r="X67" s="675">
        <f t="shared" si="85"/>
        <v>0</v>
      </c>
      <c r="Y67" s="675">
        <f t="shared" si="86"/>
        <v>0</v>
      </c>
      <c r="Z67" s="675">
        <f t="shared" si="87"/>
        <v>0</v>
      </c>
      <c r="AA67" s="675">
        <f t="shared" si="88"/>
        <v>0</v>
      </c>
      <c r="AB67" s="675">
        <f t="shared" si="89"/>
        <v>0</v>
      </c>
      <c r="AC67" s="675">
        <f t="shared" si="90"/>
        <v>0</v>
      </c>
      <c r="AD67" s="675">
        <f t="shared" si="91"/>
        <v>0</v>
      </c>
      <c r="AE67" s="675">
        <f t="shared" si="92"/>
        <v>0</v>
      </c>
      <c r="AF67" s="675">
        <f t="shared" si="93"/>
        <v>0</v>
      </c>
      <c r="AG67" s="675">
        <f t="shared" si="94"/>
        <v>6.3486148371794116E-4</v>
      </c>
      <c r="AH67" s="675">
        <f t="shared" si="95"/>
        <v>2.6240941325909262E-2</v>
      </c>
      <c r="AI67" s="1">
        <f>AVERAGE(AE67:AH67)</f>
        <v>6.7189507024068007E-3</v>
      </c>
    </row>
    <row r="68" spans="2:36">
      <c r="B68" s="6" t="s">
        <v>1441</v>
      </c>
      <c r="C68" s="675">
        <f t="shared" si="64"/>
        <v>0</v>
      </c>
      <c r="D68" s="675">
        <f t="shared" si="65"/>
        <v>0</v>
      </c>
      <c r="E68" s="675">
        <f t="shared" si="66"/>
        <v>0</v>
      </c>
      <c r="F68" s="675">
        <f t="shared" si="67"/>
        <v>0</v>
      </c>
      <c r="G68" s="675">
        <f t="shared" si="68"/>
        <v>0</v>
      </c>
      <c r="H68" s="675">
        <f t="shared" si="69"/>
        <v>0</v>
      </c>
      <c r="I68" s="675">
        <f t="shared" si="70"/>
        <v>0</v>
      </c>
      <c r="J68" s="675">
        <f t="shared" si="71"/>
        <v>0</v>
      </c>
      <c r="K68" s="675">
        <f t="shared" si="72"/>
        <v>0</v>
      </c>
      <c r="L68" s="675">
        <f t="shared" si="73"/>
        <v>0</v>
      </c>
      <c r="M68" s="675">
        <f t="shared" si="74"/>
        <v>0</v>
      </c>
      <c r="N68" s="675">
        <f t="shared" si="75"/>
        <v>0</v>
      </c>
      <c r="O68" s="675">
        <f t="shared" si="76"/>
        <v>0</v>
      </c>
      <c r="P68" s="675">
        <f t="shared" si="77"/>
        <v>0</v>
      </c>
      <c r="Q68" s="675">
        <f t="shared" si="78"/>
        <v>0</v>
      </c>
      <c r="R68" s="675">
        <f t="shared" si="79"/>
        <v>0</v>
      </c>
      <c r="S68" s="675">
        <f t="shared" si="80"/>
        <v>0</v>
      </c>
      <c r="T68" s="675">
        <f t="shared" si="81"/>
        <v>0</v>
      </c>
      <c r="U68" s="675">
        <f t="shared" si="82"/>
        <v>0</v>
      </c>
      <c r="V68" s="675">
        <f t="shared" si="83"/>
        <v>0</v>
      </c>
      <c r="W68" s="675">
        <f t="shared" si="84"/>
        <v>0</v>
      </c>
      <c r="X68" s="675">
        <f t="shared" si="85"/>
        <v>0</v>
      </c>
      <c r="Y68" s="675">
        <f t="shared" si="86"/>
        <v>0</v>
      </c>
      <c r="Z68" s="675">
        <f t="shared" si="87"/>
        <v>0</v>
      </c>
      <c r="AA68" s="675">
        <f t="shared" si="88"/>
        <v>0</v>
      </c>
      <c r="AB68" s="675">
        <f t="shared" si="89"/>
        <v>0</v>
      </c>
      <c r="AC68" s="675">
        <f t="shared" si="90"/>
        <v>0</v>
      </c>
      <c r="AD68" s="675">
        <f t="shared" si="91"/>
        <v>0</v>
      </c>
      <c r="AE68" s="675">
        <f t="shared" si="92"/>
        <v>0</v>
      </c>
      <c r="AF68" s="675">
        <f t="shared" si="93"/>
        <v>0</v>
      </c>
      <c r="AG68" s="675">
        <f t="shared" si="94"/>
        <v>-0.39922206299459617</v>
      </c>
      <c r="AH68" s="675">
        <f t="shared" si="95"/>
        <v>-0.50042956451974874</v>
      </c>
      <c r="AI68" s="1">
        <f>AVERAGE(AE68:AH68)</f>
        <v>-0.22491290687858623</v>
      </c>
    </row>
    <row r="69" spans="2:36">
      <c r="B69" s="6" t="s">
        <v>1443</v>
      </c>
      <c r="C69" s="675">
        <f t="shared" si="64"/>
        <v>0</v>
      </c>
      <c r="D69" s="675">
        <f t="shared" si="65"/>
        <v>0</v>
      </c>
      <c r="E69" s="675">
        <f t="shared" si="66"/>
        <v>0</v>
      </c>
      <c r="F69" s="675">
        <f t="shared" si="67"/>
        <v>0</v>
      </c>
      <c r="G69" s="675">
        <f t="shared" si="68"/>
        <v>0</v>
      </c>
      <c r="H69" s="675">
        <f t="shared" si="69"/>
        <v>0</v>
      </c>
      <c r="I69" s="675">
        <f t="shared" si="70"/>
        <v>0</v>
      </c>
      <c r="J69" s="675">
        <f t="shared" si="71"/>
        <v>0</v>
      </c>
      <c r="K69" s="675">
        <f t="shared" si="72"/>
        <v>0</v>
      </c>
      <c r="L69" s="675">
        <f t="shared" si="73"/>
        <v>0</v>
      </c>
      <c r="M69" s="675">
        <f t="shared" si="74"/>
        <v>0</v>
      </c>
      <c r="N69" s="675">
        <f t="shared" si="75"/>
        <v>0</v>
      </c>
      <c r="O69" s="675">
        <f t="shared" si="76"/>
        <v>0</v>
      </c>
      <c r="P69" s="675">
        <f t="shared" si="77"/>
        <v>0</v>
      </c>
      <c r="Q69" s="675">
        <f t="shared" si="78"/>
        <v>0</v>
      </c>
      <c r="R69" s="675">
        <f t="shared" si="79"/>
        <v>0</v>
      </c>
      <c r="S69" s="675">
        <f t="shared" si="80"/>
        <v>0</v>
      </c>
      <c r="T69" s="675">
        <f t="shared" si="81"/>
        <v>0</v>
      </c>
      <c r="U69" s="675">
        <f t="shared" si="82"/>
        <v>0</v>
      </c>
      <c r="V69" s="675">
        <f t="shared" si="83"/>
        <v>0</v>
      </c>
      <c r="W69" s="675">
        <f t="shared" si="84"/>
        <v>0</v>
      </c>
      <c r="X69" s="675">
        <f t="shared" si="85"/>
        <v>0</v>
      </c>
      <c r="Y69" s="675">
        <f t="shared" si="86"/>
        <v>0</v>
      </c>
      <c r="Z69" s="675">
        <f t="shared" si="87"/>
        <v>0</v>
      </c>
      <c r="AA69" s="675">
        <f t="shared" si="88"/>
        <v>0</v>
      </c>
      <c r="AB69" s="675">
        <f t="shared" si="89"/>
        <v>0</v>
      </c>
      <c r="AC69" s="675">
        <f t="shared" si="90"/>
        <v>0</v>
      </c>
      <c r="AD69" s="675">
        <f t="shared" si="91"/>
        <v>0</v>
      </c>
      <c r="AE69" s="675">
        <f t="shared" si="92"/>
        <v>0</v>
      </c>
      <c r="AF69" s="675">
        <f t="shared" si="93"/>
        <v>-8.8054902306566873E-3</v>
      </c>
      <c r="AG69" s="675">
        <f t="shared" si="94"/>
        <v>3.6610773474899361</v>
      </c>
      <c r="AH69" s="675">
        <f t="shared" si="95"/>
        <v>1.5427511821696385</v>
      </c>
      <c r="AI69" s="1">
        <f>AVERAGE(C69:AH69)</f>
        <v>0.16234446998215368</v>
      </c>
      <c r="AJ69" s="1">
        <f>AVERAGE(AE69:AH69)</f>
        <v>1.2987557598572295</v>
      </c>
    </row>
    <row r="70" spans="2:36">
      <c r="B70" s="6" t="s">
        <v>1445</v>
      </c>
      <c r="C70" s="675">
        <f t="shared" si="64"/>
        <v>0</v>
      </c>
      <c r="D70" s="675">
        <f t="shared" si="65"/>
        <v>0</v>
      </c>
      <c r="E70" s="675">
        <f t="shared" si="66"/>
        <v>0</v>
      </c>
      <c r="F70" s="675">
        <f t="shared" si="67"/>
        <v>0</v>
      </c>
      <c r="G70" s="675">
        <f t="shared" si="68"/>
        <v>0</v>
      </c>
      <c r="H70" s="675">
        <f t="shared" si="69"/>
        <v>0</v>
      </c>
      <c r="I70" s="675">
        <f t="shared" si="70"/>
        <v>0</v>
      </c>
      <c r="J70" s="675">
        <f t="shared" si="71"/>
        <v>0</v>
      </c>
      <c r="K70" s="675">
        <f t="shared" si="72"/>
        <v>0</v>
      </c>
      <c r="L70" s="675">
        <f t="shared" si="73"/>
        <v>0</v>
      </c>
      <c r="M70" s="675">
        <f t="shared" si="74"/>
        <v>0</v>
      </c>
      <c r="N70" s="675">
        <f t="shared" si="75"/>
        <v>0</v>
      </c>
      <c r="O70" s="675">
        <f t="shared" si="76"/>
        <v>0</v>
      </c>
      <c r="P70" s="675">
        <f t="shared" si="77"/>
        <v>0</v>
      </c>
      <c r="Q70" s="675">
        <f t="shared" si="78"/>
        <v>0</v>
      </c>
      <c r="R70" s="675">
        <f t="shared" si="79"/>
        <v>0</v>
      </c>
      <c r="S70" s="675">
        <f t="shared" si="80"/>
        <v>0</v>
      </c>
      <c r="T70" s="675">
        <f t="shared" si="81"/>
        <v>0</v>
      </c>
      <c r="U70" s="675">
        <f t="shared" si="82"/>
        <v>0</v>
      </c>
      <c r="V70" s="675">
        <f t="shared" si="83"/>
        <v>0</v>
      </c>
      <c r="W70" s="675">
        <f t="shared" si="84"/>
        <v>0</v>
      </c>
      <c r="X70" s="675">
        <f t="shared" si="85"/>
        <v>0</v>
      </c>
      <c r="Y70" s="675">
        <f t="shared" si="86"/>
        <v>0</v>
      </c>
      <c r="Z70" s="675">
        <f t="shared" si="87"/>
        <v>0</v>
      </c>
      <c r="AA70" s="675">
        <f t="shared" si="88"/>
        <v>0</v>
      </c>
      <c r="AB70" s="675">
        <f t="shared" si="89"/>
        <v>0</v>
      </c>
      <c r="AC70" s="675">
        <f t="shared" si="90"/>
        <v>0</v>
      </c>
      <c r="AD70" s="675">
        <f t="shared" si="91"/>
        <v>0</v>
      </c>
      <c r="AE70" s="675">
        <f t="shared" si="92"/>
        <v>0</v>
      </c>
      <c r="AF70" s="675">
        <f t="shared" si="93"/>
        <v>0</v>
      </c>
      <c r="AG70" s="675">
        <f t="shared" si="94"/>
        <v>0</v>
      </c>
      <c r="AH70" s="675">
        <f t="shared" si="95"/>
        <v>0.10618058314737766</v>
      </c>
      <c r="AI70" s="1">
        <f>AVERAGE(AE70:AH70)</f>
        <v>2.6545145786844415E-2</v>
      </c>
    </row>
    <row r="71" spans="2:36">
      <c r="B71" s="6" t="s">
        <v>1474</v>
      </c>
      <c r="C71" s="675">
        <f t="shared" si="64"/>
        <v>0</v>
      </c>
      <c r="D71" s="675">
        <f t="shared" si="65"/>
        <v>0</v>
      </c>
      <c r="E71" s="675">
        <f t="shared" si="66"/>
        <v>0</v>
      </c>
      <c r="F71" s="675">
        <f t="shared" si="67"/>
        <v>0</v>
      </c>
      <c r="G71" s="675">
        <f t="shared" si="68"/>
        <v>0</v>
      </c>
      <c r="H71" s="675">
        <f t="shared" si="69"/>
        <v>0</v>
      </c>
      <c r="I71" s="675">
        <f t="shared" si="70"/>
        <v>0</v>
      </c>
      <c r="J71" s="675">
        <f t="shared" si="71"/>
        <v>0</v>
      </c>
      <c r="K71" s="675">
        <f t="shared" si="72"/>
        <v>0</v>
      </c>
      <c r="L71" s="675">
        <f t="shared" si="73"/>
        <v>0</v>
      </c>
      <c r="M71" s="675">
        <f t="shared" si="74"/>
        <v>0</v>
      </c>
      <c r="N71" s="675">
        <f t="shared" si="75"/>
        <v>0</v>
      </c>
      <c r="O71" s="675">
        <f t="shared" si="76"/>
        <v>0</v>
      </c>
      <c r="P71" s="675">
        <f t="shared" si="77"/>
        <v>0</v>
      </c>
      <c r="Q71" s="675">
        <f t="shared" si="78"/>
        <v>0</v>
      </c>
      <c r="R71" s="675">
        <f t="shared" si="79"/>
        <v>0</v>
      </c>
      <c r="S71" s="675">
        <f t="shared" si="80"/>
        <v>0</v>
      </c>
      <c r="T71" s="675">
        <f t="shared" si="81"/>
        <v>0</v>
      </c>
      <c r="U71" s="675">
        <f t="shared" si="82"/>
        <v>0</v>
      </c>
      <c r="V71" s="675">
        <f t="shared" si="83"/>
        <v>0</v>
      </c>
      <c r="W71" s="675">
        <f t="shared" si="84"/>
        <v>0</v>
      </c>
      <c r="X71" s="675">
        <f t="shared" si="85"/>
        <v>0</v>
      </c>
      <c r="Y71" s="675">
        <f t="shared" si="86"/>
        <v>0</v>
      </c>
      <c r="Z71" s="675">
        <f t="shared" si="87"/>
        <v>0</v>
      </c>
      <c r="AA71" s="675">
        <f t="shared" si="88"/>
        <v>0</v>
      </c>
      <c r="AB71" s="675">
        <f t="shared" si="89"/>
        <v>0</v>
      </c>
      <c r="AC71" s="675">
        <f t="shared" si="90"/>
        <v>0</v>
      </c>
      <c r="AD71" s="675">
        <f t="shared" si="91"/>
        <v>0</v>
      </c>
      <c r="AE71" s="675">
        <f t="shared" si="92"/>
        <v>0</v>
      </c>
      <c r="AF71" s="675">
        <f t="shared" si="93"/>
        <v>0</v>
      </c>
      <c r="AG71" s="675">
        <f t="shared" si="94"/>
        <v>2.3807305639138576E-3</v>
      </c>
      <c r="AH71" s="675">
        <f t="shared" si="95"/>
        <v>-8.8986417964292741E-2</v>
      </c>
      <c r="AI71" s="1">
        <f>AVERAGE(AE71:AH71)</f>
        <v>-2.1651421850094721E-2</v>
      </c>
    </row>
    <row r="72" spans="2:36">
      <c r="B72" s="6" t="s">
        <v>1476</v>
      </c>
      <c r="C72" s="675">
        <f t="shared" si="64"/>
        <v>0</v>
      </c>
      <c r="D72" s="675">
        <f t="shared" si="65"/>
        <v>0</v>
      </c>
      <c r="E72" s="675">
        <f t="shared" si="66"/>
        <v>0</v>
      </c>
      <c r="F72" s="675">
        <f t="shared" si="67"/>
        <v>0</v>
      </c>
      <c r="G72" s="675">
        <f t="shared" si="68"/>
        <v>0</v>
      </c>
      <c r="H72" s="675">
        <f t="shared" si="69"/>
        <v>0</v>
      </c>
      <c r="I72" s="675">
        <f t="shared" si="70"/>
        <v>0</v>
      </c>
      <c r="J72" s="675">
        <f t="shared" si="71"/>
        <v>0</v>
      </c>
      <c r="K72" s="675">
        <f t="shared" si="72"/>
        <v>0</v>
      </c>
      <c r="L72" s="675">
        <f t="shared" si="73"/>
        <v>0</v>
      </c>
      <c r="M72" s="675">
        <f t="shared" si="74"/>
        <v>0</v>
      </c>
      <c r="N72" s="675">
        <f t="shared" si="75"/>
        <v>0</v>
      </c>
      <c r="O72" s="675">
        <f t="shared" si="76"/>
        <v>0</v>
      </c>
      <c r="P72" s="675">
        <f t="shared" si="77"/>
        <v>0</v>
      </c>
      <c r="Q72" s="675">
        <f t="shared" si="78"/>
        <v>0</v>
      </c>
      <c r="R72" s="675">
        <f t="shared" si="79"/>
        <v>0</v>
      </c>
      <c r="S72" s="675">
        <f t="shared" si="80"/>
        <v>0</v>
      </c>
      <c r="T72" s="675">
        <f t="shared" si="81"/>
        <v>0</v>
      </c>
      <c r="U72" s="675">
        <f t="shared" si="82"/>
        <v>0</v>
      </c>
      <c r="V72" s="675">
        <f t="shared" si="83"/>
        <v>0</v>
      </c>
      <c r="W72" s="675">
        <f t="shared" si="84"/>
        <v>0</v>
      </c>
      <c r="X72" s="675">
        <f t="shared" si="85"/>
        <v>0</v>
      </c>
      <c r="Y72" s="675">
        <f t="shared" si="86"/>
        <v>0</v>
      </c>
      <c r="Z72" s="675">
        <f t="shared" si="87"/>
        <v>0</v>
      </c>
      <c r="AA72" s="675">
        <f t="shared" si="88"/>
        <v>0</v>
      </c>
      <c r="AB72" s="675">
        <f t="shared" si="89"/>
        <v>0</v>
      </c>
      <c r="AC72" s="675">
        <f t="shared" si="90"/>
        <v>0</v>
      </c>
      <c r="AD72" s="675">
        <f t="shared" si="91"/>
        <v>0</v>
      </c>
      <c r="AE72" s="675">
        <f t="shared" si="92"/>
        <v>0</v>
      </c>
      <c r="AF72" s="675">
        <f t="shared" si="93"/>
        <v>0</v>
      </c>
      <c r="AG72" s="675">
        <f t="shared" si="94"/>
        <v>0</v>
      </c>
      <c r="AH72" s="675">
        <f t="shared" si="95"/>
        <v>0</v>
      </c>
    </row>
    <row r="73" spans="2:36">
      <c r="B73" s="5" t="s">
        <v>1440</v>
      </c>
      <c r="C73" s="703">
        <f t="shared" si="64"/>
        <v>18.719427362993429</v>
      </c>
      <c r="D73" s="703">
        <f t="shared" si="65"/>
        <v>23.267347063078205</v>
      </c>
      <c r="E73" s="703">
        <f t="shared" si="66"/>
        <v>15.299005164584514</v>
      </c>
      <c r="F73" s="703">
        <f t="shared" si="67"/>
        <v>18.022392751860025</v>
      </c>
      <c r="G73" s="703">
        <f t="shared" si="68"/>
        <v>9.1667090999790162</v>
      </c>
      <c r="H73" s="703">
        <f t="shared" si="69"/>
        <v>12.267521447440913</v>
      </c>
      <c r="I73" s="703">
        <f t="shared" si="70"/>
        <v>-3.7031004150881017</v>
      </c>
      <c r="J73" s="703">
        <f t="shared" si="71"/>
        <v>-3.5467493991218362</v>
      </c>
      <c r="K73" s="703">
        <f t="shared" si="72"/>
        <v>13.286612335098198</v>
      </c>
      <c r="L73" s="703">
        <f t="shared" si="73"/>
        <v>8.9349524456824838</v>
      </c>
      <c r="M73" s="703">
        <f t="shared" si="74"/>
        <v>18.037235486092868</v>
      </c>
      <c r="N73" s="703">
        <f t="shared" si="75"/>
        <v>-3.45200395790107</v>
      </c>
      <c r="O73" s="703">
        <f t="shared" si="76"/>
        <v>2.316247211470909</v>
      </c>
      <c r="P73" s="703">
        <f t="shared" si="77"/>
        <v>-3.8897556348319995</v>
      </c>
      <c r="Q73" s="703">
        <f t="shared" si="78"/>
        <v>-2.1912759618899145</v>
      </c>
      <c r="R73" s="703">
        <f t="shared" si="79"/>
        <v>-7.7449168789312353</v>
      </c>
      <c r="S73" s="703">
        <f t="shared" si="80"/>
        <v>-12.476850039919555</v>
      </c>
      <c r="T73" s="703">
        <f t="shared" si="81"/>
        <v>-14.299396193863231</v>
      </c>
      <c r="U73" s="703">
        <f t="shared" si="82"/>
        <v>-4.063174163358326</v>
      </c>
      <c r="V73" s="703">
        <f t="shared" si="83"/>
        <v>-0.27038837114378111</v>
      </c>
      <c r="W73" s="703">
        <f t="shared" si="84"/>
        <v>-8.3019464687795335</v>
      </c>
      <c r="X73" s="703">
        <f t="shared" si="85"/>
        <v>-5.2879877175314505</v>
      </c>
      <c r="Y73" s="703">
        <f t="shared" si="86"/>
        <v>-6.6262085939565623</v>
      </c>
      <c r="Z73" s="703">
        <f t="shared" si="87"/>
        <v>-3.7915635844428834</v>
      </c>
      <c r="AA73" s="703">
        <f t="shared" si="88"/>
        <v>3.819181956371267</v>
      </c>
      <c r="AB73" s="703">
        <f t="shared" si="89"/>
        <v>-2.960294259677994</v>
      </c>
      <c r="AC73" s="703">
        <f t="shared" si="90"/>
        <v>-2.6025135573540865</v>
      </c>
      <c r="AD73" s="703">
        <f t="shared" si="91"/>
        <v>-9.0209001469970644</v>
      </c>
      <c r="AE73" s="703">
        <f t="shared" si="92"/>
        <v>-6.9036952620740522</v>
      </c>
      <c r="AF73" s="703">
        <f t="shared" si="93"/>
        <v>-14.967207140240134</v>
      </c>
      <c r="AG73" s="703">
        <f t="shared" si="94"/>
        <v>-18.927638283742681</v>
      </c>
      <c r="AH73" s="703">
        <f t="shared" si="95"/>
        <v>2.3670699336084908</v>
      </c>
    </row>
    <row r="74" spans="2:36">
      <c r="B74" s="6" t="s">
        <v>1434</v>
      </c>
      <c r="C74" s="704">
        <f t="shared" si="64"/>
        <v>-6.054406995303907E-6</v>
      </c>
      <c r="D74" s="704">
        <f t="shared" si="65"/>
        <v>2.520323545240899E-5</v>
      </c>
      <c r="E74" s="704">
        <f t="shared" si="66"/>
        <v>-1.4815161236469976E-5</v>
      </c>
      <c r="F74" s="704">
        <f t="shared" si="67"/>
        <v>3.8083721705106655E-6</v>
      </c>
      <c r="G74" s="704">
        <f t="shared" si="68"/>
        <v>-1.7632417225854624E-5</v>
      </c>
      <c r="H74" s="704">
        <f t="shared" si="69"/>
        <v>5.4549016681448848E-7</v>
      </c>
      <c r="I74" s="704">
        <f t="shared" si="70"/>
        <v>7.1655524891411915E-7</v>
      </c>
      <c r="J74" s="704">
        <f t="shared" si="71"/>
        <v>-1.8303642136174858E-5</v>
      </c>
      <c r="K74" s="704">
        <f t="shared" si="72"/>
        <v>-5.3410890643590392E-6</v>
      </c>
      <c r="L74" s="704">
        <f t="shared" si="73"/>
        <v>1.7358095831809806E-5</v>
      </c>
      <c r="M74" s="704">
        <f t="shared" si="74"/>
        <v>1.8622669273327119E-6</v>
      </c>
      <c r="N74" s="704">
        <f t="shared" si="75"/>
        <v>-3.2707849952075208E-2</v>
      </c>
      <c r="O74" s="704">
        <f t="shared" si="76"/>
        <v>-5.3406763990849981E-2</v>
      </c>
      <c r="P74" s="704">
        <f t="shared" si="77"/>
        <v>-4.6169939035493712E-2</v>
      </c>
      <c r="Q74" s="704">
        <f t="shared" si="78"/>
        <v>-9.0664812841595221E-2</v>
      </c>
      <c r="R74" s="704">
        <f t="shared" si="79"/>
        <v>-0.2882142996464836</v>
      </c>
      <c r="S74" s="704">
        <f t="shared" si="80"/>
        <v>-0.74370905398487253</v>
      </c>
      <c r="T74" s="704">
        <f t="shared" si="81"/>
        <v>-1.0244938295417825</v>
      </c>
      <c r="U74" s="704">
        <f t="shared" si="82"/>
        <v>-0.86884880408162246</v>
      </c>
      <c r="V74" s="704">
        <f t="shared" si="83"/>
        <v>-0.49614012315987566</v>
      </c>
      <c r="W74" s="704">
        <f t="shared" si="84"/>
        <v>-0.2554296574376167</v>
      </c>
      <c r="X74" s="704">
        <f t="shared" si="85"/>
        <v>0.18042478892316183</v>
      </c>
      <c r="Y74" s="704">
        <f t="shared" si="86"/>
        <v>0.16335839157030563</v>
      </c>
      <c r="Z74" s="704">
        <f t="shared" si="87"/>
        <v>0.15285900720069634</v>
      </c>
      <c r="AA74" s="704">
        <f t="shared" si="88"/>
        <v>0.19266855644282543</v>
      </c>
      <c r="AB74" s="704">
        <f t="shared" si="89"/>
        <v>0.30748446223056192</v>
      </c>
      <c r="AC74" s="704">
        <f t="shared" si="90"/>
        <v>0.41779058570655536</v>
      </c>
      <c r="AD74" s="704">
        <f t="shared" si="91"/>
        <v>0.55535626538198812</v>
      </c>
      <c r="AE74" s="704">
        <f t="shared" si="92"/>
        <v>0.72159452709851735</v>
      </c>
      <c r="AF74" s="704">
        <f t="shared" si="93"/>
        <v>1.5045228421231513</v>
      </c>
      <c r="AG74" s="704">
        <f t="shared" si="94"/>
        <v>1.6189215042800598</v>
      </c>
      <c r="AH74" s="704">
        <f t="shared" si="95"/>
        <v>4.66835886518259</v>
      </c>
      <c r="AI74" s="1049">
        <f>AVERAGE(C74:AH74)</f>
        <v>0.20573568780522766</v>
      </c>
    </row>
    <row r="75" spans="2:36">
      <c r="B75" s="6" t="s">
        <v>1441</v>
      </c>
      <c r="C75" s="704">
        <f t="shared" si="64"/>
        <v>-3.3166752473334782E-6</v>
      </c>
      <c r="D75" s="704">
        <f t="shared" si="65"/>
        <v>1.4015245966447765E-5</v>
      </c>
      <c r="E75" s="704">
        <f t="shared" si="66"/>
        <v>-7.6621717113312116E-6</v>
      </c>
      <c r="F75" s="704">
        <f t="shared" si="67"/>
        <v>1.9281809429116947E-6</v>
      </c>
      <c r="G75" s="704">
        <f t="shared" si="68"/>
        <v>-9.2027700659969014E-6</v>
      </c>
      <c r="H75" s="704">
        <f t="shared" si="69"/>
        <v>2.8872548085701055E-7</v>
      </c>
      <c r="I75" s="704">
        <f t="shared" si="70"/>
        <v>3.7368852190411417E-7</v>
      </c>
      <c r="J75" s="704">
        <f t="shared" si="71"/>
        <v>-9.2898274886010768E-6</v>
      </c>
      <c r="K75" s="704">
        <f t="shared" si="72"/>
        <v>-2.9673094203985784E-6</v>
      </c>
      <c r="L75" s="704">
        <f t="shared" si="73"/>
        <v>9.1941106532544836E-6</v>
      </c>
      <c r="M75" s="704">
        <f t="shared" si="74"/>
        <v>1.0105047039132842E-6</v>
      </c>
      <c r="N75" s="704">
        <f t="shared" si="75"/>
        <v>-1.8305623951597738E-2</v>
      </c>
      <c r="O75" s="704">
        <f t="shared" si="76"/>
        <v>-2.7583340208742868E-2</v>
      </c>
      <c r="P75" s="704">
        <f t="shared" si="77"/>
        <v>-2.4571308742430631E-2</v>
      </c>
      <c r="Q75" s="704">
        <f t="shared" si="78"/>
        <v>-4.6159188608342561E-2</v>
      </c>
      <c r="R75" s="704">
        <f t="shared" si="79"/>
        <v>-0.15099058122702758</v>
      </c>
      <c r="S75" s="704">
        <f t="shared" si="80"/>
        <v>-0.4190557198253515</v>
      </c>
      <c r="T75" s="704">
        <f t="shared" si="81"/>
        <v>-0.54170620484931931</v>
      </c>
      <c r="U75" s="704">
        <f t="shared" si="82"/>
        <v>-0.44485794818347557</v>
      </c>
      <c r="V75" s="704">
        <f t="shared" si="83"/>
        <v>-0.33672354920421554</v>
      </c>
      <c r="W75" s="704">
        <f t="shared" si="84"/>
        <v>-0.17795218178100214</v>
      </c>
      <c r="X75" s="704">
        <f t="shared" si="85"/>
        <v>0.13512054289002151</v>
      </c>
      <c r="Y75" s="704">
        <f t="shared" si="86"/>
        <v>0.12028745063059887</v>
      </c>
      <c r="Z75" s="704">
        <f t="shared" si="87"/>
        <v>0.10685527180404364</v>
      </c>
      <c r="AA75" s="704">
        <f t="shared" si="88"/>
        <v>0.12887864351516498</v>
      </c>
      <c r="AB75" s="704">
        <f t="shared" si="89"/>
        <v>0.2007913259045182</v>
      </c>
      <c r="AC75" s="704">
        <f t="shared" si="90"/>
        <v>0.31344480567046418</v>
      </c>
      <c r="AD75" s="704">
        <f t="shared" si="91"/>
        <v>0.41448620980104067</v>
      </c>
      <c r="AE75" s="704">
        <f t="shared" si="92"/>
        <v>0.45928569546971687</v>
      </c>
      <c r="AF75" s="704">
        <f t="shared" si="93"/>
        <v>1.0462054816064423</v>
      </c>
      <c r="AG75" s="704">
        <f t="shared" si="94"/>
        <v>1.2001163189265682</v>
      </c>
      <c r="AH75" s="704">
        <f t="shared" si="95"/>
        <v>4.9965864700669798</v>
      </c>
      <c r="AI75" s="1049">
        <f>AVERAGE(C75:AH75)</f>
        <v>0.21669209191894967</v>
      </c>
    </row>
    <row r="76" spans="2:36">
      <c r="B76" s="6" t="s">
        <v>1443</v>
      </c>
      <c r="C76" s="704">
        <f t="shared" si="64"/>
        <v>18.722370930436909</v>
      </c>
      <c r="D76" s="704">
        <f t="shared" si="65"/>
        <v>23.270141252844894</v>
      </c>
      <c r="E76" s="704">
        <f t="shared" si="66"/>
        <v>15.30145936644584</v>
      </c>
      <c r="F76" s="704">
        <f t="shared" si="67"/>
        <v>18.023825213819805</v>
      </c>
      <c r="G76" s="704">
        <f t="shared" si="68"/>
        <v>9.1682909715104302</v>
      </c>
      <c r="H76" s="704">
        <f t="shared" si="69"/>
        <v>12.2684951955614</v>
      </c>
      <c r="I76" s="704">
        <f t="shared" si="70"/>
        <v>-3.7017556238199631</v>
      </c>
      <c r="J76" s="704">
        <f t="shared" si="71"/>
        <v>-3.5458178402440126</v>
      </c>
      <c r="K76" s="704">
        <f t="shared" si="72"/>
        <v>13.287390010599836</v>
      </c>
      <c r="L76" s="704">
        <f t="shared" si="73"/>
        <v>8.9358704920714445</v>
      </c>
      <c r="M76" s="704">
        <f t="shared" si="74"/>
        <v>18.039877737092525</v>
      </c>
      <c r="N76" s="704">
        <f t="shared" si="75"/>
        <v>-3.3989981815009855</v>
      </c>
      <c r="O76" s="704">
        <f t="shared" si="76"/>
        <v>2.399755649901806</v>
      </c>
      <c r="P76" s="704">
        <f t="shared" si="77"/>
        <v>-3.8166663383657351</v>
      </c>
      <c r="Q76" s="704">
        <f t="shared" si="78"/>
        <v>-2.0518986665442753</v>
      </c>
      <c r="R76" s="704">
        <f t="shared" si="79"/>
        <v>-7.3035851006429766</v>
      </c>
      <c r="S76" s="704">
        <f t="shared" si="80"/>
        <v>-11.31222922914128</v>
      </c>
      <c r="T76" s="704">
        <f t="shared" si="81"/>
        <v>-12.731079485356133</v>
      </c>
      <c r="U76" s="704">
        <f t="shared" si="82"/>
        <v>-2.7466835253741806</v>
      </c>
      <c r="V76" s="704">
        <f t="shared" si="83"/>
        <v>0.56447332299381969</v>
      </c>
      <c r="W76" s="704">
        <f t="shared" si="84"/>
        <v>-7.8721850026918219</v>
      </c>
      <c r="X76" s="704">
        <f t="shared" si="85"/>
        <v>-5.6082128280050938</v>
      </c>
      <c r="Y76" s="704">
        <f t="shared" si="86"/>
        <v>-6.918670515643214</v>
      </c>
      <c r="Z76" s="704">
        <f t="shared" si="87"/>
        <v>-4.1070916436160587</v>
      </c>
      <c r="AA76" s="704">
        <f t="shared" si="88"/>
        <v>3.3953126087631063</v>
      </c>
      <c r="AB76" s="704">
        <f t="shared" si="89"/>
        <v>-3.613673327061008</v>
      </c>
      <c r="AC76" s="704">
        <f t="shared" si="90"/>
        <v>-3.5207379524449038</v>
      </c>
      <c r="AD76" s="704">
        <f t="shared" si="91"/>
        <v>-10.19402249397578</v>
      </c>
      <c r="AE76" s="704">
        <f t="shared" si="92"/>
        <v>-8.3148362448408193</v>
      </c>
      <c r="AF76" s="704">
        <f t="shared" si="93"/>
        <v>-17.75428549300085</v>
      </c>
      <c r="AG76" s="704">
        <f t="shared" si="94"/>
        <v>-22.039181035174835</v>
      </c>
      <c r="AH76" s="704">
        <f t="shared" si="95"/>
        <v>-8.3072777522465344</v>
      </c>
      <c r="AI76" s="1049">
        <f>AVERAGE(C76:AH76)</f>
        <v>-0.17130079773902018</v>
      </c>
    </row>
    <row r="77" spans="2:36">
      <c r="B77" s="6" t="s">
        <v>1445</v>
      </c>
      <c r="C77" s="704">
        <f t="shared" si="64"/>
        <v>0</v>
      </c>
      <c r="D77" s="704">
        <f t="shared" si="65"/>
        <v>0</v>
      </c>
      <c r="E77" s="704">
        <f t="shared" si="66"/>
        <v>0</v>
      </c>
      <c r="F77" s="704">
        <f t="shared" si="67"/>
        <v>0</v>
      </c>
      <c r="G77" s="704">
        <f t="shared" si="68"/>
        <v>0</v>
      </c>
      <c r="H77" s="704">
        <f t="shared" si="69"/>
        <v>0</v>
      </c>
      <c r="I77" s="704">
        <f t="shared" si="70"/>
        <v>0</v>
      </c>
      <c r="J77" s="704">
        <f t="shared" si="71"/>
        <v>0</v>
      </c>
      <c r="K77" s="704">
        <f t="shared" si="72"/>
        <v>0</v>
      </c>
      <c r="L77" s="704">
        <f t="shared" si="73"/>
        <v>0</v>
      </c>
      <c r="M77" s="704">
        <f t="shared" si="74"/>
        <v>0</v>
      </c>
      <c r="N77" s="704">
        <f t="shared" si="75"/>
        <v>0</v>
      </c>
      <c r="O77" s="704">
        <f t="shared" si="76"/>
        <v>0</v>
      </c>
      <c r="P77" s="704">
        <f t="shared" si="77"/>
        <v>0</v>
      </c>
      <c r="Q77" s="704">
        <f t="shared" si="78"/>
        <v>0</v>
      </c>
      <c r="R77" s="704">
        <f t="shared" si="79"/>
        <v>0</v>
      </c>
      <c r="S77" s="704">
        <f t="shared" si="80"/>
        <v>0</v>
      </c>
      <c r="T77" s="704">
        <f t="shared" si="81"/>
        <v>0</v>
      </c>
      <c r="U77" s="704">
        <f t="shared" si="82"/>
        <v>0</v>
      </c>
      <c r="V77" s="704">
        <f t="shared" si="83"/>
        <v>0</v>
      </c>
      <c r="W77" s="704">
        <f t="shared" si="84"/>
        <v>5.6583000000500761E-3</v>
      </c>
      <c r="X77" s="704">
        <f t="shared" si="85"/>
        <v>5.5954300000848889E-3</v>
      </c>
      <c r="Y77" s="704">
        <f t="shared" si="86"/>
        <v>9.4933700002002297E-3</v>
      </c>
      <c r="Z77" s="704">
        <f t="shared" si="87"/>
        <v>5.6394389999695704E-2</v>
      </c>
      <c r="AA77" s="704">
        <f t="shared" si="88"/>
        <v>0.10304393000001255</v>
      </c>
      <c r="AB77" s="704">
        <f t="shared" si="89"/>
        <v>0.14617275000000518</v>
      </c>
      <c r="AC77" s="704">
        <f t="shared" si="90"/>
        <v>0.18772981999973126</v>
      </c>
      <c r="AD77" s="704">
        <f t="shared" si="91"/>
        <v>0.20445324000002074</v>
      </c>
      <c r="AE77" s="704">
        <f t="shared" si="92"/>
        <v>0.23173882000014601</v>
      </c>
      <c r="AF77" s="704">
        <f t="shared" si="93"/>
        <v>0.23882583355157294</v>
      </c>
      <c r="AG77" s="704">
        <f t="shared" si="94"/>
        <v>0.29516927516419855</v>
      </c>
      <c r="AH77" s="704">
        <f t="shared" si="95"/>
        <v>1.0123550267171595</v>
      </c>
      <c r="AI77" s="1049">
        <f>AVERAGE(C77:AH77)</f>
        <v>7.8019693294777426E-2</v>
      </c>
    </row>
    <row r="78" spans="2:36">
      <c r="B78" s="6" t="s">
        <v>1474</v>
      </c>
      <c r="C78" s="704">
        <f t="shared" si="64"/>
        <v>0</v>
      </c>
      <c r="D78" s="704">
        <f t="shared" si="65"/>
        <v>0</v>
      </c>
      <c r="E78" s="704">
        <f t="shared" si="66"/>
        <v>0</v>
      </c>
      <c r="F78" s="704">
        <f t="shared" si="67"/>
        <v>0</v>
      </c>
      <c r="G78" s="704">
        <f t="shared" si="68"/>
        <v>0</v>
      </c>
      <c r="H78" s="704">
        <f t="shared" si="69"/>
        <v>0</v>
      </c>
      <c r="I78" s="704">
        <f t="shared" si="70"/>
        <v>0</v>
      </c>
      <c r="J78" s="704">
        <f t="shared" si="71"/>
        <v>0</v>
      </c>
      <c r="K78" s="704">
        <f t="shared" si="72"/>
        <v>0</v>
      </c>
      <c r="L78" s="704">
        <f t="shared" si="73"/>
        <v>0</v>
      </c>
      <c r="M78" s="704">
        <f t="shared" si="74"/>
        <v>0</v>
      </c>
      <c r="N78" s="704">
        <f t="shared" si="75"/>
        <v>0</v>
      </c>
      <c r="O78" s="704">
        <f t="shared" si="76"/>
        <v>0</v>
      </c>
      <c r="P78" s="704">
        <f t="shared" si="77"/>
        <v>0</v>
      </c>
      <c r="Q78" s="704">
        <f t="shared" si="78"/>
        <v>0</v>
      </c>
      <c r="R78" s="704">
        <f t="shared" si="79"/>
        <v>0</v>
      </c>
      <c r="S78" s="704">
        <f t="shared" si="80"/>
        <v>0</v>
      </c>
      <c r="T78" s="704">
        <f t="shared" si="81"/>
        <v>0</v>
      </c>
      <c r="U78" s="704">
        <f t="shared" si="82"/>
        <v>0</v>
      </c>
      <c r="V78" s="704">
        <f t="shared" si="83"/>
        <v>0</v>
      </c>
      <c r="W78" s="704">
        <f t="shared" si="84"/>
        <v>0</v>
      </c>
      <c r="X78" s="704">
        <f t="shared" si="85"/>
        <v>0</v>
      </c>
      <c r="Y78" s="704">
        <f t="shared" si="86"/>
        <v>0</v>
      </c>
      <c r="Z78" s="704">
        <f t="shared" si="87"/>
        <v>0</v>
      </c>
      <c r="AA78" s="704">
        <f t="shared" si="88"/>
        <v>0</v>
      </c>
      <c r="AB78" s="704">
        <f t="shared" si="89"/>
        <v>0</v>
      </c>
      <c r="AC78" s="704">
        <f t="shared" si="90"/>
        <v>0</v>
      </c>
      <c r="AD78" s="704">
        <f t="shared" si="91"/>
        <v>0</v>
      </c>
      <c r="AE78" s="704">
        <f t="shared" si="92"/>
        <v>0</v>
      </c>
      <c r="AF78" s="704">
        <f t="shared" si="93"/>
        <v>0</v>
      </c>
      <c r="AG78" s="704">
        <f t="shared" si="94"/>
        <v>0</v>
      </c>
      <c r="AH78" s="704">
        <f t="shared" si="95"/>
        <v>-2.9747915077749099E-4</v>
      </c>
      <c r="AI78" s="1049"/>
    </row>
    <row r="79" spans="2:36">
      <c r="B79" s="6" t="s">
        <v>1476</v>
      </c>
      <c r="C79" s="704">
        <f t="shared" si="64"/>
        <v>-2.9341963612736777E-3</v>
      </c>
      <c r="D79" s="704">
        <f t="shared" si="65"/>
        <v>-2.8334082479197775E-3</v>
      </c>
      <c r="E79" s="704">
        <f t="shared" si="66"/>
        <v>-2.4317245279767974E-3</v>
      </c>
      <c r="F79" s="704">
        <f t="shared" si="67"/>
        <v>-1.4381985130498265E-3</v>
      </c>
      <c r="G79" s="704">
        <f t="shared" si="68"/>
        <v>-1.5550363440794968E-3</v>
      </c>
      <c r="H79" s="704">
        <f t="shared" si="69"/>
        <v>-9.7458233602765176E-4</v>
      </c>
      <c r="I79" s="704">
        <f t="shared" si="70"/>
        <v>-1.3458815119378187E-3</v>
      </c>
      <c r="J79" s="704">
        <f t="shared" si="71"/>
        <v>-9.0396540762327504E-4</v>
      </c>
      <c r="K79" s="704">
        <f t="shared" si="72"/>
        <v>-7.6936710319230883E-4</v>
      </c>
      <c r="L79" s="704">
        <f t="shared" si="73"/>
        <v>-9.4459859518991607E-4</v>
      </c>
      <c r="M79" s="704">
        <f t="shared" si="74"/>
        <v>-2.6451237713089881E-3</v>
      </c>
      <c r="N79" s="704">
        <f t="shared" si="75"/>
        <v>-1.9923024967525294E-3</v>
      </c>
      <c r="O79" s="704">
        <f t="shared" si="76"/>
        <v>-2.518334231687902E-3</v>
      </c>
      <c r="P79" s="704">
        <f t="shared" si="77"/>
        <v>-2.3480486883400431E-3</v>
      </c>
      <c r="Q79" s="704">
        <f t="shared" si="78"/>
        <v>-2.553293895843467E-3</v>
      </c>
      <c r="R79" s="704">
        <f t="shared" si="79"/>
        <v>-2.1268974146551045E-3</v>
      </c>
      <c r="S79" s="704">
        <f t="shared" si="80"/>
        <v>-1.8560369681921429E-3</v>
      </c>
      <c r="T79" s="704">
        <f t="shared" si="81"/>
        <v>-2.1166741156832813E-3</v>
      </c>
      <c r="U79" s="704">
        <f t="shared" si="82"/>
        <v>-2.7838857186566202E-3</v>
      </c>
      <c r="V79" s="704">
        <f t="shared" si="83"/>
        <v>-1.9980217739075101E-3</v>
      </c>
      <c r="W79" s="704">
        <f t="shared" si="84"/>
        <v>-2.0379268690611241E-3</v>
      </c>
      <c r="X79" s="704">
        <f t="shared" si="85"/>
        <v>-9.1565133979898405E-4</v>
      </c>
      <c r="Y79" s="704">
        <f t="shared" si="86"/>
        <v>-6.7729051488285563E-4</v>
      </c>
      <c r="Z79" s="704">
        <f t="shared" si="87"/>
        <v>-5.8060983151619894E-4</v>
      </c>
      <c r="AA79" s="704">
        <f t="shared" si="88"/>
        <v>-7.2178234983866218E-4</v>
      </c>
      <c r="AB79" s="704">
        <f t="shared" si="89"/>
        <v>-1.0694707520180202E-3</v>
      </c>
      <c r="AC79" s="704">
        <f t="shared" si="90"/>
        <v>-7.408162859618983E-4</v>
      </c>
      <c r="AD79" s="704">
        <f t="shared" si="91"/>
        <v>-1.1733682045793614E-3</v>
      </c>
      <c r="AE79" s="704">
        <f t="shared" si="92"/>
        <v>-1.4780598016059798E-3</v>
      </c>
      <c r="AF79" s="704">
        <f t="shared" si="93"/>
        <v>-2.4758045199178014E-3</v>
      </c>
      <c r="AG79" s="704">
        <f t="shared" si="94"/>
        <v>-2.6643469387863661E-3</v>
      </c>
      <c r="AH79" s="704">
        <f t="shared" si="95"/>
        <v>-2.6551969607027104E-3</v>
      </c>
      <c r="AI79" s="1049">
        <f>AVERAGE(C79:AH79)</f>
        <v>-1.758121949749003E-3</v>
      </c>
    </row>
    <row r="80" spans="2:36">
      <c r="B80" s="5" t="s">
        <v>82</v>
      </c>
      <c r="C80" s="704">
        <f t="shared" si="64"/>
        <v>0</v>
      </c>
      <c r="D80" s="704">
        <f t="shared" si="65"/>
        <v>0</v>
      </c>
      <c r="E80" s="704">
        <f t="shared" si="66"/>
        <v>0</v>
      </c>
      <c r="F80" s="704">
        <f t="shared" si="67"/>
        <v>0</v>
      </c>
      <c r="G80" s="704">
        <f t="shared" si="68"/>
        <v>0</v>
      </c>
      <c r="H80" s="704">
        <f t="shared" si="69"/>
        <v>0</v>
      </c>
      <c r="I80" s="704">
        <f t="shared" si="70"/>
        <v>0</v>
      </c>
      <c r="J80" s="704">
        <f t="shared" si="71"/>
        <v>0</v>
      </c>
      <c r="K80" s="704">
        <f t="shared" si="72"/>
        <v>0</v>
      </c>
      <c r="L80" s="704">
        <f t="shared" si="73"/>
        <v>0</v>
      </c>
      <c r="M80" s="704">
        <f t="shared" si="74"/>
        <v>0</v>
      </c>
      <c r="N80" s="704">
        <f t="shared" si="75"/>
        <v>0</v>
      </c>
      <c r="O80" s="704">
        <f t="shared" si="76"/>
        <v>0</v>
      </c>
      <c r="P80" s="704">
        <f t="shared" si="77"/>
        <v>0</v>
      </c>
      <c r="Q80" s="704">
        <f t="shared" si="78"/>
        <v>0</v>
      </c>
      <c r="R80" s="704">
        <f t="shared" si="79"/>
        <v>0</v>
      </c>
      <c r="S80" s="704">
        <f t="shared" si="80"/>
        <v>0</v>
      </c>
      <c r="T80" s="704">
        <f t="shared" si="81"/>
        <v>0</v>
      </c>
      <c r="U80" s="704">
        <f t="shared" si="82"/>
        <v>0</v>
      </c>
      <c r="V80" s="704">
        <f t="shared" si="83"/>
        <v>0</v>
      </c>
      <c r="W80" s="704">
        <f t="shared" si="84"/>
        <v>0</v>
      </c>
      <c r="X80" s="704">
        <f t="shared" si="85"/>
        <v>0</v>
      </c>
      <c r="Y80" s="704">
        <f t="shared" si="86"/>
        <v>0</v>
      </c>
      <c r="Z80" s="704">
        <f t="shared" si="87"/>
        <v>0</v>
      </c>
      <c r="AA80" s="704">
        <f t="shared" si="88"/>
        <v>0</v>
      </c>
      <c r="AB80" s="704">
        <f t="shared" si="89"/>
        <v>0</v>
      </c>
      <c r="AC80" s="704">
        <f t="shared" si="90"/>
        <v>0</v>
      </c>
      <c r="AD80" s="704">
        <f t="shared" si="91"/>
        <v>0</v>
      </c>
      <c r="AE80" s="704">
        <f t="shared" si="92"/>
        <v>0</v>
      </c>
      <c r="AF80" s="704">
        <f t="shared" si="93"/>
        <v>0</v>
      </c>
      <c r="AG80" s="704">
        <f t="shared" si="94"/>
        <v>0</v>
      </c>
      <c r="AH80" s="704">
        <f t="shared" si="95"/>
        <v>0</v>
      </c>
      <c r="AI80" s="1049"/>
    </row>
    <row r="81" spans="2:35">
      <c r="B81" s="6" t="s">
        <v>1474</v>
      </c>
      <c r="C81" s="704">
        <f t="shared" si="64"/>
        <v>0</v>
      </c>
      <c r="D81" s="704">
        <f t="shared" si="65"/>
        <v>0</v>
      </c>
      <c r="E81" s="704">
        <f t="shared" si="66"/>
        <v>0</v>
      </c>
      <c r="F81" s="704">
        <f t="shared" si="67"/>
        <v>0</v>
      </c>
      <c r="G81" s="704">
        <f t="shared" si="68"/>
        <v>0</v>
      </c>
      <c r="H81" s="704">
        <f t="shared" si="69"/>
        <v>0</v>
      </c>
      <c r="I81" s="704">
        <f t="shared" si="70"/>
        <v>0</v>
      </c>
      <c r="J81" s="704">
        <f t="shared" si="71"/>
        <v>0</v>
      </c>
      <c r="K81" s="704">
        <f t="shared" si="72"/>
        <v>0</v>
      </c>
      <c r="L81" s="704">
        <f t="shared" si="73"/>
        <v>0</v>
      </c>
      <c r="M81" s="704">
        <f t="shared" si="74"/>
        <v>0</v>
      </c>
      <c r="N81" s="704">
        <f t="shared" si="75"/>
        <v>0</v>
      </c>
      <c r="O81" s="704">
        <f t="shared" si="76"/>
        <v>0</v>
      </c>
      <c r="P81" s="704">
        <f t="shared" si="77"/>
        <v>0</v>
      </c>
      <c r="Q81" s="704">
        <f t="shared" si="78"/>
        <v>0</v>
      </c>
      <c r="R81" s="704">
        <f t="shared" si="79"/>
        <v>0</v>
      </c>
      <c r="S81" s="704">
        <f t="shared" si="80"/>
        <v>0</v>
      </c>
      <c r="T81" s="704">
        <f t="shared" si="81"/>
        <v>0</v>
      </c>
      <c r="U81" s="704">
        <f t="shared" si="82"/>
        <v>0</v>
      </c>
      <c r="V81" s="704">
        <f t="shared" si="83"/>
        <v>0</v>
      </c>
      <c r="W81" s="704">
        <f t="shared" si="84"/>
        <v>0</v>
      </c>
      <c r="X81" s="704">
        <f t="shared" si="85"/>
        <v>0</v>
      </c>
      <c r="Y81" s="704">
        <f t="shared" si="86"/>
        <v>0</v>
      </c>
      <c r="Z81" s="704">
        <f t="shared" si="87"/>
        <v>0</v>
      </c>
      <c r="AA81" s="704">
        <f t="shared" si="88"/>
        <v>0</v>
      </c>
      <c r="AB81" s="704">
        <f t="shared" si="89"/>
        <v>0</v>
      </c>
      <c r="AC81" s="704">
        <f t="shared" si="90"/>
        <v>0</v>
      </c>
      <c r="AD81" s="704">
        <f t="shared" si="91"/>
        <v>0</v>
      </c>
      <c r="AE81" s="704">
        <f t="shared" si="92"/>
        <v>0</v>
      </c>
      <c r="AF81" s="704">
        <f t="shared" si="93"/>
        <v>0</v>
      </c>
      <c r="AG81" s="704">
        <f t="shared" si="94"/>
        <v>0</v>
      </c>
      <c r="AH81" s="704">
        <f t="shared" si="95"/>
        <v>0</v>
      </c>
      <c r="AI81" s="1049"/>
    </row>
    <row r="82" spans="2:35">
      <c r="B82" s="4" t="s">
        <v>1480</v>
      </c>
      <c r="C82" s="705">
        <f t="shared" ref="C82" si="96">(AM27-C54)</f>
        <v>18.716378673634608</v>
      </c>
      <c r="D82" s="705">
        <f t="shared" ref="D82" si="97">(AN27-D54)</f>
        <v>23.26470837485158</v>
      </c>
      <c r="E82" s="705">
        <f t="shared" ref="E82" si="98">(AO27-E54)</f>
        <v>15.296102751536637</v>
      </c>
      <c r="F82" s="705">
        <f t="shared" ref="F82" si="99">(AP27-F54)</f>
        <v>18.019607713974438</v>
      </c>
      <c r="G82" s="705">
        <f t="shared" ref="G82" si="100">(AQ27-G54)</f>
        <v>9.1646391759077233</v>
      </c>
      <c r="H82" s="705">
        <f t="shared" ref="H82" si="101">(AR27-H54)</f>
        <v>12.264425782699618</v>
      </c>
      <c r="I82" s="705">
        <f t="shared" ref="I82" si="102">(AS27-I54)</f>
        <v>-3.7108052078856417</v>
      </c>
      <c r="J82" s="705">
        <f t="shared" ref="J82" si="103">(AT27-J54)</f>
        <v>-3.5520934732994647</v>
      </c>
      <c r="K82" s="705">
        <f t="shared" ref="K82" si="104">(AU27-K54)</f>
        <v>13.282054278060059</v>
      </c>
      <c r="L82" s="705">
        <f t="shared" ref="L82" si="105">(AV27-L54)</f>
        <v>8.9310942839074414</v>
      </c>
      <c r="M82" s="705">
        <f t="shared" ref="M82" si="106">(AW27-M54)</f>
        <v>18.031068456836692</v>
      </c>
      <c r="N82" s="705">
        <f t="shared" ref="N82" si="107">(AX27-N54)</f>
        <v>-3.4573226796746894</v>
      </c>
      <c r="O82" s="705">
        <f t="shared" ref="O82" si="108">(AY27-O54)</f>
        <v>2.310351831931257</v>
      </c>
      <c r="P82" s="705">
        <f t="shared" ref="P82" si="109">(AZ27-P54)</f>
        <v>-3.8957193375044881</v>
      </c>
      <c r="Q82" s="705">
        <f t="shared" ref="Q82" si="110">(BA27-Q54)</f>
        <v>-2.1981783761011684</v>
      </c>
      <c r="R82" s="705">
        <f t="shared" ref="R82" si="111">(BB27-R54)</f>
        <v>-7.7501969899312826</v>
      </c>
      <c r="S82" s="705">
        <f t="shared" ref="S82" si="112">(BC27-S54)</f>
        <v>-12.482041355414367</v>
      </c>
      <c r="T82" s="705">
        <f t="shared" ref="T82" si="113">(BD27-T54)</f>
        <v>-14.305010532427332</v>
      </c>
      <c r="U82" s="705">
        <f t="shared" ref="U82" si="114">(BE27-U54)</f>
        <v>-4.0684680397516786</v>
      </c>
      <c r="V82" s="705">
        <f t="shared" ref="V82" si="115">(BF27-V54)</f>
        <v>-0.2738326595590479</v>
      </c>
      <c r="W82" s="705">
        <f t="shared" ref="W82" si="116">(BG27-W54)</f>
        <v>-8.3066355402825138</v>
      </c>
      <c r="X82" s="705">
        <f t="shared" ref="X82" si="117">(BH27-X54)</f>
        <v>-5.293349540044801</v>
      </c>
      <c r="Y82" s="705">
        <f t="shared" ref="Y82" si="118">(BI27-Y54)</f>
        <v>-6.6319900070075164</v>
      </c>
      <c r="Z82" s="705">
        <f t="shared" ref="Z82" si="119">(BJ27-Z54)</f>
        <v>-3.7970808388454316</v>
      </c>
      <c r="AA82" s="705">
        <f t="shared" ref="AA82" si="120">(BK27-AA54)</f>
        <v>3.81417645039528</v>
      </c>
      <c r="AB82" s="705">
        <f t="shared" ref="AB82" si="121">(BL27-AB54)</f>
        <v>-2.9650007412346895</v>
      </c>
      <c r="AC82" s="705">
        <f t="shared" ref="AC82" si="122">(BM27-AC54)</f>
        <v>-2.6065213358742767</v>
      </c>
      <c r="AD82" s="705">
        <f t="shared" ref="AD82" si="123">(BN27-AD54)</f>
        <v>-9.0253056252786337</v>
      </c>
      <c r="AE82" s="705">
        <f t="shared" ref="AE82" si="124">(BO27-AE54)</f>
        <v>-6.9090255960809372</v>
      </c>
      <c r="AF82" s="705">
        <f t="shared" ref="AF82" si="125">(BP27-AF54)</f>
        <v>-14.981125250011246</v>
      </c>
      <c r="AG82" s="705">
        <f t="shared" ref="AG82:AH82" si="126">(BQ27-AG54)</f>
        <v>-15.665158703808629</v>
      </c>
      <c r="AH82" s="705">
        <f t="shared" si="126"/>
        <v>3.5717751939755544</v>
      </c>
    </row>
    <row r="83" spans="2:35">
      <c r="D83" s="1029">
        <f>(D82-C82)/C82</f>
        <v>0.24301334037572736</v>
      </c>
      <c r="E83" s="1029">
        <f t="shared" ref="E83:AG83" si="127">(E82-D82)/D82</f>
        <v>-0.3425190419291374</v>
      </c>
      <c r="F83" s="1029">
        <f t="shared" si="127"/>
        <v>0.1780522141278241</v>
      </c>
      <c r="G83" s="1029">
        <f t="shared" si="127"/>
        <v>-0.49140739790908833</v>
      </c>
      <c r="H83" s="1029">
        <f t="shared" si="127"/>
        <v>0.33823334964901908</v>
      </c>
      <c r="I83" s="1029">
        <f t="shared" si="127"/>
        <v>-1.3025665672110112</v>
      </c>
      <c r="J83" s="1029">
        <f t="shared" si="127"/>
        <v>-4.2770160570246823E-2</v>
      </c>
      <c r="K83" s="1029">
        <f t="shared" si="127"/>
        <v>-4.739218682700554</v>
      </c>
      <c r="L83" s="1029">
        <f t="shared" si="127"/>
        <v>-0.3275818561696246</v>
      </c>
      <c r="M83" s="1029">
        <f t="shared" si="127"/>
        <v>1.0189092045894204</v>
      </c>
      <c r="N83" s="1029">
        <f t="shared" si="127"/>
        <v>-1.1917425297314428</v>
      </c>
      <c r="O83" s="1029">
        <f t="shared" si="127"/>
        <v>-1.6682488289315955</v>
      </c>
      <c r="P83" s="1029">
        <f t="shared" si="127"/>
        <v>-2.6862017653164103</v>
      </c>
      <c r="Q83" s="1029">
        <f t="shared" si="127"/>
        <v>-0.43574518961387165</v>
      </c>
      <c r="R83" s="1029">
        <f t="shared" si="127"/>
        <v>2.52573616144725</v>
      </c>
      <c r="S83" s="1029">
        <f t="shared" si="127"/>
        <v>0.61054504442022439</v>
      </c>
      <c r="T83" s="1029">
        <f t="shared" si="127"/>
        <v>0.146047359170318</v>
      </c>
      <c r="U83" s="1029">
        <f t="shared" si="127"/>
        <v>-0.71559139851529174</v>
      </c>
      <c r="V83" s="1029">
        <f t="shared" si="127"/>
        <v>-0.93269391405228752</v>
      </c>
      <c r="W83" s="1029">
        <f t="shared" si="127"/>
        <v>29.334714469992988</v>
      </c>
      <c r="X83" s="1029">
        <f t="shared" si="127"/>
        <v>-0.36275649577075691</v>
      </c>
      <c r="Y83" s="1029">
        <f t="shared" si="127"/>
        <v>0.2528910015927997</v>
      </c>
      <c r="Z83" s="1029">
        <f t="shared" si="127"/>
        <v>-0.42745980696090513</v>
      </c>
      <c r="AA83" s="1029">
        <f t="shared" si="127"/>
        <v>-2.004502303815856</v>
      </c>
      <c r="AB83" s="1029">
        <f t="shared" si="127"/>
        <v>-1.7773632866217852</v>
      </c>
      <c r="AC83" s="1029">
        <f t="shared" si="127"/>
        <v>-0.12090364780520571</v>
      </c>
      <c r="AD83" s="1029">
        <f t="shared" si="127"/>
        <v>2.4625865137034739</v>
      </c>
      <c r="AE83" s="1029">
        <f t="shared" si="127"/>
        <v>-0.23448292136171972</v>
      </c>
      <c r="AF83" s="1029">
        <f t="shared" si="127"/>
        <v>1.1683412576310488</v>
      </c>
      <c r="AG83" s="1029">
        <f t="shared" si="127"/>
        <v>4.5659684595245581E-2</v>
      </c>
      <c r="AH83" s="1029">
        <f>(AH82-AG82)/AG82</f>
        <v>-1.2280075970827642</v>
      </c>
    </row>
    <row r="84" spans="2:35">
      <c r="AF84" s="291">
        <f>(AF82-C82)/C82</f>
        <v>-1.8004286251760262</v>
      </c>
      <c r="AG84" s="291">
        <f>(AG82-C82)/C82</f>
        <v>-1.8369759437425697</v>
      </c>
      <c r="AH84" s="291">
        <f>(AH82-D82)/D82</f>
        <v>-0.84647238484895293</v>
      </c>
    </row>
  </sheetData>
  <phoneticPr fontId="3" type="noConversion"/>
  <conditionalFormatting sqref="C4:AH27">
    <cfRule type="cellIs" dxfId="51" priority="1" operator="equal">
      <formula>"NA"</formula>
    </cfRule>
    <cfRule type="cellIs" dxfId="50" priority="10" operator="lessThan">
      <formula>0</formula>
    </cfRule>
    <cfRule type="cellIs" dxfId="49" priority="11" operator="greaterThan">
      <formula>0</formula>
    </cfRule>
  </conditionalFormatting>
  <conditionalFormatting sqref="C59:AH82">
    <cfRule type="cellIs" dxfId="48" priority="6" operator="lessThan">
      <formula>0</formula>
    </cfRule>
    <cfRule type="cellIs" dxfId="47" priority="7" operator="greaterThan">
      <formula>0</formula>
    </cfRule>
  </conditionalFormatting>
  <printOptions verticalCentered="1" gridLines="1" gridLinesSet="0"/>
  <pageMargins left="0.5" right="0.5" top="0.5" bottom="0.75" header="0.27" footer="0.21"/>
  <pageSetup scale="81" fitToWidth="2" fitToHeight="3" orientation="landscape" horizontalDpi="4294967292" r:id="rId1"/>
  <headerFooter alignWithMargins="0">
    <oddHeader>&amp;L&amp;12GREENHOUSE GAS INVENTORY:  ENERGY</oddHeader>
    <oddFooter>&amp;LPage &amp;P of &amp;N&amp;C&amp;F  &amp;A&amp;R&amp;D  &amp;T</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ransitionEvaluation="1" transitionEntry="1" codeName="Sheet32"/>
  <dimension ref="A1:AK27"/>
  <sheetViews>
    <sheetView workbookViewId="0">
      <selection activeCell="W33" sqref="W33"/>
    </sheetView>
  </sheetViews>
  <sheetFormatPr defaultColWidth="9.6640625" defaultRowHeight="12.95"/>
  <cols>
    <col min="1" max="1" width="5" style="1" customWidth="1"/>
    <col min="2" max="2" width="27.6640625" style="1" customWidth="1"/>
    <col min="3" max="3" width="11.6640625" style="1" customWidth="1"/>
    <col min="4" max="6" width="8.6640625" style="1" customWidth="1"/>
    <col min="7" max="7" width="10" style="1" customWidth="1"/>
    <col min="8" max="15" width="8.6640625" style="1" customWidth="1"/>
    <col min="16" max="16" width="8.6640625" style="1" bestFit="1" customWidth="1"/>
    <col min="17" max="17" width="9" style="1" customWidth="1"/>
    <col min="18" max="18" width="7" style="1" bestFit="1" customWidth="1"/>
    <col min="19" max="19" width="6" style="1" bestFit="1" customWidth="1"/>
    <col min="20" max="20" width="5" style="1" customWidth="1"/>
    <col min="21" max="21" width="27.6640625" style="1" customWidth="1"/>
    <col min="22" max="34" width="8.6640625" style="1" customWidth="1"/>
    <col min="35" max="35" width="8.6640625" style="1" bestFit="1" customWidth="1"/>
    <col min="36" max="36" width="10" style="1" customWidth="1"/>
    <col min="37" max="37" width="7" style="1" bestFit="1" customWidth="1"/>
    <col min="38" max="38" width="9" style="1" customWidth="1"/>
    <col min="39" max="16384" width="9.6640625" style="1"/>
  </cols>
  <sheetData>
    <row r="1" spans="1:37">
      <c r="B1" s="227"/>
      <c r="C1" s="14"/>
      <c r="D1" s="14"/>
      <c r="I1" s="15"/>
      <c r="V1" s="14"/>
      <c r="W1" s="14"/>
      <c r="AB1" s="15"/>
    </row>
    <row r="2" spans="1:37" ht="17.45">
      <c r="A2" s="16"/>
      <c r="B2" s="22" t="s">
        <v>1522</v>
      </c>
      <c r="C2" s="14"/>
      <c r="D2" s="14"/>
      <c r="T2" s="16"/>
      <c r="U2" s="243" t="s">
        <v>1523</v>
      </c>
      <c r="V2" s="14"/>
      <c r="W2" s="14"/>
    </row>
    <row r="3" spans="1:37" ht="19.5" customHeight="1">
      <c r="B3" s="5" t="s">
        <v>1524</v>
      </c>
      <c r="J3" s="21"/>
      <c r="K3" s="21"/>
      <c r="L3" s="21"/>
      <c r="M3" s="43"/>
      <c r="N3" s="43"/>
      <c r="O3" s="43"/>
      <c r="P3" s="43"/>
      <c r="Q3" s="43"/>
      <c r="R3" s="43"/>
      <c r="S3" s="43"/>
      <c r="U3" s="5" t="s">
        <v>1524</v>
      </c>
      <c r="AC3" s="21"/>
      <c r="AD3" s="21"/>
      <c r="AE3" s="21"/>
      <c r="AF3" s="43"/>
      <c r="AG3" s="43"/>
      <c r="AH3" s="43"/>
      <c r="AI3" s="43"/>
      <c r="AJ3" s="43"/>
      <c r="AK3" s="43"/>
    </row>
    <row r="4" spans="1:37">
      <c r="B4" s="4" t="s">
        <v>1469</v>
      </c>
      <c r="C4" s="23">
        <v>1990</v>
      </c>
      <c r="D4" s="23">
        <v>1991</v>
      </c>
      <c r="E4" s="23">
        <v>1992</v>
      </c>
      <c r="F4" s="23">
        <v>1993</v>
      </c>
      <c r="G4" s="23">
        <v>1994</v>
      </c>
      <c r="H4" s="23">
        <v>1995</v>
      </c>
      <c r="I4" s="23">
        <v>1996</v>
      </c>
      <c r="J4" s="23">
        <v>1997</v>
      </c>
      <c r="K4" s="23">
        <v>1998</v>
      </c>
      <c r="L4" s="23">
        <v>1999</v>
      </c>
      <c r="M4" s="23">
        <v>2000</v>
      </c>
      <c r="N4" s="23">
        <v>2001</v>
      </c>
      <c r="O4" s="23">
        <v>2002</v>
      </c>
      <c r="P4" s="23">
        <v>2003</v>
      </c>
      <c r="Q4" s="23">
        <v>2004</v>
      </c>
      <c r="R4"/>
      <c r="S4"/>
      <c r="U4" s="4" t="s">
        <v>1469</v>
      </c>
      <c r="V4" s="23">
        <v>1990</v>
      </c>
      <c r="W4" s="23">
        <v>1991</v>
      </c>
      <c r="X4" s="23">
        <v>1992</v>
      </c>
      <c r="Y4" s="23">
        <v>1993</v>
      </c>
      <c r="Z4" s="23">
        <v>1994</v>
      </c>
      <c r="AA4" s="23">
        <v>1995</v>
      </c>
      <c r="AB4" s="23">
        <v>1996</v>
      </c>
      <c r="AC4" s="23">
        <v>1997</v>
      </c>
      <c r="AD4" s="23">
        <v>1998</v>
      </c>
      <c r="AE4" s="23">
        <v>1999</v>
      </c>
      <c r="AF4" s="23">
        <v>2000</v>
      </c>
      <c r="AG4" s="23">
        <v>2001</v>
      </c>
      <c r="AH4" s="23">
        <v>2002</v>
      </c>
      <c r="AI4" s="23">
        <v>2003</v>
      </c>
      <c r="AJ4" s="23">
        <v>2004</v>
      </c>
      <c r="AK4"/>
    </row>
    <row r="5" spans="1:37">
      <c r="B5" s="5" t="s">
        <v>1435</v>
      </c>
      <c r="C5" s="235">
        <f>('Summary Table'!C7-V5)/V5</f>
        <v>2.2222322135368365E-2</v>
      </c>
      <c r="D5" s="235">
        <f>('Summary Table'!D7-W5)/W5</f>
        <v>2.2769736905779561E-2</v>
      </c>
      <c r="E5" s="235">
        <f>('Summary Table'!E7-X5)/X5</f>
        <v>2.2027401492724863E-2</v>
      </c>
      <c r="F5" s="235">
        <f>('Summary Table'!F7-Y5)/Y5</f>
        <v>1.7643466249624446E-2</v>
      </c>
      <c r="G5" s="235">
        <f>('Summary Table'!G7-Z5)/Z5</f>
        <v>1.6439456914805039E-2</v>
      </c>
      <c r="H5" s="235">
        <f>('Summary Table'!H7-AA5)/AA5</f>
        <v>1.6097348534069869E-2</v>
      </c>
      <c r="I5" s="235">
        <f>('Summary Table'!I7-AB5)/AB5</f>
        <v>1.3981104774116614E-2</v>
      </c>
      <c r="J5" s="235">
        <f>('Summary Table'!J7-AC5)/AC5</f>
        <v>1.4626428207151959E-2</v>
      </c>
      <c r="K5" s="235">
        <f>('Summary Table'!K7-AD5)/AD5</f>
        <v>1.8213948357038257E-2</v>
      </c>
      <c r="L5" s="235">
        <f>('Summary Table'!L7-AE5)/AE5</f>
        <v>1.7043048301231028E-2</v>
      </c>
      <c r="M5" s="235">
        <f>('Summary Table'!M7-AF5)/AF5</f>
        <v>1.5430351236510997E-2</v>
      </c>
      <c r="N5" s="235">
        <f>('Summary Table'!N7-AG5)/AG5</f>
        <v>1.3847972184524415E-2</v>
      </c>
      <c r="O5" s="235">
        <f>('Summary Table'!O7-AH5)/AH5</f>
        <v>2.1706948787628324E-2</v>
      </c>
      <c r="P5" s="235">
        <f>('Summary Table'!P7-AI5)/AI5</f>
        <v>2.1643784543165769E-2</v>
      </c>
      <c r="Q5" s="235">
        <f>('Summary Table'!Q7-AJ5)/AJ5</f>
        <v>2.4288459337695398E-2</v>
      </c>
      <c r="R5"/>
      <c r="S5"/>
      <c r="U5" s="5" t="s">
        <v>1435</v>
      </c>
      <c r="V5" s="29">
        <v>1682.4036516123604</v>
      </c>
      <c r="W5" s="29">
        <v>1677.642023180209</v>
      </c>
      <c r="X5" s="29">
        <v>1695.6141105938223</v>
      </c>
      <c r="Y5" s="29">
        <v>1767.1240160582793</v>
      </c>
      <c r="Z5" s="29">
        <v>1775.8448309889511</v>
      </c>
      <c r="AA5" s="29">
        <v>1791.527348267746</v>
      </c>
      <c r="AB5" s="29">
        <v>1878.972401171166</v>
      </c>
      <c r="AC5" s="29">
        <v>1922.391594458225</v>
      </c>
      <c r="AD5" s="29">
        <v>1943.9795601609565</v>
      </c>
      <c r="AE5" s="29">
        <v>1946.2285850007656</v>
      </c>
      <c r="AF5" s="29">
        <v>2033.785123942102</v>
      </c>
      <c r="AG5" s="29">
        <v>1982.5304108189512</v>
      </c>
      <c r="AH5" s="29">
        <v>1976.7830689369375</v>
      </c>
      <c r="AI5" s="29">
        <v>2017.3859654635874</v>
      </c>
      <c r="AJ5" s="29">
        <v>2027.0189209077359</v>
      </c>
      <c r="AK5"/>
    </row>
    <row r="6" spans="1:37">
      <c r="B6" s="6" t="s">
        <v>1434</v>
      </c>
      <c r="C6" s="232">
        <f>('Summary Table'!C8-V6)/V6</f>
        <v>2.5840807891201072E-2</v>
      </c>
      <c r="D6" s="232">
        <f>('Summary Table'!D8-W6)/W6</f>
        <v>2.0928746328261905E-2</v>
      </c>
      <c r="E6" s="232">
        <f>('Summary Table'!E8-X6)/X6</f>
        <v>1.8373364444396675E-2</v>
      </c>
      <c r="F6" s="232">
        <f>('Summary Table'!F8-Y6)/Y6</f>
        <v>2.4524516563554477E-2</v>
      </c>
      <c r="G6" s="232">
        <f>('Summary Table'!G8-Z6)/Z6</f>
        <v>2.4150179209680014E-2</v>
      </c>
      <c r="H6" s="232">
        <f>('Summary Table'!H8-AA6)/AA6</f>
        <v>1.8821283777378722E-2</v>
      </c>
      <c r="I6" s="232">
        <f>('Summary Table'!I8-AB6)/AB6</f>
        <v>2.7447688903455975E-2</v>
      </c>
      <c r="J6" s="232">
        <f>('Summary Table'!J8-AC6)/AC6</f>
        <v>1.0889341107292994E-2</v>
      </c>
      <c r="K6" s="232">
        <f>('Summary Table'!K8-AD6)/AD6</f>
        <v>-5.9937188942574951E-2</v>
      </c>
      <c r="L6" s="232">
        <f>('Summary Table'!L8-AE6)/AE6</f>
        <v>1.7938478769765013E-2</v>
      </c>
      <c r="M6" s="232">
        <f>('Summary Table'!M8-AF6)/AF6</f>
        <v>8.1542776196901506E-2</v>
      </c>
      <c r="N6" s="232">
        <f>('Summary Table'!N8-AG6)/AG6</f>
        <v>7.5167068599845066E-2</v>
      </c>
      <c r="O6" s="232">
        <f>('Summary Table'!O8-AH6)/AH6</f>
        <v>0.12301045610802532</v>
      </c>
      <c r="P6" s="232">
        <f>('Summary Table'!P8-AI6)/AI6</f>
        <v>0.23818943426448685</v>
      </c>
      <c r="Q6" s="232">
        <f>('Summary Table'!Q8-AJ6)/AJ6</f>
        <v>4.5195437575404555E-2</v>
      </c>
      <c r="R6"/>
      <c r="S6"/>
      <c r="U6" s="6" t="s">
        <v>1434</v>
      </c>
      <c r="V6" s="25">
        <v>2.9124355641519593</v>
      </c>
      <c r="W6" s="25">
        <v>2.3918090034292532</v>
      </c>
      <c r="X6" s="25">
        <v>2.4307766736802052</v>
      </c>
      <c r="Y6" s="25">
        <v>2.4106331735030104</v>
      </c>
      <c r="Z6" s="25">
        <v>1.9471578724339935</v>
      </c>
      <c r="AA6" s="25">
        <v>1.6407900399963768</v>
      </c>
      <c r="AB6" s="25">
        <v>1.5403024506002916</v>
      </c>
      <c r="AC6" s="25">
        <v>1.5018177640429209</v>
      </c>
      <c r="AD6" s="25">
        <v>1.1735868576448001</v>
      </c>
      <c r="AE6" s="25">
        <v>1.3079749970148964</v>
      </c>
      <c r="AF6" s="25">
        <v>1.0011225633542731</v>
      </c>
      <c r="AG6" s="25">
        <v>1.0610862736471349</v>
      </c>
      <c r="AH6" s="25">
        <v>1.0383257807999999</v>
      </c>
      <c r="AI6" s="25">
        <v>0.94393252799999972</v>
      </c>
      <c r="AJ6" s="25">
        <v>1.0383257807999999</v>
      </c>
      <c r="AK6"/>
    </row>
    <row r="7" spans="1:37">
      <c r="B7" s="6" t="s">
        <v>1441</v>
      </c>
      <c r="C7" s="232">
        <f>('Summary Table'!C9-V7)/V7</f>
        <v>2.5840800683858339E-2</v>
      </c>
      <c r="D7" s="232">
        <f>('Summary Table'!D9-W7)/W7</f>
        <v>2.0918923842755247E-2</v>
      </c>
      <c r="E7" s="232">
        <f>('Summary Table'!E9-X7)/X7</f>
        <v>1.8354919908493465E-2</v>
      </c>
      <c r="F7" s="232">
        <f>('Summary Table'!F9-Y7)/Y7</f>
        <v>2.4533251592822602E-2</v>
      </c>
      <c r="G7" s="232">
        <f>('Summary Table'!G9-Z7)/Z7</f>
        <v>2.4127058470399736E-2</v>
      </c>
      <c r="H7" s="232">
        <f>('Summary Table'!H9-AA7)/AA7</f>
        <v>1.882598202145698E-2</v>
      </c>
      <c r="I7" s="232">
        <f>('Summary Table'!I9-AB7)/AB7</f>
        <v>2.7422356088011812E-2</v>
      </c>
      <c r="J7" s="232">
        <f>('Summary Table'!J9-AC7)/AC7</f>
        <v>1.0898573320490774E-2</v>
      </c>
      <c r="K7" s="232">
        <f>('Summary Table'!K9-AD7)/AD7</f>
        <v>-5.9915242154150651E-2</v>
      </c>
      <c r="L7" s="232">
        <f>('Summary Table'!L9-AE7)/AE7</f>
        <v>1.7905383236881046E-2</v>
      </c>
      <c r="M7" s="232">
        <f>('Summary Table'!M9-AF7)/AF7</f>
        <v>8.1524568446307497E-2</v>
      </c>
      <c r="N7" s="232">
        <f>('Summary Table'!N9-AG7)/AG7</f>
        <v>7.5186338045249962E-2</v>
      </c>
      <c r="O7" s="232">
        <f>('Summary Table'!O9-AH7)/AH7</f>
        <v>-4.4960999742938192E-3</v>
      </c>
      <c r="P7" s="232">
        <f>('Summary Table'!P9-AI7)/AI7</f>
        <v>-1.3502620655202916E-2</v>
      </c>
      <c r="Q7" s="232">
        <f>('Summary Table'!Q9-AJ7)/AJ7</f>
        <v>0.18933721004591494</v>
      </c>
      <c r="R7"/>
      <c r="S7"/>
      <c r="U7" s="6" t="s">
        <v>1441</v>
      </c>
      <c r="V7" s="25">
        <v>11.649742338456488</v>
      </c>
      <c r="W7" s="25">
        <v>10.896018811124886</v>
      </c>
      <c r="X7" s="25">
        <v>11.073538200542499</v>
      </c>
      <c r="Y7" s="25">
        <v>10.981773336532303</v>
      </c>
      <c r="Z7" s="25">
        <v>11.033894609831203</v>
      </c>
      <c r="AA7" s="25">
        <v>10.980671796908105</v>
      </c>
      <c r="AB7" s="25">
        <v>11.29555117175088</v>
      </c>
      <c r="AC7" s="25">
        <v>12.151071012340569</v>
      </c>
      <c r="AD7" s="25">
        <v>9.4953846267195381</v>
      </c>
      <c r="AE7" s="25">
        <v>9.5918166510687897</v>
      </c>
      <c r="AF7" s="25">
        <v>8.0999917919201732</v>
      </c>
      <c r="AG7" s="25">
        <v>8.585151814306478</v>
      </c>
      <c r="AH7" s="25">
        <v>8.5897860047999988</v>
      </c>
      <c r="AI7" s="25">
        <v>7.9290332351999986</v>
      </c>
      <c r="AJ7" s="25">
        <v>8.2122129935999961</v>
      </c>
      <c r="AK7"/>
    </row>
    <row r="8" spans="1:37">
      <c r="B8" s="6" t="s">
        <v>1443</v>
      </c>
      <c r="C8" s="232">
        <f>('Summary Table'!C10-V8)/V8</f>
        <v>4.3484862896471035E-2</v>
      </c>
      <c r="D8" s="232">
        <f>('Summary Table'!D10-W8)/W8</f>
        <v>5.5171093137224708E-2</v>
      </c>
      <c r="E8" s="232">
        <f>('Summary Table'!E10-X8)/X8</f>
        <v>5.174831889536563E-2</v>
      </c>
      <c r="F8" s="232">
        <f>('Summary Table'!F10-Y8)/Y8</f>
        <v>4.2199396179108846E-2</v>
      </c>
      <c r="G8" s="232">
        <f>('Summary Table'!G10-Z8)/Z8</f>
        <v>4.7198851483287591E-2</v>
      </c>
      <c r="H8" s="232">
        <f>('Summary Table'!H10-AA8)/AA8</f>
        <v>3.9760047960621117E-2</v>
      </c>
      <c r="I8" s="232">
        <f>('Summary Table'!I10-AB8)/AB8</f>
        <v>5.4426452335385629E-3</v>
      </c>
      <c r="J8" s="232">
        <f>('Summary Table'!J10-AC8)/AC8</f>
        <v>3.0531194175673026E-2</v>
      </c>
      <c r="K8" s="232">
        <f>('Summary Table'!K10-AD8)/AD8</f>
        <v>8.0993284980733965E-2</v>
      </c>
      <c r="L8" s="232">
        <f>('Summary Table'!L10-AE8)/AE8</f>
        <v>4.5257524858492819E-2</v>
      </c>
      <c r="M8" s="232">
        <f>('Summary Table'!M10-AF8)/AF8</f>
        <v>1.0318963105092213E-2</v>
      </c>
      <c r="N8" s="232">
        <f>('Summary Table'!N10-AG8)/AG8</f>
        <v>3.2403977928157655E-2</v>
      </c>
      <c r="O8" s="232">
        <f>('Summary Table'!O10-AH8)/AH8</f>
        <v>2.2903593906806102E-2</v>
      </c>
      <c r="P8" s="232">
        <f>('Summary Table'!P10-AI8)/AI8</f>
        <v>1.4393485602080081E-2</v>
      </c>
      <c r="Q8" s="232">
        <f>('Summary Table'!Q10-AJ8)/AJ8</f>
        <v>2.8616634899520349E-2</v>
      </c>
      <c r="R8"/>
      <c r="S8"/>
      <c r="U8" s="6" t="s">
        <v>1443</v>
      </c>
      <c r="V8" s="25">
        <v>151.2614580152013</v>
      </c>
      <c r="W8" s="25">
        <v>146.55274165092308</v>
      </c>
      <c r="X8" s="25">
        <v>142.8811076153637</v>
      </c>
      <c r="Y8" s="25">
        <v>146.37102084715525</v>
      </c>
      <c r="Z8" s="25">
        <v>146.55194255137457</v>
      </c>
      <c r="AA8" s="25">
        <v>141.58621185599364</v>
      </c>
      <c r="AB8" s="25">
        <v>139.3310492930292</v>
      </c>
      <c r="AC8" s="25">
        <v>136.08482101957568</v>
      </c>
      <c r="AD8" s="25">
        <v>131.13458283824613</v>
      </c>
      <c r="AE8" s="25">
        <v>126.74454506722637</v>
      </c>
      <c r="AF8" s="25">
        <v>127.17162829713017</v>
      </c>
      <c r="AG8" s="25">
        <v>126.09561183721965</v>
      </c>
      <c r="AH8" s="25">
        <v>116.39194892359407</v>
      </c>
      <c r="AI8" s="25">
        <v>117.74379642405164</v>
      </c>
      <c r="AJ8" s="25">
        <v>117.08369901054971</v>
      </c>
      <c r="AK8"/>
    </row>
    <row r="9" spans="1:37">
      <c r="B9" s="6" t="s">
        <v>1445</v>
      </c>
      <c r="C9" s="232"/>
      <c r="D9" s="232"/>
      <c r="E9" s="232"/>
      <c r="F9" s="232"/>
      <c r="G9" s="232"/>
      <c r="H9" s="232"/>
      <c r="I9" s="232"/>
      <c r="J9" s="232"/>
      <c r="K9" s="232"/>
      <c r="L9" s="232"/>
      <c r="M9" s="232"/>
      <c r="N9" s="232"/>
      <c r="O9" s="232"/>
      <c r="P9" s="232"/>
      <c r="Q9" s="232"/>
      <c r="R9"/>
      <c r="S9"/>
      <c r="U9" s="6" t="s">
        <v>1445</v>
      </c>
      <c r="V9" s="25" t="s">
        <v>103</v>
      </c>
      <c r="W9" s="25" t="s">
        <v>103</v>
      </c>
      <c r="X9" s="25" t="s">
        <v>103</v>
      </c>
      <c r="Y9" s="25" t="s">
        <v>103</v>
      </c>
      <c r="Z9" s="25" t="s">
        <v>103</v>
      </c>
      <c r="AA9" s="25" t="s">
        <v>103</v>
      </c>
      <c r="AB9" s="25" t="s">
        <v>103</v>
      </c>
      <c r="AC9" s="25" t="s">
        <v>103</v>
      </c>
      <c r="AD9" s="25" t="s">
        <v>103</v>
      </c>
      <c r="AE9" s="25" t="s">
        <v>103</v>
      </c>
      <c r="AF9" s="25" t="s">
        <v>103</v>
      </c>
      <c r="AG9" s="25" t="s">
        <v>103</v>
      </c>
      <c r="AH9" s="25" t="s">
        <v>103</v>
      </c>
      <c r="AI9" s="25" t="s">
        <v>103</v>
      </c>
      <c r="AJ9" s="25" t="s">
        <v>103</v>
      </c>
      <c r="AK9"/>
    </row>
    <row r="10" spans="1:37">
      <c r="B10" s="6" t="s">
        <v>1447</v>
      </c>
      <c r="C10" s="232">
        <f>('Summary Table'!C12-V10)/V10</f>
        <v>2.016930489125731E-2</v>
      </c>
      <c r="D10" s="232">
        <f>('Summary Table'!D12-W10)/W10</f>
        <v>1.982713850783004E-2</v>
      </c>
      <c r="E10" s="232">
        <f>('Summary Table'!E12-X10)/X10</f>
        <v>1.9577269747181023E-2</v>
      </c>
      <c r="F10" s="232">
        <f>('Summary Table'!F12-Y10)/Y10</f>
        <v>1.5644767639164614E-2</v>
      </c>
      <c r="G10" s="232">
        <f>('Summary Table'!G12-Z10)/Z10</f>
        <v>1.3899982920036729E-2</v>
      </c>
      <c r="H10" s="232">
        <f>('Summary Table'!H12-AA10)/AA10</f>
        <v>1.434389732717223E-2</v>
      </c>
      <c r="I10" s="232">
        <f>('Summary Table'!I12-AB10)/AB10</f>
        <v>1.486796109046494E-2</v>
      </c>
      <c r="J10" s="232">
        <f>('Summary Table'!J12-AC10)/AC10</f>
        <v>1.3726016009682799E-2</v>
      </c>
      <c r="K10" s="232">
        <f>('Summary Table'!K12-AD10)/AD10</f>
        <v>1.4398099044422552E-2</v>
      </c>
      <c r="L10" s="232">
        <f>('Summary Table'!L12-AE10)/AE10</f>
        <v>1.5350809710716463E-2</v>
      </c>
      <c r="M10" s="232">
        <f>('Summary Table'!M12-AF10)/AF10</f>
        <v>1.5703891485000249E-2</v>
      </c>
      <c r="N10" s="232">
        <f>('Summary Table'!N12-AG10)/AG10</f>
        <v>1.244782293813284E-2</v>
      </c>
      <c r="O10" s="232">
        <f>('Summary Table'!O12-AH10)/AH10</f>
        <v>2.1240199453907652E-2</v>
      </c>
      <c r="P10" s="232">
        <f>('Summary Table'!P12-AI10)/AI10</f>
        <v>2.2679449153121586E-2</v>
      </c>
      <c r="Q10" s="232">
        <f>('Summary Table'!Q12-AJ10)/AJ10</f>
        <v>2.3701788157909152E-2</v>
      </c>
      <c r="R10"/>
      <c r="S10"/>
      <c r="U10" s="6" t="s">
        <v>1447</v>
      </c>
      <c r="V10" s="25">
        <v>1515.9384412191876</v>
      </c>
      <c r="W10" s="25">
        <v>1517.0948244848737</v>
      </c>
      <c r="X10" s="25">
        <v>1538.4233551089371</v>
      </c>
      <c r="Y10" s="25">
        <v>1606.4857144165026</v>
      </c>
      <c r="Z10" s="25">
        <v>1615.398826124987</v>
      </c>
      <c r="AA10" s="25">
        <v>1636.3887186053523</v>
      </c>
      <c r="AB10" s="25">
        <v>1725.8633259493081</v>
      </c>
      <c r="AC10" s="25">
        <v>1771.7004960188065</v>
      </c>
      <c r="AD10" s="25">
        <v>1801.2136441253012</v>
      </c>
      <c r="AE10" s="25">
        <v>1807.65329231596</v>
      </c>
      <c r="AF10" s="25">
        <v>1896.581425320202</v>
      </c>
      <c r="AG10" s="25">
        <v>1845.8576049242824</v>
      </c>
      <c r="AH10" s="25">
        <v>1849.6086132500975</v>
      </c>
      <c r="AI10" s="25">
        <v>1887.1569792090336</v>
      </c>
      <c r="AJ10" s="25">
        <v>1897.0561749584062</v>
      </c>
      <c r="AK10"/>
    </row>
    <row r="11" spans="1:37">
      <c r="B11" s="6" t="s">
        <v>1476</v>
      </c>
      <c r="C11" s="232">
        <f>('Summary Table'!C13-V11)/V11</f>
        <v>-0.22193967489599875</v>
      </c>
      <c r="D11" s="232">
        <f>('Summary Table'!D13-W11)/W11</f>
        <v>-0.34480209015111707</v>
      </c>
      <c r="E11" s="232">
        <f>('Summary Table'!E13-X11)/X11</f>
        <v>-0.50901775219717182</v>
      </c>
      <c r="F11" s="232">
        <f>('Summary Table'!F13-Y11)/Y11</f>
        <v>-0.52602952084540111</v>
      </c>
      <c r="G11" s="232">
        <f>('Summary Table'!G13-Z11)/Z11</f>
        <v>-0.53714044747411016</v>
      </c>
      <c r="H11" s="232">
        <f>('Summary Table'!H13-AA11)/AA11</f>
        <v>-0.53754412537484142</v>
      </c>
      <c r="I11" s="232">
        <f>('Summary Table'!I13-AB11)/AB11</f>
        <v>-0.53102453344186373</v>
      </c>
      <c r="J11" s="232">
        <f>('Summary Table'!J13-AC11)/AC11</f>
        <v>-0.52893641326196816</v>
      </c>
      <c r="K11" s="232">
        <f>('Summary Table'!K13-AD11)/AD11</f>
        <v>-0.52814861360962717</v>
      </c>
      <c r="L11" s="232">
        <f>('Summary Table'!L13-AE11)/AE11</f>
        <v>-0.5484970121772621</v>
      </c>
      <c r="M11" s="232">
        <f>('Summary Table'!M13-AF11)/AF11</f>
        <v>-0.48976761244869915</v>
      </c>
      <c r="N11" s="232">
        <f>('Summary Table'!N13-AG11)/AG11</f>
        <v>-0.35890735552463787</v>
      </c>
      <c r="O11" s="232">
        <f>('Summary Table'!O13-AH11)/AH11</f>
        <v>0.75275332791369531</v>
      </c>
      <c r="P11" s="232">
        <f>('Summary Table'!P13-AI11)/AI11</f>
        <v>-0.26253333813594676</v>
      </c>
      <c r="Q11" s="232">
        <f>('Summary Table'!Q13-AJ11)/AJ11</f>
        <v>-0.18817747299124721</v>
      </c>
      <c r="R11"/>
      <c r="S11"/>
      <c r="U11" s="6" t="s">
        <v>1476</v>
      </c>
      <c r="V11" s="25">
        <v>0.64157447536317624</v>
      </c>
      <c r="W11" s="25">
        <v>0.70662922985804344</v>
      </c>
      <c r="X11" s="25">
        <v>0.80533299529853242</v>
      </c>
      <c r="Y11" s="25">
        <v>0.87487428458614902</v>
      </c>
      <c r="Z11" s="25">
        <v>0.91300983032451977</v>
      </c>
      <c r="AA11" s="25">
        <v>0.93095596949551784</v>
      </c>
      <c r="AB11" s="25">
        <v>0.94217230647739125</v>
      </c>
      <c r="AC11" s="25">
        <v>0.95338864345926522</v>
      </c>
      <c r="AD11" s="25">
        <v>0.96236171304476392</v>
      </c>
      <c r="AE11" s="25">
        <v>0.93095596949551784</v>
      </c>
      <c r="AF11" s="25">
        <v>0.93095596949551784</v>
      </c>
      <c r="AG11" s="25">
        <v>0.93095596949551784</v>
      </c>
      <c r="AH11" s="25">
        <v>1.1543949776460625</v>
      </c>
      <c r="AI11" s="25">
        <v>3.6122240673020571</v>
      </c>
      <c r="AJ11" s="25">
        <v>3.6285081643799999</v>
      </c>
      <c r="AK11"/>
    </row>
    <row r="12" spans="1:37">
      <c r="B12" s="5" t="s">
        <v>1439</v>
      </c>
      <c r="C12" s="235">
        <f>('Summary Table'!C14-V12)/V12</f>
        <v>-7.2985687474873724E-3</v>
      </c>
      <c r="D12" s="235">
        <f>('Summary Table'!D14-W12)/W12</f>
        <v>-6.4938010126601615E-3</v>
      </c>
      <c r="E12" s="235">
        <f>('Summary Table'!E14-X12)/X12</f>
        <v>-1.0249211537176823E-2</v>
      </c>
      <c r="F12" s="235">
        <f>('Summary Table'!F14-Y12)/Y12</f>
        <v>-1.0169374668286303E-2</v>
      </c>
      <c r="G12" s="235">
        <f>('Summary Table'!G14-Z12)/Z12</f>
        <v>-6.6361540892717445E-3</v>
      </c>
      <c r="H12" s="235">
        <f>('Summary Table'!H14-AA12)/AA12</f>
        <v>-8.6309409864593328E-3</v>
      </c>
      <c r="I12" s="235">
        <f>('Summary Table'!I14-AB12)/AB12</f>
        <v>-8.7172967533736094E-3</v>
      </c>
      <c r="J12" s="235">
        <f>('Summary Table'!J14-AC12)/AC12</f>
        <v>-8.0865416587607535E-3</v>
      </c>
      <c r="K12" s="235">
        <f>('Summary Table'!K14-AD12)/AD12</f>
        <v>-8.3646786565426887E-3</v>
      </c>
      <c r="L12" s="235">
        <f>('Summary Table'!L14-AE12)/AE12</f>
        <v>-7.8841713300782899E-3</v>
      </c>
      <c r="M12" s="235">
        <f>('Summary Table'!M14-AF12)/AF12</f>
        <v>-1.2967030313020143E-3</v>
      </c>
      <c r="N12" s="235">
        <f>('Summary Table'!N14-AG12)/AG12</f>
        <v>-3.364993170543759E-3</v>
      </c>
      <c r="O12" s="235">
        <f>('Summary Table'!O14-AH12)/AH12</f>
        <v>-2.888263704282067E-3</v>
      </c>
      <c r="P12" s="235">
        <f>('Summary Table'!P14-AI12)/AI12</f>
        <v>-6.6408096486177586E-3</v>
      </c>
      <c r="Q12" s="235">
        <f>('Summary Table'!Q14-AJ12)/AJ12</f>
        <v>-7.0024921647939024E-3</v>
      </c>
      <c r="R12"/>
      <c r="S12"/>
      <c r="U12" s="5" t="s">
        <v>1439</v>
      </c>
      <c r="V12" s="29">
        <v>1005.9656013590734</v>
      </c>
      <c r="W12" s="29">
        <v>1027.5493733081994</v>
      </c>
      <c r="X12" s="29">
        <v>1065.2629707636479</v>
      </c>
      <c r="Y12" s="29">
        <v>1092.9231445403448</v>
      </c>
      <c r="Z12" s="29">
        <v>1113.9902595098331</v>
      </c>
      <c r="AA12" s="29">
        <v>1165.0682212957777</v>
      </c>
      <c r="AB12" s="29">
        <v>1186.6287071326792</v>
      </c>
      <c r="AC12" s="29">
        <v>1192.1008024966081</v>
      </c>
      <c r="AD12" s="29">
        <v>1168.4256490025284</v>
      </c>
      <c r="AE12" s="29">
        <v>1172.1785136362528</v>
      </c>
      <c r="AF12" s="29">
        <v>1220.214180711582</v>
      </c>
      <c r="AG12" s="29">
        <v>1173.3945727955233</v>
      </c>
      <c r="AH12" s="29">
        <v>1211.4318611903973</v>
      </c>
      <c r="AI12" s="29">
        <v>1184.8208464260474</v>
      </c>
      <c r="AJ12" s="29">
        <v>1191.166918274442</v>
      </c>
      <c r="AK12"/>
    </row>
    <row r="13" spans="1:37">
      <c r="B13" s="6" t="s">
        <v>1434</v>
      </c>
      <c r="C13" s="232">
        <f>('Summary Table'!C15-V13)/V13</f>
        <v>-3.2259520223096153E-3</v>
      </c>
      <c r="D13" s="232">
        <f>('Summary Table'!D15-W13)/W13</f>
        <v>2.3752601501148869E-4</v>
      </c>
      <c r="E13" s="232">
        <f>('Summary Table'!E15-X13)/X13</f>
        <v>6.2311053001988623E-4</v>
      </c>
      <c r="F13" s="232">
        <f>('Summary Table'!F15-Y13)/Y13</f>
        <v>-3.3390410345973628E-3</v>
      </c>
      <c r="G13" s="232">
        <f>('Summary Table'!G15-Z13)/Z13</f>
        <v>-2.6170273111884703E-5</v>
      </c>
      <c r="H13" s="232">
        <f>('Summary Table'!H15-AA13)/AA13</f>
        <v>-1.234777618326921E-3</v>
      </c>
      <c r="I13" s="232">
        <f>('Summary Table'!I15-AB13)/AB13</f>
        <v>-2.0485932308548661E-3</v>
      </c>
      <c r="J13" s="232">
        <f>('Summary Table'!J15-AC13)/AC13</f>
        <v>-1.5932509383621248E-3</v>
      </c>
      <c r="K13" s="232">
        <f>('Summary Table'!K15-AD13)/AD13</f>
        <v>-1.848899361270322E-3</v>
      </c>
      <c r="L13" s="232">
        <f>('Summary Table'!L15-AE13)/AE13</f>
        <v>-9.4306147277394966E-5</v>
      </c>
      <c r="M13" s="232">
        <f>('Summary Table'!M15-AF13)/AF13</f>
        <v>5.8730888948937653E-3</v>
      </c>
      <c r="N13" s="232">
        <f>('Summary Table'!N15-AG13)/AG13</f>
        <v>6.4084771354663763E-4</v>
      </c>
      <c r="O13" s="232">
        <f>('Summary Table'!O15-AH13)/AH13</f>
        <v>-2.0341784615133455E-3</v>
      </c>
      <c r="P13" s="232">
        <f>('Summary Table'!P15-AI13)/AI13</f>
        <v>-2.7740246616011531E-3</v>
      </c>
      <c r="Q13" s="232">
        <f>('Summary Table'!Q15-AJ13)/AJ13</f>
        <v>-5.1287138544387481E-3</v>
      </c>
      <c r="R13"/>
      <c r="S13"/>
      <c r="U13" s="6" t="s">
        <v>1434</v>
      </c>
      <c r="V13" s="25">
        <v>238.56711924781334</v>
      </c>
      <c r="W13" s="25">
        <v>247.25764074258657</v>
      </c>
      <c r="X13" s="25">
        <v>254.43643585745409</v>
      </c>
      <c r="Y13" s="25">
        <v>269.12795543791941</v>
      </c>
      <c r="Z13" s="25">
        <v>262.95044093021261</v>
      </c>
      <c r="AA13" s="25">
        <v>263.09056684850066</v>
      </c>
      <c r="AB13" s="25">
        <v>284.57493321052988</v>
      </c>
      <c r="AC13" s="25">
        <v>270.55488418705011</v>
      </c>
      <c r="AD13" s="25">
        <v>246.59560906796827</v>
      </c>
      <c r="AE13" s="25">
        <v>256.40339578444809</v>
      </c>
      <c r="AF13" s="25">
        <v>269.22471855722654</v>
      </c>
      <c r="AG13" s="25">
        <v>259.02297050925318</v>
      </c>
      <c r="AH13" s="25">
        <v>265.59344955</v>
      </c>
      <c r="AI13" s="25">
        <v>276.94359696666675</v>
      </c>
      <c r="AJ13" s="25">
        <v>265.54065816666667</v>
      </c>
      <c r="AK13"/>
    </row>
    <row r="14" spans="1:37">
      <c r="B14" s="6" t="s">
        <v>1441</v>
      </c>
      <c r="C14" s="232">
        <f>('Summary Table'!C16-V14)/V14</f>
        <v>-2.7962133439311948E-3</v>
      </c>
      <c r="D14" s="232">
        <f>('Summary Table'!D16-W14)/W14</f>
        <v>-2.5252295447548918E-4</v>
      </c>
      <c r="E14" s="232">
        <f>('Summary Table'!E16-X14)/X14</f>
        <v>-2.7544368443258987E-4</v>
      </c>
      <c r="F14" s="232">
        <f>('Summary Table'!F16-Y14)/Y14</f>
        <v>-3.7212239162261506E-3</v>
      </c>
      <c r="G14" s="232">
        <f>('Summary Table'!G16-Z14)/Z14</f>
        <v>-1.1951545282220186E-3</v>
      </c>
      <c r="H14" s="232">
        <f>('Summary Table'!H16-AA14)/AA14</f>
        <v>-1.937874126936871E-3</v>
      </c>
      <c r="I14" s="232">
        <f>('Summary Table'!I16-AB14)/AB14</f>
        <v>-2.928383117823178E-3</v>
      </c>
      <c r="J14" s="232">
        <f>('Summary Table'!J16-AC14)/AC14</f>
        <v>-1.710615488605781E-3</v>
      </c>
      <c r="K14" s="232">
        <f>('Summary Table'!K16-AD14)/AD14</f>
        <v>-1.4045811733078618E-3</v>
      </c>
      <c r="L14" s="232">
        <f>('Summary Table'!L16-AE14)/AE14</f>
        <v>-9.897375439943362E-4</v>
      </c>
      <c r="M14" s="232">
        <f>('Summary Table'!M16-AF14)/AF14</f>
        <v>4.0398197482276257E-3</v>
      </c>
      <c r="N14" s="232">
        <f>('Summary Table'!N16-AG14)/AG14</f>
        <v>-4.2742100234157447E-3</v>
      </c>
      <c r="O14" s="232">
        <f>('Summary Table'!O16-AH14)/AH14</f>
        <v>-1.8451595215776362E-3</v>
      </c>
      <c r="P14" s="232">
        <f>('Summary Table'!P16-AI14)/AI14</f>
        <v>-1.4535239176111422E-2</v>
      </c>
      <c r="Q14" s="232">
        <f>('Summary Table'!Q16-AJ14)/AJ14</f>
        <v>4.3475642830992409E-2</v>
      </c>
      <c r="R14"/>
      <c r="S14"/>
      <c r="U14" s="6" t="s">
        <v>1441</v>
      </c>
      <c r="V14" s="25">
        <v>142.42298048459099</v>
      </c>
      <c r="W14" s="25">
        <v>148.16584848777021</v>
      </c>
      <c r="X14" s="25">
        <v>152.18620272714037</v>
      </c>
      <c r="Y14" s="25">
        <v>155.43873329766399</v>
      </c>
      <c r="Z14" s="25">
        <v>157.21591175073934</v>
      </c>
      <c r="AA14" s="25">
        <v>164.52729255154784</v>
      </c>
      <c r="AB14" s="25">
        <v>171.62351815140485</v>
      </c>
      <c r="AC14" s="25">
        <v>174.54899075677915</v>
      </c>
      <c r="AD14" s="25">
        <v>163.55910483065847</v>
      </c>
      <c r="AE14" s="25">
        <v>165.34376830421266</v>
      </c>
      <c r="AF14" s="25">
        <v>171.8040091991889</v>
      </c>
      <c r="AG14" s="25">
        <v>164.90470970069671</v>
      </c>
      <c r="AH14" s="25">
        <v>170.78012508333336</v>
      </c>
      <c r="AI14" s="25">
        <v>175.42576681666668</v>
      </c>
      <c r="AJ14" s="25">
        <v>162.70304343333333</v>
      </c>
      <c r="AK14"/>
    </row>
    <row r="15" spans="1:37">
      <c r="B15" s="6" t="s">
        <v>1443</v>
      </c>
      <c r="C15" s="232">
        <f>('Summary Table'!C17-V15)/V15</f>
        <v>-1.38542479341265E-2</v>
      </c>
      <c r="D15" s="232">
        <f>('Summary Table'!D17-W15)/W15</f>
        <v>-1.3568221751418323E-2</v>
      </c>
      <c r="E15" s="232">
        <f>('Summary Table'!E17-X15)/X15</f>
        <v>-2.2555773134829267E-2</v>
      </c>
      <c r="F15" s="232">
        <f>('Summary Table'!F17-Y15)/Y15</f>
        <v>-1.9904409746725384E-2</v>
      </c>
      <c r="G15" s="232">
        <f>('Summary Table'!G17-Z15)/Z15</f>
        <v>-1.463036999702357E-2</v>
      </c>
      <c r="H15" s="232">
        <f>('Summary Table'!H17-AA15)/AA15</f>
        <v>-1.7869366186887736E-2</v>
      </c>
      <c r="I15" s="232">
        <f>('Summary Table'!I17-AB15)/AB15</f>
        <v>-1.7202015906988423E-2</v>
      </c>
      <c r="J15" s="232">
        <f>('Summary Table'!J17-AC15)/AC15</f>
        <v>-1.6422543973631815E-2</v>
      </c>
      <c r="K15" s="232">
        <f>('Summary Table'!K17-AD15)/AD15</f>
        <v>-1.6587690029053428E-2</v>
      </c>
      <c r="L15" s="232">
        <f>('Summary Table'!L17-AE15)/AE15</f>
        <v>-1.8252764729081938E-2</v>
      </c>
      <c r="M15" s="232">
        <f>('Summary Table'!M17-AF15)/AF15</f>
        <v>-7.5913399466486361E-3</v>
      </c>
      <c r="N15" s="232">
        <f>('Summary Table'!N17-AG15)/AG15</f>
        <v>-9.9858351104079902E-3</v>
      </c>
      <c r="O15" s="232">
        <f>('Summary Table'!O17-AH15)/AH15</f>
        <v>-7.0876926445030538E-3</v>
      </c>
      <c r="P15" s="232">
        <f>('Summary Table'!P17-AI15)/AI15</f>
        <v>-2.4824088529206674E-3</v>
      </c>
      <c r="Q15" s="232">
        <f>('Summary Table'!Q17-AJ15)/AJ15</f>
        <v>-2.2194342738217836E-2</v>
      </c>
      <c r="R15"/>
      <c r="S15"/>
      <c r="U15" s="6" t="s">
        <v>1443</v>
      </c>
      <c r="V15" s="25">
        <v>413.16466157459598</v>
      </c>
      <c r="W15" s="25">
        <v>419.28338388485332</v>
      </c>
      <c r="X15" s="25">
        <v>439.21419333628279</v>
      </c>
      <c r="Y15" s="25">
        <v>445.85671018661191</v>
      </c>
      <c r="Z15" s="25">
        <v>444.71499890876498</v>
      </c>
      <c r="AA15" s="25">
        <v>469.86417836672382</v>
      </c>
      <c r="AB15" s="25">
        <v>485.58000083649137</v>
      </c>
      <c r="AC15" s="25">
        <v>485.86527400761076</v>
      </c>
      <c r="AD15" s="25">
        <v>474.09268184965657</v>
      </c>
      <c r="AE15" s="25">
        <v>453.90650169706623</v>
      </c>
      <c r="AF15" s="25">
        <v>461.68955204299556</v>
      </c>
      <c r="AG15" s="25">
        <v>424.84253643197468</v>
      </c>
      <c r="AH15" s="25">
        <v>431.16591620805514</v>
      </c>
      <c r="AI15" s="25">
        <v>416.11902052232591</v>
      </c>
      <c r="AJ15" s="25">
        <v>428.39401160339264</v>
      </c>
      <c r="AK15"/>
    </row>
    <row r="16" spans="1:37">
      <c r="B16" s="6" t="s">
        <v>1445</v>
      </c>
      <c r="C16" s="232">
        <f>('Summary Table'!C18-V16)/V16</f>
        <v>2.8549713204152308E-3</v>
      </c>
      <c r="D16" s="232">
        <f>('Summary Table'!D18-W16)/W16</f>
        <v>4.2877500155492267E-3</v>
      </c>
      <c r="E16" s="232">
        <f>('Summary Table'!E18-X16)/X16</f>
        <v>3.9382009834045282E-3</v>
      </c>
      <c r="F16" s="232">
        <f>('Summary Table'!F18-Y16)/Y16</f>
        <v>4.6168812717548276E-3</v>
      </c>
      <c r="G16" s="232">
        <f>('Summary Table'!G18-Z16)/Z16</f>
        <v>4.9284624752715805E-3</v>
      </c>
      <c r="H16" s="232">
        <f>('Summary Table'!H18-AA16)/AA16</f>
        <v>6.0152175611928732E-3</v>
      </c>
      <c r="I16" s="232">
        <f>('Summary Table'!I18-AB16)/AB16</f>
        <v>5.9017561773352829E-3</v>
      </c>
      <c r="J16" s="232">
        <f>('Summary Table'!J18-AC16)/AC16</f>
        <v>6.3844165672804088E-3</v>
      </c>
      <c r="K16" s="232">
        <f>('Summary Table'!K18-AD16)/AD16</f>
        <v>5.1875047652363308E-3</v>
      </c>
      <c r="L16" s="232">
        <f>('Summary Table'!L18-AE16)/AE16</f>
        <v>6.448894457756699E-3</v>
      </c>
      <c r="M16" s="232">
        <f>('Summary Table'!M18-AF16)/AF16</f>
        <v>4.9122525425640403E-3</v>
      </c>
      <c r="N16" s="232">
        <f>('Summary Table'!N18-AG16)/AG16</f>
        <v>2.9326263574927902E-2</v>
      </c>
      <c r="O16" s="232">
        <f>('Summary Table'!O18-AH16)/AH16</f>
        <v>7.4374615314544217E-4</v>
      </c>
      <c r="P16" s="232">
        <f>('Summary Table'!P18-AI16)/AI16</f>
        <v>-0.10750974556758633</v>
      </c>
      <c r="Q16" s="232">
        <f>('Summary Table'!Q18-AJ16)/AJ16</f>
        <v>-0.14579158844423287</v>
      </c>
      <c r="R16"/>
      <c r="S16"/>
      <c r="U16" s="6" t="s">
        <v>1445</v>
      </c>
      <c r="V16" s="25">
        <v>35.898140666666663</v>
      </c>
      <c r="W16" s="25">
        <v>32.730657666666659</v>
      </c>
      <c r="X16" s="25">
        <v>32.097161066666672</v>
      </c>
      <c r="Y16" s="25">
        <v>33.997650866666667</v>
      </c>
      <c r="Z16" s="25">
        <v>37.378586236148131</v>
      </c>
      <c r="AA16" s="25">
        <v>38.168170150000002</v>
      </c>
      <c r="AB16" s="25">
        <v>38.854458133333331</v>
      </c>
      <c r="AC16" s="25">
        <v>41.12448761666667</v>
      </c>
      <c r="AD16" s="25">
        <v>35.106269916666676</v>
      </c>
      <c r="AE16" s="25">
        <v>35.58139236666667</v>
      </c>
      <c r="AF16" s="25">
        <v>35.475809600000005</v>
      </c>
      <c r="AG16" s="25">
        <v>33.892068099999996</v>
      </c>
      <c r="AH16" s="25">
        <v>37.059551099999993</v>
      </c>
      <c r="AI16" s="25">
        <v>37.270716633333329</v>
      </c>
      <c r="AJ16" s="25">
        <v>37.376299400000001</v>
      </c>
      <c r="AK16"/>
    </row>
    <row r="17" spans="2:37">
      <c r="B17" s="6" t="s">
        <v>1447</v>
      </c>
      <c r="C17" s="232">
        <f>('Summary Table'!C19-V17)/V17</f>
        <v>-3.1416747326126209E-3</v>
      </c>
      <c r="D17" s="232">
        <f>('Summary Table'!D19-W17)/W17</f>
        <v>-6.3595315990307398E-3</v>
      </c>
      <c r="E17" s="232">
        <f>('Summary Table'!E19-X17)/X17</f>
        <v>-6.6958043958828461E-3</v>
      </c>
      <c r="F17" s="232">
        <f>('Summary Table'!F19-Y17)/Y17</f>
        <v>-4.8792125772083462E-3</v>
      </c>
      <c r="G17" s="232">
        <f>('Summary Table'!G19-Z17)/Z17</f>
        <v>-4.1359508538084165E-3</v>
      </c>
      <c r="H17" s="232">
        <f>('Summary Table'!H19-AA17)/AA17</f>
        <v>-5.4283371385766121E-3</v>
      </c>
      <c r="I17" s="232">
        <f>('Summary Table'!I19-AB17)/AB17</f>
        <v>-5.5097799981958344E-3</v>
      </c>
      <c r="J17" s="232">
        <f>('Summary Table'!J19-AC17)/AC17</f>
        <v>-5.4258996427886718E-3</v>
      </c>
      <c r="K17" s="232">
        <f>('Summary Table'!K19-AD17)/AD17</f>
        <v>-5.6443685740226006E-3</v>
      </c>
      <c r="L17" s="232">
        <f>('Summary Table'!L19-AE17)/AE17</f>
        <v>-3.8255067063778774E-3</v>
      </c>
      <c r="M17" s="232">
        <f>('Summary Table'!M19-AF17)/AF17</f>
        <v>-1.8845183133118558E-3</v>
      </c>
      <c r="N17" s="232">
        <f>('Summary Table'!N19-AG17)/AG17</f>
        <v>-5.6609186020380967E-4</v>
      </c>
      <c r="O17" s="232">
        <f>('Summary Table'!O19-AH17)/AH17</f>
        <v>1.2504574940871021E-3</v>
      </c>
      <c r="P17" s="232">
        <f>('Summary Table'!P19-AI17)/AI17</f>
        <v>1.7577517488506791E-3</v>
      </c>
      <c r="Q17" s="232">
        <f>('Summary Table'!Q19-AJ17)/AJ17</f>
        <v>3.0520418283049647E-3</v>
      </c>
      <c r="R17"/>
      <c r="S17"/>
      <c r="U17" s="6" t="s">
        <v>1447</v>
      </c>
      <c r="V17" s="25">
        <v>175.91269938540631</v>
      </c>
      <c r="W17" s="25">
        <v>180.11184252632265</v>
      </c>
      <c r="X17" s="25">
        <v>187.3289777761039</v>
      </c>
      <c r="Y17" s="25">
        <v>188.50209475148279</v>
      </c>
      <c r="Z17" s="25">
        <v>211.73032168396807</v>
      </c>
      <c r="AA17" s="25">
        <v>229.41801337900537</v>
      </c>
      <c r="AB17" s="25">
        <v>205.99579680091978</v>
      </c>
      <c r="AC17" s="25">
        <v>220.00716592850137</v>
      </c>
      <c r="AD17" s="25">
        <v>249.07198333757853</v>
      </c>
      <c r="AE17" s="25">
        <v>260.94345548385917</v>
      </c>
      <c r="AF17" s="25">
        <v>281.35126374892883</v>
      </c>
      <c r="AG17" s="25">
        <v>289.52252580750064</v>
      </c>
      <c r="AH17" s="25">
        <v>305.62658058226833</v>
      </c>
      <c r="AI17" s="25">
        <v>277.63937530977319</v>
      </c>
      <c r="AJ17" s="25">
        <v>295.84735892380093</v>
      </c>
      <c r="AK17"/>
    </row>
    <row r="18" spans="2:37">
      <c r="B18" s="6" t="s">
        <v>1476</v>
      </c>
      <c r="C18" s="232"/>
      <c r="D18" s="232"/>
      <c r="E18" s="232"/>
      <c r="F18" s="232"/>
      <c r="G18" s="232"/>
      <c r="H18" s="232"/>
      <c r="I18" s="232"/>
      <c r="J18" s="232"/>
      <c r="K18" s="232"/>
      <c r="L18" s="232"/>
      <c r="M18" s="232">
        <f>('Summary Table'!M20-AF18)/AF18</f>
        <v>4.9257113690555857E-3</v>
      </c>
      <c r="N18" s="232">
        <f>('Summary Table'!N20-AG18)/AG18</f>
        <v>2.2768941627778557E-3</v>
      </c>
      <c r="O18" s="232">
        <f>('Summary Table'!O20-AH18)/AH18</f>
        <v>2.2233741075839324E-3</v>
      </c>
      <c r="P18" s="232">
        <f>('Summary Table'!P20-AI18)/AI18</f>
        <v>1.3047536252773747E-3</v>
      </c>
      <c r="Q18" s="232">
        <f>('Summary Table'!Q20-AJ18)/AJ18</f>
        <v>9.6565094065961257E-4</v>
      </c>
      <c r="R18"/>
      <c r="S18"/>
      <c r="U18" s="6" t="s">
        <v>1476</v>
      </c>
      <c r="V18" s="25" t="s">
        <v>108</v>
      </c>
      <c r="W18" s="25" t="s">
        <v>108</v>
      </c>
      <c r="X18" s="25" t="s">
        <v>108</v>
      </c>
      <c r="Y18" s="25" t="s">
        <v>108</v>
      </c>
      <c r="Z18" s="25" t="s">
        <v>108</v>
      </c>
      <c r="AA18" s="25" t="s">
        <v>108</v>
      </c>
      <c r="AB18" s="25" t="s">
        <v>108</v>
      </c>
      <c r="AC18" s="25" t="s">
        <v>108</v>
      </c>
      <c r="AD18" s="25" t="s">
        <v>108</v>
      </c>
      <c r="AE18" s="25" t="s">
        <v>108</v>
      </c>
      <c r="AF18" s="25">
        <v>0.66882756324197923</v>
      </c>
      <c r="AG18" s="25">
        <v>1.2097622460981747</v>
      </c>
      <c r="AH18" s="25">
        <v>1.2062386667406078</v>
      </c>
      <c r="AI18" s="25">
        <v>1.4223701772817718</v>
      </c>
      <c r="AJ18" s="25">
        <v>1.3055467472483333</v>
      </c>
      <c r="AK18"/>
    </row>
    <row r="19" spans="2:37">
      <c r="B19" s="5" t="s">
        <v>1440</v>
      </c>
      <c r="C19" s="235">
        <f>('Summary Table'!C21-V19)/V19</f>
        <v>1.1300256249735338E-2</v>
      </c>
      <c r="D19" s="235">
        <f>('Summary Table'!D21-W19)/W19</f>
        <v>6.0269352319623883E-3</v>
      </c>
      <c r="E19" s="235">
        <f>('Summary Table'!E21-X19)/X19</f>
        <v>2.9374256578547828E-3</v>
      </c>
      <c r="F19" s="235">
        <f>('Summary Table'!F21-Y19)/Y19</f>
        <v>6.1437956220938101E-4</v>
      </c>
      <c r="G19" s="235">
        <f>('Summary Table'!G21-Z19)/Z19</f>
        <v>-1.6374586043213615E-3</v>
      </c>
      <c r="H19" s="235">
        <f>('Summary Table'!H21-AA19)/AA19</f>
        <v>7.2703727098095781E-3</v>
      </c>
      <c r="I19" s="235">
        <f>('Summary Table'!I21-AB19)/AB19</f>
        <v>2.3925641600307168E-3</v>
      </c>
      <c r="J19" s="235">
        <f>('Summary Table'!J21-AC19)/AC19</f>
        <v>2.0890518156781298E-3</v>
      </c>
      <c r="K19" s="235">
        <f>('Summary Table'!K21-AD19)/AD19</f>
        <v>1.4285458480736332E-2</v>
      </c>
      <c r="L19" s="235">
        <f>('Summary Table'!L21-AE19)/AE19</f>
        <v>3.1052065914441373E-3</v>
      </c>
      <c r="M19" s="235">
        <f>('Summary Table'!M21-AF19)/AF19</f>
        <v>2.4723930628641987E-2</v>
      </c>
      <c r="N19" s="235">
        <f>('Summary Table'!N21-AG19)/AG19</f>
        <v>5.5475726943827281E-3</v>
      </c>
      <c r="O19" s="235">
        <f>('Summary Table'!O21-AH19)/AH19</f>
        <v>9.7712606505746692E-3</v>
      </c>
      <c r="P19" s="235">
        <f>('Summary Table'!P21-AI19)/AI19</f>
        <v>1.101707585405998E-2</v>
      </c>
      <c r="Q19" s="235">
        <f>('Summary Table'!Q21-AJ19)/AJ19</f>
        <v>6.064774574236648E-3</v>
      </c>
      <c r="R19"/>
      <c r="S19"/>
      <c r="U19" s="5" t="s">
        <v>1440</v>
      </c>
      <c r="V19" s="29">
        <v>2005.2981248097842</v>
      </c>
      <c r="W19" s="29">
        <v>1951.2395763751981</v>
      </c>
      <c r="X19" s="29">
        <v>1999.1707549709756</v>
      </c>
      <c r="Y19" s="29">
        <v>2027.197952290195</v>
      </c>
      <c r="Z19" s="29">
        <v>2062.7191654224985</v>
      </c>
      <c r="AA19" s="29">
        <v>2040.3494390332417</v>
      </c>
      <c r="AB19" s="29">
        <v>2118.8132999787567</v>
      </c>
      <c r="AC19" s="29">
        <v>2128.355606389287</v>
      </c>
      <c r="AD19" s="29">
        <v>2159.9294788752341</v>
      </c>
      <c r="AE19" s="29">
        <v>2224.4371696888693</v>
      </c>
      <c r="AF19" s="29">
        <v>2279.9417883026604</v>
      </c>
      <c r="AG19" s="29">
        <v>2331.2525043924074</v>
      </c>
      <c r="AH19" s="29">
        <v>2314.4744885090449</v>
      </c>
      <c r="AI19" s="29">
        <v>2369.8357581249325</v>
      </c>
      <c r="AJ19" s="29">
        <v>2439.1600871319552</v>
      </c>
      <c r="AK19"/>
    </row>
    <row r="20" spans="2:37">
      <c r="B20" s="6" t="s">
        <v>1434</v>
      </c>
      <c r="C20" s="232">
        <f>('Summary Table'!C22-V20)/V20</f>
        <v>1.2843512318519488E-2</v>
      </c>
      <c r="D20" s="232">
        <f>('Summary Table'!D22-W20)/W20</f>
        <v>1.395440967514134E-2</v>
      </c>
      <c r="E20" s="232">
        <f>('Summary Table'!E22-X20)/X20</f>
        <v>5.7443470940630346E-3</v>
      </c>
      <c r="F20" s="232">
        <f>('Summary Table'!F22-Y20)/Y20</f>
        <v>9.5267540364657247E-3</v>
      </c>
      <c r="G20" s="232">
        <f>('Summary Table'!G22-Z20)/Z20</f>
        <v>-2.8753846534606328E-4</v>
      </c>
      <c r="H20" s="232">
        <f>('Summary Table'!H22-AA20)/AA20</f>
        <v>-1.1235556002582395E-2</v>
      </c>
      <c r="I20" s="232">
        <f>('Summary Table'!I22-AB20)/AB20</f>
        <v>-1.4686117149225453E-2</v>
      </c>
      <c r="J20" s="232">
        <f>('Summary Table'!J22-AC20)/AC20</f>
        <v>7.1955101766511828E-3</v>
      </c>
      <c r="K20" s="232">
        <f>('Summary Table'!K22-AD20)/AD20</f>
        <v>-1.6393129483514068E-2</v>
      </c>
      <c r="L20" s="232">
        <f>('Summary Table'!L22-AE20)/AE20</f>
        <v>-1.4794863784088737E-2</v>
      </c>
      <c r="M20" s="232">
        <f>('Summary Table'!M22-AF20)/AF20</f>
        <v>1.4837218869762543E-3</v>
      </c>
      <c r="N20" s="232">
        <f>('Summary Table'!N22-AG20)/AG20</f>
        <v>1.2824517211738076E-2</v>
      </c>
      <c r="O20" s="232">
        <f>('Summary Table'!O22-AH20)/AH20</f>
        <v>1.5643176733332112E-2</v>
      </c>
      <c r="P20" s="232">
        <f>('Summary Table'!P22-AI20)/AI20</f>
        <v>1.8567394923803337E-2</v>
      </c>
      <c r="Q20" s="232">
        <f>('Summary Table'!Q22-AJ20)/AJ20</f>
        <v>6.5228057241277495E-3</v>
      </c>
      <c r="R20"/>
      <c r="S20"/>
      <c r="U20" s="6" t="s">
        <v>1434</v>
      </c>
      <c r="V20" s="25">
        <v>96.542467855631259</v>
      </c>
      <c r="W20" s="25">
        <v>96.60411656955074</v>
      </c>
      <c r="X20" s="25">
        <v>96.343964388841329</v>
      </c>
      <c r="Y20" s="25">
        <v>94.482571037821415</v>
      </c>
      <c r="Z20" s="25">
        <v>92.135972688731982</v>
      </c>
      <c r="AA20" s="25">
        <v>89.704070415035943</v>
      </c>
      <c r="AB20" s="25">
        <v>99.359089945491448</v>
      </c>
      <c r="AC20" s="25">
        <v>92.724160978962956</v>
      </c>
      <c r="AD20" s="25">
        <v>85.773328270325507</v>
      </c>
      <c r="AE20" s="25">
        <v>94.595660025045973</v>
      </c>
      <c r="AF20" s="25">
        <v>99.666400731071192</v>
      </c>
      <c r="AG20" s="25">
        <v>101.39005876980799</v>
      </c>
      <c r="AH20" s="25">
        <v>93.349541620551889</v>
      </c>
      <c r="AI20" s="25">
        <v>100.86248674757772</v>
      </c>
      <c r="AJ20" s="25">
        <v>103.0336907065567</v>
      </c>
      <c r="AK20"/>
    </row>
    <row r="21" spans="2:37">
      <c r="B21" s="6" t="s">
        <v>1441</v>
      </c>
      <c r="C21" s="232">
        <f>('Summary Table'!C23-V21)/V21</f>
        <v>8.5238640009208458E-2</v>
      </c>
      <c r="D21" s="232">
        <f>('Summary Table'!D23-W21)/W21</f>
        <v>0.11683597730151302</v>
      </c>
      <c r="E21" s="232">
        <f>('Summary Table'!E23-X21)/X21</f>
        <v>6.9800023815608445E-2</v>
      </c>
      <c r="F21" s="232">
        <f>('Summary Table'!F23-Y21)/Y21</f>
        <v>6.4658605000888839E-2</v>
      </c>
      <c r="G21" s="232">
        <f>('Summary Table'!G23-Z21)/Z21</f>
        <v>5.0053440322186907E-2</v>
      </c>
      <c r="H21" s="232">
        <f>('Summary Table'!H23-AA21)/AA21</f>
        <v>5.5849645036191178E-2</v>
      </c>
      <c r="I21" s="232">
        <f>('Summary Table'!I23-AB21)/AB21</f>
        <v>4.7601421993887477E-2</v>
      </c>
      <c r="J21" s="232">
        <f>('Summary Table'!J23-AC21)/AC21</f>
        <v>7.7814103447923125E-2</v>
      </c>
      <c r="K21" s="232">
        <f>('Summary Table'!K23-AD21)/AD21</f>
        <v>7.2251021530047199E-2</v>
      </c>
      <c r="L21" s="232">
        <f>('Summary Table'!L23-AE21)/AE21</f>
        <v>4.8280467078038264E-2</v>
      </c>
      <c r="M21" s="232">
        <f>('Summary Table'!M23-AF21)/AF21</f>
        <v>0.12005834368092874</v>
      </c>
      <c r="N21" s="232">
        <f>('Summary Table'!N23-AG21)/AG21</f>
        <v>6.9685260631178747E-2</v>
      </c>
      <c r="O21" s="232">
        <f>('Summary Table'!O23-AH21)/AH21</f>
        <v>0.11096340410813706</v>
      </c>
      <c r="P21" s="232">
        <f>('Summary Table'!P23-AI21)/AI21</f>
        <v>0.13258320433665483</v>
      </c>
      <c r="Q21" s="232">
        <f>('Summary Table'!Q23-AJ21)/AJ21</f>
        <v>6.0459748250048066E-2</v>
      </c>
      <c r="R21"/>
      <c r="S21"/>
      <c r="U21" s="6" t="s">
        <v>1441</v>
      </c>
      <c r="V21" s="25">
        <v>68.479877603119476</v>
      </c>
      <c r="W21" s="25">
        <v>65.728392836984682</v>
      </c>
      <c r="X21" s="25">
        <v>60.400755839594588</v>
      </c>
      <c r="Y21" s="25">
        <v>53.41991766497474</v>
      </c>
      <c r="Z21" s="25">
        <v>53.682491606260882</v>
      </c>
      <c r="AA21" s="25">
        <v>49.619981575803465</v>
      </c>
      <c r="AB21" s="25">
        <v>52.340574891555455</v>
      </c>
      <c r="AC21" s="25">
        <v>47.582376419997772</v>
      </c>
      <c r="AD21" s="25">
        <v>44.637092797079873</v>
      </c>
      <c r="AE21" s="25">
        <v>43.677906153341205</v>
      </c>
      <c r="AF21" s="25">
        <v>49.347654615009873</v>
      </c>
      <c r="AG21" s="25">
        <v>51.424031978279373</v>
      </c>
      <c r="AH21" s="25">
        <v>44.973198119922827</v>
      </c>
      <c r="AI21" s="25">
        <v>52.458285168464748</v>
      </c>
      <c r="AJ21" s="25">
        <v>55.057330142798101</v>
      </c>
      <c r="AK21"/>
    </row>
    <row r="22" spans="2:37">
      <c r="B22" s="6" t="s">
        <v>1443</v>
      </c>
      <c r="C22" s="232">
        <f>('Summary Table'!C24-V22)/V22</f>
        <v>6.6900461242847944E-2</v>
      </c>
      <c r="D22" s="232">
        <f>('Summary Table'!D24-W22)/W22</f>
        <v>0.10762170428018707</v>
      </c>
      <c r="E22" s="232">
        <f>('Summary Table'!E24-X22)/X22</f>
        <v>2.8948049749647074E-2</v>
      </c>
      <c r="F22" s="232">
        <f>('Summary Table'!F24-Y22)/Y22</f>
        <v>8.1267721810763013E-2</v>
      </c>
      <c r="G22" s="232">
        <f>('Summary Table'!G24-Z22)/Z22</f>
        <v>3.2206325843784578E-2</v>
      </c>
      <c r="H22" s="232">
        <f>('Summary Table'!H24-AA22)/AA22</f>
        <v>0.10208901053610896</v>
      </c>
      <c r="I22" s="232">
        <f>('Summary Table'!I24-AB22)/AB22</f>
        <v>2.1439424041886441E-2</v>
      </c>
      <c r="J22" s="232">
        <f>('Summary Table'!J24-AC22)/AC22</f>
        <v>1.2653042220927261E-2</v>
      </c>
      <c r="K22" s="232">
        <f>('Summary Table'!K24-AD22)/AD22</f>
        <v>0.10490761130208755</v>
      </c>
      <c r="L22" s="232">
        <f>('Summary Table'!L24-AE22)/AE22</f>
        <v>1.7080005537828728E-2</v>
      </c>
      <c r="M22" s="232">
        <f>('Summary Table'!M24-AF22)/AF22</f>
        <v>9.7047076982740149E-2</v>
      </c>
      <c r="N22" s="232">
        <f>('Summary Table'!N24-AG22)/AG22</f>
        <v>7.3409528870127952E-3</v>
      </c>
      <c r="O22" s="232">
        <f>('Summary Table'!O24-AH22)/AH22</f>
        <v>4.430324117915023E-2</v>
      </c>
      <c r="P22" s="232">
        <f>('Summary Table'!P24-AI22)/AI22</f>
        <v>9.3769655141068067E-3</v>
      </c>
      <c r="Q22" s="232">
        <f>('Summary Table'!Q24-AJ22)/AJ22</f>
        <v>5.0556828780969724E-2</v>
      </c>
      <c r="R22"/>
      <c r="S22"/>
      <c r="U22" s="6" t="s">
        <v>1443</v>
      </c>
      <c r="V22" s="25">
        <v>286.68875977946658</v>
      </c>
      <c r="W22" s="25">
        <v>264.33667304019718</v>
      </c>
      <c r="X22" s="25">
        <v>292.56189014184577</v>
      </c>
      <c r="Y22" s="25">
        <v>271.07936182117646</v>
      </c>
      <c r="Z22" s="25">
        <v>279.90707646968991</v>
      </c>
      <c r="AA22" s="25">
        <v>264.93882621465104</v>
      </c>
      <c r="AB22" s="25">
        <v>293.83913504760051</v>
      </c>
      <c r="AC22" s="25">
        <v>290.48133682494188</v>
      </c>
      <c r="AD22" s="25">
        <v>266.69181341867687</v>
      </c>
      <c r="AE22" s="25">
        <v>268.36034325061695</v>
      </c>
      <c r="AF22" s="25">
        <v>273.70356042696272</v>
      </c>
      <c r="AG22" s="25">
        <v>310.22969939559158</v>
      </c>
      <c r="AH22" s="25">
        <v>294.56137966656183</v>
      </c>
      <c r="AI22" s="25">
        <v>310.75777374853709</v>
      </c>
      <c r="AJ22" s="25">
        <v>317.98368936507546</v>
      </c>
      <c r="AK22"/>
    </row>
    <row r="23" spans="2:37">
      <c r="B23" s="6" t="s">
        <v>1445</v>
      </c>
      <c r="C23" s="232">
        <f>('Summary Table'!C25-V23)/V23</f>
        <v>5.2477541098770557E-3</v>
      </c>
      <c r="D23" s="232">
        <f>('Summary Table'!D25-W23)/W23</f>
        <v>-6.9047084518328566E-3</v>
      </c>
      <c r="E23" s="232">
        <f>('Summary Table'!E25-X23)/X23</f>
        <v>4.736777918709593E-3</v>
      </c>
      <c r="F23" s="232">
        <f>('Summary Table'!F25-Y23)/Y23</f>
        <v>-6.8048326320977832E-3</v>
      </c>
      <c r="G23" s="232">
        <f>('Summary Table'!G25-Z23)/Z23</f>
        <v>5.6878740915265161E-4</v>
      </c>
      <c r="H23" s="232">
        <f>('Summary Table'!H25-AA23)/AA23</f>
        <v>4.3704755416231497E-4</v>
      </c>
      <c r="I23" s="232">
        <f>('Summary Table'!I25-AB23)/AB23</f>
        <v>7.8035553343733903E-3</v>
      </c>
      <c r="J23" s="232">
        <f>('Summary Table'!J25-AC23)/AC23</f>
        <v>7.3709538689739965E-3</v>
      </c>
      <c r="K23" s="232">
        <f>('Summary Table'!K25-AD23)/AD23</f>
        <v>1.1332212070644339E-2</v>
      </c>
      <c r="L23" s="232">
        <f>('Summary Table'!L25-AE23)/AE23</f>
        <v>1.4069318128930388E-2</v>
      </c>
      <c r="M23" s="232">
        <f>('Summary Table'!M25-AF23)/AF23</f>
        <v>1.4538972579681017E-2</v>
      </c>
      <c r="N23" s="232">
        <f>('Summary Table'!N25-AG23)/AG23</f>
        <v>4.5981452135971717E-3</v>
      </c>
      <c r="O23" s="232">
        <f>('Summary Table'!O25-AH23)/AH23</f>
        <v>2.3995323496178046E-3</v>
      </c>
      <c r="P23" s="232">
        <f>('Summary Table'!P25-AI23)/AI23</f>
        <v>8.4876845435612591E-3</v>
      </c>
      <c r="Q23" s="232">
        <f>('Summary Table'!Q25-AJ23)/AJ23</f>
        <v>-2.6415083304124295E-3</v>
      </c>
      <c r="R23"/>
      <c r="S23"/>
      <c r="U23" s="6" t="s">
        <v>1445</v>
      </c>
      <c r="V23" s="25">
        <v>1425.4627870892034</v>
      </c>
      <c r="W23" s="25">
        <v>1399.1169003809398</v>
      </c>
      <c r="X23" s="25">
        <v>1438.6055052317447</v>
      </c>
      <c r="Y23" s="25">
        <v>1484.5545658146082</v>
      </c>
      <c r="Z23" s="25">
        <v>1515.5225382419128</v>
      </c>
      <c r="AA23" s="25">
        <v>1541.6063424103775</v>
      </c>
      <c r="AB23" s="25">
        <v>1575.9810818721085</v>
      </c>
      <c r="AC23" s="25">
        <v>1590.4057031904706</v>
      </c>
      <c r="AD23" s="25">
        <v>1625.2146763462526</v>
      </c>
      <c r="AE23" s="25">
        <v>1686.801326136916</v>
      </c>
      <c r="AF23" s="25">
        <v>1731.3793393805927</v>
      </c>
      <c r="AG23" s="25">
        <v>1719.6707764506687</v>
      </c>
      <c r="AH23" s="25">
        <v>1761.7039647509446</v>
      </c>
      <c r="AI23" s="25">
        <v>1763.7503788518302</v>
      </c>
      <c r="AJ23" s="25">
        <v>1818.0960775081878</v>
      </c>
      <c r="AK23"/>
    </row>
    <row r="24" spans="2:37">
      <c r="B24" s="6" t="s">
        <v>1447</v>
      </c>
      <c r="C24" s="232">
        <f>('Summary Table'!C26-V24)/V24</f>
        <v>-3.1963243400916275E-2</v>
      </c>
      <c r="D24" s="232">
        <f>('Summary Table'!D26-W24)/W24</f>
        <v>-3.9693959290430826E-2</v>
      </c>
      <c r="E24" s="232">
        <f>('Summary Table'!E26-X24)/X24</f>
        <v>-3.9711281678693332E-2</v>
      </c>
      <c r="F24" s="232">
        <f>('Summary Table'!F26-Y24)/Y24</f>
        <v>-3.8855942107165753E-2</v>
      </c>
      <c r="G24" s="232">
        <f>('Summary Table'!G26-Z24)/Z24</f>
        <v>-3.7047418586255119E-2</v>
      </c>
      <c r="H24" s="232">
        <f>('Summary Table'!H26-AA24)/AA24</f>
        <v>-3.4042988867146746E-2</v>
      </c>
      <c r="I24" s="232">
        <f>('Summary Table'!I26-AB24)/AB24</f>
        <v>-3.5856877419088856E-2</v>
      </c>
      <c r="J24" s="232">
        <f>('Summary Table'!J26-AC24)/AC24</f>
        <v>-3.3839871398149618E-2</v>
      </c>
      <c r="K24" s="232">
        <f>('Summary Table'!K26-AD24)/AD24</f>
        <v>-3.673861039456533E-2</v>
      </c>
      <c r="L24" s="232">
        <f>('Summary Table'!L26-AE24)/AE24</f>
        <v>-3.6479049286774513E-2</v>
      </c>
      <c r="M24" s="232">
        <f>('Summary Table'!M26-AF24)/AF24</f>
        <v>-3.3682412779474043E-2</v>
      </c>
      <c r="N24" s="232">
        <f>('Summary Table'!N26-AG24)/AG24</f>
        <v>-3.5442049247136259E-2</v>
      </c>
      <c r="O24" s="232">
        <f>('Summary Table'!O26-AH24)/AH24</f>
        <v>-2.8955864107945213E-2</v>
      </c>
      <c r="P24" s="232">
        <f>('Summary Table'!P26-AI24)/AI24</f>
        <v>-3.2819089798803013E-2</v>
      </c>
      <c r="Q24" s="232">
        <f>('Summary Table'!Q26-AJ24)/AJ24</f>
        <v>-2.7027056358108151E-2</v>
      </c>
      <c r="R24"/>
      <c r="S24"/>
      <c r="U24" s="6" t="s">
        <v>1447</v>
      </c>
      <c r="V24" s="25">
        <v>100.75907760266418</v>
      </c>
      <c r="W24" s="25">
        <v>94.426836928064958</v>
      </c>
      <c r="X24" s="25">
        <v>78.651078489562721</v>
      </c>
      <c r="Y24" s="25">
        <v>89.908908066622359</v>
      </c>
      <c r="Z24" s="25">
        <v>84.372638455150408</v>
      </c>
      <c r="AA24" s="25">
        <v>60.780939924339691</v>
      </c>
      <c r="AB24" s="25">
        <v>65.754026839808077</v>
      </c>
      <c r="AC24" s="25">
        <v>74.736477005270473</v>
      </c>
      <c r="AD24" s="25">
        <v>105.12485696324856</v>
      </c>
      <c r="AE24" s="25">
        <v>97.385847961678863</v>
      </c>
      <c r="AF24" s="25">
        <v>91.610072000062644</v>
      </c>
      <c r="AG24" s="25">
        <v>102.18257573665015</v>
      </c>
      <c r="AH24" s="25">
        <v>79.146620362682867</v>
      </c>
      <c r="AI24" s="25">
        <v>98.355575275053354</v>
      </c>
      <c r="AJ24" s="25">
        <v>98.507592351404753</v>
      </c>
      <c r="AK24"/>
    </row>
    <row r="25" spans="2:37">
      <c r="B25" s="6" t="s">
        <v>1476</v>
      </c>
      <c r="C25" s="232">
        <f>('Summary Table'!C27-V25)/V25</f>
        <v>-0.28708753583410745</v>
      </c>
      <c r="D25" s="232">
        <f>('Summary Table'!D27-W25)/W25</f>
        <v>-0.39666516385591688</v>
      </c>
      <c r="E25" s="232">
        <f>('Summary Table'!E27-X25)/X25</f>
        <v>-0.33909643680885654</v>
      </c>
      <c r="F25" s="232">
        <f>('Summary Table'!F27-Y25)/Y25</f>
        <v>-0.34199002531489076</v>
      </c>
      <c r="G25" s="232">
        <f>('Summary Table'!G27-Z25)/Z25</f>
        <v>-0.34473458856683631</v>
      </c>
      <c r="H25" s="232">
        <f>('Summary Table'!H27-AA25)/AA25</f>
        <v>-0.37333782723525499</v>
      </c>
      <c r="I25" s="232">
        <f>('Summary Table'!I27-AB25)/AB25</f>
        <v>-0.38691783748543268</v>
      </c>
      <c r="J25" s="232">
        <f>('Summary Table'!J27-AC25)/AC25</f>
        <v>-0.39452649542643503</v>
      </c>
      <c r="K25" s="232">
        <f>('Summary Table'!K27-AD25)/AD25</f>
        <v>-0.41543513671278226</v>
      </c>
      <c r="L25" s="232">
        <f>('Summary Table'!L27-AE25)/AE25</f>
        <v>-0.55226894153439021</v>
      </c>
      <c r="M25" s="232">
        <f>('Summary Table'!M27-AF25)/AF25</f>
        <v>4.8129114345711266E-2</v>
      </c>
      <c r="N25" s="232">
        <f>('Summary Table'!N27-AG25)/AG25</f>
        <v>3.2054531998853837E-2</v>
      </c>
      <c r="O25" s="232">
        <f>('Summary Table'!O27-AH25)/AH25</f>
        <v>2.8943213018161988E-2</v>
      </c>
      <c r="P25" s="232">
        <f>('Summary Table'!P27-AI25)/AI25</f>
        <v>6.0127426865885535E-2</v>
      </c>
      <c r="Q25" s="232">
        <f>('Summary Table'!Q27-AJ25)/AJ25</f>
        <v>4.6916828054109398E-2</v>
      </c>
      <c r="R25"/>
      <c r="S25"/>
      <c r="U25" s="6" t="s">
        <v>1476</v>
      </c>
      <c r="V25" s="25">
        <v>27.365154879699432</v>
      </c>
      <c r="W25" s="25">
        <v>31.026656619460805</v>
      </c>
      <c r="X25" s="25">
        <v>32.607560879386455</v>
      </c>
      <c r="Y25" s="25">
        <v>33.752627884991902</v>
      </c>
      <c r="Z25" s="25">
        <v>37.098447960752431</v>
      </c>
      <c r="AA25" s="25">
        <v>33.699278493033987</v>
      </c>
      <c r="AB25" s="25">
        <v>31.539391382192537</v>
      </c>
      <c r="AC25" s="25">
        <v>32.425551969643323</v>
      </c>
      <c r="AD25" s="25">
        <v>32.487711079650353</v>
      </c>
      <c r="AE25" s="25">
        <v>33.616086161270061</v>
      </c>
      <c r="AF25" s="25">
        <v>34.234761148961098</v>
      </c>
      <c r="AG25" s="25">
        <v>46.355362061409998</v>
      </c>
      <c r="AH25" s="25">
        <v>40.739783988380886</v>
      </c>
      <c r="AI25" s="25">
        <v>43.651258333469123</v>
      </c>
      <c r="AJ25" s="25">
        <v>46.481707057932496</v>
      </c>
      <c r="AK25"/>
    </row>
    <row r="26" spans="2:37">
      <c r="B26" s="5" t="s">
        <v>1479</v>
      </c>
      <c r="C26" s="235">
        <f>('Summary Table'!C28-V26)/V26</f>
        <v>0.35957072413719326</v>
      </c>
      <c r="D26" s="235">
        <f>('Summary Table'!D28-W26)/W26</f>
        <v>0.31654917260368309</v>
      </c>
      <c r="E26" s="235">
        <f>('Summary Table'!E28-X26)/X26</f>
        <v>0.31448954076854663</v>
      </c>
      <c r="F26" s="235">
        <f>('Summary Table'!F28-Y26)/Y26</f>
        <v>0.29008432146299179</v>
      </c>
      <c r="G26" s="235">
        <f>('Summary Table'!G28-Z26)/Z26</f>
        <v>0.29041291760563348</v>
      </c>
      <c r="H26" s="235">
        <f>('Summary Table'!H28-AA26)/AA26</f>
        <v>0.24706535871469471</v>
      </c>
      <c r="I26" s="235">
        <f>('Summary Table'!I28-AB26)/AB26</f>
        <v>0.25844335315825462</v>
      </c>
      <c r="J26" s="235">
        <f>('Summary Table'!J28-AC26)/AC26</f>
        <v>0.27109782742462096</v>
      </c>
      <c r="K26" s="235">
        <f>('Summary Table'!K28-AD26)/AD26</f>
        <v>0.26170326185038489</v>
      </c>
      <c r="L26" s="235">
        <f>('Summary Table'!L28-AE26)/AE26</f>
        <v>0.27555520285582863</v>
      </c>
      <c r="M26" s="235">
        <f>('Summary Table'!M28-AF26)/AF26</f>
        <v>0.27555520285582852</v>
      </c>
      <c r="N26" s="235">
        <f>('Summary Table'!N28-AG26)/AG26</f>
        <v>0.27555539919504884</v>
      </c>
      <c r="O26" s="235">
        <f>('Summary Table'!O28-AH26)/AH26</f>
        <v>0.26136872886998697</v>
      </c>
      <c r="P26" s="235">
        <f>('Summary Table'!P28-AI26)/AI26</f>
        <v>0.26150704906082084</v>
      </c>
      <c r="Q26" s="235">
        <f>('Summary Table'!Q28-AJ26)/AJ26</f>
        <v>0.2692644955033317</v>
      </c>
      <c r="R26"/>
      <c r="S26"/>
      <c r="U26" s="5" t="s">
        <v>1479</v>
      </c>
      <c r="V26" s="29">
        <v>0.39585577228934549</v>
      </c>
      <c r="W26" s="29">
        <v>0.40950486228566185</v>
      </c>
      <c r="X26" s="29">
        <v>0.4139039291642676</v>
      </c>
      <c r="Y26" s="29">
        <v>0.43059049330576571</v>
      </c>
      <c r="Z26" s="29">
        <v>0.39845087242408977</v>
      </c>
      <c r="AA26" s="29">
        <v>0.34312347194604231</v>
      </c>
      <c r="AB26" s="29">
        <v>0.36749984956918197</v>
      </c>
      <c r="AC26" s="29">
        <v>0.37769276436973759</v>
      </c>
      <c r="AD26" s="29">
        <v>0.37891914167047236</v>
      </c>
      <c r="AE26" s="29">
        <v>0.38028091393880309</v>
      </c>
      <c r="AF26" s="29">
        <v>0.36145911550249227</v>
      </c>
      <c r="AG26" s="29">
        <v>0.35241422383976045</v>
      </c>
      <c r="AH26" s="29">
        <v>0.37167085582042159</v>
      </c>
      <c r="AI26" s="29">
        <v>0.36994449945199998</v>
      </c>
      <c r="AJ26" s="29">
        <v>0.36820044607133329</v>
      </c>
      <c r="AK26"/>
    </row>
    <row r="27" spans="2:37">
      <c r="B27" s="4" t="s">
        <v>1480</v>
      </c>
      <c r="C27" s="237">
        <f>('Summary Table'!C30-V27)/V27</f>
        <v>1.125837573834256E-2</v>
      </c>
      <c r="D27" s="237">
        <f>('Summary Table'!D30-W27)/W27</f>
        <v>9.3231429143429256E-3</v>
      </c>
      <c r="E27" s="237">
        <f>('Summary Table'!E30-X27)/X27</f>
        <v>6.8132994144463575E-3</v>
      </c>
      <c r="F27" s="237">
        <f>('Summary Table'!F30-Y27)/Y27</f>
        <v>4.3853614351786812E-3</v>
      </c>
      <c r="G27" s="237">
        <f>('Summary Table'!G30-Z27)/Z27</f>
        <v>3.7431028928664387E-3</v>
      </c>
      <c r="H27" s="237">
        <f>('Summary Table'!H30-AA27)/AA27</f>
        <v>6.7440737822598946E-3</v>
      </c>
      <c r="I27" s="237">
        <f>('Summary Table'!I30-AB27)/AB27</f>
        <v>4.0677294556891175E-3</v>
      </c>
      <c r="J27" s="237">
        <f>('Summary Table'!J30-AC27)/AC27</f>
        <v>4.391645145168154E-3</v>
      </c>
      <c r="K27" s="237">
        <f>('Summary Table'!K30-AD27)/AD27</f>
        <v>1.0732383685323164E-2</v>
      </c>
      <c r="L27" s="237">
        <f>('Summary Table'!L30-AE27)/AE27</f>
        <v>5.7905365214000505E-3</v>
      </c>
      <c r="M27" s="237">
        <f>('Summary Table'!M30-AF27)/AF27</f>
        <v>1.5587960201776338E-2</v>
      </c>
      <c r="N27" s="237">
        <f>('Summary Table'!N30-AG27)/AG27</f>
        <v>6.6579069800682105E-3</v>
      </c>
      <c r="O27" s="237">
        <f>('Summary Table'!O30-AH27)/AH27</f>
        <v>1.1288893543426199E-2</v>
      </c>
      <c r="P27" s="237">
        <f>('Summary Table'!P30-AI27)/AI27</f>
        <v>1.1126437734082896E-2</v>
      </c>
      <c r="Q27" s="237">
        <f>('Summary Table'!Q30-AJ27)/AJ27</f>
        <v>9.8598352199278805E-3</v>
      </c>
      <c r="R27"/>
      <c r="S27"/>
      <c r="U27" s="4" t="s">
        <v>1480</v>
      </c>
      <c r="V27" s="30">
        <v>4694.0632335535065</v>
      </c>
      <c r="W27" s="30">
        <v>4656.840477725892</v>
      </c>
      <c r="X27" s="30">
        <v>4760.4617402576096</v>
      </c>
      <c r="Y27" s="30">
        <v>4887.6757033821241</v>
      </c>
      <c r="Z27" s="30">
        <v>4952.952706793707</v>
      </c>
      <c r="AA27" s="30">
        <v>4997.288132068712</v>
      </c>
      <c r="AB27" s="30">
        <v>5184.7819081321713</v>
      </c>
      <c r="AC27" s="30">
        <v>5243.2256961084895</v>
      </c>
      <c r="AD27" s="30">
        <v>5272.7136071803898</v>
      </c>
      <c r="AE27" s="30">
        <v>5343.224549239826</v>
      </c>
      <c r="AF27" s="30">
        <v>5534.3025520718465</v>
      </c>
      <c r="AG27" s="30">
        <v>5487.5299022307217</v>
      </c>
      <c r="AH27" s="30">
        <v>5503.0610894922002</v>
      </c>
      <c r="AI27" s="30">
        <v>5572.4125145140197</v>
      </c>
      <c r="AJ27" s="30">
        <v>5657.7141267602046</v>
      </c>
      <c r="AK27"/>
    </row>
  </sheetData>
  <phoneticPr fontId="3" type="noConversion"/>
  <conditionalFormatting sqref="C5:Q27">
    <cfRule type="cellIs" dxfId="46" priority="1" stopIfTrue="1" operator="greaterThan">
      <formula>0.1</formula>
    </cfRule>
    <cfRule type="cellIs" dxfId="45" priority="2" stopIfTrue="1" operator="lessThan">
      <formula>-0.1</formula>
    </cfRule>
  </conditionalFormatting>
  <printOptions verticalCentered="1" gridLines="1" gridLinesSet="0"/>
  <pageMargins left="0.5" right="0.5" top="0.5" bottom="0.75" header="0.27" footer="0.21"/>
  <pageSetup scale="81" fitToWidth="2" fitToHeight="3" orientation="landscape" horizontalDpi="4294967292" r:id="rId1"/>
  <headerFooter alignWithMargins="0">
    <oddHeader>&amp;L&amp;12GREENHOUSE GAS INVENTORY:  ENERGY</oddHeader>
    <oddFooter>&amp;LPage &amp;P of &amp;N&amp;C&amp;F  &amp;A&amp;R&amp;D  &amp;T</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BR36"/>
  <sheetViews>
    <sheetView workbookViewId="0">
      <selection activeCell="C34" sqref="C34"/>
    </sheetView>
  </sheetViews>
  <sheetFormatPr defaultColWidth="9" defaultRowHeight="12.95"/>
  <cols>
    <col min="1" max="1" width="6" style="1" customWidth="1"/>
    <col min="2" max="2" width="31" style="1" customWidth="1"/>
    <col min="3" max="3" width="9.6640625" style="1" customWidth="1"/>
    <col min="4" max="17" width="9.6640625" style="1" hidden="1" customWidth="1"/>
    <col min="18" max="21" width="9.6640625" style="1" customWidth="1"/>
    <col min="22" max="29" width="9.6640625" style="1" hidden="1" customWidth="1"/>
    <col min="30" max="35" width="9.6640625" style="1" customWidth="1"/>
    <col min="36" max="36" width="18.6640625" style="1" bestFit="1" customWidth="1"/>
    <col min="37" max="37" width="38.6640625" style="1" bestFit="1" customWidth="1"/>
    <col min="38" max="38" width="16.1640625" style="1" bestFit="1" customWidth="1"/>
    <col min="39" max="39" width="15" style="1" customWidth="1"/>
    <col min="40" max="40" width="10" style="1" customWidth="1"/>
    <col min="41" max="41" width="15.33203125" style="1" bestFit="1" customWidth="1"/>
    <col min="42" max="42" width="16.1640625" style="1" bestFit="1" customWidth="1"/>
    <col min="43" max="66" width="10" style="1" customWidth="1"/>
    <col min="67" max="70" width="9.83203125" style="1" customWidth="1"/>
    <col min="71" max="16384" width="9" style="1"/>
  </cols>
  <sheetData>
    <row r="1" spans="1:70" ht="17.45">
      <c r="A1" s="497" t="s">
        <v>1525</v>
      </c>
      <c r="AL1" s="301"/>
      <c r="AM1" s="301"/>
      <c r="AN1" s="301"/>
      <c r="AO1" s="301"/>
      <c r="AP1" s="301"/>
      <c r="AQ1" s="301"/>
      <c r="AR1" s="301"/>
      <c r="AS1" s="301"/>
      <c r="AT1" s="301"/>
      <c r="AU1" s="301"/>
      <c r="AV1" s="301"/>
      <c r="AW1" s="301"/>
      <c r="AX1" s="301"/>
      <c r="AY1" s="301"/>
      <c r="AZ1" s="301"/>
      <c r="BA1" s="301"/>
      <c r="BB1" s="301"/>
      <c r="BC1" s="301"/>
      <c r="BD1" s="301"/>
      <c r="BE1" s="301"/>
      <c r="BF1" s="301"/>
      <c r="BG1" s="301"/>
      <c r="BH1" s="301"/>
      <c r="BI1" s="301"/>
      <c r="BJ1" s="301"/>
      <c r="BK1" s="301"/>
      <c r="BL1" s="301"/>
      <c r="BM1" s="301"/>
      <c r="BN1" s="301"/>
    </row>
    <row r="2" spans="1:70" ht="14.25" customHeight="1">
      <c r="A2" s="1123" t="s">
        <v>1526</v>
      </c>
      <c r="H2" s="1132"/>
      <c r="I2" s="1" t="s">
        <v>1527</v>
      </c>
    </row>
    <row r="3" spans="1:70">
      <c r="C3" s="3"/>
      <c r="D3" s="3"/>
      <c r="E3" s="3"/>
      <c r="F3" s="3"/>
      <c r="G3" s="3"/>
      <c r="H3" s="3"/>
      <c r="I3" s="3"/>
      <c r="J3" s="3"/>
      <c r="K3" s="58"/>
      <c r="L3" s="58"/>
      <c r="M3" s="58"/>
      <c r="N3" s="58"/>
      <c r="O3" s="58"/>
      <c r="P3" s="58"/>
      <c r="Q3" s="58"/>
      <c r="R3" s="58"/>
      <c r="S3" s="58"/>
      <c r="T3" s="58"/>
      <c r="U3" s="58"/>
      <c r="V3" s="58"/>
      <c r="W3" s="58"/>
      <c r="X3" s="58"/>
      <c r="Y3" s="58"/>
      <c r="Z3" s="58"/>
      <c r="AA3" s="58"/>
      <c r="AB3" s="58"/>
      <c r="AC3" s="58"/>
      <c r="AD3" s="58"/>
      <c r="AE3" s="58"/>
      <c r="AF3" s="58"/>
      <c r="AG3" s="58"/>
      <c r="AH3" s="58"/>
      <c r="AI3" s="58"/>
    </row>
    <row r="4" spans="1:70">
      <c r="B4" s="4" t="s">
        <v>1503</v>
      </c>
      <c r="C4" s="28">
        <v>1990</v>
      </c>
      <c r="D4" s="28">
        <v>1991</v>
      </c>
      <c r="E4" s="28">
        <v>1992</v>
      </c>
      <c r="F4" s="28">
        <v>1993</v>
      </c>
      <c r="G4" s="28">
        <v>1994</v>
      </c>
      <c r="H4" s="28">
        <v>1995</v>
      </c>
      <c r="I4" s="28">
        <v>1996</v>
      </c>
      <c r="J4" s="28">
        <v>1997</v>
      </c>
      <c r="K4" s="59">
        <v>1998</v>
      </c>
      <c r="L4" s="59">
        <v>1999</v>
      </c>
      <c r="M4" s="59">
        <v>2000</v>
      </c>
      <c r="N4" s="59">
        <v>2001</v>
      </c>
      <c r="O4" s="59">
        <v>2002</v>
      </c>
      <c r="P4" s="59">
        <v>2003</v>
      </c>
      <c r="Q4" s="59">
        <v>2004</v>
      </c>
      <c r="R4" s="59">
        <v>2005</v>
      </c>
      <c r="S4" s="59">
        <v>2006</v>
      </c>
      <c r="T4" s="59">
        <v>2007</v>
      </c>
      <c r="U4" s="59">
        <v>2008</v>
      </c>
      <c r="V4" s="59">
        <v>2009</v>
      </c>
      <c r="W4" s="59">
        <v>2010</v>
      </c>
      <c r="X4" s="59">
        <v>2011</v>
      </c>
      <c r="Y4" s="59">
        <v>2012</v>
      </c>
      <c r="Z4" s="59">
        <v>2013</v>
      </c>
      <c r="AA4" s="59">
        <v>2014</v>
      </c>
      <c r="AB4" s="59">
        <v>2015</v>
      </c>
      <c r="AC4" s="59">
        <v>2016</v>
      </c>
      <c r="AD4" s="59">
        <v>2017</v>
      </c>
      <c r="AE4" s="59">
        <v>2018</v>
      </c>
      <c r="AF4" s="59">
        <v>2019</v>
      </c>
      <c r="AG4" s="59">
        <v>2020</v>
      </c>
      <c r="AH4" s="59">
        <v>2021</v>
      </c>
      <c r="AI4" s="59">
        <v>2022</v>
      </c>
      <c r="AJ4" s="712" t="s">
        <v>1528</v>
      </c>
      <c r="AK4" s="60" t="s">
        <v>1529</v>
      </c>
      <c r="AL4" s="59">
        <v>1990</v>
      </c>
      <c r="AM4" s="59">
        <v>1991</v>
      </c>
      <c r="AN4" s="59">
        <v>1992</v>
      </c>
      <c r="AO4" s="59">
        <v>1993</v>
      </c>
      <c r="AP4" s="59">
        <v>1994</v>
      </c>
      <c r="AQ4" s="59">
        <v>1995</v>
      </c>
      <c r="AR4" s="59">
        <v>1996</v>
      </c>
      <c r="AS4" s="59">
        <v>1997</v>
      </c>
      <c r="AT4" s="59">
        <v>1998</v>
      </c>
      <c r="AU4" s="59">
        <v>1999</v>
      </c>
      <c r="AV4" s="59">
        <v>2000</v>
      </c>
      <c r="AW4" s="59">
        <v>2001</v>
      </c>
      <c r="AX4" s="59">
        <v>2002</v>
      </c>
      <c r="AY4" s="59">
        <v>2003</v>
      </c>
      <c r="AZ4" s="59">
        <v>2004</v>
      </c>
      <c r="BA4" s="59">
        <v>2005</v>
      </c>
      <c r="BB4" s="59">
        <v>2006</v>
      </c>
      <c r="BC4" s="59">
        <v>2007</v>
      </c>
      <c r="BD4" s="59">
        <v>2008</v>
      </c>
      <c r="BE4" s="59">
        <v>2009</v>
      </c>
      <c r="BF4" s="59">
        <v>2010</v>
      </c>
      <c r="BG4" s="59">
        <v>2011</v>
      </c>
      <c r="BH4" s="59">
        <v>2012</v>
      </c>
      <c r="BI4" s="59">
        <v>2013</v>
      </c>
      <c r="BJ4" s="59">
        <v>2014</v>
      </c>
      <c r="BK4" s="59">
        <v>2015</v>
      </c>
      <c r="BL4" s="59">
        <v>2016</v>
      </c>
      <c r="BM4" s="59">
        <v>2017</v>
      </c>
      <c r="BN4" s="59">
        <v>2018</v>
      </c>
      <c r="BO4" s="59">
        <v>2019</v>
      </c>
      <c r="BP4" s="59">
        <v>2020</v>
      </c>
      <c r="BQ4" s="59">
        <v>2021</v>
      </c>
      <c r="BR4" s="59">
        <v>2022</v>
      </c>
    </row>
    <row r="5" spans="1:70">
      <c r="B5" s="5" t="s">
        <v>1434</v>
      </c>
      <c r="C5" s="27">
        <f>SUM(C6:C8)</f>
        <v>5893.3345404395432</v>
      </c>
      <c r="D5" s="27">
        <f t="shared" ref="D5:R5" si="0">SUM(D6:D8)</f>
        <v>6074.5307159096701</v>
      </c>
      <c r="E5" s="27">
        <f t="shared" si="0"/>
        <v>6196.4745550889129</v>
      </c>
      <c r="F5" s="27">
        <f t="shared" si="0"/>
        <v>6433.0802409075968</v>
      </c>
      <c r="G5" s="27">
        <f t="shared" si="0"/>
        <v>6284.3906598920257</v>
      </c>
      <c r="H5" s="27">
        <f t="shared" si="0"/>
        <v>6230.9598536056765</v>
      </c>
      <c r="I5" s="27">
        <f t="shared" si="0"/>
        <v>6765.9843240227738</v>
      </c>
      <c r="J5" s="27">
        <f t="shared" si="0"/>
        <v>6440.9104289960051</v>
      </c>
      <c r="K5" s="27">
        <f t="shared" si="0"/>
        <v>5863.1331198696553</v>
      </c>
      <c r="L5" s="27">
        <f t="shared" si="0"/>
        <v>6189.1115367682578</v>
      </c>
      <c r="M5" s="27">
        <f t="shared" si="0"/>
        <v>6541.3833985358306</v>
      </c>
      <c r="N5" s="27">
        <f t="shared" si="0"/>
        <v>6361.4826877685609</v>
      </c>
      <c r="O5" s="27">
        <f t="shared" si="0"/>
        <v>6363.3029860058978</v>
      </c>
      <c r="P5" s="27">
        <f t="shared" si="0"/>
        <v>6684.8429471630052</v>
      </c>
      <c r="Q5" s="27">
        <f t="shared" si="0"/>
        <v>6462.6705347326579</v>
      </c>
      <c r="R5" s="27">
        <f t="shared" si="0"/>
        <v>6317.3539051394182</v>
      </c>
      <c r="S5" s="27">
        <f t="shared" ref="S5:X5" si="1">SUM(S6:S8)</f>
        <v>5667.8487971365057</v>
      </c>
      <c r="T5" s="27">
        <f t="shared" si="1"/>
        <v>6035.9013662373909</v>
      </c>
      <c r="U5" s="27">
        <f t="shared" si="1"/>
        <v>6190.8500883082324</v>
      </c>
      <c r="V5" s="27">
        <f t="shared" si="1"/>
        <v>6003.3061494952344</v>
      </c>
      <c r="W5" s="27">
        <f t="shared" si="1"/>
        <v>5977.9624798329278</v>
      </c>
      <c r="X5" s="27">
        <f t="shared" si="1"/>
        <v>5840.9159037068766</v>
      </c>
      <c r="Y5" s="27">
        <f t="shared" ref="Y5:AD5" si="2">SUM(Y6:Y8)</f>
        <v>5076.9379758204132</v>
      </c>
      <c r="Z5" s="27">
        <f t="shared" si="2"/>
        <v>5941.8656153366228</v>
      </c>
      <c r="AA5" s="27">
        <f t="shared" si="2"/>
        <v>6248.3324064308654</v>
      </c>
      <c r="AB5" s="27">
        <f t="shared" si="2"/>
        <v>5720.0479567126313</v>
      </c>
      <c r="AC5" s="27">
        <f t="shared" si="2"/>
        <v>5310.72990733199</v>
      </c>
      <c r="AD5" s="27">
        <f t="shared" si="2"/>
        <v>5337.1170504766333</v>
      </c>
      <c r="AE5" s="27">
        <f t="shared" ref="AE5:AF5" si="3">SUM(AE6:AE8)</f>
        <v>6129.8707247370448</v>
      </c>
      <c r="AF5" s="27">
        <f t="shared" si="3"/>
        <v>6203.3515340032218</v>
      </c>
      <c r="AG5" s="27">
        <f t="shared" ref="AG5:AH5" si="4">SUM(AG6:AG8)</f>
        <v>5709.2610667624795</v>
      </c>
      <c r="AH5" s="27">
        <f t="shared" si="4"/>
        <v>5763.6603411342603</v>
      </c>
      <c r="AI5" s="27">
        <f t="shared" ref="AI5" si="5">SUM(AI6:AI8)</f>
        <v>6038.3386301349019</v>
      </c>
      <c r="AJ5" s="232">
        <f t="shared" ref="AJ5:AJ28" si="6">(AI5-AH5)/AH5</f>
        <v>4.7656918128972575E-2</v>
      </c>
      <c r="AK5" s="6" t="s">
        <v>1435</v>
      </c>
      <c r="AL5" s="61">
        <f t="shared" ref="AL5:BM5" si="7">C6+C10+C14+C22+C26</f>
        <v>18090.061292151189</v>
      </c>
      <c r="AM5" s="61">
        <f t="shared" si="7"/>
        <v>18025.703377336977</v>
      </c>
      <c r="AN5" s="61">
        <f t="shared" si="7"/>
        <v>18197.137549370869</v>
      </c>
      <c r="AO5" s="61">
        <f t="shared" si="7"/>
        <v>18958.559545698445</v>
      </c>
      <c r="AP5" s="61">
        <f t="shared" si="7"/>
        <v>19029.180043385448</v>
      </c>
      <c r="AQ5" s="61">
        <f t="shared" si="7"/>
        <v>19162.199531336173</v>
      </c>
      <c r="AR5" s="61">
        <f t="shared" si="7"/>
        <v>20056.119048838253</v>
      </c>
      <c r="AS5" s="61">
        <f t="shared" si="7"/>
        <v>20540.294377854385</v>
      </c>
      <c r="AT5" s="61">
        <f t="shared" si="7"/>
        <v>20824.949463200806</v>
      </c>
      <c r="AU5" s="61">
        <f t="shared" si="7"/>
        <v>20801.205036720734</v>
      </c>
      <c r="AV5" s="61">
        <f t="shared" si="7"/>
        <v>21690.110423746879</v>
      </c>
      <c r="AW5" s="61">
        <f t="shared" si="7"/>
        <v>21112.917018508742</v>
      </c>
      <c r="AX5" s="61">
        <f t="shared" si="7"/>
        <v>21177.06528113722</v>
      </c>
      <c r="AY5" s="61">
        <f t="shared" si="7"/>
        <v>21583.224839447295</v>
      </c>
      <c r="AZ5" s="61">
        <f t="shared" si="7"/>
        <v>21736.962720228868</v>
      </c>
      <c r="BA5" s="61">
        <f t="shared" si="7"/>
        <v>22121.302638836903</v>
      </c>
      <c r="BB5" s="61">
        <f t="shared" si="7"/>
        <v>21790.16880421219</v>
      </c>
      <c r="BC5" s="61">
        <f t="shared" si="7"/>
        <v>22092.862451100485</v>
      </c>
      <c r="BD5" s="61">
        <f t="shared" si="7"/>
        <v>21751.743675357236</v>
      </c>
      <c r="BE5" s="61">
        <f t="shared" si="7"/>
        <v>19253.815833316872</v>
      </c>
      <c r="BF5" s="61">
        <f t="shared" si="7"/>
        <v>20230.76734558832</v>
      </c>
      <c r="BG5" s="61">
        <f t="shared" si="7"/>
        <v>19039.909083843548</v>
      </c>
      <c r="BH5" s="61">
        <f t="shared" si="7"/>
        <v>16723.044526726502</v>
      </c>
      <c r="BI5" s="61">
        <f t="shared" si="7"/>
        <v>17364.294616958978</v>
      </c>
      <c r="BJ5" s="61">
        <f t="shared" si="7"/>
        <v>17337.907765150605</v>
      </c>
      <c r="BK5" s="61">
        <f t="shared" si="7"/>
        <v>14939.115557873538</v>
      </c>
      <c r="BL5" s="61">
        <f t="shared" si="7"/>
        <v>13717.11727351676</v>
      </c>
      <c r="BM5" s="61">
        <f t="shared" si="7"/>
        <v>13281.896489416969</v>
      </c>
      <c r="BN5" s="61">
        <f t="shared" ref="BN5" si="8">AE6+AE10+AE14+AE22+AE26</f>
        <v>12668.454986552853</v>
      </c>
      <c r="BO5" s="61">
        <f>AF6+AF10+AF14+AF22+AF26</f>
        <v>10753.986373371685</v>
      </c>
      <c r="BP5" s="61">
        <f>AG6+AG10+AG14+AG22+AG26</f>
        <v>8725.7197619196177</v>
      </c>
      <c r="BQ5" s="61">
        <f>AH6+AH10+AH14+AH22+AH26</f>
        <v>9993.5865754861716</v>
      </c>
      <c r="BR5" s="61">
        <f>AI6+AI10+AI14+AI22+AI26</f>
        <v>9376.9716249581725</v>
      </c>
    </row>
    <row r="6" spans="1:70">
      <c r="B6" s="6" t="s">
        <v>1435</v>
      </c>
      <c r="C6" s="26">
        <f>'Consumption (E + non-E)'!C6</f>
        <v>31.113999999999997</v>
      </c>
      <c r="D6" s="26">
        <f>'Consumption (E + non-E)'!D6</f>
        <v>25.354999999999997</v>
      </c>
      <c r="E6" s="26">
        <f>'Consumption (E + non-E)'!E6</f>
        <v>25.588999999999995</v>
      </c>
      <c r="F6" s="26">
        <f>'Consumption (E + non-E)'!F6</f>
        <v>25.748999999999999</v>
      </c>
      <c r="G6" s="26">
        <f>'Consumption (E + non-E)'!G6</f>
        <v>20.844999999999999</v>
      </c>
      <c r="H6" s="26">
        <f>'Consumption (E + non-E)'!H6</f>
        <v>17.451000000000001</v>
      </c>
      <c r="I6" s="26">
        <f>'Consumption (E + non-E)'!I6</f>
        <v>16.583999999999996</v>
      </c>
      <c r="J6" s="26">
        <f>'Consumption (E + non-E)'!J6</f>
        <v>15.991999999999999</v>
      </c>
      <c r="K6" s="26">
        <f>'Consumption (E + non-E)'!K6</f>
        <v>11.547999999999998</v>
      </c>
      <c r="L6" s="26">
        <f>'Consumption (E + non-E)'!L6</f>
        <v>13.981</v>
      </c>
      <c r="M6" s="26">
        <f>'Consumption (E + non-E)'!M6</f>
        <v>11.358000000000001</v>
      </c>
      <c r="N6" s="26">
        <f>'Consumption (E + non-E)'!N6</f>
        <v>11.971</v>
      </c>
      <c r="O6" s="26">
        <f>'Consumption (E + non-E)'!O6</f>
        <v>12.247999999999998</v>
      </c>
      <c r="P6" s="26">
        <f>'Consumption (E + non-E)'!P6</f>
        <v>12.246999999999998</v>
      </c>
      <c r="Q6" s="26">
        <f>'Consumption (E + non-E)'!Q6</f>
        <v>11.433999999999999</v>
      </c>
      <c r="R6" s="26">
        <f>'Consumption (E + non-E)'!R6</f>
        <v>8.4350000000000005</v>
      </c>
      <c r="S6" s="26">
        <f>'Consumption (E + non-E)'!S6</f>
        <v>6.4080000000000004</v>
      </c>
      <c r="T6" s="26">
        <f>'Consumption (E + non-E)'!T6</f>
        <v>7.782</v>
      </c>
      <c r="U6" s="26">
        <f>'Consumption (E + non-E)'!U6</f>
        <v>0</v>
      </c>
      <c r="V6" s="26">
        <f>'Consumption (E + non-E)'!V6</f>
        <v>0</v>
      </c>
      <c r="W6" s="26">
        <f>'Consumption (E + non-E)'!W6</f>
        <v>0</v>
      </c>
      <c r="X6" s="26">
        <f>'Consumption (E + non-E)'!X6</f>
        <v>0</v>
      </c>
      <c r="Y6" s="26">
        <f>'Consumption (E + non-E)'!Y6</f>
        <v>0</v>
      </c>
      <c r="Z6" s="26">
        <f>'Consumption (E + non-E)'!Z6</f>
        <v>0</v>
      </c>
      <c r="AA6" s="26">
        <f>'Consumption (E + non-E)'!AA6</f>
        <v>0</v>
      </c>
      <c r="AB6" s="26">
        <f>'Consumption (E + non-E)'!AB6</f>
        <v>0</v>
      </c>
      <c r="AC6" s="26">
        <f>'Consumption (E + non-E)'!AC6</f>
        <v>0</v>
      </c>
      <c r="AD6" s="26">
        <f>'Consumption (E + non-E)'!AD6</f>
        <v>0</v>
      </c>
      <c r="AE6" s="26">
        <f>'Consumption (E + non-E)'!AE6</f>
        <v>0</v>
      </c>
      <c r="AF6" s="26">
        <f>'Consumption (E + non-E)'!AF6</f>
        <v>0</v>
      </c>
      <c r="AG6" s="26">
        <f>'Consumption (E + non-E)'!AG6</f>
        <v>0</v>
      </c>
      <c r="AH6" s="26">
        <f>'Consumption (E + non-E)'!AH6</f>
        <v>0</v>
      </c>
      <c r="AI6" s="26">
        <f>'Consumption (E + non-E)'!AI6</f>
        <v>0</v>
      </c>
      <c r="AJ6" s="232" t="e">
        <f t="shared" si="6"/>
        <v>#DIV/0!</v>
      </c>
      <c r="AK6" s="6" t="s">
        <v>1439</v>
      </c>
      <c r="AL6" s="61">
        <f t="shared" ref="AL6:AU7" si="9">C7+C11+C15+C19+C23+C27</f>
        <v>18841.144154112772</v>
      </c>
      <c r="AM6" s="61">
        <f t="shared" si="9"/>
        <v>19265.441538507148</v>
      </c>
      <c r="AN6" s="61">
        <f t="shared" si="9"/>
        <v>19897.035476242771</v>
      </c>
      <c r="AO6" s="61">
        <f t="shared" si="9"/>
        <v>20401.171272281637</v>
      </c>
      <c r="AP6" s="61">
        <f t="shared" si="9"/>
        <v>20873.480576906608</v>
      </c>
      <c r="AQ6" s="61">
        <f t="shared" si="9"/>
        <v>21776.626341891533</v>
      </c>
      <c r="AR6" s="61">
        <f t="shared" si="9"/>
        <v>22177.687591483649</v>
      </c>
      <c r="AS6" s="61">
        <f t="shared" si="9"/>
        <v>22294.135976647209</v>
      </c>
      <c r="AT6" s="61">
        <f t="shared" si="9"/>
        <v>21870.503341426396</v>
      </c>
      <c r="AU6" s="61">
        <f t="shared" si="9"/>
        <v>21931.115753125607</v>
      </c>
      <c r="AV6" s="61">
        <f t="shared" ref="AV6:BE7" si="10">M7+M11+M15+M19+M23+M27</f>
        <v>22970.769884764082</v>
      </c>
      <c r="AW6" s="61">
        <f t="shared" si="10"/>
        <v>22058.975686239384</v>
      </c>
      <c r="AX6" s="61">
        <f t="shared" si="10"/>
        <v>22763.800097821411</v>
      </c>
      <c r="AY6" s="61">
        <f t="shared" si="10"/>
        <v>22200.570253184684</v>
      </c>
      <c r="AZ6" s="61">
        <f t="shared" si="10"/>
        <v>22301.016779498183</v>
      </c>
      <c r="BA6" s="61">
        <f t="shared" si="10"/>
        <v>21997.026601414134</v>
      </c>
      <c r="BB6" s="61">
        <f t="shared" si="10"/>
        <v>21711.955056991432</v>
      </c>
      <c r="BC6" s="61">
        <f t="shared" si="10"/>
        <v>23102.087500160211</v>
      </c>
      <c r="BD6" s="61">
        <f t="shared" si="10"/>
        <v>23306.721333180863</v>
      </c>
      <c r="BE6" s="61">
        <f t="shared" si="10"/>
        <v>22887.886596184955</v>
      </c>
      <c r="BF6" s="61">
        <f t="shared" ref="BF6:BO7" si="11">W7+W11+W15+W19+W23+W27</f>
        <v>23987.116277131157</v>
      </c>
      <c r="BG6" s="61">
        <f t="shared" si="11"/>
        <v>24351.501519406102</v>
      </c>
      <c r="BH6" s="61">
        <f t="shared" si="11"/>
        <v>25493.824979974281</v>
      </c>
      <c r="BI6" s="61">
        <f t="shared" si="11"/>
        <v>26228.428744635894</v>
      </c>
      <c r="BJ6" s="61">
        <f t="shared" si="11"/>
        <v>26793.328445428917</v>
      </c>
      <c r="BK6" s="61">
        <f t="shared" si="11"/>
        <v>27509.364347065275</v>
      </c>
      <c r="BL6" s="61">
        <f t="shared" si="11"/>
        <v>27621.546138174781</v>
      </c>
      <c r="BM6" s="61">
        <f t="shared" si="11"/>
        <v>27084.723572130981</v>
      </c>
      <c r="BN6" s="61">
        <f t="shared" si="11"/>
        <v>30084.115085488898</v>
      </c>
      <c r="BO6" s="61">
        <f t="shared" si="11"/>
        <v>31180.712607889047</v>
      </c>
      <c r="BP6" s="61">
        <f t="shared" ref="BP6:BR7" si="12">AG7+AG11+AG15+AG19+AG23+AG27</f>
        <v>30539.176990720815</v>
      </c>
      <c r="BQ6" s="61">
        <f t="shared" si="12"/>
        <v>30659.947420455326</v>
      </c>
      <c r="BR6" s="61">
        <f t="shared" si="12"/>
        <v>32297.284921031325</v>
      </c>
    </row>
    <row r="7" spans="1:70">
      <c r="B7" s="6" t="s">
        <v>1439</v>
      </c>
      <c r="C7" s="26">
        <f>'Consumption (E + non-E)'!C7</f>
        <v>4486.5529999999999</v>
      </c>
      <c r="D7" s="26">
        <f>'Consumption (E + non-E)'!D7</f>
        <v>4667.223</v>
      </c>
      <c r="E7" s="26">
        <f>'Consumption (E + non-E)'!E7</f>
        <v>4804.5809999999992</v>
      </c>
      <c r="F7" s="26">
        <f>'Consumption (E + non-E)'!F7</f>
        <v>5058.3729999999996</v>
      </c>
      <c r="G7" s="26">
        <f>'Consumption (E + non-E)'!G7</f>
        <v>4959.84</v>
      </c>
      <c r="H7" s="26">
        <f>'Consumption (E + non-E)'!H7</f>
        <v>4954.1890000000003</v>
      </c>
      <c r="I7" s="26">
        <f>'Consumption (E + non-E)'!I7</f>
        <v>5354.3890000000001</v>
      </c>
      <c r="J7" s="26">
        <f>'Consumption (E + non-E)'!J7</f>
        <v>5092.9189999999999</v>
      </c>
      <c r="K7" s="26">
        <f>'Consumption (E + non-E)'!K7</f>
        <v>4646.0870000000004</v>
      </c>
      <c r="L7" s="26">
        <f>'Consumption (E + non-E)'!L7</f>
        <v>4834.8990000000003</v>
      </c>
      <c r="M7" s="26">
        <f>'Consumption (E + non-E)'!M7</f>
        <v>5104.5929999999989</v>
      </c>
      <c r="N7" s="26">
        <f>'Consumption (E + non-E)'!N7</f>
        <v>4889.018</v>
      </c>
      <c r="O7" s="26">
        <f>'Consumption (E + non-E)'!O7</f>
        <v>4994.9939999999988</v>
      </c>
      <c r="P7" s="26">
        <f>'Consumption (E + non-E)'!P7</f>
        <v>5209.4279999999999</v>
      </c>
      <c r="Q7" s="26">
        <f>'Consumption (E + non-E)'!Q7</f>
        <v>4980.8310000000001</v>
      </c>
      <c r="R7" s="26">
        <f>'Consumption (E + non-E)'!R7</f>
        <v>4946.3540000000003</v>
      </c>
      <c r="S7" s="26">
        <f>'Consumption (E + non-E)'!S7</f>
        <v>4475.9129999999996</v>
      </c>
      <c r="T7" s="26">
        <f>'Consumption (E + non-E)'!T7</f>
        <v>4835.4399999999996</v>
      </c>
      <c r="U7" s="26">
        <f>'Consumption (E + non-E)'!U7</f>
        <v>5010.0609999999997</v>
      </c>
      <c r="V7" s="26">
        <f>'Consumption (E + non-E)'!V7</f>
        <v>4883.1119999999992</v>
      </c>
      <c r="W7" s="26">
        <f>'Consumption (E + non-E)'!W7</f>
        <v>4878.1109999999999</v>
      </c>
      <c r="X7" s="26">
        <f>'Consumption (E + non-E)'!X7</f>
        <v>4804.5789999999997</v>
      </c>
      <c r="Y7" s="26">
        <f>'Consumption (E + non-E)'!Y7</f>
        <v>4242.0940000000001</v>
      </c>
      <c r="Z7" s="26">
        <f>'Consumption (E + non-E)'!Z7</f>
        <v>5022.9419999999991</v>
      </c>
      <c r="AA7" s="26">
        <f>'Consumption (E + non-E)'!AA7</f>
        <v>5242.4830000000002</v>
      </c>
      <c r="AB7" s="26">
        <f>'Consumption (E + non-E)'!AB7</f>
        <v>4776.9269999999997</v>
      </c>
      <c r="AC7" s="26">
        <f>'Consumption (E + non-E)'!AC7</f>
        <v>4505.8440000000001</v>
      </c>
      <c r="AD7" s="26">
        <f>'Consumption (E + non-E)'!AD7</f>
        <v>4563.4719999999998</v>
      </c>
      <c r="AE7" s="26">
        <f>'Consumption (E + non-E)'!AE7</f>
        <v>5174.3940000000002</v>
      </c>
      <c r="AF7" s="26">
        <f>'Consumption (E + non-E)'!AF7</f>
        <v>5208.0320000000002</v>
      </c>
      <c r="AG7" s="26">
        <f>'Consumption (E + non-E)'!AG7</f>
        <v>4845.6809999999996</v>
      </c>
      <c r="AH7" s="26">
        <f>'Consumption (E + non-E)'!AH7</f>
        <v>4888.8850000000002</v>
      </c>
      <c r="AI7" s="26">
        <f>'Consumption (E + non-E)'!AI7</f>
        <v>5139.8580000000002</v>
      </c>
      <c r="AJ7" s="232">
        <f t="shared" si="6"/>
        <v>5.1335427198635257E-2</v>
      </c>
      <c r="AK7" s="6" t="s">
        <v>1440</v>
      </c>
      <c r="AL7" s="61">
        <f t="shared" si="9"/>
        <v>28019.763773323179</v>
      </c>
      <c r="AM7" s="61">
        <f t="shared" si="9"/>
        <v>27120.138135584431</v>
      </c>
      <c r="AN7" s="61">
        <f t="shared" si="9"/>
        <v>27645.740070792061</v>
      </c>
      <c r="AO7" s="61">
        <f t="shared" si="9"/>
        <v>27994.225354512226</v>
      </c>
      <c r="AP7" s="61">
        <f t="shared" si="9"/>
        <v>28495.581520631851</v>
      </c>
      <c r="AQ7" s="61">
        <f t="shared" si="9"/>
        <v>28458.973827162805</v>
      </c>
      <c r="AR7" s="61">
        <f t="shared" si="9"/>
        <v>29361.60736904942</v>
      </c>
      <c r="AS7" s="61">
        <f t="shared" si="9"/>
        <v>29477.320875571066</v>
      </c>
      <c r="AT7" s="61">
        <f t="shared" si="9"/>
        <v>30228.650702812283</v>
      </c>
      <c r="AU7" s="61">
        <f t="shared" si="9"/>
        <v>30831.165691318391</v>
      </c>
      <c r="AV7" s="111">
        <f t="shared" si="10"/>
        <v>32105.589090940797</v>
      </c>
      <c r="AW7" s="111">
        <f t="shared" si="10"/>
        <v>32319.417457114803</v>
      </c>
      <c r="AX7" s="111">
        <f t="shared" si="10"/>
        <v>32198.25383961634</v>
      </c>
      <c r="AY7" s="111">
        <f t="shared" si="10"/>
        <v>32778.869244196372</v>
      </c>
      <c r="AZ7" s="111">
        <f t="shared" si="10"/>
        <v>33694.280346189895</v>
      </c>
      <c r="BA7" s="111">
        <f t="shared" si="10"/>
        <v>33854.413730402201</v>
      </c>
      <c r="BB7" s="111">
        <f t="shared" si="10"/>
        <v>33230.430793833541</v>
      </c>
      <c r="BC7" s="111">
        <f t="shared" si="10"/>
        <v>32936.03636540634</v>
      </c>
      <c r="BD7" s="111">
        <f t="shared" si="10"/>
        <v>30873.803803140938</v>
      </c>
      <c r="BE7" s="111">
        <f t="shared" si="10"/>
        <v>29327.232340812599</v>
      </c>
      <c r="BF7" s="111">
        <f t="shared" si="11"/>
        <v>29403.789473324796</v>
      </c>
      <c r="BG7" s="111">
        <f t="shared" si="11"/>
        <v>28895.737001922902</v>
      </c>
      <c r="BH7" s="111">
        <f t="shared" si="11"/>
        <v>28287.485611902357</v>
      </c>
      <c r="BI7" s="111">
        <f t="shared" si="11"/>
        <v>28676.68193987944</v>
      </c>
      <c r="BJ7" s="111">
        <f t="shared" si="11"/>
        <v>29025.205288573179</v>
      </c>
      <c r="BK7" s="111">
        <f t="shared" si="11"/>
        <v>29410.277953945562</v>
      </c>
      <c r="BL7" s="111">
        <f t="shared" si="11"/>
        <v>29615.690387314713</v>
      </c>
      <c r="BM7" s="111">
        <f t="shared" si="11"/>
        <v>29686.578008998109</v>
      </c>
      <c r="BN7" s="111">
        <f t="shared" si="11"/>
        <v>30221.776602288606</v>
      </c>
      <c r="BO7" s="111">
        <f t="shared" si="11"/>
        <v>30021.131279318019</v>
      </c>
      <c r="BP7" s="111">
        <f t="shared" si="12"/>
        <v>26055.501406011965</v>
      </c>
      <c r="BQ7" s="111">
        <f t="shared" si="12"/>
        <v>28626.005676913202</v>
      </c>
      <c r="BR7" s="111">
        <f t="shared" si="12"/>
        <v>28891.603717749851</v>
      </c>
    </row>
    <row r="8" spans="1:70">
      <c r="B8" s="6" t="s">
        <v>1440</v>
      </c>
      <c r="C8" s="26">
        <f>'Consumption (E + non-E)'!C8</f>
        <v>1375.6675404395437</v>
      </c>
      <c r="D8" s="26">
        <f>'Consumption (E + non-E)'!D8</f>
        <v>1381.9527159096701</v>
      </c>
      <c r="E8" s="26">
        <f>'Consumption (E + non-E)'!E8</f>
        <v>1366.3045550889135</v>
      </c>
      <c r="F8" s="26">
        <f>'Consumption (E + non-E)'!F8</f>
        <v>1348.9582409075979</v>
      </c>
      <c r="G8" s="26">
        <f>'Consumption (E + non-E)'!G8</f>
        <v>1303.7056598920256</v>
      </c>
      <c r="H8" s="26">
        <f>'Consumption (E + non-E)'!H8</f>
        <v>1259.3198536056766</v>
      </c>
      <c r="I8" s="26">
        <f>'Consumption (E + non-E)'!I8</f>
        <v>1395.011324022774</v>
      </c>
      <c r="J8" s="26">
        <f>'Consumption (E + non-E)'!J8</f>
        <v>1331.9994289960048</v>
      </c>
      <c r="K8" s="26">
        <f>'Consumption (E + non-E)'!K8</f>
        <v>1205.4981198696548</v>
      </c>
      <c r="L8" s="26">
        <f>'Consumption (E + non-E)'!L8</f>
        <v>1340.2315367682581</v>
      </c>
      <c r="M8" s="26">
        <f>'Consumption (E + non-E)'!M8</f>
        <v>1425.4323985358319</v>
      </c>
      <c r="N8" s="26">
        <f>'Consumption (E + non-E)'!N8</f>
        <v>1460.4936877685618</v>
      </c>
      <c r="O8" s="26">
        <f>'Consumption (E + non-E)'!O8</f>
        <v>1356.0609860058994</v>
      </c>
      <c r="P8" s="26">
        <f>'Consumption (E + non-E)'!P8</f>
        <v>1463.1679471630052</v>
      </c>
      <c r="Q8" s="26">
        <f>'Consumption (E + non-E)'!Q8</f>
        <v>1470.4055347326575</v>
      </c>
      <c r="R8" s="26">
        <f>'Consumption (E + non-E)'!R8</f>
        <v>1362.5649051394173</v>
      </c>
      <c r="S8" s="26">
        <f>'Consumption (E + non-E)'!S8</f>
        <v>1185.5277971365058</v>
      </c>
      <c r="T8" s="26">
        <f>'Consumption (E + non-E)'!T8</f>
        <v>1192.6793662373909</v>
      </c>
      <c r="U8" s="26">
        <f>'Consumption (E + non-E)'!U8</f>
        <v>1180.7890883082323</v>
      </c>
      <c r="V8" s="26">
        <f>'Consumption (E + non-E)'!V8</f>
        <v>1120.1941494952348</v>
      </c>
      <c r="W8" s="26">
        <f>'Consumption (E + non-E)'!W8</f>
        <v>1099.8514798329275</v>
      </c>
      <c r="X8" s="26">
        <f>'Consumption (E + non-E)'!X8</f>
        <v>1036.3369037068765</v>
      </c>
      <c r="Y8" s="26">
        <f>'Consumption (E + non-E)'!Y8</f>
        <v>834.84397582041333</v>
      </c>
      <c r="Z8" s="26">
        <f>'Consumption (E + non-E)'!Z8</f>
        <v>918.92361533662393</v>
      </c>
      <c r="AA8" s="26">
        <f>'Consumption (E + non-E)'!AA8</f>
        <v>1005.8494064308652</v>
      </c>
      <c r="AB8" s="26">
        <f>'Consumption (E + non-E)'!AB8</f>
        <v>943.12095671263205</v>
      </c>
      <c r="AC8" s="26">
        <f>'Consumption (E + non-E)'!AC8</f>
        <v>804.88590733198987</v>
      </c>
      <c r="AD8" s="26">
        <f>'Consumption (E + non-E)'!AD8</f>
        <v>773.64505047663374</v>
      </c>
      <c r="AE8" s="26">
        <f>'Consumption (E + non-E)'!AE8</f>
        <v>955.47672473704495</v>
      </c>
      <c r="AF8" s="26">
        <f>'Consumption (E + non-E)'!AF8</f>
        <v>995.31953400322186</v>
      </c>
      <c r="AG8" s="26">
        <f>'Consumption (E + non-E)'!AG8</f>
        <v>863.58006676248033</v>
      </c>
      <c r="AH8" s="26">
        <f>'Consumption (E + non-E)'!AH8</f>
        <v>874.77534113425963</v>
      </c>
      <c r="AI8" s="26">
        <f>'Consumption (E + non-E)'!AI8</f>
        <v>898.4806301349015</v>
      </c>
      <c r="AJ8" s="232">
        <f t="shared" si="6"/>
        <v>2.7098716534355995E-2</v>
      </c>
      <c r="AK8" s="4" t="s">
        <v>1530</v>
      </c>
      <c r="AL8" s="62"/>
      <c r="AM8" s="62"/>
      <c r="AN8" s="62"/>
      <c r="AO8" s="62"/>
      <c r="AP8" s="62"/>
      <c r="AQ8" s="62"/>
      <c r="AR8" s="62"/>
      <c r="AS8" s="62"/>
      <c r="AT8" s="62"/>
      <c r="AU8" s="62"/>
      <c r="AV8" s="98"/>
      <c r="AW8" s="62"/>
      <c r="AX8" s="62"/>
      <c r="AY8" s="62"/>
      <c r="AZ8" s="62"/>
      <c r="BA8" s="62"/>
      <c r="BC8" s="62"/>
      <c r="BD8" s="62"/>
      <c r="BE8" s="62"/>
      <c r="BF8" s="62"/>
      <c r="BG8" s="62"/>
      <c r="BH8" s="62"/>
      <c r="BI8" s="62"/>
      <c r="BJ8" s="62"/>
      <c r="BK8" s="62"/>
      <c r="BL8" s="62"/>
      <c r="BM8" s="62"/>
      <c r="BN8" s="62"/>
      <c r="BO8" s="62"/>
      <c r="BP8" s="62"/>
      <c r="BQ8" s="62"/>
      <c r="BR8" s="62"/>
    </row>
    <row r="9" spans="1:70">
      <c r="B9" s="5" t="s">
        <v>1441</v>
      </c>
      <c r="C9" s="27">
        <f>SUM(C10:C12)</f>
        <v>3826.5304584610712</v>
      </c>
      <c r="D9" s="27">
        <f t="shared" ref="D9:R9" si="13">SUM(D10:D12)</f>
        <v>3922.4481333986005</v>
      </c>
      <c r="E9" s="27">
        <f t="shared" si="13"/>
        <v>3878.0988877250243</v>
      </c>
      <c r="F9" s="27">
        <f t="shared" si="13"/>
        <v>3822.0428901488199</v>
      </c>
      <c r="G9" s="27">
        <f t="shared" si="13"/>
        <v>3857.1843432377186</v>
      </c>
      <c r="H9" s="27">
        <f t="shared" si="13"/>
        <v>3936.8559134378102</v>
      </c>
      <c r="I9" s="27">
        <f t="shared" si="13"/>
        <v>4107.4791393430396</v>
      </c>
      <c r="J9" s="27">
        <f t="shared" si="13"/>
        <v>4127.0458451323502</v>
      </c>
      <c r="K9" s="27">
        <f t="shared" si="13"/>
        <v>3842.499007357449</v>
      </c>
      <c r="L9" s="27">
        <f t="shared" si="13"/>
        <v>3857.9613935117422</v>
      </c>
      <c r="M9" s="27">
        <f t="shared" si="13"/>
        <v>4110.1695246670042</v>
      </c>
      <c r="N9" s="27">
        <f t="shared" si="13"/>
        <v>3956.0440897241292</v>
      </c>
      <c r="O9" s="27">
        <f t="shared" si="13"/>
        <v>3996.7902614225236</v>
      </c>
      <c r="P9" s="27">
        <f t="shared" si="13"/>
        <v>4166.0176905808939</v>
      </c>
      <c r="Q9" s="27">
        <f t="shared" si="13"/>
        <v>4112.0283590578238</v>
      </c>
      <c r="R9" s="27">
        <f t="shared" si="13"/>
        <v>3928.924805696262</v>
      </c>
      <c r="S9" s="27">
        <f t="shared" ref="S9:X9" si="14">SUM(S10:S12)</f>
        <v>3678.8476914177982</v>
      </c>
      <c r="T9" s="27">
        <f t="shared" si="14"/>
        <v>3882.9793106338357</v>
      </c>
      <c r="U9" s="27">
        <f t="shared" si="14"/>
        <v>3988.5609096956832</v>
      </c>
      <c r="V9" s="27">
        <f t="shared" si="14"/>
        <v>3983.0636375768054</v>
      </c>
      <c r="W9" s="27">
        <f t="shared" si="14"/>
        <v>3929.8087048315488</v>
      </c>
      <c r="X9" s="27">
        <f t="shared" si="14"/>
        <v>3949.7241481314886</v>
      </c>
      <c r="Y9" s="27">
        <f t="shared" ref="Y9:AD9" si="15">SUM(Y10:Y12)</f>
        <v>3555.428459163465</v>
      </c>
      <c r="Z9" s="27">
        <f t="shared" si="15"/>
        <v>4003.276362143155</v>
      </c>
      <c r="AA9" s="27">
        <f t="shared" si="15"/>
        <v>4171.9946318551629</v>
      </c>
      <c r="AB9" s="27">
        <f t="shared" si="15"/>
        <v>4287.3651164133498</v>
      </c>
      <c r="AC9" s="27">
        <f t="shared" si="15"/>
        <v>4085.9894477908783</v>
      </c>
      <c r="AD9" s="27">
        <f t="shared" si="15"/>
        <v>4108.0357873369694</v>
      </c>
      <c r="AE9" s="27">
        <f t="shared" ref="AE9:AF9" si="16">SUM(AE10:AE12)</f>
        <v>4397.8168118950462</v>
      </c>
      <c r="AF9" s="27">
        <f t="shared" si="16"/>
        <v>4479.3820781789418</v>
      </c>
      <c r="AG9" s="27">
        <f t="shared" ref="AG9:AH9" si="17">SUM(AG10:AG12)</f>
        <v>4073.2220786778184</v>
      </c>
      <c r="AH9" s="27">
        <f t="shared" si="17"/>
        <v>4223.4979273942545</v>
      </c>
      <c r="AI9" s="27">
        <f t="shared" ref="AI9" si="18">SUM(AI10:AI12)</f>
        <v>4380.2999640186235</v>
      </c>
      <c r="AJ9" s="232">
        <f t="shared" si="6"/>
        <v>3.7126107155712573E-2</v>
      </c>
      <c r="AK9" s="6" t="s">
        <v>1435</v>
      </c>
      <c r="AL9" s="61">
        <f t="shared" ref="AL9:AS11" si="19">AL5/$AL5*100</f>
        <v>100</v>
      </c>
      <c r="AM9" s="61">
        <f t="shared" si="19"/>
        <v>99.644236059929014</v>
      </c>
      <c r="AN9" s="61">
        <f t="shared" si="19"/>
        <v>100.59190654741528</v>
      </c>
      <c r="AO9" s="61">
        <f t="shared" si="19"/>
        <v>104.80096910409074</v>
      </c>
      <c r="AP9" s="61">
        <f t="shared" si="19"/>
        <v>105.19135195877816</v>
      </c>
      <c r="AQ9" s="61">
        <f t="shared" si="19"/>
        <v>105.92667001990843</v>
      </c>
      <c r="AR9" s="61">
        <f t="shared" si="19"/>
        <v>110.86816525900929</v>
      </c>
      <c r="AS9" s="61">
        <f t="shared" si="19"/>
        <v>113.54463672694293</v>
      </c>
      <c r="AT9" s="61">
        <f t="shared" ref="AT9:AU11" si="20">AT5/$AL5*100</f>
        <v>115.11818078933882</v>
      </c>
      <c r="AU9" s="61">
        <f t="shared" si="20"/>
        <v>114.98692403958763</v>
      </c>
      <c r="AV9" s="61">
        <f t="shared" ref="AV9:BA11" si="21">AV5/$AL5*100</f>
        <v>119.90070168063862</v>
      </c>
      <c r="AW9" s="61">
        <f t="shared" si="21"/>
        <v>116.71003584531299</v>
      </c>
      <c r="AX9" s="61">
        <f t="shared" si="21"/>
        <v>117.06464084964378</v>
      </c>
      <c r="AY9" s="61">
        <f t="shared" si="21"/>
        <v>119.30984915353326</v>
      </c>
      <c r="AZ9" s="61">
        <f t="shared" si="21"/>
        <v>120.15969636133835</v>
      </c>
      <c r="BA9" s="61">
        <f t="shared" si="21"/>
        <v>122.2842879390064</v>
      </c>
      <c r="BB9" s="230">
        <f t="shared" ref="BB9:BF11" si="22">BB5/$AL5*100</f>
        <v>120.45381412646945</v>
      </c>
      <c r="BC9" s="61">
        <f t="shared" si="22"/>
        <v>122.1270735035376</v>
      </c>
      <c r="BD9" s="61">
        <f t="shared" si="22"/>
        <v>120.24140396248826</v>
      </c>
      <c r="BE9" s="61">
        <f t="shared" si="22"/>
        <v>106.43311552333216</v>
      </c>
      <c r="BF9" s="61">
        <f t="shared" si="22"/>
        <v>111.83360309766294</v>
      </c>
      <c r="BG9" s="61">
        <f t="shared" ref="BG9:BH11" si="23">BG5/$AL5*100</f>
        <v>105.25066099198057</v>
      </c>
      <c r="BH9" s="61">
        <f t="shared" si="23"/>
        <v>92.443271786935284</v>
      </c>
      <c r="BI9" s="61">
        <f t="shared" ref="BI9:BJ11" si="24">BI5/$AL5*100</f>
        <v>95.988036394840165</v>
      </c>
      <c r="BJ9" s="61">
        <f t="shared" si="24"/>
        <v>95.842172589393471</v>
      </c>
      <c r="BK9" s="61">
        <f t="shared" ref="BK9:BL11" si="25">BK5/$AL5*100</f>
        <v>82.581895752643106</v>
      </c>
      <c r="BL9" s="61">
        <f t="shared" si="25"/>
        <v>75.826814801718029</v>
      </c>
      <c r="BM9" s="61">
        <f t="shared" ref="BM9:BM11" si="26">BM5/$AL5*100</f>
        <v>73.42095902781513</v>
      </c>
      <c r="BN9" s="61">
        <f t="shared" ref="BN9:BO9" si="27">BN5/$AL5*100</f>
        <v>70.029917433443785</v>
      </c>
      <c r="BO9" s="61">
        <f t="shared" si="27"/>
        <v>59.446931658753208</v>
      </c>
      <c r="BP9" s="61">
        <f t="shared" ref="BP9:BQ9" si="28">BP5/$AL5*100</f>
        <v>48.234882242800815</v>
      </c>
      <c r="BQ9" s="61">
        <f t="shared" si="28"/>
        <v>55.243519710030675</v>
      </c>
      <c r="BR9" s="61">
        <f t="shared" ref="BR9" si="29">BR5/$AL5*100</f>
        <v>51.834935623057277</v>
      </c>
    </row>
    <row r="10" spans="1:70">
      <c r="B10" s="6" t="s">
        <v>1435</v>
      </c>
      <c r="C10" s="26">
        <f>'Consumption (E + non-E)'!C10</f>
        <v>124.45599999999999</v>
      </c>
      <c r="D10" s="26">
        <f>'Consumption (E + non-E)'!D10</f>
        <v>115.505</v>
      </c>
      <c r="E10" s="26">
        <f>'Consumption (E + non-E)'!E10</f>
        <v>116.57</v>
      </c>
      <c r="F10" s="26">
        <f>'Consumption (E + non-E)'!F10</f>
        <v>117.30200000000001</v>
      </c>
      <c r="G10" s="26">
        <f>'Consumption (E + non-E)'!G10</f>
        <v>118.119</v>
      </c>
      <c r="H10" s="26">
        <f>'Consumption (E + non-E)'!H10</f>
        <v>116.788</v>
      </c>
      <c r="I10" s="26">
        <f>'Consumption (E + non-E)'!I10</f>
        <v>121.613</v>
      </c>
      <c r="J10" s="26">
        <f>'Consumption (E + non-E)'!J10</f>
        <v>129.39099999999996</v>
      </c>
      <c r="K10" s="26">
        <f>'Consumption (E + non-E)'!K10</f>
        <v>93.436000000000007</v>
      </c>
      <c r="L10" s="26">
        <f>'Consumption (E + non-E)'!L10</f>
        <v>102.524</v>
      </c>
      <c r="M10" s="26">
        <f>'Consumption (E + non-E)'!M10</f>
        <v>91.894999999999982</v>
      </c>
      <c r="N10" s="26">
        <f>'Consumption (E + non-E)'!N10</f>
        <v>96.858000000000004</v>
      </c>
      <c r="O10" s="26">
        <f>'Consumption (E + non-E)'!O10</f>
        <v>89.82</v>
      </c>
      <c r="P10" s="26">
        <f>'Consumption (E + non-E)'!P10</f>
        <v>81.962999999999994</v>
      </c>
      <c r="Q10" s="26">
        <f>'Consumption (E + non-E)'!Q10</f>
        <v>102.904</v>
      </c>
      <c r="R10" s="26">
        <f>'Consumption (E + non-E)'!R10</f>
        <v>96.998999999999995</v>
      </c>
      <c r="S10" s="26">
        <f>'Consumption (E + non-E)'!S10</f>
        <v>64.789000000000001</v>
      </c>
      <c r="T10" s="26">
        <f>'Consumption (E + non-E)'!T10</f>
        <v>70.034999999999997</v>
      </c>
      <c r="U10" s="26">
        <f>'Consumption (E + non-E)'!U10</f>
        <v>80.757000000000005</v>
      </c>
      <c r="V10" s="26">
        <f>'Consumption (E + non-E)'!V10</f>
        <v>73.35299999999998</v>
      </c>
      <c r="W10" s="26">
        <f>'Consumption (E + non-E)'!W10</f>
        <v>69.653999999999996</v>
      </c>
      <c r="X10" s="26">
        <f>'Consumption (E + non-E)'!X10</f>
        <v>61.715000000000003</v>
      </c>
      <c r="Y10" s="26">
        <f>'Consumption (E + non-E)'!Y10</f>
        <v>43.552</v>
      </c>
      <c r="Z10" s="26">
        <f>'Consumption (E + non-E)'!Z10</f>
        <v>41.427999999999997</v>
      </c>
      <c r="AA10" s="26">
        <f>'Consumption (E + non-E)'!AA10</f>
        <v>40.204000000000001</v>
      </c>
      <c r="AB10" s="26">
        <f>'Consumption (E + non-E)'!AB10</f>
        <v>31.119</v>
      </c>
      <c r="AC10" s="26">
        <f>'Consumption (E + non-E)'!AC10</f>
        <v>23.745999999999999</v>
      </c>
      <c r="AD10" s="26">
        <f>'Consumption (E + non-E)'!AD10</f>
        <v>20.657</v>
      </c>
      <c r="AE10" s="26">
        <f>'Consumption (E + non-E)'!AE10</f>
        <v>18.721</v>
      </c>
      <c r="AF10" s="26">
        <f>'Consumption (E + non-E)'!AF10</f>
        <v>16.716000000000001</v>
      </c>
      <c r="AG10" s="26">
        <f>'Consumption (E + non-E)'!AG10</f>
        <v>14.512</v>
      </c>
      <c r="AH10" s="26">
        <f>'Consumption (E + non-E)'!AH10</f>
        <v>14.914999999999999</v>
      </c>
      <c r="AI10" s="26">
        <f>'Consumption (E + non-E)'!AI10</f>
        <v>14.461</v>
      </c>
      <c r="AJ10" s="232">
        <f t="shared" si="6"/>
        <v>-3.0439155212872871E-2</v>
      </c>
      <c r="AK10" s="6" t="s">
        <v>1439</v>
      </c>
      <c r="AL10" s="61">
        <f t="shared" si="19"/>
        <v>100</v>
      </c>
      <c r="AM10" s="61">
        <f t="shared" si="19"/>
        <v>102.25197249659468</v>
      </c>
      <c r="AN10" s="61">
        <f t="shared" si="19"/>
        <v>105.60417835293465</v>
      </c>
      <c r="AO10" s="61">
        <f t="shared" si="19"/>
        <v>108.27989587791744</v>
      </c>
      <c r="AP10" s="61">
        <f t="shared" si="19"/>
        <v>110.78669323991241</v>
      </c>
      <c r="AQ10" s="61">
        <f t="shared" si="19"/>
        <v>115.58016946193783</v>
      </c>
      <c r="AR10" s="61">
        <f t="shared" si="19"/>
        <v>117.70881539931615</v>
      </c>
      <c r="AS10" s="61">
        <f t="shared" si="19"/>
        <v>118.32686908125321</v>
      </c>
      <c r="AT10" s="61">
        <f t="shared" si="20"/>
        <v>116.07842476303307</v>
      </c>
      <c r="AU10" s="61">
        <f t="shared" si="20"/>
        <v>116.40012715649402</v>
      </c>
      <c r="AV10" s="61">
        <f t="shared" si="21"/>
        <v>121.91812608020341</v>
      </c>
      <c r="AW10" s="61">
        <f t="shared" si="21"/>
        <v>117.07874800917652</v>
      </c>
      <c r="AX10" s="61">
        <f t="shared" si="21"/>
        <v>120.81962704399976</v>
      </c>
      <c r="AY10" s="61">
        <f t="shared" si="21"/>
        <v>117.83026588827725</v>
      </c>
      <c r="AZ10" s="61">
        <f t="shared" si="21"/>
        <v>118.36338917151252</v>
      </c>
      <c r="BA10" s="61">
        <f t="shared" si="21"/>
        <v>116.74995117858846</v>
      </c>
      <c r="BB10" s="61">
        <f t="shared" si="22"/>
        <v>115.2369244638044</v>
      </c>
      <c r="BC10" s="61">
        <f t="shared" si="22"/>
        <v>122.61509869673881</v>
      </c>
      <c r="BD10" s="61">
        <f t="shared" si="22"/>
        <v>123.70119957971511</v>
      </c>
      <c r="BE10" s="61">
        <f t="shared" si="22"/>
        <v>121.47822026609161</v>
      </c>
      <c r="BF10" s="61">
        <f t="shared" si="22"/>
        <v>127.31241840159207</v>
      </c>
      <c r="BG10" s="61">
        <f t="shared" si="23"/>
        <v>129.24640520883915</v>
      </c>
      <c r="BH10" s="61">
        <f t="shared" si="23"/>
        <v>135.30932501468769</v>
      </c>
      <c r="BI10" s="61">
        <f t="shared" si="24"/>
        <v>139.20825895762056</v>
      </c>
      <c r="BJ10" s="61">
        <f t="shared" si="24"/>
        <v>142.20648293049808</v>
      </c>
      <c r="BK10" s="61">
        <f t="shared" si="25"/>
        <v>146.0068673221225</v>
      </c>
      <c r="BL10" s="61">
        <f t="shared" si="25"/>
        <v>146.60227591404188</v>
      </c>
      <c r="BM10" s="61">
        <f t="shared" si="26"/>
        <v>143.75307226880244</v>
      </c>
      <c r="BN10" s="61">
        <f t="shared" ref="BN10:BO10" si="30">BN6/$AL6*100</f>
        <v>159.67244260440486</v>
      </c>
      <c r="BO10" s="61">
        <f t="shared" si="30"/>
        <v>165.4926704707724</v>
      </c>
      <c r="BP10" s="61">
        <f t="shared" ref="BP10:BQ10" si="31">BP6/$AL6*100</f>
        <v>162.08769881979021</v>
      </c>
      <c r="BQ10" s="61">
        <f t="shared" si="31"/>
        <v>162.72869189720979</v>
      </c>
      <c r="BR10" s="61">
        <f t="shared" ref="BR10" si="32">BR6/$AL6*100</f>
        <v>171.41891520415578</v>
      </c>
    </row>
    <row r="11" spans="1:70">
      <c r="B11" s="6" t="s">
        <v>1439</v>
      </c>
      <c r="C11" s="26">
        <f>'Consumption (E + non-E)'!C11</f>
        <v>2679.5970000000002</v>
      </c>
      <c r="D11" s="26">
        <f>'Consumption (E + non-E)'!D11</f>
        <v>2795.4009999999998</v>
      </c>
      <c r="E11" s="26">
        <f>'Consumption (E + non-E)'!E11</f>
        <v>2871.1860000000001</v>
      </c>
      <c r="F11" s="26">
        <f>'Consumption (E + non-E)'!F11</f>
        <v>2920.4160000000002</v>
      </c>
      <c r="G11" s="26">
        <f>'Consumption (E + non-E)'!G11</f>
        <v>2961.9810000000002</v>
      </c>
      <c r="H11" s="26">
        <f>'Consumption (E + non-E)'!H11</f>
        <v>3095.989</v>
      </c>
      <c r="I11" s="26">
        <f>'Consumption (E + non-E)'!I11</f>
        <v>3226.317</v>
      </c>
      <c r="J11" s="26">
        <f>'Consumption (E + non-E)'!J11</f>
        <v>3285.32</v>
      </c>
      <c r="K11" s="26">
        <f>'Consumption (E + non-E)'!K11</f>
        <v>3082.9749999999999</v>
      </c>
      <c r="L11" s="26">
        <f>'Consumption (E + non-E)'!L11</f>
        <v>3115.0309999999999</v>
      </c>
      <c r="M11" s="26">
        <f>'Consumption (E + non-E)'!M11</f>
        <v>3251.5259999999998</v>
      </c>
      <c r="N11" s="26">
        <f>'Consumption (E + non-E)'!N11</f>
        <v>3097.2620000000002</v>
      </c>
      <c r="O11" s="26">
        <f>'Consumption (E + non-E)'!O11</f>
        <v>3212.4560000000001</v>
      </c>
      <c r="P11" s="26">
        <f>'Consumption (E + non-E)'!P11</f>
        <v>3260.9160000000002</v>
      </c>
      <c r="Q11" s="26">
        <f>'Consumption (E + non-E)'!Q11</f>
        <v>3200.9720000000002</v>
      </c>
      <c r="R11" s="26">
        <f>'Consumption (E + non-E)'!R11</f>
        <v>3073.2159999999999</v>
      </c>
      <c r="S11" s="26">
        <f>'Consumption (E + non-E)'!S11</f>
        <v>2901.6869999999999</v>
      </c>
      <c r="T11" s="26">
        <f>'Consumption (E + non-E)'!T11</f>
        <v>3085.0520000000001</v>
      </c>
      <c r="U11" s="26">
        <f>'Consumption (E + non-E)'!U11</f>
        <v>3228.4290000000001</v>
      </c>
      <c r="V11" s="26">
        <f>'Consumption (E + non-E)'!V11</f>
        <v>3186.5940000000001</v>
      </c>
      <c r="W11" s="26">
        <f>'Consumption (E + non-E)'!W11</f>
        <v>3164.6779999999999</v>
      </c>
      <c r="X11" s="26">
        <f>'Consumption (E + non-E)'!X11</f>
        <v>3216.1</v>
      </c>
      <c r="Y11" s="26">
        <f>'Consumption (E + non-E)'!Y11</f>
        <v>2959.511</v>
      </c>
      <c r="Z11" s="26">
        <f>'Consumption (E + non-E)'!Z11</f>
        <v>3379.7930000000001</v>
      </c>
      <c r="AA11" s="26">
        <f>'Consumption (E + non-E)'!AA11</f>
        <v>3571.9250000000002</v>
      </c>
      <c r="AB11" s="26">
        <f>'Consumption (E + non-E)'!AB11</f>
        <v>3315.5909999999999</v>
      </c>
      <c r="AC11" s="26">
        <f>'Consumption (E + non-E)'!AC11</f>
        <v>3223.5169999999998</v>
      </c>
      <c r="AD11" s="26">
        <f>'Consumption (E + non-E)'!AD11</f>
        <v>3272.8519999999999</v>
      </c>
      <c r="AE11" s="26">
        <f>'Consumption (E + non-E)'!AE11</f>
        <v>3638.2959999999998</v>
      </c>
      <c r="AF11" s="26">
        <f>'Consumption (E + non-E)'!AF11</f>
        <v>3647.2860000000001</v>
      </c>
      <c r="AG11" s="26">
        <f>'Consumption (E + non-E)'!AG11</f>
        <v>3278.5120000000002</v>
      </c>
      <c r="AH11" s="26">
        <f>'Consumption (E + non-E)'!AH11</f>
        <v>3409.1750000000002</v>
      </c>
      <c r="AI11" s="26">
        <f>'Consumption (E + non-E)'!AI11</f>
        <v>3633.27</v>
      </c>
      <c r="AJ11" s="232">
        <f t="shared" si="6"/>
        <v>6.5732911921505877E-2</v>
      </c>
      <c r="AK11" s="6" t="s">
        <v>1440</v>
      </c>
      <c r="AL11" s="61">
        <f t="shared" si="19"/>
        <v>100</v>
      </c>
      <c r="AM11" s="61">
        <f t="shared" si="19"/>
        <v>96.789317550937909</v>
      </c>
      <c r="AN11" s="61">
        <f t="shared" si="19"/>
        <v>98.665143269740142</v>
      </c>
      <c r="AO11" s="61">
        <f t="shared" si="19"/>
        <v>99.908855695509942</v>
      </c>
      <c r="AP11" s="61">
        <f t="shared" si="19"/>
        <v>101.69815045964694</v>
      </c>
      <c r="AQ11" s="61">
        <f t="shared" si="19"/>
        <v>101.5675009161133</v>
      </c>
      <c r="AR11" s="61">
        <f t="shared" si="19"/>
        <v>104.78891830274377</v>
      </c>
      <c r="AS11" s="61">
        <f t="shared" si="19"/>
        <v>105.20188933082864</v>
      </c>
      <c r="AT11" s="61">
        <f t="shared" si="20"/>
        <v>107.88331745891493</v>
      </c>
      <c r="AU11" s="61">
        <f t="shared" si="20"/>
        <v>110.03363890123823</v>
      </c>
      <c r="AV11" s="61">
        <f t="shared" si="21"/>
        <v>114.58194062830613</v>
      </c>
      <c r="AW11" s="111">
        <f t="shared" si="21"/>
        <v>115.34507470717938</v>
      </c>
      <c r="AX11" s="111">
        <f t="shared" si="21"/>
        <v>114.91265272647082</v>
      </c>
      <c r="AY11" s="111">
        <f t="shared" si="21"/>
        <v>116.98481653654839</v>
      </c>
      <c r="AZ11" s="111">
        <f t="shared" si="21"/>
        <v>120.25183587832122</v>
      </c>
      <c r="BA11" s="111">
        <f t="shared" si="21"/>
        <v>120.82333742811218</v>
      </c>
      <c r="BB11" s="111">
        <f t="shared" si="22"/>
        <v>118.59639882285977</v>
      </c>
      <c r="BC11" s="111">
        <f t="shared" si="22"/>
        <v>117.5457317622492</v>
      </c>
      <c r="BD11" s="111">
        <f t="shared" si="22"/>
        <v>110.18581046188194</v>
      </c>
      <c r="BE11" s="111">
        <f t="shared" si="22"/>
        <v>104.66623693927863</v>
      </c>
      <c r="BF11" s="111">
        <f t="shared" si="22"/>
        <v>104.93946241373851</v>
      </c>
      <c r="BG11" s="111">
        <f t="shared" si="23"/>
        <v>103.12626914233201</v>
      </c>
      <c r="BH11" s="111">
        <f t="shared" si="23"/>
        <v>100.95547500237696</v>
      </c>
      <c r="BI11" s="111">
        <f t="shared" si="24"/>
        <v>102.34448145912526</v>
      </c>
      <c r="BJ11" s="111">
        <f t="shared" si="24"/>
        <v>103.58832973533936</v>
      </c>
      <c r="BK11" s="111">
        <f t="shared" si="25"/>
        <v>104.96261921360754</v>
      </c>
      <c r="BL11" s="111">
        <f t="shared" si="25"/>
        <v>105.69571759027809</v>
      </c>
      <c r="BM11" s="111">
        <f t="shared" si="26"/>
        <v>105.94870909390698</v>
      </c>
      <c r="BN11" s="111">
        <f t="shared" ref="BN11:BO11" si="33">BN7/$AL7*100</f>
        <v>107.85878441652639</v>
      </c>
      <c r="BO11" s="111">
        <f t="shared" si="33"/>
        <v>107.14269942525456</v>
      </c>
      <c r="BP11" s="111">
        <f t="shared" ref="BP11:BQ11" si="34">BP7/$AL7*100</f>
        <v>92.989725455211243</v>
      </c>
      <c r="BQ11" s="111">
        <f t="shared" si="34"/>
        <v>102.16362246482325</v>
      </c>
      <c r="BR11" s="111">
        <f t="shared" ref="BR11" si="35">BR7/$AL7*100</f>
        <v>103.11151782534557</v>
      </c>
    </row>
    <row r="12" spans="1:70">
      <c r="B12" s="6" t="s">
        <v>1440</v>
      </c>
      <c r="C12" s="26">
        <f>'Consumption (E + non-E)'!C12</f>
        <v>1022.4774584610708</v>
      </c>
      <c r="D12" s="26">
        <f>'Consumption (E + non-E)'!D12</f>
        <v>1011.5421333986003</v>
      </c>
      <c r="E12" s="26">
        <f>'Consumption (E + non-E)'!E12</f>
        <v>890.34288772502384</v>
      </c>
      <c r="F12" s="26">
        <f>'Consumption (E + non-E)'!F12</f>
        <v>784.32489014881969</v>
      </c>
      <c r="G12" s="26">
        <f>'Consumption (E + non-E)'!G12</f>
        <v>777.08434323771826</v>
      </c>
      <c r="H12" s="26">
        <f>'Consumption (E + non-E)'!H12</f>
        <v>724.07891343781012</v>
      </c>
      <c r="I12" s="26">
        <f>'Consumption (E + non-E)'!I12</f>
        <v>759.54913934303966</v>
      </c>
      <c r="J12" s="26">
        <f>'Consumption (E + non-E)'!J12</f>
        <v>712.33484513234953</v>
      </c>
      <c r="K12" s="26">
        <f>'Consumption (E + non-E)'!K12</f>
        <v>666.08800735744876</v>
      </c>
      <c r="L12" s="26">
        <f>'Consumption (E + non-E)'!L12</f>
        <v>640.40639351174241</v>
      </c>
      <c r="M12" s="26">
        <f>'Consumption (E + non-E)'!M12</f>
        <v>766.74852466700406</v>
      </c>
      <c r="N12" s="26">
        <f>'Consumption (E + non-E)'!N12</f>
        <v>761.92408972412886</v>
      </c>
      <c r="O12" s="26">
        <f>'Consumption (E + non-E)'!O12</f>
        <v>694.5142614225233</v>
      </c>
      <c r="P12" s="26">
        <f>'Consumption (E + non-E)'!P12</f>
        <v>823.13869058089324</v>
      </c>
      <c r="Q12" s="26">
        <f>'Consumption (E + non-E)'!Q12</f>
        <v>808.15235905782322</v>
      </c>
      <c r="R12" s="26">
        <f>'Consumption (E + non-E)'!R12</f>
        <v>758.70980569626215</v>
      </c>
      <c r="S12" s="26">
        <f>'Consumption (E + non-E)'!S12</f>
        <v>712.37169141779805</v>
      </c>
      <c r="T12" s="26">
        <f>'Consumption (E + non-E)'!T12</f>
        <v>727.89231063383545</v>
      </c>
      <c r="U12" s="26">
        <f>'Consumption (E + non-E)'!U12</f>
        <v>679.3749096956833</v>
      </c>
      <c r="V12" s="26">
        <f>'Consumption (E + non-E)'!V12</f>
        <v>723.11663757680549</v>
      </c>
      <c r="W12" s="26">
        <f>'Consumption (E + non-E)'!W12</f>
        <v>695.47670483154889</v>
      </c>
      <c r="X12" s="26">
        <f>'Consumption (E + non-E)'!X12</f>
        <v>671.90914813148845</v>
      </c>
      <c r="Y12" s="26">
        <f>'Consumption (E + non-E)'!Y12</f>
        <v>552.36545916346483</v>
      </c>
      <c r="Z12" s="26">
        <f>'Consumption (E + non-E)'!Z12</f>
        <v>582.05536214315521</v>
      </c>
      <c r="AA12" s="26">
        <f>'Consumption (E + non-E)'!AA12</f>
        <v>559.86563185516297</v>
      </c>
      <c r="AB12" s="26">
        <f>'Consumption (E + non-E)'!AB12</f>
        <v>940.65511641334979</v>
      </c>
      <c r="AC12" s="26">
        <f>'Consumption (E + non-E)'!AC12</f>
        <v>838.7264477908783</v>
      </c>
      <c r="AD12" s="26">
        <f>'Consumption (E + non-E)'!AD12</f>
        <v>814.52678733696916</v>
      </c>
      <c r="AE12" s="26">
        <f>'Consumption (E + non-E)'!AE12</f>
        <v>740.79981189504667</v>
      </c>
      <c r="AF12" s="26">
        <f>'Consumption (E + non-E)'!AF12</f>
        <v>815.38007817894209</v>
      </c>
      <c r="AG12" s="26">
        <f>'Consumption (E + non-E)'!AG12</f>
        <v>780.19807867781822</v>
      </c>
      <c r="AH12" s="26">
        <f>'Consumption (E + non-E)'!AH12</f>
        <v>799.40792739425467</v>
      </c>
      <c r="AI12" s="26">
        <f>'Consumption (E + non-E)'!AI12</f>
        <v>732.56896401862355</v>
      </c>
      <c r="AJ12" s="232">
        <f t="shared" si="6"/>
        <v>-8.3610583639693203E-2</v>
      </c>
      <c r="AK12" s="4" t="s">
        <v>1531</v>
      </c>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row>
    <row r="13" spans="1:70">
      <c r="B13" s="5" t="s">
        <v>1443</v>
      </c>
      <c r="C13" s="27">
        <f>SUM(C14:C16)</f>
        <v>13444.55867801308</v>
      </c>
      <c r="D13" s="27">
        <f t="shared" ref="D13:R13" si="36">SUM(D14:D16)</f>
        <v>13345.276068794014</v>
      </c>
      <c r="E13" s="27">
        <f t="shared" si="36"/>
        <v>13697.744918985725</v>
      </c>
      <c r="F13" s="27">
        <f t="shared" si="36"/>
        <v>13756.462788872539</v>
      </c>
      <c r="G13" s="27">
        <f t="shared" si="36"/>
        <v>13744.129316294839</v>
      </c>
      <c r="H13" s="27">
        <f t="shared" si="36"/>
        <v>14160.11392403549</v>
      </c>
      <c r="I13" s="27">
        <f t="shared" si="36"/>
        <v>14479.8854109155</v>
      </c>
      <c r="J13" s="27">
        <f t="shared" si="36"/>
        <v>14409.949780796142</v>
      </c>
      <c r="K13" s="27">
        <f t="shared" si="36"/>
        <v>14195.982888719467</v>
      </c>
      <c r="L13" s="27">
        <f t="shared" si="36"/>
        <v>13383.009084863181</v>
      </c>
      <c r="M13" s="27">
        <f t="shared" si="36"/>
        <v>13980.22833176106</v>
      </c>
      <c r="N13" s="27">
        <f t="shared" si="36"/>
        <v>13464.444468396336</v>
      </c>
      <c r="O13" s="27">
        <f t="shared" si="36"/>
        <v>13418.302232840131</v>
      </c>
      <c r="P13" s="27">
        <f t="shared" si="36"/>
        <v>13257.905716287565</v>
      </c>
      <c r="Q13" s="27">
        <f t="shared" si="36"/>
        <v>13617.319413970799</v>
      </c>
      <c r="R13" s="27">
        <f t="shared" si="36"/>
        <v>13052.313264555389</v>
      </c>
      <c r="S13" s="27">
        <f t="shared" ref="S13:X13" si="37">SUM(S14:S16)</f>
        <v>13335.723022831713</v>
      </c>
      <c r="T13" s="27">
        <f t="shared" si="37"/>
        <v>13267.492647397841</v>
      </c>
      <c r="U13" s="27">
        <f t="shared" si="37"/>
        <v>12788.854329546524</v>
      </c>
      <c r="V13" s="27">
        <f t="shared" si="37"/>
        <v>11707.855051132476</v>
      </c>
      <c r="W13" s="27">
        <f t="shared" si="37"/>
        <v>12464.925816086736</v>
      </c>
      <c r="X13" s="27">
        <f t="shared" si="37"/>
        <v>12592.434912115641</v>
      </c>
      <c r="Y13" s="27">
        <f t="shared" ref="Y13:AD13" si="38">SUM(Y14:Y16)</f>
        <v>12814.202344903031</v>
      </c>
      <c r="Z13" s="27">
        <f t="shared" si="38"/>
        <v>13358.308133058021</v>
      </c>
      <c r="AA13" s="27">
        <f t="shared" si="38"/>
        <v>13240.144892732955</v>
      </c>
      <c r="AB13" s="27">
        <f t="shared" si="38"/>
        <v>12945.045487353735</v>
      </c>
      <c r="AC13" s="27">
        <f t="shared" si="38"/>
        <v>12930.71680607274</v>
      </c>
      <c r="AD13" s="27">
        <f t="shared" si="38"/>
        <v>12828.477825233798</v>
      </c>
      <c r="AE13" s="27">
        <f t="shared" ref="AE13:AF13" si="39">SUM(AE14:AE16)</f>
        <v>13319.531888085026</v>
      </c>
      <c r="AF13" s="27">
        <f t="shared" si="39"/>
        <v>13281.153464226016</v>
      </c>
      <c r="AG13" s="27">
        <f t="shared" ref="AG13:AH13" si="40">SUM(AG14:AG16)</f>
        <v>12599.441640855493</v>
      </c>
      <c r="AH13" s="27">
        <f t="shared" si="40"/>
        <v>12924.207494070262</v>
      </c>
      <c r="AI13" s="27">
        <f t="shared" ref="AI13" si="41">SUM(AI14:AI16)</f>
        <v>13070.867288847654</v>
      </c>
      <c r="AJ13" s="232">
        <f t="shared" si="6"/>
        <v>1.1347681847779094E-2</v>
      </c>
      <c r="AK13" s="6" t="s">
        <v>1435</v>
      </c>
      <c r="AL13" s="63">
        <f t="shared" ref="AL13:BR13" si="42">AL5/C34</f>
        <v>0.27851872742640771</v>
      </c>
      <c r="AM13" s="63">
        <f t="shared" si="42"/>
        <v>0.27985319533139141</v>
      </c>
      <c r="AN13" s="63">
        <f t="shared" si="42"/>
        <v>0.27680501376211564</v>
      </c>
      <c r="AO13" s="63">
        <f t="shared" si="42"/>
        <v>0.28147655495017854</v>
      </c>
      <c r="AP13" s="63">
        <f t="shared" si="42"/>
        <v>0.2782115365505855</v>
      </c>
      <c r="AQ13" s="63">
        <f t="shared" si="42"/>
        <v>0.27612113948950379</v>
      </c>
      <c r="AR13" s="63">
        <f t="shared" si="42"/>
        <v>0.28013133699056553</v>
      </c>
      <c r="AS13" s="63">
        <f t="shared" si="42"/>
        <v>0.28405195598847827</v>
      </c>
      <c r="AT13" s="63">
        <f t="shared" si="42"/>
        <v>0.28557018134719075</v>
      </c>
      <c r="AU13" s="63">
        <f t="shared" si="42"/>
        <v>0.28276535047107504</v>
      </c>
      <c r="AV13" s="63">
        <f t="shared" si="42"/>
        <v>0.28254667165794889</v>
      </c>
      <c r="AW13" s="63">
        <f t="shared" si="42"/>
        <v>0.27967347464549197</v>
      </c>
      <c r="AX13" s="63">
        <f t="shared" si="42"/>
        <v>0.27813646255013208</v>
      </c>
      <c r="AY13" s="63">
        <f t="shared" si="42"/>
        <v>0.28190273975438551</v>
      </c>
      <c r="AZ13" s="63">
        <f t="shared" si="42"/>
        <v>0.27963888819540927</v>
      </c>
      <c r="BA13" s="63">
        <f t="shared" si="42"/>
        <v>0.28370558474725893</v>
      </c>
      <c r="BB13" s="63">
        <f t="shared" si="42"/>
        <v>0.28397554209127013</v>
      </c>
      <c r="BC13" s="63">
        <f t="shared" si="42"/>
        <v>0.2827669723962975</v>
      </c>
      <c r="BD13" s="63">
        <f t="shared" si="42"/>
        <v>0.2864624489135722</v>
      </c>
      <c r="BE13" s="63">
        <f t="shared" si="42"/>
        <v>0.26940118661617724</v>
      </c>
      <c r="BF13" s="63">
        <f t="shared" si="42"/>
        <v>0.2747936374550462</v>
      </c>
      <c r="BG13" s="63">
        <f t="shared" si="42"/>
        <v>0.26339272906213185</v>
      </c>
      <c r="BH13" s="63">
        <f t="shared" si="42"/>
        <v>0.23719165289285785</v>
      </c>
      <c r="BI13" s="63">
        <f t="shared" si="42"/>
        <v>0.24027172417599427</v>
      </c>
      <c r="BJ13" s="63">
        <f t="shared" si="42"/>
        <v>0.23699769165715107</v>
      </c>
      <c r="BK13" s="63">
        <f t="shared" si="42"/>
        <v>0.20789554402277377</v>
      </c>
      <c r="BL13" s="63">
        <f t="shared" si="42"/>
        <v>0.19332312309366526</v>
      </c>
      <c r="BM13" s="63">
        <f t="shared" si="42"/>
        <v>0.18959728970605488</v>
      </c>
      <c r="BN13" s="63">
        <f t="shared" si="42"/>
        <v>0.17360148550681223</v>
      </c>
      <c r="BO13" s="63">
        <f t="shared" si="42"/>
        <v>0.14945260633401786</v>
      </c>
      <c r="BP13" s="63">
        <f t="shared" si="42"/>
        <v>0.13358338295376421</v>
      </c>
      <c r="BQ13" s="63">
        <f t="shared" si="42"/>
        <v>0.14425018732337055</v>
      </c>
      <c r="BR13" s="63">
        <f t="shared" si="42"/>
        <v>0.13288255241148927</v>
      </c>
    </row>
    <row r="14" spans="1:70">
      <c r="B14" s="6" t="s">
        <v>1435</v>
      </c>
      <c r="C14" s="133">
        <f>'Consumption (E + non-E)'!C14-'Non-Energy Use'!E7-'Non-Energy Use'!E8</f>
        <v>1668.1239781472902</v>
      </c>
      <c r="D14" s="133">
        <f>'Consumption (E + non-E)'!D14-'Non-Energy Use'!F7-'Non-Energy Use'!F8</f>
        <v>1630.1117911529752</v>
      </c>
      <c r="E14" s="133">
        <f>'Consumption (E + non-E)'!E14-'Non-Energy Use'!G7-'Non-Energy Use'!G8</f>
        <v>1585.0940700449669</v>
      </c>
      <c r="F14" s="133">
        <f>'Consumption (E + non-E)'!F14-'Non-Energy Use'!H7-'Non-Energy Use'!H8</f>
        <v>1615.0831232221453</v>
      </c>
      <c r="G14" s="133">
        <f>'Consumption (E + non-E)'!G14-'Non-Energy Use'!I7-'Non-Energy Use'!I8</f>
        <v>1624.7565855690486</v>
      </c>
      <c r="H14" s="133">
        <f>'Consumption (E + non-E)'!H14-'Non-Energy Use'!J7-'Non-Energy Use'!J8</f>
        <v>1557.0050382019745</v>
      </c>
      <c r="I14" s="133">
        <f>'Consumption (E + non-E)'!I14-'Non-Energy Use'!K7-'Non-Energy Use'!K8</f>
        <v>1484.1016479160539</v>
      </c>
      <c r="J14" s="133">
        <f>'Consumption (E + non-E)'!J14-'Non-Energy Use'!L7-'Non-Energy Use'!L8</f>
        <v>1485.501315867589</v>
      </c>
      <c r="K14" s="133">
        <f>'Consumption (E + non-E)'!K14-'Non-Energy Use'!M7-'Non-Energy Use'!M8</f>
        <v>1499.3573218631066</v>
      </c>
      <c r="L14" s="133">
        <f>'Consumption (E + non-E)'!L14-'Non-Energy Use'!N7-'Non-Energy Use'!N8</f>
        <v>1400.6531603727317</v>
      </c>
      <c r="M14" s="133">
        <f>'Consumption (E + non-E)'!M14-'Non-Energy Use'!O7-'Non-Energy Use'!O8</f>
        <v>1361.5334199822846</v>
      </c>
      <c r="N14" s="133">
        <f>'Consumption (E + non-E)'!N14-'Non-Energy Use'!P7-'Non-Energy Use'!P8</f>
        <v>1383.9404142087415</v>
      </c>
      <c r="O14" s="133">
        <f>'Consumption (E + non-E)'!O14-'Non-Energy Use'!Q7-'Non-Energy Use'!Q8</f>
        <v>1270.2660789372212</v>
      </c>
      <c r="P14" s="133">
        <f>'Consumption (E + non-E)'!P14-'Non-Energy Use'!R7-'Non-Energy Use'!R8</f>
        <v>1275.3730021201277</v>
      </c>
      <c r="Q14" s="133">
        <f>'Consumption (E + non-E)'!Q14-'Non-Energy Use'!S7-'Non-Energy Use'!S8</f>
        <v>1285.633713857869</v>
      </c>
      <c r="R14" s="133">
        <f>'Consumption (E + non-E)'!R14-'Non-Energy Use'!T7-'Non-Energy Use'!T8</f>
        <v>1245.9341861839021</v>
      </c>
      <c r="S14" s="133">
        <f>'Consumption (E + non-E)'!S14-'Non-Energy Use'!U7-'Non-Energy Use'!U8</f>
        <v>1220.2164892201881</v>
      </c>
      <c r="T14" s="133">
        <f>'Consumption (E + non-E)'!T14-'Non-Energy Use'!V7-'Non-Energy Use'!V8</f>
        <v>1170.4133742151755</v>
      </c>
      <c r="U14" s="133">
        <f>'Consumption (E + non-E)'!U14-'Non-Energy Use'!W7-'Non-Energy Use'!W8</f>
        <v>1120.7847980760971</v>
      </c>
      <c r="V14" s="133">
        <f>'Consumption (E + non-E)'!V14-'Non-Energy Use'!X7-'Non-Energy Use'!X8</f>
        <v>918.14253691687384</v>
      </c>
      <c r="W14" s="133">
        <f>'Consumption (E + non-E)'!W14-'Non-Energy Use'!Y7-'Non-Energy Use'!Y8</f>
        <v>992.99016348831697</v>
      </c>
      <c r="X14" s="133">
        <f>'Consumption (E + non-E)'!X14-'Non-Energy Use'!Z7-'Non-Energy Use'!Z8</f>
        <v>905.71943484354711</v>
      </c>
      <c r="Y14" s="133">
        <f>'Consumption (E + non-E)'!Y14-'Non-Energy Use'!AA7-'Non-Energy Use'!AA8</f>
        <v>822.57684968955641</v>
      </c>
      <c r="Z14" s="133">
        <f>'Consumption (E + non-E)'!Z14-'Non-Energy Use'!AB7-'Non-Energy Use'!AB8</f>
        <v>836.77334379308172</v>
      </c>
      <c r="AA14" s="133">
        <f>'Consumption (E + non-E)'!AA14-'Non-Energy Use'!AC7-'Non-Energy Use'!AC8</f>
        <v>832.95994880109299</v>
      </c>
      <c r="AB14" s="133">
        <f>'Consumption (E + non-E)'!AB14-'Non-Energy Use'!AD7-'Non-Energy Use'!AD8</f>
        <v>733.83772046189381</v>
      </c>
      <c r="AC14" s="133">
        <f>'Consumption (E + non-E)'!AC14-'Non-Energy Use'!AE7-'Non-Energy Use'!AE8</f>
        <v>661.53574499849356</v>
      </c>
      <c r="AD14" s="133">
        <f>'Consumption (E + non-E)'!AD14-'Non-Energy Use'!AF7-'Non-Energy Use'!AF8</f>
        <v>614.05006881696897</v>
      </c>
      <c r="AE14" s="133">
        <f>'Consumption (E + non-E)'!AE14-'Non-Energy Use'!AG7-'Non-Energy Use'!AG8</f>
        <v>569.04017965285198</v>
      </c>
      <c r="AF14" s="133">
        <f>'Consumption (E + non-E)'!AF14-'Non-Energy Use'!AH7-'Non-Energy Use'!AH8</f>
        <v>517.38314547168318</v>
      </c>
      <c r="AG14" s="133">
        <f>'Consumption (E + non-E)'!AG14-'Non-Energy Use'!AI7-'Non-Energy Use'!AI8</f>
        <v>448.48378701394171</v>
      </c>
      <c r="AH14" s="133">
        <f>'Consumption (E + non-E)'!AH14-'Non-Energy Use'!AJ7-'Non-Energy Use'!AJ8</f>
        <v>449.66339649727416</v>
      </c>
      <c r="AI14" s="133">
        <f>'Consumption (E + non-E)'!AI14-'Non-Energy Use'!AK7-'Non-Energy Use'!AK8</f>
        <v>445.68344596927415</v>
      </c>
      <c r="AJ14" s="232">
        <f t="shared" si="6"/>
        <v>-8.8509550899683771E-3</v>
      </c>
      <c r="AK14" s="6" t="s">
        <v>1439</v>
      </c>
      <c r="AL14" s="63">
        <f t="shared" ref="AL14:BR14" si="43">AL6/C34</f>
        <v>0.29008257121482467</v>
      </c>
      <c r="AM14" s="63">
        <f t="shared" si="43"/>
        <v>0.29910041573189666</v>
      </c>
      <c r="AN14" s="63">
        <f t="shared" si="43"/>
        <v>0.30266294156891166</v>
      </c>
      <c r="AO14" s="63">
        <f t="shared" si="43"/>
        <v>0.3028949215697827</v>
      </c>
      <c r="AP14" s="63">
        <f t="shared" si="43"/>
        <v>0.30517568761343394</v>
      </c>
      <c r="AQ14" s="63">
        <f t="shared" si="43"/>
        <v>0.31379418995857572</v>
      </c>
      <c r="AR14" s="63">
        <f t="shared" si="43"/>
        <v>0.30976408053986182</v>
      </c>
      <c r="AS14" s="63">
        <f t="shared" si="43"/>
        <v>0.30830585067307337</v>
      </c>
      <c r="AT14" s="63">
        <f t="shared" si="43"/>
        <v>0.29990774366112344</v>
      </c>
      <c r="AU14" s="63">
        <f t="shared" si="43"/>
        <v>0.29812501829614713</v>
      </c>
      <c r="AV14" s="63">
        <f t="shared" si="43"/>
        <v>0.2992292085915329</v>
      </c>
      <c r="AW14" s="63">
        <f t="shared" si="43"/>
        <v>0.29220549542645569</v>
      </c>
      <c r="AX14" s="63">
        <f t="shared" si="43"/>
        <v>0.29897640439565176</v>
      </c>
      <c r="AY14" s="63">
        <f t="shared" si="43"/>
        <v>0.28996600948362911</v>
      </c>
      <c r="AZ14" s="63">
        <f t="shared" si="43"/>
        <v>0.28689525846416769</v>
      </c>
      <c r="BA14" s="63">
        <f t="shared" si="43"/>
        <v>0.28211174525042937</v>
      </c>
      <c r="BB14" s="63">
        <f t="shared" si="43"/>
        <v>0.28295623877767162</v>
      </c>
      <c r="BC14" s="63">
        <f t="shared" si="43"/>
        <v>0.29568406325406943</v>
      </c>
      <c r="BD14" s="63">
        <f t="shared" si="43"/>
        <v>0.3069409316740459</v>
      </c>
      <c r="BE14" s="63">
        <f t="shared" si="43"/>
        <v>0.32024944361828867</v>
      </c>
      <c r="BF14" s="63">
        <f t="shared" si="43"/>
        <v>0.3258159624522306</v>
      </c>
      <c r="BG14" s="63">
        <f t="shared" si="43"/>
        <v>0.33687179984486781</v>
      </c>
      <c r="BH14" s="63">
        <f t="shared" si="43"/>
        <v>0.3615922014617155</v>
      </c>
      <c r="BI14" s="63">
        <f t="shared" si="43"/>
        <v>0.36292575862805421</v>
      </c>
      <c r="BJ14" s="63">
        <f t="shared" si="43"/>
        <v>0.36624701661765807</v>
      </c>
      <c r="BK14" s="63">
        <f t="shared" si="43"/>
        <v>0.38282549221192957</v>
      </c>
      <c r="BL14" s="63">
        <f t="shared" si="43"/>
        <v>0.38928613480744062</v>
      </c>
      <c r="BM14" s="63">
        <f t="shared" si="43"/>
        <v>0.38663079371273951</v>
      </c>
      <c r="BN14" s="63">
        <f t="shared" si="43"/>
        <v>0.41225603868367844</v>
      </c>
      <c r="BO14" s="63">
        <f t="shared" si="43"/>
        <v>0.43333128802728177</v>
      </c>
      <c r="BP14" s="63">
        <f t="shared" si="43"/>
        <v>0.46752894733657668</v>
      </c>
      <c r="BQ14" s="63">
        <f t="shared" si="43"/>
        <v>0.44255414463252551</v>
      </c>
      <c r="BR14" s="63">
        <f t="shared" si="43"/>
        <v>0.45768994808991881</v>
      </c>
    </row>
    <row r="15" spans="1:70">
      <c r="B15" s="6" t="s">
        <v>1439</v>
      </c>
      <c r="C15" s="133">
        <f>'Consumption (E + non-E)'!C15-'Non-Energy Use'!E9</f>
        <v>7687.2281541127722</v>
      </c>
      <c r="D15" s="133">
        <f>'Consumption (E + non-E)'!D15-'Non-Energy Use'!F9</f>
        <v>7805.1345385071463</v>
      </c>
      <c r="E15" s="133">
        <f>'Consumption (E + non-E)'!E15-'Non-Energy Use'!G9</f>
        <v>8101.6604762427696</v>
      </c>
      <c r="F15" s="133">
        <f>'Consumption (E + non-E)'!F15-'Non-Energy Use'!H9</f>
        <v>8240.7802722816396</v>
      </c>
      <c r="G15" s="743">
        <f>'Consumption (E + non-E)'!G15-'Non-Energy Use'!I9</f>
        <v>8265.8225769066084</v>
      </c>
      <c r="H15" s="133">
        <f>'Consumption (E + non-E)'!H15-'Non-Energy Use'!J9</f>
        <v>8700.5253418915327</v>
      </c>
      <c r="I15" s="133">
        <f>'Consumption (E + non-E)'!I15-'Non-Energy Use'!K9</f>
        <v>8997.6465914836481</v>
      </c>
      <c r="J15" s="133">
        <f>'Consumption (E + non-E)'!J15-'Non-Energy Use'!L9</f>
        <v>9010.0729766472105</v>
      </c>
      <c r="K15" s="133">
        <f>'Consumption (E + non-E)'!K15-'Non-Energy Use'!M9</f>
        <v>8800.4443414263933</v>
      </c>
      <c r="L15" s="133">
        <f>'Consumption (E + non-E)'!L15-'Non-Energy Use'!N9</f>
        <v>8403.7027531256044</v>
      </c>
      <c r="M15" s="133">
        <f>'Consumption (E + non-E)'!M15-'Non-Energy Use'!O9</f>
        <v>8636.6156285140842</v>
      </c>
      <c r="N15" s="133">
        <f>'Consumption (E + non-E)'!N15-'Non-Energy Use'!P9</f>
        <v>7933.6772796393871</v>
      </c>
      <c r="O15" s="133">
        <f>'Consumption (E + non-E)'!O15-'Non-Energy Use'!Q9</f>
        <v>8067.8396850214158</v>
      </c>
      <c r="P15" s="133">
        <f>'Consumption (E + non-E)'!P15-'Non-Energy Use'!R9</f>
        <v>7829.6664263846842</v>
      </c>
      <c r="Q15" s="133">
        <f>'Consumption (E + non-E)'!Q15-'Non-Energy Use'!S9</f>
        <v>7897.6852102981802</v>
      </c>
      <c r="R15" s="133">
        <f>'Consumption (E + non-E)'!R15-'Non-Energy Use'!T9</f>
        <v>7314.6820420141348</v>
      </c>
      <c r="S15" s="133">
        <f>'Consumption (E + non-E)'!S15-'Non-Energy Use'!U9</f>
        <v>7308.1023065914296</v>
      </c>
      <c r="T15" s="133">
        <f>'Consumption (E + non-E)'!T15-'Non-Energy Use'!V9</f>
        <v>7486.1975001602104</v>
      </c>
      <c r="U15" s="133">
        <f>'Consumption (E + non-E)'!U15-'Non-Energy Use'!W9</f>
        <v>7517.9182111808641</v>
      </c>
      <c r="V15" s="133">
        <f>'Consumption (E + non-E)'!V15-'Non-Energy Use'!X9</f>
        <v>7053.5275211849566</v>
      </c>
      <c r="W15" s="133">
        <f>'Consumption (E + non-E)'!W15-'Non-Energy Use'!Y9</f>
        <v>7669.9158381311599</v>
      </c>
      <c r="X15" s="133">
        <f>'Consumption (E + non-E)'!X15-'Non-Energy Use'!Z9</f>
        <v>7858.0005719061046</v>
      </c>
      <c r="Y15" s="133">
        <f>'Consumption (E + non-E)'!Y15-'Non-Energy Use'!AA9</f>
        <v>8176.4668983742813</v>
      </c>
      <c r="Z15" s="133">
        <f>'Consumption (E + non-E)'!Z15-'Non-Energy Use'!AB9</f>
        <v>8503.9287285528953</v>
      </c>
      <c r="AA15" s="133">
        <f>'Consumption (E + non-E)'!AA15-'Non-Energy Use'!AC9</f>
        <v>8796.9453889729139</v>
      </c>
      <c r="AB15" s="133">
        <f>'Consumption (E + non-E)'!AB15-'Non-Energy Use'!AD9</f>
        <v>8688.1241011922721</v>
      </c>
      <c r="AC15" s="133">
        <f>'Consumption (E + non-E)'!AC15-'Non-Energy Use'!AE9</f>
        <v>8770.0877908767761</v>
      </c>
      <c r="AD15" s="133">
        <f>'Consumption (E + non-E)'!AD15-'Non-Energy Use'!AF9</f>
        <v>8846.5241353869842</v>
      </c>
      <c r="AE15" s="133">
        <f>'Consumption (E + non-E)'!AE15-'Non-Energy Use'!AG9</f>
        <v>9325.3066221568988</v>
      </c>
      <c r="AF15" s="133">
        <f>'Consumption (E + non-E)'!AF15-'Non-Energy Use'!AH9</f>
        <v>9481.5516036970421</v>
      </c>
      <c r="AG15" s="133">
        <f>'Consumption (E + non-E)'!AG15-'Non-Energy Use'!AI9</f>
        <v>9256.5129956998171</v>
      </c>
      <c r="AH15" s="133">
        <f>'Consumption (E + non-E)'!AH15-'Non-Energy Use'!AJ9</f>
        <v>9472.9325177673272</v>
      </c>
      <c r="AI15" s="133">
        <f>'Consumption (E + non-E)'!AI15-'Non-Energy Use'!AK9</f>
        <v>9665.0245177673278</v>
      </c>
      <c r="AJ15" s="232">
        <f t="shared" si="6"/>
        <v>2.0277986741667899E-2</v>
      </c>
      <c r="AK15" s="7" t="s">
        <v>1440</v>
      </c>
      <c r="AL15" s="64">
        <f t="shared" ref="AL15:BR15" si="44">AL7/C34</f>
        <v>0.43139870135876757</v>
      </c>
      <c r="AM15" s="64">
        <f t="shared" si="44"/>
        <v>0.42104638893671198</v>
      </c>
      <c r="AN15" s="64">
        <f t="shared" si="44"/>
        <v>0.42053204466897254</v>
      </c>
      <c r="AO15" s="64">
        <f t="shared" si="44"/>
        <v>0.41562852348003892</v>
      </c>
      <c r="AP15" s="64">
        <f t="shared" si="44"/>
        <v>0.41661277583598061</v>
      </c>
      <c r="AQ15" s="64">
        <f t="shared" si="44"/>
        <v>0.41008467055192038</v>
      </c>
      <c r="AR15" s="64">
        <f t="shared" si="44"/>
        <v>0.41010458246957265</v>
      </c>
      <c r="AS15" s="64">
        <f t="shared" si="44"/>
        <v>0.40764219333844848</v>
      </c>
      <c r="AT15" s="64">
        <f t="shared" si="44"/>
        <v>0.4145220749916857</v>
      </c>
      <c r="AU15" s="64">
        <f t="shared" si="44"/>
        <v>0.41910963123277789</v>
      </c>
      <c r="AV15" s="64">
        <f t="shared" si="44"/>
        <v>0.41822411975051804</v>
      </c>
      <c r="AW15" s="64">
        <f t="shared" si="44"/>
        <v>0.42812102992805234</v>
      </c>
      <c r="AX15" s="64">
        <f t="shared" si="44"/>
        <v>0.42288713305421616</v>
      </c>
      <c r="AY15" s="64">
        <f t="shared" si="44"/>
        <v>0.42813125076198533</v>
      </c>
      <c r="AZ15" s="64">
        <f t="shared" si="44"/>
        <v>0.43346585334042315</v>
      </c>
      <c r="BA15" s="64">
        <f t="shared" si="44"/>
        <v>0.43418267000231164</v>
      </c>
      <c r="BB15" s="64">
        <f t="shared" si="44"/>
        <v>0.43306821913105836</v>
      </c>
      <c r="BC15" s="64">
        <f t="shared" si="44"/>
        <v>0.42154896434963302</v>
      </c>
      <c r="BD15" s="64">
        <f t="shared" si="44"/>
        <v>0.4065966194123819</v>
      </c>
      <c r="BE15" s="64">
        <f t="shared" si="44"/>
        <v>0.41034936976553427</v>
      </c>
      <c r="BF15" s="64">
        <f t="shared" si="44"/>
        <v>0.39939040009272314</v>
      </c>
      <c r="BG15" s="64">
        <f t="shared" si="44"/>
        <v>0.39973547109300039</v>
      </c>
      <c r="BH15" s="64">
        <f t="shared" si="44"/>
        <v>0.40121614564542663</v>
      </c>
      <c r="BI15" s="64">
        <f t="shared" si="44"/>
        <v>0.39680251719595128</v>
      </c>
      <c r="BJ15" s="64">
        <f t="shared" si="44"/>
        <v>0.39675529172519064</v>
      </c>
      <c r="BK15" s="64">
        <f t="shared" si="44"/>
        <v>0.4092789637652966</v>
      </c>
      <c r="BL15" s="64">
        <f t="shared" si="44"/>
        <v>0.41739074209889426</v>
      </c>
      <c r="BM15" s="64">
        <f t="shared" si="44"/>
        <v>0.42377191658120539</v>
      </c>
      <c r="BN15" s="64">
        <f t="shared" si="44"/>
        <v>0.4141424758095093</v>
      </c>
      <c r="BO15" s="64">
        <f t="shared" si="44"/>
        <v>0.41721610563870043</v>
      </c>
      <c r="BP15" s="64">
        <f t="shared" si="44"/>
        <v>0.39888766970965917</v>
      </c>
      <c r="BQ15" s="64">
        <f t="shared" si="44"/>
        <v>0.41319566804410401</v>
      </c>
      <c r="BR15" s="64">
        <f t="shared" si="44"/>
        <v>0.40942749949859192</v>
      </c>
    </row>
    <row r="16" spans="1:70">
      <c r="B16" s="6" t="s">
        <v>1440</v>
      </c>
      <c r="C16" s="133">
        <f>'Consumption (E + non-E)'!C16-SUM('Non-Energy Use'!E10:E22)</f>
        <v>4089.2065457530161</v>
      </c>
      <c r="D16" s="133">
        <f>'Consumption (E + non-E)'!D16-SUM('Non-Energy Use'!F10:F22)</f>
        <v>3910.0297391338909</v>
      </c>
      <c r="E16" s="133">
        <f>'Consumption (E + non-E)'!E16-SUM('Non-Energy Use'!G10:G22)</f>
        <v>4010.9903726979883</v>
      </c>
      <c r="F16" s="133">
        <f>'Consumption (E + non-E)'!F16-SUM('Non-Energy Use'!H10:H22)</f>
        <v>3900.599393368755</v>
      </c>
      <c r="G16" s="133">
        <f>'Consumption (E + non-E)'!G16-SUM('Non-Energy Use'!I10:I22)</f>
        <v>3853.5501538191811</v>
      </c>
      <c r="H16" s="133">
        <f>'Consumption (E + non-E)'!H16-SUM('Non-Energy Use'!J10:J22)</f>
        <v>3902.5835439419825</v>
      </c>
      <c r="I16" s="133">
        <f>'Consumption (E + non-E)'!I16-SUM('Non-Energy Use'!K10:K22)</f>
        <v>3998.1371715157993</v>
      </c>
      <c r="J16" s="133">
        <f>'Consumption (E + non-E)'!J16-SUM('Non-Energy Use'!L10:L22)</f>
        <v>3914.3754882813419</v>
      </c>
      <c r="K16" s="133">
        <f>'Consumption (E + non-E)'!K16-SUM('Non-Energy Use'!M10:M22)</f>
        <v>3896.1812254299684</v>
      </c>
      <c r="L16" s="133">
        <f>'Consumption (E + non-E)'!L16-SUM('Non-Energy Use'!N10:N22)</f>
        <v>3578.6531713648437</v>
      </c>
      <c r="M16" s="133">
        <f>'Consumption (E + non-E)'!M16-SUM('Non-Energy Use'!O10:O22)</f>
        <v>3982.0792832646921</v>
      </c>
      <c r="N16" s="133">
        <f>'Consumption (E + non-E)'!N16-SUM('Non-Energy Use'!P10:P22)</f>
        <v>4146.8267745482062</v>
      </c>
      <c r="O16" s="133">
        <f>'Consumption (E + non-E)'!O16-SUM('Non-Energy Use'!Q10:Q22)</f>
        <v>4080.1964688814951</v>
      </c>
      <c r="P16" s="133">
        <f>'Consumption (E + non-E)'!P16-SUM('Non-Energy Use'!R10:R22)</f>
        <v>4152.8662877827537</v>
      </c>
      <c r="Q16" s="133">
        <f>'Consumption (E + non-E)'!Q16-SUM('Non-Energy Use'!S10:S22)</f>
        <v>4434.0004898147499</v>
      </c>
      <c r="R16" s="133">
        <f>'Consumption (E + non-E)'!R16-SUM('Non-Energy Use'!T10:T22)</f>
        <v>4491.6970363573519</v>
      </c>
      <c r="S16" s="133">
        <f>'Consumption (E + non-E)'!S16-SUM('Non-Energy Use'!U10:U22)</f>
        <v>4807.4042270200953</v>
      </c>
      <c r="T16" s="133">
        <f>'Consumption (E + non-E)'!T16-SUM('Non-Energy Use'!V10:V22)</f>
        <v>4610.8817730224537</v>
      </c>
      <c r="U16" s="133">
        <f>'Consumption (E + non-E)'!U16-SUM('Non-Energy Use'!W10:W22)</f>
        <v>4150.151320289563</v>
      </c>
      <c r="V16" s="133">
        <f>'Consumption (E + non-E)'!V16-SUM('Non-Energy Use'!X10:X22)</f>
        <v>3736.1849930306453</v>
      </c>
      <c r="W16" s="133">
        <f>'Consumption (E + non-E)'!W16-SUM('Non-Energy Use'!Y10:Y22)</f>
        <v>3802.0198144672586</v>
      </c>
      <c r="X16" s="133">
        <f>'Consumption (E + non-E)'!X16-SUM('Non-Energy Use'!Z10:Z22)</f>
        <v>3828.7149053659896</v>
      </c>
      <c r="Y16" s="133">
        <f>'Consumption (E + non-E)'!Y16-SUM('Non-Energy Use'!AA10:AA22)</f>
        <v>3815.1585968391937</v>
      </c>
      <c r="Z16" s="133">
        <f>'Consumption (E + non-E)'!Z16-SUM('Non-Energy Use'!AB10:AB22)</f>
        <v>4017.6060607120435</v>
      </c>
      <c r="AA16" s="133">
        <f>'Consumption (E + non-E)'!AA16-SUM('Non-Energy Use'!AC10:AC22)</f>
        <v>3610.2395549589464</v>
      </c>
      <c r="AB16" s="133">
        <f>'Consumption (E + non-E)'!AB16-SUM('Non-Energy Use'!AD10:AD22)</f>
        <v>3523.0836656995698</v>
      </c>
      <c r="AC16" s="133">
        <f>'Consumption (E + non-E)'!AC16-SUM('Non-Energy Use'!AE10:AE22)</f>
        <v>3499.0932701974707</v>
      </c>
      <c r="AD16" s="133">
        <f>'Consumption (E + non-E)'!AD16-SUM('Non-Energy Use'!AF10:AF22)</f>
        <v>3367.9036210298455</v>
      </c>
      <c r="AE16" s="133">
        <f>'Consumption (E + non-E)'!AE16-SUM('Non-Energy Use'!AG10:AG22)</f>
        <v>3425.1850862752763</v>
      </c>
      <c r="AF16" s="133">
        <f>'Consumption (E + non-E)'!AF16-SUM('Non-Energy Use'!AH10:AH22)</f>
        <v>3282.21871505729</v>
      </c>
      <c r="AG16" s="133">
        <f>'Consumption (E + non-E)'!AG16-SUM('Non-Energy Use'!AI10:AI22)</f>
        <v>2894.4448581417337</v>
      </c>
      <c r="AH16" s="133">
        <f>'Consumption (E + non-E)'!AH16-SUM('Non-Energy Use'!AJ10:AJ22)</f>
        <v>3001.6115798056626</v>
      </c>
      <c r="AI16" s="133">
        <f>'Consumption (E + non-E)'!AI16-SUM('Non-Energy Use'!AK10:AK22)</f>
        <v>2960.1593251110526</v>
      </c>
      <c r="AJ16" s="232">
        <f t="shared" si="6"/>
        <v>-1.380999959271673E-2</v>
      </c>
    </row>
    <row r="17" spans="2:42">
      <c r="B17" s="5" t="s">
        <v>1445</v>
      </c>
      <c r="C17" s="27">
        <f>SUM(C18:C20)</f>
        <v>20653.973449054032</v>
      </c>
      <c r="D17" s="27">
        <f t="shared" ref="D17:R17" si="45">SUM(D18:D20)</f>
        <v>19981.038427898293</v>
      </c>
      <c r="E17" s="27">
        <f t="shared" si="45"/>
        <v>20700.222525353318</v>
      </c>
      <c r="F17" s="27">
        <f t="shared" si="45"/>
        <v>21176.404987451235</v>
      </c>
      <c r="G17" s="27">
        <f t="shared" si="45"/>
        <v>21877.586558268085</v>
      </c>
      <c r="H17" s="27">
        <f t="shared" si="45"/>
        <v>22252.061205933354</v>
      </c>
      <c r="I17" s="27">
        <f t="shared" si="45"/>
        <v>22862.996255189082</v>
      </c>
      <c r="J17" s="27">
        <f t="shared" si="45"/>
        <v>23102.904358720738</v>
      </c>
      <c r="K17" s="27">
        <f t="shared" si="45"/>
        <v>23560.596051362329</v>
      </c>
      <c r="L17" s="27">
        <f t="shared" si="45"/>
        <v>24529.435015760129</v>
      </c>
      <c r="M17" s="27">
        <f t="shared" si="45"/>
        <v>24967.936489220046</v>
      </c>
      <c r="N17" s="27">
        <f t="shared" si="45"/>
        <v>24678.760905327988</v>
      </c>
      <c r="O17" s="27">
        <f t="shared" si="45"/>
        <v>25231.51758273723</v>
      </c>
      <c r="P17" s="27">
        <f t="shared" si="45"/>
        <v>25131.791268907487</v>
      </c>
      <c r="Q17" s="27">
        <f t="shared" si="45"/>
        <v>25719.291449319571</v>
      </c>
      <c r="R17" s="27">
        <f t="shared" si="45"/>
        <v>25993.789136208827</v>
      </c>
      <c r="S17" s="27">
        <f t="shared" ref="S17:X17" si="46">SUM(S18:S20)</f>
        <v>25880.967187638671</v>
      </c>
      <c r="T17" s="27">
        <f t="shared" si="46"/>
        <v>25850.435429604488</v>
      </c>
      <c r="U17" s="27">
        <f t="shared" si="46"/>
        <v>24639.026267290879</v>
      </c>
      <c r="V17" s="27">
        <f t="shared" si="46"/>
        <v>23613.49833818847</v>
      </c>
      <c r="W17" s="27">
        <f t="shared" si="46"/>
        <v>23747.344909924686</v>
      </c>
      <c r="X17" s="27">
        <f t="shared" si="46"/>
        <v>23395.534749905928</v>
      </c>
      <c r="Y17" s="27">
        <f t="shared" ref="Y17:AD17" si="47">SUM(Y18:Y20)</f>
        <v>23279.55681715432</v>
      </c>
      <c r="Z17" s="27">
        <f t="shared" si="47"/>
        <v>23490.443587902264</v>
      </c>
      <c r="AA17" s="27">
        <f t="shared" si="47"/>
        <v>24014.489730356763</v>
      </c>
      <c r="AB17" s="27">
        <f t="shared" si="47"/>
        <v>24166.595157689935</v>
      </c>
      <c r="AC17" s="27">
        <f t="shared" si="47"/>
        <v>24716.661523374893</v>
      </c>
      <c r="AD17" s="27">
        <f t="shared" si="47"/>
        <v>25019.013755479184</v>
      </c>
      <c r="AE17" s="27">
        <f t="shared" ref="AE17:AF17" si="48">SUM(AE18:AE20)</f>
        <v>25524.116038805209</v>
      </c>
      <c r="AF17" s="27">
        <f t="shared" si="48"/>
        <v>25612.985577300558</v>
      </c>
      <c r="AG17" s="27">
        <f t="shared" ref="AG17:AH17" si="49">SUM(AG18:AG20)</f>
        <v>22200.523696387274</v>
      </c>
      <c r="AH17" s="27">
        <f t="shared" si="49"/>
        <v>24743.567629247485</v>
      </c>
      <c r="AI17" s="27">
        <f t="shared" ref="AI17" si="50">SUM(AI18:AI20)</f>
        <v>25148.562566402881</v>
      </c>
      <c r="AJ17" s="232">
        <f t="shared" si="6"/>
        <v>1.636768566375538E-2</v>
      </c>
    </row>
    <row r="18" spans="2:42">
      <c r="B18" s="6" t="s">
        <v>1435</v>
      </c>
      <c r="C18" s="26" t="str">
        <f>'Consumption (E + non-E)'!C18</f>
        <v>NE</v>
      </c>
      <c r="D18" s="26" t="str">
        <f>'Consumption (E + non-E)'!D18</f>
        <v>NE</v>
      </c>
      <c r="E18" s="26" t="str">
        <f>'Consumption (E + non-E)'!E18</f>
        <v>NE</v>
      </c>
      <c r="F18" s="26" t="str">
        <f>'Consumption (E + non-E)'!F18</f>
        <v>NE</v>
      </c>
      <c r="G18" s="26" t="str">
        <f>'Consumption (E + non-E)'!G18</f>
        <v>NE</v>
      </c>
      <c r="H18" s="26" t="str">
        <f>'Consumption (E + non-E)'!H18</f>
        <v>NE</v>
      </c>
      <c r="I18" s="26" t="str">
        <f>'Consumption (E + non-E)'!I18</f>
        <v>NE</v>
      </c>
      <c r="J18" s="26" t="str">
        <f>'Consumption (E + non-E)'!J18</f>
        <v>NE</v>
      </c>
      <c r="K18" s="26" t="str">
        <f>'Consumption (E + non-E)'!K18</f>
        <v>NE</v>
      </c>
      <c r="L18" s="26" t="str">
        <f>'Consumption (E + non-E)'!L18</f>
        <v>NE</v>
      </c>
      <c r="M18" s="26" t="str">
        <f>'Consumption (E + non-E)'!M18</f>
        <v>NE</v>
      </c>
      <c r="N18" s="26" t="str">
        <f>'Consumption (E + non-E)'!N18</f>
        <v>NE</v>
      </c>
      <c r="O18" s="26" t="str">
        <f>'Consumption (E + non-E)'!O18</f>
        <v>NE</v>
      </c>
      <c r="P18" s="26" t="str">
        <f>'Consumption (E + non-E)'!P18</f>
        <v>NE</v>
      </c>
      <c r="Q18" s="26" t="str">
        <f>'Consumption (E + non-E)'!Q18</f>
        <v>NE</v>
      </c>
      <c r="R18" s="26" t="str">
        <f>'Consumption (E + non-E)'!R18</f>
        <v>NE</v>
      </c>
      <c r="S18" s="26" t="str">
        <f>'Consumption (E + non-E)'!S18</f>
        <v>NE</v>
      </c>
      <c r="T18" s="26" t="str">
        <f>'Consumption (E + non-E)'!T18</f>
        <v>NE</v>
      </c>
      <c r="U18" s="26" t="str">
        <f>'Consumption (E + non-E)'!U18</f>
        <v>NE</v>
      </c>
      <c r="V18" s="26" t="str">
        <f>'Consumption (E + non-E)'!V18</f>
        <v>NE</v>
      </c>
      <c r="W18" s="26" t="str">
        <f>'Consumption (E + non-E)'!W18</f>
        <v>NE</v>
      </c>
      <c r="X18" s="26" t="str">
        <f>'Consumption (E + non-E)'!X18</f>
        <v>NE</v>
      </c>
      <c r="Y18" s="26" t="str">
        <f>'Consumption (E + non-E)'!Y18</f>
        <v>NE</v>
      </c>
      <c r="Z18" s="26" t="str">
        <f>'Consumption (E + non-E)'!Z18</f>
        <v>NE</v>
      </c>
      <c r="AA18" s="26" t="str">
        <f>'Consumption (E + non-E)'!AA18</f>
        <v>NE</v>
      </c>
      <c r="AB18" s="26" t="str">
        <f>'Consumption (E + non-E)'!AB18</f>
        <v>NE</v>
      </c>
      <c r="AC18" s="26" t="str">
        <f>'Consumption (E + non-E)'!AC18</f>
        <v>NE</v>
      </c>
      <c r="AD18" s="26" t="str">
        <f>'Consumption (E + non-E)'!AD18</f>
        <v>NE</v>
      </c>
      <c r="AE18" s="26" t="str">
        <f>'Consumption (E + non-E)'!AE18</f>
        <v>NE</v>
      </c>
      <c r="AF18" s="26" t="str">
        <f>'Consumption (E + non-E)'!AF18</f>
        <v>NE</v>
      </c>
      <c r="AG18" s="26" t="str">
        <f>'Consumption (E + non-E)'!AG18</f>
        <v>NE</v>
      </c>
      <c r="AH18" s="26" t="str">
        <f>'Consumption (E + non-E)'!AH18</f>
        <v>NE</v>
      </c>
      <c r="AI18" s="26" t="str">
        <f>'Consumption (E + non-E)'!AI18</f>
        <v>NE</v>
      </c>
      <c r="AJ18" s="232" t="e">
        <f t="shared" si="6"/>
        <v>#VALUE!</v>
      </c>
      <c r="AK18" s="62"/>
      <c r="AL18" s="4" t="s">
        <v>1532</v>
      </c>
      <c r="AM18" s="4" t="s">
        <v>1533</v>
      </c>
    </row>
    <row r="19" spans="2:42">
      <c r="B19" s="6" t="s">
        <v>1439</v>
      </c>
      <c r="C19" s="26">
        <f>'Consumption (E + non-E)'!C19</f>
        <v>679.22799999999995</v>
      </c>
      <c r="D19" s="26">
        <f>'Consumption (E + non-E)'!D19</f>
        <v>620.32399999999996</v>
      </c>
      <c r="E19" s="26">
        <f>'Consumption (E + non-E)'!E19</f>
        <v>608.10599999999999</v>
      </c>
      <c r="F19" s="26">
        <f>'Consumption (E + non-E)'!F19</f>
        <v>644.101</v>
      </c>
      <c r="G19" s="26">
        <f>'Consumption (E + non-E)'!G19</f>
        <v>708.53800000000001</v>
      </c>
      <c r="H19" s="26">
        <f>'Consumption (E + non-E)'!H19</f>
        <v>723.952</v>
      </c>
      <c r="I19" s="26">
        <f>'Consumption (E + non-E)'!I19</f>
        <v>736.88599999999997</v>
      </c>
      <c r="J19" s="26">
        <f>'Consumption (E + non-E)'!J19</f>
        <v>780.31200000000001</v>
      </c>
      <c r="K19" s="26">
        <f>'Consumption (E + non-E)'!K19</f>
        <v>666.09699999999998</v>
      </c>
      <c r="L19" s="26">
        <f>'Consumption (E + non-E)'!L19</f>
        <v>675.33500000000004</v>
      </c>
      <c r="M19" s="26">
        <f>'Consumption (E + non-E)'!M19</f>
        <v>671.99099999999999</v>
      </c>
      <c r="N19" s="26">
        <f>'Consumption (E + non-E)'!N19</f>
        <v>658.04600000000005</v>
      </c>
      <c r="O19" s="26">
        <f>'Consumption (E + non-E)'!O19</f>
        <v>698.91600000000005</v>
      </c>
      <c r="P19" s="26">
        <f>'Consumption (E + non-E)'!P19</f>
        <v>627.44600000000003</v>
      </c>
      <c r="Q19" s="26">
        <f>'Consumption (E + non-E)'!Q19</f>
        <v>601.95500000000004</v>
      </c>
      <c r="R19" s="26">
        <f>'Consumption (E + non-E)'!R19</f>
        <v>623.90300000000002</v>
      </c>
      <c r="S19" s="26">
        <f>'Consumption (E + non-E)'!S19</f>
        <v>624.97500000000002</v>
      </c>
      <c r="T19" s="26">
        <f>'Consumption (E + non-E)'!T19</f>
        <v>663.46199999999999</v>
      </c>
      <c r="U19" s="26">
        <f>'Consumption (E + non-E)'!U19</f>
        <v>692.13400000000001</v>
      </c>
      <c r="V19" s="26">
        <f>'Consumption (E + non-E)'!V19</f>
        <v>714.87199999999996</v>
      </c>
      <c r="W19" s="26">
        <f>'Consumption (E + non-E)'!W19</f>
        <v>718.952</v>
      </c>
      <c r="X19" s="26">
        <f>'Consumption (E + non-E)'!X19</f>
        <v>733.548</v>
      </c>
      <c r="Y19" s="26">
        <f>'Consumption (E + non-E)'!Y19</f>
        <v>779.779</v>
      </c>
      <c r="Z19" s="26">
        <f>'Consumption (E + non-E)'!Z19</f>
        <v>887.27299999999991</v>
      </c>
      <c r="AA19" s="26">
        <f>'Consumption (E + non-E)'!AA19</f>
        <v>759.702</v>
      </c>
      <c r="AB19" s="26">
        <f>'Consumption (E + non-E)'!AB19</f>
        <v>744.84100000000001</v>
      </c>
      <c r="AC19" s="26">
        <f>'Consumption (E + non-E)'!AC19</f>
        <v>757.18200000000002</v>
      </c>
      <c r="AD19" s="26">
        <f>'Consumption (E + non-E)'!AD19</f>
        <v>798.56399999999996</v>
      </c>
      <c r="AE19" s="26">
        <f>'Consumption (E + non-E)'!AE19</f>
        <v>962.17200000000003</v>
      </c>
      <c r="AF19" s="26">
        <f>'Consumption (E + non-E)'!AF19</f>
        <v>1114.1110000000001</v>
      </c>
      <c r="AG19" s="26">
        <f>'Consumption (E + non-E)'!AG19</f>
        <v>1108.6599999999999</v>
      </c>
      <c r="AH19" s="26">
        <f>'Consumption (E + non-E)'!AH19</f>
        <v>1232.2249999999999</v>
      </c>
      <c r="AI19" s="26">
        <f>'Consumption (E + non-E)'!AI19</f>
        <v>1325.87</v>
      </c>
      <c r="AJ19" s="232">
        <f t="shared" si="6"/>
        <v>7.5996672685589073E-2</v>
      </c>
      <c r="AK19" s="285" t="s">
        <v>1435</v>
      </c>
      <c r="AL19" s="282">
        <f>SUM(AL5:BR5)</f>
        <v>592148.35493314965</v>
      </c>
      <c r="AM19" s="63">
        <f>AL19/$AL$22</f>
        <v>0.24897155554651743</v>
      </c>
      <c r="AO19" s="343"/>
      <c r="AP19" s="343"/>
    </row>
    <row r="20" spans="2:42">
      <c r="B20" s="6" t="s">
        <v>1440</v>
      </c>
      <c r="C20" s="133">
        <f>'Consumption (E + non-E)'!C20-'Non-Energy Use'!E24-SUM('Consumption Input'!E69:E71)</f>
        <v>19974.745449054033</v>
      </c>
      <c r="D20" s="133">
        <f>'Consumption (E + non-E)'!D20-'Non-Energy Use'!F24-SUM('Consumption Input'!F69:F71)</f>
        <v>19360.714427898292</v>
      </c>
      <c r="E20" s="133">
        <f>'Consumption (E + non-E)'!E20-'Non-Energy Use'!G24-SUM('Consumption Input'!G69:G71)</f>
        <v>20092.116525353318</v>
      </c>
      <c r="F20" s="133">
        <f>'Consumption (E + non-E)'!F20-'Non-Energy Use'!H24-SUM('Consumption Input'!H69:H71)</f>
        <v>20532.303987451236</v>
      </c>
      <c r="G20" s="133">
        <f>'Consumption (E + non-E)'!G20-'Non-Energy Use'!I24-SUM('Consumption Input'!I69:I71)</f>
        <v>21169.048558268085</v>
      </c>
      <c r="H20" s="133">
        <f>'Consumption (E + non-E)'!H20-'Non-Energy Use'!J24-SUM('Consumption Input'!J69:J71)</f>
        <v>21528.109205933353</v>
      </c>
      <c r="I20" s="133">
        <f>'Consumption (E + non-E)'!I20-'Non-Energy Use'!K24-SUM('Consumption Input'!K69:K71)</f>
        <v>22126.110255189084</v>
      </c>
      <c r="J20" s="133">
        <f>'Consumption (E + non-E)'!J20-'Non-Energy Use'!L24-SUM('Consumption Input'!L69:L71)</f>
        <v>22322.592358720736</v>
      </c>
      <c r="K20" s="133">
        <f>'Consumption (E + non-E)'!K20-'Non-Energy Use'!M24-SUM('Consumption Input'!M69:M71)</f>
        <v>22894.499051362327</v>
      </c>
      <c r="L20" s="133">
        <f>'Consumption (E + non-E)'!L20-'Non-Energy Use'!N24-SUM('Consumption Input'!N69:N71)</f>
        <v>23854.10001576013</v>
      </c>
      <c r="M20" s="133">
        <f>'Consumption (E + non-E)'!M20-'Non-Energy Use'!O24-SUM('Consumption Input'!O69:O71)</f>
        <v>24295.945489220045</v>
      </c>
      <c r="N20" s="133">
        <f>'Consumption (E + non-E)'!N20-'Non-Energy Use'!P24-SUM('Consumption Input'!P69:P71)</f>
        <v>24020.71490532799</v>
      </c>
      <c r="O20" s="133">
        <f>'Consumption (E + non-E)'!O20-'Non-Energy Use'!Q24-SUM('Consumption Input'!Q69:Q71)</f>
        <v>24532.601582737228</v>
      </c>
      <c r="P20" s="133">
        <f>'Consumption (E + non-E)'!P20-'Non-Energy Use'!R24-SUM('Consumption Input'!R69:R71)</f>
        <v>24504.345268907487</v>
      </c>
      <c r="Q20" s="133">
        <f>'Consumption (E + non-E)'!Q20-'Non-Energy Use'!S24-SUM('Consumption Input'!S69:S71)</f>
        <v>25117.33644931957</v>
      </c>
      <c r="R20" s="133">
        <f>'Consumption (E + non-E)'!R20-'Non-Energy Use'!T24-SUM('Consumption Input'!T69:T71)</f>
        <v>25369.886136208828</v>
      </c>
      <c r="S20" s="133">
        <f>'Consumption (E + non-E)'!S20-'Non-Energy Use'!U24-SUM('Consumption Input'!U69:U71)</f>
        <v>25255.992187638672</v>
      </c>
      <c r="T20" s="133">
        <f>'Consumption (E + non-E)'!T20-'Non-Energy Use'!V24-SUM('Consumption Input'!V69:V71)</f>
        <v>25186.973429604488</v>
      </c>
      <c r="U20" s="133">
        <f>'Consumption (E + non-E)'!U20-'Non-Energy Use'!W24-SUM('Consumption Input'!W69:W71)</f>
        <v>23946.892267290881</v>
      </c>
      <c r="V20" s="133">
        <f>'Consumption (E + non-E)'!V20-'Non-Energy Use'!X24-SUM('Consumption Input'!X69:X71)</f>
        <v>22898.626338188471</v>
      </c>
      <c r="W20" s="133">
        <f>'Consumption (E + non-E)'!W20-'Non-Energy Use'!Y24-SUM('Consumption Input'!Y69:Y71)</f>
        <v>23028.392909924685</v>
      </c>
      <c r="X20" s="133">
        <f>'Consumption (E + non-E)'!X20-'Non-Energy Use'!Z24-SUM('Consumption Input'!Z69:Z71)</f>
        <v>22661.986749905929</v>
      </c>
      <c r="Y20" s="133">
        <f>'Consumption (E + non-E)'!Y20-'Non-Energy Use'!AA24-SUM('Consumption Input'!AA69:AA71)</f>
        <v>22499.777817154321</v>
      </c>
      <c r="Z20" s="133">
        <f>'Consumption (E + non-E)'!Z20-'Non-Energy Use'!AB24-SUM('Consumption Input'!AB69:AB71)</f>
        <v>22603.170587902263</v>
      </c>
      <c r="AA20" s="133">
        <f>'Consumption (E + non-E)'!AA20-'Non-Energy Use'!AC24-SUM('Consumption Input'!AC69:AC71)</f>
        <v>23254.787730356762</v>
      </c>
      <c r="AB20" s="133">
        <f>'Consumption (E + non-E)'!AB20-'Non-Energy Use'!AD24-SUM('Consumption Input'!AD69:AD71)</f>
        <v>23421.754157689935</v>
      </c>
      <c r="AC20" s="133">
        <f>'Consumption (E + non-E)'!AC20-'Non-Energy Use'!AE24-SUM('Consumption Input'!AE69:AE71)</f>
        <v>23959.479523374892</v>
      </c>
      <c r="AD20" s="133">
        <f>'Consumption (E + non-E)'!AD20-'Non-Energy Use'!AF24-SUM('Consumption Input'!AF69:AF71)</f>
        <v>24220.449755479185</v>
      </c>
      <c r="AE20" s="133">
        <f>'Consumption (E + non-E)'!AE20-'Non-Energy Use'!AG24-SUM('Consumption Input'!AG69:AG71)</f>
        <v>24561.94403880521</v>
      </c>
      <c r="AF20" s="133">
        <f>'Consumption (E + non-E)'!AF20-'Non-Energy Use'!AH24-SUM('Consumption Input'!AH69:AH71)</f>
        <v>24498.874577300558</v>
      </c>
      <c r="AG20" s="133">
        <f>'Consumption (E + non-E)'!AG20-'Non-Energy Use'!AI24-SUM('Consumption Input'!AI69:AI71)</f>
        <v>21091.863696387274</v>
      </c>
      <c r="AH20" s="133">
        <f>'Consumption (E + non-E)'!AH20-'Non-Energy Use'!AJ24-SUM('Consumption Input'!AJ69:AJ71)</f>
        <v>23511.342629247487</v>
      </c>
      <c r="AI20" s="133">
        <f>'Consumption (E + non-E)'!AI20-'Non-Energy Use'!AK24-SUM('Consumption Input'!AK69:AK71)</f>
        <v>23822.692566402882</v>
      </c>
      <c r="AJ20" s="232">
        <f t="shared" si="6"/>
        <v>1.3242541783559577E-2</v>
      </c>
      <c r="AK20" s="285" t="s">
        <v>1439</v>
      </c>
      <c r="AL20" s="282">
        <f>SUM(AL6:BR6)</f>
        <v>798460.22286159743</v>
      </c>
      <c r="AM20" s="63">
        <f>AL20/$AL$22</f>
        <v>0.33571634890434449</v>
      </c>
      <c r="AO20" s="343"/>
      <c r="AP20" s="343"/>
    </row>
    <row r="21" spans="2:42">
      <c r="B21" s="5" t="s">
        <v>1474</v>
      </c>
      <c r="C21" s="27">
        <f>SUM(C22:C24)</f>
        <v>20858.922999999999</v>
      </c>
      <c r="D21" s="27">
        <f t="shared" ref="D21:R21" si="51">SUM(D22:D24)</f>
        <v>20825.328999999998</v>
      </c>
      <c r="E21" s="27">
        <f t="shared" si="51"/>
        <v>20967.804</v>
      </c>
      <c r="F21" s="27">
        <f t="shared" si="51"/>
        <v>21857.217000000001</v>
      </c>
      <c r="G21" s="27">
        <f t="shared" si="51"/>
        <v>22296.853999999999</v>
      </c>
      <c r="H21" s="27">
        <f t="shared" si="51"/>
        <v>22522.761000000002</v>
      </c>
      <c r="I21" s="27">
        <f t="shared" si="51"/>
        <v>23108.737999999998</v>
      </c>
      <c r="J21" s="27">
        <f t="shared" si="51"/>
        <v>23956.755999999994</v>
      </c>
      <c r="K21" s="27">
        <f t="shared" si="51"/>
        <v>25196.677000000003</v>
      </c>
      <c r="L21" s="27">
        <f t="shared" si="51"/>
        <v>25392.841</v>
      </c>
      <c r="M21" s="27">
        <f t="shared" si="51"/>
        <v>26657.685999999994</v>
      </c>
      <c r="N21" s="27">
        <f t="shared" si="51"/>
        <v>26348.149999999998</v>
      </c>
      <c r="O21" s="27">
        <f t="shared" si="51"/>
        <v>26510.777000000002</v>
      </c>
      <c r="P21" s="27">
        <f t="shared" si="51"/>
        <v>26635.810999999998</v>
      </c>
      <c r="Q21" s="27">
        <f t="shared" si="51"/>
        <v>27100.967000000001</v>
      </c>
      <c r="R21" s="27">
        <f t="shared" si="51"/>
        <v>27973.852999999999</v>
      </c>
      <c r="S21" s="27">
        <f t="shared" ref="S21:X21" si="52">SUM(S22:S24)</f>
        <v>27473.98</v>
      </c>
      <c r="T21" s="27">
        <f t="shared" si="52"/>
        <v>28460.787</v>
      </c>
      <c r="U21" s="27">
        <f t="shared" si="52"/>
        <v>27801.215</v>
      </c>
      <c r="V21" s="27">
        <f t="shared" si="52"/>
        <v>25630.092999999997</v>
      </c>
      <c r="W21" s="27">
        <f t="shared" si="52"/>
        <v>27031.422000000002</v>
      </c>
      <c r="X21" s="27">
        <f t="shared" si="52"/>
        <v>26042.42</v>
      </c>
      <c r="Y21" s="27">
        <f t="shared" ref="Y21:AD21" si="53">SUM(Y22:Y24)</f>
        <v>25322.245999999999</v>
      </c>
      <c r="Z21" s="27">
        <f t="shared" si="53"/>
        <v>25081.976000000002</v>
      </c>
      <c r="AA21" s="27">
        <f t="shared" si="53"/>
        <v>25084.550000000003</v>
      </c>
      <c r="AB21" s="27">
        <f t="shared" si="53"/>
        <v>24340.673999999999</v>
      </c>
      <c r="AC21" s="27">
        <f t="shared" si="53"/>
        <v>23541.564000000002</v>
      </c>
      <c r="AD21" s="27">
        <f t="shared" si="53"/>
        <v>22395.162000000004</v>
      </c>
      <c r="AE21" s="27">
        <f t="shared" ref="AE21:AF21" si="54">SUM(AE22:AE24)</f>
        <v>23234.814999999999</v>
      </c>
      <c r="AF21" s="27">
        <f t="shared" si="54"/>
        <v>22028.246999999999</v>
      </c>
      <c r="AG21" s="27">
        <f t="shared" ref="AG21:AH21" si="55">SUM(AG22:AG24)</f>
        <v>20413.447</v>
      </c>
      <c r="AH21" s="27">
        <f t="shared" si="55"/>
        <v>21285.270999999997</v>
      </c>
      <c r="AI21" s="27">
        <f t="shared" ref="AI21" si="56">SUM(AI22:AI24)</f>
        <v>21588.543000000001</v>
      </c>
      <c r="AJ21" s="232">
        <f t="shared" si="6"/>
        <v>1.4247974573591501E-2</v>
      </c>
      <c r="AK21" s="285" t="s">
        <v>1440</v>
      </c>
      <c r="AL21" s="282">
        <f>SUM(AL7:BR7)</f>
        <v>987768.95868055406</v>
      </c>
      <c r="AM21" s="63">
        <f>AL21/$AL$22</f>
        <v>0.41531209554913823</v>
      </c>
      <c r="AO21" s="343"/>
      <c r="AP21" s="343"/>
    </row>
    <row r="22" spans="2:42">
      <c r="B22" s="6" t="s">
        <v>1435</v>
      </c>
      <c r="C22" s="26">
        <f>'Consumption (E + non-E)'!C22</f>
        <v>16260.951999999999</v>
      </c>
      <c r="D22" s="26">
        <f>'Consumption (E + non-E)'!D22</f>
        <v>16249.708999999999</v>
      </c>
      <c r="E22" s="26">
        <f>'Consumption (E + non-E)'!E22</f>
        <v>16465.595000000001</v>
      </c>
      <c r="F22" s="26">
        <f>'Consumption (E + non-E)'!F22</f>
        <v>17195.927</v>
      </c>
      <c r="G22" s="26">
        <f>'Consumption (E + non-E)'!G22</f>
        <v>17260.875</v>
      </c>
      <c r="H22" s="26">
        <f>'Consumption (E + non-E)'!H22</f>
        <v>17466.285</v>
      </c>
      <c r="I22" s="26">
        <f>'Consumption (E + non-E)'!I22</f>
        <v>18429.026999999998</v>
      </c>
      <c r="J22" s="26">
        <f>'Consumption (E + non-E)'!J22</f>
        <v>18904.537999999997</v>
      </c>
      <c r="K22" s="26">
        <f>'Consumption (E + non-E)'!K22</f>
        <v>19215.682000000001</v>
      </c>
      <c r="L22" s="26">
        <f>'Consumption (E + non-E)'!L22</f>
        <v>19279.487000000001</v>
      </c>
      <c r="M22" s="26">
        <f>'Consumption (E + non-E)'!M22</f>
        <v>20220.170999999995</v>
      </c>
      <c r="N22" s="26">
        <f>'Consumption (E + non-E)'!N22</f>
        <v>19613.672999999999</v>
      </c>
      <c r="O22" s="26">
        <f>'Consumption (E + non-E)'!O22</f>
        <v>19782.780999999999</v>
      </c>
      <c r="P22" s="26">
        <f>'Consumption (E + non-E)'!P22</f>
        <v>20184.742999999999</v>
      </c>
      <c r="Q22" s="26">
        <f>'Consumption (E + non-E)'!Q22</f>
        <v>20305.035</v>
      </c>
      <c r="R22" s="26">
        <f>'Consumption (E + non-E)'!R22</f>
        <v>20737.241000000002</v>
      </c>
      <c r="S22" s="26">
        <f>'Consumption (E + non-E)'!S22</f>
        <v>20461.883000000002</v>
      </c>
      <c r="T22" s="26">
        <f>'Consumption (E + non-E)'!T22</f>
        <v>20807.722000000002</v>
      </c>
      <c r="U22" s="26">
        <f>'Consumption (E + non-E)'!U22</f>
        <v>20512.955000000002</v>
      </c>
      <c r="V22" s="26">
        <f>'Consumption (E + non-E)'!V22</f>
        <v>18225.331999999999</v>
      </c>
      <c r="W22" s="26">
        <f>'Consumption (E + non-E)'!W22</f>
        <v>19133.455000000002</v>
      </c>
      <c r="X22" s="26">
        <f>'Consumption (E + non-E)'!X22</f>
        <v>18035.174999999999</v>
      </c>
      <c r="Y22" s="26">
        <f>'Consumption (E + non-E)'!Y22</f>
        <v>15821.247999999998</v>
      </c>
      <c r="Z22" s="26">
        <f>'Consumption (E + non-E)'!Z22</f>
        <v>16450.559000000001</v>
      </c>
      <c r="AA22" s="26">
        <f>'Consumption (E + non-E)'!AA22</f>
        <v>16427.400000000001</v>
      </c>
      <c r="AB22" s="26">
        <f>'Consumption (E + non-E)'!AB22</f>
        <v>14138.249999999998</v>
      </c>
      <c r="AC22" s="26">
        <f>'Consumption (E + non-E)'!AC22</f>
        <v>12996.353999999999</v>
      </c>
      <c r="AD22" s="26">
        <f>'Consumption (E + non-E)'!AD22</f>
        <v>12622.233</v>
      </c>
      <c r="AE22" s="26">
        <f>'Consumption (E + non-E)'!AE22</f>
        <v>12052.957</v>
      </c>
      <c r="AF22" s="26">
        <f>'Consumption (E + non-E)'!AF22</f>
        <v>10181.262000000001</v>
      </c>
      <c r="AG22" s="26">
        <f>'Consumption (E + non-E)'!AG22</f>
        <v>8229.2829999999994</v>
      </c>
      <c r="AH22" s="26">
        <f>'Consumption (E + non-E)'!AH22</f>
        <v>9497.6719999999987</v>
      </c>
      <c r="AI22" s="26">
        <f>'Consumption (E + non-E)'!AI22</f>
        <v>8885.491</v>
      </c>
      <c r="AJ22" s="232">
        <f>(AI22-AH22)/AH22</f>
        <v>-6.4455900351159612E-2</v>
      </c>
      <c r="AK22" s="744" t="s">
        <v>1480</v>
      </c>
      <c r="AL22" s="742">
        <f>SUM(AL19:AL21)</f>
        <v>2378377.5364753008</v>
      </c>
      <c r="AM22" s="62"/>
      <c r="AO22" s="284"/>
      <c r="AP22" s="284"/>
    </row>
    <row r="23" spans="2:42">
      <c r="B23" s="6" t="s">
        <v>1439</v>
      </c>
      <c r="C23" s="26">
        <f>'Consumption (E + non-E)'!C23</f>
        <v>3308.538</v>
      </c>
      <c r="D23" s="26">
        <f>'Consumption (E + non-E)'!D23</f>
        <v>3377.3589999999999</v>
      </c>
      <c r="E23" s="26">
        <f>'Consumption (E + non-E)'!E23</f>
        <v>3511.502</v>
      </c>
      <c r="F23" s="26">
        <f>'Consumption (E + non-E)'!F23</f>
        <v>3537.5010000000002</v>
      </c>
      <c r="G23" s="26">
        <f>'Consumption (E + non-E)'!G23</f>
        <v>3977.299</v>
      </c>
      <c r="H23" s="26">
        <f>'Consumption (E + non-E)'!H23</f>
        <v>4301.9709999999995</v>
      </c>
      <c r="I23" s="26">
        <f>'Consumption (E + non-E)'!I23</f>
        <v>3862.4490000000001</v>
      </c>
      <c r="J23" s="26">
        <f>'Consumption (E + non-E)'!J23</f>
        <v>4125.5119999999997</v>
      </c>
      <c r="K23" s="26">
        <f>'Consumption (E + non-E)'!K23</f>
        <v>4674.8999999999996</v>
      </c>
      <c r="L23" s="26">
        <f>'Consumption (E + non-E)'!L23</f>
        <v>4902.1480000000001</v>
      </c>
      <c r="M23" s="26">
        <f>'Consumption (E + non-E)'!M23</f>
        <v>5293.375</v>
      </c>
      <c r="N23" s="26">
        <f>'Consumption (E + non-E)'!N23</f>
        <v>5458.1009999999997</v>
      </c>
      <c r="O23" s="26">
        <f>'Consumption (E + non-E)'!O23</f>
        <v>5766.8119999999999</v>
      </c>
      <c r="P23" s="26">
        <f>'Consumption (E + non-E)'!P23</f>
        <v>5246.2489999999998</v>
      </c>
      <c r="Q23" s="26">
        <f>'Consumption (E + non-E)'!Q23</f>
        <v>5594.9350000000004</v>
      </c>
      <c r="R23" s="26">
        <f>'Consumption (E + non-E)'!R23</f>
        <v>6014.5479999999998</v>
      </c>
      <c r="S23" s="26">
        <f>'Consumption (E + non-E)'!S23</f>
        <v>6375.1390000000001</v>
      </c>
      <c r="T23" s="26">
        <f>'Consumption (E + non-E)'!T23</f>
        <v>7005.2340000000004</v>
      </c>
      <c r="U23" s="26">
        <f>'Consumption (E + non-E)'!U23</f>
        <v>6828.924</v>
      </c>
      <c r="V23" s="26">
        <f>'Consumption (E + non-E)'!V23</f>
        <v>7022.39</v>
      </c>
      <c r="W23" s="26">
        <f>'Consumption (E + non-E)'!W23</f>
        <v>7527.6409999999996</v>
      </c>
      <c r="X23" s="26">
        <f>'Consumption (E + non-E)'!X23</f>
        <v>7712.2049999999999</v>
      </c>
      <c r="Y23" s="26">
        <f>'Consumption (E + non-E)'!Y23</f>
        <v>9286.7929999999997</v>
      </c>
      <c r="Z23" s="26">
        <f>'Consumption (E + non-E)'!Z23</f>
        <v>8376.2540000000008</v>
      </c>
      <c r="AA23" s="26">
        <f>'Consumption (E + non-E)'!AA23</f>
        <v>8361.6810000000005</v>
      </c>
      <c r="AB23" s="26">
        <f>'Consumption (E + non-E)'!AB23</f>
        <v>9926.4590000000007</v>
      </c>
      <c r="AC23" s="26">
        <f>'Consumption (E + non-E)'!AC23</f>
        <v>10301.311</v>
      </c>
      <c r="AD23" s="26">
        <f>'Consumption (E + non-E)'!AD23</f>
        <v>9555.2070000000003</v>
      </c>
      <c r="AE23" s="26">
        <f>'Consumption (E + non-E)'!AE23</f>
        <v>10921.508</v>
      </c>
      <c r="AF23" s="26">
        <f>'Consumption (E + non-E)'!AF23</f>
        <v>11658.398999999999</v>
      </c>
      <c r="AG23" s="26">
        <f>'Consumption (E + non-E)'!AG23</f>
        <v>11999.767</v>
      </c>
      <c r="AH23" s="26">
        <f>'Consumption (E + non-E)'!AH23</f>
        <v>11582.584999999999</v>
      </c>
      <c r="AI23" s="26">
        <f>'Consumption (E + non-E)'!AI23</f>
        <v>12459.189</v>
      </c>
      <c r="AJ23" s="232">
        <f t="shared" si="6"/>
        <v>7.5682932609603237E-2</v>
      </c>
    </row>
    <row r="24" spans="2:42">
      <c r="B24" s="6" t="s">
        <v>1440</v>
      </c>
      <c r="C24" s="26">
        <f>'Consumption (E + non-E)'!C24</f>
        <v>1289.4329999999998</v>
      </c>
      <c r="D24" s="26">
        <f>'Consumption (E + non-E)'!D24</f>
        <v>1198.261</v>
      </c>
      <c r="E24" s="26">
        <f>'Consumption (E + non-E)'!E24</f>
        <v>990.70699999999988</v>
      </c>
      <c r="F24" s="26">
        <f>'Consumption (E + non-E)'!F24</f>
        <v>1123.789</v>
      </c>
      <c r="G24" s="26">
        <f>'Consumption (E + non-E)'!G24</f>
        <v>1058.68</v>
      </c>
      <c r="H24" s="26">
        <f>'Consumption (E + non-E)'!H24</f>
        <v>754.505</v>
      </c>
      <c r="I24" s="26">
        <f>'Consumption (E + non-E)'!I24</f>
        <v>817.26199999999994</v>
      </c>
      <c r="J24" s="26">
        <f>'Consumption (E + non-E)'!J24</f>
        <v>926.70600000000002</v>
      </c>
      <c r="K24" s="26">
        <f>'Consumption (E + non-E)'!K24</f>
        <v>1306.095</v>
      </c>
      <c r="L24" s="26">
        <f>'Consumption (E + non-E)'!L24</f>
        <v>1211.2059999999999</v>
      </c>
      <c r="M24" s="26">
        <f>'Consumption (E + non-E)'!M24</f>
        <v>1144.1400000000001</v>
      </c>
      <c r="N24" s="26">
        <f>'Consumption (E + non-E)'!N24</f>
        <v>1276.3759999999997</v>
      </c>
      <c r="O24" s="26">
        <f>'Consumption (E + non-E)'!O24</f>
        <v>961.18399999999997</v>
      </c>
      <c r="P24" s="26">
        <f>'Consumption (E + non-E)'!P24</f>
        <v>1204.819</v>
      </c>
      <c r="Q24" s="26">
        <f>'Consumption (E + non-E)'!Q24</f>
        <v>1200.9970000000001</v>
      </c>
      <c r="R24" s="26">
        <f>'Consumption (E + non-E)'!R24</f>
        <v>1222.0640000000001</v>
      </c>
      <c r="S24" s="26">
        <f>'Consumption (E + non-E)'!S24</f>
        <v>636.95799999999997</v>
      </c>
      <c r="T24" s="26">
        <f>'Consumption (E + non-E)'!T24</f>
        <v>647.83100000000002</v>
      </c>
      <c r="U24" s="26">
        <f>'Consumption (E + non-E)'!U24</f>
        <v>459.33600000000001</v>
      </c>
      <c r="V24" s="26">
        <f>'Consumption (E + non-E)'!V24</f>
        <v>382.37099999999998</v>
      </c>
      <c r="W24" s="26">
        <f>'Consumption (E + non-E)'!W24</f>
        <v>370.32600000000002</v>
      </c>
      <c r="X24" s="26">
        <f>'Consumption (E + non-E)'!X24</f>
        <v>295.03999999999996</v>
      </c>
      <c r="Y24" s="26">
        <f>'Consumption (E + non-E)'!Y24</f>
        <v>214.20500000000001</v>
      </c>
      <c r="Z24" s="26">
        <f>'Consumption (E + non-E)'!Z24</f>
        <v>255.16299999999998</v>
      </c>
      <c r="AA24" s="26">
        <f>'Consumption (E + non-E)'!AA24</f>
        <v>295.46899999999999</v>
      </c>
      <c r="AB24" s="26">
        <f>'Consumption (E + non-E)'!AB24</f>
        <v>275.96500000000003</v>
      </c>
      <c r="AC24" s="26">
        <f>'Consumption (E + non-E)'!AC24</f>
        <v>243.899</v>
      </c>
      <c r="AD24" s="26">
        <f>'Consumption (E + non-E)'!AD24</f>
        <v>217.72199999999998</v>
      </c>
      <c r="AE24" s="26">
        <f>'Consumption (E + non-E)'!AE24</f>
        <v>260.35000000000002</v>
      </c>
      <c r="AF24" s="26">
        <f>'Consumption (E + non-E)'!AF24</f>
        <v>188.58600000000001</v>
      </c>
      <c r="AG24" s="26">
        <f>'Consumption (E + non-E)'!AG24</f>
        <v>184.39699999999999</v>
      </c>
      <c r="AH24" s="26">
        <f>'Consumption (E + non-E)'!AH24</f>
        <v>205.01399999999998</v>
      </c>
      <c r="AI24" s="26">
        <f>'Consumption (E + non-E)'!AI24</f>
        <v>243.863</v>
      </c>
      <c r="AJ24" s="232">
        <f t="shared" si="6"/>
        <v>0.18949437599383467</v>
      </c>
    </row>
    <row r="25" spans="2:42">
      <c r="B25" s="5" t="s">
        <v>1476</v>
      </c>
      <c r="C25" s="27">
        <f>SUM(C26:C28)</f>
        <v>273.64909361941005</v>
      </c>
      <c r="D25" s="27">
        <f t="shared" ref="D25:R25" si="57">SUM(D26:D28)</f>
        <v>262.66070542798104</v>
      </c>
      <c r="E25" s="27">
        <f t="shared" si="57"/>
        <v>299.5682092527212</v>
      </c>
      <c r="F25" s="27">
        <f t="shared" si="57"/>
        <v>308.74826511211455</v>
      </c>
      <c r="G25" s="27">
        <f t="shared" si="57"/>
        <v>338.09726323123908</v>
      </c>
      <c r="H25" s="27">
        <f t="shared" si="57"/>
        <v>295.0478033781813</v>
      </c>
      <c r="I25" s="27">
        <f t="shared" si="57"/>
        <v>270.33087990092281</v>
      </c>
      <c r="J25" s="27">
        <f t="shared" si="57"/>
        <v>274.18481642743342</v>
      </c>
      <c r="K25" s="27">
        <f t="shared" si="57"/>
        <v>265.21544013058349</v>
      </c>
      <c r="L25" s="27">
        <f t="shared" si="57"/>
        <v>211.12845026141531</v>
      </c>
      <c r="M25" s="27">
        <f t="shared" si="57"/>
        <v>509.06565526782435</v>
      </c>
      <c r="N25" s="27">
        <f t="shared" si="57"/>
        <v>682.42801064591652</v>
      </c>
      <c r="O25" s="27">
        <f t="shared" si="57"/>
        <v>618.4291555691932</v>
      </c>
      <c r="P25" s="27">
        <f t="shared" si="57"/>
        <v>686.29571388940258</v>
      </c>
      <c r="Q25" s="27">
        <f t="shared" si="57"/>
        <v>719.98308883608809</v>
      </c>
      <c r="R25" s="27">
        <f t="shared" si="57"/>
        <v>706.50885905333587</v>
      </c>
      <c r="S25" s="27">
        <f t="shared" ref="S25:X25" si="58">SUM(S26:S28)</f>
        <v>695.18795601247257</v>
      </c>
      <c r="T25" s="27">
        <f t="shared" si="58"/>
        <v>633.39056279348381</v>
      </c>
      <c r="U25" s="27">
        <f t="shared" si="58"/>
        <v>523.76221683771803</v>
      </c>
      <c r="V25" s="27">
        <f t="shared" si="58"/>
        <v>531.11859392144083</v>
      </c>
      <c r="W25" s="27">
        <f t="shared" si="58"/>
        <v>470.20918536837951</v>
      </c>
      <c r="X25" s="27">
        <f t="shared" si="58"/>
        <v>466.1178913126144</v>
      </c>
      <c r="Y25" s="27">
        <f t="shared" ref="Y25:AD25" si="59">SUM(Y26:Y28)</f>
        <v>455.98352156190742</v>
      </c>
      <c r="Z25" s="27">
        <f t="shared" si="59"/>
        <v>393.53560303425104</v>
      </c>
      <c r="AA25" s="27">
        <f t="shared" si="59"/>
        <v>396.92983777695497</v>
      </c>
      <c r="AB25" s="27">
        <f t="shared" si="59"/>
        <v>399.03014071472398</v>
      </c>
      <c r="AC25" s="27">
        <f t="shared" si="59"/>
        <v>368.69211443575171</v>
      </c>
      <c r="AD25" s="27">
        <f t="shared" si="59"/>
        <v>365.39165201947401</v>
      </c>
      <c r="AE25" s="27">
        <f t="shared" ref="AE25:AF25" si="60">SUM(AE26:AE28)</f>
        <v>368.19621080803057</v>
      </c>
      <c r="AF25" s="27">
        <f t="shared" si="60"/>
        <v>350.71060687000681</v>
      </c>
      <c r="AG25" s="27">
        <f t="shared" ref="AG25:AH25" si="61">SUM(AG26:AG28)</f>
        <v>324.50267596933116</v>
      </c>
      <c r="AH25" s="27">
        <f t="shared" si="61"/>
        <v>339.33528100843523</v>
      </c>
      <c r="AI25" s="27">
        <f t="shared" ref="AI25" si="62">SUM(AI26:AI28)</f>
        <v>339.24881433528839</v>
      </c>
      <c r="AJ25" s="232">
        <f t="shared" si="6"/>
        <v>-2.548119160786445E-4</v>
      </c>
    </row>
    <row r="26" spans="2:42">
      <c r="B26" s="6" t="s">
        <v>1435</v>
      </c>
      <c r="C26" s="26">
        <f>'Consumption (E + non-E)'!C26</f>
        <v>5.4153140038999998</v>
      </c>
      <c r="D26" s="1046">
        <f>'Consumption (E + non-E)'!D26</f>
        <v>5.0225861839999562</v>
      </c>
      <c r="E26" s="26">
        <f>'Consumption (E + non-E)'!E26</f>
        <v>4.2894793258999551</v>
      </c>
      <c r="F26" s="26">
        <f>'Consumption (E + non-E)'!F26</f>
        <v>4.4984224763</v>
      </c>
      <c r="G26" s="26">
        <f>'Consumption (E + non-E)'!G26</f>
        <v>4.584457816399933</v>
      </c>
      <c r="H26" s="26">
        <f>'Consumption (E + non-E)'!H26</f>
        <v>4.6704931342000666</v>
      </c>
      <c r="I26" s="26">
        <f>'Consumption (E + non-E)'!I26</f>
        <v>4.7934009221999334</v>
      </c>
      <c r="J26" s="26">
        <f>'Consumption (E + non-E)'!J26</f>
        <v>4.8720619868000448</v>
      </c>
      <c r="K26" s="26">
        <f>'Consumption (E + non-E)'!K26</f>
        <v>4.9261413376999998</v>
      </c>
      <c r="L26" s="26">
        <f>'Consumption (E + non-E)'!L26</f>
        <v>4.5598763479999995</v>
      </c>
      <c r="M26" s="26">
        <f>'Consumption (E + non-E)'!M26</f>
        <v>5.1530037646000668</v>
      </c>
      <c r="N26" s="26">
        <f>'Consumption (E + non-E)'!N26</f>
        <v>6.4746043000000659</v>
      </c>
      <c r="O26" s="26">
        <f>'Consumption (E + non-E)'!O26</f>
        <v>21.950202199999911</v>
      </c>
      <c r="P26" s="26">
        <f>'Consumption (E + non-E)'!P26</f>
        <v>28.898837327166859</v>
      </c>
      <c r="Q26" s="26">
        <f>'Consumption (E + non-E)'!Q26</f>
        <v>31.956006371000896</v>
      </c>
      <c r="R26" s="26">
        <f>'Consumption (E + non-E)'!R26</f>
        <v>32.693452652999333</v>
      </c>
      <c r="S26" s="26">
        <f>'Consumption (E + non-E)'!S26</f>
        <v>36.872314991999332</v>
      </c>
      <c r="T26" s="26">
        <f>'Consumption (E + non-E)'!T26</f>
        <v>36.910076885308783</v>
      </c>
      <c r="U26" s="26">
        <f>'Consumption (E + non-E)'!U26</f>
        <v>37.24687728113885</v>
      </c>
      <c r="V26" s="26">
        <f>'Consumption (E + non-E)'!V26</f>
        <v>36.988296399999335</v>
      </c>
      <c r="W26" s="26">
        <f>'Consumption (E + non-E)'!W26</f>
        <v>34.668182100000891</v>
      </c>
      <c r="X26" s="26">
        <f>'Consumption (E + non-E)'!X26</f>
        <v>37.299648999999107</v>
      </c>
      <c r="Y26" s="26">
        <f>'Consumption (E + non-E)'!Y26</f>
        <v>35.667677036947332</v>
      </c>
      <c r="Z26" s="26">
        <f>'Consumption (E + non-E)'!Z26</f>
        <v>35.534273165896998</v>
      </c>
      <c r="AA26" s="26">
        <f>'Consumption (E + non-E)'!AA26</f>
        <v>37.343816349511442</v>
      </c>
      <c r="AB26" s="26">
        <f>'Consumption (E + non-E)'!AB26</f>
        <v>35.908837411646324</v>
      </c>
      <c r="AC26" s="26">
        <f>'Consumption (E + non-E)'!AC26</f>
        <v>35.481528518267581</v>
      </c>
      <c r="AD26" s="26">
        <f>'Consumption (E + non-E)'!AD26</f>
        <v>24.956420600000001</v>
      </c>
      <c r="AE26" s="26">
        <f>'Consumption (E + non-E)'!AE26</f>
        <v>27.736806900000005</v>
      </c>
      <c r="AF26" s="26">
        <f>'Consumption (E + non-E)'!AF26</f>
        <v>38.625227900000006</v>
      </c>
      <c r="AG26" s="26">
        <f>'Consumption (E + non-E)'!AG26</f>
        <v>33.440974905674999</v>
      </c>
      <c r="AH26" s="26">
        <f>'Consumption (E + non-E)'!AH26</f>
        <v>31.336178988899004</v>
      </c>
      <c r="AI26" s="26">
        <f>'Consumption (E + non-E)'!AI26</f>
        <v>31.336178988899004</v>
      </c>
      <c r="AJ26" s="232">
        <f t="shared" si="6"/>
        <v>0</v>
      </c>
    </row>
    <row r="27" spans="2:42">
      <c r="B27" s="6" t="s">
        <v>1439</v>
      </c>
      <c r="C27" s="26">
        <f>'Consumption (E + non-E)'!C27</f>
        <v>0</v>
      </c>
      <c r="D27" s="26">
        <f>'Consumption (E + non-E)'!D27</f>
        <v>0</v>
      </c>
      <c r="E27" s="26">
        <f>'Consumption (E + non-E)'!E27</f>
        <v>0</v>
      </c>
      <c r="F27" s="26">
        <f>'Consumption (E + non-E)'!F27</f>
        <v>0</v>
      </c>
      <c r="G27" s="26">
        <f>'Consumption (E + non-E)'!G27</f>
        <v>0</v>
      </c>
      <c r="H27" s="26">
        <f>'Consumption (E + non-E)'!H27</f>
        <v>0</v>
      </c>
      <c r="I27" s="26">
        <f>'Consumption (E + non-E)'!I27</f>
        <v>0</v>
      </c>
      <c r="J27" s="26">
        <f>'Consumption (E + non-E)'!J27</f>
        <v>0</v>
      </c>
      <c r="K27" s="26">
        <f>'Consumption (E + non-E)'!K27</f>
        <v>0</v>
      </c>
      <c r="L27" s="26">
        <f>'Consumption (E + non-E)'!L27</f>
        <v>0</v>
      </c>
      <c r="M27" s="26">
        <f>'Consumption (E + non-E)'!M27</f>
        <v>12.66925625</v>
      </c>
      <c r="N27" s="26">
        <f>'Consumption (E + non-E)'!N27</f>
        <v>22.871406599999997</v>
      </c>
      <c r="O27" s="26">
        <f>'Consumption (E + non-E)'!O27</f>
        <v>22.782412799999999</v>
      </c>
      <c r="P27" s="26">
        <f>'Consumption (E + non-E)'!P27</f>
        <v>26.864826799999999</v>
      </c>
      <c r="Q27" s="26">
        <f>'Consumption (E + non-E)'!Q27</f>
        <v>24.638569199999999</v>
      </c>
      <c r="R27" s="26">
        <f>'Consumption (E + non-E)'!R27</f>
        <v>24.323559399999997</v>
      </c>
      <c r="S27" s="26">
        <f>'Consumption (E + non-E)'!S27</f>
        <v>26.138750399999999</v>
      </c>
      <c r="T27" s="26">
        <f>'Consumption (E + non-E)'!T27</f>
        <v>26.702000000000002</v>
      </c>
      <c r="U27" s="26">
        <f>'Consumption (E + non-E)'!U27</f>
        <v>29.255122</v>
      </c>
      <c r="V27" s="26">
        <f>'Consumption (E + non-E)'!V27</f>
        <v>27.391075000000001</v>
      </c>
      <c r="W27" s="26">
        <f>'Consumption (E + non-E)'!W27</f>
        <v>27.818439000000001</v>
      </c>
      <c r="X27" s="26">
        <f>'Consumption (E + non-E)'!X27</f>
        <v>27.0689475</v>
      </c>
      <c r="Y27" s="26">
        <f>'Consumption (E + non-E)'!Y27</f>
        <v>49.181081599999999</v>
      </c>
      <c r="Z27" s="26">
        <f>'Consumption (E + non-E)'!Z27</f>
        <v>58.238016083000005</v>
      </c>
      <c r="AA27" s="26">
        <f>'Consumption (E + non-E)'!AA27</f>
        <v>60.592056456000009</v>
      </c>
      <c r="AB27" s="26">
        <f>'Consumption (E + non-E)'!AB27</f>
        <v>57.422245873000001</v>
      </c>
      <c r="AC27" s="26">
        <f>'Consumption (E + non-E)'!AC27</f>
        <v>63.604347298</v>
      </c>
      <c r="AD27" s="26">
        <f>'Consumption (E + non-E)'!AD27</f>
        <v>48.104436743999997</v>
      </c>
      <c r="AE27" s="26">
        <f>'Consumption (E + non-E)'!AE27</f>
        <v>62.438463332000005</v>
      </c>
      <c r="AF27" s="26">
        <f>'Consumption (E + non-E)'!AF27</f>
        <v>71.333004192000004</v>
      </c>
      <c r="AG27" s="26">
        <f>'Consumption (E + non-E)'!AG27</f>
        <v>50.043995020999994</v>
      </c>
      <c r="AH27" s="26">
        <f>'Consumption (E + non-E)'!AH27</f>
        <v>74.144902688000002</v>
      </c>
      <c r="AI27" s="26">
        <f>'Consumption (E + non-E)'!AI27</f>
        <v>74.073403264000007</v>
      </c>
      <c r="AJ27" s="232">
        <f t="shared" si="6"/>
        <v>-9.6432015429116151E-4</v>
      </c>
    </row>
    <row r="28" spans="2:42">
      <c r="B28" s="7" t="s">
        <v>1440</v>
      </c>
      <c r="C28" s="132">
        <f>'Consumption (E + non-E)'!C28-'Non-Energy Use'!E25</f>
        <v>268.23377961551006</v>
      </c>
      <c r="D28" s="1045">
        <f>'Consumption (E + non-E)'!D28-'Non-Energy Use'!F25</f>
        <v>257.63811924398107</v>
      </c>
      <c r="E28" s="132">
        <f>'Consumption (E + non-E)'!E28-'Non-Energy Use'!G25</f>
        <v>295.27872992682126</v>
      </c>
      <c r="F28" s="132">
        <f>'Consumption (E + non-E)'!F28-'Non-Energy Use'!H25</f>
        <v>304.24984263581456</v>
      </c>
      <c r="G28" s="132">
        <f>'Consumption (E + non-E)'!G28-'Non-Energy Use'!I25</f>
        <v>333.51280541483914</v>
      </c>
      <c r="H28" s="132">
        <f>'Consumption (E + non-E)'!H28-'Non-Energy Use'!J25</f>
        <v>290.37731024398124</v>
      </c>
      <c r="I28" s="132">
        <f>'Consumption (E + non-E)'!I28-'Non-Energy Use'!K25</f>
        <v>265.5374789787229</v>
      </c>
      <c r="J28" s="132">
        <f>'Consumption (E + non-E)'!J28-'Non-Energy Use'!L25</f>
        <v>269.3127544406334</v>
      </c>
      <c r="K28" s="132">
        <f>'Consumption (E + non-E)'!K28-'Non-Energy Use'!M25</f>
        <v>260.28929879288347</v>
      </c>
      <c r="L28" s="132">
        <f>'Consumption (E + non-E)'!L28-'Non-Energy Use'!N25</f>
        <v>206.56857391341532</v>
      </c>
      <c r="M28" s="132">
        <f>'Consumption (E + non-E)'!M28-'Non-Energy Use'!O25</f>
        <v>491.24339525322426</v>
      </c>
      <c r="N28" s="132">
        <f>'Consumption (E + non-E)'!N28-'Non-Energy Use'!P25</f>
        <v>653.08199974591651</v>
      </c>
      <c r="O28" s="132">
        <f>'Consumption (E + non-E)'!O28-'Non-Energy Use'!Q25</f>
        <v>573.6965405691933</v>
      </c>
      <c r="P28" s="132">
        <f>'Consumption (E + non-E)'!P28-'Non-Energy Use'!R25</f>
        <v>630.53204976223572</v>
      </c>
      <c r="Q28" s="132">
        <f>'Consumption (E + non-E)'!Q28-'Non-Energy Use'!S25</f>
        <v>663.38851326508723</v>
      </c>
      <c r="R28" s="132">
        <f>'Consumption (E + non-E)'!R28-'Non-Energy Use'!T25</f>
        <v>649.49184700033652</v>
      </c>
      <c r="S28" s="132">
        <f>'Consumption (E + non-E)'!S28-'Non-Energy Use'!U25</f>
        <v>632.17689062047327</v>
      </c>
      <c r="T28" s="132">
        <f>'Consumption (E + non-E)'!T28-'Non-Energy Use'!V25</f>
        <v>569.77848590817507</v>
      </c>
      <c r="U28" s="132">
        <f>'Consumption (E + non-E)'!U28-'Non-Energy Use'!W25</f>
        <v>457.26021755657916</v>
      </c>
      <c r="V28" s="132">
        <f>'Consumption (E + non-E)'!V28-'Non-Energy Use'!X25</f>
        <v>466.73922252144143</v>
      </c>
      <c r="W28" s="132">
        <f>'Consumption (E + non-E)'!W28-'Non-Energy Use'!Y25</f>
        <v>407.72256426837862</v>
      </c>
      <c r="X28" s="132">
        <f>'Consumption (E + non-E)'!X28-'Non-Energy Use'!Z25</f>
        <v>401.74929481261529</v>
      </c>
      <c r="Y28" s="132">
        <f>'Consumption (E + non-E)'!Y28-'Non-Energy Use'!AA25</f>
        <v>371.13476292496006</v>
      </c>
      <c r="Z28" s="132">
        <f>'Consumption (E + non-E)'!Z28-'Non-Energy Use'!AB25</f>
        <v>299.76331378535406</v>
      </c>
      <c r="AA28" s="132">
        <f>'Consumption (E + non-E)'!AA28-'Non-Energy Use'!AC25</f>
        <v>298.99396497144352</v>
      </c>
      <c r="AB28" s="132">
        <f>'Consumption (E + non-E)'!AB28-'Non-Energy Use'!AD25</f>
        <v>305.69905743007769</v>
      </c>
      <c r="AC28" s="132">
        <f>'Consumption (E + non-E)'!AC28-'Non-Energy Use'!AE25</f>
        <v>269.60623861948409</v>
      </c>
      <c r="AD28" s="132">
        <f>'Consumption (E + non-E)'!AD28-'Non-Energy Use'!AF25</f>
        <v>292.33079467547401</v>
      </c>
      <c r="AE28" s="132">
        <f>'Consumption (E + non-E)'!AE28-'Non-Energy Use'!AG25</f>
        <v>278.02094057603057</v>
      </c>
      <c r="AF28" s="132">
        <f>'Consumption (E + non-E)'!AF28-'Non-Energy Use'!AH25</f>
        <v>240.75237477800681</v>
      </c>
      <c r="AG28" s="132">
        <f>'Consumption (E + non-E)'!AG28-'Non-Energy Use'!AI25</f>
        <v>241.01770604265619</v>
      </c>
      <c r="AH28" s="132">
        <f>'Consumption (E + non-E)'!AH28-'Non-Energy Use'!AJ25</f>
        <v>233.85419933153619</v>
      </c>
      <c r="AI28" s="132">
        <f>'Consumption (E + non-E)'!AI28-'Non-Energy Use'!AK25</f>
        <v>233.83923208238937</v>
      </c>
      <c r="AJ28" s="232">
        <f t="shared" si="6"/>
        <v>-6.4002481843833674E-5</v>
      </c>
    </row>
    <row r="29" spans="2:42">
      <c r="B29" s="1" t="s">
        <v>1482</v>
      </c>
      <c r="C29" s="9"/>
      <c r="D29" s="9"/>
      <c r="E29" s="9"/>
      <c r="F29" s="9"/>
      <c r="G29" s="9"/>
      <c r="H29" s="9"/>
      <c r="I29" s="9"/>
      <c r="J29" s="9"/>
      <c r="K29" s="9"/>
      <c r="L29" s="9"/>
      <c r="M29" s="116"/>
      <c r="O29" s="116"/>
      <c r="P29" s="116"/>
      <c r="Q29" s="9"/>
      <c r="R29" s="9"/>
      <c r="S29" s="9"/>
      <c r="T29" s="9"/>
      <c r="U29" s="9"/>
      <c r="V29" s="9"/>
      <c r="W29" s="9"/>
      <c r="X29" s="9"/>
      <c r="Y29" s="9"/>
      <c r="Z29" s="9"/>
      <c r="AA29" s="9"/>
      <c r="AB29" s="9"/>
      <c r="AC29" s="9"/>
      <c r="AD29" s="9"/>
      <c r="AE29" s="9"/>
      <c r="AF29" s="9"/>
      <c r="AG29" s="9"/>
      <c r="AH29" s="9"/>
      <c r="AI29" s="9"/>
    </row>
    <row r="30" spans="2:42">
      <c r="B30" s="1" t="s">
        <v>1483</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row>
    <row r="31" spans="2:42">
      <c r="B31" s="1" t="s">
        <v>1534</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row>
    <row r="32" spans="2:42">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row>
    <row r="33" spans="2:35">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row>
    <row r="34" spans="2:35">
      <c r="B34" s="4" t="s">
        <v>1535</v>
      </c>
      <c r="C34" s="11">
        <f t="shared" ref="C34:K34" si="63">SUM(C5,C9,C13,C17,C21,C25)</f>
        <v>64950.969219587139</v>
      </c>
      <c r="D34" s="11">
        <f t="shared" si="63"/>
        <v>64411.283051428552</v>
      </c>
      <c r="E34" s="11">
        <f t="shared" si="63"/>
        <v>65739.913096405711</v>
      </c>
      <c r="F34" s="11">
        <f t="shared" si="63"/>
        <v>67353.956172492297</v>
      </c>
      <c r="G34" s="11">
        <f t="shared" si="63"/>
        <v>68398.242140923903</v>
      </c>
      <c r="H34" s="11">
        <f t="shared" si="63"/>
        <v>69397.799700390518</v>
      </c>
      <c r="I34" s="11">
        <f t="shared" si="63"/>
        <v>71595.414009371321</v>
      </c>
      <c r="J34" s="11">
        <f t="shared" si="63"/>
        <v>72311.751230072652</v>
      </c>
      <c r="K34" s="11">
        <f t="shared" si="63"/>
        <v>72924.103507439489</v>
      </c>
      <c r="L34" s="11">
        <f t="shared" ref="L34:Q34" si="64">SUM(L5,L9,L13,L17,L21,L25)</f>
        <v>73563.486481164728</v>
      </c>
      <c r="M34" s="11">
        <f t="shared" si="64"/>
        <v>76766.469399451773</v>
      </c>
      <c r="N34" s="11">
        <f t="shared" si="64"/>
        <v>75491.31016186293</v>
      </c>
      <c r="O34" s="11">
        <f t="shared" si="64"/>
        <v>76139.119218574968</v>
      </c>
      <c r="P34" s="11">
        <f t="shared" si="64"/>
        <v>76562.664336828355</v>
      </c>
      <c r="Q34" s="11">
        <f t="shared" si="64"/>
        <v>77732.259845916939</v>
      </c>
      <c r="R34" s="11">
        <f t="shared" ref="R34:W34" si="65">SUM(R5,R9,R13,R17,R21,R25)</f>
        <v>77972.742970653242</v>
      </c>
      <c r="S34" s="11">
        <f t="shared" si="65"/>
        <v>76732.554655037151</v>
      </c>
      <c r="T34" s="11">
        <f t="shared" si="65"/>
        <v>78130.98631666704</v>
      </c>
      <c r="U34" s="11">
        <f t="shared" si="65"/>
        <v>75932.268811679038</v>
      </c>
      <c r="V34" s="11">
        <f t="shared" si="65"/>
        <v>71468.934770314416</v>
      </c>
      <c r="W34" s="11">
        <f t="shared" si="65"/>
        <v>73621.67309604428</v>
      </c>
      <c r="X34" s="11">
        <f t="shared" ref="X34:AC34" si="66">SUM(X5,X9,X13,X17,X21,X25)</f>
        <v>72287.147605172548</v>
      </c>
      <c r="Y34" s="11">
        <f t="shared" si="66"/>
        <v>70504.35511860314</v>
      </c>
      <c r="Z34" s="11">
        <f t="shared" si="66"/>
        <v>72269.405301474326</v>
      </c>
      <c r="AA34" s="11">
        <f t="shared" si="66"/>
        <v>73156.441499152716</v>
      </c>
      <c r="AB34" s="11">
        <f t="shared" si="66"/>
        <v>71858.757858884375</v>
      </c>
      <c r="AC34" s="11">
        <f t="shared" si="66"/>
        <v>70954.353799006247</v>
      </c>
      <c r="AD34" s="11">
        <f>SUM(AD5,AD9,AD13,AD17,AD21,AD25)</f>
        <v>70053.198070546074</v>
      </c>
      <c r="AE34" s="11">
        <f t="shared" ref="AE34:AF34" si="67">SUM(AE5,AE9,AE13,AE17,AE21,AE25)</f>
        <v>72974.346674330358</v>
      </c>
      <c r="AF34" s="11">
        <f t="shared" si="67"/>
        <v>71955.830260578747</v>
      </c>
      <c r="AG34" s="11">
        <f>SUM(AG5,AG9,AG13,AG17,AG21,AG25)</f>
        <v>65320.398158652395</v>
      </c>
      <c r="AH34" s="11">
        <f>SUM(AH5,AH9,AH13,AH17,AH21,AH25)</f>
        <v>69279.539672854691</v>
      </c>
      <c r="AI34" s="11">
        <f>SUM(AI5,AI9,AI13,AI17,AI21,AI25)</f>
        <v>70565.860263739349</v>
      </c>
    </row>
    <row r="35" spans="2:35">
      <c r="B35" s="1" t="s">
        <v>1536</v>
      </c>
      <c r="C35" s="10">
        <f t="shared" ref="C35:M35" si="68">C21/C34</f>
        <v>0.32114875652555486</v>
      </c>
      <c r="D35" s="10">
        <f t="shared" si="68"/>
        <v>0.3233180277339332</v>
      </c>
      <c r="E35" s="10">
        <f t="shared" si="68"/>
        <v>0.31895089318495617</v>
      </c>
      <c r="F35" s="10">
        <f t="shared" si="68"/>
        <v>0.32451274196906937</v>
      </c>
      <c r="G35" s="10">
        <f t="shared" si="68"/>
        <v>0.3259857753955257</v>
      </c>
      <c r="H35" s="10">
        <f t="shared" si="68"/>
        <v>0.32454575069003611</v>
      </c>
      <c r="I35" s="10">
        <f t="shared" si="68"/>
        <v>0.3227684107947924</v>
      </c>
      <c r="J35" s="10">
        <f t="shared" si="68"/>
        <v>0.33129824119149498</v>
      </c>
      <c r="K35" s="63">
        <f t="shared" si="68"/>
        <v>0.34551918759521694</v>
      </c>
      <c r="L35" s="63">
        <f t="shared" si="68"/>
        <v>0.34518267437612016</v>
      </c>
      <c r="M35" s="63">
        <f t="shared" si="68"/>
        <v>0.34725689755624439</v>
      </c>
      <c r="N35" s="63">
        <f t="shared" ref="N35:U35" si="69">N21/N34</f>
        <v>0.3490222906915541</v>
      </c>
      <c r="O35" s="63">
        <f t="shared" si="69"/>
        <v>0.34818864825444956</v>
      </c>
      <c r="P35" s="63">
        <f t="shared" si="69"/>
        <v>0.34789556020175721</v>
      </c>
      <c r="Q35" s="63">
        <f t="shared" si="69"/>
        <v>0.34864504201627866</v>
      </c>
      <c r="R35" s="63">
        <f t="shared" si="69"/>
        <v>0.3587645109590229</v>
      </c>
      <c r="S35" s="63">
        <f t="shared" si="69"/>
        <v>0.35804855088578047</v>
      </c>
      <c r="T35" s="63">
        <f t="shared" si="69"/>
        <v>0.36427016145230329</v>
      </c>
      <c r="U35" s="63">
        <f t="shared" si="69"/>
        <v>0.3661317570919721</v>
      </c>
      <c r="V35" s="63">
        <f t="shared" ref="V35:AA35" si="70">V21/V34</f>
        <v>0.358618651339488</v>
      </c>
      <c r="W35" s="63">
        <f t="shared" si="70"/>
        <v>0.36716663535662586</v>
      </c>
      <c r="X35" s="63">
        <f t="shared" si="70"/>
        <v>0.36026348891564947</v>
      </c>
      <c r="Y35" s="63">
        <f t="shared" si="70"/>
        <v>0.35915860739953809</v>
      </c>
      <c r="Z35" s="63">
        <f t="shared" si="70"/>
        <v>0.34706216130283168</v>
      </c>
      <c r="AA35" s="63">
        <f t="shared" si="70"/>
        <v>0.34288914941674037</v>
      </c>
      <c r="AB35" s="63">
        <f t="shared" ref="AB35:AG35" si="71">AB21/AB34</f>
        <v>0.33872940091449966</v>
      </c>
      <c r="AC35" s="63">
        <f t="shared" si="71"/>
        <v>0.33178462968863953</v>
      </c>
      <c r="AD35" s="63">
        <f t="shared" si="71"/>
        <v>0.3196879316979544</v>
      </c>
      <c r="AE35" s="63">
        <f t="shared" si="71"/>
        <v>0.31839702661117675</v>
      </c>
      <c r="AF35" s="63">
        <f t="shared" si="71"/>
        <v>0.30613567962773203</v>
      </c>
      <c r="AG35" s="63">
        <f t="shared" si="71"/>
        <v>0.31251259293336103</v>
      </c>
      <c r="AH35" s="63">
        <f t="shared" ref="AH35:AI35" si="72">AH21/AH34</f>
        <v>0.30723747733474122</v>
      </c>
      <c r="AI35" s="63">
        <f t="shared" si="72"/>
        <v>0.30593466754763554</v>
      </c>
    </row>
    <row r="36" spans="2:35">
      <c r="B36" s="1" t="s">
        <v>1537</v>
      </c>
      <c r="C36" s="10">
        <f t="shared" ref="C36:K36" si="73">C17/C34</f>
        <v>0.31799330629273276</v>
      </c>
      <c r="D36" s="10">
        <f t="shared" si="73"/>
        <v>0.31021022220508526</v>
      </c>
      <c r="E36" s="10">
        <f t="shared" si="73"/>
        <v>0.31488058852461565</v>
      </c>
      <c r="F36" s="10">
        <f t="shared" si="73"/>
        <v>0.31440476834380499</v>
      </c>
      <c r="G36" s="10">
        <f t="shared" si="73"/>
        <v>0.31985597690058659</v>
      </c>
      <c r="H36" s="10">
        <f t="shared" si="73"/>
        <v>0.32064505361843826</v>
      </c>
      <c r="I36" s="10">
        <f t="shared" si="73"/>
        <v>0.31933604367727353</v>
      </c>
      <c r="J36" s="10">
        <f t="shared" si="73"/>
        <v>0.31949031748954265</v>
      </c>
      <c r="K36" s="63">
        <f t="shared" si="73"/>
        <v>0.32308379422118982</v>
      </c>
      <c r="L36" s="63">
        <f t="shared" ref="L36:Q36" si="74">L17/L34</f>
        <v>0.33344579205120561</v>
      </c>
      <c r="M36" s="63">
        <f t="shared" si="74"/>
        <v>0.32524534063563898</v>
      </c>
      <c r="N36" s="63">
        <f t="shared" si="74"/>
        <v>0.32690863163473516</v>
      </c>
      <c r="O36" s="63">
        <f t="shared" si="74"/>
        <v>0.33138704310860645</v>
      </c>
      <c r="P36" s="63">
        <f t="shared" si="74"/>
        <v>0.32825126302218471</v>
      </c>
      <c r="Q36" s="63">
        <f t="shared" si="74"/>
        <v>0.33087023972159141</v>
      </c>
      <c r="R36" s="63">
        <f t="shared" ref="R36:W36" si="75">R17/R34</f>
        <v>0.33337020278986673</v>
      </c>
      <c r="S36" s="63">
        <f t="shared" si="75"/>
        <v>0.33728796472358424</v>
      </c>
      <c r="T36" s="63">
        <f t="shared" si="75"/>
        <v>0.33086022138299853</v>
      </c>
      <c r="U36" s="63">
        <f t="shared" si="75"/>
        <v>0.32448689671578973</v>
      </c>
      <c r="V36" s="63">
        <f t="shared" si="75"/>
        <v>0.33040227077788564</v>
      </c>
      <c r="W36" s="63">
        <f t="shared" si="75"/>
        <v>0.3225591583465473</v>
      </c>
      <c r="X36" s="63">
        <f t="shared" ref="X36:AC36" si="76">X17/X34</f>
        <v>0.32364722533652507</v>
      </c>
      <c r="Y36" s="63">
        <f t="shared" si="76"/>
        <v>0.33018608251920345</v>
      </c>
      <c r="Z36" s="63">
        <f t="shared" si="76"/>
        <v>0.32503994587904889</v>
      </c>
      <c r="AA36" s="63">
        <f t="shared" si="76"/>
        <v>0.32826213574965774</v>
      </c>
      <c r="AB36" s="63">
        <f t="shared" si="76"/>
        <v>0.33630688697887168</v>
      </c>
      <c r="AC36" s="63">
        <f t="shared" si="76"/>
        <v>0.3483459463726532</v>
      </c>
      <c r="AD36" s="63">
        <f>AD17/AD34</f>
        <v>0.35714306333715334</v>
      </c>
      <c r="AE36" s="63">
        <f t="shared" ref="AE36:AF36" si="77">AE17/AE34</f>
        <v>0.3497683391769732</v>
      </c>
      <c r="AF36" s="63">
        <f t="shared" si="77"/>
        <v>0.35595427756925935</v>
      </c>
      <c r="AG36" s="63">
        <f t="shared" ref="AG36:AH36" si="78">AG17/AG34</f>
        <v>0.33987122433739442</v>
      </c>
      <c r="AH36" s="63">
        <f t="shared" si="78"/>
        <v>0.35715548553135928</v>
      </c>
      <c r="AI36" s="63">
        <f t="shared" ref="AI36" si="79">AI17/AI34</f>
        <v>0.35638426956619429</v>
      </c>
    </row>
  </sheetData>
  <phoneticPr fontId="10" type="noConversion"/>
  <pageMargins left="0.5" right="0.5" top="0.5" bottom="0.75" header="0.27" footer="0.21"/>
  <pageSetup scale="87" orientation="landscape" r:id="rId1"/>
  <headerFooter alignWithMargins="0">
    <oddHeader>&amp;L&amp;12GREENHOUSE GAS INVENTORY:  ENERGY</oddHeader>
    <oddFooter>&amp;LPage &amp;P of &amp;N&amp;C&amp;F  &amp;A&amp;R&amp;D  &amp;T</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BI147"/>
  <sheetViews>
    <sheetView topLeftCell="B1" workbookViewId="0">
      <selection activeCell="AM8" sqref="AM8"/>
    </sheetView>
  </sheetViews>
  <sheetFormatPr defaultColWidth="9" defaultRowHeight="12.95"/>
  <cols>
    <col min="1" max="1" width="9" style="1"/>
    <col min="2" max="2" width="21.6640625" style="1" bestFit="1" customWidth="1"/>
    <col min="3" max="3" width="11.1640625" style="1" customWidth="1"/>
    <col min="4" max="4" width="11" style="1" customWidth="1"/>
    <col min="5" max="5" width="13" style="1" customWidth="1"/>
    <col min="6" max="6" width="21.6640625" style="1" bestFit="1" customWidth="1"/>
    <col min="7" max="7" width="13" style="1" hidden="1" customWidth="1"/>
    <col min="8" max="8" width="11" style="1" hidden="1" customWidth="1"/>
    <col min="9" max="9" width="9.6640625" style="1" hidden="1" customWidth="1"/>
    <col min="10" max="10" width="16" style="1" hidden="1" customWidth="1"/>
    <col min="11" max="17" width="9.6640625" style="1" hidden="1" customWidth="1"/>
    <col min="18" max="18" width="10" style="1" hidden="1" customWidth="1"/>
    <col min="19" max="19" width="9" style="1" hidden="1" customWidth="1"/>
    <col min="20" max="22" width="9.6640625" style="1" hidden="1" customWidth="1"/>
    <col min="23" max="34" width="10" style="1" customWidth="1"/>
    <col min="35" max="36" width="9" style="1" bestFit="1" customWidth="1"/>
    <col min="37" max="37" width="9" style="1" customWidth="1"/>
    <col min="38" max="38" width="10.6640625" style="1" customWidth="1"/>
    <col min="39" max="39" width="10" style="1" bestFit="1" customWidth="1"/>
    <col min="40" max="47" width="9" style="1" bestFit="1" customWidth="1"/>
    <col min="48" max="50" width="9" style="1" customWidth="1"/>
    <col min="51" max="51" width="11" style="1" customWidth="1"/>
    <col min="52" max="52" width="9" style="1" customWidth="1"/>
    <col min="53" max="53" width="9" style="1" bestFit="1" customWidth="1"/>
    <col min="54" max="58" width="9" style="1"/>
    <col min="59" max="59" width="10.5" style="1" bestFit="1" customWidth="1"/>
    <col min="60" max="16384" width="9" style="1"/>
  </cols>
  <sheetData>
    <row r="1" spans="1:38" ht="21.6">
      <c r="A1" s="497" t="s">
        <v>1538</v>
      </c>
    </row>
    <row r="2" spans="1:38">
      <c r="A2" s="673" t="s">
        <v>1539</v>
      </c>
    </row>
    <row r="3" spans="1:38">
      <c r="C3" s="5"/>
    </row>
    <row r="4" spans="1:38">
      <c r="B4" s="122"/>
      <c r="C4" s="1133"/>
      <c r="D4" s="71" t="s">
        <v>4</v>
      </c>
      <c r="E4" s="32"/>
      <c r="F4" s="67"/>
      <c r="G4" s="45"/>
      <c r="Q4" s="98"/>
    </row>
    <row r="5" spans="1:38" ht="15">
      <c r="C5" s="46" t="s">
        <v>1540</v>
      </c>
      <c r="D5" s="47" t="s">
        <v>1541</v>
      </c>
      <c r="E5" s="48" t="s">
        <v>1541</v>
      </c>
      <c r="F5" s="47"/>
      <c r="G5" s="1236" t="s">
        <v>1542</v>
      </c>
      <c r="H5" s="1237"/>
      <c r="I5" s="1237"/>
      <c r="J5" s="1237"/>
      <c r="K5" s="1237"/>
      <c r="L5" s="1237"/>
      <c r="M5" s="1237"/>
      <c r="N5" s="1237"/>
      <c r="O5" s="1237"/>
      <c r="P5" s="1237"/>
      <c r="Q5" s="1237"/>
      <c r="R5" s="1237"/>
      <c r="S5" s="1237"/>
      <c r="T5" s="1237"/>
      <c r="U5" s="1237"/>
      <c r="V5" s="1237"/>
      <c r="W5" s="1237"/>
      <c r="X5" s="1237"/>
      <c r="Y5" s="1237"/>
      <c r="Z5" s="1237"/>
    </row>
    <row r="6" spans="1:38">
      <c r="B6" s="121" t="s">
        <v>1469</v>
      </c>
      <c r="C6" s="49" t="s">
        <v>1543</v>
      </c>
      <c r="D6" s="50" t="s">
        <v>1543</v>
      </c>
      <c r="E6" s="979" t="s">
        <v>1544</v>
      </c>
      <c r="F6" s="47"/>
      <c r="G6" s="107" t="s">
        <v>1545</v>
      </c>
      <c r="H6" s="108" t="s">
        <v>1546</v>
      </c>
      <c r="I6" s="108" t="s">
        <v>1547</v>
      </c>
      <c r="J6" s="108" t="s">
        <v>1548</v>
      </c>
      <c r="K6" s="108" t="s">
        <v>1549</v>
      </c>
      <c r="L6" s="108" t="s">
        <v>1550</v>
      </c>
      <c r="M6" s="108" t="s">
        <v>1551</v>
      </c>
      <c r="N6" s="109" t="s">
        <v>1552</v>
      </c>
      <c r="O6" s="106" t="s">
        <v>1553</v>
      </c>
      <c r="P6" s="106" t="s">
        <v>1554</v>
      </c>
      <c r="Q6" s="106" t="s">
        <v>1555</v>
      </c>
      <c r="R6" s="106" t="s">
        <v>1556</v>
      </c>
      <c r="S6" s="252" t="s">
        <v>1557</v>
      </c>
      <c r="T6" s="225" t="s">
        <v>1558</v>
      </c>
      <c r="U6" s="1134" t="s">
        <v>1559</v>
      </c>
      <c r="V6" s="1134" t="s">
        <v>1560</v>
      </c>
      <c r="W6" s="225" t="s">
        <v>1561</v>
      </c>
      <c r="X6" s="252" t="s">
        <v>1562</v>
      </c>
      <c r="Y6" s="252" t="s">
        <v>1563</v>
      </c>
      <c r="Z6" s="252" t="s">
        <v>1564</v>
      </c>
      <c r="AA6" s="252" t="s">
        <v>1565</v>
      </c>
      <c r="AB6" s="252" t="s">
        <v>1566</v>
      </c>
      <c r="AC6" s="252" t="s">
        <v>1567</v>
      </c>
      <c r="AD6" s="252" t="s">
        <v>1568</v>
      </c>
      <c r="AE6" s="252" t="s">
        <v>1569</v>
      </c>
      <c r="AF6" s="252" t="s">
        <v>1570</v>
      </c>
      <c r="AG6" s="225" t="s">
        <v>1571</v>
      </c>
      <c r="AH6" s="225" t="s">
        <v>1572</v>
      </c>
      <c r="AI6" s="225" t="s">
        <v>1573</v>
      </c>
      <c r="AJ6" s="225" t="s">
        <v>1574</v>
      </c>
      <c r="AK6" s="225" t="s">
        <v>1471</v>
      </c>
      <c r="AL6" s="225" t="s">
        <v>1472</v>
      </c>
    </row>
    <row r="7" spans="1:38">
      <c r="B7" s="1039" t="s">
        <v>1435</v>
      </c>
      <c r="C7" s="1077">
        <f>'Summary Table'!AI7-'Summary Table'!C7</f>
        <v>-821.38181985963831</v>
      </c>
      <c r="D7" s="35">
        <f>C7/'Summary Table'!C7</f>
        <v>-0.47760572442492233</v>
      </c>
      <c r="E7" s="36">
        <f>C7/C$29</f>
        <v>14.403143175846226</v>
      </c>
      <c r="F7" s="35"/>
      <c r="G7" s="68">
        <f>'Summary Table'!D7-'Summary Table'!C7</f>
        <v>-3.949076850108213</v>
      </c>
      <c r="H7" s="68">
        <f>'Summary Table'!E7-'Summary Table'!D7</f>
        <v>17.122592714499888</v>
      </c>
      <c r="I7" s="68">
        <f>'Summary Table'!F7-'Summary Table'!E7</f>
        <v>65.338125609902363</v>
      </c>
      <c r="J7" s="68">
        <f>'Summary Table'!G7-'Summary Table'!F7</f>
        <v>6.7365465808688896</v>
      </c>
      <c r="K7" s="68">
        <f>'Summary Table'!H7-'Summary Table'!G7</f>
        <v>15.327432825756659</v>
      </c>
      <c r="L7" s="68">
        <f>'Summary Table'!I7-'Summary Table'!H7</f>
        <v>84.876322778483654</v>
      </c>
      <c r="M7" s="68">
        <f>'Summary Table'!J7-'Summary Table'!I7</f>
        <v>45.266805920987053</v>
      </c>
      <c r="N7" s="68">
        <f>'Summary Table'!K7-'Summary Table'!J7</f>
        <v>28.877786376265476</v>
      </c>
      <c r="O7" s="92">
        <f>'Summary Table'!L7-'Summary Table'!K7</f>
        <v>1.1149303304136993E-2</v>
      </c>
      <c r="P7" s="92">
        <f>'Summary Table'!M7-'Summary Table'!L7</f>
        <v>85.768889963949505</v>
      </c>
      <c r="Q7" s="92">
        <f>'Summary Table'!N7-'Summary Table'!M7</f>
        <v>-55.182705941173936</v>
      </c>
      <c r="R7" s="92">
        <f>'Summary Table'!O7-'Summary Table'!N7</f>
        <v>9.70856097565661</v>
      </c>
      <c r="S7" s="92">
        <f>'Summary Table'!P7-'Summary Table'!O7</f>
        <v>41.356834861885318</v>
      </c>
      <c r="T7" s="92">
        <f>'Summary Table'!Q7-'Summary Table'!P7</f>
        <v>15.202254904455003</v>
      </c>
      <c r="U7" s="92">
        <f>'Summary Table'!R7-'Summary Table'!Q7</f>
        <v>37.439683330044318</v>
      </c>
      <c r="V7" s="92">
        <f>'Summary Table'!S7-'Summary Table'!R7</f>
        <v>-35.168142421509401</v>
      </c>
      <c r="W7" s="92">
        <f>'Summary Table'!T7-'Summary Table'!S7</f>
        <v>29.296824925358578</v>
      </c>
      <c r="X7" s="92">
        <f>'Summary Table'!U7-'Summary Table'!T7</f>
        <v>-32.312872323719603</v>
      </c>
      <c r="Y7" s="92">
        <f>'Summary Table'!V7-'Summary Table'!U7</f>
        <v>-237.95704128025704</v>
      </c>
      <c r="Z7" s="92">
        <f>'Summary Table'!W7-'Summary Table'!V7</f>
        <v>93.631289623964221</v>
      </c>
      <c r="AA7" s="92">
        <f>'Summary Table'!X7-'Summary Table'!W7</f>
        <v>-113.57888080959992</v>
      </c>
      <c r="AB7" s="92">
        <f>'Summary Table'!Y7-'Summary Table'!X7</f>
        <v>-220.264408852629</v>
      </c>
      <c r="AC7" s="92">
        <f>'Summary Table'!Z7-'Summary Table'!Y7</f>
        <v>60.666917191733546</v>
      </c>
      <c r="AD7" s="92">
        <f>'Summary Table'!AA7-'Summary Table'!Z7</f>
        <v>-2.9483940386792256</v>
      </c>
      <c r="AE7" s="92">
        <f>'Summary Table'!AB7-'Summary Table'!AA7</f>
        <v>-227.42359858908549</v>
      </c>
      <c r="AF7" s="92">
        <f>'Summary Table'!AC7-'Summary Table'!AB7</f>
        <v>-116.93081835353655</v>
      </c>
      <c r="AG7" s="92">
        <f>'Summary Table'!AD7-'Summary Table'!AC7</f>
        <v>-40.686640693231539</v>
      </c>
      <c r="AH7" s="92">
        <f>'Summary Table'!AE7-'Summary Table'!AD7</f>
        <v>-58.374854096765603</v>
      </c>
      <c r="AI7" s="92">
        <f>'Summary Table'!AF7-'Summary Table'!AE7</f>
        <v>-183.48260611776732</v>
      </c>
      <c r="AJ7" s="92">
        <f>'Summary Table'!AG7-'Summary Table'!AF7</f>
        <v>-192.55544348206035</v>
      </c>
      <c r="AK7" s="92">
        <f>'Summary Table'!AH7-'Summary Table'!AG7</f>
        <v>121.80674388483953</v>
      </c>
      <c r="AL7" s="92">
        <f>'Summary Table'!AI7-'Summary Table'!AH7</f>
        <v>-59.001097781469866</v>
      </c>
    </row>
    <row r="8" spans="1:38">
      <c r="B8" s="1040" t="s">
        <v>1434</v>
      </c>
      <c r="C8" s="1078">
        <f>'Summary Table'!AI8-'Summary Table'!C8</f>
        <v>-2.9876952520607118</v>
      </c>
      <c r="D8" s="37">
        <f>C8/'Summary Table'!C8</f>
        <v>-1</v>
      </c>
      <c r="E8" s="38">
        <f>C8/C$29</f>
        <v>5.239001088261238E-2</v>
      </c>
      <c r="F8" s="37"/>
      <c r="G8" s="69">
        <f>'Summary Table'!D8-'Summary Table'!C8</f>
        <v>-0.54582868473303492</v>
      </c>
      <c r="H8" s="69">
        <f>'Summary Table'!E8-'Summary Table'!D8</f>
        <v>3.3571652060992996E-2</v>
      </c>
      <c r="I8" s="69">
        <f>'Summary Table'!F8-'Summary Table'!E8</f>
        <v>-5.6854326934310251E-3</v>
      </c>
      <c r="J8" s="69">
        <f>'Summary Table'!G8-'Summary Table'!F8</f>
        <v>-0.47557070269242518</v>
      </c>
      <c r="K8" s="69">
        <f>'Summary Table'!H8-'Summary Table'!G8</f>
        <v>-0.32251026904456848</v>
      </c>
      <c r="L8" s="69">
        <f>'Summary Table'!I8-'Summary Table'!H8</f>
        <v>-8.9091621876645988E-2</v>
      </c>
      <c r="M8" s="69">
        <f>'Summary Table'!J8-'Summary Table'!I8</f>
        <v>-6.4408623125022935E-2</v>
      </c>
      <c r="N8" s="69">
        <f>'Summary Table'!K8-'Summary Table'!J8</f>
        <v>-0.41492620953895543</v>
      </c>
      <c r="O8" s="96">
        <f>'Summary Table'!L8-'Summary Table'!K8</f>
        <v>0.22819271831261068</v>
      </c>
      <c r="P8" s="96">
        <f>'Summary Table'!M8-'Summary Table'!L8</f>
        <v>-0.24868120224669266</v>
      </c>
      <c r="Q8" s="96">
        <f>'Summary Table'!N8-'Summary Table'!M8</f>
        <v>5.8088141885184186E-2</v>
      </c>
      <c r="R8" s="96">
        <f>'Summary Table'!O8-'Summary Table'!N8</f>
        <v>2.5205690316206342E-2</v>
      </c>
      <c r="S8" s="96">
        <f>'Summary Table'!P8-'Summary Table'!O8</f>
        <v>2.716574143237116E-3</v>
      </c>
      <c r="T8" s="96">
        <f>'Summary Table'!Q8-'Summary Table'!P8</f>
        <v>-8.3513914019087032E-2</v>
      </c>
      <c r="U8" s="96">
        <f>'Summary Table'!R8-'Summary Table'!Q8</f>
        <v>-0.27999803423448189</v>
      </c>
      <c r="V8" s="96">
        <f>'Summary Table'!S8-'Summary Table'!R8</f>
        <v>-0.18820367134262261</v>
      </c>
      <c r="W8" s="96">
        <f>'Summary Table'!T8-'Summary Table'!S8</f>
        <v>0.12238321001575458</v>
      </c>
      <c r="X8" s="96">
        <f>'Summary Table'!U8-'Summary Table'!T8</f>
        <v>-0.73943487324772961</v>
      </c>
      <c r="Y8" s="96">
        <f>'Summary Table'!V8-'Summary Table'!U8</f>
        <v>0</v>
      </c>
      <c r="Z8" s="96">
        <f>'Summary Table'!W8-'Summary Table'!V8</f>
        <v>0</v>
      </c>
      <c r="AA8" s="96">
        <f>'Summary Table'!X8-'Summary Table'!W8</f>
        <v>0</v>
      </c>
      <c r="AB8" s="96">
        <f>'Summary Table'!Y8-'Summary Table'!X8</f>
        <v>0</v>
      </c>
      <c r="AC8" s="96">
        <f>'Summary Table'!Z8-'Summary Table'!Y8</f>
        <v>0</v>
      </c>
      <c r="AD8" s="96">
        <f>'Summary Table'!AA8-'Summary Table'!Z8</f>
        <v>0</v>
      </c>
      <c r="AE8" s="96">
        <f>'Summary Table'!AB8-'Summary Table'!AA8</f>
        <v>0</v>
      </c>
      <c r="AF8" s="96">
        <f>'Summary Table'!AC8-'Summary Table'!AB8</f>
        <v>0</v>
      </c>
      <c r="AG8" s="96">
        <f>'Summary Table'!AD8-'Summary Table'!AC8</f>
        <v>0</v>
      </c>
      <c r="AH8" s="96">
        <f>'Summary Table'!AE8-'Summary Table'!AD8</f>
        <v>0</v>
      </c>
      <c r="AI8" s="96">
        <f>'Summary Table'!AF8-'Summary Table'!AE8</f>
        <v>0</v>
      </c>
      <c r="AJ8" s="96">
        <f>'Summary Table'!AG8-'Summary Table'!AF8</f>
        <v>0</v>
      </c>
      <c r="AK8" s="96">
        <f>'Summary Table'!AH8-'Summary Table'!AG8</f>
        <v>0</v>
      </c>
      <c r="AL8" s="96">
        <f>'Summary Table'!AI8-'Summary Table'!AH8</f>
        <v>0</v>
      </c>
    </row>
    <row r="9" spans="1:38">
      <c r="B9" s="1040" t="s">
        <v>1441</v>
      </c>
      <c r="C9" s="1078">
        <f>'Summary Table'!AI9-'Summary Table'!C9</f>
        <v>-10.562651324320672</v>
      </c>
      <c r="D9" s="37">
        <f>C9/'Summary Table'!C9</f>
        <v>-0.88384611156670545</v>
      </c>
      <c r="E9" s="38">
        <f>C9/C$29</f>
        <v>0.18521882961413733</v>
      </c>
      <c r="F9" s="37"/>
      <c r="G9" s="69">
        <f>'Summary Table'!D9-'Summary Table'!C9</f>
        <v>-0.82682920941881122</v>
      </c>
      <c r="H9" s="69">
        <f>'Summary Table'!E9-'Summary Table'!D9</f>
        <v>0.1528403084930634</v>
      </c>
      <c r="I9" s="69">
        <f>'Summary Table'!F9-'Summary Table'!E9</f>
        <v>-2.5600162584298758E-2</v>
      </c>
      <c r="J9" s="69">
        <f>'Summary Table'!G9-'Summary Table'!F9</f>
        <v>4.8918085506027609E-2</v>
      </c>
      <c r="K9" s="69">
        <f>'Summary Table'!H9-'Summary Table'!G9</f>
        <v>-0.11271630349861184</v>
      </c>
      <c r="L9" s="69">
        <f>'Summary Table'!I9-'Summary Table'!H9</f>
        <v>0.41790807145277498</v>
      </c>
      <c r="M9" s="69">
        <f>'Summary Table'!J9-'Summary Table'!I9</f>
        <v>0.6781985524980616</v>
      </c>
      <c r="N9" s="69">
        <f>'Summary Table'!K9-'Summary Table'!J9</f>
        <v>-3.3570339932282156</v>
      </c>
      <c r="O9" s="96">
        <f>'Summary Table'!L9-'Summary Table'!K9</f>
        <v>0.8370954466812357</v>
      </c>
      <c r="P9" s="96">
        <f>'Summary Table'!M9-'Summary Table'!L9</f>
        <v>-1.003221676968975</v>
      </c>
      <c r="Q9" s="96">
        <f>'Summary Table'!N9-'Summary Table'!M9</f>
        <v>0.4702978136116176</v>
      </c>
      <c r="R9" s="96">
        <f>'Summary Table'!O9-'Summary Table'!N9</f>
        <v>-0.67947247262208776</v>
      </c>
      <c r="S9" s="96">
        <f>'Summary Table'!P9-'Summary Table'!O9</f>
        <v>-0.7291949609020314</v>
      </c>
      <c r="T9" s="96">
        <f>'Summary Table'!Q9-'Summary Table'!P9</f>
        <v>1.9451199828484338</v>
      </c>
      <c r="U9" s="96">
        <f>'Summary Table'!R9-'Summary Table'!Q9</f>
        <v>-0.50698827334738006</v>
      </c>
      <c r="V9" s="96">
        <f>'Summary Table'!S9-'Summary Table'!R9</f>
        <v>-3.0213131703940466</v>
      </c>
      <c r="W9" s="96">
        <f>'Summary Table'!T9-'Summary Table'!S9</f>
        <v>0.41583975701059828</v>
      </c>
      <c r="X9" s="96">
        <f>'Summary Table'!U9-'Summary Table'!T9</f>
        <v>0.95705977732452752</v>
      </c>
      <c r="Y9" s="96">
        <f>'Summary Table'!V9-'Summary Table'!U9</f>
        <v>-0.69039409275198427</v>
      </c>
      <c r="Z9" s="96">
        <f>'Summary Table'!W9-'Summary Table'!V9</f>
        <v>-0.34484427290367847</v>
      </c>
      <c r="AA9" s="96">
        <f>'Summary Table'!X9-'Summary Table'!W9</f>
        <v>-0.73534474051099696</v>
      </c>
      <c r="AB9" s="96">
        <f>'Summary Table'!Y9-'Summary Table'!X9</f>
        <v>-1.7078275368017231</v>
      </c>
      <c r="AC9" s="96">
        <f>'Summary Table'!Z9-'Summary Table'!Y9</f>
        <v>-0.19831882906010323</v>
      </c>
      <c r="AD9" s="96">
        <f>'Summary Table'!AA9-'Summary Table'!Z9</f>
        <v>-0.11921175584892962</v>
      </c>
      <c r="AE9" s="96">
        <f>'Summary Table'!AB9-'Summary Table'!AA9</f>
        <v>-0.85117522725971062</v>
      </c>
      <c r="AF9" s="96">
        <f>'Summary Table'!AC9-'Summary Table'!AB9</f>
        <v>-0.69958028577022224</v>
      </c>
      <c r="AG9" s="96">
        <f>'Summary Table'!AD9-'Summary Table'!AC9</f>
        <v>-0.28907488977040852</v>
      </c>
      <c r="AH9" s="96">
        <f>'Summary Table'!AE9-'Summary Table'!AD9</f>
        <v>-0.18472285209397699</v>
      </c>
      <c r="AI9" s="96">
        <f>'Summary Table'!AF9-'Summary Table'!AE9</f>
        <v>-0.19109490371655347</v>
      </c>
      <c r="AJ9" s="96">
        <f>'Summary Table'!AG9-'Summary Table'!AF9</f>
        <v>-0.20550752013299878</v>
      </c>
      <c r="AK9" s="96">
        <f>'Summary Table'!AH9-'Summary Table'!AG9</f>
        <v>3.5825258814828009E-2</v>
      </c>
      <c r="AL9" s="96">
        <f>'Summary Table'!AI9-'Summary Table'!AH9</f>
        <v>-4.2287248976095926E-2</v>
      </c>
    </row>
    <row r="10" spans="1:38">
      <c r="B10" s="1040" t="s">
        <v>1443</v>
      </c>
      <c r="C10" s="1078">
        <f>'Summary Table'!AI10-'Summary Table'!C10</f>
        <v>-115.17904918247163</v>
      </c>
      <c r="D10" s="37">
        <f>C10/'Summary Table'!C10</f>
        <v>-0.72972471122890137</v>
      </c>
      <c r="E10" s="38">
        <f>C10/C$29</f>
        <v>2.0196944905798633</v>
      </c>
      <c r="F10" s="37"/>
      <c r="G10" s="70">
        <f>'Summary Table'!D10-'Summary Table'!C10</f>
        <v>-3.200825168450848</v>
      </c>
      <c r="H10" s="70">
        <f>'Summary Table'!E10-'Summary Table'!D10</f>
        <v>-4.3632518736951909</v>
      </c>
      <c r="I10" s="70">
        <f>'Summary Table'!F10-'Summary Table'!E10</f>
        <v>2.2728248086583562</v>
      </c>
      <c r="J10" s="70">
        <f>'Summary Table'!G10-'Summary Table'!F10</f>
        <v>0.92123637741923403</v>
      </c>
      <c r="K10" s="70">
        <f>'Summary Table'!H10-'Summary Table'!G10</f>
        <v>-6.2533394924935806</v>
      </c>
      <c r="L10" s="70">
        <f>'Summary Table'!I10-'Summary Table'!H10</f>
        <v>-7.1263076656027806</v>
      </c>
      <c r="M10" s="70">
        <f>'Summary Table'!J10-'Summary Table'!I10</f>
        <v>0.15027435013823265</v>
      </c>
      <c r="N10" s="70">
        <f>'Summary Table'!K10-'Summary Table'!J10</f>
        <v>1.515950362407807</v>
      </c>
      <c r="O10" s="97">
        <f>'Summary Table'!L10-'Summary Table'!K10</f>
        <v>-9.2749140106091374</v>
      </c>
      <c r="P10" s="97">
        <f>'Summary Table'!M10-'Summary Table'!L10</f>
        <v>-3.9967818287419732</v>
      </c>
      <c r="Q10" s="97">
        <f>'Summary Table'!N10-'Summary Table'!M10</f>
        <v>1.697703622487694</v>
      </c>
      <c r="R10" s="97">
        <f>'Summary Table'!O10-'Summary Table'!N10</f>
        <v>-11.123868404268663</v>
      </c>
      <c r="S10" s="97">
        <f>'Summary Table'!P10-'Summary Table'!O10</f>
        <v>0.38079720685368557</v>
      </c>
      <c r="T10" s="97">
        <f>'Summary Table'!Q10-'Summary Table'!P10</f>
        <v>0.9957004152044675</v>
      </c>
      <c r="U10" s="97">
        <f>'Summary Table'!R10-'Summary Table'!Q10</f>
        <v>-2.5928772500423207</v>
      </c>
      <c r="V10" s="97">
        <f>'Summary Table'!S10-'Summary Table'!R10</f>
        <v>-2.2619844181612478</v>
      </c>
      <c r="W10" s="97">
        <f>'Summary Table'!T10-'Summary Table'!S10</f>
        <v>-4.8051453438934715</v>
      </c>
      <c r="X10" s="97">
        <f>'Summary Table'!U10-'Summary Table'!T10</f>
        <v>-4.6993642726738045</v>
      </c>
      <c r="Y10" s="97">
        <f>'Summary Table'!V10-'Summary Table'!U10</f>
        <v>-19.007874312708879</v>
      </c>
      <c r="Z10" s="97">
        <f>'Summary Table'!W10-'Summary Table'!V10</f>
        <v>7.0974316500530534</v>
      </c>
      <c r="AA10" s="97">
        <f>'Summary Table'!X10-'Summary Table'!W10</f>
        <v>-8.2107356234216979</v>
      </c>
      <c r="AB10" s="97">
        <f>'Summary Table'!Y10-'Summary Table'!X10</f>
        <v>-7.729381146024437</v>
      </c>
      <c r="AC10" s="97">
        <f>'Summary Table'!Z10-'Summary Table'!Y10</f>
        <v>1.3195113623681749</v>
      </c>
      <c r="AD10" s="97">
        <f>'Summary Table'!AA10-'Summary Table'!Z10</f>
        <v>-0.30103248571349184</v>
      </c>
      <c r="AE10" s="97">
        <f>'Summary Table'!AB10-'Summary Table'!AA10</f>
        <v>-9.2723847098039158</v>
      </c>
      <c r="AF10" s="97">
        <f>'Summary Table'!AC10-'Summary Table'!AB10</f>
        <v>-6.8200994453718806</v>
      </c>
      <c r="AG10" s="97">
        <f>'Summary Table'!AD10-'Summary Table'!AC10</f>
        <v>-4.4774383216192675</v>
      </c>
      <c r="AH10" s="97">
        <f>'Summary Table'!AE10-'Summary Table'!AD10</f>
        <v>-4.2561110081668758</v>
      </c>
      <c r="AI10" s="97">
        <f>'Summary Table'!AF10-'Summary Table'!AE10</f>
        <v>-4.9585652034767449</v>
      </c>
      <c r="AJ10" s="97">
        <f>'Summary Table'!AG10-'Summary Table'!AF10</f>
        <v>-6.491895531262621</v>
      </c>
      <c r="AK10" s="97">
        <f>'Summary Table'!AH10-'Summary Table'!AG10</f>
        <v>6.0106913872225221E-2</v>
      </c>
      <c r="AL10" s="97">
        <f>'Summary Table'!AI10-'Summary Table'!AH10</f>
        <v>-0.36640873573172428</v>
      </c>
    </row>
    <row r="11" spans="1:38">
      <c r="B11" s="1040" t="s">
        <v>1445</v>
      </c>
      <c r="C11" s="1079" t="str">
        <f>IFERROR('Summary Table'!AI11-'Summary Table'!C11, "NA")</f>
        <v>NA</v>
      </c>
      <c r="D11" s="57" t="s">
        <v>106</v>
      </c>
      <c r="E11" s="66" t="s">
        <v>106</v>
      </c>
      <c r="F11" s="57"/>
      <c r="G11" s="70" t="s">
        <v>103</v>
      </c>
      <c r="H11" s="70" t="s">
        <v>103</v>
      </c>
      <c r="I11" s="70" t="s">
        <v>103</v>
      </c>
      <c r="J11" s="70" t="s">
        <v>103</v>
      </c>
      <c r="K11" s="70" t="s">
        <v>103</v>
      </c>
      <c r="L11" s="70" t="s">
        <v>103</v>
      </c>
      <c r="M11" s="70" t="s">
        <v>103</v>
      </c>
      <c r="N11" s="70" t="s">
        <v>103</v>
      </c>
      <c r="O11" s="97" t="s">
        <v>103</v>
      </c>
      <c r="P11" s="97" t="s">
        <v>103</v>
      </c>
      <c r="Q11" s="97" t="s">
        <v>103</v>
      </c>
      <c r="R11" s="97" t="s">
        <v>103</v>
      </c>
      <c r="S11" s="97" t="s">
        <v>103</v>
      </c>
      <c r="T11" s="97" t="s">
        <v>103</v>
      </c>
      <c r="U11" s="97" t="s">
        <v>103</v>
      </c>
      <c r="V11" s="97" t="s">
        <v>103</v>
      </c>
      <c r="W11" s="97" t="s">
        <v>103</v>
      </c>
      <c r="X11" s="97" t="s">
        <v>103</v>
      </c>
      <c r="Y11" s="97" t="s">
        <v>103</v>
      </c>
      <c r="Z11" s="97" t="s">
        <v>103</v>
      </c>
      <c r="AA11" s="97" t="s">
        <v>103</v>
      </c>
      <c r="AB11" s="97" t="s">
        <v>103</v>
      </c>
      <c r="AC11" s="97" t="s">
        <v>103</v>
      </c>
      <c r="AD11" s="97" t="s">
        <v>103</v>
      </c>
      <c r="AE11" s="97" t="s">
        <v>103</v>
      </c>
      <c r="AF11" s="97" t="s">
        <v>103</v>
      </c>
      <c r="AG11" s="97" t="s">
        <v>103</v>
      </c>
      <c r="AH11" s="97" t="s">
        <v>103</v>
      </c>
      <c r="AI11" s="97" t="s">
        <v>103</v>
      </c>
      <c r="AJ11" s="97" t="s">
        <v>103</v>
      </c>
      <c r="AK11" s="97" t="s">
        <v>103</v>
      </c>
      <c r="AL11" s="97" t="s">
        <v>103</v>
      </c>
    </row>
    <row r="12" spans="1:38">
      <c r="B12" s="1040" t="s">
        <v>1474</v>
      </c>
      <c r="C12" s="1078">
        <f>'Summary Table'!AI12-'Summary Table'!C12</f>
        <v>-695.04180943510266</v>
      </c>
      <c r="D12" s="37">
        <f>C12/'Summary Table'!C12</f>
        <v>-0.44942488055815272</v>
      </c>
      <c r="E12" s="38">
        <f t="shared" ref="E12:E19" si="0">C12/C$29</f>
        <v>12.187738336117183</v>
      </c>
      <c r="F12" s="37"/>
      <c r="G12" s="70">
        <f>'Summary Table'!D12-'Summary Table'!C12</f>
        <v>0.66060786293269302</v>
      </c>
      <c r="H12" s="70">
        <f>'Summary Table'!E12-'Summary Table'!D12</f>
        <v>21.367010417820666</v>
      </c>
      <c r="I12" s="70">
        <f>'Summary Table'!F12-'Summary Table'!E12</f>
        <v>63.07732601691805</v>
      </c>
      <c r="J12" s="70">
        <f>'Summary Table'!G12-'Summary Table'!F12</f>
        <v>6.23403208298555</v>
      </c>
      <c r="K12" s="70">
        <f>'Summary Table'!H12-'Summary Table'!G12</f>
        <v>22.008068155198771</v>
      </c>
      <c r="L12" s="70">
        <f>'Summary Table'!I12-'Summary Table'!H12</f>
        <v>91.662484354612388</v>
      </c>
      <c r="M12" s="70">
        <f>'Summary Table'!J12-'Summary Table'!I12</f>
        <v>44.495490664540739</v>
      </c>
      <c r="N12" s="70">
        <f>'Summary Table'!K12-'Summary Table'!J12</f>
        <v>31.128811182059053</v>
      </c>
      <c r="O12" s="97">
        <f>'Summary Table'!L12-'Summary Table'!K12</f>
        <v>8.2545374556698334</v>
      </c>
      <c r="P12" s="97">
        <f>'Summary Table'!M12-'Summary Table'!L12</f>
        <v>90.962900186645129</v>
      </c>
      <c r="Q12" s="97">
        <f>'Summary Table'!N12-'Summary Table'!M12</f>
        <v>-57.530620656511701</v>
      </c>
      <c r="R12" s="97">
        <f>'Summary Table'!O12-'Summary Table'!N12</f>
        <v>20.060155547809245</v>
      </c>
      <c r="S12" s="97">
        <f>'Summary Table'!P12-'Summary Table'!O12</f>
        <v>41.061990855768272</v>
      </c>
      <c r="T12" s="97">
        <f>'Summary Table'!Q12-'Summary Table'!P12</f>
        <v>12.063138577960444</v>
      </c>
      <c r="U12" s="97">
        <f>'Summary Table'!R12-'Summary Table'!Q12</f>
        <v>40.751569089394025</v>
      </c>
      <c r="V12" s="97">
        <f>'Summary Table'!S12-'Summary Table'!R12</f>
        <v>-30.081848692020685</v>
      </c>
      <c r="W12" s="97">
        <f>'Summary Table'!T12-'Summary Table'!S12</f>
        <v>33.56026641090034</v>
      </c>
      <c r="X12" s="97">
        <f>'Summary Table'!U12-'Summary Table'!T12</f>
        <v>-27.862179215610013</v>
      </c>
      <c r="Y12" s="97">
        <f>'Summary Table'!V12-'Summary Table'!U12</f>
        <v>-218.23493688917279</v>
      </c>
      <c r="Z12" s="97">
        <f>'Summary Table'!W12-'Summary Table'!V12</f>
        <v>87.09257038298847</v>
      </c>
      <c r="AA12" s="97">
        <f>'Summary Table'!X12-'Summary Table'!W12</f>
        <v>-104.87536906450896</v>
      </c>
      <c r="AB12" s="97">
        <f>'Summary Table'!Y12-'Summary Table'!X12</f>
        <v>-210.67676499424874</v>
      </c>
      <c r="AC12" s="97">
        <f>'Summary Table'!Z12-'Summary Table'!Y12</f>
        <v>59.558021827258926</v>
      </c>
      <c r="AD12" s="97">
        <f>'Summary Table'!AA12-'Summary Table'!Z12</f>
        <v>-2.6949534877824135</v>
      </c>
      <c r="AE12" s="97">
        <f>'Summary Table'!AB12-'Summary Table'!AA12</f>
        <v>-217.16776229352945</v>
      </c>
      <c r="AF12" s="97">
        <f>'Summary Table'!AC12-'Summary Table'!AB12</f>
        <v>-109.37174928860281</v>
      </c>
      <c r="AG12" s="97">
        <f>'Summary Table'!AD12-'Summary Table'!AC12</f>
        <v>-34.949923033935875</v>
      </c>
      <c r="AH12" s="97">
        <f>'Summary Table'!AE12-'Summary Table'!AD12</f>
        <v>-54.190316245638769</v>
      </c>
      <c r="AI12" s="97">
        <f>'Summary Table'!AF12-'Summary Table'!AE12</f>
        <v>-179.33664065835399</v>
      </c>
      <c r="AJ12" s="97">
        <f>'Summary Table'!AG12-'Summary Table'!AF12</f>
        <v>-185.38015598964785</v>
      </c>
      <c r="AK12" s="97">
        <f>'Summary Table'!AH12-'Summary Table'!AG12</f>
        <v>121.90483179976081</v>
      </c>
      <c r="AL12" s="97">
        <f>'Summary Table'!AI12-'Summary Table'!AH12</f>
        <v>-58.592401796762033</v>
      </c>
    </row>
    <row r="13" spans="1:38">
      <c r="B13" s="1040" t="s">
        <v>1476</v>
      </c>
      <c r="C13" s="1078">
        <f>'Summary Table'!AI13-'Summary Table'!C13</f>
        <v>2.3893853343172085</v>
      </c>
      <c r="D13" s="37">
        <f>C13/'Summary Table'!C13</f>
        <v>4.7865857762507078</v>
      </c>
      <c r="E13" s="38">
        <f t="shared" si="0"/>
        <v>-4.1898491347567075E-2</v>
      </c>
      <c r="F13" s="37"/>
      <c r="G13" s="70">
        <f>'Summary Table'!D13-'Summary Table'!C13</f>
        <v>-3.6201650438386024E-2</v>
      </c>
      <c r="H13" s="70">
        <f>'Summary Table'!E13-'Summary Table'!D13</f>
        <v>-6.7577790179658037E-2</v>
      </c>
      <c r="I13" s="70">
        <f>'Summary Table'!F13-'Summary Table'!E13</f>
        <v>1.926037960387611E-2</v>
      </c>
      <c r="J13" s="70">
        <f>'Summary Table'!G13-'Summary Table'!F13</f>
        <v>7.930737650411801E-3</v>
      </c>
      <c r="K13" s="70">
        <f>'Summary Table'!H13-'Summary Table'!G13</f>
        <v>7.9307355948163294E-3</v>
      </c>
      <c r="L13" s="70">
        <f>'Summary Table'!I13-'Summary Table'!H13</f>
        <v>1.1329639897827759E-2</v>
      </c>
      <c r="M13" s="70">
        <f>'Summary Table'!J13-'Summary Table'!I13</f>
        <v>7.2509769348382269E-3</v>
      </c>
      <c r="N13" s="70">
        <f>'Summary Table'!K13-'Summary Table'!J13</f>
        <v>4.9850345659578355E-3</v>
      </c>
      <c r="O13" s="97">
        <f>'Summary Table'!L13-'Summary Table'!K13</f>
        <v>-3.3762306750545978E-2</v>
      </c>
      <c r="P13" s="97">
        <f>'Summary Table'!M13-'Summary Table'!L13</f>
        <v>5.4674485262194095E-2</v>
      </c>
      <c r="Q13" s="97">
        <f>'Summary Table'!N13-'Summary Table'!M13</f>
        <v>0.12182513735317202</v>
      </c>
      <c r="R13" s="97">
        <f>'Summary Table'!O13-'Summary Table'!N13</f>
        <v>1.4265406144219859</v>
      </c>
      <c r="S13" s="97">
        <f>'Summary Table'!P13-'Summary Table'!O13</f>
        <v>0.64052518602224939</v>
      </c>
      <c r="T13" s="97">
        <f>'Summary Table'!Q13-'Summary Table'!P13</f>
        <v>0.28180984246062124</v>
      </c>
      <c r="U13" s="97">
        <f>'Summary Table'!R13-'Summary Table'!Q13</f>
        <v>6.7977798274616141E-2</v>
      </c>
      <c r="V13" s="97">
        <f>'Summary Table'!S13-'Summary Table'!R13</f>
        <v>0.38520753040901967</v>
      </c>
      <c r="W13" s="97">
        <f>'Summary Table'!T13-'Summary Table'!S13</f>
        <v>3.4808913252653007E-3</v>
      </c>
      <c r="X13" s="97">
        <f>'Summary Table'!U13-'Summary Table'!T13</f>
        <v>3.1046260487615829E-2</v>
      </c>
      <c r="Y13" s="97">
        <f>'Summary Table'!V13-'Summary Table'!U13</f>
        <v>-2.3835985623440692E-2</v>
      </c>
      <c r="Z13" s="97">
        <f>'Summary Table'!W13-'Summary Table'!V13</f>
        <v>-0.2138681361738568</v>
      </c>
      <c r="AA13" s="97">
        <f>'Summary Table'!X13-'Summary Table'!W13</f>
        <v>0.24256861884183589</v>
      </c>
      <c r="AB13" s="97">
        <f>'Summary Table'!Y13-'Summary Table'!X13</f>
        <v>-0.1504351755541129</v>
      </c>
      <c r="AC13" s="97">
        <f>'Summary Table'!Z13-'Summary Table'!Y13</f>
        <v>-1.2297168833419914E-2</v>
      </c>
      <c r="AD13" s="97">
        <f>'Summary Table'!AA13-'Summary Table'!Z13</f>
        <v>0.16680369066557965</v>
      </c>
      <c r="AE13" s="97">
        <f>'Summary Table'!AB13-'Summary Table'!AA13</f>
        <v>-0.13227635849240649</v>
      </c>
      <c r="AF13" s="97">
        <f>'Summary Table'!AC13-'Summary Table'!AB13</f>
        <v>-3.9389333791652437E-2</v>
      </c>
      <c r="AG13" s="97">
        <f>'Summary Table'!AD13-'Summary Table'!AC13</f>
        <v>-0.97020444790590554</v>
      </c>
      <c r="AH13" s="97">
        <f>'Summary Table'!AE13-'Summary Table'!AD13</f>
        <v>0.25629600913400008</v>
      </c>
      <c r="AI13" s="97">
        <f>'Summary Table'!AF13-'Summary Table'!AE13</f>
        <v>1.0036946477800002</v>
      </c>
      <c r="AJ13" s="97">
        <f>'Summary Table'!AG13-'Summary Table'!AF13</f>
        <v>-0.47788444101687899</v>
      </c>
      <c r="AK13" s="97">
        <f>'Summary Table'!AH13-'Summary Table'!AG13</f>
        <v>-0.19402008760841127</v>
      </c>
      <c r="AL13" s="97">
        <f>'Summary Table'!AI13-'Summary Table'!AH13</f>
        <v>0</v>
      </c>
    </row>
    <row r="14" spans="1:38">
      <c r="B14" s="1041" t="s">
        <v>1439</v>
      </c>
      <c r="C14" s="1077">
        <f>'Summary Table'!AI14-'Summary Table'!C14</f>
        <v>710.45792283919718</v>
      </c>
      <c r="D14" s="35">
        <f>C14/'Summary Table'!C14</f>
        <v>0.71143722168140366</v>
      </c>
      <c r="E14" s="36">
        <f t="shared" si="0"/>
        <v>-12.458063881686476</v>
      </c>
      <c r="F14" s="35"/>
      <c r="G14" s="94">
        <f>'Summary Table'!D14-'Summary Table'!C14</f>
        <v>22.253179887305578</v>
      </c>
      <c r="H14" s="94">
        <f>'Summary Table'!E14-'Summary Table'!D14</f>
        <v>33.468193086317569</v>
      </c>
      <c r="I14" s="94">
        <f>'Summary Table'!F14-'Summary Table'!E14</f>
        <v>27.46393436630251</v>
      </c>
      <c r="J14" s="94">
        <f>'Summary Table'!G14-'Summary Table'!F14</f>
        <v>24.788848893905651</v>
      </c>
      <c r="K14" s="94">
        <f>'Summary Table'!H14-'Summary Table'!G14</f>
        <v>48.414937738796652</v>
      </c>
      <c r="L14" s="94">
        <f>'Summary Table'!I14-'Summary Table'!H14</f>
        <v>21.271926323956905</v>
      </c>
      <c r="M14" s="94">
        <f>'Summary Table'!J14-'Summary Table'!I14</f>
        <v>6.1763171392456115</v>
      </c>
      <c r="N14" s="94">
        <f>'Summary Table'!K14-'Summary Table'!J14</f>
        <v>-23.808685781217264</v>
      </c>
      <c r="O14" s="95">
        <f>'Summary Table'!L14-'Summary Table'!K14</f>
        <v>4.2847134907481177</v>
      </c>
      <c r="P14" s="95">
        <f>'Summary Table'!M14-'Summary Table'!L14</f>
        <v>55.695067879307544</v>
      </c>
      <c r="Q14" s="95">
        <f>'Summary Table'!N14-'Summary Table'!M14</f>
        <v>-49.185817212902293</v>
      </c>
      <c r="R14" s="95">
        <f>'Summary Table'!O14-'Summary Table'!N14</f>
        <v>38.486818443796892</v>
      </c>
      <c r="S14" s="95">
        <f>'Summary Table'!P14-'Summary Table'!O14</f>
        <v>-30.980249798292334</v>
      </c>
      <c r="T14" s="95">
        <f>'Summary Table'!Q14-'Summary Table'!P14</f>
        <v>5.8731045450456349</v>
      </c>
      <c r="U14" s="95">
        <f>'Summary Table'!R14-'Summary Table'!Q14</f>
        <v>-16.663874468884842</v>
      </c>
      <c r="V14" s="95">
        <f>'Summary Table'!S14-'Summary Table'!R14</f>
        <v>-15.112932390377864</v>
      </c>
      <c r="W14" s="95">
        <f>'Summary Table'!T14-'Summary Table'!S14</f>
        <v>73.980765960747476</v>
      </c>
      <c r="X14" s="95">
        <f>'Summary Table'!U14-'Summary Table'!T14</f>
        <v>10.851077043716714</v>
      </c>
      <c r="Y14" s="95">
        <f>'Summary Table'!V14-'Summary Table'!U14</f>
        <v>-21.64596814780657</v>
      </c>
      <c r="Z14" s="95">
        <f>'Summary Table'!W14-'Summary Table'!V14</f>
        <v>58.908562896815511</v>
      </c>
      <c r="AA14" s="95">
        <f>'Summary Table'!X14-'Summary Table'!W14</f>
        <v>19.641981203098794</v>
      </c>
      <c r="AB14" s="95">
        <f>'Summary Table'!Y14-'Summary Table'!X14</f>
        <v>60.012930461665746</v>
      </c>
      <c r="AC14" s="95">
        <f>'Summary Table'!Z14-'Summary Table'!Y14</f>
        <v>38.011283967129202</v>
      </c>
      <c r="AD14" s="95">
        <f>'Summary Table'!AA14-'Summary Table'!Z14</f>
        <v>28.316887035683749</v>
      </c>
      <c r="AE14" s="95">
        <f>'Summary Table'!AB14-'Summary Table'!AA14</f>
        <v>36.259827241418861</v>
      </c>
      <c r="AF14" s="95">
        <f>'Summary Table'!AC14-'Summary Table'!AB14</f>
        <v>5.9349915289112687</v>
      </c>
      <c r="AG14" s="95">
        <f>'Summary Table'!AD14-'Summary Table'!AC14</f>
        <v>-28.073973967895881</v>
      </c>
      <c r="AH14" s="95">
        <f>'Summary Table'!AE14-'Summary Table'!AD14</f>
        <v>158.71935689392967</v>
      </c>
      <c r="AI14" s="95">
        <f>'Summary Table'!AF14-'Summary Table'!AE14</f>
        <v>57.277388642931328</v>
      </c>
      <c r="AJ14" s="95">
        <f>'Summary Table'!AG14-'Summary Table'!AF14</f>
        <v>-33.565150576361702</v>
      </c>
      <c r="AK14" s="95">
        <f>'Summary Table'!AH14-'Summary Table'!AG14</f>
        <v>6.3893745172749732</v>
      </c>
      <c r="AL14" s="95">
        <f>'Summary Table'!AI14-'Summary Table'!AH14</f>
        <v>87.013105994883972</v>
      </c>
    </row>
    <row r="15" spans="1:38">
      <c r="B15" s="1040" t="s">
        <v>1434</v>
      </c>
      <c r="C15" s="1078">
        <f>'Summary Table'!AI15-'Summary Table'!C15</f>
        <v>34.189305710390755</v>
      </c>
      <c r="D15" s="37">
        <f>C15/'Summary Table'!C15</f>
        <v>0.14377486650324042</v>
      </c>
      <c r="E15" s="38">
        <f>C15/C$29</f>
        <v>-0.59951834009874294</v>
      </c>
      <c r="F15" s="37"/>
      <c r="G15" s="70">
        <f>'Summary Table'!D15-'Summary Table'!C15</f>
        <v>9.5188576976540276</v>
      </c>
      <c r="H15" s="70">
        <f>'Summary Table'!E15-'Summary Table'!D15</f>
        <v>7.2786070151842921</v>
      </c>
      <c r="I15" s="70">
        <f>'Summary Table'!F15-'Summary Table'!E15</f>
        <v>13.634348271297313</v>
      </c>
      <c r="J15" s="70">
        <f>'Summary Table'!G15-'Summary Table'!F15</f>
        <v>-5.285766705796334</v>
      </c>
      <c r="K15" s="70">
        <f>'Summary Table'!H15-'Summary Table'!G15</f>
        <v>-0.17785094039538762</v>
      </c>
      <c r="L15" s="70">
        <f>'Summary Table'!I15-'Summary Table'!H15</f>
        <v>21.226246423720625</v>
      </c>
      <c r="M15" s="70">
        <f>'Summary Table'!J15-'Summary Table'!I15</f>
        <v>-13.868132564743178</v>
      </c>
      <c r="N15" s="70">
        <f>'Summary Table'!K15-'Summary Table'!J15</f>
        <v>-23.984143760070197</v>
      </c>
      <c r="O15" s="97">
        <f>'Summary Table'!L15-'Summary Table'!K15</f>
        <v>10.239536764172385</v>
      </c>
      <c r="P15" s="97">
        <f>'Summary Table'!M15-'Summary Table'!L15</f>
        <v>14.426683893973063</v>
      </c>
      <c r="Q15" s="97">
        <f>'Summary Table'!N15-'Summary Table'!M15</f>
        <v>-11.616934474355787</v>
      </c>
      <c r="R15" s="97">
        <f>'Summary Table'!O15-'Summary Table'!N15</f>
        <v>5.8642202877462637</v>
      </c>
      <c r="S15" s="97">
        <f>'Summary Table'!P15-'Summary Table'!O15</f>
        <v>11.122163523402321</v>
      </c>
      <c r="T15" s="97">
        <f>'Summary Table'!Q15-'Summary Table'!P15</f>
        <v>-11.996572484598175</v>
      </c>
      <c r="U15" s="97">
        <f>'Summary Table'!R15-'Summary Table'!Q15</f>
        <v>-1.9501705469367039</v>
      </c>
      <c r="V15" s="97">
        <f>'Summary Table'!S15-'Summary Table'!R15</f>
        <v>-24.940205943948655</v>
      </c>
      <c r="W15" s="97">
        <f>'Summary Table'!T15-'Summary Table'!S15</f>
        <v>19.119503242742752</v>
      </c>
      <c r="X15" s="97">
        <f>'Summary Table'!U15-'Summary Table'!T15</f>
        <v>9.2595925926856353</v>
      </c>
      <c r="Y15" s="97">
        <f>'Summary Table'!V15-'Summary Table'!U15</f>
        <v>-6.611477406552126</v>
      </c>
      <c r="Z15" s="97">
        <f>'Summary Table'!W15-'Summary Table'!V15</f>
        <v>-0.14474202945456227</v>
      </c>
      <c r="AA15" s="97">
        <f>'Summary Table'!X15-'Summary Table'!W15</f>
        <v>-3.8432446944829337</v>
      </c>
      <c r="AB15" s="97">
        <f>'Summary Table'!Y15-'Summary Table'!X15</f>
        <v>-29.966554511821073</v>
      </c>
      <c r="AC15" s="97">
        <f>'Summary Table'!Z15-'Summary Table'!Y15</f>
        <v>41.24905683466082</v>
      </c>
      <c r="AD15" s="97">
        <f>'Summary Table'!AA15-'Summary Table'!Z15</f>
        <v>11.321071768040838</v>
      </c>
      <c r="AE15" s="97">
        <f>'Summary Table'!AB15-'Summary Table'!AA15</f>
        <v>-24.947691860345145</v>
      </c>
      <c r="AF15" s="97">
        <f>'Summary Table'!AC15-'Summary Table'!AB15</f>
        <v>-14.341679631960062</v>
      </c>
      <c r="AG15" s="97">
        <f>'Summary Table'!AD15-'Summary Table'!AC15</f>
        <v>3.103860108469064</v>
      </c>
      <c r="AH15" s="97">
        <f>'Summary Table'!AE15-'Summary Table'!AD15</f>
        <v>32.328272758162854</v>
      </c>
      <c r="AI15" s="97">
        <f>'Summary Table'!AF15-'Summary Table'!AE15</f>
        <v>1.6545129385542054</v>
      </c>
      <c r="AJ15" s="97">
        <f>'Summary Table'!AG15-'Summary Table'!AF15</f>
        <v>-19.107527302416088</v>
      </c>
      <c r="AK15" s="97">
        <f>'Summary Table'!AH15-'Summary Table'!AG15</f>
        <v>2.2857129617836449</v>
      </c>
      <c r="AL15" s="97">
        <f>'Summary Table'!AI15-'Summary Table'!AH15</f>
        <v>13.339753486017059</v>
      </c>
    </row>
    <row r="16" spans="1:38">
      <c r="B16" s="1040" t="s">
        <v>1441</v>
      </c>
      <c r="C16" s="1078">
        <f>'Summary Table'!AI16-'Summary Table'!C16</f>
        <v>50.23768686650925</v>
      </c>
      <c r="D16" s="37">
        <f>C16/'Summary Table'!C16</f>
        <v>0.35372491072573037</v>
      </c>
      <c r="E16" s="38">
        <f t="shared" si="0"/>
        <v>-0.88093086463164139</v>
      </c>
      <c r="F16" s="37"/>
      <c r="G16" s="70">
        <f>'Summary Table'!D16-'Summary Table'!C16</f>
        <v>6.1036977638801773</v>
      </c>
      <c r="H16" s="70">
        <f>'Summary Table'!E16-'Summary Table'!D16</f>
        <v>4.0158507887836947</v>
      </c>
      <c r="I16" s="70">
        <f>'Summary Table'!F16-'Summary Table'!E16</f>
        <v>2.7160269670674211</v>
      </c>
      <c r="J16" s="70">
        <f>'Summary Table'!G16-'Summary Table'!F16</f>
        <v>2.1677034760930667</v>
      </c>
      <c r="K16" s="70">
        <f>'Summary Table'!H16-'Summary Table'!G16</f>
        <v>7.1804449262353387</v>
      </c>
      <c r="L16" s="70">
        <f>'Summary Table'!I16-'Summary Table'!H16</f>
        <v>6.9124793700916314</v>
      </c>
      <c r="M16" s="70">
        <f>'Summary Table'!J16-'Summary Table'!I16</f>
        <v>3.1294658114412357</v>
      </c>
      <c r="N16" s="70">
        <f>'Summary Table'!K16-'Summary Table'!J16</f>
        <v>-10.921031758379854</v>
      </c>
      <c r="O16" s="97">
        <f>'Summary Table'!L16-'Summary Table'!K16</f>
        <v>1.8507485777662396</v>
      </c>
      <c r="P16" s="97">
        <f>'Summary Table'!M16-'Summary Table'!L16</f>
        <v>7.3179450593199817</v>
      </c>
      <c r="Q16" s="97">
        <f>'Summary Table'!N16-'Summary Table'!M16</f>
        <v>-8.2981940907909291</v>
      </c>
      <c r="R16" s="97">
        <f>'Summary Table'!O16-'Summary Table'!N16</f>
        <v>6.2651361718540954</v>
      </c>
      <c r="S16" s="97">
        <f>'Summary Table'!P16-'Summary Table'!O16</f>
        <v>2.4109028288940522</v>
      </c>
      <c r="T16" s="97">
        <f>'Summary Table'!Q16-'Summary Table'!P16</f>
        <v>-3.0992485011772999</v>
      </c>
      <c r="U16" s="97">
        <f>'Summary Table'!R16-'Summary Table'!Q16</f>
        <v>-6.8515777569064085</v>
      </c>
      <c r="V16" s="97">
        <f>'Summary Table'!S16-'Summary Table'!R16</f>
        <v>-9.0935283815814216</v>
      </c>
      <c r="W16" s="97">
        <f>'Summary Table'!T16-'Summary Table'!S16</f>
        <v>9.7588742761276706</v>
      </c>
      <c r="X16" s="97">
        <f>'Summary Table'!U16-'Summary Table'!T16</f>
        <v>7.6028232982372401</v>
      </c>
      <c r="Y16" s="97">
        <f>'Summary Table'!V16-'Summary Table'!U16</f>
        <v>-2.1399225474787897</v>
      </c>
      <c r="Z16" s="97">
        <f>'Summary Table'!W16-'Summary Table'!V16</f>
        <v>-1.0844562364330557</v>
      </c>
      <c r="AA16" s="97">
        <f>'Summary Table'!X16-'Summary Table'!W16</f>
        <v>2.7691424630922086</v>
      </c>
      <c r="AB16" s="97">
        <f>'Summary Table'!Y16-'Summary Table'!X16</f>
        <v>-13.695223343110939</v>
      </c>
      <c r="AC16" s="97">
        <f>'Summary Table'!Z16-'Summary Table'!Y16</f>
        <v>22.176808002327789</v>
      </c>
      <c r="AD16" s="97">
        <f>'Summary Table'!AA16-'Summary Table'!Z16</f>
        <v>9.9697851627934142</v>
      </c>
      <c r="AE16" s="97">
        <f>'Summary Table'!AB16-'Summary Table'!AA16</f>
        <v>-13.777635976398187</v>
      </c>
      <c r="AF16" s="97">
        <f>'Summary Table'!AC16-'Summary Table'!AB16</f>
        <v>-4.8711863541169578</v>
      </c>
      <c r="AG16" s="97">
        <f>'Summary Table'!AD16-'Summary Table'!AC16</f>
        <v>2.6495507300392944</v>
      </c>
      <c r="AH16" s="97">
        <f>'Summary Table'!AE16-'Summary Table'!AD16</f>
        <v>19.338267912817059</v>
      </c>
      <c r="AI16" s="97">
        <f>'Summary Table'!AF16-'Summary Table'!AE16</f>
        <v>0.38782466220968104</v>
      </c>
      <c r="AJ16" s="97">
        <f>'Summary Table'!AG16-'Summary Table'!AF16</f>
        <v>-19.466126030431894</v>
      </c>
      <c r="AK16" s="97">
        <f>'Summary Table'!AH16-'Summary Table'!AG16</f>
        <v>6.9127421702976335</v>
      </c>
      <c r="AL16" s="97">
        <f>'Summary Table'!AI16-'Summary Table'!AH16</f>
        <v>11.899597423946062</v>
      </c>
    </row>
    <row r="17" spans="2:38">
      <c r="B17" s="1040" t="s">
        <v>1443</v>
      </c>
      <c r="C17" s="1078">
        <f>'Summary Table'!AI17-'Summary Table'!C17</f>
        <v>104.0053186908483</v>
      </c>
      <c r="D17" s="37">
        <f>C17/'Summary Table'!C17</f>
        <v>0.25526500019578946</v>
      </c>
      <c r="E17" s="38">
        <f t="shared" si="0"/>
        <v>-1.8237602293289006</v>
      </c>
      <c r="F17" s="37"/>
      <c r="G17" s="70">
        <f>'Summary Table'!D17-'Summary Table'!C17</f>
        <v>6.1538780400965152</v>
      </c>
      <c r="H17" s="70">
        <f>'Summary Table'!E17-'Summary Table'!D17</f>
        <v>15.712923678173979</v>
      </c>
      <c r="I17" s="70">
        <f>'Summary Table'!F17-'Summary Table'!E17</f>
        <v>7.6748179049380383</v>
      </c>
      <c r="J17" s="70">
        <f>'Summary Table'!G17-'Summary Table'!F17</f>
        <v>1.2264583927732247</v>
      </c>
      <c r="K17" s="70">
        <f>'Summary Table'!H17-'Summary Table'!G17</f>
        <v>23.259349373883879</v>
      </c>
      <c r="L17" s="70">
        <f>'Summary Table'!I17-'Summary Table'!H17</f>
        <v>15.759042632598891</v>
      </c>
      <c r="M17" s="70">
        <f>'Summary Table'!J17-'Summary Table'!I17</f>
        <v>0.65908424197351678</v>
      </c>
      <c r="N17" s="70">
        <f>'Summary Table'!K17-'Summary Table'!J17</f>
        <v>-11.657550781868281</v>
      </c>
      <c r="O17" s="97">
        <f>'Summary Table'!L17-'Summary Table'!K17</f>
        <v>-20.607126285502773</v>
      </c>
      <c r="P17" s="97">
        <f>'Summary Table'!M17-'Summary Table'!L17</f>
        <v>12.5632565910322</v>
      </c>
      <c r="Q17" s="97">
        <f>'Summary Table'!N17-'Summary Table'!M17</f>
        <v>-37.584580788343771</v>
      </c>
      <c r="R17" s="97">
        <f>'Summary Table'!O17-'Summary Table'!N17</f>
        <v>7.5098157999094042</v>
      </c>
      <c r="S17" s="97">
        <f>'Summary Table'!P17-'Summary Table'!O17</f>
        <v>-13.023901733274272</v>
      </c>
      <c r="T17" s="97">
        <f>'Summary Table'!Q17-'Summary Table'!P17</f>
        <v>3.8000451009542644</v>
      </c>
      <c r="U17" s="97">
        <f>'Summary Table'!R17-'Summary Table'!Q17</f>
        <v>-31.101697389166986</v>
      </c>
      <c r="V17" s="97">
        <f>'Summary Table'!S17-'Summary Table'!R17</f>
        <v>-0.34882154510120245</v>
      </c>
      <c r="W17" s="97">
        <f>'Summary Table'!T17-'Summary Table'!S17</f>
        <v>9.5335177302127363</v>
      </c>
      <c r="X17" s="97">
        <f>'Summary Table'!U17-'Summary Table'!T17</f>
        <v>1.6820477537155512</v>
      </c>
      <c r="Y17" s="97">
        <f>'Summary Table'!V17-'Summary Table'!U17</f>
        <v>-24.451494554685269</v>
      </c>
      <c r="Z17" s="97">
        <f>'Summary Table'!W17-'Summary Table'!V17</f>
        <v>32.88984530648321</v>
      </c>
      <c r="AA17" s="97">
        <f>'Summary Table'!X17-'Summary Table'!W17</f>
        <v>10.080205456945919</v>
      </c>
      <c r="AB17" s="97">
        <f>'Summary Table'!Y17-'Summary Table'!X17</f>
        <v>16.704422736790093</v>
      </c>
      <c r="AC17" s="97">
        <f>'Summary Table'!Z17-'Summary Table'!Y17</f>
        <v>17.06200214475956</v>
      </c>
      <c r="AD17" s="97">
        <f>'Summary Table'!AA17-'Summary Table'!Z17</f>
        <v>14.999958641302214</v>
      </c>
      <c r="AE17" s="97">
        <f>'Summary Table'!AB17-'Summary Table'!AA17</f>
        <v>-6.2897945826152295</v>
      </c>
      <c r="AF17" s="97">
        <f>'Summary Table'!AC17-'Summary Table'!AB17</f>
        <v>4.3362991368272787</v>
      </c>
      <c r="AG17" s="97">
        <f>'Summary Table'!AD17-'Summary Table'!AC17</f>
        <v>4.1505791778881758</v>
      </c>
      <c r="AH17" s="97">
        <f>'Summary Table'!AE17-'Summary Table'!AD17</f>
        <v>25.335821633742512</v>
      </c>
      <c r="AI17" s="97">
        <f>'Summary Table'!AF17-'Summary Table'!AE17</f>
        <v>8.0395360379509953</v>
      </c>
      <c r="AJ17" s="97">
        <f>'Summary Table'!AG17-'Summary Table'!AF17</f>
        <v>-11.791551246343602</v>
      </c>
      <c r="AK17" s="97">
        <f>'Summary Table'!AH17-'Summary Table'!AG17</f>
        <v>11.449701573297261</v>
      </c>
      <c r="AL17" s="97">
        <f>'Summary Table'!AI17-'Summary Table'!AH17</f>
        <v>10.279228511500264</v>
      </c>
    </row>
    <row r="18" spans="2:38">
      <c r="B18" s="1040" t="s">
        <v>1445</v>
      </c>
      <c r="C18" s="1078">
        <f>'Summary Table'!AI18-'Summary Table'!C18</f>
        <v>34.160679819293158</v>
      </c>
      <c r="D18" s="37">
        <f>C18/'Summary Table'!C18</f>
        <v>0.94889119803471578</v>
      </c>
      <c r="E18" s="38">
        <f t="shared" si="0"/>
        <v>-0.59901637767633953</v>
      </c>
      <c r="F18" s="37"/>
      <c r="G18" s="70">
        <f>'Summary Table'!D18-'Summary Table'!C18</f>
        <v>-3.1296302841403829</v>
      </c>
      <c r="H18" s="70">
        <f>'Summary Table'!E18-'Summary Table'!D18</f>
        <v>-0.6474324066419328</v>
      </c>
      <c r="I18" s="70">
        <f>'Summary Table'!F18-'Summary Table'!E18</f>
        <v>1.9310478462927279</v>
      </c>
      <c r="J18" s="70">
        <f>'Summary Table'!G18-'Summary Table'!F18</f>
        <v>3.4081912115550494</v>
      </c>
      <c r="K18" s="70">
        <f>'Summary Table'!H18-'Summary Table'!G18</f>
        <v>0.8349548015731898</v>
      </c>
      <c r="L18" s="70">
        <f>'Summary Table'!I18-'Summary Table'!H18</f>
        <v>0.686007674273867</v>
      </c>
      <c r="M18" s="70">
        <f>'Summary Table'!J18-'Summary Table'!I18</f>
        <v>2.3032758050886883</v>
      </c>
      <c r="N18" s="70">
        <f>'Summary Table'!K18-'Summary Table'!J18</f>
        <v>-6.0986596175783774</v>
      </c>
      <c r="O18" s="97">
        <f>'Summary Table'!L18-'Summary Table'!K18</f>
        <v>0.52246915155027551</v>
      </c>
      <c r="P18" s="97">
        <f>'Summary Table'!M18-'Summary Table'!L18</f>
        <v>-0.16077727479220982</v>
      </c>
      <c r="Q18" s="97">
        <f>'Summary Table'!N18-'Summary Table'!M18</f>
        <v>-0.76407991370712125</v>
      </c>
      <c r="R18" s="97">
        <f>'Summary Table'!O18-'Summary Table'!N18</f>
        <v>2.2011181763679133</v>
      </c>
      <c r="S18" s="97">
        <f>'Summary Table'!P18-'Summary Table'!O18</f>
        <v>-3.8233626276058601</v>
      </c>
      <c r="T18" s="97">
        <f>'Summary Table'!Q18-'Summary Table'!P18</f>
        <v>-1.3366020306552819</v>
      </c>
      <c r="U18" s="97">
        <f>'Summary Table'!R18-'Summary Table'!Q18</f>
        <v>1.1487715701737109</v>
      </c>
      <c r="V18" s="97">
        <f>'Summary Table'!S18-'Summary Table'!R18</f>
        <v>5.6831570317882552E-2</v>
      </c>
      <c r="W18" s="97">
        <f>'Summary Table'!T18-'Summary Table'!S18</f>
        <v>2.0485133505069868</v>
      </c>
      <c r="X18" s="97">
        <f>'Summary Table'!U18-'Summary Table'!T18</f>
        <v>1.5203843685323122</v>
      </c>
      <c r="Y18" s="97">
        <f>'Summary Table'!V18-'Summary Table'!U18</f>
        <v>1.2233234106413349</v>
      </c>
      <c r="Z18" s="97">
        <f>'Summary Table'!W18-'Summary Table'!V18</f>
        <v>0.23421951142944408</v>
      </c>
      <c r="AA18" s="97">
        <f>'Summary Table'!X18-'Summary Table'!W18</f>
        <v>0.78379111142091773</v>
      </c>
      <c r="AB18" s="97">
        <f>'Summary Table'!Y18-'Summary Table'!X18</f>
        <v>2.4350249504485078</v>
      </c>
      <c r="AC18" s="97">
        <f>'Summary Table'!Z18-'Summary Table'!Y18</f>
        <v>5.6712374617569026</v>
      </c>
      <c r="AD18" s="97">
        <f>'Summary Table'!AA18-'Summary Table'!Z18</f>
        <v>-6.8111239887450594</v>
      </c>
      <c r="AE18" s="97">
        <f>'Summary Table'!AB18-'Summary Table'!AA18</f>
        <v>-0.83221745893978749</v>
      </c>
      <c r="AF18" s="97">
        <f>'Summary Table'!AC18-'Summary Table'!AB18</f>
        <v>0.65290213085298632</v>
      </c>
      <c r="AG18" s="97">
        <f>'Summary Table'!AD18-'Summary Table'!AC18</f>
        <v>2.1989519381912501</v>
      </c>
      <c r="AH18" s="97">
        <f>'Summary Table'!AE18-'Summary Table'!AD18</f>
        <v>8.657674874071482</v>
      </c>
      <c r="AI18" s="97">
        <f>'Summary Table'!AF18-'Summary Table'!AE18</f>
        <v>8.0133337827196556</v>
      </c>
      <c r="AJ18" s="97">
        <f>'Summary Table'!AG18-'Summary Table'!AF18</f>
        <v>-0.27497354790806128</v>
      </c>
      <c r="AK18" s="97">
        <f>'Summary Table'!AH18-'Summary Table'!AG18</f>
        <v>6.5372216026941743</v>
      </c>
      <c r="AL18" s="97">
        <f>'Summary Table'!AI18-'Summary Table'!AH18</f>
        <v>4.9702926695479732</v>
      </c>
    </row>
    <row r="19" spans="2:38">
      <c r="B19" s="1040" t="s">
        <v>1474</v>
      </c>
      <c r="C19" s="1078">
        <f>'Summary Table'!AI19-'Summary Table'!C19</f>
        <v>483.94517573609477</v>
      </c>
      <c r="D19" s="37">
        <f>C19/'Summary Table'!C19</f>
        <v>2.7597232457554806</v>
      </c>
      <c r="E19" s="38">
        <f t="shared" si="0"/>
        <v>-8.4861041319104924</v>
      </c>
      <c r="F19" s="37"/>
      <c r="G19" s="70">
        <f>'Summary Table'!D19-'Summary Table'!C19</f>
        <v>3.6063766698153472</v>
      </c>
      <c r="H19" s="70">
        <f>'Summary Table'!E19-'Summary Table'!D19</f>
        <v>7.1082440108175717</v>
      </c>
      <c r="I19" s="70">
        <f>'Summary Table'!F19-'Summary Table'!E19</f>
        <v>1.5076933767068113</v>
      </c>
      <c r="J19" s="70">
        <f>'Summary Table'!G19-'Summary Table'!F19</f>
        <v>23.272262519280901</v>
      </c>
      <c r="K19" s="70">
        <f>'Summary Table'!H19-'Summary Table'!G19</f>
        <v>17.318039577499519</v>
      </c>
      <c r="L19" s="70">
        <f>'Summary Table'!I19-'Summary Table'!H19</f>
        <v>-23.311849776727996</v>
      </c>
      <c r="M19" s="70">
        <f>'Summary Table'!J19-'Summary Table'!I19</f>
        <v>13.952623845485306</v>
      </c>
      <c r="N19" s="70">
        <f>'Summary Table'!K19-'Summary Table'!J19</f>
        <v>28.852700136679459</v>
      </c>
      <c r="O19" s="97">
        <f>'Summary Table'!L19-'Summary Table'!K19</f>
        <v>12.279085282761827</v>
      </c>
      <c r="P19" s="97">
        <f>'Summary Table'!M19-'Summary Table'!L19</f>
        <v>20.875837595000291</v>
      </c>
      <c r="Q19" s="97">
        <f>'Summary Table'!N19-'Summary Table'!M19</f>
        <v>8.5375773223748297</v>
      </c>
      <c r="R19" s="97">
        <f>'Summary Table'!O19-'Summary Table'!N19</f>
        <v>16.650124168054276</v>
      </c>
      <c r="S19" s="97">
        <f>'Summary Table'!P19-'Summary Table'!O19</f>
        <v>-27.881357223075895</v>
      </c>
      <c r="T19" s="97">
        <f>'Summary Table'!Q19-'Summary Table'!P19</f>
        <v>18.622901030756168</v>
      </c>
      <c r="U19" s="97">
        <f>'Summary Table'!R19-'Summary Table'!Q19</f>
        <v>22.108105166683629</v>
      </c>
      <c r="V19" s="97">
        <f>'Summary Table'!S19-'Summary Table'!R19</f>
        <v>19.116560422102566</v>
      </c>
      <c r="W19" s="97">
        <f>'Summary Table'!T19-'Summary Table'!S19</f>
        <v>33.490169210597003</v>
      </c>
      <c r="X19" s="97">
        <f>'Summary Table'!U19-'Summary Table'!T19</f>
        <v>-9.3491548554665087</v>
      </c>
      <c r="Y19" s="97">
        <f>'Summary Table'!V19-'Summary Table'!U19</f>
        <v>10.431773030003569</v>
      </c>
      <c r="Z19" s="97">
        <f>'Summary Table'!W19-'Summary Table'!V19</f>
        <v>26.990336513736111</v>
      </c>
      <c r="AA19" s="97">
        <f>'Summary Table'!X19-'Summary Table'!W19</f>
        <v>9.891531475841532</v>
      </c>
      <c r="AB19" s="97">
        <f>'Summary Table'!Y19-'Summary Table'!X19</f>
        <v>83.362577902609644</v>
      </c>
      <c r="AC19" s="97">
        <f>'Summary Table'!Z19-'Summary Table'!Y19</f>
        <v>-48.626262694473553</v>
      </c>
      <c r="AD19" s="97">
        <f>'Summary Table'!AA19-'Summary Table'!Z19</f>
        <v>-1.2839276455515574</v>
      </c>
      <c r="AE19" s="97">
        <f>'Summary Table'!AB19-'Summary Table'!AA19</f>
        <v>82.278534747723086</v>
      </c>
      <c r="AF19" s="97">
        <f>'Summary Table'!AC19-'Summary Table'!AB19</f>
        <v>19.831591407057772</v>
      </c>
      <c r="AG19" s="97">
        <f>'Summary Table'!AD19-'Summary Table'!AC19</f>
        <v>-39.357471463839943</v>
      </c>
      <c r="AH19" s="97">
        <f>'Summary Table'!AE19-'Summary Table'!AD19</f>
        <v>72.300803372199084</v>
      </c>
      <c r="AI19" s="97">
        <f>'Summary Table'!AF19-'Summary Table'!AE19</f>
        <v>38.713226303176725</v>
      </c>
      <c r="AJ19" s="97">
        <f>'Summary Table'!AG19-'Summary Table'!AF19</f>
        <v>18.200466467180149</v>
      </c>
      <c r="AK19" s="97">
        <f>'Summary Table'!AH19-'Summary Table'!AG19</f>
        <v>-22.071065290779529</v>
      </c>
      <c r="AL19" s="97">
        <f>'Summary Table'!AI19-'Summary Table'!AH19</f>
        <v>46.527123131866574</v>
      </c>
    </row>
    <row r="20" spans="2:38">
      <c r="B20" s="1040" t="s">
        <v>1476</v>
      </c>
      <c r="C20" s="1079" t="str">
        <f>IFERROR('Summary Table'!AI20-'Summary Table'!C20,"NA")</f>
        <v>NA</v>
      </c>
      <c r="D20" s="57" t="s">
        <v>106</v>
      </c>
      <c r="E20" s="66" t="s">
        <v>106</v>
      </c>
      <c r="F20" s="57"/>
      <c r="G20" s="70" t="s">
        <v>103</v>
      </c>
      <c r="H20" s="70" t="s">
        <v>103</v>
      </c>
      <c r="I20" s="70" t="s">
        <v>103</v>
      </c>
      <c r="J20" s="70" t="s">
        <v>103</v>
      </c>
      <c r="K20" s="70" t="s">
        <v>103</v>
      </c>
      <c r="L20" s="70" t="s">
        <v>103</v>
      </c>
      <c r="M20" s="70" t="s">
        <v>103</v>
      </c>
      <c r="N20" s="70" t="s">
        <v>103</v>
      </c>
      <c r="O20" s="97" t="s">
        <v>103</v>
      </c>
      <c r="P20" s="97" t="s">
        <v>103</v>
      </c>
      <c r="Q20" s="97" t="s">
        <v>103</v>
      </c>
      <c r="R20" s="97" t="s">
        <v>103</v>
      </c>
      <c r="S20" s="97" t="s">
        <v>103</v>
      </c>
      <c r="T20" s="97" t="s">
        <v>103</v>
      </c>
      <c r="U20" s="97" t="s">
        <v>103</v>
      </c>
      <c r="V20" s="97" t="s">
        <v>103</v>
      </c>
      <c r="W20" s="97" t="s">
        <v>103</v>
      </c>
      <c r="X20" s="97" t="s">
        <v>103</v>
      </c>
      <c r="Y20" s="97" t="s">
        <v>103</v>
      </c>
      <c r="Z20" s="97" t="s">
        <v>103</v>
      </c>
      <c r="AA20" s="97" t="s">
        <v>103</v>
      </c>
      <c r="AB20" s="97" t="s">
        <v>103</v>
      </c>
      <c r="AC20" s="97" t="s">
        <v>103</v>
      </c>
      <c r="AD20" s="97" t="s">
        <v>103</v>
      </c>
      <c r="AE20" s="97" t="s">
        <v>103</v>
      </c>
      <c r="AF20" s="97" t="s">
        <v>103</v>
      </c>
      <c r="AG20" s="97" t="s">
        <v>103</v>
      </c>
      <c r="AH20" s="97" t="s">
        <v>103</v>
      </c>
      <c r="AI20" s="97" t="s">
        <v>103</v>
      </c>
      <c r="AJ20" s="97" t="s">
        <v>103</v>
      </c>
      <c r="AK20" s="97" t="s">
        <v>103</v>
      </c>
      <c r="AL20" s="97" t="s">
        <v>103</v>
      </c>
    </row>
    <row r="21" spans="2:38">
      <c r="B21" s="1041" t="s">
        <v>1440</v>
      </c>
      <c r="C21" s="1077">
        <f>'Summary Table'!AI21-'Summary Table'!C21</f>
        <v>54.053577487612984</v>
      </c>
      <c r="D21" s="35">
        <f>C21/'Summary Table'!C21</f>
        <v>2.6654183154296813E-2</v>
      </c>
      <c r="E21" s="36">
        <f t="shared" ref="E21:E27" si="1">C21/C$29</f>
        <v>-0.94784349604162055</v>
      </c>
      <c r="F21" s="35"/>
      <c r="G21" s="94">
        <f>'Summary Table'!D21-'Summary Table'!C21</f>
        <v>-64.958936553195372</v>
      </c>
      <c r="H21" s="94">
        <f>'Summary Table'!E21-'Summary Table'!D21</f>
        <v>42.043599517007124</v>
      </c>
      <c r="I21" s="94">
        <f>'Summary Table'!F21-'Summary Table'!E21</f>
        <v>23.400250839574483</v>
      </c>
      <c r="J21" s="94">
        <f>'Summary Table'!G21-'Summary Table'!F21</f>
        <v>30.898126896144049</v>
      </c>
      <c r="K21" s="94">
        <f>'Summary Table'!H21-'Summary Table'!G21</f>
        <v>-4.1580082635146027</v>
      </c>
      <c r="L21" s="94">
        <f>'Summary Table'!I21-'Summary Table'!H21</f>
        <v>68.699156828818104</v>
      </c>
      <c r="M21" s="94">
        <f>'Summary Table'!J21-'Summary Table'!I21</f>
        <v>8.9191547911409543</v>
      </c>
      <c r="N21" s="94">
        <f>'Summary Table'!K21-'Summary Table'!J21</f>
        <v>57.983210233801401</v>
      </c>
      <c r="O21" s="95">
        <f>'Summary Table'!L21-'Summary Table'!K21</f>
        <v>40.559444883415836</v>
      </c>
      <c r="P21" s="95">
        <f>'Summary Table'!M21-'Summary Table'!L21</f>
        <v>104.9664042635568</v>
      </c>
      <c r="Q21" s="95">
        <f>'Summary Table'!N21-'Summary Table'!M21</f>
        <v>7.874386215488812</v>
      </c>
      <c r="R21" s="95">
        <f>'Summary Table'!O21-'Summary Table'!N21</f>
        <v>-7.0954751241138183</v>
      </c>
      <c r="S21" s="95">
        <f>'Summary Table'!P21-'Summary Table'!O21</f>
        <v>58.854596428486275</v>
      </c>
      <c r="T21" s="95">
        <f>'Summary Table'!Q21-'Summary Table'!P21</f>
        <v>58.008624777027308</v>
      </c>
      <c r="U21" s="95">
        <f>'Summary Table'!R21-'Summary Table'!Q21</f>
        <v>5.2888199227668338</v>
      </c>
      <c r="V21" s="95">
        <f>'Summary Table'!S21-'Summary Table'!R21</f>
        <v>-38.32933130835363</v>
      </c>
      <c r="W21" s="95">
        <f>'Summary Table'!T21-'Summary Table'!S21</f>
        <v>-19.356456515282389</v>
      </c>
      <c r="X21" s="95">
        <f>'Summary Table'!U21-'Summary Table'!T21</f>
        <v>-165.52719994493964</v>
      </c>
      <c r="Y21" s="95">
        <f>'Summary Table'!V21-'Summary Table'!U21</f>
        <v>-108.73643558608137</v>
      </c>
      <c r="Z21" s="95">
        <f>'Summary Table'!W21-'Summary Table'!V21</f>
        <v>4.5272350233540237</v>
      </c>
      <c r="AA21" s="95">
        <f>'Summary Table'!X21-'Summary Table'!W21</f>
        <v>-38.099561052161789</v>
      </c>
      <c r="AB21" s="95">
        <f>'Summary Table'!Y21-'Summary Table'!X21</f>
        <v>-46.448313751662226</v>
      </c>
      <c r="AC21" s="95">
        <f>'Summary Table'!Z21-'Summary Table'!Y21</f>
        <v>22.649912596186368</v>
      </c>
      <c r="AD21" s="95">
        <f>'Summary Table'!AA21-'Summary Table'!Z21</f>
        <v>24.597469657366219</v>
      </c>
      <c r="AE21" s="95">
        <f>'Summary Table'!AB21-'Summary Table'!AA21</f>
        <v>26.379736804693948</v>
      </c>
      <c r="AF21" s="95">
        <f>'Summary Table'!AC21-'Summary Table'!AB21</f>
        <v>14.00218459630787</v>
      </c>
      <c r="AG21" s="95">
        <f>'Summary Table'!AD21-'Summary Table'!AC21</f>
        <v>4.9149355505219319</v>
      </c>
      <c r="AH21" s="95">
        <f>'Summary Table'!AE21-'Summary Table'!AD21</f>
        <v>39.111516239721368</v>
      </c>
      <c r="AI21" s="95">
        <f>'Summary Table'!AF21-'Summary Table'!AE21</f>
        <v>-15.752488020659712</v>
      </c>
      <c r="AJ21" s="95">
        <f>'Summary Table'!AG21-'Summary Table'!AF21</f>
        <v>-285.60672900729969</v>
      </c>
      <c r="AK21" s="95">
        <f>'Summary Table'!AH21-'Summary Table'!AG21</f>
        <v>185.22142829456652</v>
      </c>
      <c r="AL21" s="95">
        <f>'Summary Table'!AI21-'Summary Table'!AH21</f>
        <v>19.222318254930997</v>
      </c>
    </row>
    <row r="22" spans="2:38">
      <c r="B22" s="1040" t="s">
        <v>1434</v>
      </c>
      <c r="C22" s="1078">
        <f>'Summary Table'!AI22-'Summary Table'!C22</f>
        <v>-36.669400687526306</v>
      </c>
      <c r="D22" s="37">
        <f>C22/'Summary Table'!C22</f>
        <v>-0.37501018691352905</v>
      </c>
      <c r="E22" s="38">
        <f t="shared" si="1"/>
        <v>0.64300744855196457</v>
      </c>
      <c r="F22" s="37"/>
      <c r="G22" s="69">
        <f>'Summary Table'!D22-'Summary Table'!C22</f>
        <v>0.16975775767203061</v>
      </c>
      <c r="H22" s="69">
        <f>'Summary Table'!E22-'Summary Table'!D22</f>
        <v>-1.0547724277584791</v>
      </c>
      <c r="I22" s="69">
        <f>'Summary Table'!F22-'Summary Table'!E22</f>
        <v>-1.5147143078772416</v>
      </c>
      <c r="J22" s="69">
        <f>'Summary Table'!G22-'Summary Table'!F22</f>
        <v>-3.2732032002897427</v>
      </c>
      <c r="K22" s="69">
        <f>'Summary Table'!H22-'Summary Table'!G22</f>
        <v>-3.4132847443136853</v>
      </c>
      <c r="L22" s="69">
        <f>'Summary Table'!I22-'Summary Table'!H22</f>
        <v>9.2036954024833193</v>
      </c>
      <c r="M22" s="69">
        <f>'Summary Table'!J22-'Summary Table'!I22</f>
        <v>-4.5085320878030046</v>
      </c>
      <c r="N22" s="69">
        <f>'Summary Table'!K22-'Summary Table'!J22</f>
        <v>-9.0241236291504237</v>
      </c>
      <c r="O22" s="96">
        <f>'Summary Table'!L22-'Summary Table'!K22</f>
        <v>8.8288951266513465</v>
      </c>
      <c r="P22" s="96">
        <f>'Summary Table'!M22-'Summary Table'!L22</f>
        <v>6.6181478308225792</v>
      </c>
      <c r="Q22" s="96">
        <f>'Summary Table'!N22-'Summary Table'!M22</f>
        <v>2.876059372368502</v>
      </c>
      <c r="R22" s="96">
        <f>'Summary Table'!O22-'Summary Table'!N22</f>
        <v>-7.8805123255028064</v>
      </c>
      <c r="S22" s="96">
        <f>'Summary Table'!P22-'Summary Table'!O22</f>
        <v>7.9254153739191509</v>
      </c>
      <c r="T22" s="96">
        <f>'Summary Table'!Q22-'Summary Table'!P22</f>
        <v>0.97051908205855852</v>
      </c>
      <c r="U22" s="96">
        <f>'Summary Table'!R22-'Summary Table'!Q22</f>
        <v>-8.130317179684468</v>
      </c>
      <c r="V22" s="96">
        <f>'Summary Table'!S22-'Summary Table'!R22</f>
        <v>-12.498798485882574</v>
      </c>
      <c r="W22" s="96">
        <f>'Summary Table'!T22-'Summary Table'!S22</f>
        <v>-7.7357129673956138E-2</v>
      </c>
      <c r="X22" s="96">
        <f>'Summary Table'!U22-'Summary Table'!T22</f>
        <v>-1.6461792189438853</v>
      </c>
      <c r="Y22" s="96">
        <f>'Summary Table'!V22-'Summary Table'!U22</f>
        <v>-4.4814158725347966</v>
      </c>
      <c r="Z22" s="96">
        <f>'Summary Table'!W22-'Summary Table'!V22</f>
        <v>-1.2875738516895296</v>
      </c>
      <c r="AA22" s="96">
        <f>'Summary Table'!X22-'Summary Table'!W22</f>
        <v>-4.3192195505465634</v>
      </c>
      <c r="AB22" s="96">
        <f>'Summary Table'!Y22-'Summary Table'!X22</f>
        <v>-13.834741415390802</v>
      </c>
      <c r="AC22" s="96">
        <f>'Summary Table'!Z22-'Summary Table'!Y22</f>
        <v>5.4841461508149578</v>
      </c>
      <c r="AD22" s="96">
        <f>'Summary Table'!AA22-'Summary Table'!Z22</f>
        <v>6.1479875455263766</v>
      </c>
      <c r="AE22" s="96">
        <f>'Summary Table'!AB22-'Summary Table'!AA22</f>
        <v>-4.1690024491006454</v>
      </c>
      <c r="AF22" s="96">
        <f>'Summary Table'!AC22-'Summary Table'!AB22</f>
        <v>-10.084324878367902</v>
      </c>
      <c r="AG22" s="96">
        <f>'Summary Table'!AD22-'Summary Table'!AC22</f>
        <v>-2.329460903857921</v>
      </c>
      <c r="AH22" s="96">
        <f>'Summary Table'!AE22-'Summary Table'!AD22</f>
        <v>12.645803466137515</v>
      </c>
      <c r="AI22" s="96">
        <f>'Summary Table'!AF22-'Summary Table'!AE22</f>
        <v>2.3106751946137507</v>
      </c>
      <c r="AJ22" s="96">
        <f>'Summary Table'!AG22-'Summary Table'!AF22</f>
        <v>-9.00230509687389</v>
      </c>
      <c r="AK22" s="96">
        <f>'Summary Table'!AH22-'Summary Table'!AG22</f>
        <v>0.95285072885857858</v>
      </c>
      <c r="AL22" s="96">
        <f>'Summary Table'!AI22-'Summary Table'!AH22</f>
        <v>1.7264850357893451</v>
      </c>
    </row>
    <row r="23" spans="2:38">
      <c r="B23" s="1040" t="s">
        <v>1441</v>
      </c>
      <c r="C23" s="1078">
        <f>'Summary Table'!AI23-'Summary Table'!C23</f>
        <v>-23.253544417354099</v>
      </c>
      <c r="D23" s="37">
        <f>C23/'Summary Table'!C23</f>
        <v>-0.31289666599583793</v>
      </c>
      <c r="E23" s="38">
        <f t="shared" si="1"/>
        <v>0.40775693044470385</v>
      </c>
      <c r="F23" s="37"/>
      <c r="G23" s="69">
        <f>'Summary Table'!D23-'Summary Table'!C23</f>
        <v>-0.90917538745488002</v>
      </c>
      <c r="H23" s="69">
        <f>'Summary Table'!E23-'Summary Table'!D23</f>
        <v>-8.791103814872514</v>
      </c>
      <c r="I23" s="69">
        <f>'Summary Table'!F23-'Summary Table'!E23</f>
        <v>-7.7427550152246951</v>
      </c>
      <c r="J23" s="69">
        <f>'Summary Table'!G23-'Summary Table'!F23</f>
        <v>-0.5044900242331849</v>
      </c>
      <c r="K23" s="69">
        <f>'Summary Table'!H23-'Summary Table'!G23</f>
        <v>-3.9782450627067263</v>
      </c>
      <c r="L23" s="69">
        <f>'Summary Table'!I23-'Summary Table'!H23</f>
        <v>2.4408207508566235</v>
      </c>
      <c r="M23" s="69">
        <f>'Summary Table'!J23-'Summary Table'!I23</f>
        <v>-3.5471043033295615</v>
      </c>
      <c r="N23" s="69">
        <f>'Summary Table'!K23-'Summary Table'!J23</f>
        <v>-3.4227880312410903</v>
      </c>
      <c r="O23" s="96">
        <f>'Summary Table'!L23-'Summary Table'!K23</f>
        <v>-2.0754724863851663</v>
      </c>
      <c r="P23" s="96">
        <f>'Summary Table'!M23-'Summary Table'!L23</f>
        <v>9.4855564292112575</v>
      </c>
      <c r="Q23" s="96">
        <f>'Summary Table'!N23-'Summary Table'!M23</f>
        <v>-0.26472324323465557</v>
      </c>
      <c r="R23" s="96">
        <f>'Summary Table'!O23-'Summary Table'!N23</f>
        <v>-5.0439517724527079</v>
      </c>
      <c r="S23" s="96">
        <f>'Summary Table'!P23-'Summary Table'!O23</f>
        <v>9.4497954331666847</v>
      </c>
      <c r="T23" s="96">
        <f>'Summary Table'!Q23-'Summary Table'!P23</f>
        <v>-1.0272902475543617</v>
      </c>
      <c r="U23" s="96">
        <f>'Summary Table'!R23-'Summary Table'!Q23</f>
        <v>-3.592218042949618</v>
      </c>
      <c r="V23" s="96">
        <f>'Summary Table'!S23-'Summary Table'!R23</f>
        <v>-3.4777373821644986</v>
      </c>
      <c r="W23" s="96">
        <f>'Summary Table'!T23-'Summary Table'!S23</f>
        <v>0.98607207500925398</v>
      </c>
      <c r="X23" s="96">
        <f>'Summary Table'!U23-'Summary Table'!T23</f>
        <v>-4.0414245209056006</v>
      </c>
      <c r="Y23" s="96">
        <f>'Summary Table'!V23-'Summary Table'!U23</f>
        <v>3.4722004933400257</v>
      </c>
      <c r="Z23" s="96">
        <f>'Summary Table'!W23-'Summary Table'!V23</f>
        <v>-1.9967984512598065</v>
      </c>
      <c r="AA23" s="96">
        <f>'Summary Table'!X23-'Summary Table'!W23</f>
        <v>-1.716764760234625</v>
      </c>
      <c r="AB23" s="96">
        <f>'Summary Table'!Y23-'Summary Table'!X23</f>
        <v>-8.7663705360122464</v>
      </c>
      <c r="AC23" s="96">
        <f>'Summary Table'!Z23-'Summary Table'!Y23</f>
        <v>1.9180756444711164</v>
      </c>
      <c r="AD23" s="96">
        <f>'Summary Table'!AA23-'Summary Table'!Z23</f>
        <v>-1.6240717276996506</v>
      </c>
      <c r="AE23" s="96">
        <f>'Summary Table'!AB23-'Summary Table'!AA23</f>
        <v>26.881755061604842</v>
      </c>
      <c r="AF23" s="96">
        <f>'Summary Table'!AC23-'Summary Table'!AB23</f>
        <v>-7.3736493646033523</v>
      </c>
      <c r="AG23" s="96">
        <f>'Summary Table'!AD23-'Summary Table'!AC23</f>
        <v>-1.8079541721636048</v>
      </c>
      <c r="AH23" s="96">
        <f>'Summary Table'!AE23-'Summary Table'!AD23</f>
        <v>-5.2697084191130514</v>
      </c>
      <c r="AI23" s="96">
        <f>'Summary Table'!AF23-'Summary Table'!AE23</f>
        <v>5.25551819343044</v>
      </c>
      <c r="AJ23" s="96">
        <f>'Summary Table'!AG23-'Summary Table'!AF23</f>
        <v>-2.8139620697380607</v>
      </c>
      <c r="AK23" s="96">
        <f>'Summary Table'!AH23-'Summary Table'!AG23</f>
        <v>1.3153482717929279</v>
      </c>
      <c r="AL23" s="96">
        <f>'Summary Table'!AI23-'Summary Table'!AH23</f>
        <v>-4.670927934703613</v>
      </c>
    </row>
    <row r="24" spans="2:38">
      <c r="B24" s="1040" t="s">
        <v>1443</v>
      </c>
      <c r="C24" s="1078">
        <f>'Summary Table'!AI24-'Summary Table'!C24</f>
        <v>-84.115223650588916</v>
      </c>
      <c r="D24" s="37">
        <f>C24/'Summary Table'!C24</f>
        <v>-0.27500464869603602</v>
      </c>
      <c r="E24" s="38">
        <f t="shared" si="1"/>
        <v>1.4749822557733137</v>
      </c>
      <c r="F24" s="37"/>
      <c r="G24" s="69">
        <f>'Summary Table'!D24-'Summary Table'!C24</f>
        <v>-13.083333745315144</v>
      </c>
      <c r="H24" s="69">
        <f>'Summary Table'!E24-'Summary Table'!D24</f>
        <v>8.2459499959849154</v>
      </c>
      <c r="I24" s="69">
        <f>'Summary Table'!F24-'Summary Table'!E24</f>
        <v>-7.9216223062236963</v>
      </c>
      <c r="J24" s="69">
        <f>'Summary Table'!G24-'Summary Table'!F24</f>
        <v>-4.1875090058451292</v>
      </c>
      <c r="K24" s="69">
        <f>'Summary Table'!H24-'Summary Table'!G24</f>
        <v>3.0643138550490221</v>
      </c>
      <c r="L24" s="69">
        <f>'Summary Table'!I24-'Summary Table'!H24</f>
        <v>8.1527080284842555</v>
      </c>
      <c r="M24" s="69">
        <f>'Summary Table'!J24-'Summary Table'!I24</f>
        <v>-5.9820674198078905</v>
      </c>
      <c r="N24" s="69">
        <f>'Summary Table'!K24-'Summary Table'!J24</f>
        <v>0.51300507407302121</v>
      </c>
      <c r="O24" s="96">
        <f>'Summary Table'!L24-'Summary Table'!K24</f>
        <v>-21.725875118781175</v>
      </c>
      <c r="P24" s="96">
        <f>'Summary Table'!M24-'Summary Table'!L24</f>
        <v>27.321751526697142</v>
      </c>
      <c r="Q24" s="96">
        <f>'Summary Table'!N24-'Summary Table'!M24</f>
        <v>12.241390076838513</v>
      </c>
      <c r="R24" s="96">
        <f>'Summary Table'!O24-'Summary Table'!N24</f>
        <v>-4.8956774910139984</v>
      </c>
      <c r="S24" s="96">
        <f>'Summary Table'!P24-'Summary Table'!O24</f>
        <v>6.0603351642249663</v>
      </c>
      <c r="T24" s="96">
        <f>'Summary Table'!Q24-'Summary Table'!P24</f>
        <v>20.388197627228919</v>
      </c>
      <c r="U24" s="96">
        <f>'Summary Table'!R24-'Summary Table'!Q24</f>
        <v>3.8170040982723776</v>
      </c>
      <c r="V24" s="96">
        <f>'Summary Table'!S24-'Summary Table'!R24</f>
        <v>22.890098095979681</v>
      </c>
      <c r="W24" s="96">
        <f>'Summary Table'!T24-'Summary Table'!S24</f>
        <v>-14.861421164219792</v>
      </c>
      <c r="X24" s="96">
        <f>'Summary Table'!U24-'Summary Table'!T24</f>
        <v>-34.335913092870669</v>
      </c>
      <c r="Y24" s="96">
        <f>'Summary Table'!V24-'Summary Table'!U24</f>
        <v>-29.744269045642966</v>
      </c>
      <c r="Z24" s="96">
        <f>'Summary Table'!W24-'Summary Table'!V24</f>
        <v>4.9585265680675548</v>
      </c>
      <c r="AA24" s="96">
        <f>'Summary Table'!X24-'Summary Table'!W24</f>
        <v>1.1986509793436539</v>
      </c>
      <c r="AB24" s="96">
        <f>'Summary Table'!Y24-'Summary Table'!X24</f>
        <v>-0.80676217523705418</v>
      </c>
      <c r="AC24" s="96">
        <f>'Summary Table'!Z24-'Summary Table'!Y24</f>
        <v>12.479070037089627</v>
      </c>
      <c r="AD24" s="96">
        <f>'Summary Table'!AA24-'Summary Table'!Z24</f>
        <v>-27.78465081985405</v>
      </c>
      <c r="AE24" s="96">
        <f>'Summary Table'!AB24-'Summary Table'!AA24</f>
        <v>-7.1294222634296602</v>
      </c>
      <c r="AF24" s="96">
        <f>'Summary Table'!AC24-'Summary Table'!AB24</f>
        <v>-2.538646286299695</v>
      </c>
      <c r="AG24" s="96">
        <f>'Summary Table'!AD24-'Summary Table'!AC24</f>
        <v>-10.183215803514969</v>
      </c>
      <c r="AH24" s="96">
        <f>'Summary Table'!AE24-'Summary Table'!AD24</f>
        <v>5.3091614141957564</v>
      </c>
      <c r="AI24" s="96">
        <f>'Summary Table'!AF24-'Summary Table'!AE24</f>
        <v>-10.169531560401765</v>
      </c>
      <c r="AJ24" s="96">
        <f>'Summary Table'!AG24-'Summary Table'!AF24</f>
        <v>-30.324169063388752</v>
      </c>
      <c r="AK24" s="96">
        <f>'Summary Table'!AH24-'Summary Table'!AG24</f>
        <v>7.8057903558897124</v>
      </c>
      <c r="AL24" s="96">
        <f>'Summary Table'!AI24-'Summary Table'!AH24</f>
        <v>-2.8870901861616289</v>
      </c>
    </row>
    <row r="25" spans="2:38">
      <c r="B25" s="1040" t="s">
        <v>1445</v>
      </c>
      <c r="C25" s="1078">
        <f>'Summary Table'!AI25-'Summary Table'!C25</f>
        <v>277.65862037189777</v>
      </c>
      <c r="D25" s="37">
        <f>C25/'Summary Table'!C25</f>
        <v>0.1937680486714671</v>
      </c>
      <c r="E25" s="38">
        <f t="shared" si="1"/>
        <v>-4.8688158984426666</v>
      </c>
      <c r="F25" s="148"/>
      <c r="G25" s="69">
        <f>'Summary Table'!D25-'Summary Table'!C25</f>
        <v>-43.48685919485024</v>
      </c>
      <c r="H25" s="69">
        <f>'Summary Table'!E25-'Summary Table'!D25</f>
        <v>55.963453928883155</v>
      </c>
      <c r="I25" s="69">
        <f>'Summary Table'!F25-'Summary Table'!E25</f>
        <v>29.03256043836268</v>
      </c>
      <c r="J25" s="69">
        <f>'Summary Table'!G25-'Summary Table'!F25</f>
        <v>41.9321279189287</v>
      </c>
      <c r="K25" s="69">
        <f>'Summary Table'!H25-'Summary Table'!G25</f>
        <v>25.895549311857167</v>
      </c>
      <c r="L25" s="69">
        <f>'Summary Table'!I25-'Summary Table'!H25</f>
        <v>45.999239758614067</v>
      </c>
      <c r="M25" s="69">
        <f>'Summary Table'!J25-'Summary Table'!I25</f>
        <v>13.849172811217613</v>
      </c>
      <c r="N25" s="69">
        <f>'Summary Table'!K25-'Summary Table'!J25</f>
        <v>41.503443457291269</v>
      </c>
      <c r="O25" s="96">
        <f>'Summary Table'!L25-'Summary Table'!K25</f>
        <v>66.901516895705981</v>
      </c>
      <c r="P25" s="96">
        <f>'Summary Table'!M25-'Summary Table'!L25</f>
        <v>46.018345506235391</v>
      </c>
      <c r="Q25" s="96">
        <f>'Summary Table'!N25-'Summary Table'!M25</f>
        <v>-28.973743720505126</v>
      </c>
      <c r="R25" s="96">
        <f>'Summary Table'!O25-'Summary Table'!N25</f>
        <v>38.353158004446186</v>
      </c>
      <c r="S25" s="96">
        <f>'Summary Table'!P25-'Summary Table'!O25</f>
        <v>12.789305276296773</v>
      </c>
      <c r="T25" s="96">
        <f>'Summary Table'!Q25-'Summary Table'!P25</f>
        <v>34.573025892848591</v>
      </c>
      <c r="U25" s="96">
        <f>'Summary Table'!R25-'Summary Table'!Q25</f>
        <v>12.182686886466627</v>
      </c>
      <c r="V25" s="96">
        <f>'Summary Table'!S25-'Summary Table'!R25</f>
        <v>0.52400554012933753</v>
      </c>
      <c r="W25" s="96">
        <f>'Summary Table'!T25-'Summary Table'!S25</f>
        <v>-0.44402231315461904</v>
      </c>
      <c r="X25" s="96">
        <f>'Summary Table'!U25-'Summary Table'!T25</f>
        <v>-102.57655812585608</v>
      </c>
      <c r="Y25" s="96">
        <f>'Summary Table'!V25-'Summary Table'!U25</f>
        <v>-72.42407267563226</v>
      </c>
      <c r="Z25" s="96">
        <f>'Summary Table'!W25-'Summary Table'!V25</f>
        <v>7.8997285331429339</v>
      </c>
      <c r="AA25" s="96">
        <f>'Summary Table'!X25-'Summary Table'!W25</f>
        <v>-27.020753390433583</v>
      </c>
      <c r="AB25" s="96">
        <f>'Summary Table'!Y25-'Summary Table'!X25</f>
        <v>-13.411253741348446</v>
      </c>
      <c r="AC25" s="96">
        <f>'Summary Table'!Z25-'Summary Table'!Y25</f>
        <v>3.9733512938146305</v>
      </c>
      <c r="AD25" s="96">
        <f>'Summary Table'!AA25-'Summary Table'!Z25</f>
        <v>45.111933479923891</v>
      </c>
      <c r="AE25" s="96">
        <f>'Summary Table'!AB25-'Summary Table'!AA25</f>
        <v>11.866648776391003</v>
      </c>
      <c r="AF25" s="96">
        <f>'Summary Table'!AC25-'Summary Table'!AB25</f>
        <v>38.872481851385146</v>
      </c>
      <c r="AG25" s="96">
        <f>'Summary Table'!AD25-'Summary Table'!AC25</f>
        <v>20.202327220567213</v>
      </c>
      <c r="AH25" s="96">
        <f>'Summary Table'!AE25-'Summary Table'!AD25</f>
        <v>24.169149732525057</v>
      </c>
      <c r="AI25" s="96">
        <f>'Summary Table'!AF25-'Summary Table'!AE25</f>
        <v>-4.5123086565070025</v>
      </c>
      <c r="AJ25" s="96">
        <f>'Summary Table'!AG25-'Summary Table'!AF25</f>
        <v>-243.54049428678991</v>
      </c>
      <c r="AK25" s="96">
        <f>'Summary Table'!AH25-'Summary Table'!AG25</f>
        <v>174.18849724239362</v>
      </c>
      <c r="AL25" s="96">
        <f>'Summary Table'!AI25-'Summary Table'!AH25</f>
        <v>22.246976719548002</v>
      </c>
    </row>
    <row r="26" spans="2:38">
      <c r="B26" s="1040" t="s">
        <v>1474</v>
      </c>
      <c r="C26" s="1078">
        <f>'Summary Table'!AI26-'Summary Table'!C26</f>
        <v>-77.016241454346471</v>
      </c>
      <c r="D26" s="37">
        <f>C26/'Summary Table'!C26</f>
        <v>-0.78959845407802542</v>
      </c>
      <c r="E26" s="38">
        <f t="shared" si="1"/>
        <v>1.350499762366367</v>
      </c>
      <c r="F26" s="37"/>
      <c r="G26" s="69">
        <f>'Summary Table'!D26-'Summary Table'!C26</f>
        <v>-6.8598287732802135</v>
      </c>
      <c r="H26" s="69">
        <f>'Summary Table'!E26-'Summary Table'!D26</f>
        <v>-15.150918549787519</v>
      </c>
      <c r="I26" s="69">
        <f>'Summary Table'!F26-'Summary Table'!E26</f>
        <v>10.887669382536515</v>
      </c>
      <c r="J26" s="69">
        <f>'Summary Table'!G26-'Summary Table'!F26</f>
        <v>-5.1685627387915076</v>
      </c>
      <c r="K26" s="69">
        <f>'Summary Table'!H26-'Summary Table'!G26</f>
        <v>-22.535074937915006</v>
      </c>
      <c r="L26" s="69">
        <f>'Summary Table'!I26-'Summary Table'!H26</f>
        <v>4.6845176964409205</v>
      </c>
      <c r="M26" s="69">
        <f>'Summary Table'!J26-'Summary Table'!I26</f>
        <v>8.8111114750597537</v>
      </c>
      <c r="N26" s="69">
        <f>'Summary Table'!K26-'Summary Table'!J26</f>
        <v>29.05531156583001</v>
      </c>
      <c r="O26" s="96">
        <f>'Summary Table'!L26-'Summary Table'!K26</f>
        <v>-7.4294109864409137</v>
      </c>
      <c r="P26" s="96">
        <f>'Summary Table'!M26-'Summary Table'!L26</f>
        <v>-5.3088810738512535</v>
      </c>
      <c r="Q26" s="96">
        <f>'Summary Table'!N26-'Summary Table'!M26</f>
        <v>10.036592114993368</v>
      </c>
      <c r="R26" s="96">
        <f>'Summary Table'!O26-'Summary Table'!N26</f>
        <v>-21.706154276334672</v>
      </c>
      <c r="S26" s="96">
        <f>'Summary Table'!P26-'Summary Table'!O26</f>
        <v>18.272773239030556</v>
      </c>
      <c r="T26" s="96">
        <f>'Summary Table'!Q26-'Summary Table'!P26</f>
        <v>0.71758728333334432</v>
      </c>
      <c r="U26" s="96">
        <f>'Summary Table'!R26-'Summary Table'!Q26</f>
        <v>2.1214755976626662</v>
      </c>
      <c r="V26" s="96">
        <f>'Summary Table'!S26-'Summary Table'!R26</f>
        <v>-44.690575263957498</v>
      </c>
      <c r="W26" s="96">
        <f>'Summary Table'!T26-'Summary Table'!S26</f>
        <v>-0.3116335441965532</v>
      </c>
      <c r="X26" s="96">
        <f>'Summary Table'!U26-'Summary Table'!T26</f>
        <v>-14.577841153173971</v>
      </c>
      <c r="Y26" s="96">
        <f>'Summary Table'!V26-'Summary Table'!U26</f>
        <v>-6.1752124458964133</v>
      </c>
      <c r="Z26" s="96">
        <f>'Summary Table'!W26-'Summary Table'!V26</f>
        <v>-0.78243873173971323</v>
      </c>
      <c r="AA26" s="96">
        <f>'Summary Table'!X26-'Summary Table'!W26</f>
        <v>-5.5974429034794078</v>
      </c>
      <c r="AB26" s="96">
        <f>'Summary Table'!Y26-'Summary Table'!X26</f>
        <v>-7.4984450712881809</v>
      </c>
      <c r="AC26" s="96">
        <f>'Summary Table'!Z26-'Summary Table'!Y26</f>
        <v>4.0869415285258945</v>
      </c>
      <c r="AD26" s="96">
        <f>'Summary Table'!AA26-'Summary Table'!Z26</f>
        <v>2.8843195495617522</v>
      </c>
      <c r="AE26" s="96">
        <f>'Summary Table'!AB26-'Summary Table'!AA26</f>
        <v>-1.6299208378902037</v>
      </c>
      <c r="AF26" s="96">
        <f>'Summary Table'!AC26-'Summary Table'!AB26</f>
        <v>-2.2164375456981809</v>
      </c>
      <c r="AG26" s="96">
        <f>'Summary Table'!AD26-'Summary Table'!AC26</f>
        <v>-2.5373718007474473</v>
      </c>
      <c r="AH26" s="96">
        <f>'Summary Table'!AE26-'Summary Table'!AD26</f>
        <v>3.2950893658569846</v>
      </c>
      <c r="AI26" s="96">
        <f>'Summary Table'!AF26-'Summary Table'!AE26</f>
        <v>-6.0544203088714177</v>
      </c>
      <c r="AJ26" s="96">
        <f>'Summary Table'!AG26-'Summary Table'!AF26</f>
        <v>4.7962018072844614E-3</v>
      </c>
      <c r="AK26" s="96">
        <f>'Summary Table'!AH26-'Summary Table'!AG26</f>
        <v>1.5471075149021871</v>
      </c>
      <c r="AL26" s="96">
        <f>'Summary Table'!AI26-'Summary Table'!AH26</f>
        <v>2.8090369734523719</v>
      </c>
    </row>
    <row r="27" spans="2:38">
      <c r="B27" s="1040" t="s">
        <v>1476</v>
      </c>
      <c r="C27" s="1078">
        <f>'Summary Table'!AI27-'Summary Table'!C27</f>
        <v>-2.550632674469302</v>
      </c>
      <c r="D27" s="37">
        <f>C27/'Summary Table'!C27</f>
        <v>-0.13074160154038394</v>
      </c>
      <c r="E27" s="38">
        <f t="shared" si="1"/>
        <v>4.4726005264702294E-2</v>
      </c>
      <c r="F27" s="37"/>
      <c r="G27" s="69">
        <f>'Summary Table'!D27-'Summary Table'!C27</f>
        <v>-0.78949720996670436</v>
      </c>
      <c r="H27" s="69">
        <f>'Summary Table'!E27-'Summary Table'!D27</f>
        <v>2.8309903845575271</v>
      </c>
      <c r="I27" s="69">
        <f>'Summary Table'!F27-'Summary Table'!E27</f>
        <v>0.65911264800078939</v>
      </c>
      <c r="J27" s="69">
        <f>'Summary Table'!G27-'Summary Table'!F27</f>
        <v>2.0997639463748214</v>
      </c>
      <c r="K27" s="69">
        <f>'Summary Table'!H27-'Summary Table'!G27</f>
        <v>-3.1912666854853349</v>
      </c>
      <c r="L27" s="69">
        <f>'Summary Table'!I27-'Summary Table'!H27</f>
        <v>-1.7818248080610104</v>
      </c>
      <c r="M27" s="69">
        <f>'Summary Table'!J27-'Summary Table'!I27</f>
        <v>0.29657431580429616</v>
      </c>
      <c r="N27" s="69">
        <f>'Summary Table'!K27-'Summary Table'!J27</f>
        <v>-0.64163820300176866</v>
      </c>
      <c r="O27" s="96">
        <f>'Summary Table'!L27-'Summary Table'!K27</f>
        <v>-3.9402085473338566</v>
      </c>
      <c r="P27" s="96">
        <f>'Summary Table'!M27-'Summary Table'!L27</f>
        <v>20.83148404444098</v>
      </c>
      <c r="Q27" s="96">
        <f>'Summary Table'!N27-'Summary Table'!M27</f>
        <v>11.95881161502836</v>
      </c>
      <c r="R27" s="96">
        <f>'Summary Table'!O27-'Summary Table'!N27</f>
        <v>-5.9223372632554216</v>
      </c>
      <c r="S27" s="96">
        <f>'Summary Table'!P27-'Summary Table'!O27</f>
        <v>4.3569719418481654</v>
      </c>
      <c r="T27" s="96">
        <f>'Summary Table'!Q27-'Summary Table'!P27</f>
        <v>2.3865851391123343</v>
      </c>
      <c r="U27" s="96">
        <f>'Summary Table'!R27-'Summary Table'!Q27</f>
        <v>-1.1098114370014329</v>
      </c>
      <c r="V27" s="96">
        <f>'Summary Table'!S27-'Summary Table'!R27</f>
        <v>-1.0763238124574102</v>
      </c>
      <c r="W27" s="96">
        <f>'Summary Table'!T27-'Summary Table'!S27</f>
        <v>-4.6480944390470711</v>
      </c>
      <c r="X27" s="96">
        <f>'Summary Table'!U27-'Summary Table'!T27</f>
        <v>-8.3492838331892258</v>
      </c>
      <c r="Y27" s="96">
        <f>'Summary Table'!V27-'Summary Table'!U27</f>
        <v>0.61633396028454257</v>
      </c>
      <c r="Z27" s="96">
        <f>'Summary Table'!W27-'Summary Table'!V27</f>
        <v>-4.2642090431669644</v>
      </c>
      <c r="AA27" s="96">
        <f>'Summary Table'!X27-'Summary Table'!W27</f>
        <v>-0.64403142681131342</v>
      </c>
      <c r="AB27" s="96">
        <f>'Summary Table'!Y27-'Summary Table'!X27</f>
        <v>-2.1307408123856924</v>
      </c>
      <c r="AC27" s="96">
        <f>'Summary Table'!Z27-'Summary Table'!Y27</f>
        <v>-5.2916720585299757</v>
      </c>
      <c r="AD27" s="96">
        <f>'Summary Table'!AA27-'Summary Table'!Z27</f>
        <v>-0.13804837009155335</v>
      </c>
      <c r="AE27" s="96">
        <f>'Summary Table'!AB27-'Summary Table'!AA27</f>
        <v>0.55967851711822902</v>
      </c>
      <c r="AF27" s="96">
        <f>'Summary Table'!AC27-'Summary Table'!AB27</f>
        <v>-2.6572391801078545</v>
      </c>
      <c r="AG27" s="96">
        <f>'Summary Table'!AD27-'Summary Table'!AC27</f>
        <v>1.5706110102387427</v>
      </c>
      <c r="AH27" s="96">
        <f>'Summary Table'!AE27-'Summary Table'!AD27</f>
        <v>-1.0379793198812948</v>
      </c>
      <c r="AI27" s="96">
        <f>'Summary Table'!AF27-'Summary Table'!AE27</f>
        <v>-2.582420882922964</v>
      </c>
      <c r="AJ27" s="96">
        <f>'Summary Table'!AG27-'Summary Table'!AF27</f>
        <v>6.9405307682981032E-2</v>
      </c>
      <c r="AK27" s="96">
        <f>'Summary Table'!AH27-'Summary Table'!AG27</f>
        <v>-0.58816581927003142</v>
      </c>
      <c r="AL27" s="96">
        <f>'Summary Table'!AI27-'Summary Table'!AH27</f>
        <v>-2.1623529941905417E-3</v>
      </c>
    </row>
    <row r="28" spans="2:38">
      <c r="B28" s="121" t="s">
        <v>82</v>
      </c>
      <c r="C28" s="1078">
        <f>'Summary Table'!AI28-'Summary Table'!C28</f>
        <v>-0.15763678417063332</v>
      </c>
      <c r="D28" s="37">
        <f>C28/'Summary Table'!C28</f>
        <v>-0.2928996010728524</v>
      </c>
      <c r="E28" s="36">
        <f>C28/C$29</f>
        <v>2.7642018818697369E-3</v>
      </c>
      <c r="F28" s="35"/>
      <c r="G28" s="68">
        <f>'Summary Table'!D28-'Summary Table'!C28</f>
        <v>9.3936863405996718E-4</v>
      </c>
      <c r="H28" s="68">
        <f>'Summary Table'!E28-'Summary Table'!D28</f>
        <v>4.9390981500618825E-3</v>
      </c>
      <c r="I28" s="68">
        <f>'Summary Table'!F28-'Summary Table'!E28</f>
        <v>1.14256586153485E-2</v>
      </c>
      <c r="J28" s="68">
        <f>'Summary Table'!G28-'Summary Table'!F28</f>
        <v>-4.1331891577503943E-2</v>
      </c>
      <c r="K28" s="68">
        <f>'Summary Table'!H28-'Summary Table'!G28</f>
        <v>-8.626875718145699E-2</v>
      </c>
      <c r="L28" s="68">
        <f>'Summary Table'!I28-'Summary Table'!H28</f>
        <v>3.4580347351172769E-2</v>
      </c>
      <c r="M28" s="68">
        <f>'Summary Table'!J28-'Summary Table'!I28</f>
        <v>1.7606709247377228E-2</v>
      </c>
      <c r="N28" s="68">
        <f>'Summary Table'!K28-'Summary Table'!J28</f>
        <v>-2.0009352011896575E-3</v>
      </c>
      <c r="O28" s="93">
        <f>'Summary Table'!L28-'Summary Table'!K28</f>
        <v>6.9857812982268008E-3</v>
      </c>
      <c r="P28" s="93">
        <f>'Summary Table'!M28-'Summary Table'!L28</f>
        <v>-2.4008242922540002E-2</v>
      </c>
      <c r="Q28" s="93">
        <f>'Summary Table'!N28-'Summary Table'!M28</f>
        <v>-1.1537189426930938E-2</v>
      </c>
      <c r="R28" s="93">
        <f>'Summary Table'!O28-'Summary Table'!N28</f>
        <v>1.9290128992286437E-2</v>
      </c>
      <c r="S28" s="93">
        <f>'Summary Table'!P28-'Summary Table'!O28</f>
        <v>-2.1264011442504449E-3</v>
      </c>
      <c r="T28" s="93">
        <f>'Summary Table'!Q28-'Summary Table'!P28</f>
        <v>6.5615960685760921E-4</v>
      </c>
      <c r="U28" s="93">
        <f>'Summary Table'!R28-'Summary Table'!Q28</f>
        <v>-6.3260466955753492E-3</v>
      </c>
      <c r="V28" s="93">
        <f>'Summary Table'!S28-'Summary Table'!R28</f>
        <v>-6.0873566817440383E-3</v>
      </c>
      <c r="W28" s="93">
        <f>'Summary Table'!T28-'Summary Table'!S28</f>
        <v>2.9820805498024239E-3</v>
      </c>
      <c r="X28" s="93">
        <f>'Summary Table'!U28-'Summary Table'!T28</f>
        <v>-1.6051971532891562E-2</v>
      </c>
      <c r="Y28" s="93">
        <f>'Summary Table'!V28-'Summary Table'!U28</f>
        <v>-7.8146506397039905E-3</v>
      </c>
      <c r="Z28" s="93">
        <f>'Summary Table'!W28-'Summary Table'!V28</f>
        <v>-7.3768680697680056E-3</v>
      </c>
      <c r="AA28" s="93">
        <f>'Summary Table'!X28-'Summary Table'!W28</f>
        <v>9.4292053333199788E-3</v>
      </c>
      <c r="AB28" s="93">
        <f>'Summary Table'!Y28-'Summary Table'!X28</f>
        <v>1.30834551928799E-3</v>
      </c>
      <c r="AC28" s="93">
        <f>'Summary Table'!Z28-'Summary Table'!Y28</f>
        <v>-4.390063920432008E-3</v>
      </c>
      <c r="AD28" s="93">
        <f>'Summary Table'!AA28-'Summary Table'!Z28</f>
        <v>-9.7170168972479654E-3</v>
      </c>
      <c r="AE28" s="93">
        <f>'Summary Table'!AB28-'Summary Table'!AA28</f>
        <v>-8.9109871043759892E-3</v>
      </c>
      <c r="AF28" s="93">
        <f>'Summary Table'!AC28-'Summary Table'!AB28</f>
        <v>-9.6781641922080719E-3</v>
      </c>
      <c r="AG28" s="93">
        <f>'Summary Table'!AD28-'Summary Table'!AC28</f>
        <v>5.9687602833930486E-3</v>
      </c>
      <c r="AH28" s="93">
        <f>'Summary Table'!AE28-'Summary Table'!AD28</f>
        <v>-5.9267984910570393E-3</v>
      </c>
      <c r="AI28" s="93">
        <f>'Summary Table'!AF28-'Summary Table'!AE28</f>
        <v>-3.3737760029183939E-2</v>
      </c>
      <c r="AJ28" s="93">
        <f>'Summary Table'!AG28-'Summary Table'!AF28</f>
        <v>1.9811508126647948E-2</v>
      </c>
      <c r="AK28" s="93">
        <f>'Summary Table'!AH28-'Summary Table'!AG28</f>
        <v>-1.3808076104039946E-2</v>
      </c>
      <c r="AL28" s="93">
        <f>'Summary Table'!AI28-'Summary Table'!AH28</f>
        <v>3.5392419336239822E-3</v>
      </c>
    </row>
    <row r="29" spans="2:38">
      <c r="B29" s="4" t="s">
        <v>1480</v>
      </c>
      <c r="C29" s="1080">
        <f>'Summary Table'!AI30-'Summary Table'!C30</f>
        <v>-57.027956316998825</v>
      </c>
      <c r="D29" s="39">
        <f>C29/'Summary Table'!C30</f>
        <v>-1.2013698842500678E-2</v>
      </c>
      <c r="E29" s="40"/>
      <c r="F29" s="35"/>
      <c r="G29" s="1135">
        <f>'Summary Table'!D30-'Summary Table'!C30</f>
        <v>-46.653894147363644</v>
      </c>
      <c r="H29" s="1135">
        <f>'Summary Table'!E30-'Summary Table'!D30</f>
        <v>92.639324415973533</v>
      </c>
      <c r="I29" s="1135">
        <f>'Summary Table'!F30-'Summary Table'!E30</f>
        <v>116.21373647439486</v>
      </c>
      <c r="J29" s="1135">
        <f>'Summary Table'!G30-'Summary Table'!F30</f>
        <v>62.382190479341261</v>
      </c>
      <c r="K29" s="1135">
        <f>'Summary Table'!H30-'Summary Table'!G30</f>
        <v>59.498093543857976</v>
      </c>
      <c r="L29" s="1135">
        <f>'Summary Table'!I30-'Summary Table'!H30</f>
        <v>174.88198627860947</v>
      </c>
      <c r="M29" s="1135">
        <f>'Summary Table'!J30-'Summary Table'!I30</f>
        <v>60.379884560620667</v>
      </c>
      <c r="N29" s="1135">
        <f>'Summary Table'!K30-'Summary Table'!J30</f>
        <v>63.050309893648773</v>
      </c>
      <c r="O29" s="1136">
        <f>'Summary Table'!L30-'Summary Table'!K30</f>
        <v>44.862293458766544</v>
      </c>
      <c r="P29" s="1136">
        <f>'Summary Table'!M30-'Summary Table'!L30</f>
        <v>246.40635386389113</v>
      </c>
      <c r="Q29" s="1136">
        <f>'Summary Table'!N30-'Summary Table'!M30</f>
        <v>-96.505674128015016</v>
      </c>
      <c r="R29" s="1136">
        <f>'Summary Table'!O30-'Summary Table'!N30</f>
        <v>41.119194424331909</v>
      </c>
      <c r="S29" s="1136">
        <f>'Summary Table'!P30-'Summary Table'!O30</f>
        <v>69.229055090935617</v>
      </c>
      <c r="T29" s="1136">
        <f>'Summary Table'!Q30-'Summary Table'!P30</f>
        <v>79.084640386134197</v>
      </c>
      <c r="U29" s="1136">
        <f>'Summary Table'!R30-'Summary Table'!Q30</f>
        <v>26.058302737231315</v>
      </c>
      <c r="V29" s="1136">
        <f>'Summary Table'!S30-'Summary Table'!R30</f>
        <v>-88.616493476922187</v>
      </c>
      <c r="W29" s="1136">
        <f>'Summary Table'!T30-'Summary Table'!S30</f>
        <v>83.924116451372356</v>
      </c>
      <c r="X29" s="1136">
        <f>'Summary Table'!U30-'Summary Table'!T30</f>
        <v>-187.00504719647415</v>
      </c>
      <c r="Y29" s="1136">
        <f>'Summary Table'!V30-'Summary Table'!U30</f>
        <v>-368.34725966478527</v>
      </c>
      <c r="Z29" s="1136">
        <f>'Summary Table'!W30-'Summary Table'!V30</f>
        <v>157.05971067606333</v>
      </c>
      <c r="AA29" s="1136">
        <f>'Summary Table'!X30-'Summary Table'!W30</f>
        <v>-132.02703145332907</v>
      </c>
      <c r="AB29" s="1136">
        <f>'Summary Table'!Y30-'Summary Table'!X30</f>
        <v>-206.69848379710584</v>
      </c>
      <c r="AC29" s="1136">
        <f>'Summary Table'!Z30-'Summary Table'!Y30</f>
        <v>121.32372369112727</v>
      </c>
      <c r="AD29" s="1136">
        <f>'Summary Table'!AA30-'Summary Table'!Z30</f>
        <v>49.956245637475149</v>
      </c>
      <c r="AE29" s="1136">
        <f>'Summary Table'!AB30-'Summary Table'!AA30</f>
        <v>-164.79294553007821</v>
      </c>
      <c r="AF29" s="1136">
        <f>'Summary Table'!AC30-'Summary Table'!AB30</f>
        <v>-97.003320392508613</v>
      </c>
      <c r="AG29" s="1136">
        <f>'Summary Table'!AD30-'Summary Table'!AC30</f>
        <v>-63.839710350322093</v>
      </c>
      <c r="AH29" s="1136">
        <f>'Summary Table'!AE30-'Summary Table'!AD30</f>
        <v>139.45009223839406</v>
      </c>
      <c r="AI29" s="1136">
        <f>'Summary Table'!AF30-'Summary Table'!AE30</f>
        <v>-141.99144325552516</v>
      </c>
      <c r="AJ29" s="1136">
        <f>'Summary Table'!AG30-'Summary Table'!AF30</f>
        <v>-511.70751155759444</v>
      </c>
      <c r="AK29" s="1136">
        <f>'Summary Table'!AH30-'Summary Table'!AG30</f>
        <v>313.40373862057641</v>
      </c>
      <c r="AL29" s="1136">
        <f>'Summary Table'!AI30-'Summary Table'!AH30</f>
        <v>47.237865710279038</v>
      </c>
    </row>
    <row r="31" spans="2:38">
      <c r="F31" s="122"/>
      <c r="G31" s="1236" t="s">
        <v>1575</v>
      </c>
      <c r="H31" s="1237"/>
      <c r="I31" s="1237"/>
      <c r="J31" s="1237"/>
      <c r="K31" s="1237"/>
      <c r="L31" s="1237"/>
      <c r="M31" s="1237"/>
      <c r="N31" s="1237"/>
      <c r="O31" s="1237"/>
      <c r="P31" s="1237"/>
      <c r="Q31" s="1237"/>
      <c r="R31" s="1237"/>
      <c r="S31" s="1237"/>
      <c r="T31" s="1237"/>
      <c r="U31" s="1237"/>
      <c r="V31" s="1237"/>
      <c r="W31" s="1237"/>
      <c r="X31" s="1237"/>
      <c r="Y31" s="1237"/>
      <c r="Z31" s="1237"/>
    </row>
    <row r="32" spans="2:38">
      <c r="F32" s="121" t="s">
        <v>1469</v>
      </c>
      <c r="G32" s="107" t="s">
        <v>1545</v>
      </c>
      <c r="H32" s="108" t="s">
        <v>1546</v>
      </c>
      <c r="I32" s="108" t="s">
        <v>1547</v>
      </c>
      <c r="J32" s="108" t="s">
        <v>1548</v>
      </c>
      <c r="K32" s="108" t="s">
        <v>1549</v>
      </c>
      <c r="L32" s="108" t="s">
        <v>1550</v>
      </c>
      <c r="M32" s="108" t="s">
        <v>1551</v>
      </c>
      <c r="N32" s="109" t="s">
        <v>1552</v>
      </c>
      <c r="O32" s="106" t="s">
        <v>1553</v>
      </c>
      <c r="P32" s="106" t="s">
        <v>1554</v>
      </c>
      <c r="Q32" s="106" t="s">
        <v>1555</v>
      </c>
      <c r="R32" s="106" t="s">
        <v>1556</v>
      </c>
      <c r="S32" s="225" t="s">
        <v>1557</v>
      </c>
      <c r="T32" s="225" t="s">
        <v>1558</v>
      </c>
      <c r="U32" s="225" t="s">
        <v>1559</v>
      </c>
      <c r="V32" s="225" t="s">
        <v>1560</v>
      </c>
      <c r="W32" s="225" t="s">
        <v>1561</v>
      </c>
      <c r="X32" s="106" t="s">
        <v>1562</v>
      </c>
      <c r="Y32" s="225" t="s">
        <v>1563</v>
      </c>
      <c r="Z32" s="106" t="s">
        <v>1564</v>
      </c>
      <c r="AA32" s="252" t="s">
        <v>1565</v>
      </c>
      <c r="AB32" s="252" t="s">
        <v>1566</v>
      </c>
      <c r="AC32" s="106" t="s">
        <v>1567</v>
      </c>
      <c r="AD32" s="252" t="s">
        <v>1568</v>
      </c>
      <c r="AE32" s="252" t="s">
        <v>1569</v>
      </c>
      <c r="AF32" s="252" t="s">
        <v>1570</v>
      </c>
      <c r="AG32" s="225" t="s">
        <v>1571</v>
      </c>
      <c r="AH32" s="225" t="s">
        <v>1572</v>
      </c>
      <c r="AI32" s="225" t="s">
        <v>1573</v>
      </c>
      <c r="AJ32" s="225" t="s">
        <v>1574</v>
      </c>
      <c r="AK32" s="225" t="s">
        <v>1471</v>
      </c>
      <c r="AL32" s="225" t="s">
        <v>1472</v>
      </c>
    </row>
    <row r="33" spans="6:38">
      <c r="F33" s="5" t="s">
        <v>1435</v>
      </c>
      <c r="G33" s="54">
        <f>G7/'Summary Table'!C7</f>
        <v>-2.2962545118516619E-3</v>
      </c>
      <c r="H33" s="54">
        <f>H7/'Summary Table'!D7</f>
        <v>9.9791226681509235E-3</v>
      </c>
      <c r="I33" s="54">
        <f>I7/'Summary Table'!E7</f>
        <v>3.7703104314944808E-2</v>
      </c>
      <c r="J33" s="54">
        <f>J7/'Summary Table'!F7</f>
        <v>3.7460592258492169E-3</v>
      </c>
      <c r="K33" s="54">
        <f>K7/'Summary Table'!G7</f>
        <v>8.4914702127106938E-3</v>
      </c>
      <c r="L33" s="54">
        <f>L7/'Summary Table'!H7</f>
        <v>4.6625960929889888E-2</v>
      </c>
      <c r="M33" s="54">
        <f>M7/'Summary Table'!I7</f>
        <v>2.3759078256636486E-2</v>
      </c>
      <c r="N33" s="54">
        <f>N7/'Summary Table'!J7</f>
        <v>1.4805254260047227E-2</v>
      </c>
      <c r="O33" s="100">
        <f>O7/'Summary Table'!K7</f>
        <v>5.6327048330025152E-6</v>
      </c>
      <c r="P33" s="100">
        <f>P7/'Summary Table'!L7</f>
        <v>4.3330789972903398E-2</v>
      </c>
      <c r="Q33" s="100">
        <f>Q7/'Summary Table'!M7</f>
        <v>-2.6720697225430936E-2</v>
      </c>
      <c r="R33" s="100">
        <f>R7/'Summary Table'!N7</f>
        <v>4.8301672380602692E-3</v>
      </c>
      <c r="S33" s="100">
        <f>S7/'Summary Table'!O7</f>
        <v>2.0476792714225586E-2</v>
      </c>
      <c r="T33" s="100">
        <f>T7/'Summary Table'!P7</f>
        <v>7.3759763901384313E-3</v>
      </c>
      <c r="U33" s="100">
        <f>U7/'Summary Table'!Q7</f>
        <v>1.8032339885237513E-2</v>
      </c>
      <c r="V33" s="100">
        <f>V7/'Summary Table'!R7</f>
        <v>-1.6638254879968211E-2</v>
      </c>
      <c r="W33" s="100">
        <f>IFERROR(W7/'Summary Table'!S7, "NA")</f>
        <v>1.4095016541696394E-2</v>
      </c>
      <c r="X33" s="100">
        <f>IFERROR(X7/'Summary Table'!T7, "NA")</f>
        <v>-1.5329992776150391E-2</v>
      </c>
      <c r="Y33" s="100">
        <f>IFERROR(Y7/'Summary Table'!U7, "NA")</f>
        <v>-0.11465004678965705</v>
      </c>
      <c r="Z33" s="100">
        <f>IFERROR(Z7/'Summary Table'!V7, "NA")</f>
        <v>5.095440239452468E-2</v>
      </c>
      <c r="AA33" s="100">
        <f>IFERROR(AA7/'Summary Table'!W7, "NA")</f>
        <v>-5.8813146996602068E-2</v>
      </c>
      <c r="AB33" s="100">
        <f>IFERROR(AB7/'Summary Table'!X7, "NA")</f>
        <v>-0.12118400722423592</v>
      </c>
      <c r="AC33" s="100">
        <f>IFERROR(AC7/'Summary Table'!Y7, "NA")</f>
        <v>3.7979999657265937E-2</v>
      </c>
      <c r="AD33" s="100">
        <f>IFERROR(AD7/'Summary Table'!Z7, "NA")</f>
        <v>-1.7782776445992587E-3</v>
      </c>
      <c r="AE33" s="100">
        <f>IFERROR(AE7/'Summary Table'!AA7, "NA")</f>
        <v>-0.13741133383764723</v>
      </c>
      <c r="AF33" s="100">
        <f>IFERROR(AF7/'Summary Table'!AB7, "NA")</f>
        <v>-8.1905349851703099E-2</v>
      </c>
      <c r="AG33" s="100">
        <f>IFERROR(AG7/'Summary Table'!AC7, "NA")</f>
        <v>-3.1041854396985719E-2</v>
      </c>
      <c r="AH33" s="100">
        <f>IFERROR(AH7/'Summary Table'!AD7, "NA")</f>
        <v>-4.5963872782138815E-2</v>
      </c>
      <c r="AI33" s="100">
        <f>IFERROR(AI7/'Summary Table'!AE7, "NA")</f>
        <v>-0.15143312518112698</v>
      </c>
      <c r="AJ33" s="100">
        <f>IFERROR(AJ7/'Summary Table'!AF7, "NA")</f>
        <v>-0.18728185882529155</v>
      </c>
      <c r="AK33" s="100">
        <f>IFERROR(AK7/'Summary Table'!AG7, "NA")</f>
        <v>0.14577105285732486</v>
      </c>
      <c r="AL33" s="100">
        <f>IFERROR(AL7/'Summary Table'!AH7, "NA")</f>
        <v>-6.1625747909693482E-2</v>
      </c>
    </row>
    <row r="34" spans="6:38">
      <c r="F34" s="6" t="s">
        <v>1434</v>
      </c>
      <c r="G34" s="52">
        <f>G8/'Summary Table'!C8</f>
        <v>-0.18269222215905684</v>
      </c>
      <c r="H34" s="52">
        <f>H8/'Summary Table'!D8</f>
        <v>1.3748356486871043E-2</v>
      </c>
      <c r="I34" s="52">
        <f>I8/'Summary Table'!E8</f>
        <v>-2.29673786600705E-3</v>
      </c>
      <c r="J34" s="52">
        <f>J8/'Summary Table'!F8</f>
        <v>-0.19255801846013237</v>
      </c>
      <c r="K34" s="52">
        <f>K8/'Summary Table'!G8</f>
        <v>-0.1617255874635134</v>
      </c>
      <c r="L34" s="52">
        <f>L8/'Summary Table'!H8</f>
        <v>-5.3294923728119031E-2</v>
      </c>
      <c r="M34" s="52">
        <f>M8/'Summary Table'!I8</f>
        <v>-4.0698489344547208E-2</v>
      </c>
      <c r="N34" s="52">
        <f>N8/'Summary Table'!J8</f>
        <v>-0.27330653382662368</v>
      </c>
      <c r="O34" s="101">
        <f>O8/'Summary Table'!K8</f>
        <v>0.20683768679184014</v>
      </c>
      <c r="P34" s="101">
        <f>P8/'Summary Table'!L8</f>
        <v>-0.18677639329938303</v>
      </c>
      <c r="Q34" s="101">
        <f>Q8/'Summary Table'!M8</f>
        <v>5.3648370328375647E-2</v>
      </c>
      <c r="R34" s="101">
        <f>R8/'Summary Table'!N8</f>
        <v>2.2093877705008147E-2</v>
      </c>
      <c r="S34" s="101">
        <f>S8/'Summary Table'!O8</f>
        <v>2.3297221321539824E-3</v>
      </c>
      <c r="T34" s="101">
        <f>T8/'Summary Table'!P8</f>
        <v>-7.1454698677910669E-2</v>
      </c>
      <c r="U34" s="101">
        <f>U8/'Summary Table'!Q8</f>
        <v>-0.2580024557230744</v>
      </c>
      <c r="V34" s="101">
        <f>V8/'Summary Table'!R8</f>
        <v>-0.23371924812152575</v>
      </c>
      <c r="W34" s="101">
        <f>IFERROR(W8/'Summary Table'!S8, "NA")</f>
        <v>0.19833543495327347</v>
      </c>
      <c r="X34" s="101">
        <f>IFERROR(X8/'Summary Table'!T8, "NA")</f>
        <v>-1</v>
      </c>
      <c r="Y34" s="102" t="str">
        <f>IFERROR(Y8/'Summary Table'!U8, "NA")</f>
        <v>NA</v>
      </c>
      <c r="Z34" s="102" t="str">
        <f>IFERROR(Z8/'Summary Table'!V8, "NA")</f>
        <v>NA</v>
      </c>
      <c r="AA34" s="102" t="str">
        <f>IFERROR(AA8/'Summary Table'!W8, "NA")</f>
        <v>NA</v>
      </c>
      <c r="AB34" s="102" t="str">
        <f>IFERROR(AB8/'Summary Table'!X8, "NA")</f>
        <v>NA</v>
      </c>
      <c r="AC34" s="102" t="str">
        <f>IFERROR(AC8/'Summary Table'!Y8, "NA")</f>
        <v>NA</v>
      </c>
      <c r="AD34" s="102" t="str">
        <f>IFERROR(AD8/'Summary Table'!Z8, "NA")</f>
        <v>NA</v>
      </c>
      <c r="AE34" s="102" t="str">
        <f>IFERROR(AE8/'Summary Table'!AA8, "NA")</f>
        <v>NA</v>
      </c>
      <c r="AF34" s="102" t="str">
        <f>IFERROR(AF8/'Summary Table'!AB8, "NA")</f>
        <v>NA</v>
      </c>
      <c r="AG34" s="102" t="str">
        <f>IFERROR(AG8/'Summary Table'!AC8, "NA")</f>
        <v>NA</v>
      </c>
      <c r="AH34" s="102" t="str">
        <f>IFERROR(AH8/'Summary Table'!AD8, "NA")</f>
        <v>NA</v>
      </c>
      <c r="AI34" s="102" t="str">
        <f>IFERROR(AI8/'Summary Table'!AE8, "NA")</f>
        <v>NA</v>
      </c>
      <c r="AJ34" s="102" t="str">
        <f>IFERROR(AJ8/'Summary Table'!AF8, "NA")</f>
        <v>NA</v>
      </c>
      <c r="AK34" s="102" t="str">
        <f>IFERROR(AK8/'Summary Table'!AG8, "NA")</f>
        <v>NA</v>
      </c>
      <c r="AL34" s="102" t="str">
        <f>IFERROR(AL8/'Summary Table'!AH8, "NA")</f>
        <v>NA</v>
      </c>
    </row>
    <row r="35" spans="6:38">
      <c r="F35" s="6" t="s">
        <v>1441</v>
      </c>
      <c r="G35" s="52">
        <f>G9/'Summary Table'!C9</f>
        <v>-6.9186207064502306E-2</v>
      </c>
      <c r="H35" s="52">
        <f>H9/'Summary Table'!D9</f>
        <v>1.373974925972089E-2</v>
      </c>
      <c r="I35" s="52">
        <f>I9/'Summary Table'!E9</f>
        <v>-2.2701635660807959E-3</v>
      </c>
      <c r="J35" s="52">
        <f>J9/'Summary Table'!F9</f>
        <v>4.3478136135548205E-3</v>
      </c>
      <c r="K35" s="52">
        <f>K9/'Summary Table'!G9</f>
        <v>-9.9747969884351265E-3</v>
      </c>
      <c r="L35" s="52">
        <f>L9/'Summary Table'!H9</f>
        <v>3.7355266263123202E-2</v>
      </c>
      <c r="M35" s="52">
        <f>M9/'Summary Table'!I9</f>
        <v>5.8438682965027314E-2</v>
      </c>
      <c r="N35" s="52">
        <f>N9/'Summary Table'!J9</f>
        <v>-0.27329620200966198</v>
      </c>
      <c r="O35" s="101">
        <f>O9/'Summary Table'!K9</f>
        <v>9.3776799593424193E-2</v>
      </c>
      <c r="P35" s="101">
        <f>P9/'Summary Table'!L9</f>
        <v>-0.10275160818290358</v>
      </c>
      <c r="Q35" s="101">
        <f>Q9/'Summary Table'!M9</f>
        <v>5.3684880585027253E-2</v>
      </c>
      <c r="R35" s="101">
        <f>R9/'Summary Table'!N9</f>
        <v>-7.3610564836451287E-2</v>
      </c>
      <c r="S35" s="101">
        <f>S9/'Summary Table'!O9</f>
        <v>-8.5274336418441635E-2</v>
      </c>
      <c r="T35" s="101">
        <f>T9/'Summary Table'!P9</f>
        <v>0.24867390909265324</v>
      </c>
      <c r="U35" s="101">
        <f>U9/'Summary Table'!Q9</f>
        <v>-5.1907809583692788E-2</v>
      </c>
      <c r="V35" s="101">
        <f>V9/'Summary Table'!R9</f>
        <v>-0.32627211878120899</v>
      </c>
      <c r="W35" s="101">
        <f>IFERROR(W9/'Summary Table'!S9, "NA")</f>
        <v>6.6653921765887955E-2</v>
      </c>
      <c r="X35" s="101">
        <f>IFERROR(X9/'Summary Table'!T9, "NA")</f>
        <v>0.14381865699832744</v>
      </c>
      <c r="Y35" s="101">
        <f>IFERROR(Y9/'Summary Table'!U9, "NA")</f>
        <v>-9.0701831194473809E-2</v>
      </c>
      <c r="Z35" s="101">
        <f>IFERROR(Z9/'Summary Table'!V9, "NA")</f>
        <v>-4.9823667162828697E-2</v>
      </c>
      <c r="AA35" s="101">
        <f>IFERROR(AA9/'Summary Table'!W9, "NA")</f>
        <v>-0.11181484181668219</v>
      </c>
      <c r="AB35" s="101">
        <f>IFERROR(AB9/'Summary Table'!X9, "NA")</f>
        <v>-0.29238087623075881</v>
      </c>
      <c r="AC35" s="101">
        <f>IFERROR(AC9/'Summary Table'!Y9, "NA")</f>
        <v>-4.7981004918511622E-2</v>
      </c>
      <c r="AD35" s="101">
        <f>IFERROR(AD9/'Summary Table'!Z9, "NA")</f>
        <v>-3.0295551378431873E-2</v>
      </c>
      <c r="AE35" s="101">
        <f>IFERROR(AE9/'Summary Table'!AA9, "NA")</f>
        <v>-0.22306907364530418</v>
      </c>
      <c r="AF35" s="101">
        <f>IFERROR(AF9/'Summary Table'!AB9, "NA")</f>
        <v>-0.23598018740605917</v>
      </c>
      <c r="AG35" s="101">
        <f>IFERROR(AG9/'Summary Table'!AC9, "NA")</f>
        <v>-0.12762734270877912</v>
      </c>
      <c r="AH35" s="101">
        <f>IFERROR(AH9/'Summary Table'!AD9, "NA")</f>
        <v>-9.3487153947161283E-2</v>
      </c>
      <c r="AI35" s="101">
        <f>IFERROR(AI9/'Summary Table'!AE9, "NA")</f>
        <v>-0.10668576003967041</v>
      </c>
      <c r="AJ35" s="101">
        <f>IFERROR(AJ9/'Summary Table'!AF9, "NA")</f>
        <v>-0.12843423762464579</v>
      </c>
      <c r="AK35" s="101">
        <f>IFERROR(AK9/'Summary Table'!AG9, "NA")</f>
        <v>2.5688708372917229E-2</v>
      </c>
      <c r="AL35" s="101">
        <f>IFERROR(AL9/'Summary Table'!AH9, "NA")</f>
        <v>-2.9562883382829273E-2</v>
      </c>
    </row>
    <row r="36" spans="6:38">
      <c r="F36" s="6" t="s">
        <v>1443</v>
      </c>
      <c r="G36" s="55">
        <f>G10/'Summary Table'!C10</f>
        <v>-2.0279045870934775E-2</v>
      </c>
      <c r="H36" s="55">
        <f>H10/'Summary Table'!D10</f>
        <v>-2.8215870367269153E-2</v>
      </c>
      <c r="I36" s="55">
        <f>I10/'Summary Table'!E10</f>
        <v>1.5124440805197752E-2</v>
      </c>
      <c r="J36" s="55">
        <f>J10/'Summary Table'!F10</f>
        <v>6.0390018116082125E-3</v>
      </c>
      <c r="K36" s="55">
        <f>K10/'Summary Table'!G10</f>
        <v>-4.0746590101208534E-2</v>
      </c>
      <c r="L36" s="55">
        <f>L10/'Summary Table'!H10</f>
        <v>-4.8407257666754688E-2</v>
      </c>
      <c r="M36" s="55">
        <f>M10/'Summary Table'!I10</f>
        <v>1.0727033802542412E-3</v>
      </c>
      <c r="N36" s="55">
        <f>N10/'Summary Table'!J10</f>
        <v>1.0809712722051912E-2</v>
      </c>
      <c r="O36" s="102">
        <f>O10/'Summary Table'!K10</f>
        <v>-6.542890568781605E-2</v>
      </c>
      <c r="P36" s="102">
        <f>P10/'Summary Table'!L10</f>
        <v>-3.0168787955765598E-2</v>
      </c>
      <c r="Q36" s="102">
        <f>Q10/'Summary Table'!M10</f>
        <v>1.3213356082514012E-2</v>
      </c>
      <c r="R36" s="102">
        <f>R10/'Summary Table'!N10</f>
        <v>-8.5448845628814357E-2</v>
      </c>
      <c r="S36" s="102">
        <f>S10/'Summary Table'!O10</f>
        <v>3.1984245435848773E-3</v>
      </c>
      <c r="T36" s="102">
        <f>T10/'Summary Table'!P10</f>
        <v>8.3365085899616085E-3</v>
      </c>
      <c r="U36" s="102">
        <f>U10/'Summary Table'!Q10</f>
        <v>-2.1529402599751887E-2</v>
      </c>
      <c r="V36" s="102">
        <f>V10/'Summary Table'!R10</f>
        <v>-1.9195165060921934E-2</v>
      </c>
      <c r="W36" s="102">
        <f>IFERROR(W10/'Summary Table'!S10, "NA")</f>
        <v>-4.157441745563073E-2</v>
      </c>
      <c r="X36" s="102">
        <f>IFERROR(X10/'Summary Table'!T10, "NA")</f>
        <v>-4.242290039522538E-2</v>
      </c>
      <c r="Y36" s="102">
        <f>IFERROR(Y10/'Summary Table'!U10, "NA")</f>
        <v>-0.17919300261512303</v>
      </c>
      <c r="Z36" s="102">
        <f>IFERROR(Z10/'Summary Table'!V10, "NA")</f>
        <v>8.1516901551585058E-2</v>
      </c>
      <c r="AA36" s="102">
        <f>IFERROR(AA10/'Summary Table'!W10, "NA")</f>
        <v>-8.7195726942292107E-2</v>
      </c>
      <c r="AB36" s="102">
        <f>IFERROR(AB10/'Summary Table'!X10, "NA")</f>
        <v>-8.9924947544021278E-2</v>
      </c>
      <c r="AC36" s="102">
        <f>IFERROR(AC10/'Summary Table'!Y10, "NA")</f>
        <v>1.6868303042885148E-2</v>
      </c>
      <c r="AD36" s="102">
        <f>IFERROR(AD10/'Summary Table'!Z10, "NA")</f>
        <v>-3.7844861041664915E-3</v>
      </c>
      <c r="AE36" s="102">
        <f>IFERROR(AE10/'Summary Table'!AA10, "NA")</f>
        <v>-0.11701234735956829</v>
      </c>
      <c r="AF36" s="102">
        <f>IFERROR(AF10/'Summary Table'!AB10, "NA")</f>
        <v>-9.7471203001907855E-2</v>
      </c>
      <c r="AG36" s="102">
        <f>IFERROR(AG10/'Summary Table'!AC10, "NA")</f>
        <v>-7.0901294274286278E-2</v>
      </c>
      <c r="AH36" s="102">
        <f>IFERROR(AH10/'Summary Table'!AD10, "NA")</f>
        <v>-7.2539681230195996E-2</v>
      </c>
      <c r="AI36" s="102">
        <f>IFERROR(AI10/'Summary Table'!AE10, "NA")</f>
        <v>-9.1122030146190983E-2</v>
      </c>
      <c r="AJ36" s="102">
        <f>IFERROR(AJ10/'Summary Table'!AF10, "NA")</f>
        <v>-0.13126027333259632</v>
      </c>
      <c r="AK36" s="102">
        <f>IFERROR(AK10/'Summary Table'!AG10, "NA")</f>
        <v>1.3989317600352248E-3</v>
      </c>
      <c r="AL36" s="102">
        <f>IFERROR(AL10/'Summary Table'!AH10, "NA")</f>
        <v>-8.5159047559283246E-3</v>
      </c>
    </row>
    <row r="37" spans="6:38">
      <c r="F37" s="6" t="s">
        <v>1445</v>
      </c>
      <c r="G37" s="55" t="s">
        <v>103</v>
      </c>
      <c r="H37" s="55" t="s">
        <v>103</v>
      </c>
      <c r="I37" s="55" t="s">
        <v>103</v>
      </c>
      <c r="J37" s="55" t="s">
        <v>103</v>
      </c>
      <c r="K37" s="55" t="s">
        <v>103</v>
      </c>
      <c r="L37" s="55" t="s">
        <v>103</v>
      </c>
      <c r="M37" s="55" t="s">
        <v>103</v>
      </c>
      <c r="N37" s="55" t="s">
        <v>103</v>
      </c>
      <c r="O37" s="102" t="s">
        <v>103</v>
      </c>
      <c r="P37" s="102" t="s">
        <v>103</v>
      </c>
      <c r="Q37" s="102" t="s">
        <v>103</v>
      </c>
      <c r="R37" s="102" t="s">
        <v>103</v>
      </c>
      <c r="S37" s="102" t="s">
        <v>103</v>
      </c>
      <c r="T37" s="102" t="s">
        <v>103</v>
      </c>
      <c r="U37" s="102" t="s">
        <v>103</v>
      </c>
      <c r="V37" s="102" t="s">
        <v>103</v>
      </c>
      <c r="W37" s="102" t="str">
        <f>IFERROR(W11/'Summary Table'!S11, "NA")</f>
        <v>NA</v>
      </c>
      <c r="X37" s="102" t="str">
        <f>IFERROR(X11/'Summary Table'!T11, "NA")</f>
        <v>NA</v>
      </c>
      <c r="Y37" s="102" t="str">
        <f>IFERROR(Y11/'Summary Table'!U11, "NA")</f>
        <v>NA</v>
      </c>
      <c r="Z37" s="102" t="str">
        <f>IFERROR(Z11/'Summary Table'!V11, "NA")</f>
        <v>NA</v>
      </c>
      <c r="AA37" s="102" t="str">
        <f>IFERROR(AA11/'Summary Table'!W11, "NA")</f>
        <v>NA</v>
      </c>
      <c r="AB37" s="102" t="str">
        <f>IFERROR(AB11/'Summary Table'!X11, "NA")</f>
        <v>NA</v>
      </c>
      <c r="AC37" s="102" t="str">
        <f>IFERROR(AC11/'Summary Table'!Y11, "NA")</f>
        <v>NA</v>
      </c>
      <c r="AD37" s="102" t="str">
        <f>IFERROR(AD11/'Summary Table'!Z11, "NA")</f>
        <v>NA</v>
      </c>
      <c r="AE37" s="102" t="str">
        <f>IFERROR(AE11/'Summary Table'!AA11, "NA")</f>
        <v>NA</v>
      </c>
      <c r="AF37" s="102" t="str">
        <f>IFERROR(AF11/'Summary Table'!AB11, "NA")</f>
        <v>NA</v>
      </c>
      <c r="AG37" s="102" t="str">
        <f>IFERROR(AG11/'Summary Table'!AC11, "NA")</f>
        <v>NA</v>
      </c>
      <c r="AH37" s="102" t="str">
        <f>IFERROR(AH11/'Summary Table'!AD11, "NA")</f>
        <v>NA</v>
      </c>
      <c r="AI37" s="102" t="str">
        <f>IFERROR(AI11/'Summary Table'!AE11, "NA")</f>
        <v>NA</v>
      </c>
      <c r="AJ37" s="102" t="str">
        <f>IFERROR(AJ11/'Summary Table'!AF11, "NA")</f>
        <v>NA</v>
      </c>
      <c r="AK37" s="102" t="str">
        <f>IFERROR(AK11/'Summary Table'!AG11, "NA")</f>
        <v>NA</v>
      </c>
      <c r="AL37" s="102" t="str">
        <f>IFERROR(AL11/'Summary Table'!AH11, "NA")</f>
        <v>NA</v>
      </c>
    </row>
    <row r="38" spans="6:38">
      <c r="F38" s="6" t="s">
        <v>1474</v>
      </c>
      <c r="G38" s="55">
        <f>G12/'Summary Table'!C12</f>
        <v>4.2715935338566652E-4</v>
      </c>
      <c r="H38" s="55">
        <f>H12/'Summary Table'!D12</f>
        <v>1.3810343164937325E-2</v>
      </c>
      <c r="I38" s="55">
        <f>I12/'Summary Table'!E12</f>
        <v>4.021399921878141E-2</v>
      </c>
      <c r="J38" s="55">
        <f>J12/'Summary Table'!F12</f>
        <v>3.8207650244439489E-3</v>
      </c>
      <c r="K38" s="55">
        <f>K12/'Summary Table'!G12</f>
        <v>1.3437146236780535E-2</v>
      </c>
      <c r="L38" s="55">
        <f>L12/'Summary Table'!H12</f>
        <v>5.5222991144510403E-2</v>
      </c>
      <c r="M38" s="55">
        <f>M12/'Summary Table'!I12</f>
        <v>2.540388030128278E-2</v>
      </c>
      <c r="N38" s="55">
        <f>N12/'Summary Table'!J12</f>
        <v>1.7332117961150015E-2</v>
      </c>
      <c r="O38" s="102">
        <f>O12/'Summary Table'!K12</f>
        <v>4.5177176815806514E-3</v>
      </c>
      <c r="P38" s="102">
        <f>P12/'Summary Table'!L12</f>
        <v>4.9560199121559623E-2</v>
      </c>
      <c r="Q38" s="102">
        <f>Q12/'Summary Table'!M12</f>
        <v>-2.9864857723314646E-2</v>
      </c>
      <c r="R38" s="102">
        <f>R12/'Summary Table'!N12</f>
        <v>1.0734045953380128E-2</v>
      </c>
      <c r="S38" s="102">
        <f>S12/'Summary Table'!O12</f>
        <v>2.1738634518555039E-2</v>
      </c>
      <c r="T38" s="102">
        <f>T12/'Summary Table'!P12</f>
        <v>6.2504712298523538E-3</v>
      </c>
      <c r="U38" s="102">
        <f>U12/'Summary Table'!Q12</f>
        <v>2.0984116186668872E-2</v>
      </c>
      <c r="V38" s="102">
        <f>V12/'Summary Table'!R12</f>
        <v>-1.5171617455810145E-2</v>
      </c>
      <c r="W38" s="102">
        <f>IFERROR(W12/'Summary Table'!S12, "NA")</f>
        <v>1.7186688454776722E-2</v>
      </c>
      <c r="X38" s="102">
        <f>IFERROR(X12/'Summary Table'!T12, "NA")</f>
        <v>-1.4027530384710217E-2</v>
      </c>
      <c r="Y38" s="102">
        <f>IFERROR(Y12/'Summary Table'!U12, "NA")</f>
        <v>-0.11143602839686595</v>
      </c>
      <c r="Z38" s="102">
        <f>IFERROR(Z12/'Summary Table'!V12, "NA")</f>
        <v>5.0048810039641303E-2</v>
      </c>
      <c r="AA38" s="102">
        <f>IFERROR(AA12/'Summary Table'!W12, "NA")</f>
        <v>-5.7395343980151392E-2</v>
      </c>
      <c r="AB38" s="102">
        <f>IFERROR(AB12/'Summary Table'!X12, "NA")</f>
        <v>-0.12231795771334335</v>
      </c>
      <c r="AC38" s="102">
        <f>IFERROR(AC12/'Summary Table'!Y12, "NA")</f>
        <v>3.9398222832309142E-2</v>
      </c>
      <c r="AD38" s="102">
        <f>IFERROR(AD12/'Summary Table'!Z12, "NA")</f>
        <v>-1.7151640758080885E-3</v>
      </c>
      <c r="AE38" s="102">
        <f>IFERROR(AE12/'Summary Table'!AA12, "NA")</f>
        <v>-0.13845073954377232</v>
      </c>
      <c r="AF38" s="102">
        <f>IFERROR(AF12/'Summary Table'!AB12, "NA")</f>
        <v>-8.093287492226546E-2</v>
      </c>
      <c r="AG38" s="102">
        <f>IFERROR(AG12/'Summary Table'!AC12, "NA")</f>
        <v>-2.8139657135101005E-2</v>
      </c>
      <c r="AH38" s="102">
        <f>IFERROR(AH12/'Summary Table'!AD12, "NA")</f>
        <v>-4.4894217098071523E-2</v>
      </c>
      <c r="AI38" s="102">
        <f>IFERROR(AI12/'Summary Table'!AE12, "NA")</f>
        <v>-0.15555582287342332</v>
      </c>
      <c r="AJ38" s="102">
        <f>IFERROR(AJ12/'Summary Table'!AF12, "NA")</f>
        <v>-0.19041867558294989</v>
      </c>
      <c r="AK38" s="102">
        <f>IFERROR(AK12/'Summary Table'!AG12, "NA")</f>
        <v>0.15467023140581188</v>
      </c>
      <c r="AL38" s="102">
        <f>IFERROR(AL12/'Summary Table'!AH12, "NA")</f>
        <v>-6.4382694290433501E-2</v>
      </c>
    </row>
    <row r="39" spans="6:38">
      <c r="F39" s="6" t="s">
        <v>1476</v>
      </c>
      <c r="G39" s="55">
        <f>G13/'Summary Table'!C13</f>
        <v>-7.2521707811810915E-2</v>
      </c>
      <c r="H39" s="55">
        <f>H13/'Summary Table'!D13</f>
        <v>-0.14596202658212204</v>
      </c>
      <c r="I39" s="55">
        <f>I13/'Summary Table'!E13</f>
        <v>4.8710609033232072E-2</v>
      </c>
      <c r="J39" s="55">
        <f>J13/'Summary Table'!F13</f>
        <v>1.9125669176963948E-2</v>
      </c>
      <c r="K39" s="55">
        <f>K13/'Summary Table'!G13</f>
        <v>1.8766737801002447E-2</v>
      </c>
      <c r="L39" s="55">
        <f>L13/'Summary Table'!H13</f>
        <v>2.6315805305410882E-2</v>
      </c>
      <c r="M39" s="55">
        <f>M13/'Summary Table'!I13</f>
        <v>1.6410282777683742E-2</v>
      </c>
      <c r="N39" s="55">
        <f>N13/'Summary Table'!J13</f>
        <v>1.1099889748216027E-2</v>
      </c>
      <c r="O39" s="102">
        <f>O13/'Summary Table'!K13</f>
        <v>-7.4351295383458846E-2</v>
      </c>
      <c r="P39" s="102">
        <f>P13/'Summary Table'!L13</f>
        <v>0.13007532909532005</v>
      </c>
      <c r="Q39" s="102">
        <f>Q13/'Summary Table'!M13</f>
        <v>0.25647187461400428</v>
      </c>
      <c r="R39" s="102">
        <f>R13/'Summary Table'!N13</f>
        <v>2.3901997995460031</v>
      </c>
      <c r="S39" s="102">
        <f>S13/'Summary Table'!O13</f>
        <v>0.31656360446497289</v>
      </c>
      <c r="T39" s="102">
        <f>T13/'Summary Table'!P13</f>
        <v>0.10578865195244683</v>
      </c>
      <c r="U39" s="102">
        <f>U13/'Summary Table'!Q13</f>
        <v>2.3076922486398345E-2</v>
      </c>
      <c r="V39" s="102">
        <f>V13/'Summary Table'!R13</f>
        <v>0.12781954794904854</v>
      </c>
      <c r="W39" s="102">
        <f>IFERROR(W13/'Summary Table'!S13, "NA")</f>
        <v>1.0241259144603712E-3</v>
      </c>
      <c r="X39" s="102">
        <f>IFERROR(X13/'Summary Table'!T13, "NA")</f>
        <v>9.124890118127213E-3</v>
      </c>
      <c r="Y39" s="102">
        <f>IFERROR(Y13/'Summary Table'!U13, "NA")</f>
        <v>-6.9423506080188331E-3</v>
      </c>
      <c r="Z39" s="102">
        <f>IFERROR(Z13/'Summary Table'!V13, "NA")</f>
        <v>-6.2725632857167438E-2</v>
      </c>
      <c r="AA39" s="102">
        <f>IFERROR(AA13/'Summary Table'!W13, "NA")</f>
        <v>7.5904380922187209E-2</v>
      </c>
      <c r="AB39" s="102">
        <f>IFERROR(AB13/'Summary Table'!X13, "NA")</f>
        <v>-4.3753011269672189E-2</v>
      </c>
      <c r="AC39" s="102">
        <f>IFERROR(AC13/'Summary Table'!Y13, "NA")</f>
        <v>-3.7401894974025177E-3</v>
      </c>
      <c r="AD39" s="102">
        <f>IFERROR(AD13/'Summary Table'!Z13, "NA")</f>
        <v>5.0923883405925512E-2</v>
      </c>
      <c r="AE39" s="102">
        <f>IFERROR(AE13/'Summary Table'!AA13, "NA")</f>
        <v>-3.8426145963089027E-2</v>
      </c>
      <c r="AF39" s="102">
        <f>IFERROR(AF13/'Summary Table'!AB13, "NA")</f>
        <v>-1.1899825340492722E-2</v>
      </c>
      <c r="AG39" s="102">
        <f>IFERROR(AG13/'Summary Table'!AC13, "NA")</f>
        <v>-0.29663625998662241</v>
      </c>
      <c r="AH39" s="102">
        <f>IFERROR(AH13/'Summary Table'!AD13, "NA")</f>
        <v>0.11140965864311489</v>
      </c>
      <c r="AI39" s="102">
        <f>IFERROR(AI13/'Summary Table'!AE13, "NA")</f>
        <v>0.39256216619512901</v>
      </c>
      <c r="AJ39" s="102">
        <f>IFERROR(AJ13/'Summary Table'!AF13, "NA")</f>
        <v>-0.13421935031029306</v>
      </c>
      <c r="AK39" s="102">
        <f>IFERROR(AK13/'Summary Table'!AG13, "NA")</f>
        <v>-6.2940626662735463E-2</v>
      </c>
      <c r="AL39" s="102">
        <f>IFERROR(AL13/'Summary Table'!AH13, "NA")</f>
        <v>0</v>
      </c>
    </row>
    <row r="40" spans="6:38">
      <c r="F40" s="5" t="s">
        <v>1439</v>
      </c>
      <c r="G40" s="103">
        <f>G14/'Summary Table'!C14</f>
        <v>2.2283853784518182E-2</v>
      </c>
      <c r="H40" s="103">
        <f>H14/'Summary Table'!D14</f>
        <v>3.2783776923732161E-2</v>
      </c>
      <c r="I40" s="103">
        <f>I14/'Summary Table'!E14</f>
        <v>2.6048340796176215E-2</v>
      </c>
      <c r="J40" s="103">
        <f>J14/'Summary Table'!F14</f>
        <v>2.2914260729876002E-2</v>
      </c>
      <c r="K40" s="103">
        <f>K14/'Summary Table'!G14</f>
        <v>4.3751166293092725E-2</v>
      </c>
      <c r="L40" s="103">
        <f>L14/'Summary Table'!H14</f>
        <v>1.8417051534773115E-2</v>
      </c>
      <c r="M40" s="103">
        <f>M14/'Summary Table'!I14</f>
        <v>5.2507000417968876E-3</v>
      </c>
      <c r="N40" s="103">
        <f>N14/'Summary Table'!J14</f>
        <v>-2.0134862130987245E-2</v>
      </c>
      <c r="O40" s="104">
        <f>O14/'Summary Table'!K14</f>
        <v>3.6980154166651041E-3</v>
      </c>
      <c r="P40" s="104">
        <f>P14/'Summary Table'!L14</f>
        <v>4.7891738510697696E-2</v>
      </c>
      <c r="Q40" s="104">
        <f>Q14/'Summary Table'!M14</f>
        <v>-4.0361503906452129E-2</v>
      </c>
      <c r="R40" s="104">
        <f>R14/'Summary Table'!N14</f>
        <v>3.2910296744890093E-2</v>
      </c>
      <c r="S40" s="104">
        <f>S14/'Summary Table'!O14</f>
        <v>-2.5647326203500537E-2</v>
      </c>
      <c r="T40" s="104">
        <f>T14/'Summary Table'!P14</f>
        <v>4.990094046454804E-3</v>
      </c>
      <c r="U40" s="104">
        <f>U14/'Summary Table'!Q14</f>
        <v>-1.4088190106155645E-2</v>
      </c>
      <c r="V40" s="104">
        <f>V14/'Summary Table'!R14</f>
        <v>-1.2959549014882702E-2</v>
      </c>
      <c r="W40" s="104">
        <f>IFERROR(W14/'Summary Table'!S14, "NA")</f>
        <v>6.4272474591377041E-2</v>
      </c>
      <c r="X40" s="104">
        <f>IFERROR(X14/'Summary Table'!T14, "NA")</f>
        <v>8.8578070280111755E-3</v>
      </c>
      <c r="Y40" s="104">
        <f>IFERROR(Y14/'Summary Table'!U14, "NA")</f>
        <v>-1.7514608077835375E-2</v>
      </c>
      <c r="Z40" s="104">
        <f>IFERROR(Z14/'Summary Table'!V14, "NA")</f>
        <v>4.851496638622517E-2</v>
      </c>
      <c r="AA40" s="104">
        <f>IFERROR(AA14/'Summary Table'!W14, "NA")</f>
        <v>1.5427940808199167E-2</v>
      </c>
      <c r="AB40" s="104">
        <f>IFERROR(AB14/'Summary Table'!X14, "NA")</f>
        <v>4.642141748346152E-2</v>
      </c>
      <c r="AC40" s="104">
        <f>IFERROR(AC14/'Summary Table'!Y14, "NA")</f>
        <v>2.8098263649350953E-2</v>
      </c>
      <c r="AD40" s="104">
        <f>IFERROR(AD14/'Summary Table'!Z14, "NA")</f>
        <v>2.036000245979936E-2</v>
      </c>
      <c r="AE40" s="104">
        <f>IFERROR(AE14/'Summary Table'!AA14, "NA")</f>
        <v>2.5550807044804339E-2</v>
      </c>
      <c r="AF40" s="104">
        <f>IFERROR(AF14/'Summary Table'!AB14, "NA")</f>
        <v>4.077949228276645E-3</v>
      </c>
      <c r="AG40" s="104">
        <f>IFERROR(AG14/'Summary Table'!AC14, "NA")</f>
        <v>-1.9211362830836232E-2</v>
      </c>
      <c r="AH40" s="104">
        <f>IFERROR(AH14/'Summary Table'!AD14, "NA")</f>
        <v>0.11074107902080114</v>
      </c>
      <c r="AI40" s="104">
        <f>IFERROR(AI14/'Summary Table'!AE14, "NA")</f>
        <v>3.597901185252389E-2</v>
      </c>
      <c r="AJ40" s="104">
        <f>IFERROR(AJ14/'Summary Table'!AF14, "NA")</f>
        <v>-2.0351839293113062E-2</v>
      </c>
      <c r="AK40" s="104">
        <f>IFERROR(AK14/'Summary Table'!AG14, "NA")</f>
        <v>3.9546065622922079E-3</v>
      </c>
      <c r="AL40" s="104">
        <f>IFERROR(AL14/'Summary Table'!AH14, "NA")</f>
        <v>5.3643305591078612E-2</v>
      </c>
    </row>
    <row r="41" spans="6:38">
      <c r="F41" s="6" t="s">
        <v>1434</v>
      </c>
      <c r="G41" s="55">
        <f>G15/'Summary Table'!C15</f>
        <v>4.002925670197556E-2</v>
      </c>
      <c r="H41" s="55">
        <f>H15/'Summary Table'!D15</f>
        <v>2.9430348624867233E-2</v>
      </c>
      <c r="I41" s="55">
        <f>I15/'Summary Table'!E15</f>
        <v>5.3553091992770217E-2</v>
      </c>
      <c r="J41" s="55">
        <f>J15/'Summary Table'!F15</f>
        <v>-1.9706147652243114E-2</v>
      </c>
      <c r="K41" s="55">
        <f>K15/'Summary Table'!G15</f>
        <v>-6.7638447114102532E-4</v>
      </c>
      <c r="L41" s="55">
        <f>L15/'Summary Table'!H15</f>
        <v>8.0780123648895752E-2</v>
      </c>
      <c r="M41" s="55">
        <f>M15/'Summary Table'!I15</f>
        <v>-4.8832836015463003E-2</v>
      </c>
      <c r="N41" s="55">
        <f>N15/'Summary Table'!J15</f>
        <v>-8.8789443116039243E-2</v>
      </c>
      <c r="O41" s="102">
        <f>O15/'Summary Table'!K15</f>
        <v>4.160051244989061E-2</v>
      </c>
      <c r="P41" s="102">
        <f>P15/'Summary Table'!L15</f>
        <v>5.6270879342785143E-2</v>
      </c>
      <c r="Q41" s="102">
        <f>Q15/'Summary Table'!M15</f>
        <v>-4.2897641838724951E-2</v>
      </c>
      <c r="R41" s="102">
        <f>R15/'Summary Table'!N15</f>
        <v>2.2625269916682261E-2</v>
      </c>
      <c r="S41" s="102">
        <f>S15/'Summary Table'!O15</f>
        <v>4.1962006682689436E-2</v>
      </c>
      <c r="T41" s="102">
        <f>T15/'Summary Table'!P15</f>
        <v>-4.3438245105739764E-2</v>
      </c>
      <c r="U41" s="102">
        <f>U15/'Summary Table'!Q15</f>
        <v>-7.3820106808792267E-3</v>
      </c>
      <c r="V41" s="102">
        <f>V15/'Summary Table'!R15</f>
        <v>-9.5108639616170082E-2</v>
      </c>
      <c r="W41" s="102">
        <f>IFERROR(W15/'Summary Table'!S15, "NA")</f>
        <v>8.0574959724509551E-2</v>
      </c>
      <c r="X41" s="102">
        <f>IFERROR(X15/'Summary Table'!T15, "NA")</f>
        <v>3.6112742583922192E-2</v>
      </c>
      <c r="Y41" s="102">
        <f>IFERROR(Y15/'Summary Table'!U15, "NA")</f>
        <v>-2.4886286503117191E-2</v>
      </c>
      <c r="Z41" s="102">
        <f>IFERROR(Z15/'Summary Table'!V15, "NA")</f>
        <v>-5.587286894273031E-4</v>
      </c>
      <c r="AA41" s="102">
        <f>IFERROR(AA15/'Summary Table'!W15, "NA")</f>
        <v>-1.4843867573173146E-2</v>
      </c>
      <c r="AB41" s="102">
        <f>IFERROR(AB15/'Summary Table'!X15, "NA")</f>
        <v>-0.11748455639764253</v>
      </c>
      <c r="AC41" s="102">
        <f>IFERROR(AC15/'Summary Table'!Y15, "NA")</f>
        <v>0.18324649583839481</v>
      </c>
      <c r="AD41" s="102">
        <f>IFERROR(AD15/'Summary Table'!Z15, "NA")</f>
        <v>4.2504408055252747E-2</v>
      </c>
      <c r="AE41" s="102">
        <f>IFERROR(AE15/'Summary Table'!AA15, "NA")</f>
        <v>-8.9846031691597258E-2</v>
      </c>
      <c r="AF41" s="102">
        <f>IFERROR(AF15/'Summary Table'!AB15, "NA")</f>
        <v>-5.6748407501307913E-2</v>
      </c>
      <c r="AG41" s="102">
        <f>IFERROR(AG15/'Summary Table'!AC15, "NA")</f>
        <v>1.3020517751426285E-2</v>
      </c>
      <c r="AH41" s="102">
        <f>IFERROR(AH15/'Summary Table'!AD15, "NA")</f>
        <v>0.13387219205026377</v>
      </c>
      <c r="AI41" s="102">
        <f>IFERROR(AI15/'Summary Table'!AE15, "NA")</f>
        <v>6.042462117417483E-3</v>
      </c>
      <c r="AJ41" s="102">
        <f>IFERROR(AJ15/'Summary Table'!AF15, "NA")</f>
        <v>-6.9363651244393865E-2</v>
      </c>
      <c r="AK41" s="102">
        <f>IFERROR(AK15/'Summary Table'!AG15, "NA")</f>
        <v>8.9159810561197858E-3</v>
      </c>
      <c r="AL41" s="102">
        <f>IFERROR(AL15/'Summary Table'!AH15, "NA")</f>
        <v>5.1575120196438028E-2</v>
      </c>
    </row>
    <row r="42" spans="6:38">
      <c r="F42" s="6" t="s">
        <v>1441</v>
      </c>
      <c r="G42" s="55">
        <f>G16/'Summary Table'!C16</f>
        <v>4.29763008866689E-2</v>
      </c>
      <c r="H42" s="55">
        <f>H16/'Summary Table'!D16</f>
        <v>2.7110600590040775E-2</v>
      </c>
      <c r="I42" s="55">
        <f>I16/'Summary Table'!E16</f>
        <v>1.7851653020956669E-2</v>
      </c>
      <c r="J42" s="55">
        <f>J16/'Summary Table'!F16</f>
        <v>1.3997798807027244E-2</v>
      </c>
      <c r="K42" s="55">
        <f>K16/'Summary Table'!G16</f>
        <v>4.5727158633162242E-2</v>
      </c>
      <c r="L42" s="55">
        <f>L16/'Summary Table'!H16</f>
        <v>4.2095756800169574E-2</v>
      </c>
      <c r="M42" s="55">
        <f>M16/'Summary Table'!I16</f>
        <v>1.828803555261297E-2</v>
      </c>
      <c r="N42" s="55">
        <f>N16/'Summary Table'!J16</f>
        <v>-6.2674355256758171E-2</v>
      </c>
      <c r="O42" s="102">
        <f>O16/'Summary Table'!K16</f>
        <v>1.1331388507388754E-2</v>
      </c>
      <c r="P42" s="102">
        <f>P16/'Summary Table'!L16</f>
        <v>4.4302819241606797E-2</v>
      </c>
      <c r="Q42" s="102">
        <f>Q16/'Summary Table'!M16</f>
        <v>-4.8106012215716351E-2</v>
      </c>
      <c r="R42" s="102">
        <f>R16/'Summary Table'!N16</f>
        <v>3.8155548373224886E-2</v>
      </c>
      <c r="S42" s="102">
        <f>S16/'Summary Table'!O16</f>
        <v>1.4143095113625895E-2</v>
      </c>
      <c r="T42" s="102">
        <f>T16/'Summary Table'!P16</f>
        <v>-1.792759024194986E-2</v>
      </c>
      <c r="U42" s="102">
        <f>U16/'Summary Table'!Q16</f>
        <v>-4.0356416732482213E-2</v>
      </c>
      <c r="V42" s="102">
        <f>V16/'Summary Table'!R16</f>
        <v>-5.5814169911909732E-2</v>
      </c>
      <c r="W42" s="102">
        <f>IFERROR(W16/'Summary Table'!S16, "NA")</f>
        <v>6.3438701951406148E-2</v>
      </c>
      <c r="X42" s="102">
        <f>IFERROR(X16/'Summary Table'!T16, "NA")</f>
        <v>4.6474743375476399E-2</v>
      </c>
      <c r="Y42" s="102">
        <f>IFERROR(Y16/'Summary Table'!U16, "NA")</f>
        <v>-1.250004012462933E-2</v>
      </c>
      <c r="Z42" s="102">
        <f>IFERROR(Z16/'Summary Table'!V16, "NA")</f>
        <v>-6.4148764497205446E-3</v>
      </c>
      <c r="AA42" s="102">
        <f>IFERROR(AA16/'Summary Table'!W16, "NA")</f>
        <v>1.6486045137996713E-2</v>
      </c>
      <c r="AB42" s="102">
        <f>IFERROR(AB16/'Summary Table'!X16, "NA")</f>
        <v>-8.0211914764899986E-2</v>
      </c>
      <c r="AC42" s="102">
        <f>IFERROR(AC16/'Summary Table'!Y16, "NA")</f>
        <v>0.14121506215887428</v>
      </c>
      <c r="AD42" s="102">
        <f>IFERROR(AD16/'Summary Table'!Z16, "NA")</f>
        <v>5.5628876626900511E-2</v>
      </c>
      <c r="AE42" s="102">
        <f>IFERROR(AE16/'Summary Table'!AA16, "NA")</f>
        <v>-7.2824570862506419E-2</v>
      </c>
      <c r="AF42" s="102">
        <f>IFERROR(AF16/'Summary Table'!AB16, "NA")</f>
        <v>-2.7770011439891069E-2</v>
      </c>
      <c r="AG42" s="102">
        <f>IFERROR(AG16/'Summary Table'!AC16, "NA")</f>
        <v>1.5536190601607E-2</v>
      </c>
      <c r="AH42" s="102">
        <f>IFERROR(AH16/'Summary Table'!AD16, "NA")</f>
        <v>0.11165918898868613</v>
      </c>
      <c r="AI42" s="102">
        <f>IFERROR(AI16/'Summary Table'!AE16, "NA")</f>
        <v>2.0143765505002418E-3</v>
      </c>
      <c r="AJ42" s="102">
        <f>IFERROR(AJ16/'Summary Table'!AF16, "NA")</f>
        <v>-0.10090456450853047</v>
      </c>
      <c r="AK42" s="102">
        <f>IFERROR(AK16/'Summary Table'!AG16, "NA")</f>
        <v>3.9854360758783208E-2</v>
      </c>
      <c r="AL42" s="102">
        <f>IFERROR(AL16/'Summary Table'!AH16, "NA")</f>
        <v>6.5975887388618412E-2</v>
      </c>
    </row>
    <row r="43" spans="6:38">
      <c r="F43" s="6" t="s">
        <v>1443</v>
      </c>
      <c r="G43" s="55">
        <f>G17/'Summary Table'!C17</f>
        <v>1.5103743720832676E-2</v>
      </c>
      <c r="H43" s="55">
        <f>H17/'Summary Table'!D17</f>
        <v>3.7991137279273286E-2</v>
      </c>
      <c r="I43" s="55">
        <f>I17/'Summary Table'!E17</f>
        <v>1.7877209441960269E-2</v>
      </c>
      <c r="J43" s="55">
        <f>J17/'Summary Table'!F17</f>
        <v>2.8066552946423677E-3</v>
      </c>
      <c r="K43" s="55">
        <f>K17/'Summary Table'!G17</f>
        <v>5.3078252027217006E-2</v>
      </c>
      <c r="L43" s="55">
        <f>L17/'Summary Table'!H17</f>
        <v>3.4149805663059071E-2</v>
      </c>
      <c r="M43" s="55">
        <f>M17/'Summary Table'!I17</f>
        <v>1.3810705985409755E-3</v>
      </c>
      <c r="N43" s="55">
        <f>N17/'Summary Table'!J17</f>
        <v>-2.4393992722656202E-2</v>
      </c>
      <c r="O43" s="102">
        <f>O17/'Summary Table'!K17</f>
        <v>-4.4199620521133402E-2</v>
      </c>
      <c r="P43" s="102">
        <f>P17/'Summary Table'!L17</f>
        <v>2.8192665553419878E-2</v>
      </c>
      <c r="Q43" s="102">
        <f>Q17/'Summary Table'!M17</f>
        <v>-8.2029321346527517E-2</v>
      </c>
      <c r="R43" s="102">
        <f>R17/'Summary Table'!N17</f>
        <v>1.7855001184324707E-2</v>
      </c>
      <c r="S43" s="102">
        <f>S17/'Summary Table'!O17</f>
        <v>-3.0421862173603133E-2</v>
      </c>
      <c r="T43" s="102">
        <f>T17/'Summary Table'!P17</f>
        <v>9.1548370878850576E-3</v>
      </c>
      <c r="U43" s="102">
        <f>U17/'Summary Table'!Q17</f>
        <v>-7.4248580399295189E-2</v>
      </c>
      <c r="V43" s="102">
        <f>V17/'Summary Table'!R17</f>
        <v>-8.9952446120175806E-4</v>
      </c>
      <c r="W43" s="102">
        <f>IFERROR(W17/'Summary Table'!S17, "NA")</f>
        <v>2.4606717837401787E-2</v>
      </c>
      <c r="X43" s="102">
        <f>IFERROR(X17/'Summary Table'!T17, "NA")</f>
        <v>4.2372260443268583E-3</v>
      </c>
      <c r="Y43" s="102">
        <f>IFERROR(Y17/'Summary Table'!U17, "NA")</f>
        <v>-6.1335569951969246E-2</v>
      </c>
      <c r="Z43" s="102">
        <f>IFERROR(Z17/'Summary Table'!V17, "NA")</f>
        <v>8.7893845380613955E-2</v>
      </c>
      <c r="AA43" s="102">
        <f>IFERROR(AA17/'Summary Table'!W17, "NA")</f>
        <v>2.4761645335618043E-2</v>
      </c>
      <c r="AB43" s="102">
        <f>IFERROR(AB17/'Summary Table'!X17, "NA")</f>
        <v>4.0042273212859011E-2</v>
      </c>
      <c r="AC43" s="102">
        <f>IFERROR(AC17/'Summary Table'!Y17, "NA")</f>
        <v>3.9324775576152993E-2</v>
      </c>
      <c r="AD43" s="102">
        <f>IFERROR(AD17/'Summary Table'!Z17, "NA")</f>
        <v>3.3264043660060985E-2</v>
      </c>
      <c r="AE43" s="102">
        <f>IFERROR(AE17/'Summary Table'!AA17, "NA")</f>
        <v>-1.3499265089527798E-2</v>
      </c>
      <c r="AF43" s="102">
        <f>IFERROR(AF17/'Summary Table'!AB17, "NA")</f>
        <v>9.4339915878108166E-3</v>
      </c>
      <c r="AG43" s="102">
        <f>IFERROR(AG17/'Summary Table'!AC17, "NA")</f>
        <v>8.9455496099967065E-3</v>
      </c>
      <c r="AH43" s="102">
        <f>IFERROR(AH17/'Summary Table'!AD17, "NA")</f>
        <v>5.4120972196835572E-2</v>
      </c>
      <c r="AI43" s="102">
        <f>IFERROR(AI17/'Summary Table'!AE17, "NA")</f>
        <v>1.6291877236843468E-2</v>
      </c>
      <c r="AJ43" s="102">
        <f>IFERROR(AJ17/'Summary Table'!AF17, "NA")</f>
        <v>-2.3512165547753906E-2</v>
      </c>
      <c r="AK43" s="102">
        <f>IFERROR(AK17/'Summary Table'!AG17, "NA")</f>
        <v>2.3380242880666806E-2</v>
      </c>
      <c r="AL43" s="102">
        <f>IFERROR(AL17/'Summary Table'!AH17, "NA")</f>
        <v>2.0510598982164591E-2</v>
      </c>
    </row>
    <row r="44" spans="6:38">
      <c r="F44" s="6" t="s">
        <v>1445</v>
      </c>
      <c r="G44" s="55">
        <f>G18/'Summary Table'!C18</f>
        <v>-8.6932656066361136E-2</v>
      </c>
      <c r="H44" s="55">
        <f>H18/'Summary Table'!D18</f>
        <v>-1.9696158781539991E-2</v>
      </c>
      <c r="I44" s="55">
        <f>I18/'Summary Table'!E18</f>
        <v>5.9926571690613696E-2</v>
      </c>
      <c r="J44" s="55">
        <f>J18/'Summary Table'!F18</f>
        <v>9.9787138953701254E-2</v>
      </c>
      <c r="K44" s="55">
        <f>K18/'Summary Table'!G18</f>
        <v>2.222823341390736E-2</v>
      </c>
      <c r="L44" s="55">
        <f>L18/'Summary Table'!H18</f>
        <v>1.786582535858721E-2</v>
      </c>
      <c r="M44" s="55">
        <f>M18/'Summary Table'!I18</f>
        <v>5.8931775064256849E-2</v>
      </c>
      <c r="N44" s="55">
        <f>N18/'Summary Table'!J18</f>
        <v>-0.14735673547224379</v>
      </c>
      <c r="O44" s="102">
        <f>O18/'Summary Table'!K18</f>
        <v>1.4805697921323685E-2</v>
      </c>
      <c r="P44" s="102">
        <f>P18/'Summary Table'!L18</f>
        <v>-4.4896242696082621E-3</v>
      </c>
      <c r="Q44" s="102">
        <f>Q18/'Summary Table'!M18</f>
        <v>-2.1432771121367693E-2</v>
      </c>
      <c r="R44" s="102">
        <f>R18/'Summary Table'!N18</f>
        <v>6.3094606431363873E-2</v>
      </c>
      <c r="S44" s="102">
        <f>S18/'Summary Table'!O18</f>
        <v>-0.10309140333091153</v>
      </c>
      <c r="T44" s="102">
        <f>T18/'Summary Table'!P18</f>
        <v>-4.0181939064818852E-2</v>
      </c>
      <c r="U44" s="102">
        <f>U18/'Summary Table'!Q18</f>
        <v>3.5981025362744549E-2</v>
      </c>
      <c r="V44" s="102">
        <f>V18/'Summary Table'!R18</f>
        <v>1.7182158123940493E-3</v>
      </c>
      <c r="W44" s="102">
        <f>IFERROR(W18/'Summary Table'!S18, "NA")</f>
        <v>6.1827442549307506E-2</v>
      </c>
      <c r="X44" s="102">
        <f>IFERROR(X18/'Summary Table'!T18, "NA")</f>
        <v>4.3215738052819815E-2</v>
      </c>
      <c r="Y44" s="102">
        <f>IFERROR(Y18/'Summary Table'!U18, "NA")</f>
        <v>3.3331564220693971E-2</v>
      </c>
      <c r="Z44" s="102">
        <f>IFERROR(Z18/'Summary Table'!V18, "NA")</f>
        <v>6.175864849243486E-3</v>
      </c>
      <c r="AA44" s="102">
        <f>IFERROR(AA18/'Summary Table'!W18, "NA")</f>
        <v>2.054003366677367E-2</v>
      </c>
      <c r="AB44" s="102">
        <f>IFERROR(AB18/'Summary Table'!X18, "NA")</f>
        <v>6.2527949472462124E-2</v>
      </c>
      <c r="AC44" s="102">
        <f>IFERROR(AC18/'Summary Table'!Y18, "NA")</f>
        <v>0.13705921511517027</v>
      </c>
      <c r="AD44" s="102">
        <f>IFERROR(AD18/'Summary Table'!Z18, "NA")</f>
        <v>-0.14476584588185903</v>
      </c>
      <c r="AE44" s="102">
        <f>IFERROR(AE18/'Summary Table'!AA18, "NA")</f>
        <v>-2.0682313288772694E-2</v>
      </c>
      <c r="AF44" s="102">
        <f>IFERROR(AF18/'Summary Table'!AB18, "NA")</f>
        <v>1.6568636796309658E-2</v>
      </c>
      <c r="AG44" s="102">
        <f>IFERROR(AG18/'Summary Table'!AC18, "NA")</f>
        <v>5.4893095546947511E-2</v>
      </c>
      <c r="AH44" s="102">
        <f>IFERROR(AH18/'Summary Table'!AD18, "NA")</f>
        <v>0.20487775557125035</v>
      </c>
      <c r="AI44" s="102">
        <f>IFERROR(AI18/'Summary Table'!AE18, "NA")</f>
        <v>0.15738516066726949</v>
      </c>
      <c r="AJ44" s="102">
        <f>IFERROR(AJ18/'Summary Table'!AF18, "NA")</f>
        <v>-4.6662022234057413E-3</v>
      </c>
      <c r="AK44" s="102">
        <f>IFERROR(AK18/'Summary Table'!AG18, "NA")</f>
        <v>0.11145436833655056</v>
      </c>
      <c r="AL44" s="102">
        <f>IFERROR(AL18/'Summary Table'!AH18, "NA")</f>
        <v>7.6241988178085085E-2</v>
      </c>
    </row>
    <row r="45" spans="6:38">
      <c r="F45" s="6" t="s">
        <v>1474</v>
      </c>
      <c r="G45" s="55">
        <f>G19/'Summary Table'!C19</f>
        <v>2.056555582665217E-2</v>
      </c>
      <c r="H45" s="55">
        <f>H19/'Summary Table'!D19</f>
        <v>3.9718312444724006E-2</v>
      </c>
      <c r="I45" s="55">
        <f>I19/'Summary Table'!E19</f>
        <v>8.1026260108910415E-3</v>
      </c>
      <c r="J45" s="55">
        <f>J19/'Summary Table'!F19</f>
        <v>0.12406424246235338</v>
      </c>
      <c r="K45" s="55">
        <f>K19/'Summary Table'!G19</f>
        <v>8.2132608471195925E-2</v>
      </c>
      <c r="L45" s="55">
        <f>L19/'Summary Table'!H19</f>
        <v>-0.10216758783357664</v>
      </c>
      <c r="M45" s="55">
        <f>M19/'Summary Table'!I19</f>
        <v>6.8107824854127405E-2</v>
      </c>
      <c r="N45" s="55">
        <f>N19/'Summary Table'!J19</f>
        <v>0.13185982346693093</v>
      </c>
      <c r="O45" s="102">
        <f>O19/'Summary Table'!K19</f>
        <v>4.9579186784012054E-2</v>
      </c>
      <c r="P45" s="102">
        <f>P19/'Summary Table'!L19</f>
        <v>8.0308605148000561E-2</v>
      </c>
      <c r="Q45" s="102">
        <f>Q19/'Summary Table'!M19</f>
        <v>3.0402198329920572E-2</v>
      </c>
      <c r="R45" s="102">
        <f>R19/'Summary Table'!N19</f>
        <v>5.7541481306414108E-2</v>
      </c>
      <c r="S45" s="102">
        <f>S19/'Summary Table'!O19</f>
        <v>-9.11129400460087E-2</v>
      </c>
      <c r="T45" s="102">
        <f>T19/'Summary Table'!P19</f>
        <v>6.6958168347737532E-2</v>
      </c>
      <c r="U45" s="102">
        <f>U19/'Summary Table'!Q19</f>
        <v>7.4500700951447049E-2</v>
      </c>
      <c r="V45" s="102">
        <f>V19/'Summary Table'!R19</f>
        <v>5.9953133635312184E-2</v>
      </c>
      <c r="W45" s="102">
        <f>IFERROR(W19/'Summary Table'!S19, "NA")</f>
        <v>9.9090680891471175E-2</v>
      </c>
      <c r="X45" s="102">
        <f>IFERROR(X19/'Summary Table'!T19, "NA")</f>
        <v>-2.5168324141634963E-2</v>
      </c>
      <c r="Y45" s="102">
        <f>IFERROR(Y19/'Summary Table'!U19, "NA")</f>
        <v>2.8807823132864747E-2</v>
      </c>
      <c r="Z45" s="102">
        <f>IFERROR(Z19/'Summary Table'!V19, "NA")</f>
        <v>7.2447992193997002E-2</v>
      </c>
      <c r="AA45" s="102">
        <f>IFERROR(AA19/'Summary Table'!W19, "NA")</f>
        <v>2.4757418127402075E-2</v>
      </c>
      <c r="AB45" s="102">
        <f>IFERROR(AB19/'Summary Table'!X19, "NA")</f>
        <v>0.20360661309279274</v>
      </c>
      <c r="AC45" s="102">
        <f>IFERROR(AC19/'Summary Table'!Y19, "NA")</f>
        <v>-9.8674985235486137E-2</v>
      </c>
      <c r="AD45" s="102">
        <f>IFERROR(AD19/'Summary Table'!Z19, "NA")</f>
        <v>-2.8906486256550278E-3</v>
      </c>
      <c r="AE45" s="102">
        <f>IFERROR(AE19/'Summary Table'!AA19, "NA")</f>
        <v>0.18577980961003479</v>
      </c>
      <c r="AF45" s="102">
        <f>IFERROR(AF19/'Summary Table'!AB19, "NA")</f>
        <v>3.7762912232851296E-2</v>
      </c>
      <c r="AG45" s="102">
        <f>IFERROR(AG19/'Summary Table'!AC19, "NA")</f>
        <v>-7.2216586523590184E-2</v>
      </c>
      <c r="AH45" s="102">
        <f>IFERROR(AH19/'Summary Table'!AD19, "NA")</f>
        <v>0.14299020418919242</v>
      </c>
      <c r="AI45" s="102">
        <f>IFERROR(AI19/'Summary Table'!AE19, "NA")</f>
        <v>6.6985379359504438E-2</v>
      </c>
      <c r="AJ45" s="102">
        <f>IFERROR(AJ19/'Summary Table'!AF19, "NA")</f>
        <v>2.9515130336898131E-2</v>
      </c>
      <c r="AK45" s="102">
        <f>IFERROR(AK19/'Summary Table'!AG19, "NA")</f>
        <v>-3.4765841703426593E-2</v>
      </c>
      <c r="AL45" s="102">
        <f>IFERROR(AL19/'Summary Table'!AH19, "NA")</f>
        <v>7.5928176572787942E-2</v>
      </c>
    </row>
    <row r="46" spans="6:38">
      <c r="F46" s="6" t="s">
        <v>1476</v>
      </c>
      <c r="G46" s="55" t="s">
        <v>103</v>
      </c>
      <c r="H46" s="55" t="s">
        <v>103</v>
      </c>
      <c r="I46" s="55" t="s">
        <v>103</v>
      </c>
      <c r="J46" s="55" t="s">
        <v>103</v>
      </c>
      <c r="K46" s="55" t="s">
        <v>103</v>
      </c>
      <c r="L46" s="55" t="s">
        <v>103</v>
      </c>
      <c r="M46" s="55" t="s">
        <v>103</v>
      </c>
      <c r="N46" s="55" t="s">
        <v>103</v>
      </c>
      <c r="O46" s="102" t="s">
        <v>103</v>
      </c>
      <c r="P46" s="102" t="s">
        <v>103</v>
      </c>
      <c r="Q46" s="102" t="s">
        <v>103</v>
      </c>
      <c r="R46" s="102" t="s">
        <v>103</v>
      </c>
      <c r="S46" s="102" t="s">
        <v>103</v>
      </c>
      <c r="T46" s="102" t="s">
        <v>103</v>
      </c>
      <c r="U46" s="102" t="s">
        <v>103</v>
      </c>
      <c r="V46" s="102" t="s">
        <v>103</v>
      </c>
      <c r="W46" s="102" t="str">
        <f>IFERROR(W20/'Summary Table'!S20, "NA")</f>
        <v>NA</v>
      </c>
      <c r="X46" s="102" t="str">
        <f>IFERROR(X20/'Summary Table'!T20, "NA")</f>
        <v>NA</v>
      </c>
      <c r="Y46" s="102" t="str">
        <f>IFERROR(Y20/'Summary Table'!U20, "NA")</f>
        <v>NA</v>
      </c>
      <c r="Z46" s="102" t="str">
        <f>IFERROR(Z20/'Summary Table'!V20, "NA")</f>
        <v>NA</v>
      </c>
      <c r="AA46" s="102" t="str">
        <f>IFERROR(AA20/'Summary Table'!W20, "NA")</f>
        <v>NA</v>
      </c>
      <c r="AB46" s="102" t="str">
        <f>IFERROR(AB20/'Summary Table'!X20, "NA")</f>
        <v>NA</v>
      </c>
      <c r="AC46" s="102" t="str">
        <f>IFERROR(AC20/'Summary Table'!Y20, "NA")</f>
        <v>NA</v>
      </c>
      <c r="AD46" s="102" t="str">
        <f>IFERROR(AD20/'Summary Table'!Z20, "NA")</f>
        <v>NA</v>
      </c>
      <c r="AE46" s="102" t="str">
        <f>IFERROR(AE20/'Summary Table'!AA20, "NA")</f>
        <v>NA</v>
      </c>
      <c r="AF46" s="102" t="str">
        <f>IFERROR(AF20/'Summary Table'!AB20, "NA")</f>
        <v>NA</v>
      </c>
      <c r="AG46" s="102" t="str">
        <f>IFERROR(AG20/'Summary Table'!AC20, "NA")</f>
        <v>NA</v>
      </c>
      <c r="AH46" s="102" t="str">
        <f>IFERROR(AH20/'Summary Table'!AD20, "NA")</f>
        <v>NA</v>
      </c>
      <c r="AI46" s="102" t="str">
        <f>IFERROR(AI20/'Summary Table'!AE20, "NA")</f>
        <v>NA</v>
      </c>
      <c r="AJ46" s="102" t="str">
        <f>IFERROR(AJ20/'Summary Table'!AF20, "NA")</f>
        <v>NA</v>
      </c>
      <c r="AK46" s="102" t="str">
        <f>IFERROR(AK20/'Summary Table'!AG20, "NA")</f>
        <v>NA</v>
      </c>
      <c r="AL46" s="102" t="str">
        <f>IFERROR(AL20/'Summary Table'!AH20, "NA")</f>
        <v>NA</v>
      </c>
    </row>
    <row r="47" spans="6:38">
      <c r="F47" s="5" t="s">
        <v>1440</v>
      </c>
      <c r="G47" s="103">
        <f>G21/'Summary Table'!C21</f>
        <v>-3.2031689166068474E-2</v>
      </c>
      <c r="H47" s="103">
        <f>H21/'Summary Table'!D21</f>
        <v>2.1418038057550728E-2</v>
      </c>
      <c r="I47" s="103">
        <f>I21/'Summary Table'!E21</f>
        <v>1.1670696763315575E-2</v>
      </c>
      <c r="J47" s="103">
        <f>J21/'Summary Table'!F21</f>
        <v>1.5232432204905605E-2</v>
      </c>
      <c r="K47" s="103">
        <f>K21/'Summary Table'!G21</f>
        <v>-2.0190959907528993E-3</v>
      </c>
      <c r="L47" s="103">
        <f>L21/'Summary Table'!H21</f>
        <v>3.3427261115431782E-2</v>
      </c>
      <c r="M47" s="103">
        <f>M21/'Summary Table'!I21</f>
        <v>4.1994573451831592E-3</v>
      </c>
      <c r="N47" s="103">
        <f>N21/'Summary Table'!J21</f>
        <v>2.7186402802547537E-2</v>
      </c>
      <c r="O47" s="104">
        <f>O21/'Summary Table'!K21</f>
        <v>1.8513657771019192E-2</v>
      </c>
      <c r="P47" s="104">
        <f>P21/'Summary Table'!L21</f>
        <v>4.7041774119015813E-2</v>
      </c>
      <c r="Q47" s="104">
        <f>Q21/'Summary Table'!M21</f>
        <v>3.370435920452147E-3</v>
      </c>
      <c r="R47" s="104">
        <f>R21/'Summary Table'!N21</f>
        <v>-3.0268405542865601E-3</v>
      </c>
      <c r="S47" s="104">
        <f>S21/'Summary Table'!O21</f>
        <v>2.5182855992237935E-2</v>
      </c>
      <c r="T47" s="104">
        <f>T21/'Summary Table'!P21</f>
        <v>2.4211172984949889E-2</v>
      </c>
      <c r="U47" s="104">
        <f>U21/'Summary Table'!Q21</f>
        <v>2.1552245823932528E-3</v>
      </c>
      <c r="V47" s="104">
        <f>V21/'Summary Table'!R21</f>
        <v>-1.5585832318059618E-2</v>
      </c>
      <c r="W47" s="104">
        <f>IFERROR(W21/'Summary Table'!S21, "NA")</f>
        <v>-7.9955208049950367E-3</v>
      </c>
      <c r="X47" s="104">
        <f>IFERROR(X21/'Summary Table'!T21, "NA")</f>
        <v>-6.8924978120101468E-2</v>
      </c>
      <c r="Y47" s="104">
        <f>IFERROR(Y21/'Summary Table'!U21, "NA")</f>
        <v>-4.8629262700522119E-2</v>
      </c>
      <c r="Z47" s="104">
        <f>IFERROR(Z21/'Summary Table'!V21, "NA")</f>
        <v>2.1281676833413456E-3</v>
      </c>
      <c r="AA47" s="104">
        <f>IFERROR(AA21/'Summary Table'!W21, "NA")</f>
        <v>-1.7871849810980923E-2</v>
      </c>
      <c r="AB47" s="104">
        <f>IFERROR(AB21/'Summary Table'!X21, "NA")</f>
        <v>-2.2184585917964871E-2</v>
      </c>
      <c r="AC47" s="104">
        <f>IFERROR(AC21/'Summary Table'!Y21, "NA")</f>
        <v>1.106346143008597E-2</v>
      </c>
      <c r="AD47" s="104">
        <f>IFERROR(AD21/'Summary Table'!Z21, "NA")</f>
        <v>1.1883285009138107E-2</v>
      </c>
      <c r="AE47" s="104">
        <f>IFERROR(AE21/'Summary Table'!AA21, "NA")</f>
        <v>1.2594650375237819E-2</v>
      </c>
      <c r="AF47" s="104">
        <f>IFERROR(AF21/'Summary Table'!AB21, "NA")</f>
        <v>6.602004683247736E-3</v>
      </c>
      <c r="AG47" s="104">
        <f>IFERROR(AG21/'Summary Table'!AC21, "NA")</f>
        <v>2.3021841817927155E-3</v>
      </c>
      <c r="AH47" s="104">
        <f>IFERROR(AH21/'Summary Table'!AD21, "NA")</f>
        <v>1.8277980687665989E-2</v>
      </c>
      <c r="AI47" s="104">
        <f>IFERROR(AI21/'Summary Table'!AE21, "NA")</f>
        <v>-7.2294684517194606E-3</v>
      </c>
      <c r="AJ47" s="104">
        <f>IFERROR(AJ21/'Summary Table'!AF21, "NA")</f>
        <v>-0.13203125965555282</v>
      </c>
      <c r="AK47" s="104">
        <f>IFERROR(AK21/'Summary Table'!AG21, "NA")</f>
        <v>9.8649633414084031E-2</v>
      </c>
      <c r="AL47" s="104">
        <f>IFERROR(AL21/'Summary Table'!AH21, "NA")</f>
        <v>9.318602683195315E-3</v>
      </c>
    </row>
    <row r="48" spans="6:38">
      <c r="F48" s="6" t="s">
        <v>1434</v>
      </c>
      <c r="G48" s="52">
        <f>G22/'Summary Table'!C22</f>
        <v>1.7360765990447468E-3</v>
      </c>
      <c r="H48" s="52">
        <f>H22/'Summary Table'!D22</f>
        <v>-1.076823951815121E-2</v>
      </c>
      <c r="I48" s="52">
        <f>I22/'Summary Table'!E22</f>
        <v>-1.5632146435390397E-2</v>
      </c>
      <c r="J48" s="52">
        <f>J22/'Summary Table'!F22</f>
        <v>-3.4316535126333536E-2</v>
      </c>
      <c r="K48" s="52">
        <f>K22/'Summary Table'!G22</f>
        <v>-3.7056823492724628E-2</v>
      </c>
      <c r="L48" s="52">
        <f>L22/'Summary Table'!H22</f>
        <v>0.10376651862573756</v>
      </c>
      <c r="M48" s="52">
        <f>M22/'Summary Table'!I22</f>
        <v>-4.6052473144484442E-2</v>
      </c>
      <c r="N48" s="52">
        <f>N22/'Summary Table'!J22</f>
        <v>-9.6626965944329263E-2</v>
      </c>
      <c r="O48" s="101">
        <f>O22/'Summary Table'!K22</f>
        <v>0.10464838781672234</v>
      </c>
      <c r="P48" s="101">
        <f>P22/'Summary Table'!L22</f>
        <v>7.1013118487558743E-2</v>
      </c>
      <c r="Q48" s="101">
        <f>Q22/'Summary Table'!M22</f>
        <v>2.8814107875164988E-2</v>
      </c>
      <c r="R48" s="101">
        <f>R22/'Summary Table'!N22</f>
        <v>-7.6740543763816116E-2</v>
      </c>
      <c r="S48" s="101">
        <f>S22/'Summary Table'!O22</f>
        <v>8.3592764505979911E-2</v>
      </c>
      <c r="T48" s="101">
        <f>T22/'Summary Table'!P22</f>
        <v>9.4467981828259724E-3</v>
      </c>
      <c r="U48" s="101">
        <f>U22/'Summary Table'!Q22</f>
        <v>-7.8397932983508584E-2</v>
      </c>
      <c r="V48" s="101">
        <f>V22/'Summary Table'!R22</f>
        <v>-0.13077416319978227</v>
      </c>
      <c r="W48" s="101">
        <f>IFERROR(W22/'Summary Table'!S22, "NA")</f>
        <v>-9.3115376532166302E-4</v>
      </c>
      <c r="X48" s="101">
        <f>IFERROR(X22/'Summary Table'!T22, "NA")</f>
        <v>-1.983365502537926E-2</v>
      </c>
      <c r="Y48" s="101">
        <f>IFERROR(Y22/'Summary Table'!U22, "NA")</f>
        <v>-5.5085982743142109E-2</v>
      </c>
      <c r="Z48" s="101">
        <f>IFERROR(Z22/'Summary Table'!V22, "NA")</f>
        <v>-1.6749648998699924E-2</v>
      </c>
      <c r="AA48" s="101">
        <f>IFERROR(AA22/'Summary Table'!W22, "NA")</f>
        <v>-5.7144538840748077E-2</v>
      </c>
      <c r="AB48" s="101">
        <f>IFERROR(AB22/'Summary Table'!X22, "NA")</f>
        <v>-0.19413121707317846</v>
      </c>
      <c r="AC48" s="101">
        <f>IFERROR(AC22/'Summary Table'!Y22, "NA")</f>
        <v>9.5492446150094307E-2</v>
      </c>
      <c r="AD48" s="101">
        <f>IFERROR(AD22/'Summary Table'!Z22, "NA")</f>
        <v>9.7720029660747221E-2</v>
      </c>
      <c r="AE48" s="101">
        <f>IFERROR(AE22/'Summary Table'!AA22, "NA")</f>
        <v>-6.0365829487745749E-2</v>
      </c>
      <c r="AF48" s="101">
        <f>IFERROR(AF22/'Summary Table'!AB22, "NA")</f>
        <v>-0.15539858111117485</v>
      </c>
      <c r="AG48" s="101">
        <f>IFERROR(AG22/'Summary Table'!AC22, "NA")</f>
        <v>-4.2501459091958703E-2</v>
      </c>
      <c r="AH48" s="101">
        <f>IFERROR(AH22/'Summary Table'!AD22, "NA")</f>
        <v>0.24096652850081285</v>
      </c>
      <c r="AI48" s="101">
        <f>IFERROR(AI22/'Summary Table'!AE22, "NA")</f>
        <v>3.5480450655175855E-2</v>
      </c>
      <c r="AJ48" s="101">
        <f>IFERROR(AJ22/'Summary Table'!AF22, "NA")</f>
        <v>-0.13349409291598463</v>
      </c>
      <c r="AK48" s="101">
        <f>IFERROR(AK22/'Summary Table'!AG22, "NA")</f>
        <v>1.6306534137412496E-2</v>
      </c>
      <c r="AL48" s="101">
        <f>IFERROR(AL22/'Summary Table'!AH22, "NA")</f>
        <v>2.9071998941913126E-2</v>
      </c>
    </row>
    <row r="49" spans="6:38">
      <c r="F49" s="6" t="s">
        <v>1441</v>
      </c>
      <c r="G49" s="52">
        <f>G23/'Summary Table'!C23</f>
        <v>-1.2233745636119045E-2</v>
      </c>
      <c r="H49" s="52">
        <f>H23/'Summary Table'!D23</f>
        <v>-0.11975702528929018</v>
      </c>
      <c r="I49" s="52">
        <f>I23/'Summary Table'!E23</f>
        <v>-0.11982585641442121</v>
      </c>
      <c r="J49" s="52">
        <f>J23/'Summary Table'!F23</f>
        <v>-8.8703141296480239E-3</v>
      </c>
      <c r="K49" s="52">
        <f>K23/'Summary Table'!G23</f>
        <v>-7.0574444009439075E-2</v>
      </c>
      <c r="L49" s="52">
        <f>L23/'Summary Table'!H23</f>
        <v>4.6588337171520958E-2</v>
      </c>
      <c r="M49" s="52">
        <f>M23/'Summary Table'!I23</f>
        <v>-6.4690333703628311E-2</v>
      </c>
      <c r="N49" s="52">
        <f>N23/'Summary Table'!J23</f>
        <v>-6.6740585793037585E-2</v>
      </c>
      <c r="O49" s="101">
        <f>O23/'Summary Table'!K23</f>
        <v>-4.3363528188204652E-2</v>
      </c>
      <c r="P49" s="101">
        <f>P23/'Summary Table'!L23</f>
        <v>0.2071683979448376</v>
      </c>
      <c r="Q49" s="101">
        <f>Q23/'Summary Table'!M23</f>
        <v>-4.7894419397483201E-3</v>
      </c>
      <c r="R49" s="101">
        <f>R23/'Summary Table'!N23</f>
        <v>-9.1695661659764616E-2</v>
      </c>
      <c r="S49" s="101">
        <f>S23/'Summary Table'!O23</f>
        <v>0.18913368393916566</v>
      </c>
      <c r="T49" s="101">
        <f>T23/'Summary Table'!P23</f>
        <v>-1.7290555992617914E-2</v>
      </c>
      <c r="U49" s="101">
        <f>U23/'Summary Table'!Q23</f>
        <v>-6.1525245254357472E-2</v>
      </c>
      <c r="V49" s="101">
        <f>V23/'Summary Table'!R23</f>
        <v>-6.3469467229626181E-2</v>
      </c>
      <c r="W49" s="101">
        <f>IFERROR(W23/'Summary Table'!S23, "NA")</f>
        <v>1.9215637109360799E-2</v>
      </c>
      <c r="X49" s="101">
        <f>IFERROR(X23/'Summary Table'!T23, "NA")</f>
        <v>-7.7270642334116388E-2</v>
      </c>
      <c r="Y49" s="101">
        <f>IFERROR(Y23/'Summary Table'!U23, "NA")</f>
        <v>7.1946638294293416E-2</v>
      </c>
      <c r="Z49" s="101">
        <f>IFERROR(Z23/'Summary Table'!V23, "NA")</f>
        <v>-3.8598175496065208E-2</v>
      </c>
      <c r="AA49" s="101">
        <f>IFERROR(AA23/'Summary Table'!W23, "NA")</f>
        <v>-3.4517425271368918E-2</v>
      </c>
      <c r="AB49" s="101">
        <f>IFERROR(AB23/'Summary Table'!X23, "NA")</f>
        <v>-0.1825588901239909</v>
      </c>
      <c r="AC49" s="101">
        <f>IFERROR(AC23/'Summary Table'!Y23, "NA")</f>
        <v>4.8864382965526858E-2</v>
      </c>
      <c r="AD49" s="101">
        <f>IFERROR(AD23/'Summary Table'!Z23, "NA")</f>
        <v>-3.9446870688881003E-2</v>
      </c>
      <c r="AE49" s="101">
        <f>IFERROR(AE23/'Summary Table'!AA23, "NA")</f>
        <v>0.67974117633445108</v>
      </c>
      <c r="AF49" s="101">
        <f>IFERROR(AF23/'Summary Table'!AB23, "NA")</f>
        <v>-0.1110007907647704</v>
      </c>
      <c r="AG49" s="101">
        <f>IFERROR(AG23/'Summary Table'!AC23, "NA")</f>
        <v>-3.0614673623630465E-2</v>
      </c>
      <c r="AH49" s="101">
        <f>IFERROR(AH23/'Summary Table'!AD23, "NA")</f>
        <v>-9.2051815907388507E-2</v>
      </c>
      <c r="AI49" s="101">
        <f>IFERROR(AI23/'Summary Table'!AE23, "NA")</f>
        <v>0.10111143033775323</v>
      </c>
      <c r="AJ49" s="101">
        <f>IFERROR(AJ23/'Summary Table'!AF23, "NA")</f>
        <v>-4.9166770002156336E-2</v>
      </c>
      <c r="AK49" s="101">
        <f>IFERROR(AK23/'Summary Table'!AG23, "NA")</f>
        <v>2.4170734423501716E-2</v>
      </c>
      <c r="AL49" s="101">
        <f>IFERROR(AL23/'Summary Table'!AH23, "NA")</f>
        <v>-8.3806922508449636E-2</v>
      </c>
    </row>
    <row r="50" spans="6:38">
      <c r="F50" s="6" t="s">
        <v>1443</v>
      </c>
      <c r="G50" s="52">
        <f>G24/'Summary Table'!C24</f>
        <v>-4.2774392603997957E-2</v>
      </c>
      <c r="H50" s="52">
        <f>H24/'Summary Table'!D24</f>
        <v>2.8163836855491734E-2</v>
      </c>
      <c r="I50" s="52">
        <f>I24/'Summary Table'!E24</f>
        <v>-2.6314973098902083E-2</v>
      </c>
      <c r="J50" s="52">
        <f>J24/'Summary Table'!F24</f>
        <v>-1.428650708696181E-2</v>
      </c>
      <c r="K50" s="52">
        <f>K24/'Summary Table'!G24</f>
        <v>1.0606029977401083E-2</v>
      </c>
      <c r="L50" s="52">
        <f>L24/'Summary Table'!H24</f>
        <v>2.7921555534629692E-2</v>
      </c>
      <c r="M50" s="52">
        <f>M24/'Summary Table'!I24</f>
        <v>-1.9930998217597657E-2</v>
      </c>
      <c r="N50" s="52">
        <f>N24/'Summary Table'!J24</f>
        <v>1.7439850365604803E-3</v>
      </c>
      <c r="O50" s="101">
        <f>O24/'Summary Table'!K24</f>
        <v>-7.3729557790981143E-2</v>
      </c>
      <c r="P50" s="101">
        <f>P24/'Summary Table'!L24</f>
        <v>0.10010023152303811</v>
      </c>
      <c r="Q50" s="101">
        <f>Q24/'Summary Table'!M24</f>
        <v>4.0768527496698001E-2</v>
      </c>
      <c r="R50" s="101">
        <f>R24/'Summary Table'!N24</f>
        <v>-1.5665812996304217E-2</v>
      </c>
      <c r="S50" s="101">
        <f>S24/'Summary Table'!O24</f>
        <v>1.9701269507678358E-2</v>
      </c>
      <c r="T50" s="101">
        <f>T24/'Summary Table'!P24</f>
        <v>6.4998516325610975E-2</v>
      </c>
      <c r="U50" s="101">
        <f>U24/'Summary Table'!Q24</f>
        <v>1.1426105568089326E-2</v>
      </c>
      <c r="V50" s="101">
        <f>V24/'Summary Table'!R24</f>
        <v>6.7746849100635526E-2</v>
      </c>
      <c r="W50" s="101">
        <f>IFERROR(W24/'Summary Table'!S24, "NA")</f>
        <v>-4.1193955041196453E-2</v>
      </c>
      <c r="X50" s="101">
        <f>IFERROR(X24/'Summary Table'!T24, "NA")</f>
        <v>-9.9263820453566895E-2</v>
      </c>
      <c r="Y50" s="101">
        <f>IFERROR(Y24/'Summary Table'!U24, "NA")</f>
        <v>-9.5465857690300637E-2</v>
      </c>
      <c r="Z50" s="101">
        <f>IFERROR(Z24/'Summary Table'!V24, "NA")</f>
        <v>1.7594318854283943E-2</v>
      </c>
      <c r="AA50" s="101">
        <f>IFERROR(AA24/'Summary Table'!W24, "NA")</f>
        <v>4.179630450652917E-3</v>
      </c>
      <c r="AB50" s="101">
        <f>IFERROR(AB24/'Summary Table'!X24, "NA")</f>
        <v>-2.8014266818211261E-3</v>
      </c>
      <c r="AC50" s="101">
        <f>IFERROR(AC24/'Summary Table'!Y24, "NA")</f>
        <v>4.3454454866051213E-2</v>
      </c>
      <c r="AD50" s="101">
        <f>IFERROR(AD24/'Summary Table'!Z24, "NA")</f>
        <v>-9.2722157753420589E-2</v>
      </c>
      <c r="AE50" s="101">
        <f>IFERROR(AE24/'Summary Table'!AA24, "NA")</f>
        <v>-2.6223618599724521E-2</v>
      </c>
      <c r="AF50" s="101">
        <f>IFERROR(AF24/'Summary Table'!AB24, "NA")</f>
        <v>-9.5891748858243208E-3</v>
      </c>
      <c r="AG50" s="101">
        <f>IFERROR(AG24/'Summary Table'!AC24, "NA")</f>
        <v>-3.8837262828323754E-2</v>
      </c>
      <c r="AH50" s="101">
        <f>IFERROR(AH24/'Summary Table'!AD24, "NA")</f>
        <v>2.1066513719644318E-2</v>
      </c>
      <c r="AI50" s="101">
        <f>IFERROR(AI24/'Summary Table'!AE24, "NA")</f>
        <v>-3.9519701537020037E-2</v>
      </c>
      <c r="AJ50" s="101">
        <f>IFERROR(AJ24/'Summary Table'!AF24, "NA")</f>
        <v>-0.12269112702557838</v>
      </c>
      <c r="AK50" s="101">
        <f>IFERROR(AK24/'Summary Table'!AG24, "NA")</f>
        <v>3.5998848392910204E-2</v>
      </c>
      <c r="AL50" s="101">
        <f>IFERROR(AL24/'Summary Table'!AH24, "NA")</f>
        <v>-1.2852061723886895E-2</v>
      </c>
    </row>
    <row r="51" spans="6:38">
      <c r="F51" s="6" t="s">
        <v>1445</v>
      </c>
      <c r="G51" s="52">
        <f>G25/'Summary Table'!C25</f>
        <v>-3.0347928105926087E-2</v>
      </c>
      <c r="H51" s="52">
        <f>H25/'Summary Table'!D25</f>
        <v>4.0277229054069413E-2</v>
      </c>
      <c r="I51" s="52">
        <f>I25/'Summary Table'!E25</f>
        <v>2.0085901156711328E-2</v>
      </c>
      <c r="J51" s="52">
        <f>J25/'Summary Table'!F25</f>
        <v>2.8439119049916584E-2</v>
      </c>
      <c r="K51" s="52">
        <f>K25/'Summary Table'!G25</f>
        <v>1.7077165115882378E-2</v>
      </c>
      <c r="L51" s="52">
        <f>L25/'Summary Table'!H25</f>
        <v>2.9825477114991606E-2</v>
      </c>
      <c r="M51" s="52">
        <f>M25/'Summary Table'!I25</f>
        <v>8.7196077444720299E-3</v>
      </c>
      <c r="N51" s="52">
        <f>N25/'Summary Table'!J25</f>
        <v>2.5905189996596099E-2</v>
      </c>
      <c r="O51" s="101">
        <f>O25/'Summary Table'!K25</f>
        <v>4.0703465726820751E-2</v>
      </c>
      <c r="P51" s="101">
        <f>P25/'Summary Table'!L25</f>
        <v>2.6902920227395394E-2</v>
      </c>
      <c r="Q51" s="101">
        <f>Q25/'Summary Table'!M25</f>
        <v>-1.6494670669317368E-2</v>
      </c>
      <c r="R51" s="101">
        <f>R25/'Summary Table'!N25</f>
        <v>2.2200535314248766E-2</v>
      </c>
      <c r="S51" s="101">
        <f>S25/'Summary Table'!O25</f>
        <v>7.2422442369768887E-3</v>
      </c>
      <c r="T51" s="101">
        <f>T25/'Summary Table'!P25</f>
        <v>1.943701958757103E-2</v>
      </c>
      <c r="U51" s="101">
        <f>U25/'Summary Table'!Q25</f>
        <v>6.7185408610241316E-3</v>
      </c>
      <c r="V51" s="101">
        <f>V25/'Summary Table'!R25</f>
        <v>2.8705141497802246E-4</v>
      </c>
      <c r="W51" s="101">
        <f>IFERROR(W25/'Summary Table'!S25, "NA")</f>
        <v>-2.4316662179088826E-4</v>
      </c>
      <c r="X51" s="101">
        <f>IFERROR(X25/'Summary Table'!T25, "NA")</f>
        <v>-5.6189207620869805E-2</v>
      </c>
      <c r="Y51" s="101">
        <f>IFERROR(Y25/'Summary Table'!U25, "NA")</f>
        <v>-4.2034200279290328E-2</v>
      </c>
      <c r="Z51" s="101">
        <f>IFERROR(Z25/'Summary Table'!V25, "NA")</f>
        <v>4.7861026486492571E-3</v>
      </c>
      <c r="AA51" s="101">
        <f>IFERROR(AA25/'Summary Table'!W25, "NA")</f>
        <v>-1.6292723060499163E-2</v>
      </c>
      <c r="AB51" s="101">
        <f>IFERROR(AB25/'Summary Table'!X25, "NA")</f>
        <v>-8.2205280790329151E-3</v>
      </c>
      <c r="AC51" s="101">
        <f>IFERROR(AC25/'Summary Table'!Y25, "NA")</f>
        <v>2.4556823372593991E-3</v>
      </c>
      <c r="AD51" s="101">
        <f>IFERROR(AD25/'Summary Table'!Z25, "NA")</f>
        <v>2.7812593092638432E-2</v>
      </c>
      <c r="AE51" s="101">
        <f>IFERROR(AE25/'Summary Table'!AA25, "NA")</f>
        <v>7.1181017998047632E-3</v>
      </c>
      <c r="AF51" s="101">
        <f>IFERROR(AF25/'Summary Table'!AB25, "NA")</f>
        <v>2.31525043125172E-2</v>
      </c>
      <c r="AG51" s="101">
        <f>IFERROR(AG25/'Summary Table'!AC25, "NA")</f>
        <v>1.1760254868541289E-2</v>
      </c>
      <c r="AH51" s="101">
        <f>IFERROR(AH25/'Summary Table'!AD25, "NA")</f>
        <v>1.390589961733096E-2</v>
      </c>
      <c r="AI51" s="101">
        <f>IFERROR(AI25/'Summary Table'!AE25, "NA")</f>
        <v>-2.5605830529001452E-3</v>
      </c>
      <c r="AJ51" s="101">
        <f>IFERROR(AJ25/'Summary Table'!AF25, "NA")</f>
        <v>-0.13855580441624349</v>
      </c>
      <c r="AK51" s="101">
        <f>IFERROR(AK25/'Summary Table'!AG25, "NA")</f>
        <v>0.11503920302061774</v>
      </c>
      <c r="AL51" s="101">
        <f>IFERROR(AL25/'Summary Table'!AH25, "NA")</f>
        <v>1.3176718118764759E-2</v>
      </c>
    </row>
    <row r="52" spans="6:38">
      <c r="F52" s="6" t="s">
        <v>1474</v>
      </c>
      <c r="G52" s="52">
        <f>G26/'Summary Table'!C26</f>
        <v>-7.0329453792325108E-2</v>
      </c>
      <c r="H52" s="52">
        <f>H26/'Summary Table'!D26</f>
        <v>-0.16708361406244113</v>
      </c>
      <c r="I52" s="52">
        <f>I26/'Summary Table'!E26</f>
        <v>0.1441545702090643</v>
      </c>
      <c r="J52" s="52">
        <f>J26/'Summary Table'!F26</f>
        <v>-5.9810658479989239E-2</v>
      </c>
      <c r="K52" s="52">
        <f>K26/'Summary Table'!G26</f>
        <v>-0.27736552171089274</v>
      </c>
      <c r="L52" s="52">
        <f>L26/'Summary Table'!H26</f>
        <v>7.978838472182849E-2</v>
      </c>
      <c r="M52" s="52">
        <f>M26/'Summary Table'!I26</f>
        <v>0.13898464865242896</v>
      </c>
      <c r="N52" s="52">
        <f>N26/'Summary Table'!J26</f>
        <v>0.40238687256233946</v>
      </c>
      <c r="O52" s="101">
        <f>O26/'Summary Table'!K26</f>
        <v>-7.3367684519526424E-2</v>
      </c>
      <c r="P52" s="101">
        <f>P26/'Summary Table'!L26</f>
        <v>-5.6577790629583687E-2</v>
      </c>
      <c r="Q52" s="101">
        <f>Q26/'Summary Table'!M26</f>
        <v>0.11337653148072087</v>
      </c>
      <c r="R52" s="101">
        <f>R26/'Summary Table'!N26</f>
        <v>-0.22023062656157791</v>
      </c>
      <c r="S52" s="101">
        <f>S26/'Summary Table'!O26</f>
        <v>0.23775689479684442</v>
      </c>
      <c r="T52" s="101">
        <f>T26/'Summary Table'!P26</f>
        <v>7.543415587984369E-3</v>
      </c>
      <c r="U52" s="101">
        <f>U26/'Summary Table'!Q26</f>
        <v>2.2134390751603492E-2</v>
      </c>
      <c r="V52" s="101">
        <f>V26/'Summary Table'!R26</f>
        <v>-0.4561812974580482</v>
      </c>
      <c r="W52" s="101">
        <f>IFERROR(W26/'Summary Table'!S26, "NA")</f>
        <v>-5.8494036343803299E-3</v>
      </c>
      <c r="X52" s="101">
        <f>IFERROR(X26/'Summary Table'!T26, "NA")</f>
        <v>-0.27523802189895796</v>
      </c>
      <c r="Y52" s="101">
        <f>IFERROR(Y26/'Summary Table'!U26, "NA")</f>
        <v>-0.16086876061997871</v>
      </c>
      <c r="Z52" s="101">
        <f>IFERROR(Z26/'Summary Table'!V26, "NA")</f>
        <v>-2.4290713054388395E-2</v>
      </c>
      <c r="AA52" s="101">
        <f>IFERROR(AA26/'Summary Table'!W26, "NA")</f>
        <v>-0.17809804690416117</v>
      </c>
      <c r="AB52" s="101">
        <f>IFERROR(AB26/'Summary Table'!X26, "NA")</f>
        <v>-0.29028238761854341</v>
      </c>
      <c r="AC52" s="101">
        <f>IFERROR(AC26/'Summary Table'!Y26, "NA")</f>
        <v>0.22292681623212285</v>
      </c>
      <c r="AD52" s="101">
        <f>IFERROR(AD26/'Summary Table'!Z26, "NA")</f>
        <v>0.12864911251032443</v>
      </c>
      <c r="AE52" s="101">
        <f>IFERROR(AE26/'Summary Table'!AA26, "NA")</f>
        <v>-6.4412623573784883E-2</v>
      </c>
      <c r="AF52" s="101">
        <f>IFERROR(AF26/'Summary Table'!AB26, "NA")</f>
        <v>-9.3621505702166985E-2</v>
      </c>
      <c r="AG52" s="101">
        <f>IFERROR(AG26/'Summary Table'!AC26, "NA")</f>
        <v>-0.11824822755842077</v>
      </c>
      <c r="AH52" s="101">
        <f>IFERROR(AH26/'Summary Table'!AD26, "NA")</f>
        <v>0.17415317117219142</v>
      </c>
      <c r="AI52" s="101">
        <f>IFERROR(AI26/'Summary Table'!AE26, "NA")</f>
        <v>-0.27252854728189807</v>
      </c>
      <c r="AJ52" s="101">
        <f>IFERROR(AJ26/'Summary Table'!AF26, "NA")</f>
        <v>2.9677063565944134E-4</v>
      </c>
      <c r="AK52" s="101">
        <f>IFERROR(AK26/'Summary Table'!AG26, "NA")</f>
        <v>9.570069846785792E-2</v>
      </c>
      <c r="AL52" s="101">
        <f>IFERROR(AL26/'Summary Table'!AH26, "NA")</f>
        <v>0.15858427784831181</v>
      </c>
    </row>
    <row r="53" spans="6:38">
      <c r="F53" s="6" t="s">
        <v>1476</v>
      </c>
      <c r="G53" s="52">
        <f>G27/'Summary Table'!C27</f>
        <v>-4.0468441683469074E-2</v>
      </c>
      <c r="H53" s="52">
        <f>H27/'Summary Table'!D27</f>
        <v>0.15123245878790073</v>
      </c>
      <c r="I53" s="52">
        <f>I27/'Summary Table'!E27</f>
        <v>3.0584630528897972E-2</v>
      </c>
      <c r="J53" s="52">
        <f>J27/'Summary Table'!F27</f>
        <v>9.454322355409954E-2</v>
      </c>
      <c r="K53" s="52">
        <f>K27/'Summary Table'!G27</f>
        <v>-0.13127744434478947</v>
      </c>
      <c r="L53" s="52">
        <f>L27/'Summary Table'!H27</f>
        <v>-8.4374442922277151E-2</v>
      </c>
      <c r="M53" s="52">
        <f>M27/'Summary Table'!I27</f>
        <v>1.5337746236743511E-2</v>
      </c>
      <c r="N53" s="52">
        <f>N27/'Summary Table'!J27</f>
        <v>-3.2681929810100721E-2</v>
      </c>
      <c r="O53" s="101">
        <f>O27/'Summary Table'!K27</f>
        <v>-0.20747577097085668</v>
      </c>
      <c r="P53" s="101">
        <f>P27/'Summary Table'!L27</f>
        <v>1.3840629410781502</v>
      </c>
      <c r="Q53" s="101">
        <f>Q27/'Summary Table'!M27</f>
        <v>0.33327745608385057</v>
      </c>
      <c r="R53" s="101">
        <f>R27/'Summary Table'!N27</f>
        <v>-0.12379141096670652</v>
      </c>
      <c r="S53" s="101">
        <f>S27/'Summary Table'!O27</f>
        <v>0.10393806667024581</v>
      </c>
      <c r="T53" s="101">
        <f>T27/'Summary Table'!P27</f>
        <v>5.1572964249222607E-2</v>
      </c>
      <c r="U53" s="101">
        <f>U27/'Summary Table'!Q27</f>
        <v>-2.2806305946526974E-2</v>
      </c>
      <c r="V53" s="101">
        <f>V27/'Summary Table'!R27</f>
        <v>-2.2634350819934004E-2</v>
      </c>
      <c r="W53" s="101">
        <f>IFERROR(W27/'Summary Table'!S27, "NA")</f>
        <v>-0.10000989390235629</v>
      </c>
      <c r="X53" s="101">
        <f>IFERROR(X27/'Summary Table'!T27, "NA")</f>
        <v>-0.19960872157933615</v>
      </c>
      <c r="Y53" s="101">
        <f>IFERROR(Y27/'Summary Table'!U27, "NA")</f>
        <v>1.8409586701659927E-2</v>
      </c>
      <c r="Z53" s="101">
        <f>IFERROR(Z27/'Summary Table'!V27, "NA")</f>
        <v>-0.12506735015592377</v>
      </c>
      <c r="AA53" s="101">
        <f>IFERROR(AA27/'Summary Table'!W27, "NA")</f>
        <v>-2.1589267045946253E-2</v>
      </c>
      <c r="AB53" s="101">
        <f>IFERROR(AB27/'Summary Table'!X27, "NA")</f>
        <v>-7.3002923851606241E-2</v>
      </c>
      <c r="AC53" s="101">
        <f>IFERROR(AC27/'Summary Table'!Y27, "NA")</f>
        <v>-0.19557988544799695</v>
      </c>
      <c r="AD53" s="101">
        <f>IFERROR(AD27/'Summary Table'!Z27, "NA")</f>
        <v>-6.3427796980642511E-3</v>
      </c>
      <c r="AE53" s="101">
        <f>IFERROR(AE27/'Summary Table'!AA27, "NA")</f>
        <v>2.5879172685458904E-2</v>
      </c>
      <c r="AF53" s="101">
        <f>IFERROR(AF27/'Summary Table'!AB27, "NA")</f>
        <v>-0.11976948603071899</v>
      </c>
      <c r="AG53" s="101">
        <f>IFERROR(AG27/'Summary Table'!AC27, "NA")</f>
        <v>8.0424386456381683E-2</v>
      </c>
      <c r="AH53" s="101">
        <f>IFERROR(AH27/'Summary Table'!AD27, "NA")</f>
        <v>-4.9194147802061466E-2</v>
      </c>
      <c r="AI53" s="101">
        <f>IFERROR(AI27/'Summary Table'!AE27, "NA")</f>
        <v>-0.12872411644247833</v>
      </c>
      <c r="AJ53" s="101">
        <f>IFERROR(AJ27/'Summary Table'!AF27, "NA")</f>
        <v>3.9707256854702687E-3</v>
      </c>
      <c r="AK53" s="101">
        <f>IFERROR(AK27/'Summary Table'!AG27, "NA")</f>
        <v>-3.3516289577025155E-2</v>
      </c>
      <c r="AL53" s="101">
        <f>IFERROR(AL27/'Summary Table'!AH27, "NA")</f>
        <v>-1.2749354738492998E-4</v>
      </c>
    </row>
    <row r="54" spans="6:38">
      <c r="F54" s="5" t="s">
        <v>82</v>
      </c>
      <c r="G54" s="54">
        <f>G28/'Summary Table'!C28</f>
        <v>1.7454092306189758E-3</v>
      </c>
      <c r="H54" s="54">
        <f>H28/'Summary Table'!D28</f>
        <v>9.1611819627595934E-3</v>
      </c>
      <c r="I54" s="54">
        <f>I28/'Summary Table'!E28</f>
        <v>2.1000254587797477E-2</v>
      </c>
      <c r="J54" s="54">
        <f>J28/'Summary Table'!F28</f>
        <v>-7.4405107264201409E-2</v>
      </c>
      <c r="K54" s="54">
        <f>K28/'Summary Table'!G28</f>
        <v>-0.16778381212073354</v>
      </c>
      <c r="L54" s="54">
        <f>L28/'Summary Table'!H28</f>
        <v>8.0814577757822456E-2</v>
      </c>
      <c r="M54" s="54">
        <f>M28/'Summary Table'!I28</f>
        <v>3.80703926075271E-2</v>
      </c>
      <c r="N54" s="54">
        <f>N28/'Summary Table'!J28</f>
        <v>-4.1678816964780575E-3</v>
      </c>
      <c r="O54" s="105">
        <f>O28/'Summary Table'!K28</f>
        <v>1.4612052182271844E-2</v>
      </c>
      <c r="P54" s="105">
        <f>P28/'Summary Table'!L28</f>
        <v>-4.9494459875364022E-2</v>
      </c>
      <c r="Q54" s="105">
        <f>Q28/'Summary Table'!M28</f>
        <v>-2.5023127179869847E-2</v>
      </c>
      <c r="R54" s="105">
        <f>R28/'Summary Table'!N28</f>
        <v>4.2912357835725244E-2</v>
      </c>
      <c r="S54" s="105">
        <f>S28/'Summary Table'!O28</f>
        <v>-4.5357032151156409E-3</v>
      </c>
      <c r="T54" s="105">
        <f>T28/'Summary Table'!P28</f>
        <v>1.4059932501885261E-3</v>
      </c>
      <c r="U54" s="105">
        <f>U28/'Summary Table'!Q28</f>
        <v>-1.3536174709064035E-2</v>
      </c>
      <c r="V54" s="105">
        <f>V28/'Summary Table'!R28</f>
        <v>-1.3204171104197011E-2</v>
      </c>
      <c r="W54" s="105">
        <f>IFERROR(W28/'Summary Table'!S28, "NA")</f>
        <v>6.5550266089696232E-3</v>
      </c>
      <c r="X54" s="105">
        <f>IFERROR(X28/'Summary Table'!T28, "NA")</f>
        <v>-3.5054675217885543E-2</v>
      </c>
      <c r="Y54" s="105">
        <f>IFERROR(Y28/'Summary Table'!U28, "NA")</f>
        <v>-1.7685788532006277E-2</v>
      </c>
      <c r="Z54" s="105">
        <f>IFERROR(Z28/'Summary Table'!V28, "NA")</f>
        <v>-1.6995597991158674E-2</v>
      </c>
      <c r="AA54" s="105">
        <f>IFERROR(AA28/'Summary Table'!W28, "NA")</f>
        <v>2.2099582232143471E-2</v>
      </c>
      <c r="AB54" s="105">
        <f>IFERROR(AB28/'Summary Table'!X28, "NA")</f>
        <v>3.000117134680986E-3</v>
      </c>
      <c r="AC54" s="105">
        <f>IFERROR(AC28/'Summary Table'!Y28, "NA")</f>
        <v>-1.0036576979669793E-2</v>
      </c>
      <c r="AD54" s="105">
        <f>IFERROR(AD28/'Summary Table'!Z28, "NA")</f>
        <v>-2.2440296221740909E-2</v>
      </c>
      <c r="AE54" s="105">
        <f>IFERROR(AE28/'Summary Table'!AA28, "NA")</f>
        <v>-2.1051262736525949E-2</v>
      </c>
      <c r="AF54" s="105">
        <f>IFERROR(AF28/'Summary Table'!AB28, "NA")</f>
        <v>-2.335529577642986E-2</v>
      </c>
      <c r="AG54" s="105">
        <f>IFERROR(AG28/'Summary Table'!AC28, "NA")</f>
        <v>1.4748230738543255E-2</v>
      </c>
      <c r="AH54" s="105">
        <f>IFERROR(AH28/'Summary Table'!AD28, "NA")</f>
        <v>-1.4431705082045868E-2</v>
      </c>
      <c r="AI54" s="105">
        <f>IFERROR(AI28/'Summary Table'!AE28, "NA")</f>
        <v>-8.3354107249111978E-2</v>
      </c>
      <c r="AJ54" s="105">
        <f>IFERROR(AJ28/'Summary Table'!AF28, "NA")</f>
        <v>5.3398210088114517E-2</v>
      </c>
      <c r="AK54" s="105">
        <f>IFERROR(AK28/'Summary Table'!AG28, "NA")</f>
        <v>-3.5330497970482898E-2</v>
      </c>
      <c r="AL54" s="105">
        <f>IFERROR(AL28/'Summary Table'!AH28, "NA")</f>
        <v>9.3874640977333248E-3</v>
      </c>
    </row>
    <row r="55" spans="6:38">
      <c r="F55" s="4" t="s">
        <v>1480</v>
      </c>
      <c r="G55" s="1137">
        <f>G29/'Summary Table'!C30</f>
        <v>-9.8282644217650636E-3</v>
      </c>
      <c r="H55" s="1137">
        <f>H29/'Summary Table'!D30</f>
        <v>1.9709417386486298E-2</v>
      </c>
      <c r="I55" s="1137">
        <f>I29/'Summary Table'!E30</f>
        <v>2.4247079809871244E-2</v>
      </c>
      <c r="J55" s="1137">
        <f>J29/'Summary Table'!F30</f>
        <v>1.270743401457714E-2</v>
      </c>
      <c r="K55" s="1137">
        <f>K29/'Summary Table'!G30</f>
        <v>1.1967854343701878E-2</v>
      </c>
      <c r="L55" s="1137">
        <f>L29/'Summary Table'!H30</f>
        <v>3.4760947430085148E-2</v>
      </c>
      <c r="M55" s="1137">
        <f>M29/'Summary Table'!I30</f>
        <v>1.1598418528455593E-2</v>
      </c>
      <c r="N55" s="1137">
        <f>N29/'Summary Table'!J30</f>
        <v>1.1972520286257036E-2</v>
      </c>
      <c r="O55" s="1138">
        <f>O29/'Summary Table'!K30</f>
        <v>8.4180423915191441E-3</v>
      </c>
      <c r="P55" s="1138">
        <f>P29/'Summary Table'!L30</f>
        <v>4.5850168026975155E-2</v>
      </c>
      <c r="Q55" s="1138">
        <f>Q29/'Summary Table'!M30</f>
        <v>-1.7170083509530216E-2</v>
      </c>
      <c r="R55" s="1138">
        <f>R29/'Summary Table'!N30</f>
        <v>7.443647332340186E-3</v>
      </c>
      <c r="S55" s="1138">
        <f>S29/'Summary Table'!O30</f>
        <v>1.2439669222267944E-2</v>
      </c>
      <c r="T55" s="1138">
        <f>T29/'Summary Table'!P30</f>
        <v>1.4036001931094465E-2</v>
      </c>
      <c r="U55" s="1138">
        <f>U29/'Summary Table'!Q30</f>
        <v>4.560831485492866E-3</v>
      </c>
      <c r="V55" s="1138">
        <f>V29/'Summary Table'!R30</f>
        <v>-1.5439606278563531E-2</v>
      </c>
      <c r="W55" s="1138">
        <f>IFERROR(W29/'Summary Table'!S30, "NA")</f>
        <v>1.485135490477011E-2</v>
      </c>
      <c r="X55" s="1138">
        <f>IFERROR(X29/'Summary Table'!T30, "NA")</f>
        <v>-3.2608452664019204E-2</v>
      </c>
      <c r="Y55" s="1138">
        <f>IFERROR(Y29/'Summary Table'!U30, "NA")</f>
        <v>-6.6394486728824045E-2</v>
      </c>
      <c r="Z55" s="1138">
        <f>IFERROR(Z29/'Summary Table'!V30, "NA")</f>
        <v>3.0323264909500248E-2</v>
      </c>
      <c r="AA55" s="1138">
        <f>IFERROR(AA29/'Summary Table'!W30, "NA")</f>
        <v>-2.4740046927704887E-2</v>
      </c>
      <c r="AB55" s="1138">
        <f>IFERROR(AB29/'Summary Table'!X30, "NA")</f>
        <v>-3.9714999393062084E-2</v>
      </c>
      <c r="AC55" s="1138">
        <f>IFERROR(AC29/'Summary Table'!Y30, "NA")</f>
        <v>2.4275202155230147E-2</v>
      </c>
      <c r="AD55" s="1138">
        <f>IFERROR(AD29/'Summary Table'!Z30, "NA")</f>
        <v>9.7586615897322058E-3</v>
      </c>
      <c r="AE55" s="1138">
        <f>IFERROR(AE29/'Summary Table'!AA30, "NA")</f>
        <v>-3.1880233578124556E-2</v>
      </c>
      <c r="AF55" s="1138">
        <f>IFERROR(AF29/'Summary Table'!AB30, "NA")</f>
        <v>-1.9383865656703612E-2</v>
      </c>
      <c r="AG55" s="1138">
        <f>IFERROR(AG29/'Summary Table'!AC30, "NA")</f>
        <v>-1.3009052437369464E-2</v>
      </c>
      <c r="AH55" s="1138">
        <f>IFERROR(AH29/'Summary Table'!AD30, "NA")</f>
        <v>2.8791241526579553E-2</v>
      </c>
      <c r="AI55" s="1138">
        <f>IFERROR(AI29/'Summary Table'!AE30, "NA")</f>
        <v>-2.8495514461138353E-2</v>
      </c>
      <c r="AJ55" s="1138">
        <f>IFERROR(AJ29/'Summary Table'!AF30, "NA")</f>
        <v>-0.10570397291754866</v>
      </c>
      <c r="AK55" s="1138">
        <f>IFERROR(AK29/'Summary Table'!AG30, "NA")</f>
        <v>7.2392302508419812E-2</v>
      </c>
      <c r="AL55" s="1138">
        <f>IFERROR(AL29/'Summary Table'!AH30, "NA")</f>
        <v>1.017477457988347E-2</v>
      </c>
    </row>
    <row r="56" spans="6:38">
      <c r="F56" s="37"/>
    </row>
    <row r="57" spans="6:38">
      <c r="F57" s="37"/>
      <c r="G57" s="1236" t="s">
        <v>1576</v>
      </c>
      <c r="H57" s="1237"/>
      <c r="I57" s="1237"/>
      <c r="J57" s="1237"/>
      <c r="K57" s="1237"/>
      <c r="L57" s="1237"/>
      <c r="M57" s="1237"/>
      <c r="N57" s="1237"/>
      <c r="O57" s="1237"/>
      <c r="P57" s="1237"/>
      <c r="Q57" s="1237"/>
      <c r="R57" s="1237"/>
      <c r="S57" s="1237"/>
      <c r="T57" s="1237"/>
      <c r="U57" s="1237"/>
      <c r="V57" s="1237"/>
      <c r="W57" s="1237"/>
      <c r="X57" s="1237"/>
      <c r="Y57" s="1237"/>
      <c r="Z57" s="1237"/>
    </row>
    <row r="58" spans="6:38">
      <c r="F58" s="121" t="s">
        <v>1469</v>
      </c>
      <c r="G58" s="107" t="s">
        <v>1545</v>
      </c>
      <c r="H58" s="108" t="s">
        <v>1546</v>
      </c>
      <c r="I58" s="108" t="s">
        <v>1547</v>
      </c>
      <c r="J58" s="108" t="s">
        <v>1548</v>
      </c>
      <c r="K58" s="108" t="s">
        <v>1549</v>
      </c>
      <c r="L58" s="108" t="s">
        <v>1550</v>
      </c>
      <c r="M58" s="108" t="s">
        <v>1551</v>
      </c>
      <c r="N58" s="109" t="s">
        <v>1552</v>
      </c>
      <c r="O58" s="109" t="s">
        <v>1553</v>
      </c>
      <c r="P58" s="109" t="s">
        <v>1554</v>
      </c>
      <c r="Q58" s="106" t="s">
        <v>1555</v>
      </c>
      <c r="R58" s="106" t="s">
        <v>1556</v>
      </c>
      <c r="S58" s="225" t="s">
        <v>1557</v>
      </c>
      <c r="T58" s="225" t="s">
        <v>1558</v>
      </c>
      <c r="U58" s="225" t="s">
        <v>1559</v>
      </c>
      <c r="V58" s="225" t="s">
        <v>1560</v>
      </c>
      <c r="W58" s="225" t="s">
        <v>1561</v>
      </c>
      <c r="X58" s="225" t="s">
        <v>1562</v>
      </c>
      <c r="Y58" s="225" t="s">
        <v>1563</v>
      </c>
      <c r="Z58" s="225" t="s">
        <v>1564</v>
      </c>
      <c r="AA58" s="252" t="s">
        <v>1565</v>
      </c>
      <c r="AB58" s="252" t="s">
        <v>1566</v>
      </c>
      <c r="AC58" s="225" t="s">
        <v>1567</v>
      </c>
      <c r="AD58" s="252" t="s">
        <v>1568</v>
      </c>
      <c r="AE58" s="252" t="s">
        <v>1569</v>
      </c>
      <c r="AF58" s="252" t="s">
        <v>1570</v>
      </c>
      <c r="AG58" s="225" t="s">
        <v>1571</v>
      </c>
      <c r="AH58" s="225" t="s">
        <v>1572</v>
      </c>
      <c r="AI58" s="225" t="s">
        <v>1573</v>
      </c>
      <c r="AJ58" s="225" t="s">
        <v>1574</v>
      </c>
      <c r="AK58" s="225" t="s">
        <v>1577</v>
      </c>
      <c r="AL58" s="225" t="s">
        <v>1472</v>
      </c>
    </row>
    <row r="59" spans="6:38">
      <c r="F59" s="5" t="s">
        <v>1435</v>
      </c>
      <c r="G59" s="54">
        <f t="shared" ref="G59:P59" si="2">G7/G$29</f>
        <v>8.4646242768812274E-2</v>
      </c>
      <c r="H59" s="35">
        <f t="shared" si="2"/>
        <v>0.18483071657145514</v>
      </c>
      <c r="I59" s="18">
        <f t="shared" si="2"/>
        <v>0.56222377484866581</v>
      </c>
      <c r="J59" s="18">
        <f t="shared" si="2"/>
        <v>0.10798829808805434</v>
      </c>
      <c r="K59" s="18">
        <f t="shared" si="2"/>
        <v>0.25761216726143182</v>
      </c>
      <c r="L59" s="18">
        <f t="shared" si="2"/>
        <v>0.48533485114507313</v>
      </c>
      <c r="M59" s="18">
        <f t="shared" si="2"/>
        <v>0.74970010708681856</v>
      </c>
      <c r="N59" s="18">
        <f t="shared" si="2"/>
        <v>0.45801180715805512</v>
      </c>
      <c r="O59" s="35">
        <f t="shared" si="2"/>
        <v>2.485228115763731E-4</v>
      </c>
      <c r="P59" s="35">
        <f t="shared" si="2"/>
        <v>0.34807905161133201</v>
      </c>
      <c r="Q59" s="35">
        <f t="shared" ref="Q59:R62" si="3">Q7/Q$29</f>
        <v>0.57180789046635683</v>
      </c>
      <c r="R59" s="36">
        <f t="shared" si="3"/>
        <v>0.23610776211879428</v>
      </c>
      <c r="S59" s="36">
        <f t="shared" ref="S59:T62" si="4">S7/S$29</f>
        <v>0.59739129484811215</v>
      </c>
      <c r="T59" s="36">
        <f t="shared" si="4"/>
        <v>0.1922276541971909</v>
      </c>
      <c r="U59" s="36">
        <f t="shared" ref="U59:V62" si="5">U7/U$29</f>
        <v>1.4367659976776472</v>
      </c>
      <c r="V59" s="36">
        <f t="shared" si="5"/>
        <v>0.39685775234006532</v>
      </c>
      <c r="W59" s="36">
        <f t="shared" ref="W59:X62" si="6">W7/W$29</f>
        <v>0.34908708204671851</v>
      </c>
      <c r="X59" s="36">
        <f t="shared" si="6"/>
        <v>0.17279144498046917</v>
      </c>
      <c r="Y59" s="36">
        <f t="shared" ref="Y59:Z62" si="7">Y7/Y$29</f>
        <v>0.64601279101902387</v>
      </c>
      <c r="Z59" s="36">
        <f t="shared" si="7"/>
        <v>0.59615091114664898</v>
      </c>
      <c r="AA59" s="36">
        <f t="shared" ref="AA59:AB62" si="8">AA7/AA$29</f>
        <v>0.8602698974546702</v>
      </c>
      <c r="AB59" s="36">
        <f t="shared" ref="AB59:AG59" si="9">AB7/AB$29</f>
        <v>1.0656314686315715</v>
      </c>
      <c r="AC59" s="36">
        <f t="shared" si="9"/>
        <v>0.50004166824109997</v>
      </c>
      <c r="AD59" s="36">
        <f t="shared" si="9"/>
        <v>-5.9019528010076483E-2</v>
      </c>
      <c r="AE59" s="36">
        <f t="shared" si="9"/>
        <v>1.3800566393030207</v>
      </c>
      <c r="AF59" s="36">
        <f t="shared" si="9"/>
        <v>1.2054310912285731</v>
      </c>
      <c r="AG59" s="36">
        <f t="shared" si="9"/>
        <v>0.63732495761591845</v>
      </c>
      <c r="AH59" s="36">
        <f t="shared" ref="AH59:AI59" si="10">AH7/AH$29</f>
        <v>-0.41860749720388896</v>
      </c>
      <c r="AI59" s="36">
        <f t="shared" si="10"/>
        <v>1.2922088959091389</v>
      </c>
      <c r="AJ59" s="36">
        <f t="shared" ref="AJ59:AK59" si="11">AJ7/AJ$29</f>
        <v>0.37629981802678225</v>
      </c>
      <c r="AK59" s="36">
        <f t="shared" si="11"/>
        <v>0.3886575968141382</v>
      </c>
      <c r="AL59" s="36">
        <f t="shared" ref="AL59" si="12">AL7/AL$29</f>
        <v>-1.2490212437483417</v>
      </c>
    </row>
    <row r="60" spans="6:38">
      <c r="F60" s="6" t="s">
        <v>1434</v>
      </c>
      <c r="G60" s="52">
        <f t="shared" ref="G60:O60" si="13">G8/G$29</f>
        <v>1.1699531083277837E-2</v>
      </c>
      <c r="H60" s="37">
        <f t="shared" si="13"/>
        <v>3.6239094221205624E-4</v>
      </c>
      <c r="I60" s="19">
        <f t="shared" si="13"/>
        <v>-4.8922208905000527E-5</v>
      </c>
      <c r="J60" s="19">
        <f t="shared" si="13"/>
        <v>-7.6235011793937746E-3</v>
      </c>
      <c r="K60" s="19">
        <f t="shared" si="13"/>
        <v>-5.4205143364271947E-3</v>
      </c>
      <c r="L60" s="19">
        <f t="shared" si="13"/>
        <v>-5.0943852921885035E-4</v>
      </c>
      <c r="M60" s="19">
        <f t="shared" si="13"/>
        <v>-1.0667231909056974E-3</v>
      </c>
      <c r="N60" s="19">
        <f t="shared" si="13"/>
        <v>-6.5808750224834673E-3</v>
      </c>
      <c r="O60" s="37">
        <f t="shared" si="13"/>
        <v>5.086514770412825E-3</v>
      </c>
      <c r="P60" s="37">
        <f>P8/P$29</f>
        <v>-1.0092321011497052E-3</v>
      </c>
      <c r="Q60" s="37">
        <f t="shared" si="3"/>
        <v>-6.0191426473152365E-4</v>
      </c>
      <c r="R60" s="38">
        <f t="shared" si="3"/>
        <v>6.1299085911301575E-4</v>
      </c>
      <c r="S60" s="38">
        <f t="shared" si="4"/>
        <v>3.9240375874967067E-5</v>
      </c>
      <c r="T60" s="38">
        <f t="shared" si="4"/>
        <v>-1.0560067493678509E-3</v>
      </c>
      <c r="U60" s="38">
        <f t="shared" si="5"/>
        <v>-1.0745060300279233E-2</v>
      </c>
      <c r="V60" s="38">
        <f t="shared" si="5"/>
        <v>2.123799576786857E-3</v>
      </c>
      <c r="W60" s="38">
        <f>W8/W$29</f>
        <v>1.4582603331506783E-3</v>
      </c>
      <c r="X60" s="38">
        <f t="shared" si="6"/>
        <v>3.9540904608358135E-3</v>
      </c>
      <c r="Y60" s="38">
        <f t="shared" si="7"/>
        <v>0</v>
      </c>
      <c r="Z60" s="38">
        <f t="shared" si="7"/>
        <v>0</v>
      </c>
      <c r="AA60" s="38">
        <f t="shared" si="8"/>
        <v>0</v>
      </c>
      <c r="AB60" s="38">
        <f t="shared" si="8"/>
        <v>0</v>
      </c>
      <c r="AC60" s="38">
        <f t="shared" ref="AC60:AE62" si="14">AC8/AC$29</f>
        <v>0</v>
      </c>
      <c r="AD60" s="38">
        <f t="shared" si="14"/>
        <v>0</v>
      </c>
      <c r="AE60" s="38">
        <f t="shared" si="14"/>
        <v>0</v>
      </c>
      <c r="AF60" s="38">
        <f t="shared" ref="AF60:AG62" si="15">AF8/AF$29</f>
        <v>0</v>
      </c>
      <c r="AG60" s="38">
        <f t="shared" si="15"/>
        <v>0</v>
      </c>
      <c r="AH60" s="38">
        <f t="shared" ref="AH60:AI60" si="16">AH8/AH$29</f>
        <v>0</v>
      </c>
      <c r="AI60" s="38">
        <f t="shared" si="16"/>
        <v>0</v>
      </c>
      <c r="AJ60" s="38">
        <f t="shared" ref="AJ60:AK60" si="17">AJ8/AJ$29</f>
        <v>0</v>
      </c>
      <c r="AK60" s="38">
        <f t="shared" si="17"/>
        <v>0</v>
      </c>
      <c r="AL60" s="38">
        <f t="shared" ref="AL60" si="18">AL8/AL$29</f>
        <v>0</v>
      </c>
    </row>
    <row r="61" spans="6:38">
      <c r="F61" s="6" t="s">
        <v>1441</v>
      </c>
      <c r="G61" s="52">
        <f t="shared" ref="G61:O61" si="19">G9/G$29</f>
        <v>1.772261939822518E-2</v>
      </c>
      <c r="H61" s="37">
        <f t="shared" si="19"/>
        <v>1.6498426500475385E-3</v>
      </c>
      <c r="I61" s="19">
        <f t="shared" si="19"/>
        <v>-2.2028516904229467E-4</v>
      </c>
      <c r="J61" s="19">
        <f t="shared" si="19"/>
        <v>7.8416748642751687E-4</v>
      </c>
      <c r="K61" s="19">
        <f t="shared" si="19"/>
        <v>-1.8944523561166711E-3</v>
      </c>
      <c r="L61" s="19">
        <f t="shared" si="19"/>
        <v>2.3896576219519473E-3</v>
      </c>
      <c r="M61" s="19">
        <f t="shared" si="19"/>
        <v>1.1232193592837338E-2</v>
      </c>
      <c r="N61" s="19">
        <f t="shared" si="19"/>
        <v>-5.3243735025105383E-2</v>
      </c>
      <c r="O61" s="37">
        <f t="shared" si="19"/>
        <v>1.8659220965834479E-2</v>
      </c>
      <c r="P61" s="37">
        <f>P9/P$29</f>
        <v>-4.0714115575247308E-3</v>
      </c>
      <c r="Q61" s="37">
        <f t="shared" si="3"/>
        <v>-4.8732659282579218E-3</v>
      </c>
      <c r="R61" s="38">
        <f t="shared" si="3"/>
        <v>-1.6524459735524782E-2</v>
      </c>
      <c r="S61" s="38">
        <f t="shared" si="4"/>
        <v>-1.0533076898770314E-2</v>
      </c>
      <c r="T61" s="38">
        <f t="shared" si="4"/>
        <v>2.45954204678848E-2</v>
      </c>
      <c r="U61" s="38">
        <f t="shared" si="5"/>
        <v>-1.9455920765822192E-2</v>
      </c>
      <c r="V61" s="38">
        <f t="shared" si="5"/>
        <v>3.4094253246218405E-2</v>
      </c>
      <c r="W61" s="38">
        <f t="shared" si="6"/>
        <v>4.9549494780984178E-3</v>
      </c>
      <c r="X61" s="38">
        <f t="shared" si="6"/>
        <v>-5.1178285916476177E-3</v>
      </c>
      <c r="Y61" s="38">
        <f t="shared" si="7"/>
        <v>1.8743022369170819E-3</v>
      </c>
      <c r="Z61" s="38">
        <f t="shared" si="7"/>
        <v>-2.1956252906572713E-3</v>
      </c>
      <c r="AA61" s="38">
        <f t="shared" si="8"/>
        <v>5.5696529143801727E-3</v>
      </c>
      <c r="AB61" s="38">
        <f t="shared" si="8"/>
        <v>8.2624095998600437E-3</v>
      </c>
      <c r="AC61" s="38">
        <f t="shared" si="14"/>
        <v>-1.6346253067948558E-3</v>
      </c>
      <c r="AD61" s="38">
        <f t="shared" si="14"/>
        <v>-2.3863233581248506E-3</v>
      </c>
      <c r="AE61" s="38">
        <f t="shared" si="14"/>
        <v>5.1651193230498639E-3</v>
      </c>
      <c r="AF61" s="38">
        <f t="shared" si="15"/>
        <v>7.2119210243472192E-3</v>
      </c>
      <c r="AG61" s="38">
        <f t="shared" si="15"/>
        <v>4.5281359859576809E-3</v>
      </c>
      <c r="AH61" s="38">
        <f t="shared" ref="AH61:AI61" si="20">AH9/AH$29</f>
        <v>-1.3246520610268784E-3</v>
      </c>
      <c r="AI61" s="38">
        <f t="shared" si="20"/>
        <v>1.3458198560082429E-3</v>
      </c>
      <c r="AJ61" s="38">
        <f t="shared" ref="AJ61:AK61" si="21">AJ9/AJ$29</f>
        <v>4.0161130233842227E-4</v>
      </c>
      <c r="AK61" s="38">
        <f t="shared" si="21"/>
        <v>1.1431024713524561E-4</v>
      </c>
      <c r="AL61" s="38">
        <f t="shared" ref="AL61" si="22">AL9/AL$29</f>
        <v>-8.9519812845596347E-4</v>
      </c>
    </row>
    <row r="62" spans="6:38">
      <c r="F62" s="6" t="s">
        <v>1443</v>
      </c>
      <c r="G62" s="52">
        <f t="shared" ref="G62:O62" si="23">G10/G$29</f>
        <v>6.8607888514955251E-2</v>
      </c>
      <c r="H62" s="37">
        <f t="shared" si="23"/>
        <v>-4.7099349020542379E-2</v>
      </c>
      <c r="I62" s="19">
        <f t="shared" si="23"/>
        <v>1.955728193249447E-2</v>
      </c>
      <c r="J62" s="19">
        <f t="shared" si="23"/>
        <v>1.4767618295229861E-2</v>
      </c>
      <c r="K62" s="19">
        <f t="shared" si="23"/>
        <v>-0.10510151031787331</v>
      </c>
      <c r="L62" s="19">
        <f t="shared" si="23"/>
        <v>-4.0749237913215698E-2</v>
      </c>
      <c r="M62" s="19">
        <f t="shared" si="23"/>
        <v>2.4888147970431947E-3</v>
      </c>
      <c r="N62" s="19">
        <f t="shared" si="23"/>
        <v>2.4043503750653457E-2</v>
      </c>
      <c r="O62" s="37">
        <f t="shared" si="23"/>
        <v>-0.20674186038067399</v>
      </c>
      <c r="P62" s="37">
        <f>P10/P$29</f>
        <v>-1.622028720472727E-2</v>
      </c>
      <c r="Q62" s="37">
        <f t="shared" si="3"/>
        <v>-1.7591749270987795E-2</v>
      </c>
      <c r="R62" s="38">
        <f t="shared" si="3"/>
        <v>-0.2705273914044925</v>
      </c>
      <c r="S62" s="38">
        <f t="shared" si="4"/>
        <v>5.5005402912619641E-3</v>
      </c>
      <c r="T62" s="38">
        <f t="shared" si="4"/>
        <v>1.2590313496311255E-2</v>
      </c>
      <c r="U62" s="38">
        <f t="shared" si="5"/>
        <v>-9.9502921436924449E-2</v>
      </c>
      <c r="V62" s="38">
        <f t="shared" si="5"/>
        <v>2.5525546423819191E-2</v>
      </c>
      <c r="W62" s="38">
        <f t="shared" si="6"/>
        <v>-5.7255834759698518E-2</v>
      </c>
      <c r="X62" s="38">
        <f t="shared" si="6"/>
        <v>2.5129611971042073E-2</v>
      </c>
      <c r="Y62" s="38">
        <f t="shared" si="7"/>
        <v>5.160313756645566E-2</v>
      </c>
      <c r="Z62" s="38">
        <f t="shared" si="7"/>
        <v>4.5189384467233307E-2</v>
      </c>
      <c r="AA62" s="38">
        <f t="shared" si="8"/>
        <v>6.2189807140548746E-2</v>
      </c>
      <c r="AB62" s="38">
        <f t="shared" si="8"/>
        <v>3.7394474328179196E-2</v>
      </c>
      <c r="AC62" s="38">
        <f t="shared" si="14"/>
        <v>1.0875955025312781E-2</v>
      </c>
      <c r="AD62" s="38">
        <f t="shared" si="14"/>
        <v>-6.0259229225918748E-3</v>
      </c>
      <c r="AE62" s="38">
        <f t="shared" si="14"/>
        <v>5.6266878900538303E-2</v>
      </c>
      <c r="AF62" s="38">
        <f t="shared" si="15"/>
        <v>7.0307896861421096E-2</v>
      </c>
      <c r="AG62" s="38">
        <f t="shared" si="15"/>
        <v>7.0135630269141366E-2</v>
      </c>
      <c r="AH62" s="38">
        <f t="shared" ref="AH62:AI62" si="24">AH10/AH$29</f>
        <v>-3.0520675460658196E-2</v>
      </c>
      <c r="AI62" s="38">
        <f t="shared" si="24"/>
        <v>3.4921577595020306E-2</v>
      </c>
      <c r="AJ62" s="38">
        <f t="shared" ref="AJ62:AK62" si="25">AJ10/AJ$29</f>
        <v>1.2686730963752788E-2</v>
      </c>
      <c r="AK62" s="38">
        <f t="shared" si="25"/>
        <v>1.9178748197702235E-4</v>
      </c>
      <c r="AL62" s="38">
        <f t="shared" ref="AL62" si="26">AL10/AL$29</f>
        <v>-7.7566742320450167E-3</v>
      </c>
    </row>
    <row r="63" spans="6:38">
      <c r="F63" s="6" t="s">
        <v>1445</v>
      </c>
      <c r="G63" s="55" t="s">
        <v>103</v>
      </c>
      <c r="H63" s="57" t="s">
        <v>103</v>
      </c>
      <c r="I63" s="20" t="s">
        <v>103</v>
      </c>
      <c r="J63" s="20" t="s">
        <v>103</v>
      </c>
      <c r="K63" s="20" t="s">
        <v>103</v>
      </c>
      <c r="L63" s="20" t="s">
        <v>103</v>
      </c>
      <c r="M63" s="20" t="s">
        <v>103</v>
      </c>
      <c r="N63" s="20" t="s">
        <v>103</v>
      </c>
      <c r="O63" s="57" t="s">
        <v>103</v>
      </c>
      <c r="P63" s="57" t="s">
        <v>103</v>
      </c>
      <c r="Q63" s="57" t="s">
        <v>103</v>
      </c>
      <c r="R63" s="66" t="s">
        <v>103</v>
      </c>
      <c r="S63" s="66" t="s">
        <v>103</v>
      </c>
      <c r="T63" s="66" t="s">
        <v>103</v>
      </c>
      <c r="U63" s="66" t="s">
        <v>103</v>
      </c>
      <c r="V63" s="66" t="s">
        <v>103</v>
      </c>
      <c r="W63" s="66" t="s">
        <v>103</v>
      </c>
      <c r="X63" s="66" t="s">
        <v>103</v>
      </c>
      <c r="Y63" s="66" t="s">
        <v>103</v>
      </c>
      <c r="Z63" s="66" t="s">
        <v>103</v>
      </c>
      <c r="AA63" s="66" t="s">
        <v>103</v>
      </c>
      <c r="AB63" s="66" t="s">
        <v>103</v>
      </c>
      <c r="AC63" s="66" t="s">
        <v>103</v>
      </c>
      <c r="AD63" s="66" t="s">
        <v>103</v>
      </c>
      <c r="AE63" s="66" t="s">
        <v>103</v>
      </c>
      <c r="AF63" s="66" t="s">
        <v>103</v>
      </c>
      <c r="AG63" s="66" t="s">
        <v>103</v>
      </c>
      <c r="AH63" s="66" t="s">
        <v>103</v>
      </c>
      <c r="AI63" s="66" t="s">
        <v>103</v>
      </c>
      <c r="AJ63" s="66" t="s">
        <v>103</v>
      </c>
      <c r="AK63" s="66" t="s">
        <v>103</v>
      </c>
      <c r="AL63" s="66" t="s">
        <v>103</v>
      </c>
    </row>
    <row r="64" spans="6:38">
      <c r="F64" s="6" t="s">
        <v>1474</v>
      </c>
      <c r="G64" s="52">
        <f t="shared" ref="G64:O64" si="27">G12/G$29</f>
        <v>-1.4159758258250842E-2</v>
      </c>
      <c r="H64" s="37">
        <f t="shared" si="27"/>
        <v>0.23064730396648286</v>
      </c>
      <c r="I64" s="19">
        <f t="shared" si="27"/>
        <v>0.54276996791008225</v>
      </c>
      <c r="J64" s="19">
        <f t="shared" si="27"/>
        <v>9.9932882046680258E-2</v>
      </c>
      <c r="K64" s="19">
        <f t="shared" si="27"/>
        <v>0.36989535032708082</v>
      </c>
      <c r="L64" s="19">
        <f t="shared" si="27"/>
        <v>0.52413908547780486</v>
      </c>
      <c r="M64" s="19">
        <f t="shared" si="27"/>
        <v>0.73692573260665661</v>
      </c>
      <c r="N64" s="19">
        <f t="shared" si="27"/>
        <v>0.49371384906063309</v>
      </c>
      <c r="O64" s="37">
        <f t="shared" si="27"/>
        <v>0.18399722393275936</v>
      </c>
      <c r="P64" s="37">
        <f t="shared" ref="P64:Q71" si="28">P12/P$29</f>
        <v>0.3691580949933248</v>
      </c>
      <c r="Q64" s="37">
        <f t="shared" si="28"/>
        <v>0.59613718236087543</v>
      </c>
      <c r="R64" s="38">
        <f t="shared" ref="R64:S71" si="29">R12/R$29</f>
        <v>0.48785380717329496</v>
      </c>
      <c r="S64" s="38">
        <f t="shared" si="29"/>
        <v>0.59313233153090728</v>
      </c>
      <c r="T64" s="38">
        <f t="shared" ref="T64:U71" si="30">T12/T$29</f>
        <v>0.15253453159882432</v>
      </c>
      <c r="U64" s="38">
        <f t="shared" si="30"/>
        <v>1.5638612192178354</v>
      </c>
      <c r="V64" s="38">
        <f t="shared" ref="V64:X71" si="31">V12/V$29</f>
        <v>0.33946105867814219</v>
      </c>
      <c r="W64" s="38">
        <f t="shared" si="31"/>
        <v>0.39988823034372917</v>
      </c>
      <c r="X64" s="38">
        <f t="shared" si="31"/>
        <v>0.14899158944270108</v>
      </c>
      <c r="Y64" s="38">
        <f t="shared" ref="Y64:Z71" si="32">Y12/Y$29</f>
        <v>0.59247064057915799</v>
      </c>
      <c r="Z64" s="38">
        <f t="shared" si="32"/>
        <v>0.55451885151257829</v>
      </c>
      <c r="AA64" s="38">
        <f t="shared" ref="AA64:AB71" si="33">AA12/AA$29</f>
        <v>0.79434770220961837</v>
      </c>
      <c r="AB64" s="38">
        <f t="shared" si="33"/>
        <v>1.0192467846113857</v>
      </c>
      <c r="AC64" s="38">
        <f t="shared" ref="AC64:AC71" si="34">AC12/AC$29</f>
        <v>0.49090169684277968</v>
      </c>
      <c r="AD64" s="38">
        <f t="shared" ref="AD64:AE71" si="35">AD12/AD$29</f>
        <v>-5.3946277455261142E-2</v>
      </c>
      <c r="AE64" s="38">
        <f t="shared" si="35"/>
        <v>1.3178219589132334</v>
      </c>
      <c r="AF64" s="38">
        <f t="shared" ref="AF64:AF71" si="36">AF12/AF$29</f>
        <v>1.1275052116365429</v>
      </c>
      <c r="AG64" s="38">
        <f t="shared" ref="AG64:AG71" si="37">AG12/AG$29</f>
        <v>0.54746368431415571</v>
      </c>
      <c r="AH64" s="38">
        <f t="shared" ref="AH64:AI64" si="38">AH12/AH$29</f>
        <v>-0.38860007459155221</v>
      </c>
      <c r="AI64" s="38">
        <f t="shared" si="38"/>
        <v>1.2630101965765861</v>
      </c>
      <c r="AJ64" s="38">
        <f t="shared" ref="AJ64:AK64" si="39">AJ12/AJ$29</f>
        <v>0.36227757420516715</v>
      </c>
      <c r="AK64" s="38">
        <f t="shared" si="39"/>
        <v>0.38897057302607813</v>
      </c>
      <c r="AL64" s="38">
        <f t="shared" ref="AL64" si="40">AL12/AL$29</f>
        <v>-1.2403693713878403</v>
      </c>
    </row>
    <row r="65" spans="3:38">
      <c r="F65" s="6" t="s">
        <v>1476</v>
      </c>
      <c r="G65" s="52">
        <f t="shared" ref="G65:O65" si="41">G13/G$29</f>
        <v>7.7596203060857963E-4</v>
      </c>
      <c r="H65" s="37">
        <f t="shared" si="41"/>
        <v>-7.2947196674510496E-4</v>
      </c>
      <c r="I65" s="19">
        <f t="shared" si="41"/>
        <v>1.657323840380927E-4</v>
      </c>
      <c r="J65" s="19">
        <f t="shared" si="41"/>
        <v>1.2713143910902225E-4</v>
      </c>
      <c r="K65" s="19">
        <f t="shared" si="41"/>
        <v>1.3329394477102575E-4</v>
      </c>
      <c r="L65" s="19">
        <f t="shared" si="41"/>
        <v>6.478448775037463E-5</v>
      </c>
      <c r="M65" s="19">
        <f t="shared" si="41"/>
        <v>1.2008928118367524E-4</v>
      </c>
      <c r="N65" s="19">
        <f t="shared" si="41"/>
        <v>7.9064394360098004E-5</v>
      </c>
      <c r="O65" s="37">
        <f t="shared" si="41"/>
        <v>-7.5257647675942623E-4</v>
      </c>
      <c r="P65" s="37">
        <f t="shared" si="28"/>
        <v>2.2188748140965128E-4</v>
      </c>
      <c r="Q65" s="37">
        <f t="shared" si="28"/>
        <v>-1.2623624305403086E-3</v>
      </c>
      <c r="R65" s="38">
        <f t="shared" si="29"/>
        <v>3.4692815226405396E-2</v>
      </c>
      <c r="S65" s="38">
        <f t="shared" si="29"/>
        <v>9.2522595488395646E-3</v>
      </c>
      <c r="T65" s="38">
        <f t="shared" si="30"/>
        <v>3.5633953835368338E-3</v>
      </c>
      <c r="U65" s="38">
        <f t="shared" si="30"/>
        <v>2.6086809628430448E-3</v>
      </c>
      <c r="V65" s="38">
        <f t="shared" si="31"/>
        <v>-4.3469055848992348E-3</v>
      </c>
      <c r="W65" s="38">
        <f t="shared" si="31"/>
        <v>4.1476651437637863E-5</v>
      </c>
      <c r="X65" s="38">
        <f t="shared" si="31"/>
        <v>-1.6601830246323524E-4</v>
      </c>
      <c r="Y65" s="38">
        <f t="shared" si="32"/>
        <v>6.4710636493217434E-5</v>
      </c>
      <c r="Z65" s="38">
        <f t="shared" si="32"/>
        <v>-1.36169954250687E-3</v>
      </c>
      <c r="AA65" s="38">
        <f t="shared" si="33"/>
        <v>-1.8372648098778374E-3</v>
      </c>
      <c r="AB65" s="38">
        <f t="shared" si="33"/>
        <v>7.2780009214668115E-4</v>
      </c>
      <c r="AC65" s="38">
        <f t="shared" si="34"/>
        <v>-1.0135832019734849E-4</v>
      </c>
      <c r="AD65" s="38">
        <f t="shared" si="35"/>
        <v>3.338995725900793E-3</v>
      </c>
      <c r="AE65" s="38">
        <f t="shared" si="35"/>
        <v>8.0268216619905765E-4</v>
      </c>
      <c r="AF65" s="38">
        <f t="shared" si="36"/>
        <v>4.0606170626190648E-4</v>
      </c>
      <c r="AG65" s="38">
        <f t="shared" si="37"/>
        <v>1.5197507046662385E-2</v>
      </c>
      <c r="AH65" s="38">
        <f t="shared" ref="AH65:AI65" si="42">AH13/AH$29</f>
        <v>1.8379049093481736E-3</v>
      </c>
      <c r="AI65" s="38">
        <f t="shared" si="42"/>
        <v>-7.0686981184758437E-3</v>
      </c>
      <c r="AJ65" s="38">
        <f>AJ13/AJ$29</f>
        <v>9.3390155552385608E-4</v>
      </c>
      <c r="AK65" s="38">
        <f>AK13/AK$29</f>
        <v>-6.1907394105244716E-4</v>
      </c>
      <c r="AL65" s="38">
        <f>AL13/AL$29</f>
        <v>0</v>
      </c>
    </row>
    <row r="66" spans="3:38">
      <c r="F66" s="5" t="s">
        <v>1439</v>
      </c>
      <c r="G66" s="54">
        <f t="shared" ref="G66:O66" si="43">G14/G$29</f>
        <v>-0.47698440385309354</v>
      </c>
      <c r="H66" s="35">
        <f t="shared" si="43"/>
        <v>0.36127414893525223</v>
      </c>
      <c r="I66" s="18">
        <f t="shared" si="43"/>
        <v>0.23632261726954784</v>
      </c>
      <c r="J66" s="18">
        <f t="shared" si="43"/>
        <v>0.39737060695415666</v>
      </c>
      <c r="K66" s="18">
        <f t="shared" si="43"/>
        <v>0.81372250529520629</v>
      </c>
      <c r="L66" s="18">
        <f t="shared" si="43"/>
        <v>0.12163589158958883</v>
      </c>
      <c r="M66" s="18">
        <f t="shared" si="43"/>
        <v>0.10229097296541971</v>
      </c>
      <c r="N66" s="18">
        <f t="shared" si="43"/>
        <v>-0.3776140961301695</v>
      </c>
      <c r="O66" s="35">
        <f t="shared" si="43"/>
        <v>9.5508124092814103E-2</v>
      </c>
      <c r="P66" s="35">
        <f t="shared" si="28"/>
        <v>0.22602934951130418</v>
      </c>
      <c r="Q66" s="35">
        <f t="shared" si="28"/>
        <v>0.50966761962262641</v>
      </c>
      <c r="R66" s="36">
        <f t="shared" si="29"/>
        <v>0.93598182023290488</v>
      </c>
      <c r="S66" s="36">
        <f t="shared" si="29"/>
        <v>-0.44750357718443967</v>
      </c>
      <c r="T66" s="36">
        <f t="shared" si="30"/>
        <v>7.4263529762162994E-2</v>
      </c>
      <c r="U66" s="36">
        <f t="shared" si="30"/>
        <v>-0.63948426100200306</v>
      </c>
      <c r="V66" s="36">
        <f t="shared" si="31"/>
        <v>0.17054310994954486</v>
      </c>
      <c r="W66" s="36">
        <f t="shared" si="31"/>
        <v>0.88151974770700992</v>
      </c>
      <c r="X66" s="36">
        <f t="shared" si="31"/>
        <v>-5.8025583835265078E-2</v>
      </c>
      <c r="Y66" s="36">
        <f t="shared" si="32"/>
        <v>5.8765112485173646E-2</v>
      </c>
      <c r="Z66" s="36">
        <f t="shared" si="32"/>
        <v>0.37507112831956507</v>
      </c>
      <c r="AA66" s="36">
        <f t="shared" si="33"/>
        <v>-0.14877242172972843</v>
      </c>
      <c r="AB66" s="36">
        <f t="shared" si="33"/>
        <v>-0.29034044836329875</v>
      </c>
      <c r="AC66" s="36">
        <f t="shared" si="34"/>
        <v>0.31330462675132242</v>
      </c>
      <c r="AD66" s="36">
        <f t="shared" si="35"/>
        <v>0.56683376971870703</v>
      </c>
      <c r="AE66" s="36">
        <f t="shared" si="35"/>
        <v>-0.22003264232448999</v>
      </c>
      <c r="AF66" s="36">
        <f t="shared" si="36"/>
        <v>-6.1183385320175261E-2</v>
      </c>
      <c r="AG66" s="36">
        <f t="shared" si="37"/>
        <v>0.43975722655756438</v>
      </c>
      <c r="AH66" s="36">
        <f t="shared" ref="AH66:AI66" si="44">AH14/AH$29</f>
        <v>1.1381803650770932</v>
      </c>
      <c r="AI66" s="36">
        <f t="shared" si="44"/>
        <v>-0.40338619940538251</v>
      </c>
      <c r="AJ66" s="36">
        <f t="shared" ref="AJ66:AK66" si="45">AJ14/AJ$29</f>
        <v>6.5594406605821012E-2</v>
      </c>
      <c r="AK66" s="36">
        <f t="shared" si="45"/>
        <v>2.0387039878328628E-2</v>
      </c>
      <c r="AL66" s="36">
        <f t="shared" ref="AL66" si="46">AL14/AL$29</f>
        <v>1.8420202667189889</v>
      </c>
    </row>
    <row r="67" spans="3:38">
      <c r="F67" s="6" t="s">
        <v>1434</v>
      </c>
      <c r="G67" s="52">
        <f t="shared" ref="G67:O67" si="47">G15/G$29</f>
        <v>-0.20403136483285236</v>
      </c>
      <c r="H67" s="37">
        <f t="shared" si="47"/>
        <v>7.8569301547381135E-2</v>
      </c>
      <c r="I67" s="19">
        <f t="shared" si="47"/>
        <v>0.11732131402815141</v>
      </c>
      <c r="J67" s="19">
        <f t="shared" si="47"/>
        <v>-8.473198304164696E-2</v>
      </c>
      <c r="K67" s="19">
        <f t="shared" si="47"/>
        <v>-2.989187212600147E-3</v>
      </c>
      <c r="L67" s="19">
        <f t="shared" si="47"/>
        <v>0.12137468744153264</v>
      </c>
      <c r="M67" s="19">
        <f t="shared" si="47"/>
        <v>-0.22968133618771236</v>
      </c>
      <c r="N67" s="19">
        <f t="shared" si="47"/>
        <v>-0.38039692113370854</v>
      </c>
      <c r="O67" s="37">
        <f t="shared" si="47"/>
        <v>0.22824372038811752</v>
      </c>
      <c r="P67" s="37">
        <f t="shared" si="28"/>
        <v>5.854834369223292E-2</v>
      </c>
      <c r="Q67" s="37">
        <f t="shared" si="28"/>
        <v>0.12037566266772973</v>
      </c>
      <c r="R67" s="38">
        <f t="shared" si="29"/>
        <v>0.14261515503514255</v>
      </c>
      <c r="S67" s="38">
        <f t="shared" si="29"/>
        <v>0.1606574509617795</v>
      </c>
      <c r="T67" s="38">
        <f t="shared" si="30"/>
        <v>-0.15169282462466022</v>
      </c>
      <c r="U67" s="38">
        <f t="shared" si="30"/>
        <v>-7.4838740135993551E-2</v>
      </c>
      <c r="V67" s="38">
        <f t="shared" si="31"/>
        <v>0.28143977453185587</v>
      </c>
      <c r="W67" s="38">
        <f t="shared" si="31"/>
        <v>0.22781893990890031</v>
      </c>
      <c r="X67" s="38">
        <f t="shared" si="31"/>
        <v>-4.9515201495910315E-2</v>
      </c>
      <c r="Y67" s="38">
        <f t="shared" si="32"/>
        <v>1.7949033780158719E-2</v>
      </c>
      <c r="Z67" s="38">
        <f t="shared" si="32"/>
        <v>-9.2157325918607882E-4</v>
      </c>
      <c r="AA67" s="38">
        <f t="shared" si="33"/>
        <v>2.9109528951588238E-2</v>
      </c>
      <c r="AB67" s="38">
        <f t="shared" si="33"/>
        <v>0.1449771375257696</v>
      </c>
      <c r="AC67" s="38">
        <f t="shared" si="34"/>
        <v>0.3399916815912688</v>
      </c>
      <c r="AD67" s="38">
        <f t="shared" si="35"/>
        <v>0.22661974741248828</v>
      </c>
      <c r="AE67" s="38">
        <f t="shared" si="35"/>
        <v>0.15138810572320077</v>
      </c>
      <c r="AF67" s="38">
        <f t="shared" si="36"/>
        <v>0.14784730640073682</v>
      </c>
      <c r="AG67" s="38">
        <f t="shared" si="37"/>
        <v>-4.8619583194167856E-2</v>
      </c>
      <c r="AH67" s="38">
        <f t="shared" ref="AH67:AI67" si="48">AH15/AH$29</f>
        <v>0.23182682950755396</v>
      </c>
      <c r="AI67" s="38">
        <f t="shared" si="48"/>
        <v>-1.1652201714555254E-2</v>
      </c>
      <c r="AJ67" s="38">
        <f t="shared" ref="AJ67:AK67" si="49">AJ15/AJ$29</f>
        <v>3.7340720764982301E-2</v>
      </c>
      <c r="AK67" s="38">
        <f t="shared" si="49"/>
        <v>7.2931898382707335E-3</v>
      </c>
      <c r="AL67" s="38">
        <f t="shared" ref="AL67" si="50">AL15/AL$29</f>
        <v>0.28239534715291564</v>
      </c>
    </row>
    <row r="68" spans="3:38">
      <c r="F68" s="6" t="s">
        <v>1441</v>
      </c>
      <c r="G68" s="52">
        <f t="shared" ref="G68:O68" si="51">G16/G$29</f>
        <v>-0.1308293310865046</v>
      </c>
      <c r="H68" s="37">
        <f t="shared" si="51"/>
        <v>4.3349309962058109E-2</v>
      </c>
      <c r="I68" s="19">
        <f t="shared" si="51"/>
        <v>2.3370963273914164E-2</v>
      </c>
      <c r="J68" s="19">
        <f t="shared" si="51"/>
        <v>3.4748755364897486E-2</v>
      </c>
      <c r="K68" s="19">
        <f t="shared" si="51"/>
        <v>0.1206836135168331</v>
      </c>
      <c r="L68" s="19">
        <f t="shared" si="51"/>
        <v>3.9526537393503543E-2</v>
      </c>
      <c r="M68" s="19">
        <f t="shared" si="51"/>
        <v>5.1829609052983366E-2</v>
      </c>
      <c r="N68" s="19">
        <f t="shared" si="51"/>
        <v>-0.17321138907645495</v>
      </c>
      <c r="O68" s="37">
        <f t="shared" si="51"/>
        <v>4.1253989376786634E-2</v>
      </c>
      <c r="P68" s="37">
        <f t="shared" si="28"/>
        <v>2.9698686517484189E-2</v>
      </c>
      <c r="Q68" s="37">
        <f t="shared" si="28"/>
        <v>8.5986592661726341E-2</v>
      </c>
      <c r="R68" s="38">
        <f t="shared" si="29"/>
        <v>0.15236524595303741</v>
      </c>
      <c r="S68" s="38">
        <f t="shared" si="29"/>
        <v>3.4825014233217801E-2</v>
      </c>
      <c r="T68" s="38">
        <f t="shared" si="30"/>
        <v>-3.9189006690111813E-2</v>
      </c>
      <c r="U68" s="38">
        <f t="shared" si="30"/>
        <v>-0.26293261790673272</v>
      </c>
      <c r="V68" s="38">
        <f t="shared" si="31"/>
        <v>0.10261665774384979</v>
      </c>
      <c r="W68" s="38">
        <f t="shared" si="31"/>
        <v>0.11628212114431012</v>
      </c>
      <c r="X68" s="38">
        <f t="shared" si="31"/>
        <v>-4.0655711769369753E-2</v>
      </c>
      <c r="Y68" s="38">
        <f t="shared" si="32"/>
        <v>5.8095248202096796E-3</v>
      </c>
      <c r="Z68" s="38">
        <f t="shared" si="32"/>
        <v>-6.9047385339309182E-3</v>
      </c>
      <c r="AA68" s="38">
        <f t="shared" si="33"/>
        <v>-2.0974056847374373E-2</v>
      </c>
      <c r="AB68" s="38">
        <f t="shared" si="33"/>
        <v>6.6257009202612724E-2</v>
      </c>
      <c r="AC68" s="38">
        <f t="shared" si="34"/>
        <v>0.18279036718974065</v>
      </c>
      <c r="AD68" s="38">
        <f t="shared" si="35"/>
        <v>0.19957034472011015</v>
      </c>
      <c r="AE68" s="38">
        <f t="shared" si="35"/>
        <v>8.3605738899080947E-2</v>
      </c>
      <c r="AF68" s="38">
        <f t="shared" si="36"/>
        <v>5.0216697061569351E-2</v>
      </c>
      <c r="AG68" s="38">
        <f t="shared" si="37"/>
        <v>-4.1503175930777486E-2</v>
      </c>
      <c r="AH68" s="38">
        <f t="shared" ref="AH68:AI68" si="52">AH16/AH$29</f>
        <v>0.13867518911179863</v>
      </c>
      <c r="AI68" s="38">
        <f t="shared" si="52"/>
        <v>-2.7313241792447942E-3</v>
      </c>
      <c r="AJ68" s="38">
        <f t="shared" ref="AJ68:AK68" si="53">AJ16/AJ$29</f>
        <v>3.804150924261137E-2</v>
      </c>
      <c r="AK68" s="38">
        <f t="shared" si="53"/>
        <v>2.2056986941902997E-2</v>
      </c>
      <c r="AL68" s="38">
        <f t="shared" ref="AL68" si="54">AL16/AL$29</f>
        <v>0.25190802431526221</v>
      </c>
    </row>
    <row r="69" spans="3:38">
      <c r="F69" s="6" t="s">
        <v>1443</v>
      </c>
      <c r="G69" s="52">
        <f t="shared" ref="G69:O69" si="55">G17/G$29</f>
        <v>-0.1319049171042084</v>
      </c>
      <c r="H69" s="37">
        <f t="shared" si="55"/>
        <v>0.16961397092685021</v>
      </c>
      <c r="I69" s="19">
        <f t="shared" si="55"/>
        <v>6.604053993762618E-2</v>
      </c>
      <c r="J69" s="19">
        <f t="shared" si="55"/>
        <v>1.9660393188331269E-2</v>
      </c>
      <c r="K69" s="19">
        <f t="shared" si="55"/>
        <v>0.39092596062323676</v>
      </c>
      <c r="L69" s="19">
        <f t="shared" si="55"/>
        <v>9.0112440783310363E-2</v>
      </c>
      <c r="M69" s="19">
        <f t="shared" si="55"/>
        <v>1.0915626069337781E-2</v>
      </c>
      <c r="N69" s="19">
        <f t="shared" si="55"/>
        <v>-0.18489283877481111</v>
      </c>
      <c r="O69" s="37">
        <f t="shared" si="55"/>
        <v>-0.45934179233264172</v>
      </c>
      <c r="P69" s="37">
        <f t="shared" si="28"/>
        <v>5.0985927895235351E-2</v>
      </c>
      <c r="Q69" s="37">
        <f t="shared" si="28"/>
        <v>0.38945462148150722</v>
      </c>
      <c r="R69" s="38">
        <f t="shared" si="29"/>
        <v>0.18263528517634428</v>
      </c>
      <c r="S69" s="38">
        <f t="shared" si="29"/>
        <v>-0.18812768303953831</v>
      </c>
      <c r="T69" s="38">
        <f t="shared" si="30"/>
        <v>4.8050355699923261E-2</v>
      </c>
      <c r="U69" s="38">
        <f t="shared" si="30"/>
        <v>-1.1935427146883908</v>
      </c>
      <c r="V69" s="38">
        <f t="shared" si="31"/>
        <v>3.9363049858437893E-3</v>
      </c>
      <c r="W69" s="38">
        <f t="shared" si="31"/>
        <v>0.11359687933964351</v>
      </c>
      <c r="X69" s="38">
        <f t="shared" si="31"/>
        <v>-8.9946650046740829E-3</v>
      </c>
      <c r="Y69" s="38">
        <f t="shared" si="32"/>
        <v>6.638163828594075E-2</v>
      </c>
      <c r="Z69" s="38">
        <f t="shared" si="32"/>
        <v>0.2094098172275303</v>
      </c>
      <c r="AA69" s="38">
        <f t="shared" si="33"/>
        <v>-7.6349557707879115E-2</v>
      </c>
      <c r="AB69" s="38">
        <f t="shared" si="33"/>
        <v>-8.0815410108121877E-2</v>
      </c>
      <c r="AC69" s="38">
        <f t="shared" si="34"/>
        <v>0.14063203490355242</v>
      </c>
      <c r="AD69" s="38">
        <f t="shared" si="35"/>
        <v>0.3002619282112316</v>
      </c>
      <c r="AE69" s="38">
        <f t="shared" si="35"/>
        <v>3.8167863086513057E-2</v>
      </c>
      <c r="AF69" s="38">
        <f t="shared" si="36"/>
        <v>-4.4702584605157115E-2</v>
      </c>
      <c r="AG69" s="38">
        <f t="shared" si="37"/>
        <v>-6.5015632983166163E-2</v>
      </c>
      <c r="AH69" s="38">
        <f t="shared" ref="AH69:AI69" si="56">AH17/AH$29</f>
        <v>0.1816837925817229</v>
      </c>
      <c r="AI69" s="38">
        <f t="shared" si="56"/>
        <v>-5.6619862814431682E-2</v>
      </c>
      <c r="AJ69" s="38">
        <f t="shared" ref="AJ69:AK69" si="57">AJ17/AJ$29</f>
        <v>2.304353752879475E-2</v>
      </c>
      <c r="AK69" s="38">
        <f t="shared" si="57"/>
        <v>3.653339179581036E-2</v>
      </c>
      <c r="AL69" s="38">
        <f t="shared" ref="AL69" si="58">AL17/AL$29</f>
        <v>0.21760569316457257</v>
      </c>
    </row>
    <row r="70" spans="3:38">
      <c r="F70" s="6" t="s">
        <v>1445</v>
      </c>
      <c r="G70" s="52">
        <f t="shared" ref="G70:O70" si="59">G18/G$29</f>
        <v>6.708186618366635E-2</v>
      </c>
      <c r="H70" s="37">
        <f t="shared" si="59"/>
        <v>-6.988742747462199E-3</v>
      </c>
      <c r="I70" s="19">
        <f t="shared" si="59"/>
        <v>1.6616347644223553E-2</v>
      </c>
      <c r="J70" s="19">
        <f t="shared" si="59"/>
        <v>5.4634041949580464E-2</v>
      </c>
      <c r="K70" s="19">
        <f t="shared" si="59"/>
        <v>1.4033303452953791E-2</v>
      </c>
      <c r="L70" s="19">
        <f t="shared" si="59"/>
        <v>3.9226891738350263E-3</v>
      </c>
      <c r="M70" s="19">
        <f t="shared" si="59"/>
        <v>3.814640955095281E-2</v>
      </c>
      <c r="N70" s="19">
        <f t="shared" si="59"/>
        <v>-9.6726877756277474E-2</v>
      </c>
      <c r="O70" s="37">
        <f t="shared" si="59"/>
        <v>1.1646064239459424E-2</v>
      </c>
      <c r="P70" s="37">
        <f t="shared" si="28"/>
        <v>-6.5248834809275775E-4</v>
      </c>
      <c r="Q70" s="37">
        <f t="shared" si="28"/>
        <v>7.9174610261109352E-3</v>
      </c>
      <c r="R70" s="38">
        <f t="shared" si="29"/>
        <v>5.3530187232107389E-2</v>
      </c>
      <c r="S70" s="38">
        <f t="shared" si="29"/>
        <v>-5.5227716492500058E-2</v>
      </c>
      <c r="T70" s="38">
        <f t="shared" si="30"/>
        <v>-1.6900905461910989E-2</v>
      </c>
      <c r="U70" s="38">
        <f t="shared" si="30"/>
        <v>4.4084665903139607E-2</v>
      </c>
      <c r="V70" s="38">
        <f t="shared" si="31"/>
        <v>-6.4132045952238934E-4</v>
      </c>
      <c r="W70" s="38">
        <f t="shared" si="31"/>
        <v>2.4409114294267779E-2</v>
      </c>
      <c r="X70" s="38">
        <f t="shared" si="31"/>
        <v>-8.1301782562849343E-3</v>
      </c>
      <c r="Y70" s="38">
        <f t="shared" si="32"/>
        <v>-3.3211144607255159E-3</v>
      </c>
      <c r="Z70" s="38">
        <f t="shared" si="32"/>
        <v>1.4912768552880079E-3</v>
      </c>
      <c r="AA70" s="38">
        <f t="shared" si="33"/>
        <v>-5.936595731897404E-3</v>
      </c>
      <c r="AB70" s="38">
        <f t="shared" si="33"/>
        <v>-1.178056512905395E-2</v>
      </c>
      <c r="AC70" s="38">
        <f t="shared" si="34"/>
        <v>4.6744670285549891E-2</v>
      </c>
      <c r="AD70" s="38">
        <f t="shared" si="35"/>
        <v>-0.13634179073768568</v>
      </c>
      <c r="AE70" s="38">
        <f t="shared" si="35"/>
        <v>5.0500793966807888E-3</v>
      </c>
      <c r="AF70" s="38">
        <f t="shared" si="36"/>
        <v>-6.730719404357717E-3</v>
      </c>
      <c r="AG70" s="38">
        <f t="shared" si="37"/>
        <v>-3.4444892154498252E-2</v>
      </c>
      <c r="AH70" s="38">
        <f t="shared" ref="AH70:AI70" si="60">AH18/AH$29</f>
        <v>6.2084396898575943E-2</v>
      </c>
      <c r="AI70" s="38">
        <f t="shared" si="60"/>
        <v>-5.6435328770473935E-2</v>
      </c>
      <c r="AJ70" s="38">
        <f t="shared" ref="AJ70:AK70" si="61">AJ18/AJ$29</f>
        <v>5.3736468919728195E-4</v>
      </c>
      <c r="AK70" s="38">
        <f t="shared" si="61"/>
        <v>2.0858786278259718E-2</v>
      </c>
      <c r="AL70" s="38">
        <f t="shared" ref="AL70" si="62">AL18/AL$29</f>
        <v>0.10521840042545422</v>
      </c>
    </row>
    <row r="71" spans="3:38">
      <c r="F71" s="6" t="s">
        <v>1474</v>
      </c>
      <c r="G71" s="52">
        <f t="shared" ref="G71:O71" si="63">G19/G$29</f>
        <v>-7.7300657013196813E-2</v>
      </c>
      <c r="H71" s="37">
        <f t="shared" si="63"/>
        <v>7.6730309246425349E-2</v>
      </c>
      <c r="I71" s="19">
        <f t="shared" si="63"/>
        <v>1.2973452385630834E-2</v>
      </c>
      <c r="J71" s="19">
        <f t="shared" si="63"/>
        <v>0.37305939949299854</v>
      </c>
      <c r="K71" s="19">
        <f t="shared" si="63"/>
        <v>0.29106881491478093</v>
      </c>
      <c r="L71" s="19">
        <f t="shared" si="63"/>
        <v>-0.13330046320259209</v>
      </c>
      <c r="M71" s="19">
        <f t="shared" si="63"/>
        <v>0.23108066447985739</v>
      </c>
      <c r="N71" s="19">
        <f t="shared" si="63"/>
        <v>0.45761393061108285</v>
      </c>
      <c r="O71" s="37">
        <f t="shared" si="63"/>
        <v>0.27370614242108859</v>
      </c>
      <c r="P71" s="37">
        <f t="shared" si="28"/>
        <v>8.4721182175893056E-2</v>
      </c>
      <c r="Q71" s="37">
        <f t="shared" si="28"/>
        <v>-8.8467102059198222E-2</v>
      </c>
      <c r="R71" s="38">
        <f t="shared" si="29"/>
        <v>0.40492340380583225</v>
      </c>
      <c r="S71" s="38">
        <f t="shared" si="29"/>
        <v>-0.40274068722232914</v>
      </c>
      <c r="T71" s="38">
        <f t="shared" si="30"/>
        <v>0.23548063112924386</v>
      </c>
      <c r="U71" s="38">
        <f t="shared" si="30"/>
        <v>0.84840925326637784</v>
      </c>
      <c r="V71" s="38">
        <f t="shared" si="31"/>
        <v>-0.21572237483173454</v>
      </c>
      <c r="W71" s="38">
        <f t="shared" si="31"/>
        <v>0.39905298532397432</v>
      </c>
      <c r="X71" s="38">
        <f t="shared" si="31"/>
        <v>4.9994131151144566E-2</v>
      </c>
      <c r="Y71" s="38">
        <f t="shared" si="32"/>
        <v>-2.8320484967085172E-2</v>
      </c>
      <c r="Z71" s="38">
        <f t="shared" si="32"/>
        <v>0.17184761386326411</v>
      </c>
      <c r="AA71" s="38">
        <f t="shared" si="33"/>
        <v>-7.4920502013545165E-2</v>
      </c>
      <c r="AB71" s="38">
        <f t="shared" si="33"/>
        <v>-0.40330522203751584</v>
      </c>
      <c r="AC71" s="38">
        <f t="shared" si="34"/>
        <v>-0.40079764464095263</v>
      </c>
      <c r="AD71" s="38">
        <f t="shared" si="35"/>
        <v>-2.570104356658073E-2</v>
      </c>
      <c r="AE71" s="38">
        <f t="shared" si="35"/>
        <v>-0.49928432605572615</v>
      </c>
      <c r="AF71" s="38">
        <f t="shared" si="36"/>
        <v>-0.20444239771187595</v>
      </c>
      <c r="AG71" s="38">
        <f t="shared" si="37"/>
        <v>0.61650454314195324</v>
      </c>
      <c r="AH71" s="38">
        <f t="shared" ref="AH71:AI71" si="64">AH19/AH$29</f>
        <v>0.51847081785072413</v>
      </c>
      <c r="AI71" s="38">
        <f t="shared" si="64"/>
        <v>-0.27264478348536203</v>
      </c>
      <c r="AJ71" s="38">
        <f t="shared" ref="AJ71:AK71" si="65">AJ19/AJ$29</f>
        <v>-3.5568104935140517E-2</v>
      </c>
      <c r="AK71" s="38">
        <f t="shared" si="65"/>
        <v>-7.0423746021421776E-2</v>
      </c>
      <c r="AL71" s="38">
        <f t="shared" ref="AL71" si="66">AL19/AL$29</f>
        <v>0.98495396505058852</v>
      </c>
    </row>
    <row r="72" spans="3:38">
      <c r="F72" s="6" t="s">
        <v>1476</v>
      </c>
      <c r="G72" s="55" t="s">
        <v>103</v>
      </c>
      <c r="H72" s="57" t="s">
        <v>103</v>
      </c>
      <c r="I72" s="20" t="s">
        <v>103</v>
      </c>
      <c r="J72" s="20" t="s">
        <v>103</v>
      </c>
      <c r="K72" s="20" t="s">
        <v>103</v>
      </c>
      <c r="L72" s="20" t="s">
        <v>103</v>
      </c>
      <c r="M72" s="20" t="s">
        <v>103</v>
      </c>
      <c r="N72" s="20" t="s">
        <v>103</v>
      </c>
      <c r="O72" s="57" t="s">
        <v>103</v>
      </c>
      <c r="P72" s="57" t="s">
        <v>103</v>
      </c>
      <c r="Q72" s="57" t="s">
        <v>103</v>
      </c>
      <c r="R72" s="66" t="s">
        <v>103</v>
      </c>
      <c r="S72" s="66" t="s">
        <v>103</v>
      </c>
      <c r="T72" s="66" t="s">
        <v>103</v>
      </c>
      <c r="U72" s="66" t="s">
        <v>103</v>
      </c>
      <c r="V72" s="66" t="s">
        <v>103</v>
      </c>
      <c r="W72" s="66" t="s">
        <v>103</v>
      </c>
      <c r="X72" s="66" t="s">
        <v>103</v>
      </c>
      <c r="Y72" s="66" t="s">
        <v>103</v>
      </c>
      <c r="Z72" s="66" t="s">
        <v>103</v>
      </c>
      <c r="AA72" s="66" t="s">
        <v>103</v>
      </c>
      <c r="AB72" s="66" t="s">
        <v>103</v>
      </c>
      <c r="AC72" s="66" t="s">
        <v>103</v>
      </c>
      <c r="AD72" s="66" t="s">
        <v>103</v>
      </c>
      <c r="AE72" s="66" t="s">
        <v>103</v>
      </c>
      <c r="AF72" s="66" t="s">
        <v>103</v>
      </c>
      <c r="AG72" s="66" t="s">
        <v>103</v>
      </c>
      <c r="AH72" s="66" t="s">
        <v>103</v>
      </c>
      <c r="AI72" s="66" t="s">
        <v>103</v>
      </c>
      <c r="AJ72" s="66" t="s">
        <v>103</v>
      </c>
      <c r="AK72" s="66" t="s">
        <v>103</v>
      </c>
      <c r="AL72" s="66" t="s">
        <v>103</v>
      </c>
    </row>
    <row r="73" spans="3:38">
      <c r="F73" s="5" t="s">
        <v>1440</v>
      </c>
      <c r="G73" s="54">
        <f t="shared" ref="G73:O73" si="67">G21/G$29</f>
        <v>1.3923582959230023</v>
      </c>
      <c r="H73" s="35">
        <f t="shared" si="67"/>
        <v>0.45384181914173877</v>
      </c>
      <c r="I73" s="18">
        <f t="shared" si="67"/>
        <v>0.20135529197729748</v>
      </c>
      <c r="J73" s="18">
        <f t="shared" si="67"/>
        <v>0.49530365411545463</v>
      </c>
      <c r="K73" s="18">
        <f t="shared" si="67"/>
        <v>-6.9884731019988058E-2</v>
      </c>
      <c r="L73" s="18">
        <f t="shared" si="67"/>
        <v>0.39283152193486365</v>
      </c>
      <c r="M73" s="18">
        <f t="shared" si="67"/>
        <v>0.14771732102578355</v>
      </c>
      <c r="N73" s="18">
        <f t="shared" si="67"/>
        <v>0.91963402450528176</v>
      </c>
      <c r="O73" s="35">
        <f t="shared" si="67"/>
        <v>0.90408763699730366</v>
      </c>
      <c r="P73" s="35">
        <f t="shared" ref="P73:Q80" si="68">P21/P$29</f>
        <v>0.42598903241568875</v>
      </c>
      <c r="Q73" s="35">
        <f t="shared" si="68"/>
        <v>-8.1595059426696703E-2</v>
      </c>
      <c r="R73" s="36">
        <f t="shared" ref="R73:S80" si="69">R21/R$29</f>
        <v>-0.17255870946525975</v>
      </c>
      <c r="S73" s="36">
        <f t="shared" si="69"/>
        <v>0.85014299778002167</v>
      </c>
      <c r="T73" s="36">
        <f t="shared" ref="T73:U80" si="70">T21/T$29</f>
        <v>0.73350051911215219</v>
      </c>
      <c r="U73" s="36">
        <f t="shared" si="70"/>
        <v>0.20296102843299643</v>
      </c>
      <c r="V73" s="36">
        <f t="shared" ref="V73:X80" si="71">V21/V$29</f>
        <v>0.43253044444074606</v>
      </c>
      <c r="W73" s="36">
        <f t="shared" si="71"/>
        <v>-0.23064236281233874</v>
      </c>
      <c r="X73" s="36">
        <f t="shared" si="71"/>
        <v>0.88514830175161463</v>
      </c>
      <c r="Y73" s="36">
        <f t="shared" ref="Y73:Z80" si="72">Y21/Y$29</f>
        <v>0.29520088105185593</v>
      </c>
      <c r="Z73" s="36">
        <f t="shared" si="72"/>
        <v>2.8824929091404449E-2</v>
      </c>
      <c r="AA73" s="36">
        <f t="shared" ref="AA73:AB80" si="73">AA21/AA$29</f>
        <v>0.28857394302340128</v>
      </c>
      <c r="AB73" s="36">
        <f t="shared" si="73"/>
        <v>0.22471530946136814</v>
      </c>
      <c r="AC73" s="36">
        <f t="shared" ref="AC73:AC80" si="74">AC21/AC$29</f>
        <v>0.18668988971892903</v>
      </c>
      <c r="AD73" s="36">
        <f t="shared" ref="AD73:AE80" si="75">AD21/AD$29</f>
        <v>0.49238026884298514</v>
      </c>
      <c r="AE73" s="36">
        <f t="shared" si="75"/>
        <v>-0.16007807081692757</v>
      </c>
      <c r="AF73" s="36">
        <f t="shared" ref="AF73:AF80" si="76">AF21/AF$29</f>
        <v>-0.14434747738170448</v>
      </c>
      <c r="AG73" s="36">
        <f t="shared" ref="AG73:AG80" si="77">AG21/AG$29</f>
        <v>-7.6988688130805949E-2</v>
      </c>
      <c r="AH73" s="36">
        <f t="shared" ref="AH73:AI73" si="78">AH21/AH$29</f>
        <v>0.28046963334279529</v>
      </c>
      <c r="AI73" s="36">
        <f t="shared" si="78"/>
        <v>0.1109396993191472</v>
      </c>
      <c r="AJ73" s="36">
        <f t="shared" ref="AJ73:AK73" si="79">AJ21/AJ$29</f>
        <v>0.5581444918366294</v>
      </c>
      <c r="AK73" s="36">
        <f t="shared" si="79"/>
        <v>0.59099942173569808</v>
      </c>
      <c r="AL73" s="36">
        <f t="shared" ref="AL73" si="80">AL21/AL$29</f>
        <v>0.40692605319694169</v>
      </c>
    </row>
    <row r="74" spans="3:38">
      <c r="F74" s="6" t="s">
        <v>1434</v>
      </c>
      <c r="G74" s="52">
        <f t="shared" ref="G74:O74" si="81">G22/G$29</f>
        <v>-3.6386621261630188E-3</v>
      </c>
      <c r="H74" s="37">
        <f t="shared" si="81"/>
        <v>-1.1385795766625946E-2</v>
      </c>
      <c r="I74" s="19">
        <f t="shared" si="81"/>
        <v>-1.303386633826179E-2</v>
      </c>
      <c r="J74" s="19">
        <f t="shared" si="81"/>
        <v>-5.2470154945484161E-2</v>
      </c>
      <c r="K74" s="19">
        <f t="shared" si="81"/>
        <v>-5.7367968299650518E-2</v>
      </c>
      <c r="L74" s="19">
        <f t="shared" si="81"/>
        <v>5.2628035616090557E-2</v>
      </c>
      <c r="M74" s="19">
        <f t="shared" si="81"/>
        <v>-7.4669438681627384E-2</v>
      </c>
      <c r="N74" s="19">
        <f t="shared" si="81"/>
        <v>-0.1431257617031863</v>
      </c>
      <c r="O74" s="37">
        <f t="shared" si="81"/>
        <v>0.19679990579986925</v>
      </c>
      <c r="P74" s="37">
        <f t="shared" si="68"/>
        <v>2.6858673597671443E-2</v>
      </c>
      <c r="Q74" s="37">
        <f t="shared" si="68"/>
        <v>-2.9801971732288011E-2</v>
      </c>
      <c r="R74" s="38">
        <f t="shared" si="69"/>
        <v>-0.19165045511785575</v>
      </c>
      <c r="S74" s="38">
        <f t="shared" si="69"/>
        <v>0.11448105659551103</v>
      </c>
      <c r="T74" s="38">
        <f t="shared" si="70"/>
        <v>1.2271903587345872E-2</v>
      </c>
      <c r="U74" s="38">
        <f t="shared" si="70"/>
        <v>-0.31200486315895459</v>
      </c>
      <c r="V74" s="38">
        <f t="shared" si="71"/>
        <v>0.14104370411742317</v>
      </c>
      <c r="W74" s="38">
        <f t="shared" si="71"/>
        <v>-9.2175089765501091E-4</v>
      </c>
      <c r="X74" s="38">
        <f t="shared" si="71"/>
        <v>8.802859835191244E-3</v>
      </c>
      <c r="Y74" s="38">
        <f t="shared" si="72"/>
        <v>1.2166279930012545E-2</v>
      </c>
      <c r="Z74" s="38">
        <f t="shared" si="72"/>
        <v>-8.1979894534834532E-3</v>
      </c>
      <c r="AA74" s="38">
        <f t="shared" si="73"/>
        <v>3.2714660800908693E-2</v>
      </c>
      <c r="AB74" s="38">
        <f t="shared" si="73"/>
        <v>6.6931992732810336E-2</v>
      </c>
      <c r="AC74" s="38">
        <f t="shared" si="74"/>
        <v>4.5202586798084143E-2</v>
      </c>
      <c r="AD74" s="38">
        <f t="shared" si="75"/>
        <v>0.12306744566317862</v>
      </c>
      <c r="AE74" s="38">
        <f t="shared" si="75"/>
        <v>2.5298427888951799E-2</v>
      </c>
      <c r="AF74" s="38">
        <f t="shared" si="76"/>
        <v>0.1039585535584068</v>
      </c>
      <c r="AG74" s="38">
        <f t="shared" si="77"/>
        <v>3.6489214801805066E-2</v>
      </c>
      <c r="AH74" s="38">
        <f t="shared" ref="AH74:AI74" si="82">AH22/AH$29</f>
        <v>9.0683363941553657E-2</v>
      </c>
      <c r="AI74" s="38">
        <f t="shared" si="82"/>
        <v>-1.6273341136870498E-2</v>
      </c>
      <c r="AJ74" s="38">
        <f t="shared" ref="AJ74:AK74" si="83">AJ22/AJ$29</f>
        <v>1.7592677249297424E-2</v>
      </c>
      <c r="AK74" s="38">
        <f t="shared" si="83"/>
        <v>3.0403298092501426E-3</v>
      </c>
      <c r="AL74" s="38">
        <f t="shared" ref="AL74" si="84">AL22/AL$29</f>
        <v>3.6548751935116724E-2</v>
      </c>
    </row>
    <row r="75" spans="3:38">
      <c r="F75" s="6" t="s">
        <v>1441</v>
      </c>
      <c r="G75" s="52">
        <f t="shared" ref="G75:O75" si="85">G23/G$29</f>
        <v>1.9487663443122388E-2</v>
      </c>
      <c r="H75" s="37">
        <f t="shared" si="85"/>
        <v>-9.4896026825479415E-2</v>
      </c>
      <c r="I75" s="19">
        <f t="shared" si="85"/>
        <v>-6.6625127546179885E-2</v>
      </c>
      <c r="J75" s="19">
        <f t="shared" si="85"/>
        <v>-8.0870841558578141E-3</v>
      </c>
      <c r="K75" s="19">
        <f t="shared" si="85"/>
        <v>-6.6863403947123659E-2</v>
      </c>
      <c r="L75" s="19">
        <f t="shared" si="85"/>
        <v>1.3956959220305758E-2</v>
      </c>
      <c r="M75" s="19">
        <f t="shared" si="85"/>
        <v>-5.8746457187547486E-2</v>
      </c>
      <c r="N75" s="19">
        <f t="shared" si="85"/>
        <v>-5.4286617100130649E-2</v>
      </c>
      <c r="O75" s="37">
        <f t="shared" si="85"/>
        <v>-4.6263182873001296E-2</v>
      </c>
      <c r="P75" s="37">
        <f t="shared" si="68"/>
        <v>3.849558373990164E-2</v>
      </c>
      <c r="Q75" s="37">
        <f t="shared" si="68"/>
        <v>2.7430847525452186E-3</v>
      </c>
      <c r="R75" s="38">
        <f t="shared" si="69"/>
        <v>-0.12266659994360189</v>
      </c>
      <c r="S75" s="38">
        <f t="shared" si="69"/>
        <v>0.13650042486863259</v>
      </c>
      <c r="T75" s="38">
        <f t="shared" si="70"/>
        <v>-1.2989756829373851E-2</v>
      </c>
      <c r="U75" s="38">
        <f t="shared" si="70"/>
        <v>-0.1378531088219021</v>
      </c>
      <c r="V75" s="38">
        <f t="shared" si="71"/>
        <v>3.9244809241636071E-2</v>
      </c>
      <c r="W75" s="38">
        <f t="shared" si="71"/>
        <v>1.1749567546303663E-2</v>
      </c>
      <c r="X75" s="38">
        <f t="shared" si="71"/>
        <v>2.1611312536712102E-2</v>
      </c>
      <c r="Y75" s="38">
        <f t="shared" si="72"/>
        <v>-9.4264322653028684E-3</v>
      </c>
      <c r="Z75" s="38">
        <f t="shared" si="72"/>
        <v>-1.2713626191367539E-2</v>
      </c>
      <c r="AA75" s="38">
        <f t="shared" si="73"/>
        <v>1.300313080841701E-2</v>
      </c>
      <c r="AB75" s="38">
        <f t="shared" si="73"/>
        <v>4.2411392550983924E-2</v>
      </c>
      <c r="AC75" s="38">
        <f t="shared" si="74"/>
        <v>1.580956787441062E-2</v>
      </c>
      <c r="AD75" s="38">
        <f t="shared" si="75"/>
        <v>-3.2509883538592778E-2</v>
      </c>
      <c r="AE75" s="38">
        <f t="shared" si="75"/>
        <v>-0.16312442850715567</v>
      </c>
      <c r="AF75" s="38">
        <f t="shared" si="76"/>
        <v>7.6014401721168356E-2</v>
      </c>
      <c r="AG75" s="38">
        <f t="shared" si="77"/>
        <v>2.832021264260769E-2</v>
      </c>
      <c r="AH75" s="38">
        <f t="shared" ref="AH75:AI75" si="86">AH23/AH$29</f>
        <v>-3.7789207124397803E-2</v>
      </c>
      <c r="AI75" s="38">
        <f t="shared" si="86"/>
        <v>-3.7012921855950905E-2</v>
      </c>
      <c r="AJ75" s="38">
        <f t="shared" ref="AJ75:AK75" si="87">AJ23/AJ$29</f>
        <v>5.4991611539424107E-3</v>
      </c>
      <c r="AK75" s="38">
        <f t="shared" si="87"/>
        <v>4.1969769651834304E-3</v>
      </c>
      <c r="AL75" s="38">
        <f t="shared" ref="AL75" si="88">AL23/AL$29</f>
        <v>-9.8881011334244331E-2</v>
      </c>
    </row>
    <row r="76" spans="3:38">
      <c r="F76" s="6" t="s">
        <v>1443</v>
      </c>
      <c r="G76" s="52">
        <f t="shared" ref="G76:O76" si="89">G24/G$29</f>
        <v>0.28043390555972419</v>
      </c>
      <c r="H76" s="37">
        <f t="shared" si="89"/>
        <v>8.9011335606880682E-2</v>
      </c>
      <c r="I76" s="19">
        <f t="shared" si="89"/>
        <v>-6.8164251030419717E-2</v>
      </c>
      <c r="J76" s="19">
        <f t="shared" si="89"/>
        <v>-6.7126674675392836E-2</v>
      </c>
      <c r="K76" s="19">
        <f t="shared" si="89"/>
        <v>5.1502723407267109E-2</v>
      </c>
      <c r="L76" s="19">
        <f t="shared" si="89"/>
        <v>4.6618340756354085E-2</v>
      </c>
      <c r="M76" s="19">
        <f t="shared" si="89"/>
        <v>-9.9073846585479436E-2</v>
      </c>
      <c r="N76" s="19">
        <f t="shared" si="89"/>
        <v>8.1364401687849218E-3</v>
      </c>
      <c r="O76" s="37">
        <f t="shared" si="89"/>
        <v>-0.48427918957709282</v>
      </c>
      <c r="P76" s="37">
        <f t="shared" si="68"/>
        <v>0.11088087258410963</v>
      </c>
      <c r="Q76" s="37">
        <f t="shared" si="68"/>
        <v>-0.12684632471040283</v>
      </c>
      <c r="R76" s="38">
        <f t="shared" si="69"/>
        <v>-0.11906063724140048</v>
      </c>
      <c r="S76" s="38">
        <f t="shared" si="69"/>
        <v>8.7540342075511951E-2</v>
      </c>
      <c r="T76" s="38">
        <f t="shared" si="70"/>
        <v>0.25780224235303667</v>
      </c>
      <c r="U76" s="38">
        <f t="shared" si="70"/>
        <v>0.1464793826659615</v>
      </c>
      <c r="V76" s="38">
        <f t="shared" si="71"/>
        <v>-0.25830516642977752</v>
      </c>
      <c r="W76" s="38">
        <f t="shared" si="71"/>
        <v>-0.17708165176610297</v>
      </c>
      <c r="X76" s="38">
        <f t="shared" si="71"/>
        <v>0.18360955283092514</v>
      </c>
      <c r="Y76" s="38">
        <f t="shared" si="72"/>
        <v>8.0750618513388051E-2</v>
      </c>
      <c r="Z76" s="38">
        <f t="shared" si="72"/>
        <v>3.1570964614181338E-2</v>
      </c>
      <c r="AA76" s="38">
        <f t="shared" si="73"/>
        <v>-9.078830040705501E-3</v>
      </c>
      <c r="AB76" s="38">
        <f t="shared" si="73"/>
        <v>3.9030870493901048E-3</v>
      </c>
      <c r="AC76" s="38">
        <f t="shared" si="74"/>
        <v>0.10285762468731625</v>
      </c>
      <c r="AD76" s="38">
        <f t="shared" si="75"/>
        <v>-0.55617972218094658</v>
      </c>
      <c r="AE76" s="38">
        <f t="shared" si="75"/>
        <v>4.3262909346616356E-2</v>
      </c>
      <c r="AF76" s="38">
        <f t="shared" si="76"/>
        <v>2.6170715353118469E-2</v>
      </c>
      <c r="AG76" s="38">
        <f t="shared" si="77"/>
        <v>0.15951224947034226</v>
      </c>
      <c r="AH76" s="38">
        <f t="shared" ref="AH76:AI76" si="90">AH24/AH$29</f>
        <v>3.8072125510821377E-2</v>
      </c>
      <c r="AI76" s="38">
        <f t="shared" si="90"/>
        <v>7.1620735216423329E-2</v>
      </c>
      <c r="AJ76" s="38">
        <f t="shared" ref="AJ76:AK76" si="91">AJ24/AJ$29</f>
        <v>5.9260746380455788E-2</v>
      </c>
      <c r="AK76" s="38">
        <f t="shared" si="91"/>
        <v>2.4906500446504967E-2</v>
      </c>
      <c r="AL76" s="38">
        <f t="shared" ref="AL76" si="92">AL24/AL$29</f>
        <v>-6.1118133572520682E-2</v>
      </c>
    </row>
    <row r="77" spans="3:38">
      <c r="F77" s="6" t="s">
        <v>1445</v>
      </c>
      <c r="G77" s="52">
        <f t="shared" ref="G77:O77" si="93">G25/G$29</f>
        <v>0.9321163857724325</v>
      </c>
      <c r="H77" s="37">
        <f t="shared" si="93"/>
        <v>0.60410041072399634</v>
      </c>
      <c r="I77" s="19">
        <f t="shared" si="93"/>
        <v>0.24982038543059293</v>
      </c>
      <c r="J77" s="19">
        <f t="shared" si="93"/>
        <v>0.67218107598858867</v>
      </c>
      <c r="K77" s="19">
        <f t="shared" si="93"/>
        <v>0.4352332615963353</v>
      </c>
      <c r="L77" s="19">
        <f t="shared" si="93"/>
        <v>0.26303017673490608</v>
      </c>
      <c r="M77" s="19">
        <f t="shared" si="93"/>
        <v>0.22936732840741378</v>
      </c>
      <c r="N77" s="19">
        <f t="shared" si="93"/>
        <v>0.65825915094307919</v>
      </c>
      <c r="O77" s="37">
        <f t="shared" si="93"/>
        <v>1.4912638596418604</v>
      </c>
      <c r="P77" s="37">
        <f t="shared" si="68"/>
        <v>0.18675794996607437</v>
      </c>
      <c r="Q77" s="37">
        <f t="shared" si="68"/>
        <v>0.30022839571144161</v>
      </c>
      <c r="R77" s="38">
        <f t="shared" si="69"/>
        <v>0.93273125948574165</v>
      </c>
      <c r="S77" s="38">
        <f t="shared" si="69"/>
        <v>0.18473898364635225</v>
      </c>
      <c r="T77" s="38">
        <f t="shared" si="70"/>
        <v>0.4371648619004182</v>
      </c>
      <c r="U77" s="38">
        <f t="shared" si="70"/>
        <v>0.46751651515124859</v>
      </c>
      <c r="V77" s="38">
        <f t="shared" si="71"/>
        <v>-5.9131829704568584E-3</v>
      </c>
      <c r="W77" s="38">
        <f t="shared" si="71"/>
        <v>-5.2907594613986336E-3</v>
      </c>
      <c r="X77" s="38">
        <f t="shared" si="71"/>
        <v>0.54852293915942019</v>
      </c>
      <c r="Y77" s="38">
        <f t="shared" si="72"/>
        <v>0.19661900767645685</v>
      </c>
      <c r="Z77" s="38">
        <f t="shared" si="72"/>
        <v>5.0297612921471474E-2</v>
      </c>
      <c r="AA77" s="38">
        <f t="shared" si="73"/>
        <v>0.204660766003705</v>
      </c>
      <c r="AB77" s="38">
        <f t="shared" si="73"/>
        <v>6.4883174249661474E-2</v>
      </c>
      <c r="AC77" s="38">
        <f t="shared" si="74"/>
        <v>3.2749994584160724E-2</v>
      </c>
      <c r="AD77" s="38">
        <f t="shared" si="75"/>
        <v>0.90302889867453828</v>
      </c>
      <c r="AE77" s="38">
        <f t="shared" si="75"/>
        <v>-7.2009446388741724E-2</v>
      </c>
      <c r="AF77" s="38">
        <f t="shared" si="76"/>
        <v>-0.40073351813209884</v>
      </c>
      <c r="AG77" s="38">
        <f t="shared" si="77"/>
        <v>-0.31645392984564635</v>
      </c>
      <c r="AH77" s="38">
        <f t="shared" ref="AH77:AI77" si="94">AH25/AH$29</f>
        <v>0.17331756002862428</v>
      </c>
      <c r="AI77" s="38">
        <f t="shared" si="94"/>
        <v>3.1778736472075547E-2</v>
      </c>
      <c r="AJ77" s="38">
        <f t="shared" ref="AJ77:AK77" si="95">AJ25/AJ$29</f>
        <v>0.47593691471417571</v>
      </c>
      <c r="AK77" s="38">
        <f t="shared" si="95"/>
        <v>0.55579584981682584</v>
      </c>
      <c r="AL77" s="38">
        <f t="shared" ref="AL77" si="96">AL25/AL$29</f>
        <v>0.47095643262110848</v>
      </c>
    </row>
    <row r="78" spans="3:38">
      <c r="C78" s="283"/>
      <c r="F78" s="6" t="s">
        <v>1474</v>
      </c>
      <c r="G78" s="52">
        <f t="shared" ref="G78:O78" si="97">G26/G$29</f>
        <v>0.14703657430208009</v>
      </c>
      <c r="H78" s="37">
        <f t="shared" si="97"/>
        <v>-0.16354737737244432</v>
      </c>
      <c r="I78" s="19">
        <f t="shared" si="97"/>
        <v>9.3686596032779429E-2</v>
      </c>
      <c r="J78" s="19">
        <f t="shared" si="97"/>
        <v>-8.2853178111838663E-2</v>
      </c>
      <c r="K78" s="19">
        <f t="shared" si="97"/>
        <v>-0.3787528909863922</v>
      </c>
      <c r="L78" s="19">
        <f t="shared" si="97"/>
        <v>2.6786736565182202E-2</v>
      </c>
      <c r="M78" s="19">
        <f t="shared" si="97"/>
        <v>0.14592792846785763</v>
      </c>
      <c r="N78" s="19">
        <f t="shared" si="97"/>
        <v>0.460827418847577</v>
      </c>
      <c r="O78" s="37">
        <f t="shared" si="97"/>
        <v>-0.16560479667115929</v>
      </c>
      <c r="P78" s="37">
        <f t="shared" si="68"/>
        <v>-2.1545227996773778E-2</v>
      </c>
      <c r="Q78" s="37">
        <f t="shared" si="68"/>
        <v>-0.10400002078302467</v>
      </c>
      <c r="R78" s="38">
        <f t="shared" si="69"/>
        <v>-0.52788374335199162</v>
      </c>
      <c r="S78" s="38">
        <f t="shared" si="69"/>
        <v>0.26394659316133101</v>
      </c>
      <c r="T78" s="38">
        <f t="shared" si="70"/>
        <v>9.0736618366056062E-3</v>
      </c>
      <c r="U78" s="38">
        <f t="shared" si="70"/>
        <v>8.1412654502304407E-2</v>
      </c>
      <c r="V78" s="38">
        <f t="shared" si="71"/>
        <v>0.50431441722071713</v>
      </c>
      <c r="W78" s="38">
        <f t="shared" si="71"/>
        <v>-3.7132776295252527E-3</v>
      </c>
      <c r="X78" s="38">
        <f t="shared" si="71"/>
        <v>7.7954265789724766E-2</v>
      </c>
      <c r="Y78" s="38">
        <f t="shared" si="72"/>
        <v>1.6764648803186892E-2</v>
      </c>
      <c r="Z78" s="38">
        <f t="shared" si="72"/>
        <v>-4.9817915006446067E-3</v>
      </c>
      <c r="AA78" s="38">
        <f t="shared" si="73"/>
        <v>4.2396188430988677E-2</v>
      </c>
      <c r="AB78" s="38">
        <f t="shared" si="73"/>
        <v>3.627721371506825E-2</v>
      </c>
      <c r="AC78" s="38">
        <f t="shared" si="74"/>
        <v>3.3686251989187697E-2</v>
      </c>
      <c r="AD78" s="38">
        <f t="shared" si="75"/>
        <v>5.7736915830161037E-2</v>
      </c>
      <c r="AE78" s="38">
        <f t="shared" si="75"/>
        <v>9.8907197310379308E-3</v>
      </c>
      <c r="AF78" s="38">
        <f t="shared" si="76"/>
        <v>2.2849089461368089E-2</v>
      </c>
      <c r="AG78" s="38">
        <f t="shared" si="77"/>
        <v>3.9745979216126652E-2</v>
      </c>
      <c r="AH78" s="38">
        <f t="shared" ref="AH78:AI78" si="98">AH26/AH$29</f>
        <v>2.3629165911370872E-2</v>
      </c>
      <c r="AI78" s="38">
        <f t="shared" si="98"/>
        <v>4.2639332131979221E-2</v>
      </c>
      <c r="AJ78" s="38">
        <f t="shared" ref="AJ78:AK78" si="99">AJ26/AJ$29</f>
        <v>-9.3729360991501343E-6</v>
      </c>
      <c r="AK78" s="38">
        <f t="shared" si="99"/>
        <v>4.9364679620979238E-3</v>
      </c>
      <c r="AL78" s="38">
        <f t="shared" ref="AL78" si="100">AL26/AL$29</f>
        <v>5.94657893877098E-2</v>
      </c>
    </row>
    <row r="79" spans="3:38">
      <c r="F79" s="6" t="s">
        <v>1476</v>
      </c>
      <c r="G79" s="52">
        <f t="shared" ref="G79:O79" si="101">G27/G$29</f>
        <v>1.6922428971801445E-2</v>
      </c>
      <c r="H79" s="37">
        <f t="shared" si="101"/>
        <v>3.0559272775410994E-2</v>
      </c>
      <c r="I79" s="19">
        <f t="shared" si="101"/>
        <v>5.6715554287853943E-3</v>
      </c>
      <c r="J79" s="19">
        <f t="shared" si="101"/>
        <v>3.3659670015437945E-2</v>
      </c>
      <c r="K79" s="19">
        <f t="shared" si="101"/>
        <v>-5.3636452790423422E-2</v>
      </c>
      <c r="L79" s="19">
        <f t="shared" si="101"/>
        <v>-1.0188726957974589E-2</v>
      </c>
      <c r="M79" s="19">
        <f t="shared" si="101"/>
        <v>4.9118066051706205E-3</v>
      </c>
      <c r="N79" s="19">
        <f t="shared" si="101"/>
        <v>-1.0176606650848557E-2</v>
      </c>
      <c r="O79" s="37">
        <f t="shared" si="101"/>
        <v>-8.7828959323164077E-2</v>
      </c>
      <c r="P79" s="37">
        <f t="shared" si="68"/>
        <v>8.4541180524702636E-2</v>
      </c>
      <c r="Q79" s="37">
        <f t="shared" si="68"/>
        <v>-0.12391822266496959</v>
      </c>
      <c r="R79" s="38">
        <f t="shared" si="69"/>
        <v>-0.14402853329614193</v>
      </c>
      <c r="S79" s="38">
        <f t="shared" si="69"/>
        <v>6.2935597432683107E-2</v>
      </c>
      <c r="T79" s="38">
        <f t="shared" si="70"/>
        <v>3.0177606264120676E-2</v>
      </c>
      <c r="U79" s="38">
        <f t="shared" si="70"/>
        <v>-4.2589551905687542E-2</v>
      </c>
      <c r="V79" s="38">
        <f t="shared" si="71"/>
        <v>1.2145863261196519E-2</v>
      </c>
      <c r="W79" s="38">
        <f t="shared" si="71"/>
        <v>-5.5384490603964692E-2</v>
      </c>
      <c r="X79" s="38">
        <f t="shared" si="71"/>
        <v>4.4647371599640148E-2</v>
      </c>
      <c r="Y79" s="38">
        <f t="shared" si="72"/>
        <v>-1.6732416058841805E-3</v>
      </c>
      <c r="Z79" s="38">
        <f t="shared" si="72"/>
        <v>-2.7150241298749895E-2</v>
      </c>
      <c r="AA79" s="38">
        <f t="shared" si="73"/>
        <v>4.8780270200877423E-3</v>
      </c>
      <c r="AB79" s="38">
        <f t="shared" si="73"/>
        <v>1.0308449163454999E-2</v>
      </c>
      <c r="AC79" s="38">
        <f t="shared" si="74"/>
        <v>-4.3616136214231362E-2</v>
      </c>
      <c r="AD79" s="38">
        <f t="shared" si="75"/>
        <v>-2.7633856053425093E-3</v>
      </c>
      <c r="AE79" s="38">
        <f t="shared" si="75"/>
        <v>-3.3962528876339297E-3</v>
      </c>
      <c r="AF79" s="38">
        <f t="shared" si="76"/>
        <v>2.739328065632966E-2</v>
      </c>
      <c r="AG79" s="38">
        <f t="shared" si="77"/>
        <v>-2.4602414416042512E-2</v>
      </c>
      <c r="AH79" s="38">
        <f t="shared" ref="AH79:AI79" si="102">AH27/AH$29</f>
        <v>-7.4433749251799587E-3</v>
      </c>
      <c r="AI79" s="38">
        <f t="shared" si="102"/>
        <v>1.8187158491485205E-2</v>
      </c>
      <c r="AJ79" s="38">
        <f t="shared" ref="AJ79:AK79" si="103">AJ27/AJ$29</f>
        <v>-1.3563472514155036E-4</v>
      </c>
      <c r="AK79" s="38">
        <f t="shared" si="103"/>
        <v>-1.8767032641627064E-3</v>
      </c>
      <c r="AL79" s="38">
        <f t="shared" ref="AL79" si="104">AL27/AL$29</f>
        <v>-4.5775840243349732E-5</v>
      </c>
    </row>
    <row r="80" spans="3:38">
      <c r="F80" s="5" t="s">
        <v>82</v>
      </c>
      <c r="G80" s="54">
        <f t="shared" ref="G80:O80" si="105">G28/G$29</f>
        <v>-2.0134838714488096E-5</v>
      </c>
      <c r="H80" s="35">
        <f t="shared" si="105"/>
        <v>5.3315351565865348E-5</v>
      </c>
      <c r="I80" s="18">
        <f t="shared" si="105"/>
        <v>9.8315904487469009E-5</v>
      </c>
      <c r="J80" s="18">
        <f t="shared" si="105"/>
        <v>-6.6255915766843068E-4</v>
      </c>
      <c r="K80" s="18">
        <f t="shared" si="105"/>
        <v>-1.4499415366622712E-3</v>
      </c>
      <c r="L80" s="18">
        <f t="shared" si="105"/>
        <v>1.9773533047641529E-4</v>
      </c>
      <c r="M80" s="18">
        <f t="shared" si="105"/>
        <v>2.9159892198369984E-4</v>
      </c>
      <c r="N80" s="18">
        <f t="shared" si="105"/>
        <v>-3.1735533172870526E-5</v>
      </c>
      <c r="O80" s="35">
        <f t="shared" si="105"/>
        <v>1.5571609830084844E-4</v>
      </c>
      <c r="P80" s="131">
        <f t="shared" si="68"/>
        <v>-9.7433538324265658E-5</v>
      </c>
      <c r="Q80" s="131">
        <f t="shared" si="68"/>
        <v>1.1954933770657701E-4</v>
      </c>
      <c r="R80" s="130">
        <f t="shared" si="69"/>
        <v>4.6912711356211979E-4</v>
      </c>
      <c r="S80" s="130">
        <f t="shared" si="69"/>
        <v>-3.0715443702897821E-5</v>
      </c>
      <c r="T80" s="130">
        <f t="shared" si="70"/>
        <v>8.2969285015886948E-6</v>
      </c>
      <c r="U80" s="130">
        <f t="shared" si="70"/>
        <v>-2.4276510866292472E-4</v>
      </c>
      <c r="V80" s="130">
        <f t="shared" si="71"/>
        <v>6.8693269648830419E-5</v>
      </c>
      <c r="W80" s="130">
        <f t="shared" si="71"/>
        <v>3.5533058623623554E-5</v>
      </c>
      <c r="X80" s="130">
        <f t="shared" si="71"/>
        <v>8.5837103188058831E-5</v>
      </c>
      <c r="Y80" s="130">
        <f t="shared" si="72"/>
        <v>2.1215443944976595E-5</v>
      </c>
      <c r="Z80" s="130">
        <f t="shared" si="72"/>
        <v>-4.6968557614262031E-5</v>
      </c>
      <c r="AA80" s="130">
        <f t="shared" si="73"/>
        <v>-7.1418748339071442E-5</v>
      </c>
      <c r="AB80" s="130">
        <f t="shared" si="73"/>
        <v>-6.329729639295541E-6</v>
      </c>
      <c r="AC80" s="130">
        <f t="shared" si="74"/>
        <v>-3.6184711339791044E-5</v>
      </c>
      <c r="AD80" s="130">
        <f t="shared" si="75"/>
        <v>-1.9451055164879431E-4</v>
      </c>
      <c r="AE80" s="130">
        <f t="shared" si="75"/>
        <v>5.4073838389820786E-5</v>
      </c>
      <c r="AF80" s="130">
        <f t="shared" si="76"/>
        <v>9.9771473317066981E-5</v>
      </c>
      <c r="AG80" s="130">
        <f t="shared" si="77"/>
        <v>-9.3496042676874933E-5</v>
      </c>
      <c r="AH80" s="130">
        <f t="shared" ref="AH80:AI80" si="106">AH28/AH$29</f>
        <v>-4.2501215997225746E-5</v>
      </c>
      <c r="AI80" s="130">
        <f t="shared" si="106"/>
        <v>2.376041770944612E-4</v>
      </c>
      <c r="AJ80" s="130">
        <f t="shared" ref="AJ80:AK80" si="107">AJ28/AJ$29</f>
        <v>-3.8716469231306358E-5</v>
      </c>
      <c r="AK80" s="130">
        <f t="shared" si="107"/>
        <v>-4.4058428163030798E-5</v>
      </c>
      <c r="AL80" s="130">
        <f t="shared" ref="AL80" si="108">AL28/AL$29</f>
        <v>7.4923832404516044E-5</v>
      </c>
    </row>
    <row r="81" spans="6:60">
      <c r="F81" s="4" t="s">
        <v>1480</v>
      </c>
      <c r="G81" s="1137"/>
      <c r="H81" s="39"/>
      <c r="I81" s="24"/>
      <c r="J81" s="24"/>
      <c r="K81" s="24"/>
      <c r="L81" s="24"/>
      <c r="M81" s="24"/>
      <c r="N81" s="24"/>
      <c r="O81" s="39"/>
      <c r="P81" s="62"/>
      <c r="Q81" s="62"/>
      <c r="R81" s="62"/>
      <c r="S81" s="62"/>
      <c r="T81" s="62"/>
      <c r="U81" s="62"/>
      <c r="V81" s="438"/>
      <c r="W81" s="62"/>
      <c r="X81" s="62"/>
      <c r="Y81" s="62"/>
      <c r="Z81" s="62"/>
      <c r="AA81" s="62"/>
      <c r="AB81" s="62"/>
      <c r="AC81" s="62"/>
      <c r="AD81" s="62"/>
      <c r="AE81" s="62"/>
      <c r="AF81" s="62"/>
      <c r="AG81" s="62"/>
      <c r="AH81" s="62"/>
      <c r="AI81" s="62"/>
      <c r="AJ81" s="62"/>
      <c r="AK81" s="62"/>
      <c r="AL81" s="62"/>
    </row>
    <row r="82" spans="6:60">
      <c r="G82" s="35"/>
      <c r="H82" s="35"/>
      <c r="I82" s="18"/>
      <c r="J82" s="18"/>
      <c r="K82" s="18"/>
      <c r="L82" s="18"/>
      <c r="M82" s="18"/>
      <c r="N82" s="18"/>
      <c r="O82" s="35"/>
    </row>
    <row r="83" spans="6:60">
      <c r="G83" s="5"/>
      <c r="Q83" s="1122" t="s">
        <v>1540</v>
      </c>
      <c r="R83" s="1122" t="s">
        <v>1578</v>
      </c>
      <c r="S83" s="1122" t="s">
        <v>1540</v>
      </c>
      <c r="T83" s="1122" t="s">
        <v>1578</v>
      </c>
      <c r="U83" s="1122" t="s">
        <v>1540</v>
      </c>
      <c r="V83" s="1122" t="s">
        <v>1578</v>
      </c>
    </row>
    <row r="84" spans="6:60" ht="13.5" thickBot="1">
      <c r="G84" s="1139" t="s">
        <v>1579</v>
      </c>
      <c r="H84" s="44"/>
      <c r="I84" s="32"/>
      <c r="J84" s="1139" t="s">
        <v>1580</v>
      </c>
      <c r="K84" s="44"/>
      <c r="L84" s="32"/>
      <c r="Q84" s="106" t="s">
        <v>1555</v>
      </c>
      <c r="R84" s="106" t="s">
        <v>1555</v>
      </c>
      <c r="S84" s="106" t="s">
        <v>1556</v>
      </c>
      <c r="T84" s="106" t="s">
        <v>1556</v>
      </c>
      <c r="U84" s="225" t="s">
        <v>1557</v>
      </c>
      <c r="V84" s="252" t="s">
        <v>1557</v>
      </c>
      <c r="W84" s="674"/>
    </row>
    <row r="85" spans="6:60">
      <c r="G85" s="46" t="s">
        <v>1540</v>
      </c>
      <c r="H85" s="47" t="s">
        <v>1541</v>
      </c>
      <c r="I85" s="48" t="s">
        <v>1541</v>
      </c>
      <c r="J85" s="46" t="s">
        <v>1540</v>
      </c>
      <c r="K85" s="47" t="s">
        <v>1541</v>
      </c>
      <c r="L85" s="48" t="s">
        <v>1541</v>
      </c>
      <c r="W85" s="664" t="s">
        <v>1540</v>
      </c>
      <c r="X85" s="665" t="s">
        <v>1578</v>
      </c>
      <c r="Y85" s="664" t="s">
        <v>1540</v>
      </c>
      <c r="Z85" s="665" t="s">
        <v>1578</v>
      </c>
      <c r="AA85" s="664" t="s">
        <v>1540</v>
      </c>
      <c r="AB85" s="665" t="s">
        <v>1578</v>
      </c>
      <c r="AC85" s="664" t="s">
        <v>1540</v>
      </c>
      <c r="AD85" s="665" t="s">
        <v>1578</v>
      </c>
      <c r="AE85" s="664" t="s">
        <v>1540</v>
      </c>
      <c r="AF85" s="665" t="s">
        <v>1578</v>
      </c>
      <c r="AG85" s="664" t="s">
        <v>1540</v>
      </c>
      <c r="AH85" s="665" t="s">
        <v>1578</v>
      </c>
      <c r="AI85" s="664" t="s">
        <v>1540</v>
      </c>
      <c r="AJ85" s="665" t="s">
        <v>1578</v>
      </c>
      <c r="AK85" s="664" t="s">
        <v>1540</v>
      </c>
      <c r="AL85" s="665" t="s">
        <v>1578</v>
      </c>
      <c r="AM85" s="664" t="s">
        <v>1540</v>
      </c>
      <c r="AN85" s="665" t="s">
        <v>1578</v>
      </c>
      <c r="AO85" s="664" t="s">
        <v>1540</v>
      </c>
      <c r="AP85" s="665" t="s">
        <v>1578</v>
      </c>
      <c r="AQ85" s="664" t="s">
        <v>1540</v>
      </c>
      <c r="AR85" s="665" t="s">
        <v>1578</v>
      </c>
      <c r="AS85" s="664" t="s">
        <v>1540</v>
      </c>
      <c r="AT85" s="665" t="s">
        <v>1578</v>
      </c>
      <c r="AU85" s="664" t="s">
        <v>1540</v>
      </c>
      <c r="AV85" s="665" t="s">
        <v>1578</v>
      </c>
      <c r="AW85" s="664" t="s">
        <v>1540</v>
      </c>
      <c r="AX85" s="665" t="s">
        <v>1578</v>
      </c>
      <c r="AY85" s="664" t="s">
        <v>1540</v>
      </c>
      <c r="AZ85" s="665" t="s">
        <v>1578</v>
      </c>
      <c r="BA85" s="664" t="s">
        <v>1540</v>
      </c>
      <c r="BB85" s="665" t="s">
        <v>1578</v>
      </c>
      <c r="BC85" s="664" t="s">
        <v>1540</v>
      </c>
      <c r="BD85" s="665" t="s">
        <v>1578</v>
      </c>
      <c r="BE85" s="664" t="s">
        <v>1540</v>
      </c>
      <c r="BF85" s="665" t="s">
        <v>1578</v>
      </c>
      <c r="BG85" s="664" t="s">
        <v>1540</v>
      </c>
      <c r="BH85" s="665" t="s">
        <v>1578</v>
      </c>
    </row>
    <row r="86" spans="6:60">
      <c r="F86" s="121" t="s">
        <v>1503</v>
      </c>
      <c r="G86" s="46" t="s">
        <v>1543</v>
      </c>
      <c r="H86" s="47" t="s">
        <v>1543</v>
      </c>
      <c r="I86" s="48" t="s">
        <v>1544</v>
      </c>
      <c r="J86" s="49" t="s">
        <v>1543</v>
      </c>
      <c r="K86" s="50" t="s">
        <v>1543</v>
      </c>
      <c r="L86" s="48" t="s">
        <v>1544</v>
      </c>
      <c r="W86" s="341" t="s">
        <v>1558</v>
      </c>
      <c r="X86" s="340" t="s">
        <v>1558</v>
      </c>
      <c r="Y86" s="341" t="s">
        <v>1559</v>
      </c>
      <c r="Z86" s="340" t="s">
        <v>1559</v>
      </c>
      <c r="AA86" s="341" t="s">
        <v>1560</v>
      </c>
      <c r="AB86" s="340" t="s">
        <v>1560</v>
      </c>
      <c r="AC86" s="341" t="s">
        <v>1561</v>
      </c>
      <c r="AD86" s="340" t="s">
        <v>1561</v>
      </c>
      <c r="AE86" s="341" t="s">
        <v>1562</v>
      </c>
      <c r="AF86" s="340" t="s">
        <v>1562</v>
      </c>
      <c r="AG86" s="341" t="s">
        <v>1563</v>
      </c>
      <c r="AH86" s="340" t="s">
        <v>1563</v>
      </c>
      <c r="AI86" s="341" t="s">
        <v>1564</v>
      </c>
      <c r="AJ86" s="106" t="s">
        <v>1564</v>
      </c>
      <c r="AK86" s="341" t="s">
        <v>1565</v>
      </c>
      <c r="AL86" s="106" t="s">
        <v>1565</v>
      </c>
      <c r="AM86" s="341" t="s">
        <v>1566</v>
      </c>
      <c r="AN86" s="106" t="s">
        <v>1566</v>
      </c>
      <c r="AO86" s="341" t="s">
        <v>1567</v>
      </c>
      <c r="AP86" s="106" t="s">
        <v>1567</v>
      </c>
      <c r="AQ86" s="341" t="s">
        <v>1568</v>
      </c>
      <c r="AR86" s="106" t="s">
        <v>1568</v>
      </c>
      <c r="AS86" s="341" t="s">
        <v>1569</v>
      </c>
      <c r="AT86" s="106" t="s">
        <v>1569</v>
      </c>
      <c r="AU86" s="341" t="s">
        <v>1570</v>
      </c>
      <c r="AV86" s="340" t="s">
        <v>1570</v>
      </c>
      <c r="AW86" s="341" t="s">
        <v>1571</v>
      </c>
      <c r="AX86" s="340" t="s">
        <v>1571</v>
      </c>
      <c r="AY86" s="341" t="s">
        <v>1572</v>
      </c>
      <c r="AZ86" s="340" t="s">
        <v>1572</v>
      </c>
      <c r="BA86" s="341" t="s">
        <v>1573</v>
      </c>
      <c r="BB86" s="340" t="s">
        <v>1573</v>
      </c>
      <c r="BC86" s="341" t="s">
        <v>1574</v>
      </c>
      <c r="BD86" s="340" t="s">
        <v>1574</v>
      </c>
      <c r="BE86" s="341" t="s">
        <v>1471</v>
      </c>
      <c r="BF86" s="340" t="s">
        <v>1471</v>
      </c>
      <c r="BG86" s="341" t="s">
        <v>1472</v>
      </c>
      <c r="BH86" s="340" t="s">
        <v>1472</v>
      </c>
    </row>
    <row r="87" spans="6:60">
      <c r="F87" s="5" t="s">
        <v>1434</v>
      </c>
      <c r="G87" s="56">
        <f>'Summary Table'!W103-'Summary Table'!C103</f>
        <v>-4.0722269114622236</v>
      </c>
      <c r="H87" s="41">
        <f>G87/'Summary Table'!C103</f>
        <v>-1.2027809699124939E-2</v>
      </c>
      <c r="I87" s="41">
        <f>G87/G$112</f>
        <v>-6.9060496218794993E-3</v>
      </c>
      <c r="J87" s="56">
        <f>'Summary Table'!W103-'Summary Table'!V103</f>
        <v>-1.4323158811440635</v>
      </c>
      <c r="K87" s="35">
        <f>J87/'Summary Table'!$T103</f>
        <v>-4.210877834458537E-3</v>
      </c>
      <c r="L87" s="42">
        <f>J87/$J$112</f>
        <v>-9.1195627126692443E-3</v>
      </c>
      <c r="Q87" s="5">
        <f>'Summary Table'!N103-'Summary Table'!M103</f>
        <v>-8.682786960102078</v>
      </c>
      <c r="R87" s="666">
        <f>Q87/'Summary Table'!M103</f>
        <v>-2.3359479207140179E-2</v>
      </c>
      <c r="S87" s="5">
        <f>'Summary Table'!O103-'Summary Table'!N103</f>
        <v>-1.9910863474403868</v>
      </c>
      <c r="T87" s="666">
        <f>S87/'Summary Table'!N103</f>
        <v>-5.4847819416738814E-3</v>
      </c>
      <c r="U87" s="5">
        <f>'Summary Table'!P103-'Summary Table'!O103</f>
        <v>19.050295471464722</v>
      </c>
      <c r="V87" s="666">
        <f>U87/'Summary Table'!O103</f>
        <v>5.2766653826124763E-2</v>
      </c>
      <c r="W87" s="747">
        <f>'Summary Table'!Q103-'Summary Table'!P103</f>
        <v>-11.109567316558696</v>
      </c>
      <c r="X87" s="748">
        <f>IFERROR(W87/'Summary Table'!P103, "NA")</f>
        <v>-2.9229599381726219E-2</v>
      </c>
      <c r="Y87" s="747">
        <f>'Summary Table'!R103-'Summary Table'!Q103</f>
        <v>-10.360485760855624</v>
      </c>
      <c r="Z87" s="748">
        <f>IFERROR(Y87/'Summary Table'!Q103, "NA")</f>
        <v>-2.8079496130838953E-2</v>
      </c>
      <c r="AA87" s="747">
        <f>'Summary Table'!S103-'Summary Table'!R103</f>
        <v>-37.627208101173892</v>
      </c>
      <c r="AB87" s="748">
        <f>IFERROR(AA87/'Summary Table'!R103, "NA")</f>
        <v>-0.1049253540493954</v>
      </c>
      <c r="AC87" s="747">
        <f>'Summary Table'!T103-'Summary Table'!S103</f>
        <v>19.164529323084537</v>
      </c>
      <c r="AD87" s="748">
        <f>IFERROR(AC87/'Summary Table'!S103, "NA")</f>
        <v>5.9705913872244748E-2</v>
      </c>
      <c r="AE87" s="747">
        <f>'Summary Table'!U103-'Summary Table'!T103</f>
        <v>6.8739785004940472</v>
      </c>
      <c r="AF87" s="748">
        <f>IFERROR(AE87/'Summary Table'!T103, "NA")</f>
        <v>2.0208868786091159E-2</v>
      </c>
      <c r="AG87" s="747">
        <f>'Summary Table'!V103-'Summary Table'!U103</f>
        <v>-11.092893279086923</v>
      </c>
      <c r="AH87" s="748">
        <f>IFERROR(AG87/'Summary Table'!U103, "NA")</f>
        <v>-3.1966094192761446E-2</v>
      </c>
      <c r="AI87" s="747">
        <f>'Summary Table'!W103-'Summary Table'!V103</f>
        <v>-1.4323158811440635</v>
      </c>
      <c r="AJ87" s="748">
        <f>IFERROR(AI87/'Summary Table'!V103, "NA")</f>
        <v>-4.2637622325534894E-3</v>
      </c>
      <c r="AK87" s="747">
        <f>'Summary Table'!X103-'Summary Table'!W103</f>
        <v>-8.1624642450295255</v>
      </c>
      <c r="AL87" s="748">
        <f>IFERROR(AK87/'Summary Table'!W103, "NA")</f>
        <v>-2.4402321819154416E-2</v>
      </c>
      <c r="AM87" s="747">
        <f>'Summary Table'!Y103-'Summary Table'!X103</f>
        <v>-43.801295927211868</v>
      </c>
      <c r="AN87" s="748">
        <f>IFERROR(AM87/'Summary Table'!X103, "NA")</f>
        <v>-0.1342227276763375</v>
      </c>
      <c r="AO87" s="747">
        <f>'Summary Table'!Z103-'Summary Table'!Y103</f>
        <v>46.733202985475771</v>
      </c>
      <c r="AP87" s="748">
        <f>IFERROR(AO87/'Summary Table'!Y103, "NA")</f>
        <v>0.16540874519288259</v>
      </c>
      <c r="AQ87" s="747">
        <f>'Summary Table'!AA103-'Summary Table'!Z103</f>
        <v>17.469059313567186</v>
      </c>
      <c r="AR87" s="748">
        <f>IFERROR(AQ87/'Summary Table'!Z103, "NA")</f>
        <v>5.3054737021173054E-2</v>
      </c>
      <c r="AS87" s="747">
        <f>'Summary Table'!AB103-'Summary Table'!AA103</f>
        <v>-29.116694309445734</v>
      </c>
      <c r="AT87" s="748">
        <f>IFERROR(AS87/'Summary Table'!AA103, "NA")</f>
        <v>-8.3974179209650224E-2</v>
      </c>
      <c r="AU87" s="747">
        <f>'Summary Table'!AC103-'Summary Table'!AB103</f>
        <v>-24.426004510327971</v>
      </c>
      <c r="AV87" s="748">
        <f>IFERROR(AU87/'Summary Table'!AB103, "NA")</f>
        <v>-7.6903909456676967E-2</v>
      </c>
      <c r="AW87" s="747">
        <f>'Summary Table'!AD103-'Summary Table'!AC103</f>
        <v>0.77439920461114298</v>
      </c>
      <c r="AX87" s="748">
        <f>IFERROR(AW87/'Summary Table'!AC103, "NA")</f>
        <v>2.6412771338803899E-3</v>
      </c>
      <c r="AY87" s="747">
        <f>'Summary Table'!AE103-'Summary Table'!AD103</f>
        <v>44.974076224300347</v>
      </c>
      <c r="AZ87" s="980">
        <f>IFERROR(AY87/'Summary Table'!AD103, "NA")</f>
        <v>0.15299095131542073</v>
      </c>
      <c r="BA87" s="747">
        <f>'Summary Table'!AF103-'Summary Table'!AE103</f>
        <v>3.9651881331679419</v>
      </c>
      <c r="BB87" s="980">
        <f>IFERROR(BA87/'Summary Table'!AE103, "NA")</f>
        <v>1.1698802044095288E-2</v>
      </c>
      <c r="BC87" s="747">
        <f>'Summary Table'!AG103-'Summary Table'!AF103</f>
        <v>-28.109832399289985</v>
      </c>
      <c r="BD87" s="980">
        <f>IFERROR(BC87/'Summary Table'!AF103, "NA")</f>
        <v>-8.1975602064923006E-2</v>
      </c>
      <c r="BE87" s="747">
        <f>'Summary Table'!AH103-'Summary Table'!AG103</f>
        <v>3.2385636906422519</v>
      </c>
      <c r="BF87" s="980">
        <f>IFERROR(BE87/'Summary Table'!AG103, "NA")</f>
        <v>1.0287848918948012E-2</v>
      </c>
      <c r="BG87" s="747">
        <f>'Summary Table'!AI103-'Summary Table'!AH103</f>
        <v>15.066238521806383</v>
      </c>
      <c r="BH87" s="980">
        <f>IFERROR(BG87/'Summary Table'!AH103, "NA")</f>
        <v>4.7373104305903316E-2</v>
      </c>
    </row>
    <row r="88" spans="6:60">
      <c r="F88" s="6" t="s">
        <v>1435</v>
      </c>
      <c r="G88" s="53">
        <f>'Summary Table'!W104-'Summary Table'!C104</f>
        <v>-2.9876952520607118</v>
      </c>
      <c r="H88" s="57">
        <f>G88/'Summary Table'!C104</f>
        <v>-1</v>
      </c>
      <c r="I88" s="37">
        <f t="shared" ref="I88:I111" si="109">G88/G$112</f>
        <v>-5.0668030329322333E-3</v>
      </c>
      <c r="J88" s="53">
        <f>'Summary Table'!W104-'Summary Table'!V104</f>
        <v>0</v>
      </c>
      <c r="K88" s="37">
        <f>J88/'Summary Table'!$T104</f>
        <v>0</v>
      </c>
      <c r="L88" s="38">
        <f t="shared" ref="L88:L111" si="110">J88/$J$112</f>
        <v>0</v>
      </c>
      <c r="Q88" s="1">
        <f>'Summary Table'!N104-'Summary Table'!M104</f>
        <v>5.8088141885184186E-2</v>
      </c>
      <c r="R88" s="88">
        <f>Q88/'Summary Table'!M104</f>
        <v>5.3648370328375647E-2</v>
      </c>
      <c r="S88" s="1">
        <f>'Summary Table'!O104-'Summary Table'!N104</f>
        <v>2.5205690316206342E-2</v>
      </c>
      <c r="T88" s="88">
        <f>S88/'Summary Table'!N104</f>
        <v>2.2093877705008147E-2</v>
      </c>
      <c r="U88" s="1">
        <f>'Summary Table'!P104-'Summary Table'!O104</f>
        <v>2.716574143237116E-3</v>
      </c>
      <c r="V88" s="88">
        <f>U88/'Summary Table'!O104</f>
        <v>2.3297221321539824E-3</v>
      </c>
      <c r="W88" s="749">
        <f>'Summary Table'!Q104-'Summary Table'!P104</f>
        <v>-8.3513914019087032E-2</v>
      </c>
      <c r="X88" s="746">
        <f>IFERROR(W88/'Summary Table'!P104, "NA")</f>
        <v>-7.1454698677910669E-2</v>
      </c>
      <c r="Y88" s="749">
        <f>'Summary Table'!R104-'Summary Table'!Q104</f>
        <v>-0.27999803423448189</v>
      </c>
      <c r="Z88" s="746">
        <f>IFERROR(Y88/'Summary Table'!Q104, "NA")</f>
        <v>-0.2580024557230744</v>
      </c>
      <c r="AA88" s="749">
        <f>'Summary Table'!S104-'Summary Table'!R104</f>
        <v>-0.18820367134262261</v>
      </c>
      <c r="AB88" s="746">
        <f>IFERROR(AA88/'Summary Table'!R104, "NA")</f>
        <v>-0.23371924812152575</v>
      </c>
      <c r="AC88" s="749">
        <f>'Summary Table'!T104-'Summary Table'!S104</f>
        <v>0.12238321001575458</v>
      </c>
      <c r="AD88" s="746">
        <f>IFERROR(AC88/'Summary Table'!S104, "NA")</f>
        <v>0.19833543495327347</v>
      </c>
      <c r="AE88" s="749">
        <f>'Summary Table'!U104-'Summary Table'!T104</f>
        <v>-0.73943487324772961</v>
      </c>
      <c r="AF88" s="746">
        <f>IFERROR(AE88/'Summary Table'!T104, "NA")</f>
        <v>-1</v>
      </c>
      <c r="AG88" s="749">
        <f>'Summary Table'!V104-'Summary Table'!U104</f>
        <v>0</v>
      </c>
      <c r="AH88" s="746" t="str">
        <f>IFERROR(AG88/'Summary Table'!U104, "NA")</f>
        <v>NA</v>
      </c>
      <c r="AI88" s="749">
        <f>'Summary Table'!W104-'Summary Table'!V104</f>
        <v>0</v>
      </c>
      <c r="AJ88" s="746" t="str">
        <f>IFERROR(AI88/'Summary Table'!V104, "NA")</f>
        <v>NA</v>
      </c>
      <c r="AK88" s="749">
        <f>'Summary Table'!X104-'Summary Table'!W104</f>
        <v>0</v>
      </c>
      <c r="AL88" s="746" t="str">
        <f>IFERROR(AK88/'Summary Table'!W104, "NA")</f>
        <v>NA</v>
      </c>
      <c r="AM88" s="749">
        <f>'Summary Table'!Y104-'Summary Table'!X104</f>
        <v>0</v>
      </c>
      <c r="AN88" s="746" t="str">
        <f>IFERROR(AM88/'Summary Table'!X104, "NA")</f>
        <v>NA</v>
      </c>
      <c r="AO88" s="749">
        <f>'Summary Table'!Z104-'Summary Table'!Y104</f>
        <v>0</v>
      </c>
      <c r="AP88" s="746" t="str">
        <f>IFERROR(AO88/'Summary Table'!Y104, "NA")</f>
        <v>NA</v>
      </c>
      <c r="AQ88" s="749">
        <f>'Summary Table'!AA104-'Summary Table'!Z104</f>
        <v>0</v>
      </c>
      <c r="AR88" s="746" t="str">
        <f>IFERROR(AQ88/'Summary Table'!Z104, "NA")</f>
        <v>NA</v>
      </c>
      <c r="AS88" s="749">
        <f>'Summary Table'!AB104-'Summary Table'!AA104</f>
        <v>0</v>
      </c>
      <c r="AT88" s="746" t="str">
        <f>IFERROR(AS88/'Summary Table'!AA104, "NA")</f>
        <v>NA</v>
      </c>
      <c r="AU88" s="749">
        <f>'Summary Table'!AC104-'Summary Table'!AB104</f>
        <v>0</v>
      </c>
      <c r="AV88" s="746" t="str">
        <f>IFERROR(AU88/'Summary Table'!AB104, "NA")</f>
        <v>NA</v>
      </c>
      <c r="AW88" s="749">
        <f>'Summary Table'!AD104-'Summary Table'!AC104</f>
        <v>0</v>
      </c>
      <c r="AX88" s="746" t="str">
        <f>IFERROR(AW88/'Summary Table'!AC104, "NA")</f>
        <v>NA</v>
      </c>
      <c r="AY88" s="749">
        <f>'Summary Table'!AE104-'Summary Table'!AD104</f>
        <v>0</v>
      </c>
      <c r="AZ88" s="255" t="str">
        <f>IFERROR(AY88/'Summary Table'!AD104, "NA")</f>
        <v>NA</v>
      </c>
      <c r="BA88" s="749">
        <f>'Summary Table'!AF104-'Summary Table'!AE104</f>
        <v>0</v>
      </c>
      <c r="BB88" s="255" t="str">
        <f>IFERROR(BA88/'Summary Table'!AE104, "NA")</f>
        <v>NA</v>
      </c>
      <c r="BC88" s="749">
        <f>'Summary Table'!AG104-'Summary Table'!AF104</f>
        <v>0</v>
      </c>
      <c r="BD88" s="255" t="str">
        <f>IFERROR(BC88/'Summary Table'!AF104, "NA")</f>
        <v>NA</v>
      </c>
      <c r="BE88" s="749">
        <f>'Summary Table'!AH104-'Summary Table'!AG104</f>
        <v>0</v>
      </c>
      <c r="BF88" s="255" t="str">
        <f>IFERROR(BE88/'Summary Table'!AG104, "NA")</f>
        <v>NA</v>
      </c>
      <c r="BG88" s="749">
        <f>'Summary Table'!AI104-'Summary Table'!AH104</f>
        <v>0</v>
      </c>
      <c r="BH88" s="255" t="str">
        <f>IFERROR(BG88/'Summary Table'!AH104, "NA")</f>
        <v>NA</v>
      </c>
    </row>
    <row r="89" spans="6:60">
      <c r="F89" s="6" t="s">
        <v>1439</v>
      </c>
      <c r="G89" s="53">
        <f>'Summary Table'!W105-'Summary Table'!C105</f>
        <v>21.113762855727572</v>
      </c>
      <c r="H89" s="57">
        <f>G89/'Summary Table'!C105</f>
        <v>8.8788829515210804E-2</v>
      </c>
      <c r="I89" s="37">
        <f t="shared" si="109"/>
        <v>3.5806623048393327E-2</v>
      </c>
      <c r="J89" s="53">
        <f>'Summary Table'!W105-'Summary Table'!V105</f>
        <v>-0.14474202945456227</v>
      </c>
      <c r="K89" s="37">
        <f>J89/'Summary Table'!$T105</f>
        <v>-5.6449909630970629E-4</v>
      </c>
      <c r="L89" s="38">
        <f t="shared" si="110"/>
        <v>-9.2157325918606819E-4</v>
      </c>
      <c r="Q89" s="1">
        <f>'Summary Table'!N105-'Summary Table'!M105</f>
        <v>-11.616934474355787</v>
      </c>
      <c r="R89" s="88">
        <f>Q89/'Summary Table'!M105</f>
        <v>-4.2897641838724951E-2</v>
      </c>
      <c r="S89" s="1">
        <f>'Summary Table'!O105-'Summary Table'!N105</f>
        <v>5.8642202877462637</v>
      </c>
      <c r="T89" s="88">
        <f>S89/'Summary Table'!N105</f>
        <v>2.2625269916682261E-2</v>
      </c>
      <c r="U89" s="1">
        <f>'Summary Table'!P105-'Summary Table'!O105</f>
        <v>11.122163523402321</v>
      </c>
      <c r="V89" s="88">
        <f>U89/'Summary Table'!O105</f>
        <v>4.1962006682689436E-2</v>
      </c>
      <c r="W89" s="749">
        <f>'Summary Table'!Q105-'Summary Table'!P105</f>
        <v>-11.996572484598175</v>
      </c>
      <c r="X89" s="746">
        <f>IFERROR(W89/'Summary Table'!P105, "NA")</f>
        <v>-4.3438245105739764E-2</v>
      </c>
      <c r="Y89" s="749">
        <f>'Summary Table'!R105-'Summary Table'!Q105</f>
        <v>-1.9501705469367039</v>
      </c>
      <c r="Z89" s="746">
        <f>IFERROR(Y89/'Summary Table'!Q105, "NA")</f>
        <v>-7.3820106808792267E-3</v>
      </c>
      <c r="AA89" s="749">
        <f>'Summary Table'!S105-'Summary Table'!R105</f>
        <v>-24.940205943948655</v>
      </c>
      <c r="AB89" s="746">
        <f>IFERROR(AA89/'Summary Table'!R105, "NA")</f>
        <v>-9.5108639616170082E-2</v>
      </c>
      <c r="AC89" s="749">
        <f>'Summary Table'!T105-'Summary Table'!S105</f>
        <v>19.119503242742752</v>
      </c>
      <c r="AD89" s="746">
        <f>IFERROR(AC89/'Summary Table'!S105, "NA")</f>
        <v>8.0574959724509551E-2</v>
      </c>
      <c r="AE89" s="749">
        <f>'Summary Table'!U105-'Summary Table'!T105</f>
        <v>9.2595925926856353</v>
      </c>
      <c r="AF89" s="746">
        <f>IFERROR(AE89/'Summary Table'!T105, "NA")</f>
        <v>3.6112742583922192E-2</v>
      </c>
      <c r="AG89" s="749">
        <f>'Summary Table'!V105-'Summary Table'!U105</f>
        <v>-6.611477406552126</v>
      </c>
      <c r="AH89" s="746">
        <f>IFERROR(AG89/'Summary Table'!U105, "NA")</f>
        <v>-2.4886286503117191E-2</v>
      </c>
      <c r="AI89" s="749">
        <f>'Summary Table'!W105-'Summary Table'!V105</f>
        <v>-0.14474202945456227</v>
      </c>
      <c r="AJ89" s="746">
        <f>IFERROR(AI89/'Summary Table'!V105, "NA")</f>
        <v>-5.587286894273031E-4</v>
      </c>
      <c r="AK89" s="749">
        <f>'Summary Table'!X105-'Summary Table'!W105</f>
        <v>-3.8432446944829337</v>
      </c>
      <c r="AL89" s="746">
        <f>IFERROR(AK89/'Summary Table'!W105, "NA")</f>
        <v>-1.4843867573173146E-2</v>
      </c>
      <c r="AM89" s="749">
        <f>'Summary Table'!Y105-'Summary Table'!X105</f>
        <v>-29.966554511821073</v>
      </c>
      <c r="AN89" s="746">
        <f>IFERROR(AM89/'Summary Table'!X105, "NA")</f>
        <v>-0.11748455639764253</v>
      </c>
      <c r="AO89" s="749">
        <f>'Summary Table'!Z105-'Summary Table'!Y105</f>
        <v>41.24905683466082</v>
      </c>
      <c r="AP89" s="746">
        <f>IFERROR(AO89/'Summary Table'!Y105, "NA")</f>
        <v>0.18324649583839481</v>
      </c>
      <c r="AQ89" s="749">
        <f>'Summary Table'!AA105-'Summary Table'!Z105</f>
        <v>11.321071768040838</v>
      </c>
      <c r="AR89" s="746">
        <f>IFERROR(AQ89/'Summary Table'!Z105, "NA")</f>
        <v>4.2504408055252747E-2</v>
      </c>
      <c r="AS89" s="749">
        <f>'Summary Table'!AB105-'Summary Table'!AA105</f>
        <v>-24.947691860345145</v>
      </c>
      <c r="AT89" s="746">
        <f>IFERROR(AS89/'Summary Table'!AA105, "NA")</f>
        <v>-8.9846031691597258E-2</v>
      </c>
      <c r="AU89" s="749">
        <f>'Summary Table'!AC105-'Summary Table'!AB105</f>
        <v>-14.341679631960062</v>
      </c>
      <c r="AV89" s="746">
        <f>IFERROR(AU89/'Summary Table'!AB105, "NA")</f>
        <v>-5.6748407501307913E-2</v>
      </c>
      <c r="AW89" s="749">
        <f>'Summary Table'!AD105-'Summary Table'!AC105</f>
        <v>3.103860108469064</v>
      </c>
      <c r="AX89" s="746">
        <f>IFERROR(AW89/'Summary Table'!AC105, "NA")</f>
        <v>1.3020517751426285E-2</v>
      </c>
      <c r="AY89" s="749">
        <f>'Summary Table'!AE105-'Summary Table'!AD105</f>
        <v>32.328272758162854</v>
      </c>
      <c r="AZ89" s="255">
        <f>IFERROR(AY89/'Summary Table'!AD105, "NA")</f>
        <v>0.13387219205026377</v>
      </c>
      <c r="BA89" s="749">
        <f>'Summary Table'!AF105-'Summary Table'!AE105</f>
        <v>1.6545129385542054</v>
      </c>
      <c r="BB89" s="255">
        <f>IFERROR(BA89/'Summary Table'!AE105, "NA")</f>
        <v>6.042462117417483E-3</v>
      </c>
      <c r="BC89" s="749">
        <f>'Summary Table'!AG105-'Summary Table'!AF105</f>
        <v>-19.107527302416088</v>
      </c>
      <c r="BD89" s="255">
        <f>IFERROR(BC89/'Summary Table'!AF105, "NA")</f>
        <v>-6.9363651244393865E-2</v>
      </c>
      <c r="BE89" s="749">
        <f>'Summary Table'!AH105-'Summary Table'!AG105</f>
        <v>2.2857129617836449</v>
      </c>
      <c r="BF89" s="255">
        <f>IFERROR(BE89/'Summary Table'!AG105, "NA")</f>
        <v>8.9159810561197858E-3</v>
      </c>
      <c r="BG89" s="749">
        <f>'Summary Table'!AI105-'Summary Table'!AH105</f>
        <v>13.339753486017059</v>
      </c>
      <c r="BH89" s="255">
        <f>IFERROR(BG89/'Summary Table'!AH105, "NA")</f>
        <v>5.1575120196438028E-2</v>
      </c>
    </row>
    <row r="90" spans="6:60">
      <c r="F90" s="6" t="s">
        <v>1440</v>
      </c>
      <c r="G90" s="53">
        <f>'Summary Table'!W106-'Summary Table'!C106</f>
        <v>-22.198294515129106</v>
      </c>
      <c r="H90" s="57">
        <f>G90/'Summary Table'!C106</f>
        <v>-0.22701725196484809</v>
      </c>
      <c r="I90" s="37">
        <f t="shared" si="109"/>
        <v>-3.764586963734063E-2</v>
      </c>
      <c r="J90" s="53">
        <f>'Summary Table'!W106-'Summary Table'!V106</f>
        <v>-1.2875738516895296</v>
      </c>
      <c r="K90" s="37">
        <f>J90/'Summary Table'!$T106</f>
        <v>-1.5513071298817968E-2</v>
      </c>
      <c r="L90" s="38">
        <f t="shared" si="110"/>
        <v>-8.1979894534833578E-3</v>
      </c>
      <c r="Q90" s="1">
        <f>'Summary Table'!N106-'Summary Table'!M106</f>
        <v>2.876059372368502</v>
      </c>
      <c r="R90" s="88">
        <f>Q90/'Summary Table'!M106</f>
        <v>2.8814107875164988E-2</v>
      </c>
      <c r="S90" s="1">
        <f>'Summary Table'!O106-'Summary Table'!N106</f>
        <v>-7.8805123255028064</v>
      </c>
      <c r="T90" s="88">
        <f>S90/'Summary Table'!N106</f>
        <v>-7.6740543763816116E-2</v>
      </c>
      <c r="U90" s="1">
        <f>'Summary Table'!P106-'Summary Table'!O106</f>
        <v>7.9254153739191509</v>
      </c>
      <c r="V90" s="88">
        <f>U90/'Summary Table'!O106</f>
        <v>8.3592764505979911E-2</v>
      </c>
      <c r="W90" s="749">
        <f>'Summary Table'!Q106-'Summary Table'!P106</f>
        <v>0.97051908205855852</v>
      </c>
      <c r="X90" s="746">
        <f>IFERROR(W90/'Summary Table'!P106, "NA")</f>
        <v>9.4467981828259724E-3</v>
      </c>
      <c r="Y90" s="749">
        <f>'Summary Table'!R106-'Summary Table'!Q106</f>
        <v>-8.130317179684468</v>
      </c>
      <c r="Z90" s="746">
        <f>IFERROR(Y90/'Summary Table'!Q106, "NA")</f>
        <v>-7.8397932983508584E-2</v>
      </c>
      <c r="AA90" s="749">
        <f>'Summary Table'!S106-'Summary Table'!R106</f>
        <v>-12.498798485882574</v>
      </c>
      <c r="AB90" s="746">
        <f>IFERROR(AA90/'Summary Table'!R106, "NA")</f>
        <v>-0.13077416319978227</v>
      </c>
      <c r="AC90" s="749">
        <f>'Summary Table'!T106-'Summary Table'!S106</f>
        <v>-7.7357129673956138E-2</v>
      </c>
      <c r="AD90" s="746">
        <f>IFERROR(AC90/'Summary Table'!S106, "NA")</f>
        <v>-9.3115376532166302E-4</v>
      </c>
      <c r="AE90" s="749">
        <f>'Summary Table'!U106-'Summary Table'!T106</f>
        <v>-1.6461792189438853</v>
      </c>
      <c r="AF90" s="746">
        <f>IFERROR(AE90/'Summary Table'!T106, "NA")</f>
        <v>-1.983365502537926E-2</v>
      </c>
      <c r="AG90" s="749">
        <f>'Summary Table'!V106-'Summary Table'!U106</f>
        <v>-4.4814158725347966</v>
      </c>
      <c r="AH90" s="746">
        <f>IFERROR(AG90/'Summary Table'!U106, "NA")</f>
        <v>-5.5085982743142109E-2</v>
      </c>
      <c r="AI90" s="749">
        <f>'Summary Table'!W106-'Summary Table'!V106</f>
        <v>-1.2875738516895296</v>
      </c>
      <c r="AJ90" s="746">
        <f>IFERROR(AI90/'Summary Table'!V106, "NA")</f>
        <v>-1.6749648998699924E-2</v>
      </c>
      <c r="AK90" s="749">
        <f>'Summary Table'!X106-'Summary Table'!W106</f>
        <v>-4.3192195505465634</v>
      </c>
      <c r="AL90" s="746">
        <f>IFERROR(AK90/'Summary Table'!W106, "NA")</f>
        <v>-5.7144538840748077E-2</v>
      </c>
      <c r="AM90" s="749">
        <f>'Summary Table'!Y106-'Summary Table'!X106</f>
        <v>-13.834741415390802</v>
      </c>
      <c r="AN90" s="746">
        <f>IFERROR(AM90/'Summary Table'!X106, "NA")</f>
        <v>-0.19413121707317846</v>
      </c>
      <c r="AO90" s="749">
        <f>'Summary Table'!Z106-'Summary Table'!Y106</f>
        <v>5.4841461508149578</v>
      </c>
      <c r="AP90" s="746">
        <f>IFERROR(AO90/'Summary Table'!Y106, "NA")</f>
        <v>9.5492446150094307E-2</v>
      </c>
      <c r="AQ90" s="749">
        <f>'Summary Table'!AA106-'Summary Table'!Z106</f>
        <v>6.1479875455263766</v>
      </c>
      <c r="AR90" s="746">
        <f>IFERROR(AQ90/'Summary Table'!Z106, "NA")</f>
        <v>9.7720029660747221E-2</v>
      </c>
      <c r="AS90" s="749">
        <f>'Summary Table'!AB106-'Summary Table'!AA106</f>
        <v>-4.1690024491006454</v>
      </c>
      <c r="AT90" s="746">
        <f>IFERROR(AS90/'Summary Table'!AA106, "NA")</f>
        <v>-6.0365829487745749E-2</v>
      </c>
      <c r="AU90" s="749">
        <f>'Summary Table'!AC106-'Summary Table'!AB106</f>
        <v>-10.084324878367902</v>
      </c>
      <c r="AV90" s="746">
        <f>IFERROR(AU90/'Summary Table'!AB106, "NA")</f>
        <v>-0.15539858111117485</v>
      </c>
      <c r="AW90" s="749">
        <f>'Summary Table'!AD106-'Summary Table'!AC106</f>
        <v>-2.329460903857921</v>
      </c>
      <c r="AX90" s="746">
        <f>IFERROR(AW90/'Summary Table'!AC106, "NA")</f>
        <v>-4.2501459091958703E-2</v>
      </c>
      <c r="AY90" s="749">
        <f>'Summary Table'!AE106-'Summary Table'!AD106</f>
        <v>12.645803466137515</v>
      </c>
      <c r="AZ90" s="255">
        <f>IFERROR(AY90/'Summary Table'!AD106, "NA")</f>
        <v>0.24096652850081285</v>
      </c>
      <c r="BA90" s="749">
        <f>'Summary Table'!AF106-'Summary Table'!AE106</f>
        <v>2.3106751946137507</v>
      </c>
      <c r="BB90" s="255">
        <f>IFERROR(BA90/'Summary Table'!AE106, "NA")</f>
        <v>3.5480450655175855E-2</v>
      </c>
      <c r="BC90" s="749">
        <f>'Summary Table'!AG106-'Summary Table'!AF106</f>
        <v>-9.00230509687389</v>
      </c>
      <c r="BD90" s="255">
        <f>IFERROR(BC90/'Summary Table'!AF106, "NA")</f>
        <v>-0.13349409291598463</v>
      </c>
      <c r="BE90" s="749">
        <f>'Summary Table'!AH106-'Summary Table'!AG106</f>
        <v>0.95285072885857858</v>
      </c>
      <c r="BF90" s="255">
        <f>IFERROR(BE90/'Summary Table'!AG106, "NA")</f>
        <v>1.6306534137412496E-2</v>
      </c>
      <c r="BG90" s="749">
        <f>'Summary Table'!AI106-'Summary Table'!AH106</f>
        <v>1.7264850357893451</v>
      </c>
      <c r="BH90" s="255">
        <f>IFERROR(BG90/'Summary Table'!AH106, "NA")</f>
        <v>2.9071998941913126E-2</v>
      </c>
    </row>
    <row r="91" spans="6:60">
      <c r="F91" s="5" t="s">
        <v>1441</v>
      </c>
      <c r="G91" s="51">
        <f>'Summary Table'!W107-'Summary Table'!C107</f>
        <v>-4.0110233545349274</v>
      </c>
      <c r="H91" s="113">
        <f>G91/'Summary Table'!C107</f>
        <v>-1.7569665683845655E-2</v>
      </c>
      <c r="I91" s="35">
        <f t="shared" si="109"/>
        <v>-6.8022551108256786E-3</v>
      </c>
      <c r="J91" s="51">
        <f>'Summary Table'!W107-'Summary Table'!V107</f>
        <v>-3.4260989605965335</v>
      </c>
      <c r="K91" s="35">
        <f>J91/'Summary Table'!$T107</f>
        <v>-1.539492770063901E-2</v>
      </c>
      <c r="L91" s="36">
        <f t="shared" si="110"/>
        <v>-2.181399001595543E-2</v>
      </c>
      <c r="Q91" s="5">
        <f>'Summary Table'!N107-'Summary Table'!M107</f>
        <v>-8.0926195204139617</v>
      </c>
      <c r="R91" s="666">
        <f>Q91/'Summary Table'!M107</f>
        <v>-3.4213829022513194E-2</v>
      </c>
      <c r="S91" s="5">
        <f>'Summary Table'!O107-'Summary Table'!N107</f>
        <v>0.5417119267792998</v>
      </c>
      <c r="T91" s="666">
        <f>S91/'Summary Table'!N107</f>
        <v>2.3713735609595592E-3</v>
      </c>
      <c r="U91" s="5">
        <f>'Summary Table'!P107-'Summary Table'!O107</f>
        <v>11.131503301158688</v>
      </c>
      <c r="V91" s="666">
        <f>U91/'Summary Table'!O107</f>
        <v>4.8613483245444032E-2</v>
      </c>
      <c r="W91" s="747">
        <f>'Summary Table'!Q107-'Summary Table'!P107</f>
        <v>-2.1814187658832225</v>
      </c>
      <c r="X91" s="748">
        <f>IFERROR(W91/'Summary Table'!P107, "NA")</f>
        <v>-9.0850333938727029E-3</v>
      </c>
      <c r="Y91" s="747">
        <f>'Summary Table'!R107-'Summary Table'!Q107</f>
        <v>-10.950784073203408</v>
      </c>
      <c r="Z91" s="748">
        <f>IFERROR(Y91/'Summary Table'!Q107, "NA")</f>
        <v>-4.60252663851584E-2</v>
      </c>
      <c r="AA91" s="747">
        <f>'Summary Table'!S107-'Summary Table'!R107</f>
        <v>-15.592578934139965</v>
      </c>
      <c r="AB91" s="748">
        <f>IFERROR(AA91/'Summary Table'!R107, "NA")</f>
        <v>-6.8696114536628619E-2</v>
      </c>
      <c r="AC91" s="747">
        <f>'Summary Table'!T107-'Summary Table'!S107</f>
        <v>11.160786108147533</v>
      </c>
      <c r="AD91" s="748">
        <f>IFERROR(AC91/'Summary Table'!S107, "NA")</f>
        <v>5.2798014751078211E-2</v>
      </c>
      <c r="AE91" s="747">
        <f>'Summary Table'!U107-'Summary Table'!T107</f>
        <v>4.5184585546561493</v>
      </c>
      <c r="AF91" s="748">
        <f>IFERROR(AE91/'Summary Table'!T107, "NA")</f>
        <v>2.0303366472273064E-2</v>
      </c>
      <c r="AG91" s="747">
        <f>'Summary Table'!V107-'Summary Table'!U107</f>
        <v>0.641883853109249</v>
      </c>
      <c r="AH91" s="748">
        <f>IFERROR(AG91/'Summary Table'!U107, "NA")</f>
        <v>2.8268637834504336E-3</v>
      </c>
      <c r="AI91" s="747">
        <f>'Summary Table'!W107-'Summary Table'!V107</f>
        <v>-3.4260989605965335</v>
      </c>
      <c r="AJ91" s="748">
        <f>IFERROR(AI91/'Summary Table'!V107, "NA")</f>
        <v>-1.5046045635108016E-2</v>
      </c>
      <c r="AK91" s="747">
        <f>'Summary Table'!X107-'Summary Table'!W107</f>
        <v>0.31703296234658751</v>
      </c>
      <c r="AL91" s="748">
        <f>IFERROR(AK91/'Summary Table'!W107, "NA")</f>
        <v>1.4135493076424198E-3</v>
      </c>
      <c r="AM91" s="747">
        <f>'Summary Table'!Y107-'Summary Table'!X107</f>
        <v>-24.169421415924916</v>
      </c>
      <c r="AN91" s="748">
        <f>IFERROR(AM91/'Summary Table'!X107, "NA")</f>
        <v>-0.10761166088472712</v>
      </c>
      <c r="AO91" s="747">
        <f>'Summary Table'!Z107-'Summary Table'!Y107</f>
        <v>23.896564817738806</v>
      </c>
      <c r="AP91" s="748">
        <f>IFERROR(AO91/'Summary Table'!Y107, "NA")</f>
        <v>0.11922701425274812</v>
      </c>
      <c r="AQ91" s="747">
        <f>'Summary Table'!AA107-'Summary Table'!Z107</f>
        <v>8.2265016792448478</v>
      </c>
      <c r="AR91" s="748">
        <f>IFERROR(AQ91/'Summary Table'!Z107, "NA")</f>
        <v>3.6672135472171651E-2</v>
      </c>
      <c r="AS91" s="747">
        <f>'Summary Table'!AB107-'Summary Table'!AA107</f>
        <v>12.252943857946946</v>
      </c>
      <c r="AT91" s="748">
        <f>IFERROR(AS91/'Summary Table'!AA107, "NA")</f>
        <v>5.2689008711344021E-2</v>
      </c>
      <c r="AU91" s="747">
        <f>'Summary Table'!AC107-'Summary Table'!AB107</f>
        <v>-12.944416004490563</v>
      </c>
      <c r="AV91" s="748">
        <f>IFERROR(AU91/'Summary Table'!AB107, "NA")</f>
        <v>-5.2876409530731382E-2</v>
      </c>
      <c r="AW91" s="747">
        <f>'Summary Table'!AD107-'Summary Table'!AC107</f>
        <v>0.55252166810529957</v>
      </c>
      <c r="AX91" s="748">
        <f>IFERROR(AW91/'Summary Table'!AC107, "NA")</f>
        <v>2.3829896506057527E-3</v>
      </c>
      <c r="AY91" s="747">
        <f>'Summary Table'!AE107-'Summary Table'!AD107</f>
        <v>13.883836641610031</v>
      </c>
      <c r="AZ91" s="980">
        <f>IFERROR(AY91/'Summary Table'!AD107, "NA")</f>
        <v>5.9737720814856336E-2</v>
      </c>
      <c r="BA91" s="747">
        <f>'Summary Table'!AF107-'Summary Table'!AE107</f>
        <v>5.4522479519235958</v>
      </c>
      <c r="BB91" s="980">
        <f>IFERROR(BA91/'Summary Table'!AE107, "NA")</f>
        <v>2.2136877342554165E-2</v>
      </c>
      <c r="BC91" s="747">
        <f>'Summary Table'!AG107-'Summary Table'!AF107</f>
        <v>-22.485595620302973</v>
      </c>
      <c r="BD91" s="980">
        <f>IFERROR(BC91/'Summary Table'!AF107, "NA")</f>
        <v>-8.9317405551998491E-2</v>
      </c>
      <c r="BE91" s="747">
        <f>'Summary Table'!AH107-'Summary Table'!AG107</f>
        <v>8.2639157009053861</v>
      </c>
      <c r="BF91" s="980">
        <f>IFERROR(BE91/'Summary Table'!AG107, "NA")</f>
        <v>3.6045457787306501E-2</v>
      </c>
      <c r="BG91" s="747">
        <f>'Summary Table'!AI107-'Summary Table'!AH107</f>
        <v>7.1863822402663686</v>
      </c>
      <c r="BH91" s="980">
        <f>IFERROR(BG91/'Summary Table'!AH107, "NA")</f>
        <v>3.0254931191763784E-2</v>
      </c>
    </row>
    <row r="92" spans="6:60">
      <c r="F92" s="6" t="s">
        <v>1435</v>
      </c>
      <c r="G92" s="53">
        <f>'Summary Table'!W108-'Summary Table'!C108</f>
        <v>-5.3743307931937805</v>
      </c>
      <c r="H92" s="57">
        <f>G92/'Summary Table'!C108</f>
        <v>-0.44970540331104114</v>
      </c>
      <c r="I92" s="37">
        <f t="shared" si="109"/>
        <v>-9.1142748056895848E-3</v>
      </c>
      <c r="J92" s="53">
        <f>'Summary Table'!W108-'Summary Table'!V108</f>
        <v>-0.34484427290367847</v>
      </c>
      <c r="K92" s="37">
        <f>J92/'Summary Table'!$T108</f>
        <v>-5.1820211629011625E-2</v>
      </c>
      <c r="L92" s="38">
        <f t="shared" si="110"/>
        <v>-2.1956252906572458E-3</v>
      </c>
      <c r="Q92" s="1">
        <f>'Summary Table'!N108-'Summary Table'!M108</f>
        <v>0.4702978136116176</v>
      </c>
      <c r="R92" s="88">
        <f>Q92/'Summary Table'!M108</f>
        <v>5.3684880585027253E-2</v>
      </c>
      <c r="S92" s="1">
        <f>'Summary Table'!O108-'Summary Table'!N108</f>
        <v>-0.67947247262208776</v>
      </c>
      <c r="T92" s="88">
        <f>S92/'Summary Table'!N108</f>
        <v>-7.3610564836451287E-2</v>
      </c>
      <c r="U92" s="1">
        <f>'Summary Table'!P108-'Summary Table'!O108</f>
        <v>-0.7291949609020314</v>
      </c>
      <c r="V92" s="88">
        <f>U92/'Summary Table'!O108</f>
        <v>-8.5274336418441635E-2</v>
      </c>
      <c r="W92" s="749">
        <f>'Summary Table'!Q108-'Summary Table'!P108</f>
        <v>1.9451199828484338</v>
      </c>
      <c r="X92" s="746">
        <f>IFERROR(W92/'Summary Table'!P108, "NA")</f>
        <v>0.24867390909265324</v>
      </c>
      <c r="Y92" s="749">
        <f>'Summary Table'!R108-'Summary Table'!Q108</f>
        <v>-0.50698827334738006</v>
      </c>
      <c r="Z92" s="746">
        <f>IFERROR(Y92/'Summary Table'!Q108, "NA")</f>
        <v>-5.1907809583692788E-2</v>
      </c>
      <c r="AA92" s="749">
        <f>'Summary Table'!S108-'Summary Table'!R108</f>
        <v>-3.0213131703940466</v>
      </c>
      <c r="AB92" s="746">
        <f>IFERROR(AA92/'Summary Table'!R108, "NA")</f>
        <v>-0.32627211878120899</v>
      </c>
      <c r="AC92" s="749">
        <f>'Summary Table'!T108-'Summary Table'!S108</f>
        <v>0.41583975701059828</v>
      </c>
      <c r="AD92" s="746">
        <f>IFERROR(AC92/'Summary Table'!S108, "NA")</f>
        <v>6.6653921765887955E-2</v>
      </c>
      <c r="AE92" s="749">
        <f>'Summary Table'!U108-'Summary Table'!T108</f>
        <v>0.95705977732452752</v>
      </c>
      <c r="AF92" s="746">
        <f>IFERROR(AE92/'Summary Table'!T108, "NA")</f>
        <v>0.14381865699832744</v>
      </c>
      <c r="AG92" s="749">
        <f>'Summary Table'!V108-'Summary Table'!U108</f>
        <v>-0.69039409275198427</v>
      </c>
      <c r="AH92" s="746">
        <f>IFERROR(AG92/'Summary Table'!U108, "NA")</f>
        <v>-9.0701831194473809E-2</v>
      </c>
      <c r="AI92" s="749">
        <f>'Summary Table'!W108-'Summary Table'!V108</f>
        <v>-0.34484427290367847</v>
      </c>
      <c r="AJ92" s="746">
        <f>IFERROR(AI92/'Summary Table'!V108, "NA")</f>
        <v>-4.9823667162828697E-2</v>
      </c>
      <c r="AK92" s="749">
        <f>'Summary Table'!X108-'Summary Table'!W108</f>
        <v>-0.73534474051099696</v>
      </c>
      <c r="AL92" s="746">
        <f>IFERROR(AK92/'Summary Table'!W108, "NA")</f>
        <v>-0.11181484181668219</v>
      </c>
      <c r="AM92" s="749">
        <f>'Summary Table'!Y108-'Summary Table'!X108</f>
        <v>-1.7078275368017231</v>
      </c>
      <c r="AN92" s="746">
        <f>IFERROR(AM92/'Summary Table'!X108, "NA")</f>
        <v>-0.29238087623075881</v>
      </c>
      <c r="AO92" s="749">
        <f>'Summary Table'!Z108-'Summary Table'!Y108</f>
        <v>-0.19831882906010323</v>
      </c>
      <c r="AP92" s="746">
        <f>IFERROR(AO92/'Summary Table'!Y108, "NA")</f>
        <v>-4.7981004918511622E-2</v>
      </c>
      <c r="AQ92" s="749">
        <f>'Summary Table'!AA108-'Summary Table'!Z108</f>
        <v>-0.11921175584892962</v>
      </c>
      <c r="AR92" s="746">
        <f>IFERROR(AQ92/'Summary Table'!Z108, "NA")</f>
        <v>-3.0295551378431873E-2</v>
      </c>
      <c r="AS92" s="749">
        <f>'Summary Table'!AB108-'Summary Table'!AA108</f>
        <v>-0.85117522725971062</v>
      </c>
      <c r="AT92" s="746">
        <f>IFERROR(AS92/'Summary Table'!AA108, "NA")</f>
        <v>-0.22306907364530418</v>
      </c>
      <c r="AU92" s="749">
        <f>'Summary Table'!AC108-'Summary Table'!AB108</f>
        <v>-0.69958028577022224</v>
      </c>
      <c r="AV92" s="746">
        <f>IFERROR(AU92/'Summary Table'!AB108, "NA")</f>
        <v>-0.23598018740605917</v>
      </c>
      <c r="AW92" s="749">
        <f>'Summary Table'!AD108-'Summary Table'!AC108</f>
        <v>-0.28907488977040852</v>
      </c>
      <c r="AX92" s="746">
        <f>IFERROR(AW92/'Summary Table'!AC108, "NA")</f>
        <v>-0.12762734270877912</v>
      </c>
      <c r="AY92" s="749">
        <f>'Summary Table'!AE108-'Summary Table'!AD108</f>
        <v>-0.18472285209397699</v>
      </c>
      <c r="AZ92" s="255">
        <f>IFERROR(AY92/'Summary Table'!AD108, "NA")</f>
        <v>-9.3487153947161283E-2</v>
      </c>
      <c r="BA92" s="749">
        <f>'Summary Table'!AF108-'Summary Table'!AE108</f>
        <v>-0.19109490371655347</v>
      </c>
      <c r="BB92" s="255">
        <f>IFERROR(BA92/'Summary Table'!AE108, "NA")</f>
        <v>-0.10668576003967041</v>
      </c>
      <c r="BC92" s="749">
        <f>'Summary Table'!AG108-'Summary Table'!AF108</f>
        <v>-0.20550752013299878</v>
      </c>
      <c r="BD92" s="255">
        <f>IFERROR(BC92/'Summary Table'!AF108, "NA")</f>
        <v>-0.12843423762464579</v>
      </c>
      <c r="BE92" s="749">
        <f>'Summary Table'!AH108-'Summary Table'!AG108</f>
        <v>3.5825258814828009E-2</v>
      </c>
      <c r="BF92" s="255">
        <f>IFERROR(BE92/'Summary Table'!AG108, "NA")</f>
        <v>2.5688708372917229E-2</v>
      </c>
      <c r="BG92" s="749">
        <f>'Summary Table'!AI108-'Summary Table'!AH108</f>
        <v>-4.2287248976095926E-2</v>
      </c>
      <c r="BH92" s="255">
        <f>IFERROR(BG92/'Summary Table'!AH108, "NA")</f>
        <v>-2.9562883382829273E-2</v>
      </c>
    </row>
    <row r="93" spans="6:60">
      <c r="F93" s="6" t="s">
        <v>1439</v>
      </c>
      <c r="G93" s="53">
        <f>'Summary Table'!W109-'Summary Table'!C109</f>
        <v>25.944140043044086</v>
      </c>
      <c r="H93" s="57">
        <f>G93/'Summary Table'!C109</f>
        <v>0.18267339109316127</v>
      </c>
      <c r="I93" s="37">
        <f t="shared" si="109"/>
        <v>4.399841227656881E-2</v>
      </c>
      <c r="J93" s="53">
        <f>'Summary Table'!W109-'Summary Table'!V109</f>
        <v>-1.0844562364330557</v>
      </c>
      <c r="K93" s="37">
        <f>J93/'Summary Table'!$T109</f>
        <v>-6.6290933398184754E-3</v>
      </c>
      <c r="L93" s="38">
        <f t="shared" si="110"/>
        <v>-6.9047385339308376E-3</v>
      </c>
      <c r="Q93" s="1">
        <f>'Summary Table'!N109-'Summary Table'!M109</f>
        <v>-8.2981940907909291</v>
      </c>
      <c r="R93" s="88">
        <f>Q93/'Summary Table'!M109</f>
        <v>-4.8106012215716351E-2</v>
      </c>
      <c r="S93" s="1">
        <f>'Summary Table'!O109-'Summary Table'!N109</f>
        <v>6.2651361718540954</v>
      </c>
      <c r="T93" s="88">
        <f>S93/'Summary Table'!N109</f>
        <v>3.8155548373224886E-2</v>
      </c>
      <c r="U93" s="1">
        <f>'Summary Table'!P109-'Summary Table'!O109</f>
        <v>2.4109028288940522</v>
      </c>
      <c r="V93" s="88">
        <f>U93/'Summary Table'!O109</f>
        <v>1.4143095113625895E-2</v>
      </c>
      <c r="W93" s="749">
        <f>'Summary Table'!Q109-'Summary Table'!P109</f>
        <v>-3.0992485011772999</v>
      </c>
      <c r="X93" s="746">
        <f>IFERROR(W93/'Summary Table'!P109, "NA")</f>
        <v>-1.792759024194986E-2</v>
      </c>
      <c r="Y93" s="749">
        <f>'Summary Table'!R109-'Summary Table'!Q109</f>
        <v>-6.8515777569064085</v>
      </c>
      <c r="Z93" s="746">
        <f>IFERROR(Y93/'Summary Table'!Q109, "NA")</f>
        <v>-4.0356416732482213E-2</v>
      </c>
      <c r="AA93" s="749">
        <f>'Summary Table'!S109-'Summary Table'!R109</f>
        <v>-9.0935283815814216</v>
      </c>
      <c r="AB93" s="746">
        <f>IFERROR(AA93/'Summary Table'!R109, "NA")</f>
        <v>-5.5814169911909732E-2</v>
      </c>
      <c r="AC93" s="749">
        <f>'Summary Table'!T109-'Summary Table'!S109</f>
        <v>9.7588742761276706</v>
      </c>
      <c r="AD93" s="746">
        <f>IFERROR(AC93/'Summary Table'!S109, "NA")</f>
        <v>6.3438701951406148E-2</v>
      </c>
      <c r="AE93" s="749">
        <f>'Summary Table'!U109-'Summary Table'!T109</f>
        <v>7.6028232982372401</v>
      </c>
      <c r="AF93" s="746">
        <f>IFERROR(AE93/'Summary Table'!T109, "NA")</f>
        <v>4.6474743375476399E-2</v>
      </c>
      <c r="AG93" s="749">
        <f>'Summary Table'!V109-'Summary Table'!U109</f>
        <v>-2.1399225474787897</v>
      </c>
      <c r="AH93" s="746">
        <f>IFERROR(AG93/'Summary Table'!U109, "NA")</f>
        <v>-1.250004012462933E-2</v>
      </c>
      <c r="AI93" s="749">
        <f>'Summary Table'!W109-'Summary Table'!V109</f>
        <v>-1.0844562364330557</v>
      </c>
      <c r="AJ93" s="746">
        <f>IFERROR(AI93/'Summary Table'!V109, "NA")</f>
        <v>-6.4148764497205446E-3</v>
      </c>
      <c r="AK93" s="749">
        <f>'Summary Table'!X109-'Summary Table'!W109</f>
        <v>2.7691424630922086</v>
      </c>
      <c r="AL93" s="746">
        <f>IFERROR(AK93/'Summary Table'!W109, "NA")</f>
        <v>1.6486045137996713E-2</v>
      </c>
      <c r="AM93" s="749">
        <f>'Summary Table'!Y109-'Summary Table'!X109</f>
        <v>-13.695223343110939</v>
      </c>
      <c r="AN93" s="746">
        <f>IFERROR(AM93/'Summary Table'!X109, "NA")</f>
        <v>-8.0211914764899986E-2</v>
      </c>
      <c r="AO93" s="749">
        <f>'Summary Table'!Z109-'Summary Table'!Y109</f>
        <v>22.176808002327789</v>
      </c>
      <c r="AP93" s="746">
        <f>IFERROR(AO93/'Summary Table'!Y109, "NA")</f>
        <v>0.14121506215887428</v>
      </c>
      <c r="AQ93" s="749">
        <f>'Summary Table'!AA109-'Summary Table'!Z109</f>
        <v>9.9697851627934142</v>
      </c>
      <c r="AR93" s="746">
        <f>IFERROR(AQ93/'Summary Table'!Z109, "NA")</f>
        <v>5.5628876626900511E-2</v>
      </c>
      <c r="AS93" s="749">
        <f>'Summary Table'!AB109-'Summary Table'!AA109</f>
        <v>-13.777635976398187</v>
      </c>
      <c r="AT93" s="746">
        <f>IFERROR(AS93/'Summary Table'!AA109, "NA")</f>
        <v>-7.2824570862506419E-2</v>
      </c>
      <c r="AU93" s="749">
        <f>'Summary Table'!AC109-'Summary Table'!AB109</f>
        <v>-4.8711863541169578</v>
      </c>
      <c r="AV93" s="746">
        <f>IFERROR(AU93/'Summary Table'!AB109, "NA")</f>
        <v>-2.7770011439891069E-2</v>
      </c>
      <c r="AW93" s="749">
        <f>'Summary Table'!AD109-'Summary Table'!AC109</f>
        <v>2.6495507300392944</v>
      </c>
      <c r="AX93" s="746">
        <f>IFERROR(AW93/'Summary Table'!AC109, "NA")</f>
        <v>1.5536190601607E-2</v>
      </c>
      <c r="AY93" s="749">
        <f>'Summary Table'!AE109-'Summary Table'!AD109</f>
        <v>19.338267912817059</v>
      </c>
      <c r="AZ93" s="255">
        <f>IFERROR(AY93/'Summary Table'!AD109, "NA")</f>
        <v>0.11165918898868613</v>
      </c>
      <c r="BA93" s="749">
        <f>'Summary Table'!AF109-'Summary Table'!AE109</f>
        <v>0.38782466220968104</v>
      </c>
      <c r="BB93" s="255">
        <f>IFERROR(BA93/'Summary Table'!AE109, "NA")</f>
        <v>2.0143765505002418E-3</v>
      </c>
      <c r="BC93" s="749">
        <f>'Summary Table'!AG109-'Summary Table'!AF109</f>
        <v>-19.466126030431894</v>
      </c>
      <c r="BD93" s="255">
        <f>IFERROR(BC93/'Summary Table'!AF109, "NA")</f>
        <v>-0.10090456450853047</v>
      </c>
      <c r="BE93" s="749">
        <f>'Summary Table'!AH109-'Summary Table'!AG109</f>
        <v>6.9127421702976335</v>
      </c>
      <c r="BF93" s="255">
        <f>IFERROR(BE93/'Summary Table'!AG109, "NA")</f>
        <v>3.9854360758783208E-2</v>
      </c>
      <c r="BG93" s="749">
        <f>'Summary Table'!AI109-'Summary Table'!AH109</f>
        <v>11.899597423946062</v>
      </c>
      <c r="BH93" s="255">
        <f>IFERROR(BG93/'Summary Table'!AH109, "NA")</f>
        <v>6.5975887388618412E-2</v>
      </c>
    </row>
    <row r="94" spans="6:60">
      <c r="F94" s="6" t="s">
        <v>1440</v>
      </c>
      <c r="G94" s="53">
        <f>'Summary Table'!W110-'Summary Table'!C110</f>
        <v>-24.580832604385222</v>
      </c>
      <c r="H94" s="57">
        <f>G94/'Summary Table'!C110</f>
        <v>-0.33075648302346305</v>
      </c>
      <c r="I94" s="37">
        <f t="shared" si="109"/>
        <v>-4.1686392581704888E-2</v>
      </c>
      <c r="J94" s="53">
        <f>'Summary Table'!W110-'Summary Table'!V110</f>
        <v>-1.9967984512598065</v>
      </c>
      <c r="K94" s="37">
        <f>J94/'Summary Table'!$T110</f>
        <v>-3.8178097386819425E-2</v>
      </c>
      <c r="L94" s="38">
        <f t="shared" si="110"/>
        <v>-1.2713626191367391E-2</v>
      </c>
      <c r="Q94" s="1">
        <f>'Summary Table'!N110-'Summary Table'!M110</f>
        <v>-0.26472324323465557</v>
      </c>
      <c r="R94" s="88">
        <f>Q94/'Summary Table'!M110</f>
        <v>-4.7894419397483201E-3</v>
      </c>
      <c r="S94" s="1">
        <f>'Summary Table'!O110-'Summary Table'!N110</f>
        <v>-5.0439517724527079</v>
      </c>
      <c r="T94" s="88">
        <f>S94/'Summary Table'!N110</f>
        <v>-9.1695661659764616E-2</v>
      </c>
      <c r="U94" s="1">
        <f>'Summary Table'!P110-'Summary Table'!O110</f>
        <v>9.4497954331666847</v>
      </c>
      <c r="V94" s="88">
        <f>U94/'Summary Table'!O110</f>
        <v>0.18913368393916566</v>
      </c>
      <c r="W94" s="749">
        <f>'Summary Table'!Q110-'Summary Table'!P110</f>
        <v>-1.0272902475543617</v>
      </c>
      <c r="X94" s="746">
        <f>IFERROR(W94/'Summary Table'!P110, "NA")</f>
        <v>-1.7290555992617914E-2</v>
      </c>
      <c r="Y94" s="749">
        <f>'Summary Table'!R110-'Summary Table'!Q110</f>
        <v>-3.592218042949618</v>
      </c>
      <c r="Z94" s="746">
        <f>IFERROR(Y94/'Summary Table'!Q110, "NA")</f>
        <v>-6.1525245254357472E-2</v>
      </c>
      <c r="AA94" s="749">
        <f>'Summary Table'!S110-'Summary Table'!R110</f>
        <v>-3.4777373821644986</v>
      </c>
      <c r="AB94" s="746">
        <f>IFERROR(AA94/'Summary Table'!R110, "NA")</f>
        <v>-6.3469467229626181E-2</v>
      </c>
      <c r="AC94" s="749">
        <f>'Summary Table'!T110-'Summary Table'!S110</f>
        <v>0.98607207500925398</v>
      </c>
      <c r="AD94" s="746">
        <f>IFERROR(AC94/'Summary Table'!S110, "NA")</f>
        <v>1.9215637109360799E-2</v>
      </c>
      <c r="AE94" s="749">
        <f>'Summary Table'!U110-'Summary Table'!T110</f>
        <v>-4.0414245209056006</v>
      </c>
      <c r="AF94" s="746">
        <f>IFERROR(AE94/'Summary Table'!T110, "NA")</f>
        <v>-7.7270642334116388E-2</v>
      </c>
      <c r="AG94" s="749">
        <f>'Summary Table'!V110-'Summary Table'!U110</f>
        <v>3.4722004933400257</v>
      </c>
      <c r="AH94" s="746">
        <f>IFERROR(AG94/'Summary Table'!U110, "NA")</f>
        <v>7.1946638294293416E-2</v>
      </c>
      <c r="AI94" s="749">
        <f>'Summary Table'!W110-'Summary Table'!V110</f>
        <v>-1.9967984512598065</v>
      </c>
      <c r="AJ94" s="746">
        <f>IFERROR(AI94/'Summary Table'!V110, "NA")</f>
        <v>-3.8598175496065208E-2</v>
      </c>
      <c r="AK94" s="749">
        <f>'Summary Table'!X110-'Summary Table'!W110</f>
        <v>-1.716764760234625</v>
      </c>
      <c r="AL94" s="746">
        <f>IFERROR(AK94/'Summary Table'!W110, "NA")</f>
        <v>-3.4517425271368918E-2</v>
      </c>
      <c r="AM94" s="749">
        <f>'Summary Table'!Y110-'Summary Table'!X110</f>
        <v>-8.7663705360122464</v>
      </c>
      <c r="AN94" s="746">
        <f>IFERROR(AM94/'Summary Table'!X110, "NA")</f>
        <v>-0.1825588901239909</v>
      </c>
      <c r="AO94" s="749">
        <f>'Summary Table'!Z110-'Summary Table'!Y110</f>
        <v>1.9180756444711164</v>
      </c>
      <c r="AP94" s="746">
        <f>IFERROR(AO94/'Summary Table'!Y110, "NA")</f>
        <v>4.8864382965526858E-2</v>
      </c>
      <c r="AQ94" s="749">
        <f>'Summary Table'!AA110-'Summary Table'!Z110</f>
        <v>-1.6240717276996506</v>
      </c>
      <c r="AR94" s="746">
        <f>IFERROR(AQ94/'Summary Table'!Z110, "NA")</f>
        <v>-3.9446870688881003E-2</v>
      </c>
      <c r="AS94" s="749">
        <f>'Summary Table'!AB110-'Summary Table'!AA110</f>
        <v>26.881755061604842</v>
      </c>
      <c r="AT94" s="746">
        <f>IFERROR(AS94/'Summary Table'!AA110, "NA")</f>
        <v>0.67974117633445108</v>
      </c>
      <c r="AU94" s="749">
        <f>'Summary Table'!AC110-'Summary Table'!AB110</f>
        <v>-7.3736493646033523</v>
      </c>
      <c r="AV94" s="746">
        <f>IFERROR(AU94/'Summary Table'!AB110, "NA")</f>
        <v>-0.1110007907647704</v>
      </c>
      <c r="AW94" s="749">
        <f>'Summary Table'!AD110-'Summary Table'!AC110</f>
        <v>-1.8079541721636048</v>
      </c>
      <c r="AX94" s="746">
        <f>IFERROR(AW94/'Summary Table'!AC110, "NA")</f>
        <v>-3.0614673623630465E-2</v>
      </c>
      <c r="AY94" s="749">
        <f>'Summary Table'!AE110-'Summary Table'!AD110</f>
        <v>-5.2697084191130514</v>
      </c>
      <c r="AZ94" s="255">
        <f>IFERROR(AY94/'Summary Table'!AD110, "NA")</f>
        <v>-9.2051815907388507E-2</v>
      </c>
      <c r="BA94" s="749">
        <f>'Summary Table'!AF110-'Summary Table'!AE110</f>
        <v>5.25551819343044</v>
      </c>
      <c r="BB94" s="255">
        <f>IFERROR(BA94/'Summary Table'!AE110, "NA")</f>
        <v>0.10111143033775323</v>
      </c>
      <c r="BC94" s="749">
        <f>'Summary Table'!AG110-'Summary Table'!AF110</f>
        <v>-2.8139620697380607</v>
      </c>
      <c r="BD94" s="255">
        <f>IFERROR(BC94/'Summary Table'!AF110, "NA")</f>
        <v>-4.9166770002156336E-2</v>
      </c>
      <c r="BE94" s="749">
        <f>'Summary Table'!AH110-'Summary Table'!AG110</f>
        <v>1.3153482717929279</v>
      </c>
      <c r="BF94" s="255">
        <f>IFERROR(BE94/'Summary Table'!AG110, "NA")</f>
        <v>2.4170734423501716E-2</v>
      </c>
      <c r="BG94" s="749">
        <f>'Summary Table'!AI110-'Summary Table'!AH110</f>
        <v>-4.670927934703613</v>
      </c>
      <c r="BH94" s="255">
        <f>IFERROR(BG94/'Summary Table'!AH110, "NA")</f>
        <v>-8.3806922508449636E-2</v>
      </c>
    </row>
    <row r="95" spans="6:60">
      <c r="F95" s="5" t="s">
        <v>1443</v>
      </c>
      <c r="G95" s="53">
        <f>'Summary Table'!W111-'Summary Table'!C111</f>
        <v>-83.11011405813656</v>
      </c>
      <c r="H95" s="57">
        <f>G95/'Summary Table'!C111</f>
        <v>-9.5402980008183952E-2</v>
      </c>
      <c r="I95" s="35">
        <f t="shared" si="109"/>
        <v>-0.14094562612658096</v>
      </c>
      <c r="J95" s="51">
        <f>'Summary Table'!W111-'Summary Table'!V111</f>
        <v>44.945803524603775</v>
      </c>
      <c r="K95" s="35">
        <f>J95/'Summary Table'!$T111</f>
        <v>5.2651390449638007E-2</v>
      </c>
      <c r="L95" s="36">
        <f t="shared" si="110"/>
        <v>0.28617016630894132</v>
      </c>
      <c r="Q95" s="5">
        <f>'Summary Table'!N111-'Summary Table'!M111</f>
        <v>-23.645487089017479</v>
      </c>
      <c r="R95" s="666">
        <f>Q95/'Summary Table'!M111</f>
        <v>-2.6659795284286667E-2</v>
      </c>
      <c r="S95" s="5">
        <f>'Summary Table'!O111-'Summary Table'!N111</f>
        <v>-8.5097300953732429</v>
      </c>
      <c r="T95" s="666">
        <f>S95/'Summary Table'!N111</f>
        <v>-9.8573384556957383E-3</v>
      </c>
      <c r="U95" s="5">
        <f>'Summary Table'!P111-'Summary Table'!O111</f>
        <v>-6.5827693621956769</v>
      </c>
      <c r="V95" s="666">
        <f>U95/'Summary Table'!O111</f>
        <v>-7.7011352182887374E-3</v>
      </c>
      <c r="W95" s="747">
        <f>'Summary Table'!Q111-'Summary Table'!P111</f>
        <v>25.183943143387637</v>
      </c>
      <c r="X95" s="748">
        <f>IFERROR(W95/'Summary Table'!P111, "NA")</f>
        <v>2.9691172312910619E-2</v>
      </c>
      <c r="Y95" s="747">
        <f>'Summary Table'!R111-'Summary Table'!Q111</f>
        <v>-29.877570540936972</v>
      </c>
      <c r="Z95" s="748">
        <f>IFERROR(Y95/'Summary Table'!Q111, "NA")</f>
        <v>-3.4209120291474465E-2</v>
      </c>
      <c r="AA95" s="747">
        <f>'Summary Table'!S111-'Summary Table'!R111</f>
        <v>20.279292132717273</v>
      </c>
      <c r="AB95" s="748">
        <f>IFERROR(AA95/'Summary Table'!R111, "NA")</f>
        <v>2.4041763315277642E-2</v>
      </c>
      <c r="AC95" s="747">
        <f>'Summary Table'!T111-'Summary Table'!S111</f>
        <v>-10.133048777900513</v>
      </c>
      <c r="AD95" s="748">
        <f>IFERROR(AC95/'Summary Table'!S111, "NA")</f>
        <v>-1.1731025810663499E-2</v>
      </c>
      <c r="AE95" s="747">
        <f>'Summary Table'!U111-'Summary Table'!T111</f>
        <v>-37.353229611828965</v>
      </c>
      <c r="AF95" s="748">
        <f>IFERROR(AE95/'Summary Table'!T111, "NA")</f>
        <v>-4.3757132426630138E-2</v>
      </c>
      <c r="AG95" s="747">
        <f>'Summary Table'!V111-'Summary Table'!U111</f>
        <v>-73.203637913037028</v>
      </c>
      <c r="AH95" s="748">
        <f>IFERROR(AG95/'Summary Table'!U111, "NA")</f>
        <v>-8.967784246527212E-2</v>
      </c>
      <c r="AI95" s="747">
        <f>'Summary Table'!W111-'Summary Table'!V111</f>
        <v>44.945803524603775</v>
      </c>
      <c r="AJ95" s="748">
        <f>IFERROR(AI95/'Summary Table'!V111, "NA")</f>
        <v>6.0484838056932423E-2</v>
      </c>
      <c r="AK95" s="747">
        <f>'Summary Table'!X111-'Summary Table'!W111</f>
        <v>3.06812081286796</v>
      </c>
      <c r="AL95" s="748">
        <f>IFERROR(AK95/'Summary Table'!W111, "NA")</f>
        <v>3.8933672039760284E-3</v>
      </c>
      <c r="AM95" s="747">
        <f>'Summary Table'!Y111-'Summary Table'!X111</f>
        <v>8.1682794155285592</v>
      </c>
      <c r="AN95" s="748">
        <f>IFERROR(AM95/'Summary Table'!X111, "NA")</f>
        <v>1.0325139074174238E-2</v>
      </c>
      <c r="AO95" s="747">
        <f>'Summary Table'!Z111-'Summary Table'!Y111</f>
        <v>30.860583544217434</v>
      </c>
      <c r="AP95" s="748">
        <f>IFERROR(AO95/'Summary Table'!Y111, "NA")</f>
        <v>3.8610755471207805E-2</v>
      </c>
      <c r="AQ95" s="747">
        <f>'Summary Table'!AA111-'Summary Table'!Z111</f>
        <v>-13.085724664265399</v>
      </c>
      <c r="AR95" s="748">
        <f>IFERROR(AQ95/'Summary Table'!Z111, "NA")</f>
        <v>-1.576337211577435E-2</v>
      </c>
      <c r="AS95" s="747">
        <f>'Summary Table'!AB111-'Summary Table'!AA111</f>
        <v>-22.69160155584882</v>
      </c>
      <c r="AT95" s="748">
        <f>IFERROR(AS95/'Summary Table'!AA111, "NA")</f>
        <v>-2.7772627918313201E-2</v>
      </c>
      <c r="AU95" s="747">
        <f>'Summary Table'!AC111-'Summary Table'!AB111</f>
        <v>-5.0224465948442685</v>
      </c>
      <c r="AV95" s="748">
        <f>IFERROR(AU95/'Summary Table'!AB111, "NA")</f>
        <v>-6.3226524548282695E-3</v>
      </c>
      <c r="AW95" s="747">
        <f>'Summary Table'!AD111-'Summary Table'!AC111</f>
        <v>-10.510074947246153</v>
      </c>
      <c r="AX95" s="748">
        <f>IFERROR(AW95/'Summary Table'!AC111, "NA")</f>
        <v>-1.3315099191493245E-2</v>
      </c>
      <c r="AY95" s="747">
        <f>'Summary Table'!AE111-'Summary Table'!AD111</f>
        <v>26.3888720397714</v>
      </c>
      <c r="AZ95" s="980">
        <f>IFERROR(AY95/'Summary Table'!AD111, "NA")</f>
        <v>3.3882928400485547E-2</v>
      </c>
      <c r="BA95" s="747">
        <f>'Summary Table'!AF111-'Summary Table'!AE111</f>
        <v>-7.0885607259274366</v>
      </c>
      <c r="BB95" s="980">
        <f>IFERROR(BA95/'Summary Table'!AE111, "NA")</f>
        <v>-8.8033265282459975E-3</v>
      </c>
      <c r="BC95" s="747">
        <f>'Summary Table'!AG111-'Summary Table'!AF111</f>
        <v>-48.607615840994981</v>
      </c>
      <c r="BD95" s="980">
        <f>IFERROR(BC95/'Summary Table'!AF111, "NA")</f>
        <v>-6.0902234977297402E-2</v>
      </c>
      <c r="BE95" s="747">
        <f>'Summary Table'!AH111-'Summary Table'!AG111</f>
        <v>19.315598843059206</v>
      </c>
      <c r="BF95" s="980">
        <f>IFERROR(BE95/'Summary Table'!AG111, "NA")</f>
        <v>2.5770703894059291E-2</v>
      </c>
      <c r="BG95" s="747">
        <f>'Summary Table'!AI111-'Summary Table'!AH111</f>
        <v>7.0257295896068399</v>
      </c>
      <c r="BH95" s="980">
        <f>IFERROR(BG95/'Summary Table'!AH111, "NA")</f>
        <v>9.1381702028475887E-3</v>
      </c>
    </row>
    <row r="96" spans="6:60">
      <c r="F96" s="6" t="s">
        <v>1435</v>
      </c>
      <c r="G96" s="53">
        <f>'Summary Table'!W112-'Summary Table'!C112</f>
        <v>-63.674615248119366</v>
      </c>
      <c r="H96" s="57">
        <f>G96/'Summary Table'!C112</f>
        <v>-0.40341486194189308</v>
      </c>
      <c r="I96" s="37">
        <f t="shared" si="109"/>
        <v>-0.10798515458945752</v>
      </c>
      <c r="J96" s="53">
        <f>'Summary Table'!W112-'Summary Table'!V112</f>
        <v>7.0974316500530534</v>
      </c>
      <c r="K96" s="37">
        <f>J96/'Summary Table'!$T112</f>
        <v>6.4071142069777681E-2</v>
      </c>
      <c r="L96" s="38">
        <f t="shared" si="110"/>
        <v>4.5189384467232786E-2</v>
      </c>
      <c r="Q96" s="1">
        <f>'Summary Table'!N112-'Summary Table'!M112</f>
        <v>1.697703622487694</v>
      </c>
      <c r="R96" s="88">
        <f>Q96/'Summary Table'!M112</f>
        <v>1.3213356082514012E-2</v>
      </c>
      <c r="S96" s="1">
        <f>'Summary Table'!O112-'Summary Table'!N112</f>
        <v>-11.123868404268663</v>
      </c>
      <c r="T96" s="88">
        <f>S96/'Summary Table'!N112</f>
        <v>-8.5448845628814357E-2</v>
      </c>
      <c r="U96" s="1">
        <f>'Summary Table'!P112-'Summary Table'!O112</f>
        <v>0.38079720685368557</v>
      </c>
      <c r="V96" s="88">
        <f>U96/'Summary Table'!O112</f>
        <v>3.1984245435848773E-3</v>
      </c>
      <c r="W96" s="749">
        <f>'Summary Table'!Q112-'Summary Table'!P112</f>
        <v>0.9957004152044675</v>
      </c>
      <c r="X96" s="746">
        <f>IFERROR(W96/'Summary Table'!P112, "NA")</f>
        <v>8.3365085899616085E-3</v>
      </c>
      <c r="Y96" s="749">
        <f>'Summary Table'!R112-'Summary Table'!Q112</f>
        <v>-2.5928772500423207</v>
      </c>
      <c r="Z96" s="746">
        <f>IFERROR(Y96/'Summary Table'!Q112, "NA")</f>
        <v>-2.1529402599751887E-2</v>
      </c>
      <c r="AA96" s="749">
        <f>'Summary Table'!S112-'Summary Table'!R112</f>
        <v>-2.2619844181612478</v>
      </c>
      <c r="AB96" s="746">
        <f>IFERROR(AA96/'Summary Table'!R112, "NA")</f>
        <v>-1.9195165060921934E-2</v>
      </c>
      <c r="AC96" s="749">
        <f>'Summary Table'!T112-'Summary Table'!S112</f>
        <v>-4.8051453438934715</v>
      </c>
      <c r="AD96" s="746">
        <f>IFERROR(AC96/'Summary Table'!S112, "NA")</f>
        <v>-4.157441745563073E-2</v>
      </c>
      <c r="AE96" s="749">
        <f>'Summary Table'!U112-'Summary Table'!T112</f>
        <v>-4.6993642726738045</v>
      </c>
      <c r="AF96" s="746">
        <f>IFERROR(AE96/'Summary Table'!T112, "NA")</f>
        <v>-4.242290039522538E-2</v>
      </c>
      <c r="AG96" s="749">
        <f>'Summary Table'!V112-'Summary Table'!U112</f>
        <v>-19.007874312708879</v>
      </c>
      <c r="AH96" s="746">
        <f>IFERROR(AG96/'Summary Table'!U112, "NA")</f>
        <v>-0.17919300261512303</v>
      </c>
      <c r="AI96" s="749">
        <f>'Summary Table'!W112-'Summary Table'!V112</f>
        <v>7.0974316500530534</v>
      </c>
      <c r="AJ96" s="746">
        <f>IFERROR(AI96/'Summary Table'!V112, "NA")</f>
        <v>8.1516901551585058E-2</v>
      </c>
      <c r="AK96" s="749">
        <f>'Summary Table'!X112-'Summary Table'!W112</f>
        <v>-8.2107356234216979</v>
      </c>
      <c r="AL96" s="746">
        <f>IFERROR(AK96/'Summary Table'!W112, "NA")</f>
        <v>-8.7195726942292107E-2</v>
      </c>
      <c r="AM96" s="749">
        <f>'Summary Table'!Y112-'Summary Table'!X112</f>
        <v>-7.729381146024437</v>
      </c>
      <c r="AN96" s="746">
        <f>IFERROR(AM96/'Summary Table'!X112, "NA")</f>
        <v>-8.9924947544021278E-2</v>
      </c>
      <c r="AO96" s="749">
        <f>'Summary Table'!Z112-'Summary Table'!Y112</f>
        <v>1.3195113623681749</v>
      </c>
      <c r="AP96" s="746">
        <f>IFERROR(AO96/'Summary Table'!Y112, "NA")</f>
        <v>1.6868303042885148E-2</v>
      </c>
      <c r="AQ96" s="749">
        <f>'Summary Table'!AA112-'Summary Table'!Z112</f>
        <v>-0.30103248571349184</v>
      </c>
      <c r="AR96" s="746">
        <f>IFERROR(AQ96/'Summary Table'!Z112, "NA")</f>
        <v>-3.7844861041664915E-3</v>
      </c>
      <c r="AS96" s="749">
        <f>'Summary Table'!AB112-'Summary Table'!AA112</f>
        <v>-9.2723847098039158</v>
      </c>
      <c r="AT96" s="746">
        <f>IFERROR(AS96/'Summary Table'!AA112, "NA")</f>
        <v>-0.11701234735956829</v>
      </c>
      <c r="AU96" s="749">
        <f>'Summary Table'!AC112-'Summary Table'!AB112</f>
        <v>-6.8200994453718806</v>
      </c>
      <c r="AV96" s="746">
        <f>IFERROR(AU96/'Summary Table'!AB112, "NA")</f>
        <v>-9.7471203001907855E-2</v>
      </c>
      <c r="AW96" s="749">
        <f>'Summary Table'!AD112-'Summary Table'!AC112</f>
        <v>-4.4774383216192675</v>
      </c>
      <c r="AX96" s="746">
        <f>IFERROR(AW96/'Summary Table'!AC112, "NA")</f>
        <v>-7.0901294274286278E-2</v>
      </c>
      <c r="AY96" s="749">
        <f>'Summary Table'!AE112-'Summary Table'!AD112</f>
        <v>-4.2561110081668758</v>
      </c>
      <c r="AZ96" s="255">
        <f>IFERROR(AY96/'Summary Table'!AD112, "NA")</f>
        <v>-7.2539681230195996E-2</v>
      </c>
      <c r="BA96" s="749">
        <f>'Summary Table'!AF112-'Summary Table'!AE112</f>
        <v>-4.9585652034767449</v>
      </c>
      <c r="BB96" s="255">
        <f>IFERROR(BA96/'Summary Table'!AE112, "NA")</f>
        <v>-9.1122030146190983E-2</v>
      </c>
      <c r="BC96" s="749">
        <f>'Summary Table'!AG112-'Summary Table'!AF112</f>
        <v>-6.491895531262621</v>
      </c>
      <c r="BD96" s="255">
        <f>IFERROR(BC96/'Summary Table'!AF112, "NA")</f>
        <v>-0.13126027333259632</v>
      </c>
      <c r="BE96" s="749">
        <f>'Summary Table'!AH112-'Summary Table'!AG112</f>
        <v>6.0106913872225221E-2</v>
      </c>
      <c r="BF96" s="255">
        <f>IFERROR(BE96/'Summary Table'!AG112, "NA")</f>
        <v>1.3989317600352248E-3</v>
      </c>
      <c r="BG96" s="749">
        <f>'Summary Table'!AI112-'Summary Table'!AH112</f>
        <v>-0.36640873573172428</v>
      </c>
      <c r="BH96" s="255">
        <f>IFERROR(BG96/'Summary Table'!AH112, "NA")</f>
        <v>-8.5159047559283246E-3</v>
      </c>
    </row>
    <row r="97" spans="6:60">
      <c r="F97" s="6" t="s">
        <v>1439</v>
      </c>
      <c r="G97" s="53">
        <f>'Summary Table'!W113-'Summary Table'!C113</f>
        <v>-0.35109053119714417</v>
      </c>
      <c r="H97" s="57">
        <f>G97/'Summary Table'!C113</f>
        <v>-8.6169751357787839E-4</v>
      </c>
      <c r="I97" s="37">
        <f t="shared" si="109"/>
        <v>-5.9541098345840607E-4</v>
      </c>
      <c r="J97" s="53">
        <f>'Summary Table'!W113-'Summary Table'!V113</f>
        <v>32.88984530648321</v>
      </c>
      <c r="K97" s="37">
        <f>J97/'Summary Table'!$T113</f>
        <v>8.2852409403163366E-2</v>
      </c>
      <c r="L97" s="38">
        <f t="shared" si="110"/>
        <v>0.20940981722752786</v>
      </c>
      <c r="Q97" s="1">
        <f>'Summary Table'!N113-'Summary Table'!M113</f>
        <v>-37.584580788343771</v>
      </c>
      <c r="R97" s="88">
        <f>Q97/'Summary Table'!M113</f>
        <v>-8.2029321346527517E-2</v>
      </c>
      <c r="S97" s="1">
        <f>'Summary Table'!O113-'Summary Table'!N113</f>
        <v>7.5098157999094042</v>
      </c>
      <c r="T97" s="88">
        <f>S97/'Summary Table'!N113</f>
        <v>1.7855001184324707E-2</v>
      </c>
      <c r="U97" s="1">
        <f>'Summary Table'!P113-'Summary Table'!O113</f>
        <v>-13.023901733274272</v>
      </c>
      <c r="V97" s="88">
        <f>U97/'Summary Table'!O113</f>
        <v>-3.0421862173603133E-2</v>
      </c>
      <c r="W97" s="749">
        <f>'Summary Table'!Q113-'Summary Table'!P113</f>
        <v>3.8000451009542644</v>
      </c>
      <c r="X97" s="746">
        <f>IFERROR(W97/'Summary Table'!P113, "NA")</f>
        <v>9.1548370878850576E-3</v>
      </c>
      <c r="Y97" s="749">
        <f>'Summary Table'!R113-'Summary Table'!Q113</f>
        <v>-31.101697389166986</v>
      </c>
      <c r="Z97" s="746">
        <f>IFERROR(Y97/'Summary Table'!Q113, "NA")</f>
        <v>-7.4248580399295189E-2</v>
      </c>
      <c r="AA97" s="749">
        <f>'Summary Table'!S113-'Summary Table'!R113</f>
        <v>-0.34882154510120245</v>
      </c>
      <c r="AB97" s="746">
        <f>IFERROR(AA97/'Summary Table'!R113, "NA")</f>
        <v>-8.9952446120175806E-4</v>
      </c>
      <c r="AC97" s="749">
        <f>'Summary Table'!T113-'Summary Table'!S113</f>
        <v>9.5335177302127363</v>
      </c>
      <c r="AD97" s="746">
        <f>IFERROR(AC97/'Summary Table'!S113, "NA")</f>
        <v>2.4606717837401787E-2</v>
      </c>
      <c r="AE97" s="749">
        <f>'Summary Table'!U113-'Summary Table'!T113</f>
        <v>1.6820477537155512</v>
      </c>
      <c r="AF97" s="746">
        <f>IFERROR(AE97/'Summary Table'!T113, "NA")</f>
        <v>4.2372260443268583E-3</v>
      </c>
      <c r="AG97" s="749">
        <f>'Summary Table'!V113-'Summary Table'!U113</f>
        <v>-24.451494554685269</v>
      </c>
      <c r="AH97" s="746">
        <f>IFERROR(AG97/'Summary Table'!U113, "NA")</f>
        <v>-6.1335569951969246E-2</v>
      </c>
      <c r="AI97" s="749">
        <f>'Summary Table'!W113-'Summary Table'!V113</f>
        <v>32.88984530648321</v>
      </c>
      <c r="AJ97" s="746">
        <f>IFERROR(AI97/'Summary Table'!V113, "NA")</f>
        <v>8.7893845380613955E-2</v>
      </c>
      <c r="AK97" s="749">
        <f>'Summary Table'!X113-'Summary Table'!W113</f>
        <v>10.080205456945919</v>
      </c>
      <c r="AL97" s="746">
        <f>IFERROR(AK97/'Summary Table'!W113, "NA")</f>
        <v>2.4761645335618043E-2</v>
      </c>
      <c r="AM97" s="749">
        <f>'Summary Table'!Y113-'Summary Table'!X113</f>
        <v>16.704422736790093</v>
      </c>
      <c r="AN97" s="746">
        <f>IFERROR(AM97/'Summary Table'!X113, "NA")</f>
        <v>4.0042273212859011E-2</v>
      </c>
      <c r="AO97" s="749">
        <f>'Summary Table'!Z113-'Summary Table'!Y113</f>
        <v>17.06200214475956</v>
      </c>
      <c r="AP97" s="746">
        <f>IFERROR(AO97/'Summary Table'!Y113, "NA")</f>
        <v>3.9324775576152993E-2</v>
      </c>
      <c r="AQ97" s="749">
        <f>'Summary Table'!AA113-'Summary Table'!Z113</f>
        <v>14.999958641302214</v>
      </c>
      <c r="AR97" s="746">
        <f>IFERROR(AQ97/'Summary Table'!Z113, "NA")</f>
        <v>3.3264043660060985E-2</v>
      </c>
      <c r="AS97" s="749">
        <f>'Summary Table'!AB113-'Summary Table'!AA113</f>
        <v>-6.2897945826152295</v>
      </c>
      <c r="AT97" s="746">
        <f>IFERROR(AS97/'Summary Table'!AA113, "NA")</f>
        <v>-1.3499265089527798E-2</v>
      </c>
      <c r="AU97" s="749">
        <f>'Summary Table'!AC113-'Summary Table'!AB113</f>
        <v>4.3362991368272787</v>
      </c>
      <c r="AV97" s="746">
        <f>IFERROR(AU97/'Summary Table'!AB113, "NA")</f>
        <v>9.4339915878108166E-3</v>
      </c>
      <c r="AW97" s="749">
        <f>'Summary Table'!AD113-'Summary Table'!AC113</f>
        <v>4.1505791778881758</v>
      </c>
      <c r="AX97" s="746">
        <f>IFERROR(AW97/'Summary Table'!AC113, "NA")</f>
        <v>8.9455496099967065E-3</v>
      </c>
      <c r="AY97" s="749">
        <f>'Summary Table'!AE113-'Summary Table'!AD113</f>
        <v>25.335821633742512</v>
      </c>
      <c r="AZ97" s="255">
        <f>IFERROR(AY97/'Summary Table'!AD113, "NA")</f>
        <v>5.4120972196835572E-2</v>
      </c>
      <c r="BA97" s="749">
        <f>'Summary Table'!AF113-'Summary Table'!AE113</f>
        <v>8.0395360379509953</v>
      </c>
      <c r="BB97" s="255">
        <f>IFERROR(BA97/'Summary Table'!AE113, "NA")</f>
        <v>1.6291877236843468E-2</v>
      </c>
      <c r="BC97" s="749">
        <f>'Summary Table'!AG113-'Summary Table'!AF113</f>
        <v>-11.791551246343602</v>
      </c>
      <c r="BD97" s="255">
        <f>IFERROR(BC97/'Summary Table'!AF113, "NA")</f>
        <v>-2.3512165547753906E-2</v>
      </c>
      <c r="BE97" s="749">
        <f>'Summary Table'!AH113-'Summary Table'!AG113</f>
        <v>11.449701573297261</v>
      </c>
      <c r="BF97" s="255">
        <f>IFERROR(BE97/'Summary Table'!AG113, "NA")</f>
        <v>2.3380242880666806E-2</v>
      </c>
      <c r="BG97" s="749">
        <f>'Summary Table'!AI113-'Summary Table'!AH113</f>
        <v>10.279228511500264</v>
      </c>
      <c r="BH97" s="255">
        <f>IFERROR(BG97/'Summary Table'!AH113, "NA")</f>
        <v>2.0510598982164591E-2</v>
      </c>
    </row>
    <row r="98" spans="6:60">
      <c r="F98" s="6" t="s">
        <v>1440</v>
      </c>
      <c r="G98" s="53">
        <f>'Summary Table'!W114-'Summary Table'!C114</f>
        <v>-19.084408278820092</v>
      </c>
      <c r="H98" s="57">
        <f>G98/'Summary Table'!C114</f>
        <v>-6.2394187003411671E-2</v>
      </c>
      <c r="I98" s="37">
        <f t="shared" si="109"/>
        <v>-3.2365060553665101E-2</v>
      </c>
      <c r="J98" s="53">
        <f>'Summary Table'!W114-'Summary Table'!V114</f>
        <v>4.9585265680675548</v>
      </c>
      <c r="K98" s="37">
        <f>J98/'Summary Table'!$T114</f>
        <v>1.4334911951681791E-2</v>
      </c>
      <c r="L98" s="38">
        <f t="shared" si="110"/>
        <v>3.1570964614180977E-2</v>
      </c>
      <c r="Q98" s="1">
        <f>'Summary Table'!N114-'Summary Table'!M114</f>
        <v>12.241390076838513</v>
      </c>
      <c r="R98" s="88">
        <f>Q98/'Summary Table'!M114</f>
        <v>4.0768527496698001E-2</v>
      </c>
      <c r="S98" s="1">
        <f>'Summary Table'!O114-'Summary Table'!N114</f>
        <v>-4.8956774910139984</v>
      </c>
      <c r="T98" s="88">
        <f>S98/'Summary Table'!N114</f>
        <v>-1.5665812996304217E-2</v>
      </c>
      <c r="U98" s="1">
        <f>'Summary Table'!P114-'Summary Table'!O114</f>
        <v>6.0603351642249663</v>
      </c>
      <c r="V98" s="88">
        <f>U98/'Summary Table'!O114</f>
        <v>1.9701269507678358E-2</v>
      </c>
      <c r="W98" s="749">
        <f>'Summary Table'!Q114-'Summary Table'!P114</f>
        <v>20.388197627228919</v>
      </c>
      <c r="X98" s="746">
        <f>IFERROR(W98/'Summary Table'!P114, "NA")</f>
        <v>6.4998516325610975E-2</v>
      </c>
      <c r="Y98" s="749">
        <f>'Summary Table'!R114-'Summary Table'!Q114</f>
        <v>3.8170040982723776</v>
      </c>
      <c r="Z98" s="746">
        <f>IFERROR(Y98/'Summary Table'!Q114, "NA")</f>
        <v>1.1426105568089326E-2</v>
      </c>
      <c r="AA98" s="749">
        <f>'Summary Table'!S114-'Summary Table'!R114</f>
        <v>22.890098095979681</v>
      </c>
      <c r="AB98" s="746">
        <f>IFERROR(AA98/'Summary Table'!R114, "NA")</f>
        <v>6.7746849100635526E-2</v>
      </c>
      <c r="AC98" s="749">
        <f>'Summary Table'!T114-'Summary Table'!S114</f>
        <v>-14.861421164219792</v>
      </c>
      <c r="AD98" s="746">
        <f>IFERROR(AC98/'Summary Table'!S114, "NA")</f>
        <v>-4.1193955041196453E-2</v>
      </c>
      <c r="AE98" s="749">
        <f>'Summary Table'!U114-'Summary Table'!T114</f>
        <v>-34.335913092870669</v>
      </c>
      <c r="AF98" s="746">
        <f>IFERROR(AE98/'Summary Table'!T114, "NA")</f>
        <v>-9.9263820453566895E-2</v>
      </c>
      <c r="AG98" s="749">
        <f>'Summary Table'!V114-'Summary Table'!U114</f>
        <v>-29.744269045642966</v>
      </c>
      <c r="AH98" s="746">
        <f>IFERROR(AG98/'Summary Table'!U114, "NA")</f>
        <v>-9.5465857690300637E-2</v>
      </c>
      <c r="AI98" s="749">
        <f>'Summary Table'!W114-'Summary Table'!V114</f>
        <v>4.9585265680675548</v>
      </c>
      <c r="AJ98" s="746">
        <f>IFERROR(AI98/'Summary Table'!V114, "NA")</f>
        <v>1.7594318854283943E-2</v>
      </c>
      <c r="AK98" s="749">
        <f>'Summary Table'!X114-'Summary Table'!W114</f>
        <v>1.1986509793436539</v>
      </c>
      <c r="AL98" s="746">
        <f>IFERROR(AK98/'Summary Table'!W114, "NA")</f>
        <v>4.179630450652917E-3</v>
      </c>
      <c r="AM98" s="749">
        <f>'Summary Table'!Y114-'Summary Table'!X114</f>
        <v>-0.80676217523705418</v>
      </c>
      <c r="AN98" s="746">
        <f>IFERROR(AM98/'Summary Table'!X114, "NA")</f>
        <v>-2.8014266818211261E-3</v>
      </c>
      <c r="AO98" s="749">
        <f>'Summary Table'!Z114-'Summary Table'!Y114</f>
        <v>12.479070037089627</v>
      </c>
      <c r="AP98" s="746">
        <f>IFERROR(AO98/'Summary Table'!Y114, "NA")</f>
        <v>4.3454454866051213E-2</v>
      </c>
      <c r="AQ98" s="749">
        <f>'Summary Table'!AA114-'Summary Table'!Z114</f>
        <v>-27.78465081985405</v>
      </c>
      <c r="AR98" s="746">
        <f>IFERROR(AQ98/'Summary Table'!Z114, "NA")</f>
        <v>-9.2722157753420589E-2</v>
      </c>
      <c r="AS98" s="749">
        <f>'Summary Table'!AB114-'Summary Table'!AA114</f>
        <v>-7.1294222634296602</v>
      </c>
      <c r="AT98" s="746">
        <f>IFERROR(AS98/'Summary Table'!AA114, "NA")</f>
        <v>-2.6223618599724521E-2</v>
      </c>
      <c r="AU98" s="749">
        <f>'Summary Table'!AC114-'Summary Table'!AB114</f>
        <v>-2.538646286299695</v>
      </c>
      <c r="AV98" s="746">
        <f>IFERROR(AU98/'Summary Table'!AB114, "NA")</f>
        <v>-9.5891748858243208E-3</v>
      </c>
      <c r="AW98" s="749">
        <f>'Summary Table'!AD114-'Summary Table'!AC114</f>
        <v>-10.183215803514969</v>
      </c>
      <c r="AX98" s="746">
        <f>IFERROR(AW98/'Summary Table'!AC114, "NA")</f>
        <v>-3.8837262828323754E-2</v>
      </c>
      <c r="AY98" s="749">
        <f>'Summary Table'!AE114-'Summary Table'!AD114</f>
        <v>5.3091614141957564</v>
      </c>
      <c r="AZ98" s="255">
        <f>IFERROR(AY98/'Summary Table'!AD114, "NA")</f>
        <v>2.1066513719644318E-2</v>
      </c>
      <c r="BA98" s="749">
        <f>'Summary Table'!AF114-'Summary Table'!AE114</f>
        <v>-10.169531560401765</v>
      </c>
      <c r="BB98" s="255">
        <f>IFERROR(BA98/'Summary Table'!AE114, "NA")</f>
        <v>-3.9519701537020037E-2</v>
      </c>
      <c r="BC98" s="749">
        <f>'Summary Table'!AG114-'Summary Table'!AF114</f>
        <v>-30.324169063388752</v>
      </c>
      <c r="BD98" s="255">
        <f>IFERROR(BC98/'Summary Table'!AF114, "NA")</f>
        <v>-0.12269112702557838</v>
      </c>
      <c r="BE98" s="749">
        <f>'Summary Table'!AH114-'Summary Table'!AG114</f>
        <v>7.8057903558897124</v>
      </c>
      <c r="BF98" s="255">
        <f>IFERROR(BE98/'Summary Table'!AG114, "NA")</f>
        <v>3.5998848392910204E-2</v>
      </c>
      <c r="BG98" s="749">
        <f>'Summary Table'!AI114-'Summary Table'!AH114</f>
        <v>-2.8870901861616289</v>
      </c>
      <c r="BH98" s="255">
        <f>IFERROR(BG98/'Summary Table'!AH114, "NA")</f>
        <v>-1.2852061723886895E-2</v>
      </c>
    </row>
    <row r="99" spans="6:60">
      <c r="F99" s="5" t="s">
        <v>1445</v>
      </c>
      <c r="G99" s="51">
        <f>'Summary Table'!W115-'Summary Table'!C115</f>
        <v>227.67062842361042</v>
      </c>
      <c r="H99" s="113">
        <f>G99/'Summary Table'!C115</f>
        <v>0.15498932895623707</v>
      </c>
      <c r="I99" s="35">
        <f t="shared" si="109"/>
        <v>0.38610438257070795</v>
      </c>
      <c r="J99" s="51">
        <f>'Summary Table'!W115-'Summary Table'!V115</f>
        <v>8.1339480445724348</v>
      </c>
      <c r="K99" s="35">
        <f>J99/'Summary Table'!$T115</f>
        <v>4.371357085789401E-3</v>
      </c>
      <c r="L99" s="36">
        <f t="shared" si="110"/>
        <v>5.1788889776759245E-2</v>
      </c>
      <c r="Q99" s="5">
        <f>'Summary Table'!N115-'Summary Table'!M115</f>
        <v>-29.737823634212418</v>
      </c>
      <c r="R99" s="666">
        <f>Q99/'Summary Table'!M115</f>
        <v>-1.659289824953987E-2</v>
      </c>
      <c r="S99" s="5">
        <f>'Summary Table'!O115-'Summary Table'!N115</f>
        <v>40.554276180814213</v>
      </c>
      <c r="T99" s="666">
        <f>S99/'Summary Table'!N115</f>
        <v>2.3009987501029113E-2</v>
      </c>
      <c r="U99" s="5">
        <f>'Summary Table'!P115-'Summary Table'!O115</f>
        <v>8.9659426486909979</v>
      </c>
      <c r="V99" s="666">
        <f>U99/'Summary Table'!O115</f>
        <v>4.9727406692902081E-3</v>
      </c>
      <c r="W99" s="747">
        <f>'Summary Table'!Q115-'Summary Table'!P115</f>
        <v>33.236423862193305</v>
      </c>
      <c r="X99" s="748">
        <f>IFERROR(W99/'Summary Table'!P115, "NA")</f>
        <v>1.8342556334340964E-2</v>
      </c>
      <c r="Y99" s="747">
        <f>'Summary Table'!R115-'Summary Table'!Q115</f>
        <v>13.331458456640348</v>
      </c>
      <c r="Z99" s="748">
        <f>IFERROR(Y99/'Summary Table'!Q115, "NA")</f>
        <v>7.22485845611114E-3</v>
      </c>
      <c r="AA99" s="747">
        <f>'Summary Table'!S115-'Summary Table'!R115</f>
        <v>0.58083711044719166</v>
      </c>
      <c r="AB99" s="748">
        <f>IFERROR(AA99/'Summary Table'!R115, "NA")</f>
        <v>3.1252128405079776E-4</v>
      </c>
      <c r="AC99" s="747">
        <f>'Summary Table'!T115-'Summary Table'!S115</f>
        <v>1.604491037352318</v>
      </c>
      <c r="AD99" s="748">
        <f>IFERROR(AC99/'Summary Table'!S115, "NA")</f>
        <v>8.6303187117796451E-4</v>
      </c>
      <c r="AE99" s="747">
        <f>'Summary Table'!U115-'Summary Table'!T115</f>
        <v>-101.0561737573239</v>
      </c>
      <c r="AF99" s="748">
        <f>IFERROR(AE99/'Summary Table'!T115, "NA")</f>
        <v>-5.4309742181303015E-2</v>
      </c>
      <c r="AG99" s="747">
        <f>'Summary Table'!V115-'Summary Table'!U115</f>
        <v>-71.200749264990918</v>
      </c>
      <c r="AH99" s="748">
        <f>IFERROR(AG99/'Summary Table'!U115, "NA")</f>
        <v>-4.0462297521460723E-2</v>
      </c>
      <c r="AI99" s="747">
        <f>'Summary Table'!W115-'Summary Table'!V115</f>
        <v>8.1339480445724348</v>
      </c>
      <c r="AJ99" s="748">
        <f>IFERROR(AI99/'Summary Table'!V115, "NA")</f>
        <v>4.8173181068419911E-3</v>
      </c>
      <c r="AK99" s="747">
        <f>'Summary Table'!X115-'Summary Table'!W115</f>
        <v>-26.236962279012687</v>
      </c>
      <c r="AL99" s="748">
        <f>IFERROR(AK99/'Summary Table'!W115, "NA")</f>
        <v>-1.546430372393515E-2</v>
      </c>
      <c r="AM99" s="747">
        <f>'Summary Table'!Y115-'Summary Table'!X115</f>
        <v>-10.976228790899768</v>
      </c>
      <c r="AN99" s="748">
        <f>IFERROR(AM99/'Summary Table'!X115, "NA")</f>
        <v>-6.5711064683953591E-3</v>
      </c>
      <c r="AO99" s="747">
        <f>'Summary Table'!Z115-'Summary Table'!Y115</f>
        <v>9.6445887555714762</v>
      </c>
      <c r="AP99" s="748">
        <f>IFERROR(AO99/'Summary Table'!Y115, "NA")</f>
        <v>5.8120893195991305E-3</v>
      </c>
      <c r="AQ99" s="747">
        <f>'Summary Table'!AA115-'Summary Table'!Z115</f>
        <v>38.300809491178825</v>
      </c>
      <c r="AR99" s="748">
        <f>IFERROR(AQ99/'Summary Table'!Z115, "NA")</f>
        <v>2.2947726618557228E-2</v>
      </c>
      <c r="AS99" s="747">
        <f>'Summary Table'!AB115-'Summary Table'!AA115</f>
        <v>11.034431317451208</v>
      </c>
      <c r="AT99" s="748">
        <f>IFERROR(AS99/'Summary Table'!AA115, "NA")</f>
        <v>6.4629117948848203E-3</v>
      </c>
      <c r="AU99" s="747">
        <f>'Summary Table'!AC115-'Summary Table'!AB115</f>
        <v>39.525383982238054</v>
      </c>
      <c r="AV99" s="748">
        <f>IFERROR(AU99/'Summary Table'!AB115, "NA")</f>
        <v>2.300152310703037E-2</v>
      </c>
      <c r="AW99" s="747">
        <f>'Summary Table'!AD115-'Summary Table'!AC115</f>
        <v>22.401279158758598</v>
      </c>
      <c r="AX99" s="748">
        <f>IFERROR(AW99/'Summary Table'!AC115, "NA")</f>
        <v>1.2743157036562319E-2</v>
      </c>
      <c r="AY99" s="747">
        <f>'Summary Table'!AE115-'Summary Table'!AD115</f>
        <v>32.826824606596347</v>
      </c>
      <c r="AZ99" s="980">
        <f>IFERROR(AY99/'Summary Table'!AD115, "NA")</f>
        <v>1.8438847575017174E-2</v>
      </c>
      <c r="BA99" s="747">
        <f>'Summary Table'!AF115-'Summary Table'!AE115</f>
        <v>3.501025126212653</v>
      </c>
      <c r="BB99" s="980">
        <f>IFERROR(BA99/'Summary Table'!AE115, "NA")</f>
        <v>1.9309239545793715E-3</v>
      </c>
      <c r="BC99" s="747">
        <f>'Summary Table'!AG115-'Summary Table'!AF115</f>
        <v>-243.81546783469776</v>
      </c>
      <c r="BD99" s="980">
        <f>IFERROR(BC99/'Summary Table'!AF115, "NA")</f>
        <v>-0.13421263896577162</v>
      </c>
      <c r="BE99" s="747">
        <f>'Summary Table'!AH115-'Summary Table'!AG115</f>
        <v>180.72571884508761</v>
      </c>
      <c r="BF99" s="980">
        <f>IFERROR(BE99/'Summary Table'!AG115, "NA")</f>
        <v>0.11490551694790671</v>
      </c>
      <c r="BG99" s="747">
        <f>'Summary Table'!AI115-'Summary Table'!AH115</f>
        <v>27.217269389096145</v>
      </c>
      <c r="BH99" s="980">
        <f>IFERROR(BG99/'Summary Table'!AH115, "NA")</f>
        <v>1.5521275492312187E-2</v>
      </c>
    </row>
    <row r="100" spans="6:60">
      <c r="F100" s="6" t="s">
        <v>1435</v>
      </c>
      <c r="G100" s="53" t="e">
        <f>'Summary Table'!W116-'Summary Table'!C116</f>
        <v>#VALUE!</v>
      </c>
      <c r="H100" s="57"/>
      <c r="I100" s="57"/>
      <c r="J100" s="53" t="e">
        <f>'Summary Table'!W116-'Summary Table'!V116</f>
        <v>#VALUE!</v>
      </c>
      <c r="K100" s="37" t="e">
        <f>J100/'Summary Table'!$T116</f>
        <v>#VALUE!</v>
      </c>
      <c r="L100" s="110"/>
      <c r="Q100" s="57" t="s">
        <v>103</v>
      </c>
      <c r="R100" s="57" t="s">
        <v>103</v>
      </c>
      <c r="S100" s="57" t="s">
        <v>103</v>
      </c>
      <c r="T100" s="57" t="s">
        <v>103</v>
      </c>
      <c r="U100" s="57" t="s">
        <v>103</v>
      </c>
      <c r="V100" s="57" t="s">
        <v>103</v>
      </c>
      <c r="W100" s="254" t="s">
        <v>103</v>
      </c>
      <c r="X100" s="255" t="str">
        <f>IFERROR(W100/'Summary Table'!P116, "NA")</f>
        <v>NA</v>
      </c>
      <c r="Y100" s="254" t="s">
        <v>103</v>
      </c>
      <c r="Z100" s="255" t="str">
        <f>IFERROR(Y100/'Summary Table'!Q116, "NA")</f>
        <v>NA</v>
      </c>
      <c r="AA100" s="254" t="s">
        <v>103</v>
      </c>
      <c r="AB100" s="255" t="str">
        <f>IFERROR(AA100/'Summary Table'!R116, "NA")</f>
        <v>NA</v>
      </c>
      <c r="AC100" s="254" t="s">
        <v>103</v>
      </c>
      <c r="AD100" s="255" t="str">
        <f>IFERROR(AC100/'Summary Table'!S116, "NA")</f>
        <v>NA</v>
      </c>
      <c r="AE100" s="254" t="s">
        <v>103</v>
      </c>
      <c r="AF100" s="255" t="str">
        <f>IFERROR(AE100/'Summary Table'!T116, "NA")</f>
        <v>NA</v>
      </c>
      <c r="AG100" s="254" t="s">
        <v>103</v>
      </c>
      <c r="AH100" s="255" t="str">
        <f>IFERROR(AG100/'Summary Table'!U116, "NA")</f>
        <v>NA</v>
      </c>
      <c r="AI100" s="254" t="s">
        <v>103</v>
      </c>
      <c r="AJ100" s="255" t="str">
        <f>IFERROR(AI100/'Summary Table'!V116, "NA")</f>
        <v>NA</v>
      </c>
      <c r="AK100" s="254" t="s">
        <v>103</v>
      </c>
      <c r="AL100" s="255" t="str">
        <f>IFERROR(AK100/'Summary Table'!W116, "NA")</f>
        <v>NA</v>
      </c>
      <c r="AM100" s="254" t="s">
        <v>103</v>
      </c>
      <c r="AN100" s="255" t="str">
        <f>IFERROR(AM100/'Summary Table'!X116, "NA")</f>
        <v>NA</v>
      </c>
      <c r="AO100" s="254" t="s">
        <v>103</v>
      </c>
      <c r="AP100" s="255" t="str">
        <f>IFERROR(AO100/'Summary Table'!Y116, "NA")</f>
        <v>NA</v>
      </c>
      <c r="AQ100" s="254" t="s">
        <v>103</v>
      </c>
      <c r="AR100" s="255" t="str">
        <f>IFERROR(AQ100/'Summary Table'!Z116, "NA")</f>
        <v>NA</v>
      </c>
      <c r="AS100" s="254" t="s">
        <v>103</v>
      </c>
      <c r="AT100" s="255" t="str">
        <f>IFERROR(AS100/'Summary Table'!AA116, "NA")</f>
        <v>NA</v>
      </c>
      <c r="AU100" s="254" t="s">
        <v>103</v>
      </c>
      <c r="AV100" s="255" t="str">
        <f>IFERROR(AU100/'Summary Table'!AB116, "NA")</f>
        <v>NA</v>
      </c>
      <c r="AW100" s="254" t="s">
        <v>103</v>
      </c>
      <c r="AX100" s="255" t="str">
        <f>IFERROR(AW100/'Summary Table'!AC116, "NA")</f>
        <v>NA</v>
      </c>
      <c r="AY100" s="749" t="s">
        <v>103</v>
      </c>
      <c r="AZ100" s="255" t="str">
        <f>IFERROR(AY100/'Summary Table'!AD116, "NA")</f>
        <v>NA</v>
      </c>
      <c r="BA100" s="254" t="s">
        <v>103</v>
      </c>
      <c r="BB100" s="255" t="str">
        <f>IFERROR(BA100/'Summary Table'!AE116, "NA")</f>
        <v>NA</v>
      </c>
      <c r="BC100" s="254" t="s">
        <v>103</v>
      </c>
      <c r="BD100" s="255" t="str">
        <f>IFERROR(BC100/'Summary Table'!AF116, "NA")</f>
        <v>NA</v>
      </c>
      <c r="BE100" s="254" t="s">
        <v>103</v>
      </c>
      <c r="BF100" s="255" t="str">
        <f>IFERROR(BE100/'Summary Table'!AG116, "NA")</f>
        <v>NA</v>
      </c>
      <c r="BG100" s="254" t="s">
        <v>103</v>
      </c>
      <c r="BH100" s="255" t="str">
        <f>IFERROR(BG100/'Summary Table'!AH116, "NA")</f>
        <v>NA</v>
      </c>
    </row>
    <row r="101" spans="6:60">
      <c r="F101" s="6" t="s">
        <v>1439</v>
      </c>
      <c r="G101" s="53">
        <f>'Summary Table'!W117-'Summary Table'!C117</f>
        <v>2.1585642931822164</v>
      </c>
      <c r="H101" s="57">
        <f>G101/'Summary Table'!C117</f>
        <v>5.9959071922094272E-2</v>
      </c>
      <c r="I101" s="37">
        <f t="shared" si="109"/>
        <v>3.660687983465266E-3</v>
      </c>
      <c r="J101" s="53">
        <f>'Summary Table'!W117-'Summary Table'!V117</f>
        <v>0.23421951142944408</v>
      </c>
      <c r="K101" s="37">
        <f>J101/'Summary Table'!$T117</f>
        <v>6.6575066557448452E-3</v>
      </c>
      <c r="L101" s="38">
        <f t="shared" si="110"/>
        <v>1.4912768552879905E-3</v>
      </c>
      <c r="Q101" s="1">
        <f>'Summary Table'!N117-'Summary Table'!M117</f>
        <v>-0.76407991370712125</v>
      </c>
      <c r="R101" s="88">
        <f>Q101/'Summary Table'!M117</f>
        <v>-2.1432771121367693E-2</v>
      </c>
      <c r="S101" s="1">
        <f>'Summary Table'!O117-'Summary Table'!N117</f>
        <v>2.2011181763679133</v>
      </c>
      <c r="T101" s="88">
        <f>S101/'Summary Table'!N117</f>
        <v>6.3094606431363873E-2</v>
      </c>
      <c r="U101" s="1">
        <f>'Summary Table'!P117-'Summary Table'!O117</f>
        <v>-3.8233626276058601</v>
      </c>
      <c r="V101" s="88">
        <f>U101/'Summary Table'!O117</f>
        <v>-0.10309140333091153</v>
      </c>
      <c r="W101" s="749">
        <f>'Summary Table'!Q117-'Summary Table'!P117</f>
        <v>-1.3366020306552819</v>
      </c>
      <c r="X101" s="746">
        <f>IFERROR(W101/'Summary Table'!P117, "NA")</f>
        <v>-4.0181939064818852E-2</v>
      </c>
      <c r="Y101" s="749">
        <f>'Summary Table'!R117-'Summary Table'!Q117</f>
        <v>1.1487715701737109</v>
      </c>
      <c r="Z101" s="746">
        <f>IFERROR(Y101/'Summary Table'!Q117, "NA")</f>
        <v>3.5981025362744549E-2</v>
      </c>
      <c r="AA101" s="749">
        <f>'Summary Table'!S117-'Summary Table'!R117</f>
        <v>5.6831570317882552E-2</v>
      </c>
      <c r="AB101" s="746">
        <f>IFERROR(AA101/'Summary Table'!R117, "NA")</f>
        <v>1.7182158123940493E-3</v>
      </c>
      <c r="AC101" s="749">
        <f>'Summary Table'!T117-'Summary Table'!S117</f>
        <v>2.0485133505069868</v>
      </c>
      <c r="AD101" s="746">
        <f>IFERROR(AC101/'Summary Table'!S117, "NA")</f>
        <v>6.1827442549307506E-2</v>
      </c>
      <c r="AE101" s="749">
        <f>'Summary Table'!U117-'Summary Table'!T117</f>
        <v>1.5203843685323122</v>
      </c>
      <c r="AF101" s="746">
        <f>IFERROR(AE101/'Summary Table'!T117, "NA")</f>
        <v>4.3215738052819815E-2</v>
      </c>
      <c r="AG101" s="749">
        <f>'Summary Table'!V117-'Summary Table'!U117</f>
        <v>1.2233234106413349</v>
      </c>
      <c r="AH101" s="746">
        <f>IFERROR(AG101/'Summary Table'!U117, "NA")</f>
        <v>3.3331564220693971E-2</v>
      </c>
      <c r="AI101" s="749">
        <f>'Summary Table'!W117-'Summary Table'!V117</f>
        <v>0.23421951142944408</v>
      </c>
      <c r="AJ101" s="746">
        <f>IFERROR(AI101/'Summary Table'!V117, "NA")</f>
        <v>6.175864849243486E-3</v>
      </c>
      <c r="AK101" s="749">
        <f>'Summary Table'!X117-'Summary Table'!W117</f>
        <v>0.78379111142091773</v>
      </c>
      <c r="AL101" s="746">
        <f>IFERROR(AK101/'Summary Table'!W117, "NA")</f>
        <v>2.054003366677367E-2</v>
      </c>
      <c r="AM101" s="749">
        <f>'Summary Table'!Y117-'Summary Table'!X117</f>
        <v>2.4350249504485078</v>
      </c>
      <c r="AN101" s="746">
        <f>IFERROR(AM101/'Summary Table'!X117, "NA")</f>
        <v>6.2527949472462124E-2</v>
      </c>
      <c r="AO101" s="749">
        <f>'Summary Table'!Z117-'Summary Table'!Y117</f>
        <v>5.6712374617569026</v>
      </c>
      <c r="AP101" s="746">
        <f>IFERROR(AO101/'Summary Table'!Y117, "NA")</f>
        <v>0.13705921511517027</v>
      </c>
      <c r="AQ101" s="749">
        <f>'Summary Table'!AA117-'Summary Table'!Z117</f>
        <v>-6.8111239887450594</v>
      </c>
      <c r="AR101" s="746">
        <f>IFERROR(AQ101/'Summary Table'!Z117, "NA")</f>
        <v>-0.14476584588185903</v>
      </c>
      <c r="AS101" s="749">
        <f>'Summary Table'!AB117-'Summary Table'!AA117</f>
        <v>-0.83221745893978749</v>
      </c>
      <c r="AT101" s="746">
        <f>IFERROR(AS101/'Summary Table'!AA117, "NA")</f>
        <v>-2.0682313288772694E-2</v>
      </c>
      <c r="AU101" s="749">
        <f>'Summary Table'!AC117-'Summary Table'!AB117</f>
        <v>0.65290213085298632</v>
      </c>
      <c r="AV101" s="746">
        <f>IFERROR(AU101/'Summary Table'!AB117, "NA")</f>
        <v>1.6568636796309658E-2</v>
      </c>
      <c r="AW101" s="749">
        <f>'Summary Table'!AD117-'Summary Table'!AC117</f>
        <v>2.1989519381912501</v>
      </c>
      <c r="AX101" s="746">
        <f>IFERROR(AW101/'Summary Table'!AC117, "NA")</f>
        <v>5.4893095546947511E-2</v>
      </c>
      <c r="AY101" s="749">
        <f>'Summary Table'!AE117-'Summary Table'!AD117</f>
        <v>8.657674874071482</v>
      </c>
      <c r="AZ101" s="255">
        <f>IFERROR(AY101/'Summary Table'!AD117, "NA")</f>
        <v>0.20487775557125035</v>
      </c>
      <c r="BA101" s="749">
        <f>'Summary Table'!AF117-'Summary Table'!AE117</f>
        <v>8.0133337827196556</v>
      </c>
      <c r="BB101" s="255">
        <f>IFERROR(BA101/'Summary Table'!AE117, "NA")</f>
        <v>0.15738516066726949</v>
      </c>
      <c r="BC101" s="749">
        <f>'Summary Table'!AG117-'Summary Table'!AF117</f>
        <v>-0.27497354790806128</v>
      </c>
      <c r="BD101" s="255">
        <f>IFERROR(BC101/'Summary Table'!AF117, "NA")</f>
        <v>-4.6662022234057413E-3</v>
      </c>
      <c r="BE101" s="749">
        <f>'Summary Table'!AH117-'Summary Table'!AG117</f>
        <v>6.5372216026941743</v>
      </c>
      <c r="BF101" s="255">
        <f>IFERROR(BE101/'Summary Table'!AG117, "NA")</f>
        <v>0.11145436833655056</v>
      </c>
      <c r="BG101" s="749">
        <f>'Summary Table'!AI117-'Summary Table'!AH117</f>
        <v>4.9702926695479732</v>
      </c>
      <c r="BH101" s="255">
        <f>IFERROR(BG101/'Summary Table'!AH117, "NA")</f>
        <v>7.6241988178085085E-2</v>
      </c>
    </row>
    <row r="102" spans="6:60">
      <c r="F102" s="6" t="s">
        <v>1440</v>
      </c>
      <c r="G102" s="53">
        <f>'Summary Table'!W118-'Summary Table'!C118</f>
        <v>225.51206413042814</v>
      </c>
      <c r="H102" s="57">
        <f>G102/'Summary Table'!C118</f>
        <v>0.15737682683829415</v>
      </c>
      <c r="I102" s="37">
        <f t="shared" si="109"/>
        <v>0.38244369458724259</v>
      </c>
      <c r="J102" s="53">
        <f>'Summary Table'!W118-'Summary Table'!V118</f>
        <v>7.8997285331429339</v>
      </c>
      <c r="K102" s="37">
        <f>J102/'Summary Table'!$T118</f>
        <v>4.3272994805758705E-3</v>
      </c>
      <c r="L102" s="38">
        <f t="shared" si="110"/>
        <v>5.0297612921470891E-2</v>
      </c>
      <c r="Q102" s="1">
        <f>'Summary Table'!N118-'Summary Table'!M118</f>
        <v>-28.973743720505126</v>
      </c>
      <c r="R102" s="88">
        <f>Q102/'Summary Table'!M118</f>
        <v>-1.6494670669317368E-2</v>
      </c>
      <c r="S102" s="1">
        <f>'Summary Table'!O118-'Summary Table'!N118</f>
        <v>38.353158004446186</v>
      </c>
      <c r="T102" s="88">
        <f>S102/'Summary Table'!N118</f>
        <v>2.2200535314248766E-2</v>
      </c>
      <c r="U102" s="1">
        <f>'Summary Table'!P118-'Summary Table'!O118</f>
        <v>12.789305276296773</v>
      </c>
      <c r="V102" s="88">
        <f>U102/'Summary Table'!O118</f>
        <v>7.2422442369768887E-3</v>
      </c>
      <c r="W102" s="749">
        <f>'Summary Table'!Q118-'Summary Table'!P118</f>
        <v>34.573025892848591</v>
      </c>
      <c r="X102" s="746">
        <f>IFERROR(W102/'Summary Table'!P118, "NA")</f>
        <v>1.943701958757103E-2</v>
      </c>
      <c r="Y102" s="749">
        <f>'Summary Table'!R118-'Summary Table'!Q118</f>
        <v>12.182686886466627</v>
      </c>
      <c r="Z102" s="746">
        <f>IFERROR(Y102/'Summary Table'!Q118, "NA")</f>
        <v>6.7185408610241316E-3</v>
      </c>
      <c r="AA102" s="749">
        <f>'Summary Table'!S118-'Summary Table'!R118</f>
        <v>0.52400554012933753</v>
      </c>
      <c r="AB102" s="746">
        <f>IFERROR(AA102/'Summary Table'!R118, "NA")</f>
        <v>2.8705141497802246E-4</v>
      </c>
      <c r="AC102" s="749">
        <f>'Summary Table'!T118-'Summary Table'!S118</f>
        <v>-0.44402231315461904</v>
      </c>
      <c r="AD102" s="746">
        <f>IFERROR(AC102/'Summary Table'!S118, "NA")</f>
        <v>-2.4316662179088826E-4</v>
      </c>
      <c r="AE102" s="749">
        <f>'Summary Table'!U118-'Summary Table'!T118</f>
        <v>-102.57655812585608</v>
      </c>
      <c r="AF102" s="746">
        <f>IFERROR(AE102/'Summary Table'!T118, "NA")</f>
        <v>-5.6189207620869805E-2</v>
      </c>
      <c r="AG102" s="749">
        <f>'Summary Table'!V118-'Summary Table'!U118</f>
        <v>-72.42407267563226</v>
      </c>
      <c r="AH102" s="746">
        <f>IFERROR(AG102/'Summary Table'!U118, "NA")</f>
        <v>-4.2034200279290328E-2</v>
      </c>
      <c r="AI102" s="749">
        <f>'Summary Table'!W118-'Summary Table'!V118</f>
        <v>7.8997285331429339</v>
      </c>
      <c r="AJ102" s="746">
        <f>IFERROR(AI102/'Summary Table'!V118, "NA")</f>
        <v>4.7861026486492571E-3</v>
      </c>
      <c r="AK102" s="749">
        <f>'Summary Table'!X118-'Summary Table'!W118</f>
        <v>-27.020753390433583</v>
      </c>
      <c r="AL102" s="746">
        <f>IFERROR(AK102/'Summary Table'!W118, "NA")</f>
        <v>-1.6292723060499163E-2</v>
      </c>
      <c r="AM102" s="749">
        <f>'Summary Table'!Y118-'Summary Table'!X118</f>
        <v>-13.411253741348446</v>
      </c>
      <c r="AN102" s="746">
        <f>IFERROR(AM102/'Summary Table'!X118, "NA")</f>
        <v>-8.2205280790329151E-3</v>
      </c>
      <c r="AO102" s="749">
        <f>'Summary Table'!Z118-'Summary Table'!Y118</f>
        <v>3.9733512938146305</v>
      </c>
      <c r="AP102" s="746">
        <f>IFERROR(AO102/'Summary Table'!Y118, "NA")</f>
        <v>2.4556823372593991E-3</v>
      </c>
      <c r="AQ102" s="749">
        <f>'Summary Table'!AA118-'Summary Table'!Z118</f>
        <v>45.111933479923891</v>
      </c>
      <c r="AR102" s="746">
        <f>IFERROR(AQ102/'Summary Table'!Z118, "NA")</f>
        <v>2.7812593092638432E-2</v>
      </c>
      <c r="AS102" s="749">
        <f>'Summary Table'!AB118-'Summary Table'!AA118</f>
        <v>11.866648776391003</v>
      </c>
      <c r="AT102" s="746">
        <f>IFERROR(AS102/'Summary Table'!AA118, "NA")</f>
        <v>7.1181017998047632E-3</v>
      </c>
      <c r="AU102" s="749">
        <f>'Summary Table'!AC118-'Summary Table'!AB118</f>
        <v>38.872481851385146</v>
      </c>
      <c r="AV102" s="746">
        <f>IFERROR(AU102/'Summary Table'!AB118, "NA")</f>
        <v>2.31525043125172E-2</v>
      </c>
      <c r="AW102" s="749">
        <f>'Summary Table'!AD118-'Summary Table'!AC118</f>
        <v>20.202327220567213</v>
      </c>
      <c r="AX102" s="746">
        <f>IFERROR(AW102/'Summary Table'!AC118, "NA")</f>
        <v>1.1760254868541289E-2</v>
      </c>
      <c r="AY102" s="749">
        <f>'Summary Table'!AE118-'Summary Table'!AD118</f>
        <v>24.169149732525057</v>
      </c>
      <c r="AZ102" s="255">
        <f>IFERROR(AY102/'Summary Table'!AD118, "NA")</f>
        <v>1.390589961733096E-2</v>
      </c>
      <c r="BA102" s="749">
        <f>'Summary Table'!AF118-'Summary Table'!AE118</f>
        <v>-4.5123086565070025</v>
      </c>
      <c r="BB102" s="255">
        <f>IFERROR(BA102/'Summary Table'!AE118, "NA")</f>
        <v>-2.5605830529001452E-3</v>
      </c>
      <c r="BC102" s="749">
        <f>'Summary Table'!AG118-'Summary Table'!AF118</f>
        <v>-243.54049428678991</v>
      </c>
      <c r="BD102" s="255">
        <f>IFERROR(BC102/'Summary Table'!AF118, "NA")</f>
        <v>-0.13855580441624349</v>
      </c>
      <c r="BE102" s="749">
        <f>'Summary Table'!AH118-'Summary Table'!AG118</f>
        <v>174.18849724239362</v>
      </c>
      <c r="BF102" s="255">
        <f>IFERROR(BE102/'Summary Table'!AG118, "NA")</f>
        <v>0.11503920302061774</v>
      </c>
      <c r="BG102" s="749">
        <f>'Summary Table'!AI118-'Summary Table'!AH118</f>
        <v>22.246976719548002</v>
      </c>
      <c r="BH102" s="255">
        <f>IFERROR(BG102/'Summary Table'!AH118, "NA")</f>
        <v>1.3176718118764759E-2</v>
      </c>
    </row>
    <row r="103" spans="6:60">
      <c r="F103" s="5" t="s">
        <v>1474</v>
      </c>
      <c r="G103" s="51">
        <f>'Summary Table'!W119-'Summary Table'!C119</f>
        <v>438.68840271486715</v>
      </c>
      <c r="H103" s="113">
        <f>G103/'Summary Table'!C119</f>
        <v>0.24104412794762625</v>
      </c>
      <c r="I103" s="35">
        <f t="shared" si="109"/>
        <v>0.74396735338210396</v>
      </c>
      <c r="J103" s="51">
        <f>'Summary Table'!W119-'Summary Table'!V119</f>
        <v>113.29309129691546</v>
      </c>
      <c r="K103" s="35">
        <f>J103/'Summary Table'!$T119</f>
        <v>4.6987407315411019E-2</v>
      </c>
      <c r="L103" s="36">
        <f t="shared" si="110"/>
        <v>0.72133770531757746</v>
      </c>
      <c r="Q103" s="5">
        <f>'Summary Table'!N119-'Summary Table'!M119</f>
        <v>-38.967988408569909</v>
      </c>
      <c r="R103" s="666">
        <f>Q103/'Summary Table'!M119</f>
        <v>-1.6970851482123461E-2</v>
      </c>
      <c r="S103" s="5">
        <f>'Summary Table'!O119-'Summary Table'!N119</f>
        <v>15.023415568520704</v>
      </c>
      <c r="T103" s="666">
        <f>S103/'Summary Table'!N119</f>
        <v>6.6557642464347604E-3</v>
      </c>
      <c r="U103" s="5">
        <f>'Summary Table'!P119-'Summary Table'!O119</f>
        <v>31.45128047057915</v>
      </c>
      <c r="V103" s="666">
        <f>U103/'Summary Table'!O119</f>
        <v>1.3841609623418606E-2</v>
      </c>
      <c r="W103" s="747">
        <f>'Summary Table'!Q119-'Summary Table'!P119</f>
        <v>31.404283051656421</v>
      </c>
      <c r="X103" s="748">
        <f>IFERROR(W103/'Summary Table'!P119, "NA")</f>
        <v>1.3632234143839654E-2</v>
      </c>
      <c r="Y103" s="747">
        <f>'Summary Table'!R119-'Summary Table'!Q119</f>
        <v>64.974823807044686</v>
      </c>
      <c r="Z103" s="748">
        <f>IFERROR(Y103/'Summary Table'!Q119, "NA")</f>
        <v>2.7825491948976145E-2</v>
      </c>
      <c r="AA103" s="747">
        <f>'Summary Table'!S119-'Summary Table'!R119</f>
        <v>-55.661950890557364</v>
      </c>
      <c r="AB103" s="748">
        <f>IFERROR(AA103/'Summary Table'!R119, "NA")</f>
        <v>-2.3191924036644284E-2</v>
      </c>
      <c r="AC103" s="747">
        <f>'Summary Table'!T119-'Summary Table'!S119</f>
        <v>66.741784157850816</v>
      </c>
      <c r="AD103" s="748">
        <f>IFERROR(AC103/'Summary Table'!S119, "NA")</f>
        <v>2.8468653505162655E-2</v>
      </c>
      <c r="AE103" s="747">
        <f>'Summary Table'!U119-'Summary Table'!T119</f>
        <v>-51.805227195783573</v>
      </c>
      <c r="AF103" s="748">
        <f>IFERROR(AE103/'Summary Table'!T119, "NA")</f>
        <v>-2.1485805387163662E-2</v>
      </c>
      <c r="AG103" s="747">
        <f>'Summary Table'!V119-'Summary Table'!U119</f>
        <v>-213.9861909557053</v>
      </c>
      <c r="AH103" s="748">
        <f>IFERROR(AG103/'Summary Table'!U119, "NA")</f>
        <v>-9.0697783371571264E-2</v>
      </c>
      <c r="AI103" s="747">
        <f>'Summary Table'!W119-'Summary Table'!V119</f>
        <v>113.29309129691546</v>
      </c>
      <c r="AJ103" s="748">
        <f>IFERROR(AI103/'Summary Table'!V119, "NA")</f>
        <v>5.2808776084531724E-2</v>
      </c>
      <c r="AK103" s="747">
        <f>'Summary Table'!X119-'Summary Table'!W119</f>
        <v>-100.57185128681385</v>
      </c>
      <c r="AL103" s="748">
        <f>IFERROR(AK103/'Summary Table'!W119, "NA")</f>
        <v>-4.4527634403133315E-2</v>
      </c>
      <c r="AM103" s="747">
        <f>'Summary Table'!Y119-'Summary Table'!X119</f>
        <v>-134.81132381740804</v>
      </c>
      <c r="AN103" s="748">
        <f>IFERROR(AM103/'Summary Table'!X119, "NA")</f>
        <v>-6.2468549412008828E-2</v>
      </c>
      <c r="AO103" s="747">
        <f>'Summary Table'!Z119-'Summary Table'!Y119</f>
        <v>15.014310597390931</v>
      </c>
      <c r="AP103" s="748">
        <f>IFERROR(AO103/'Summary Table'!Y119, "NA")</f>
        <v>7.420866146343727E-3</v>
      </c>
      <c r="AQ103" s="747">
        <f>'Summary Table'!AA119-'Summary Table'!Z119</f>
        <v>-1.1042786006696588</v>
      </c>
      <c r="AR103" s="748">
        <f>IFERROR(AQ103/'Summary Table'!Z119, "NA")</f>
        <v>-5.4177244995435323E-4</v>
      </c>
      <c r="AS103" s="747">
        <f>'Summary Table'!AB119-'Summary Table'!AA119</f>
        <v>-136.52805937080097</v>
      </c>
      <c r="AT103" s="748">
        <f>IFERROR(AS103/'Summary Table'!AA119, "NA")</f>
        <v>-6.7018627590604646E-2</v>
      </c>
      <c r="AU103" s="747">
        <f>'Summary Table'!AC119-'Summary Table'!AB119</f>
        <v>-91.766273591435265</v>
      </c>
      <c r="AV103" s="748">
        <f>IFERROR(AU103/'Summary Table'!AB119, "NA")</f>
        <v>-4.8281831548741272E-2</v>
      </c>
      <c r="AW103" s="747">
        <f>'Summary Table'!AD119-'Summary Table'!AC119</f>
        <v>-76.83879753823976</v>
      </c>
      <c r="AX103" s="748">
        <f>IFERROR(AW103/'Summary Table'!AC119, "NA")</f>
        <v>-4.2478858702386206E-2</v>
      </c>
      <c r="AY103" s="747">
        <f>'Summary Table'!AE119-'Summary Table'!AD119</f>
        <v>21.399649693926222</v>
      </c>
      <c r="AZ103" s="980">
        <f>IFERROR(AY103/'Summary Table'!AD119, "NA")</f>
        <v>1.2355222546334903E-2</v>
      </c>
      <c r="BA103" s="747">
        <f>'Summary Table'!AF119-'Summary Table'!AE119</f>
        <v>-146.71157242407776</v>
      </c>
      <c r="BB103" s="980">
        <f>IFERROR(BA103/'Summary Table'!AE119, "NA")</f>
        <v>-8.3671075708362297E-2</v>
      </c>
      <c r="BC103" s="747">
        <f>'Summary Table'!AG119-'Summary Table'!AF119</f>
        <v>-167.15508181253381</v>
      </c>
      <c r="BD103" s="980">
        <f>IFERROR(BC103/'Summary Table'!AF119, "NA")</f>
        <v>-0.10403492769764269</v>
      </c>
      <c r="BE103" s="747">
        <f>'Summary Table'!AH119-'Summary Table'!AG119</f>
        <v>101.36706594777934</v>
      </c>
      <c r="BF103" s="980">
        <f>IFERROR(BE103/'Summary Table'!AG119, "NA")</f>
        <v>7.0415032095318686E-2</v>
      </c>
      <c r="BG103" s="747">
        <f>'Summary Table'!AI119-'Summary Table'!AH119</f>
        <v>-9.2527024495095702</v>
      </c>
      <c r="BH103" s="980">
        <f>IFERROR(BG103/'Summary Table'!AH119, "NA")</f>
        <v>-6.0046113435313856E-3</v>
      </c>
    </row>
    <row r="104" spans="6:60">
      <c r="F104" s="6" t="s">
        <v>1435</v>
      </c>
      <c r="G104" s="53">
        <f>'Summary Table'!W120-'Summary Table'!C120</f>
        <v>280.73137379088848</v>
      </c>
      <c r="H104" s="57">
        <f>G104/'Summary Table'!C120</f>
        <v>0.18152528728802564</v>
      </c>
      <c r="I104" s="37">
        <f t="shared" si="109"/>
        <v>0.47608957947830283</v>
      </c>
      <c r="J104" s="53">
        <f>'Summary Table'!W120-'Summary Table'!V120</f>
        <v>87.09257038298847</v>
      </c>
      <c r="K104" s="37">
        <f>J104/'Summary Table'!$T120</f>
        <v>4.3847743131499924E-2</v>
      </c>
      <c r="L104" s="38">
        <f t="shared" si="110"/>
        <v>0.55451885151257185</v>
      </c>
      <c r="Q104" s="1">
        <f>'Summary Table'!N120-'Summary Table'!M120</f>
        <v>-57.530620656511701</v>
      </c>
      <c r="R104" s="88">
        <f>Q104/'Summary Table'!M120</f>
        <v>-2.9864857723314646E-2</v>
      </c>
      <c r="S104" s="1">
        <f>'Summary Table'!O120-'Summary Table'!N120</f>
        <v>20.060155547809245</v>
      </c>
      <c r="T104" s="88">
        <f>S104/'Summary Table'!N120</f>
        <v>1.0734045953380128E-2</v>
      </c>
      <c r="U104" s="1">
        <f>'Summary Table'!P120-'Summary Table'!O120</f>
        <v>41.061990855768272</v>
      </c>
      <c r="V104" s="88">
        <f>U104/'Summary Table'!O120</f>
        <v>2.1738634518555039E-2</v>
      </c>
      <c r="W104" s="749">
        <f>'Summary Table'!Q120-'Summary Table'!P120</f>
        <v>12.063138577960444</v>
      </c>
      <c r="X104" s="746">
        <f>IFERROR(W104/'Summary Table'!P120, "NA")</f>
        <v>6.2504712298523538E-3</v>
      </c>
      <c r="Y104" s="749">
        <f>'Summary Table'!R120-'Summary Table'!Q120</f>
        <v>40.751569089394025</v>
      </c>
      <c r="Z104" s="746">
        <f>IFERROR(Y104/'Summary Table'!Q120, "NA")</f>
        <v>2.0984116186668872E-2</v>
      </c>
      <c r="AA104" s="749">
        <f>'Summary Table'!S120-'Summary Table'!R120</f>
        <v>-30.081848692020685</v>
      </c>
      <c r="AB104" s="746">
        <f>IFERROR(AA104/'Summary Table'!R120, "NA")</f>
        <v>-1.5171617455810145E-2</v>
      </c>
      <c r="AC104" s="749">
        <f>'Summary Table'!T120-'Summary Table'!S120</f>
        <v>33.56026641090034</v>
      </c>
      <c r="AD104" s="746">
        <f>IFERROR(AC104/'Summary Table'!S120, "NA")</f>
        <v>1.7186688454776722E-2</v>
      </c>
      <c r="AE104" s="749">
        <f>'Summary Table'!U120-'Summary Table'!T120</f>
        <v>-27.862179215610013</v>
      </c>
      <c r="AF104" s="746">
        <f>IFERROR(AE104/'Summary Table'!T120, "NA")</f>
        <v>-1.4027530384710217E-2</v>
      </c>
      <c r="AG104" s="749">
        <f>'Summary Table'!V120-'Summary Table'!U120</f>
        <v>-218.23493688917279</v>
      </c>
      <c r="AH104" s="746">
        <f>IFERROR(AG104/'Summary Table'!U120, "NA")</f>
        <v>-0.11143602839686595</v>
      </c>
      <c r="AI104" s="749">
        <f>'Summary Table'!W120-'Summary Table'!V120</f>
        <v>87.09257038298847</v>
      </c>
      <c r="AJ104" s="746">
        <f>IFERROR(AI104/'Summary Table'!V120, "NA")</f>
        <v>5.0048810039641303E-2</v>
      </c>
      <c r="AK104" s="749">
        <f>'Summary Table'!X120-'Summary Table'!W120</f>
        <v>-104.87536906450896</v>
      </c>
      <c r="AL104" s="746">
        <f>IFERROR(AK104/'Summary Table'!W120, "NA")</f>
        <v>-5.7395343980151392E-2</v>
      </c>
      <c r="AM104" s="749">
        <f>'Summary Table'!Y120-'Summary Table'!X120</f>
        <v>-210.67676499424874</v>
      </c>
      <c r="AN104" s="746">
        <f>IFERROR(AM104/'Summary Table'!X120, "NA")</f>
        <v>-0.12231795771334335</v>
      </c>
      <c r="AO104" s="749">
        <f>'Summary Table'!Z120-'Summary Table'!Y120</f>
        <v>59.558021827258926</v>
      </c>
      <c r="AP104" s="746">
        <f>IFERROR(AO104/'Summary Table'!Y120, "NA")</f>
        <v>3.9398222832309142E-2</v>
      </c>
      <c r="AQ104" s="749">
        <f>'Summary Table'!AA120-'Summary Table'!Z120</f>
        <v>-2.6949534877824135</v>
      </c>
      <c r="AR104" s="746">
        <f>IFERROR(AQ104/'Summary Table'!Z120, "NA")</f>
        <v>-1.7151640758080885E-3</v>
      </c>
      <c r="AS104" s="749">
        <f>'Summary Table'!AB120-'Summary Table'!AA120</f>
        <v>-217.16776229352945</v>
      </c>
      <c r="AT104" s="746">
        <f>IFERROR(AS104/'Summary Table'!AA120, "NA")</f>
        <v>-0.13845073954377232</v>
      </c>
      <c r="AU104" s="749">
        <f>'Summary Table'!AC120-'Summary Table'!AB120</f>
        <v>-109.37174928860281</v>
      </c>
      <c r="AV104" s="746">
        <f>IFERROR(AU104/'Summary Table'!AB120, "NA")</f>
        <v>-8.093287492226546E-2</v>
      </c>
      <c r="AW104" s="749">
        <f>'Summary Table'!AD120-'Summary Table'!AC120</f>
        <v>-34.949923033935875</v>
      </c>
      <c r="AX104" s="746">
        <f>IFERROR(AW104/'Summary Table'!AC120, "NA")</f>
        <v>-2.8139657135101005E-2</v>
      </c>
      <c r="AY104" s="749">
        <f>'Summary Table'!AE120-'Summary Table'!AD120</f>
        <v>-54.190316245638769</v>
      </c>
      <c r="AZ104" s="255">
        <f>IFERROR(AY104/'Summary Table'!AD120, "NA")</f>
        <v>-4.4894217098071523E-2</v>
      </c>
      <c r="BA104" s="749">
        <f>'Summary Table'!AF120-'Summary Table'!AE120</f>
        <v>-179.33664065835399</v>
      </c>
      <c r="BB104" s="255">
        <f>IFERROR(BA104/'Summary Table'!AE120, "NA")</f>
        <v>-0.15555582287342332</v>
      </c>
      <c r="BC104" s="749">
        <f>'Summary Table'!AG120-'Summary Table'!AF120</f>
        <v>-185.38015598964785</v>
      </c>
      <c r="BD104" s="255">
        <f>IFERROR(BC104/'Summary Table'!AF120, "NA")</f>
        <v>-0.19041867558294989</v>
      </c>
      <c r="BE104" s="749">
        <f>'Summary Table'!AH120-'Summary Table'!AG120</f>
        <v>121.90483179976081</v>
      </c>
      <c r="BF104" s="255">
        <f>IFERROR(BE104/'Summary Table'!AG120, "NA")</f>
        <v>0.15467023140581188</v>
      </c>
      <c r="BG104" s="749">
        <f>'Summary Table'!AI120-'Summary Table'!AH120</f>
        <v>-58.592401796762033</v>
      </c>
      <c r="BH104" s="255">
        <f>IFERROR(BG104/'Summary Table'!AH120, "NA")</f>
        <v>-6.4382694290433501E-2</v>
      </c>
    </row>
    <row r="105" spans="6:60">
      <c r="F105" s="6" t="s">
        <v>1439</v>
      </c>
      <c r="G105" s="53">
        <f>'Summary Table'!W121-'Summary Table'!C121</f>
        <v>224.17804802308478</v>
      </c>
      <c r="H105" s="57">
        <f>G105/'Summary Table'!C121</f>
        <v>1.2783873077696897</v>
      </c>
      <c r="I105" s="37">
        <f t="shared" si="109"/>
        <v>0.38018134977345819</v>
      </c>
      <c r="J105" s="53">
        <f>'Summary Table'!W121-'Summary Table'!V121</f>
        <v>26.990336513736111</v>
      </c>
      <c r="K105" s="37">
        <f>J105/'Summary Table'!$T121</f>
        <v>7.2659138560778505E-2</v>
      </c>
      <c r="L105" s="38">
        <f t="shared" si="110"/>
        <v>0.17184761386326211</v>
      </c>
      <c r="Q105" s="1">
        <f>'Summary Table'!N121-'Summary Table'!M121</f>
        <v>8.5375773223748297</v>
      </c>
      <c r="R105" s="88">
        <f>Q105/'Summary Table'!M121</f>
        <v>3.0402198329920572E-2</v>
      </c>
      <c r="S105" s="1">
        <f>'Summary Table'!O121-'Summary Table'!N121</f>
        <v>16.650124168054276</v>
      </c>
      <c r="T105" s="88">
        <f>S105/'Summary Table'!N121</f>
        <v>5.7541481306414108E-2</v>
      </c>
      <c r="U105" s="1">
        <f>'Summary Table'!P121-'Summary Table'!O121</f>
        <v>-27.881357223075895</v>
      </c>
      <c r="V105" s="88">
        <f>U105/'Summary Table'!O121</f>
        <v>-9.11129400460087E-2</v>
      </c>
      <c r="W105" s="749">
        <f>'Summary Table'!Q121-'Summary Table'!P121</f>
        <v>18.622901030756168</v>
      </c>
      <c r="X105" s="746">
        <f>IFERROR(W105/'Summary Table'!P121, "NA")</f>
        <v>6.6958168347737532E-2</v>
      </c>
      <c r="Y105" s="749">
        <f>'Summary Table'!R121-'Summary Table'!Q121</f>
        <v>22.108105166683629</v>
      </c>
      <c r="Z105" s="746">
        <f>IFERROR(Y105/'Summary Table'!Q121, "NA")</f>
        <v>7.4500700951447049E-2</v>
      </c>
      <c r="AA105" s="749">
        <f>'Summary Table'!S121-'Summary Table'!R121</f>
        <v>19.116560422102566</v>
      </c>
      <c r="AB105" s="746">
        <f>IFERROR(AA105/'Summary Table'!R121, "NA")</f>
        <v>5.9953133635312184E-2</v>
      </c>
      <c r="AC105" s="749">
        <f>'Summary Table'!T121-'Summary Table'!S121</f>
        <v>33.490169210597003</v>
      </c>
      <c r="AD105" s="746">
        <f>IFERROR(AC105/'Summary Table'!S121, "NA")</f>
        <v>9.9090680891471175E-2</v>
      </c>
      <c r="AE105" s="749">
        <f>'Summary Table'!U121-'Summary Table'!T121</f>
        <v>-9.3491548554665087</v>
      </c>
      <c r="AF105" s="746">
        <f>IFERROR(AE105/'Summary Table'!T121, "NA")</f>
        <v>-2.5168324141634963E-2</v>
      </c>
      <c r="AG105" s="749">
        <f>'Summary Table'!V121-'Summary Table'!U121</f>
        <v>10.431773030003569</v>
      </c>
      <c r="AH105" s="746">
        <f>IFERROR(AG105/'Summary Table'!U121, "NA")</f>
        <v>2.8807823132864747E-2</v>
      </c>
      <c r="AI105" s="749">
        <f>'Summary Table'!W121-'Summary Table'!V121</f>
        <v>26.990336513736111</v>
      </c>
      <c r="AJ105" s="746">
        <f>IFERROR(AI105/'Summary Table'!V121, "NA")</f>
        <v>7.2447992193997002E-2</v>
      </c>
      <c r="AK105" s="749">
        <f>'Summary Table'!X121-'Summary Table'!W121</f>
        <v>9.891531475841532</v>
      </c>
      <c r="AL105" s="746">
        <f>IFERROR(AK105/'Summary Table'!W121, "NA")</f>
        <v>2.4757418127402075E-2</v>
      </c>
      <c r="AM105" s="749">
        <f>'Summary Table'!Y121-'Summary Table'!X121</f>
        <v>83.362577902609644</v>
      </c>
      <c r="AN105" s="746">
        <f>IFERROR(AM105/'Summary Table'!X121, "NA")</f>
        <v>0.20360661309279274</v>
      </c>
      <c r="AO105" s="749">
        <f>'Summary Table'!Z121-'Summary Table'!Y121</f>
        <v>-48.626262694473553</v>
      </c>
      <c r="AP105" s="746">
        <f>IFERROR(AO105/'Summary Table'!Y121, "NA")</f>
        <v>-9.8674985235486137E-2</v>
      </c>
      <c r="AQ105" s="749">
        <f>'Summary Table'!AA121-'Summary Table'!Z121</f>
        <v>-1.2839276455515574</v>
      </c>
      <c r="AR105" s="746">
        <f>IFERROR(AQ105/'Summary Table'!Z121, "NA")</f>
        <v>-2.8906486256550278E-3</v>
      </c>
      <c r="AS105" s="749">
        <f>'Summary Table'!AB121-'Summary Table'!AA121</f>
        <v>82.278534747723086</v>
      </c>
      <c r="AT105" s="746">
        <f>IFERROR(AS105/'Summary Table'!AA121, "NA")</f>
        <v>0.18577980961003479</v>
      </c>
      <c r="AU105" s="749">
        <f>'Summary Table'!AC121-'Summary Table'!AB121</f>
        <v>19.831591407057772</v>
      </c>
      <c r="AV105" s="746">
        <f>IFERROR(AU105/'Summary Table'!AB121, "NA")</f>
        <v>3.7762912232851296E-2</v>
      </c>
      <c r="AW105" s="749">
        <f>'Summary Table'!AD121-'Summary Table'!AC121</f>
        <v>-39.357471463839943</v>
      </c>
      <c r="AX105" s="746">
        <f>IFERROR(AW105/'Summary Table'!AC121, "NA")</f>
        <v>-7.2216586523590184E-2</v>
      </c>
      <c r="AY105" s="749">
        <f>'Summary Table'!AE121-'Summary Table'!AD121</f>
        <v>72.300803372199084</v>
      </c>
      <c r="AZ105" s="255">
        <f>IFERROR(AY105/'Summary Table'!AD121, "NA")</f>
        <v>0.14299020418919242</v>
      </c>
      <c r="BA105" s="749">
        <f>'Summary Table'!AF121-'Summary Table'!AE121</f>
        <v>38.713226303176725</v>
      </c>
      <c r="BB105" s="255">
        <f>IFERROR(BA105/'Summary Table'!AE121, "NA")</f>
        <v>6.6985379359504438E-2</v>
      </c>
      <c r="BC105" s="749">
        <f>'Summary Table'!AG121-'Summary Table'!AF121</f>
        <v>18.200466467180149</v>
      </c>
      <c r="BD105" s="255">
        <f>IFERROR(BC105/'Summary Table'!AF121, "NA")</f>
        <v>2.9515130336898131E-2</v>
      </c>
      <c r="BE105" s="749">
        <f>'Summary Table'!AH121-'Summary Table'!AG121</f>
        <v>-22.071065290779529</v>
      </c>
      <c r="BF105" s="255">
        <f>IFERROR(BE105/'Summary Table'!AG121, "NA")</f>
        <v>-3.4765841703426593E-2</v>
      </c>
      <c r="BG105" s="749">
        <f>'Summary Table'!AI121-'Summary Table'!AH121</f>
        <v>46.527123131866574</v>
      </c>
      <c r="BH105" s="255">
        <f>IFERROR(BG105/'Summary Table'!AH121, "NA")</f>
        <v>7.5928176572787942E-2</v>
      </c>
    </row>
    <row r="106" spans="6:60">
      <c r="F106" s="6" t="s">
        <v>1440</v>
      </c>
      <c r="G106" s="53">
        <f>'Summary Table'!W122-'Summary Table'!C122</f>
        <v>-66.109494120478104</v>
      </c>
      <c r="H106" s="57">
        <f>G106/'Summary Table'!C122</f>
        <v>-0.67777852270748373</v>
      </c>
      <c r="I106" s="37">
        <f t="shared" si="109"/>
        <v>-0.11211444175379619</v>
      </c>
      <c r="J106" s="53">
        <f>'Summary Table'!W122-'Summary Table'!V122</f>
        <v>-0.78243873173971323</v>
      </c>
      <c r="K106" s="37">
        <f>J106/'Summary Table'!$T122</f>
        <v>-1.4772893086043768E-2</v>
      </c>
      <c r="L106" s="38">
        <f t="shared" si="110"/>
        <v>-4.9817915006445486E-3</v>
      </c>
      <c r="Q106" s="1">
        <f>'Summary Table'!N122-'Summary Table'!M122</f>
        <v>10.036592114993368</v>
      </c>
      <c r="R106" s="88">
        <f>Q106/'Summary Table'!M122</f>
        <v>0.11337653148072087</v>
      </c>
      <c r="S106" s="1">
        <f>'Summary Table'!O122-'Summary Table'!N122</f>
        <v>-21.706154276334672</v>
      </c>
      <c r="T106" s="88">
        <f>S106/'Summary Table'!N122</f>
        <v>-0.22023062656157791</v>
      </c>
      <c r="U106" s="1">
        <f>'Summary Table'!P122-'Summary Table'!O122</f>
        <v>18.272773239030556</v>
      </c>
      <c r="V106" s="88">
        <f>U106/'Summary Table'!O122</f>
        <v>0.23775689479684442</v>
      </c>
      <c r="W106" s="749">
        <f>'Summary Table'!Q122-'Summary Table'!P122</f>
        <v>0.71758728333334432</v>
      </c>
      <c r="X106" s="746">
        <f>IFERROR(W106/'Summary Table'!P122, "NA")</f>
        <v>7.543415587984369E-3</v>
      </c>
      <c r="Y106" s="749">
        <f>'Summary Table'!R122-'Summary Table'!Q122</f>
        <v>2.1214755976626662</v>
      </c>
      <c r="Z106" s="746">
        <f>IFERROR(Y106/'Summary Table'!Q122, "NA")</f>
        <v>2.2134390751603492E-2</v>
      </c>
      <c r="AA106" s="749">
        <f>'Summary Table'!S122-'Summary Table'!R122</f>
        <v>-44.690575263957498</v>
      </c>
      <c r="AB106" s="746">
        <f>IFERROR(AA106/'Summary Table'!R122, "NA")</f>
        <v>-0.4561812974580482</v>
      </c>
      <c r="AC106" s="749">
        <f>'Summary Table'!T122-'Summary Table'!S122</f>
        <v>-0.3116335441965532</v>
      </c>
      <c r="AD106" s="746">
        <f>IFERROR(AC106/'Summary Table'!S122, "NA")</f>
        <v>-5.8494036343803299E-3</v>
      </c>
      <c r="AE106" s="749">
        <f>'Summary Table'!U122-'Summary Table'!T122</f>
        <v>-14.577841153173971</v>
      </c>
      <c r="AF106" s="746">
        <f>IFERROR(AE106/'Summary Table'!T122, "NA")</f>
        <v>-0.27523802189895796</v>
      </c>
      <c r="AG106" s="749">
        <f>'Summary Table'!V122-'Summary Table'!U122</f>
        <v>-6.1752124458964133</v>
      </c>
      <c r="AH106" s="746">
        <f>IFERROR(AG106/'Summary Table'!U122, "NA")</f>
        <v>-0.16086876061997871</v>
      </c>
      <c r="AI106" s="749">
        <f>'Summary Table'!W122-'Summary Table'!V122</f>
        <v>-0.78243873173971323</v>
      </c>
      <c r="AJ106" s="746">
        <f>IFERROR(AI106/'Summary Table'!V122, "NA")</f>
        <v>-2.4290713054388395E-2</v>
      </c>
      <c r="AK106" s="749">
        <f>'Summary Table'!X122-'Summary Table'!W122</f>
        <v>-5.5974429034794078</v>
      </c>
      <c r="AL106" s="746">
        <f>IFERROR(AK106/'Summary Table'!W122, "NA")</f>
        <v>-0.17809804690416117</v>
      </c>
      <c r="AM106" s="749">
        <f>'Summary Table'!Y122-'Summary Table'!X122</f>
        <v>-7.4984450712881809</v>
      </c>
      <c r="AN106" s="746">
        <f>IFERROR(AM106/'Summary Table'!X122, "NA")</f>
        <v>-0.29028238761854341</v>
      </c>
      <c r="AO106" s="749">
        <f>'Summary Table'!Z122-'Summary Table'!Y122</f>
        <v>4.0869415285258945</v>
      </c>
      <c r="AP106" s="746">
        <f>IFERROR(AO106/'Summary Table'!Y122, "NA")</f>
        <v>0.22292681623212285</v>
      </c>
      <c r="AQ106" s="749">
        <f>'Summary Table'!AA122-'Summary Table'!Z122</f>
        <v>2.8843195495617522</v>
      </c>
      <c r="AR106" s="746">
        <f>IFERROR(AQ106/'Summary Table'!Z122, "NA")</f>
        <v>0.12864911251032443</v>
      </c>
      <c r="AS106" s="749">
        <f>'Summary Table'!AB122-'Summary Table'!AA122</f>
        <v>-1.6299208378902037</v>
      </c>
      <c r="AT106" s="746">
        <f>IFERROR(AS106/'Summary Table'!AA122, "NA")</f>
        <v>-6.4412623573784883E-2</v>
      </c>
      <c r="AU106" s="749">
        <f>'Summary Table'!AC122-'Summary Table'!AB122</f>
        <v>-2.2164375456981809</v>
      </c>
      <c r="AV106" s="746">
        <f>IFERROR(AU106/'Summary Table'!AB122, "NA")</f>
        <v>-9.3621505702166985E-2</v>
      </c>
      <c r="AW106" s="749">
        <f>'Summary Table'!AD122-'Summary Table'!AC122</f>
        <v>-2.5373718007474473</v>
      </c>
      <c r="AX106" s="746">
        <f>IFERROR(AW106/'Summary Table'!AC122, "NA")</f>
        <v>-0.11824822755842077</v>
      </c>
      <c r="AY106" s="749">
        <f>'Summary Table'!AE122-'Summary Table'!AD122</f>
        <v>3.2950893658569846</v>
      </c>
      <c r="AZ106" s="255">
        <f>IFERROR(AY106/'Summary Table'!AD122, "NA")</f>
        <v>0.17415317117219142</v>
      </c>
      <c r="BA106" s="749">
        <f>'Summary Table'!AF122-'Summary Table'!AE122</f>
        <v>-6.0544203088714177</v>
      </c>
      <c r="BB106" s="255">
        <f>IFERROR(BA106/'Summary Table'!AE122, "NA")</f>
        <v>-0.27252854728189807</v>
      </c>
      <c r="BC106" s="749">
        <f>'Summary Table'!AG122-'Summary Table'!AF122</f>
        <v>4.7962018072844614E-3</v>
      </c>
      <c r="BD106" s="255">
        <f>IFERROR(BC106/'Summary Table'!AF122, "NA")</f>
        <v>2.9677063565944134E-4</v>
      </c>
      <c r="BE106" s="749">
        <f>'Summary Table'!AH122-'Summary Table'!AG122</f>
        <v>1.5471075149021871</v>
      </c>
      <c r="BF106" s="255">
        <f>IFERROR(BE106/'Summary Table'!AG122, "NA")</f>
        <v>9.570069846785792E-2</v>
      </c>
      <c r="BG106" s="749">
        <f>'Summary Table'!AI122-'Summary Table'!AH122</f>
        <v>2.8090369734523719</v>
      </c>
      <c r="BH106" s="255">
        <f>IFERROR(BG106/'Summary Table'!AH122, "NA")</f>
        <v>0.15858427784831181</v>
      </c>
    </row>
    <row r="107" spans="6:60">
      <c r="F107" s="6" t="s">
        <v>82</v>
      </c>
      <c r="G107" s="53">
        <f>'Summary Table'!W123-'Summary Table'!C123</f>
        <v>-0.1115249786283613</v>
      </c>
      <c r="H107" s="57">
        <f>G107/'Summary Table'!C123</f>
        <v>-0.20722080776874161</v>
      </c>
      <c r="I107" s="37">
        <f t="shared" si="109"/>
        <v>-1.8913411586142617E-4</v>
      </c>
      <c r="J107" s="53">
        <f>'Summary Table'!W123-'Summary Table'!V123</f>
        <v>-7.3768680697680056E-3</v>
      </c>
      <c r="K107" s="37">
        <f>J107/'Summary Table'!$T123</f>
        <v>-1.6109779025027044E-2</v>
      </c>
      <c r="L107" s="38">
        <f t="shared" si="110"/>
        <v>-4.6968557614261482E-5</v>
      </c>
      <c r="Q107" s="1">
        <f>'Summary Table'!N123-'Summary Table'!M123</f>
        <v>-1.1537189426930938E-2</v>
      </c>
      <c r="R107" s="88">
        <f>Q107/'Summary Table'!M123</f>
        <v>-2.5023127179869847E-2</v>
      </c>
      <c r="S107" s="1">
        <f>'Summary Table'!O123-'Summary Table'!N123</f>
        <v>1.9290128992286437E-2</v>
      </c>
      <c r="T107" s="88">
        <f>S107/'Summary Table'!N123</f>
        <v>4.2912357835725244E-2</v>
      </c>
      <c r="U107" s="1">
        <f>'Summary Table'!P123-'Summary Table'!O123</f>
        <v>-2.1264011442504449E-3</v>
      </c>
      <c r="V107" s="88">
        <f>U107/'Summary Table'!O123</f>
        <v>-4.5357032151156409E-3</v>
      </c>
      <c r="W107" s="749">
        <f>'Summary Table'!Q123-'Summary Table'!P123</f>
        <v>6.5615960685760921E-4</v>
      </c>
      <c r="X107" s="746">
        <f>IFERROR(W107/'Summary Table'!P123, "NA")</f>
        <v>1.4059932501885261E-3</v>
      </c>
      <c r="Y107" s="749">
        <f>'Summary Table'!R123-'Summary Table'!Q123</f>
        <v>-6.3260466955753492E-3</v>
      </c>
      <c r="Z107" s="746">
        <f>IFERROR(Y107/'Summary Table'!Q123, "NA")</f>
        <v>-1.3536174709064035E-2</v>
      </c>
      <c r="AA107" s="749">
        <f>'Summary Table'!S123-'Summary Table'!R123</f>
        <v>-6.0873566817440383E-3</v>
      </c>
      <c r="AB107" s="746">
        <f>IFERROR(AA107/'Summary Table'!R123, "NA")</f>
        <v>-1.3204171104197011E-2</v>
      </c>
      <c r="AC107" s="749">
        <f>'Summary Table'!T123-'Summary Table'!S123</f>
        <v>2.9820805498024239E-3</v>
      </c>
      <c r="AD107" s="746">
        <f>IFERROR(AC107/'Summary Table'!S123, "NA")</f>
        <v>6.5550266089696232E-3</v>
      </c>
      <c r="AE107" s="749">
        <f>'Summary Table'!U123-'Summary Table'!T123</f>
        <v>-1.6051971532891562E-2</v>
      </c>
      <c r="AF107" s="746">
        <f>IFERROR(AE107/'Summary Table'!T123, "NA")</f>
        <v>-3.5054675217885543E-2</v>
      </c>
      <c r="AG107" s="749">
        <f>'Summary Table'!V123-'Summary Table'!U123</f>
        <v>-7.8146506397039905E-3</v>
      </c>
      <c r="AH107" s="746">
        <f>IFERROR(AG107/'Summary Table'!U123, "NA")</f>
        <v>-1.7685788532006277E-2</v>
      </c>
      <c r="AI107" s="749">
        <f>'Summary Table'!W123-'Summary Table'!V123</f>
        <v>-7.3768680697680056E-3</v>
      </c>
      <c r="AJ107" s="746">
        <f>IFERROR(AI107/'Summary Table'!V123, "NA")</f>
        <v>-1.6995597991158674E-2</v>
      </c>
      <c r="AK107" s="749">
        <f>'Summary Table'!X123-'Summary Table'!W123</f>
        <v>9.4292053333199788E-3</v>
      </c>
      <c r="AL107" s="746">
        <f>IFERROR(AK107/'Summary Table'!W123, "NA")</f>
        <v>2.2099582232143471E-2</v>
      </c>
      <c r="AM107" s="749">
        <f>'Summary Table'!Y123-'Summary Table'!X123</f>
        <v>1.30834551928799E-3</v>
      </c>
      <c r="AN107" s="746">
        <f>IFERROR(AM107/'Summary Table'!X123, "NA")</f>
        <v>3.000117134680986E-3</v>
      </c>
      <c r="AO107" s="749">
        <f>'Summary Table'!Z123-'Summary Table'!Y123</f>
        <v>-4.390063920432008E-3</v>
      </c>
      <c r="AP107" s="746">
        <f>IFERROR(AO107/'Summary Table'!Y123, "NA")</f>
        <v>-1.0036576979669793E-2</v>
      </c>
      <c r="AQ107" s="749">
        <f>'Summary Table'!AA123-'Summary Table'!Z123</f>
        <v>-9.7170168972479654E-3</v>
      </c>
      <c r="AR107" s="746">
        <f>IFERROR(AQ107/'Summary Table'!Z123, "NA")</f>
        <v>-2.2440296221740909E-2</v>
      </c>
      <c r="AS107" s="749">
        <f>'Summary Table'!AB123-'Summary Table'!AA123</f>
        <v>-8.9109871043759892E-3</v>
      </c>
      <c r="AT107" s="746">
        <f>IFERROR(AS107/'Summary Table'!AA123, "NA")</f>
        <v>-2.1051262736525949E-2</v>
      </c>
      <c r="AU107" s="749">
        <f>'Summary Table'!AC123-'Summary Table'!AB123</f>
        <v>-9.6781641922080719E-3</v>
      </c>
      <c r="AV107" s="746">
        <f>IFERROR(AU107/'Summary Table'!AB123, "NA")</f>
        <v>-2.335529577642986E-2</v>
      </c>
      <c r="AW107" s="749">
        <f>'Summary Table'!AD123-'Summary Table'!AC123</f>
        <v>5.9687602833930486E-3</v>
      </c>
      <c r="AX107" s="746">
        <f>IFERROR(AW107/'Summary Table'!AC123, "NA")</f>
        <v>1.4748230738543255E-2</v>
      </c>
      <c r="AY107" s="749">
        <f>'Summary Table'!AE123-'Summary Table'!AD123</f>
        <v>-5.9267984910570393E-3</v>
      </c>
      <c r="AZ107" s="255">
        <f>IFERROR(AY107/'Summary Table'!AD123, "NA")</f>
        <v>-1.4431705082045868E-2</v>
      </c>
      <c r="BA107" s="749">
        <f>'Summary Table'!AF123-'Summary Table'!AE123</f>
        <v>-3.3737760029183939E-2</v>
      </c>
      <c r="BB107" s="255">
        <f>IFERROR(BA107/'Summary Table'!AE123, "NA")</f>
        <v>-8.3354107249111978E-2</v>
      </c>
      <c r="BC107" s="749">
        <f>'Summary Table'!AG123-'Summary Table'!AF123</f>
        <v>1.9811508126647948E-2</v>
      </c>
      <c r="BD107" s="255">
        <f>IFERROR(BC107/'Summary Table'!AF123, "NA")</f>
        <v>5.3398210088114517E-2</v>
      </c>
      <c r="BE107" s="749">
        <f>'Summary Table'!AH123-'Summary Table'!AG123</f>
        <v>-1.3808076104039946E-2</v>
      </c>
      <c r="BF107" s="255">
        <f>IFERROR(BE107/'Summary Table'!AG123, "NA")</f>
        <v>-3.5330497970482898E-2</v>
      </c>
      <c r="BG107" s="749">
        <f>'Summary Table'!AI123-'Summary Table'!AH123</f>
        <v>3.5392419336239822E-3</v>
      </c>
      <c r="BH107" s="255">
        <f>IFERROR(BG107/'Summary Table'!AH123, "NA")</f>
        <v>9.3874640977333248E-3</v>
      </c>
    </row>
    <row r="108" spans="6:60">
      <c r="F108" s="5" t="s">
        <v>1476</v>
      </c>
      <c r="G108" s="51">
        <f>'Summary Table'!W124-'Summary Table'!C124</f>
        <v>14.495157307270205</v>
      </c>
      <c r="H108" s="113">
        <f>G108/'Summary Table'!C124</f>
        <v>0.72446287703166501</v>
      </c>
      <c r="I108" s="35">
        <f t="shared" si="109"/>
        <v>2.4582194906475043E-2</v>
      </c>
      <c r="J108" s="51">
        <f>'Summary Table'!W124-'Summary Table'!V124</f>
        <v>-4.4547173482862803</v>
      </c>
      <c r="K108" s="35">
        <f>J108/'Summary Table'!$T124</f>
        <v>-9.5499408052900969E-2</v>
      </c>
      <c r="L108" s="36">
        <f t="shared" si="110"/>
        <v>-2.8363208674655666E-2</v>
      </c>
      <c r="Q108" s="5">
        <f>'Summary Table'!N124-'Summary Table'!M124</f>
        <v>12.621031484302016</v>
      </c>
      <c r="R108" s="666">
        <f>Q108/'Summary Table'!M124</f>
        <v>0.34083651289138844</v>
      </c>
      <c r="S108" s="5">
        <f>'Summary Table'!O124-'Summary Table'!N124</f>
        <v>-4.4993928089682953</v>
      </c>
      <c r="T108" s="666">
        <f>S108/'Summary Table'!N124</f>
        <v>-9.0621103274562353E-2</v>
      </c>
      <c r="U108" s="5">
        <f>'Summary Table'!P124-'Summary Table'!O124</f>
        <v>5.2128025612376803</v>
      </c>
      <c r="V108" s="666">
        <f>U108/'Summary Table'!O124</f>
        <v>0.11545210075916626</v>
      </c>
      <c r="W108" s="747">
        <f>'Summary Table'!Q124-'Summary Table'!P124</f>
        <v>2.5509764113387732</v>
      </c>
      <c r="X108" s="748">
        <f>IFERROR(W108/'Summary Table'!P124, "NA")</f>
        <v>5.0650773353954993E-2</v>
      </c>
      <c r="Y108" s="747">
        <f>'Summary Table'!R124-'Summary Table'!Q124</f>
        <v>-1.0591391514587158</v>
      </c>
      <c r="Z108" s="748">
        <f>IFERROR(Y108/'Summary Table'!Q124, "NA")</f>
        <v>-2.0015860964014479E-2</v>
      </c>
      <c r="AA108" s="747">
        <f>'Summary Table'!S124-'Summary Table'!R124</f>
        <v>-0.59488479421547424</v>
      </c>
      <c r="AB108" s="748">
        <f>IFERROR(AA108/'Summary Table'!R124, "NA")</f>
        <v>-1.1471892662113329E-2</v>
      </c>
      <c r="AC108" s="747">
        <f>'Summary Table'!T124-'Summary Table'!S124</f>
        <v>-4.6144253971617104</v>
      </c>
      <c r="AD108" s="748">
        <f>IFERROR(AC108/'Summary Table'!S124, "NA")</f>
        <v>-9.0018301318674415E-2</v>
      </c>
      <c r="AE108" s="747">
        <f>'Summary Table'!U124-'Summary Table'!T124</f>
        <v>-8.1828536866889152</v>
      </c>
      <c r="AF108" s="748">
        <f>IFERROR(AE108/'Summary Table'!T124, "NA")</f>
        <v>-0.17542250656215366</v>
      </c>
      <c r="AG108" s="747">
        <f>'Summary Table'!V124-'Summary Table'!U124</f>
        <v>0.49432789492587403</v>
      </c>
      <c r="AH108" s="748">
        <f>IFERROR(AG108/'Summary Table'!U124, "NA")</f>
        <v>1.2851806203346442E-2</v>
      </c>
      <c r="AI108" s="747">
        <f>'Summary Table'!W124-'Summary Table'!V124</f>
        <v>-4.4547173482862803</v>
      </c>
      <c r="AJ108" s="748">
        <f>IFERROR(AI108/'Summary Table'!V124, "NA")</f>
        <v>-0.11434661060556404</v>
      </c>
      <c r="AK108" s="747">
        <f>'Summary Table'!X124-'Summary Table'!W124</f>
        <v>-0.44090741768837205</v>
      </c>
      <c r="AL108" s="748">
        <f>IFERROR(AK108/'Summary Table'!W124, "NA")</f>
        <v>-1.2778702487942148E-2</v>
      </c>
      <c r="AM108" s="747">
        <f>'Summary Table'!Y124-'Summary Table'!X124</f>
        <v>-1.1084932611905174</v>
      </c>
      <c r="AN108" s="748">
        <f>IFERROR(AM108/'Summary Table'!X124, "NA")</f>
        <v>-3.2543023148041313E-2</v>
      </c>
      <c r="AO108" s="747">
        <f>'Summary Table'!Z124-'Summary Table'!Y124</f>
        <v>-4.8255270092656666</v>
      </c>
      <c r="AP108" s="748">
        <f>IFERROR(AO108/'Summary Table'!Y124, "NA")</f>
        <v>-0.14643265196550473</v>
      </c>
      <c r="AQ108" s="747">
        <f>'Summary Table'!AA124-'Summary Table'!Z124</f>
        <v>0.14987841841787031</v>
      </c>
      <c r="AR108" s="748">
        <f>IFERROR(AQ108/'Summary Table'!Z124, "NA")</f>
        <v>5.3283713574230679E-3</v>
      </c>
      <c r="AS108" s="747">
        <f>'Summary Table'!AB124-'Summary Table'!AA124</f>
        <v>0.25603453062002757</v>
      </c>
      <c r="AT108" s="748">
        <f>IFERROR(AS108/'Summary Table'!AA124, "NA")</f>
        <v>9.0541145724787782E-3</v>
      </c>
      <c r="AU108" s="747">
        <f>'Summary Table'!AC124-'Summary Table'!AB124</f>
        <v>-2.3695636736489796</v>
      </c>
      <c r="AV108" s="748">
        <f>IFERROR(AU108/'Summary Table'!AB124, "NA")</f>
        <v>-8.3042682622557581E-2</v>
      </c>
      <c r="AW108" s="747">
        <f>'Summary Table'!AD124-'Summary Table'!AC124</f>
        <v>-0.21903789631133819</v>
      </c>
      <c r="AX108" s="748">
        <f>IFERROR(AW108/'Summary Table'!AC124, "NA")</f>
        <v>-8.3714970033376742E-3</v>
      </c>
      <c r="AY108" s="747">
        <f>'Summary Table'!AE124-'Summary Table'!AD124</f>
        <v>-2.3166967810517747E-2</v>
      </c>
      <c r="AZ108" s="980">
        <f>IFERROR(AY108/'Summary Table'!AD124, "NA")</f>
        <v>-8.929025435783169E-4</v>
      </c>
      <c r="BA108" s="747">
        <f>'Summary Table'!AF124-'Summary Table'!AE124</f>
        <v>-1.109771316822723</v>
      </c>
      <c r="BB108" s="980">
        <f>IFERROR(BA108/'Summary Table'!AE124, "NA")</f>
        <v>-4.2811093074708206E-2</v>
      </c>
      <c r="BC108" s="747">
        <f>'Summary Table'!AG124-'Summary Table'!AF124</f>
        <v>-1.5339180497762861</v>
      </c>
      <c r="BD108" s="980">
        <f>IFERROR(BC108/'Summary Table'!AF124, "NA")</f>
        <v>-6.1819761011835651E-2</v>
      </c>
      <c r="BE108" s="747">
        <f>'Summary Table'!AH124-'Summary Table'!AG124</f>
        <v>0.49287559310334927</v>
      </c>
      <c r="BF108" s="980">
        <f>IFERROR(BE108/'Summary Table'!AG124, "NA")</f>
        <v>2.1172697638360518E-2</v>
      </c>
      <c r="BG108" s="747">
        <f>'Summary Table'!AI124-'Summary Table'!AH124</f>
        <v>-5.0515809882085705E-3</v>
      </c>
      <c r="BH108" s="980">
        <f>IFERROR(BG108/'Summary Table'!AH124, "NA")</f>
        <v>-2.125039504781941E-4</v>
      </c>
    </row>
    <row r="109" spans="6:60">
      <c r="F109" s="6" t="s">
        <v>1435</v>
      </c>
      <c r="G109" s="53">
        <f>'Summary Table'!W125-'Summary Table'!C125</f>
        <v>2.6965293810985802</v>
      </c>
      <c r="H109" s="57">
        <f>G109/'Summary Table'!C125</f>
        <v>5.4018784644867441</v>
      </c>
      <c r="I109" s="37">
        <f t="shared" si="109"/>
        <v>4.5730176921884831E-3</v>
      </c>
      <c r="J109" s="53">
        <f>'Summary Table'!W125-'Summary Table'!V125</f>
        <v>-0.2138681361738568</v>
      </c>
      <c r="K109" s="37">
        <f>J109/'Summary Table'!$T125</f>
        <v>-6.285856047408872E-2</v>
      </c>
      <c r="L109" s="38">
        <f t="shared" si="110"/>
        <v>-1.3616995425068542E-3</v>
      </c>
      <c r="Q109" s="1">
        <f>'Summary Table'!N125-'Summary Table'!M125</f>
        <v>0.12182513735317202</v>
      </c>
      <c r="R109" s="88">
        <f>Q109/'Summary Table'!M125</f>
        <v>0.25647187461400428</v>
      </c>
      <c r="S109" s="1">
        <f>'Summary Table'!O125-'Summary Table'!N125</f>
        <v>1.4265406144219859</v>
      </c>
      <c r="T109" s="88">
        <f>S109/'Summary Table'!N125</f>
        <v>2.3901997995460031</v>
      </c>
      <c r="U109" s="1">
        <f>'Summary Table'!P125-'Summary Table'!O125</f>
        <v>0.64052518602224939</v>
      </c>
      <c r="V109" s="88">
        <f>U109/'Summary Table'!O125</f>
        <v>0.31656360446497289</v>
      </c>
      <c r="W109" s="749">
        <f>'Summary Table'!Q125-'Summary Table'!P125</f>
        <v>0.28180984246062124</v>
      </c>
      <c r="X109" s="746">
        <f>IFERROR(W109/'Summary Table'!P125, "NA")</f>
        <v>0.10578865195244683</v>
      </c>
      <c r="Y109" s="749">
        <f>'Summary Table'!R125-'Summary Table'!Q125</f>
        <v>6.7977798274616141E-2</v>
      </c>
      <c r="Z109" s="746">
        <f>IFERROR(Y109/'Summary Table'!Q125, "NA")</f>
        <v>2.3076922486398345E-2</v>
      </c>
      <c r="AA109" s="749">
        <f>'Summary Table'!S125-'Summary Table'!R125</f>
        <v>0.38520753040901967</v>
      </c>
      <c r="AB109" s="746">
        <f>IFERROR(AA109/'Summary Table'!R125, "NA")</f>
        <v>0.12781954794904854</v>
      </c>
      <c r="AC109" s="749">
        <f>'Summary Table'!T125-'Summary Table'!S125</f>
        <v>3.4808913252653007E-3</v>
      </c>
      <c r="AD109" s="746">
        <f>IFERROR(AC109/'Summary Table'!S125, "NA")</f>
        <v>1.0241259144603712E-3</v>
      </c>
      <c r="AE109" s="749">
        <f>'Summary Table'!U125-'Summary Table'!T125</f>
        <v>3.1046260487615829E-2</v>
      </c>
      <c r="AF109" s="746">
        <f>IFERROR(AE109/'Summary Table'!T125, "NA")</f>
        <v>9.124890118127213E-3</v>
      </c>
      <c r="AG109" s="749">
        <f>'Summary Table'!V125-'Summary Table'!U125</f>
        <v>-2.3835985623440692E-2</v>
      </c>
      <c r="AH109" s="746">
        <f>IFERROR(AG109/'Summary Table'!U125, "NA")</f>
        <v>-6.9423506080188331E-3</v>
      </c>
      <c r="AI109" s="749">
        <f>'Summary Table'!W125-'Summary Table'!V125</f>
        <v>-0.2138681361738568</v>
      </c>
      <c r="AJ109" s="746">
        <f>IFERROR(AI109/'Summary Table'!V125, "NA")</f>
        <v>-6.2725632857167438E-2</v>
      </c>
      <c r="AK109" s="749">
        <f>'Summary Table'!X125-'Summary Table'!W125</f>
        <v>0.24256861884183589</v>
      </c>
      <c r="AL109" s="746">
        <f>IFERROR(AK109/'Summary Table'!W125, "NA")</f>
        <v>7.5904380922187209E-2</v>
      </c>
      <c r="AM109" s="749">
        <f>'Summary Table'!Y125-'Summary Table'!X125</f>
        <v>-0.1504351755541129</v>
      </c>
      <c r="AN109" s="746">
        <f>IFERROR(AM109/'Summary Table'!X125, "NA")</f>
        <v>-4.3753011269672189E-2</v>
      </c>
      <c r="AO109" s="749">
        <f>'Summary Table'!Z125-'Summary Table'!Y125</f>
        <v>-1.2297168833419914E-2</v>
      </c>
      <c r="AP109" s="746">
        <f>IFERROR(AO109/'Summary Table'!Y125, "NA")</f>
        <v>-3.7401894974025177E-3</v>
      </c>
      <c r="AQ109" s="749">
        <f>'Summary Table'!AA125-'Summary Table'!Z125</f>
        <v>0.16680369066557965</v>
      </c>
      <c r="AR109" s="746">
        <f>IFERROR(AQ109/'Summary Table'!Z125, "NA")</f>
        <v>5.0923883405925512E-2</v>
      </c>
      <c r="AS109" s="749">
        <f>'Summary Table'!AB125-'Summary Table'!AA125</f>
        <v>-0.13227635849240649</v>
      </c>
      <c r="AT109" s="746">
        <f>IFERROR(AS109/'Summary Table'!AA125, "NA")</f>
        <v>-3.8426145963089027E-2</v>
      </c>
      <c r="AU109" s="749">
        <f>'Summary Table'!AC125-'Summary Table'!AB125</f>
        <v>-3.9389333791652437E-2</v>
      </c>
      <c r="AV109" s="746">
        <f>IFERROR(AU109/'Summary Table'!AB125, "NA")</f>
        <v>-1.1899825340492722E-2</v>
      </c>
      <c r="AW109" s="749">
        <f>'Summary Table'!AD125-'Summary Table'!AC125</f>
        <v>-0.97020444790590554</v>
      </c>
      <c r="AX109" s="746">
        <f>IFERROR(AW109/'Summary Table'!AC125, "NA")</f>
        <v>-0.29663625998662241</v>
      </c>
      <c r="AY109" s="749">
        <f>'Summary Table'!AE125-'Summary Table'!AD125</f>
        <v>0.25629600913400008</v>
      </c>
      <c r="AZ109" s="255">
        <f>IFERROR(AY109/'Summary Table'!AD125, "NA")</f>
        <v>0.11140965864311489</v>
      </c>
      <c r="BA109" s="749">
        <f>'Summary Table'!AF125-'Summary Table'!AE125</f>
        <v>1.0036946477800002</v>
      </c>
      <c r="BB109" s="255">
        <f>IFERROR(BA109/'Summary Table'!AE125, "NA")</f>
        <v>0.39256216619512901</v>
      </c>
      <c r="BC109" s="749">
        <f>'Summary Table'!AG125-'Summary Table'!AF125</f>
        <v>-0.47788444101687899</v>
      </c>
      <c r="BD109" s="255">
        <f>IFERROR(BC109/'Summary Table'!AF125, "NA")</f>
        <v>-0.13421935031029306</v>
      </c>
      <c r="BE109" s="749">
        <f>'Summary Table'!AH125-'Summary Table'!AG125</f>
        <v>-0.19402008760841127</v>
      </c>
      <c r="BF109" s="255">
        <f>IFERROR(BE109/'Summary Table'!AG125, "NA")</f>
        <v>-6.2940626662735463E-2</v>
      </c>
      <c r="BG109" s="749">
        <f>'Summary Table'!AI125-'Summary Table'!AH125</f>
        <v>0</v>
      </c>
      <c r="BH109" s="255">
        <f>IFERROR(BG109/'Summary Table'!AH125, "NA")</f>
        <v>0</v>
      </c>
    </row>
    <row r="110" spans="6:60">
      <c r="F110" s="6" t="s">
        <v>1439</v>
      </c>
      <c r="G110" s="53" t="e">
        <f>'Summary Table'!W126-'Summary Table'!C126</f>
        <v>#VALUE!</v>
      </c>
      <c r="H110" s="57"/>
      <c r="I110" s="57"/>
      <c r="J110" s="53">
        <f>'Summary Table'!W126-'Summary Table'!V126</f>
        <v>2.3359831054537761E-2</v>
      </c>
      <c r="K110" s="37">
        <f>J110/'Summary Table'!$T126</f>
        <v>1.6497969563531428E-2</v>
      </c>
      <c r="L110" s="38">
        <f t="shared" si="110"/>
        <v>1.4873216660074774E-4</v>
      </c>
      <c r="Q110" s="1">
        <f>'Summary Table'!N126-'Summary Table'!M126</f>
        <v>0.5403947319204867</v>
      </c>
      <c r="R110" s="88">
        <f>Q110/'Summary Table'!M126</f>
        <v>0.80401284296877329</v>
      </c>
      <c r="S110" s="1">
        <f>'Summary Table'!O126-'Summary Table'!N126</f>
        <v>-3.5961601348593053E-3</v>
      </c>
      <c r="T110" s="88">
        <f>S110/'Summary Table'!N126</f>
        <v>-2.9658643022147787E-3</v>
      </c>
      <c r="U110" s="1">
        <f>'Summary Table'!P126-'Summary Table'!O126</f>
        <v>0.21530543336726127</v>
      </c>
      <c r="V110" s="88">
        <f>U110/'Summary Table'!O126</f>
        <v>0.17809725118500172</v>
      </c>
      <c r="W110" s="749">
        <f>'Summary Table'!Q126-'Summary Table'!P126</f>
        <v>-0.1174185702341779</v>
      </c>
      <c r="X110" s="746">
        <f>IFERROR(W110/'Summary Table'!P126, "NA")</f>
        <v>-8.2443775490206817E-2</v>
      </c>
      <c r="Y110" s="749">
        <f>'Summary Table'!R126-'Summary Table'!Q126</f>
        <v>-1.7305512731895956E-2</v>
      </c>
      <c r="Z110" s="746">
        <f>IFERROR(Y110/'Summary Table'!Q126, "NA")</f>
        <v>-1.324258806143392E-2</v>
      </c>
      <c r="AA110" s="749">
        <f>'Summary Table'!S126-'Summary Table'!R126</f>
        <v>9.6231487832909801E-2</v>
      </c>
      <c r="AB110" s="746">
        <f>IFERROR(AA110/'Summary Table'!R126, "NA")</f>
        <v>7.4626865671641701E-2</v>
      </c>
      <c r="AC110" s="749">
        <f>'Summary Table'!T126-'Summary Table'!S126</f>
        <v>3.0188150560097382E-2</v>
      </c>
      <c r="AD110" s="746">
        <f>IFERROR(AC110/'Summary Table'!S126, "NA")</f>
        <v>2.1784962403275512E-2</v>
      </c>
      <c r="AE110" s="749">
        <f>'Summary Table'!U126-'Summary Table'!T126</f>
        <v>0.13538388601269413</v>
      </c>
      <c r="AF110" s="746">
        <f>IFERROR(AE110/'Summary Table'!T126, "NA")</f>
        <v>9.5615384615384713E-2</v>
      </c>
      <c r="AG110" s="749">
        <f>'Summary Table'!V126-'Summary Table'!U126</f>
        <v>-9.8170079735225624E-2</v>
      </c>
      <c r="AH110" s="746">
        <f>IFERROR(AG110/'Summary Table'!U126, "NA")</f>
        <v>-6.3282236915957329E-2</v>
      </c>
      <c r="AI110" s="749">
        <f>'Summary Table'!W126-'Summary Table'!V126</f>
        <v>2.3359831054537761E-2</v>
      </c>
      <c r="AJ110" s="746">
        <f>IFERROR(AI110/'Summary Table'!V126, "NA")</f>
        <v>1.6075467812442321E-2</v>
      </c>
      <c r="AK110" s="749">
        <f>'Summary Table'!X126-'Summary Table'!W126</f>
        <v>-3.944460971889252E-2</v>
      </c>
      <c r="AL110" s="746">
        <f>IFERROR(AK110/'Summary Table'!W126, "NA")</f>
        <v>-2.6715027167027377E-2</v>
      </c>
      <c r="AM110" s="749">
        <f>'Summary Table'!Y126-'Summary Table'!X126</f>
        <v>1.172682726749291</v>
      </c>
      <c r="AN110" s="746">
        <f>IFERROR(AM110/'Summary Table'!X126, "NA")</f>
        <v>0.81603440013039497</v>
      </c>
      <c r="AO110" s="749">
        <f>'Summary Table'!Z126-'Summary Table'!Y126</f>
        <v>0.47844221809772725</v>
      </c>
      <c r="AP110" s="746">
        <f>IFERROR(AO110/'Summary Table'!Y126, "NA")</f>
        <v>0.18332992595443412</v>
      </c>
      <c r="AQ110" s="749">
        <f>'Summary Table'!AA126-'Summary Table'!Z126</f>
        <v>0.12112309784384356</v>
      </c>
      <c r="AR110" s="746">
        <f>IFERROR(AQ110/'Summary Table'!Z126, "NA")</f>
        <v>3.9221571432225329E-2</v>
      </c>
      <c r="AS110" s="749">
        <f>'Summary Table'!AB126-'Summary Table'!AA126</f>
        <v>-0.17136762800579541</v>
      </c>
      <c r="AT110" s="746">
        <f>IFERROR(AS110/'Summary Table'!AA126, "NA")</f>
        <v>-5.3397220678620065E-2</v>
      </c>
      <c r="AU110" s="749">
        <f>'Summary Table'!AC126-'Summary Table'!AB126</f>
        <v>0.32706484025052696</v>
      </c>
      <c r="AV110" s="746">
        <f>IFERROR(AU110/'Summary Table'!AB126, "NA")</f>
        <v>0.10766039069027122</v>
      </c>
      <c r="AW110" s="749">
        <f>'Summary Table'!AD126-'Summary Table'!AC126</f>
        <v>-0.81944445864417581</v>
      </c>
      <c r="AX110" s="746">
        <f>IFERROR(AW110/'Summary Table'!AC126, "NA")</f>
        <v>-0.24352019831457059</v>
      </c>
      <c r="AY110" s="749">
        <f>'Summary Table'!AE126-'Summary Table'!AD126</f>
        <v>0.75851634293677694</v>
      </c>
      <c r="AZ110" s="255">
        <f>IFERROR(AY110/'Summary Table'!AD126, "NA")</f>
        <v>0.29797722534996457</v>
      </c>
      <c r="BA110" s="749">
        <f>'Summary Table'!AF126-'Summary Table'!AE126</f>
        <v>0.46895491832024083</v>
      </c>
      <c r="BB110" s="255">
        <f>IFERROR(BA110/'Summary Table'!AE126, "NA")</f>
        <v>0.14193259790994933</v>
      </c>
      <c r="BC110" s="749">
        <f>'Summary Table'!AG126-'Summary Table'!AF126</f>
        <v>-1.125438916442385</v>
      </c>
      <c r="BD110" s="255">
        <f>IFERROR(BC110/'Summary Table'!AF126, "NA")</f>
        <v>-0.29828575593251383</v>
      </c>
      <c r="BE110" s="749">
        <f>'Summary Table'!AH126-'Summary Table'!AG126</f>
        <v>1.2750614999817902</v>
      </c>
      <c r="BF110" s="255">
        <f>IFERROR(BE110/'Summary Table'!AG126, "NA")</f>
        <v>0.48159439822673078</v>
      </c>
      <c r="BG110" s="749">
        <f>'Summary Table'!AI126-'Summary Table'!AH126</f>
        <v>-2.8892279940189169E-3</v>
      </c>
      <c r="BH110" s="255">
        <f>IFERROR(BG110/'Summary Table'!AH126, "NA")</f>
        <v>-7.3655092782039006E-4</v>
      </c>
    </row>
    <row r="111" spans="6:60">
      <c r="F111" s="6" t="s">
        <v>1440</v>
      </c>
      <c r="G111" s="53">
        <f>'Summary Table'!W127-'Summary Table'!C127</f>
        <v>10.322132713485615</v>
      </c>
      <c r="H111" s="57">
        <f>G111/'Summary Table'!C127</f>
        <v>0.52909702591898666</v>
      </c>
      <c r="I111" s="37">
        <f t="shared" si="109"/>
        <v>1.7505203485176327E-2</v>
      </c>
      <c r="J111" s="53">
        <f>'Summary Table'!W127-'Summary Table'!V127</f>
        <v>-4.2642090431669644</v>
      </c>
      <c r="K111" s="37">
        <f>J111/'Summary Table'!$T127</f>
        <v>-0.10194566775537134</v>
      </c>
      <c r="L111" s="38">
        <f t="shared" si="110"/>
        <v>-2.7150241298749579E-2</v>
      </c>
      <c r="Q111" s="1">
        <f>'Summary Table'!N127-'Summary Table'!M127</f>
        <v>11.95881161502836</v>
      </c>
      <c r="R111" s="88">
        <f>Q111/'Summary Table'!M127</f>
        <v>0.33327745608385057</v>
      </c>
      <c r="S111" s="1">
        <f>'Summary Table'!O127-'Summary Table'!N127</f>
        <v>-5.9223372632554216</v>
      </c>
      <c r="T111" s="88">
        <f>S111/'Summary Table'!N127</f>
        <v>-0.12379141096670652</v>
      </c>
      <c r="U111" s="1">
        <f>'Summary Table'!P127-'Summary Table'!O127</f>
        <v>4.3569719418481654</v>
      </c>
      <c r="V111" s="88">
        <f>U111/'Summary Table'!O127</f>
        <v>0.10393806667024581</v>
      </c>
      <c r="W111" s="749">
        <f>'Summary Table'!Q127-'Summary Table'!P127</f>
        <v>2.3865851391123343</v>
      </c>
      <c r="X111" s="746">
        <f>IFERROR(W111/'Summary Table'!P127, "NA")</f>
        <v>5.1572964249222607E-2</v>
      </c>
      <c r="Y111" s="749">
        <f>'Summary Table'!R127-'Summary Table'!Q127</f>
        <v>-1.1098114370014329</v>
      </c>
      <c r="Z111" s="746">
        <f>IFERROR(Y111/'Summary Table'!Q127, "NA")</f>
        <v>-2.2806305946526974E-2</v>
      </c>
      <c r="AA111" s="749">
        <f>'Summary Table'!S127-'Summary Table'!R127</f>
        <v>-1.0763238124574102</v>
      </c>
      <c r="AB111" s="746">
        <f>IFERROR(AA111/'Summary Table'!R127, "NA")</f>
        <v>-2.2634350819934004E-2</v>
      </c>
      <c r="AC111" s="749">
        <f>'Summary Table'!T127-'Summary Table'!S127</f>
        <v>-4.6480944390470711</v>
      </c>
      <c r="AD111" s="746">
        <f>IFERROR(AC111/'Summary Table'!S127, "NA")</f>
        <v>-0.10000989390235629</v>
      </c>
      <c r="AE111" s="749">
        <f>'Summary Table'!U127-'Summary Table'!T127</f>
        <v>-8.3492838331892258</v>
      </c>
      <c r="AF111" s="746">
        <f>IFERROR(AE111/'Summary Table'!T127, "NA")</f>
        <v>-0.19960872157933615</v>
      </c>
      <c r="AG111" s="749">
        <f>'Summary Table'!V127-'Summary Table'!U127</f>
        <v>0.61633396028454257</v>
      </c>
      <c r="AH111" s="746">
        <f>IFERROR(AG111/'Summary Table'!U127, "NA")</f>
        <v>1.8409586701659927E-2</v>
      </c>
      <c r="AI111" s="749">
        <f>'Summary Table'!W127-'Summary Table'!V127</f>
        <v>-4.2642090431669644</v>
      </c>
      <c r="AJ111" s="746">
        <f>IFERROR(AI111/'Summary Table'!V127, "NA")</f>
        <v>-0.12506735015592377</v>
      </c>
      <c r="AK111" s="749">
        <f>'Summary Table'!X127-'Summary Table'!W127</f>
        <v>-0.64403142681131342</v>
      </c>
      <c r="AL111" s="746">
        <f>IFERROR(AK111/'Summary Table'!W127, "NA")</f>
        <v>-2.1589267045946253E-2</v>
      </c>
      <c r="AM111" s="749">
        <f>'Summary Table'!Y127-'Summary Table'!X127</f>
        <v>-2.1307408123856924</v>
      </c>
      <c r="AN111" s="746">
        <f>IFERROR(AM111/'Summary Table'!X127, "NA")</f>
        <v>-7.3002923851606241E-2</v>
      </c>
      <c r="AO111" s="749">
        <f>'Summary Table'!Z127-'Summary Table'!Y127</f>
        <v>-5.2916720585299757</v>
      </c>
      <c r="AP111" s="746">
        <f>IFERROR(AO111/'Summary Table'!Y127, "NA")</f>
        <v>-0.19557988544799695</v>
      </c>
      <c r="AQ111" s="749">
        <f>'Summary Table'!AA127-'Summary Table'!Z127</f>
        <v>-0.13804837009155335</v>
      </c>
      <c r="AR111" s="746">
        <f>IFERROR(AQ111/'Summary Table'!Z127, "NA")</f>
        <v>-6.3427796980642511E-3</v>
      </c>
      <c r="AS111" s="749">
        <f>'Summary Table'!AB127-'Summary Table'!AA127</f>
        <v>0.55967851711822902</v>
      </c>
      <c r="AT111" s="746">
        <f>IFERROR(AS111/'Summary Table'!AA127, "NA")</f>
        <v>2.5879172685458904E-2</v>
      </c>
      <c r="AU111" s="749">
        <f>'Summary Table'!AC127-'Summary Table'!AB127</f>
        <v>-2.6572391801078545</v>
      </c>
      <c r="AV111" s="746">
        <f>IFERROR(AU111/'Summary Table'!AB127, "NA")</f>
        <v>-0.11976948603071899</v>
      </c>
      <c r="AW111" s="749">
        <f>'Summary Table'!AD127-'Summary Table'!AC127</f>
        <v>1.5706110102387427</v>
      </c>
      <c r="AX111" s="746">
        <f>IFERROR(AW111/'Summary Table'!AC127, "NA")</f>
        <v>8.0424386456381683E-2</v>
      </c>
      <c r="AY111" s="749">
        <f>'Summary Table'!AE127-'Summary Table'!AD127</f>
        <v>-1.0379793198812948</v>
      </c>
      <c r="AZ111" s="255">
        <f>IFERROR(AY111/'Summary Table'!AD127, "NA")</f>
        <v>-4.9194147802061466E-2</v>
      </c>
      <c r="BA111" s="749">
        <f>'Summary Table'!AF127-'Summary Table'!AE127</f>
        <v>-2.582420882922964</v>
      </c>
      <c r="BB111" s="255">
        <f>IFERROR(BA111/'Summary Table'!AE127, "NA")</f>
        <v>-0.12872411644247833</v>
      </c>
      <c r="BC111" s="749">
        <f>'Summary Table'!AG127-'Summary Table'!AF127</f>
        <v>6.9405307682981032E-2</v>
      </c>
      <c r="BD111" s="255">
        <f>IFERROR(BC111/'Summary Table'!AF127, "NA")</f>
        <v>3.9707256854702687E-3</v>
      </c>
      <c r="BE111" s="749">
        <f>'Summary Table'!AH127-'Summary Table'!AG127</f>
        <v>-0.58816581927003142</v>
      </c>
      <c r="BF111" s="255">
        <f>IFERROR(BE111/'Summary Table'!AG127, "NA")</f>
        <v>-3.3516289577025155E-2</v>
      </c>
      <c r="BG111" s="749">
        <f>'Summary Table'!AI127-'Summary Table'!AH127</f>
        <v>-2.1623529941905417E-3</v>
      </c>
      <c r="BH111" s="255">
        <f>IFERROR(BG111/'Summary Table'!AH127, "NA")</f>
        <v>-1.2749354738492998E-4</v>
      </c>
    </row>
    <row r="112" spans="6:60">
      <c r="F112" s="4" t="s">
        <v>1480</v>
      </c>
      <c r="G112" s="1140">
        <f>'Summary Table'!W128-'Summary Table'!C128</f>
        <v>589.66082412161359</v>
      </c>
      <c r="H112" s="39">
        <f>G112/'Summary Table'!C128</f>
        <v>0.1242199092816909</v>
      </c>
      <c r="I112" s="40"/>
      <c r="J112" s="1140">
        <f>'Summary Table'!W128-'Summary Table'!V128</f>
        <v>157.05971067606515</v>
      </c>
      <c r="K112" s="39">
        <f>J112/'Summary Table'!V128</f>
        <v>3.0323264909500602E-2</v>
      </c>
      <c r="L112" s="40"/>
      <c r="Q112" s="5">
        <f>'Summary Table'!N128-'Summary Table'!M128</f>
        <v>-96.505674128014107</v>
      </c>
      <c r="R112" s="666">
        <f>Q112/'Summary Table'!M128</f>
        <v>-1.7170083509530056E-2</v>
      </c>
      <c r="S112" s="5">
        <f>'Summary Table'!O128-'Summary Table'!N128</f>
        <v>41.119194424332818</v>
      </c>
      <c r="T112" s="666">
        <f>S112/'Summary Table'!N128</f>
        <v>7.4436473323403508E-3</v>
      </c>
      <c r="U112" s="5">
        <f>'Summary Table'!P128-'Summary Table'!O128</f>
        <v>69.229055090935617</v>
      </c>
      <c r="V112" s="666">
        <f>U112/'Summary Table'!O128</f>
        <v>1.2439669222267942E-2</v>
      </c>
      <c r="W112" s="750">
        <f>'Summary Table'!Q128-'Summary Table'!P128</f>
        <v>79.084640386133287</v>
      </c>
      <c r="X112" s="751">
        <f>IFERROR(W112/'Summary Table'!P128, "NA")</f>
        <v>1.4036001931094302E-2</v>
      </c>
      <c r="Y112" s="750">
        <f>'Summary Table'!R128-'Summary Table'!Q128</f>
        <v>26.058302737231315</v>
      </c>
      <c r="Z112" s="751">
        <f>IFERROR(Y112/'Summary Table'!Q128, "NA")</f>
        <v>4.560831485492866E-3</v>
      </c>
      <c r="AA112" s="750">
        <f>'Summary Table'!S128-'Summary Table'!R128</f>
        <v>-88.616493476922187</v>
      </c>
      <c r="AB112" s="751">
        <f>IFERROR(AA112/'Summary Table'!R128, "NA")</f>
        <v>-1.5439606278563531E-2</v>
      </c>
      <c r="AC112" s="750">
        <f>'Summary Table'!T128-'Summary Table'!S128</f>
        <v>83.924116451373266</v>
      </c>
      <c r="AD112" s="751">
        <f>IFERROR(AC112/'Summary Table'!S128, "NA")</f>
        <v>1.4851354904770271E-2</v>
      </c>
      <c r="AE112" s="750">
        <f>'Summary Table'!U128-'Summary Table'!T128</f>
        <v>-187.00504719647688</v>
      </c>
      <c r="AF112" s="751">
        <f>IFERROR(AE112/'Summary Table'!T128, "NA")</f>
        <v>-3.2608452664019676E-2</v>
      </c>
      <c r="AG112" s="750">
        <f>'Summary Table'!V128-'Summary Table'!U128</f>
        <v>-368.34725966478436</v>
      </c>
      <c r="AH112" s="751">
        <f>IFERROR(AG112/'Summary Table'!U128, "NA")</f>
        <v>-6.6394486728823907E-2</v>
      </c>
      <c r="AI112" s="750">
        <f>'Summary Table'!W128-'Summary Table'!V128</f>
        <v>157.05971067606515</v>
      </c>
      <c r="AJ112" s="751">
        <f>IFERROR(AI112/'Summary Table'!V128, "NA")</f>
        <v>3.0323264909500602E-2</v>
      </c>
      <c r="AK112" s="750">
        <f>'Summary Table'!X128-'Summary Table'!W128</f>
        <v>-132.02703145332998</v>
      </c>
      <c r="AL112" s="751">
        <f>IFERROR(AK112/'Summary Table'!W128, "NA")</f>
        <v>-2.4740046927705053E-2</v>
      </c>
      <c r="AM112" s="750">
        <f>'Summary Table'!Y128-'Summary Table'!X128</f>
        <v>-206.69848379710675</v>
      </c>
      <c r="AN112" s="751">
        <f>IFERROR(AM112/'Summary Table'!X128, "NA")</f>
        <v>-3.9714999393062257E-2</v>
      </c>
      <c r="AO112" s="750">
        <f>'Summary Table'!Z128-'Summary Table'!Y128</f>
        <v>121.32372369112909</v>
      </c>
      <c r="AP112" s="751">
        <f>IFERROR(AO112/'Summary Table'!Y128, "NA")</f>
        <v>2.4275202155230515E-2</v>
      </c>
      <c r="AQ112" s="750">
        <f>'Summary Table'!AA128-'Summary Table'!Z128</f>
        <v>49.95624563747424</v>
      </c>
      <c r="AR112" s="751">
        <f>IFERROR(AQ112/'Summary Table'!Z128, "NA")</f>
        <v>9.7586615897320254E-3</v>
      </c>
      <c r="AS112" s="750">
        <f>'Summary Table'!AB128-'Summary Table'!AA128</f>
        <v>-164.79294553007821</v>
      </c>
      <c r="AT112" s="751">
        <f>IFERROR(AS112/'Summary Table'!AA128, "NA")</f>
        <v>-3.1880233578124556E-2</v>
      </c>
      <c r="AU112" s="750">
        <f>'Summary Table'!AC128-'Summary Table'!AB128</f>
        <v>-97.003320392508613</v>
      </c>
      <c r="AV112" s="751">
        <f>IFERROR(AU112/'Summary Table'!AB128, "NA")</f>
        <v>-1.9383865656703612E-2</v>
      </c>
      <c r="AW112" s="750">
        <f>'Summary Table'!AD128-'Summary Table'!AC128</f>
        <v>-63.839710350323003</v>
      </c>
      <c r="AX112" s="751">
        <f>IFERROR(AW112/'Summary Table'!AC128, "NA")</f>
        <v>-1.3009052437369649E-2</v>
      </c>
      <c r="AY112" s="750">
        <f>'Summary Table'!AE128-'Summary Table'!AD128</f>
        <v>139.45009223839406</v>
      </c>
      <c r="AZ112" s="981">
        <f>IFERROR(AY112/'Summary Table'!AD128, "NA")</f>
        <v>2.8791241526579556E-2</v>
      </c>
      <c r="BA112" s="750">
        <f>'Summary Table'!AF128-'Summary Table'!AE128</f>
        <v>-141.99144325552334</v>
      </c>
      <c r="BB112" s="981">
        <f>IFERROR(BA112/'Summary Table'!AE128, "NA")</f>
        <v>-2.8495514461137992E-2</v>
      </c>
      <c r="BC112" s="750">
        <f>'Summary Table'!AG128-'Summary Table'!AF128</f>
        <v>-511.70751155759626</v>
      </c>
      <c r="BD112" s="981">
        <f>IFERROR(BC112/'Summary Table'!AF128, "NA")</f>
        <v>-0.105703972917549</v>
      </c>
      <c r="BE112" s="750">
        <f>'Summary Table'!AH128-'Summary Table'!AG128</f>
        <v>313.40373862057731</v>
      </c>
      <c r="BF112" s="981">
        <f>IFERROR(BE112/'Summary Table'!AG128, "NA")</f>
        <v>7.2392302508420034E-2</v>
      </c>
      <c r="BG112" s="750">
        <f>'Summary Table'!AI128-'Summary Table'!AH128</f>
        <v>47.237865710278129</v>
      </c>
      <c r="BH112" s="981">
        <f>IFERROR(BG112/'Summary Table'!AH128, "NA")</f>
        <v>1.0174774579883274E-2</v>
      </c>
    </row>
    <row r="115" spans="6:61" ht="15.6" thickBot="1">
      <c r="W115" s="5" t="s">
        <v>1581</v>
      </c>
    </row>
    <row r="116" spans="6:61">
      <c r="AA116" s="664" t="s">
        <v>1540</v>
      </c>
      <c r="AB116" s="665" t="s">
        <v>1578</v>
      </c>
      <c r="AC116" s="664" t="s">
        <v>1540</v>
      </c>
      <c r="AD116" s="665" t="s">
        <v>1578</v>
      </c>
      <c r="AE116" s="664" t="s">
        <v>1540</v>
      </c>
      <c r="AF116" s="665" t="s">
        <v>1578</v>
      </c>
      <c r="AG116" s="664" t="s">
        <v>1540</v>
      </c>
      <c r="AH116" s="665" t="s">
        <v>1578</v>
      </c>
      <c r="AI116" s="664" t="s">
        <v>1540</v>
      </c>
      <c r="AJ116" s="664" t="s">
        <v>1578</v>
      </c>
      <c r="AK116" s="664" t="s">
        <v>1540</v>
      </c>
      <c r="AL116" s="665" t="s">
        <v>1578</v>
      </c>
      <c r="AM116" s="664" t="s">
        <v>1540</v>
      </c>
      <c r="AN116" s="665" t="s">
        <v>1578</v>
      </c>
      <c r="AO116" s="664" t="s">
        <v>1540</v>
      </c>
      <c r="AP116" s="665" t="s">
        <v>1578</v>
      </c>
      <c r="AQ116" s="664" t="s">
        <v>1540</v>
      </c>
      <c r="AR116" s="665" t="s">
        <v>1578</v>
      </c>
      <c r="AS116" s="664" t="s">
        <v>1540</v>
      </c>
      <c r="AT116" s="665" t="s">
        <v>1578</v>
      </c>
      <c r="AU116" s="664" t="s">
        <v>1540</v>
      </c>
      <c r="AV116" s="665" t="s">
        <v>1578</v>
      </c>
      <c r="AW116" s="664" t="s">
        <v>1540</v>
      </c>
      <c r="AX116" s="665" t="s">
        <v>1578</v>
      </c>
      <c r="AY116" s="664" t="s">
        <v>1540</v>
      </c>
      <c r="AZ116" s="665" t="s">
        <v>1578</v>
      </c>
      <c r="BA116" s="664" t="s">
        <v>1540</v>
      </c>
      <c r="BB116" s="665" t="s">
        <v>1578</v>
      </c>
      <c r="BC116" s="664" t="s">
        <v>1540</v>
      </c>
      <c r="BD116" s="665" t="s">
        <v>1578</v>
      </c>
      <c r="BE116" s="664" t="s">
        <v>1540</v>
      </c>
      <c r="BF116" s="665" t="s">
        <v>1578</v>
      </c>
      <c r="BG116" s="664" t="s">
        <v>1540</v>
      </c>
      <c r="BH116" s="665" t="s">
        <v>1578</v>
      </c>
      <c r="BI116" s="1025" t="s">
        <v>1582</v>
      </c>
    </row>
    <row r="117" spans="6:61" ht="13.5" thickBot="1">
      <c r="W117" s="1235" t="s">
        <v>1413</v>
      </c>
      <c r="X117" s="1235"/>
      <c r="Y117" s="1235" t="s">
        <v>1583</v>
      </c>
      <c r="Z117" s="1235"/>
      <c r="AA117" s="341" t="s">
        <v>1560</v>
      </c>
      <c r="AB117" s="340" t="s">
        <v>1560</v>
      </c>
      <c r="AC117" s="341" t="s">
        <v>1561</v>
      </c>
      <c r="AD117" s="340" t="s">
        <v>1561</v>
      </c>
      <c r="AE117" s="341" t="s">
        <v>1562</v>
      </c>
      <c r="AF117" s="340" t="s">
        <v>1562</v>
      </c>
      <c r="AG117" s="341" t="s">
        <v>1563</v>
      </c>
      <c r="AH117" s="340" t="s">
        <v>1563</v>
      </c>
      <c r="AI117" s="341" t="s">
        <v>1564</v>
      </c>
      <c r="AJ117" s="341" t="s">
        <v>1564</v>
      </c>
      <c r="AK117" s="341" t="s">
        <v>1565</v>
      </c>
      <c r="AL117" s="340" t="s">
        <v>1565</v>
      </c>
      <c r="AM117" s="341" t="s">
        <v>1566</v>
      </c>
      <c r="AN117" s="106" t="s">
        <v>1566</v>
      </c>
      <c r="AO117" s="341" t="s">
        <v>1567</v>
      </c>
      <c r="AP117" s="106" t="s">
        <v>1567</v>
      </c>
      <c r="AQ117" s="341" t="s">
        <v>1568</v>
      </c>
      <c r="AR117" s="106" t="s">
        <v>1568</v>
      </c>
      <c r="AS117" s="341" t="s">
        <v>1569</v>
      </c>
      <c r="AT117" s="106" t="s">
        <v>1569</v>
      </c>
      <c r="AU117" s="341" t="s">
        <v>1570</v>
      </c>
      <c r="AV117" s="340" t="s">
        <v>1570</v>
      </c>
      <c r="AW117" s="341" t="s">
        <v>1571</v>
      </c>
      <c r="AX117" s="340" t="s">
        <v>1571</v>
      </c>
      <c r="AY117" s="341" t="s">
        <v>1572</v>
      </c>
      <c r="AZ117" s="340" t="s">
        <v>1572</v>
      </c>
      <c r="BA117" s="341" t="s">
        <v>1573</v>
      </c>
      <c r="BB117" s="340" t="s">
        <v>1573</v>
      </c>
      <c r="BC117" s="341" t="s">
        <v>1574</v>
      </c>
      <c r="BD117" s="340" t="s">
        <v>1574</v>
      </c>
      <c r="BE117" s="341" t="s">
        <v>1471</v>
      </c>
      <c r="BF117" s="340" t="s">
        <v>1471</v>
      </c>
      <c r="BG117" s="341" t="s">
        <v>1472</v>
      </c>
      <c r="BH117" s="340" t="s">
        <v>1472</v>
      </c>
      <c r="BI117" s="1024">
        <v>2022</v>
      </c>
    </row>
    <row r="118" spans="6:61" ht="12.95" customHeight="1">
      <c r="W118" s="1057" t="s">
        <v>1474</v>
      </c>
      <c r="X118" s="118"/>
      <c r="Y118" s="1057" t="s">
        <v>1435</v>
      </c>
      <c r="Z118" s="1058"/>
      <c r="AA118" s="667">
        <f>AA104</f>
        <v>-30.081848692020685</v>
      </c>
      <c r="AB118" s="668">
        <f t="shared" ref="AB118:AG118" si="111">AB104</f>
        <v>-1.5171617455810145E-2</v>
      </c>
      <c r="AC118" s="667">
        <f t="shared" si="111"/>
        <v>33.56026641090034</v>
      </c>
      <c r="AD118" s="668">
        <f t="shared" si="111"/>
        <v>1.7186688454776722E-2</v>
      </c>
      <c r="AE118" s="667">
        <f t="shared" si="111"/>
        <v>-27.862179215610013</v>
      </c>
      <c r="AF118" s="668">
        <f t="shared" si="111"/>
        <v>-1.4027530384710217E-2</v>
      </c>
      <c r="AG118" s="667">
        <f t="shared" si="111"/>
        <v>-218.23493688917279</v>
      </c>
      <c r="AH118" s="668">
        <f t="shared" ref="AH118:AV118" si="112">AH104</f>
        <v>-0.11143602839686595</v>
      </c>
      <c r="AI118" s="667">
        <f t="shared" si="112"/>
        <v>87.09257038298847</v>
      </c>
      <c r="AJ118" s="667">
        <f t="shared" si="112"/>
        <v>5.0048810039641303E-2</v>
      </c>
      <c r="AK118" s="667">
        <f t="shared" si="112"/>
        <v>-104.87536906450896</v>
      </c>
      <c r="AL118" s="668">
        <f t="shared" si="112"/>
        <v>-5.7395343980151392E-2</v>
      </c>
      <c r="AM118" s="667">
        <f t="shared" si="112"/>
        <v>-210.67676499424874</v>
      </c>
      <c r="AN118" s="668">
        <f t="shared" si="112"/>
        <v>-0.12231795771334335</v>
      </c>
      <c r="AO118" s="667">
        <f t="shared" si="112"/>
        <v>59.558021827258926</v>
      </c>
      <c r="AP118" s="669">
        <f t="shared" si="112"/>
        <v>3.9398222832309142E-2</v>
      </c>
      <c r="AQ118" s="667">
        <f t="shared" si="112"/>
        <v>-2.6949534877824135</v>
      </c>
      <c r="AR118" s="669">
        <f t="shared" si="112"/>
        <v>-1.7151640758080885E-3</v>
      </c>
      <c r="AS118" s="667">
        <f t="shared" si="112"/>
        <v>-217.16776229352945</v>
      </c>
      <c r="AT118" s="669">
        <f t="shared" si="112"/>
        <v>-0.13845073954377232</v>
      </c>
      <c r="AU118" s="667">
        <f t="shared" si="112"/>
        <v>-109.37174928860281</v>
      </c>
      <c r="AV118" s="669">
        <f t="shared" si="112"/>
        <v>-8.093287492226546E-2</v>
      </c>
      <c r="AW118" s="667">
        <f t="shared" ref="AW118:BB118" si="113">AW104</f>
        <v>-34.949923033935875</v>
      </c>
      <c r="AX118" s="669">
        <f t="shared" si="113"/>
        <v>-2.8139657135101005E-2</v>
      </c>
      <c r="AY118" s="667">
        <f t="shared" si="113"/>
        <v>-54.190316245638769</v>
      </c>
      <c r="AZ118" s="669">
        <f t="shared" si="113"/>
        <v>-4.4894217098071523E-2</v>
      </c>
      <c r="BA118" s="667">
        <f>BA104</f>
        <v>-179.33664065835399</v>
      </c>
      <c r="BB118" s="669">
        <f t="shared" si="113"/>
        <v>-0.15555582287342332</v>
      </c>
      <c r="BC118" s="667">
        <f t="shared" ref="BC118:BH118" si="114">BC104</f>
        <v>-185.38015598964785</v>
      </c>
      <c r="BD118" s="669">
        <f t="shared" si="114"/>
        <v>-0.19041867558294989</v>
      </c>
      <c r="BE118" s="667">
        <f t="shared" si="114"/>
        <v>121.90483179976081</v>
      </c>
      <c r="BF118" s="669">
        <f t="shared" si="114"/>
        <v>0.15467023140581188</v>
      </c>
      <c r="BG118" s="667">
        <f t="shared" si="114"/>
        <v>-58.592401796762033</v>
      </c>
      <c r="BH118" s="669">
        <f t="shared" si="114"/>
        <v>-6.4382694290433501E-2</v>
      </c>
      <c r="BI118" s="1023">
        <f>'Summary Table'!AI120</f>
        <v>851.47205640141203</v>
      </c>
    </row>
    <row r="119" spans="6:61" ht="12" customHeight="1">
      <c r="W119" s="1057" t="s">
        <v>1474</v>
      </c>
      <c r="X119" s="118"/>
      <c r="Y119" s="1057" t="s">
        <v>1439</v>
      </c>
      <c r="Z119" s="1058"/>
      <c r="AA119" s="667">
        <f t="shared" ref="AA119:AG120" si="115">AA105</f>
        <v>19.116560422102566</v>
      </c>
      <c r="AB119" s="668">
        <f t="shared" si="115"/>
        <v>5.9953133635312184E-2</v>
      </c>
      <c r="AC119" s="667">
        <f t="shared" si="115"/>
        <v>33.490169210597003</v>
      </c>
      <c r="AD119" s="668">
        <f t="shared" si="115"/>
        <v>9.9090680891471175E-2</v>
      </c>
      <c r="AE119" s="667">
        <f t="shared" si="115"/>
        <v>-9.3491548554665087</v>
      </c>
      <c r="AF119" s="668">
        <f t="shared" si="115"/>
        <v>-2.5168324141634963E-2</v>
      </c>
      <c r="AG119" s="667">
        <f t="shared" si="115"/>
        <v>10.431773030003569</v>
      </c>
      <c r="AH119" s="668">
        <f t="shared" ref="AH119:BB119" si="116">AH105</f>
        <v>2.8807823132864747E-2</v>
      </c>
      <c r="AI119" s="667">
        <f t="shared" si="116"/>
        <v>26.990336513736111</v>
      </c>
      <c r="AJ119" s="667">
        <f t="shared" si="116"/>
        <v>7.2447992193997002E-2</v>
      </c>
      <c r="AK119" s="667">
        <f t="shared" si="116"/>
        <v>9.891531475841532</v>
      </c>
      <c r="AL119" s="668">
        <f t="shared" si="116"/>
        <v>2.4757418127402075E-2</v>
      </c>
      <c r="AM119" s="667">
        <f t="shared" si="116"/>
        <v>83.362577902609644</v>
      </c>
      <c r="AN119" s="668">
        <f t="shared" si="116"/>
        <v>0.20360661309279274</v>
      </c>
      <c r="AO119" s="667">
        <f t="shared" si="116"/>
        <v>-48.626262694473553</v>
      </c>
      <c r="AP119" s="669">
        <f t="shared" si="116"/>
        <v>-9.8674985235486137E-2</v>
      </c>
      <c r="AQ119" s="667">
        <f t="shared" si="116"/>
        <v>-1.2839276455515574</v>
      </c>
      <c r="AR119" s="669">
        <f t="shared" si="116"/>
        <v>-2.8906486256550278E-3</v>
      </c>
      <c r="AS119" s="667">
        <f t="shared" si="116"/>
        <v>82.278534747723086</v>
      </c>
      <c r="AT119" s="669">
        <f t="shared" si="116"/>
        <v>0.18577980961003479</v>
      </c>
      <c r="AU119" s="667">
        <f t="shared" si="116"/>
        <v>19.831591407057772</v>
      </c>
      <c r="AV119" s="669">
        <f t="shared" si="116"/>
        <v>3.7762912232851296E-2</v>
      </c>
      <c r="AW119" s="667">
        <f t="shared" si="116"/>
        <v>-39.357471463839943</v>
      </c>
      <c r="AX119" s="669">
        <f t="shared" si="116"/>
        <v>-7.2216586523590184E-2</v>
      </c>
      <c r="AY119" s="667">
        <f t="shared" si="116"/>
        <v>72.300803372199084</v>
      </c>
      <c r="AZ119" s="669">
        <f t="shared" si="116"/>
        <v>0.14299020418919242</v>
      </c>
      <c r="BA119" s="667">
        <f t="shared" si="116"/>
        <v>38.713226303176725</v>
      </c>
      <c r="BB119" s="669">
        <f t="shared" si="116"/>
        <v>6.6985379359504438E-2</v>
      </c>
      <c r="BC119" s="667">
        <f t="shared" ref="BC119:BD119" si="117">BC105</f>
        <v>18.200466467180149</v>
      </c>
      <c r="BD119" s="669">
        <f t="shared" si="117"/>
        <v>2.9515130336898131E-2</v>
      </c>
      <c r="BE119" s="667">
        <f t="shared" ref="BE119:BF119" si="118">BE105</f>
        <v>-22.071065290779529</v>
      </c>
      <c r="BF119" s="669">
        <f t="shared" si="118"/>
        <v>-3.4765841703426593E-2</v>
      </c>
      <c r="BG119" s="667">
        <f t="shared" ref="BG119:BH119" si="119">BG105</f>
        <v>46.527123131866574</v>
      </c>
      <c r="BH119" s="669">
        <f t="shared" si="119"/>
        <v>7.5928176572787942E-2</v>
      </c>
      <c r="BI119" s="1023">
        <f>'Summary Table'!AI121</f>
        <v>659.30521463869627</v>
      </c>
    </row>
    <row r="120" spans="6:61" ht="12" customHeight="1">
      <c r="W120" s="1057" t="s">
        <v>1474</v>
      </c>
      <c r="X120" s="118"/>
      <c r="Y120" s="1057" t="s">
        <v>1440</v>
      </c>
      <c r="Z120" s="1058"/>
      <c r="AA120" s="667">
        <f t="shared" si="115"/>
        <v>-44.690575263957498</v>
      </c>
      <c r="AB120" s="668">
        <f t="shared" si="115"/>
        <v>-0.4561812974580482</v>
      </c>
      <c r="AC120" s="667">
        <f t="shared" si="115"/>
        <v>-0.3116335441965532</v>
      </c>
      <c r="AD120" s="668">
        <f t="shared" si="115"/>
        <v>-5.8494036343803299E-3</v>
      </c>
      <c r="AE120" s="667">
        <f t="shared" si="115"/>
        <v>-14.577841153173971</v>
      </c>
      <c r="AF120" s="668">
        <f t="shared" si="115"/>
        <v>-0.27523802189895796</v>
      </c>
      <c r="AG120" s="667">
        <f t="shared" si="115"/>
        <v>-6.1752124458964133</v>
      </c>
      <c r="AH120" s="668">
        <f t="shared" ref="AH120:BB120" si="120">AH106</f>
        <v>-0.16086876061997871</v>
      </c>
      <c r="AI120" s="667">
        <f t="shared" si="120"/>
        <v>-0.78243873173971323</v>
      </c>
      <c r="AJ120" s="667">
        <f t="shared" si="120"/>
        <v>-2.4290713054388395E-2</v>
      </c>
      <c r="AK120" s="667">
        <f t="shared" si="120"/>
        <v>-5.5974429034794078</v>
      </c>
      <c r="AL120" s="668">
        <f t="shared" si="120"/>
        <v>-0.17809804690416117</v>
      </c>
      <c r="AM120" s="667">
        <f t="shared" si="120"/>
        <v>-7.4984450712881809</v>
      </c>
      <c r="AN120" s="668">
        <f t="shared" si="120"/>
        <v>-0.29028238761854341</v>
      </c>
      <c r="AO120" s="667">
        <f t="shared" si="120"/>
        <v>4.0869415285258945</v>
      </c>
      <c r="AP120" s="669">
        <f t="shared" si="120"/>
        <v>0.22292681623212285</v>
      </c>
      <c r="AQ120" s="667">
        <f t="shared" si="120"/>
        <v>2.8843195495617522</v>
      </c>
      <c r="AR120" s="669">
        <f t="shared" si="120"/>
        <v>0.12864911251032443</v>
      </c>
      <c r="AS120" s="667">
        <f t="shared" si="120"/>
        <v>-1.6299208378902037</v>
      </c>
      <c r="AT120" s="669">
        <f t="shared" si="120"/>
        <v>-6.4412623573784883E-2</v>
      </c>
      <c r="AU120" s="667">
        <f t="shared" si="120"/>
        <v>-2.2164375456981809</v>
      </c>
      <c r="AV120" s="669">
        <f t="shared" si="120"/>
        <v>-9.3621505702166985E-2</v>
      </c>
      <c r="AW120" s="667">
        <f t="shared" si="120"/>
        <v>-2.5373718007474473</v>
      </c>
      <c r="AX120" s="669">
        <f t="shared" si="120"/>
        <v>-0.11824822755842077</v>
      </c>
      <c r="AY120" s="667">
        <f t="shared" si="120"/>
        <v>3.2950893658569846</v>
      </c>
      <c r="AZ120" s="669">
        <f t="shared" si="120"/>
        <v>0.17415317117219142</v>
      </c>
      <c r="BA120" s="667">
        <f t="shared" si="120"/>
        <v>-6.0544203088714177</v>
      </c>
      <c r="BB120" s="669">
        <f t="shared" si="120"/>
        <v>-0.27252854728189807</v>
      </c>
      <c r="BC120" s="667">
        <f t="shared" ref="BC120:BD120" si="121">BC106</f>
        <v>4.7962018072844614E-3</v>
      </c>
      <c r="BD120" s="669">
        <f t="shared" si="121"/>
        <v>2.9677063565944134E-4</v>
      </c>
      <c r="BE120" s="667">
        <f t="shared" ref="BE120:BF120" si="122">BE106</f>
        <v>1.5471075149021871</v>
      </c>
      <c r="BF120" s="669">
        <f t="shared" si="122"/>
        <v>9.570069846785792E-2</v>
      </c>
      <c r="BG120" s="667">
        <f t="shared" ref="BG120:BH120" si="123">BG106</f>
        <v>2.8090369734523719</v>
      </c>
      <c r="BH120" s="669">
        <f t="shared" si="123"/>
        <v>0.15858427784831181</v>
      </c>
      <c r="BI120" s="1023">
        <f>'Summary Table'!AI122</f>
        <v>20.522249226051947</v>
      </c>
    </row>
    <row r="121" spans="6:61" ht="19.5" customHeight="1">
      <c r="W121" s="1057" t="s">
        <v>1445</v>
      </c>
      <c r="X121" s="118"/>
      <c r="Y121" s="1057" t="s">
        <v>1440</v>
      </c>
      <c r="Z121" s="1058"/>
      <c r="AA121" s="667">
        <f>AA102</f>
        <v>0.52400554012933753</v>
      </c>
      <c r="AB121" s="668">
        <f t="shared" ref="AB121:AG121" si="124">AB102</f>
        <v>2.8705141497802246E-4</v>
      </c>
      <c r="AC121" s="667">
        <f t="shared" si="124"/>
        <v>-0.44402231315461904</v>
      </c>
      <c r="AD121" s="668">
        <f t="shared" si="124"/>
        <v>-2.4316662179088826E-4</v>
      </c>
      <c r="AE121" s="667">
        <f t="shared" si="124"/>
        <v>-102.57655812585608</v>
      </c>
      <c r="AF121" s="668">
        <f t="shared" si="124"/>
        <v>-5.6189207620869805E-2</v>
      </c>
      <c r="AG121" s="667">
        <f t="shared" si="124"/>
        <v>-72.42407267563226</v>
      </c>
      <c r="AH121" s="668">
        <f t="shared" ref="AH121:BB121" si="125">AH102</f>
        <v>-4.2034200279290328E-2</v>
      </c>
      <c r="AI121" s="667">
        <f t="shared" si="125"/>
        <v>7.8997285331429339</v>
      </c>
      <c r="AJ121" s="667">
        <f t="shared" si="125"/>
        <v>4.7861026486492571E-3</v>
      </c>
      <c r="AK121" s="667">
        <f t="shared" si="125"/>
        <v>-27.020753390433583</v>
      </c>
      <c r="AL121" s="668">
        <f t="shared" si="125"/>
        <v>-1.6292723060499163E-2</v>
      </c>
      <c r="AM121" s="667">
        <f t="shared" si="125"/>
        <v>-13.411253741348446</v>
      </c>
      <c r="AN121" s="668">
        <f t="shared" si="125"/>
        <v>-8.2205280790329151E-3</v>
      </c>
      <c r="AO121" s="667">
        <f t="shared" si="125"/>
        <v>3.9733512938146305</v>
      </c>
      <c r="AP121" s="669">
        <f t="shared" si="125"/>
        <v>2.4556823372593991E-3</v>
      </c>
      <c r="AQ121" s="667">
        <f t="shared" si="125"/>
        <v>45.111933479923891</v>
      </c>
      <c r="AR121" s="669">
        <f t="shared" si="125"/>
        <v>2.7812593092638432E-2</v>
      </c>
      <c r="AS121" s="667">
        <f t="shared" si="125"/>
        <v>11.866648776391003</v>
      </c>
      <c r="AT121" s="669">
        <f t="shared" si="125"/>
        <v>7.1181017998047632E-3</v>
      </c>
      <c r="AU121" s="667">
        <f t="shared" si="125"/>
        <v>38.872481851385146</v>
      </c>
      <c r="AV121" s="669">
        <f t="shared" si="125"/>
        <v>2.31525043125172E-2</v>
      </c>
      <c r="AW121" s="667">
        <f t="shared" si="125"/>
        <v>20.202327220567213</v>
      </c>
      <c r="AX121" s="669">
        <f t="shared" si="125"/>
        <v>1.1760254868541289E-2</v>
      </c>
      <c r="AY121" s="667">
        <f t="shared" si="125"/>
        <v>24.169149732525057</v>
      </c>
      <c r="AZ121" s="669">
        <f t="shared" si="125"/>
        <v>1.390589961733096E-2</v>
      </c>
      <c r="BA121" s="667">
        <f t="shared" si="125"/>
        <v>-4.5123086565070025</v>
      </c>
      <c r="BB121" s="669">
        <f t="shared" si="125"/>
        <v>-2.5605830529001452E-3</v>
      </c>
      <c r="BC121" s="667">
        <f t="shared" ref="BC121:BD121" si="126">BC102</f>
        <v>-243.54049428678991</v>
      </c>
      <c r="BD121" s="669">
        <f t="shared" si="126"/>
        <v>-0.13855580441624349</v>
      </c>
      <c r="BE121" s="667">
        <f t="shared" ref="BE121:BF121" si="127">BE102</f>
        <v>174.18849724239362</v>
      </c>
      <c r="BF121" s="669">
        <f t="shared" si="127"/>
        <v>0.11503920302061774</v>
      </c>
      <c r="BG121" s="667">
        <f t="shared" ref="BG121:BH121" si="128">BG102</f>
        <v>22.246976719548002</v>
      </c>
      <c r="BH121" s="669">
        <f t="shared" si="128"/>
        <v>1.3176718118764759E-2</v>
      </c>
      <c r="BI121" s="1023">
        <f>'Summary Table'!AI118</f>
        <v>1710.6018856605253</v>
      </c>
    </row>
    <row r="122" spans="6:61" ht="12.95" customHeight="1">
      <c r="W122" s="1057" t="s">
        <v>1434</v>
      </c>
      <c r="X122" s="118"/>
      <c r="Y122" s="1057" t="s">
        <v>1439</v>
      </c>
      <c r="Z122" s="1058"/>
      <c r="AA122" s="667">
        <f>AA89</f>
        <v>-24.940205943948655</v>
      </c>
      <c r="AB122" s="668">
        <f t="shared" ref="AB122:AG122" si="129">AB89</f>
        <v>-9.5108639616170082E-2</v>
      </c>
      <c r="AC122" s="667">
        <f t="shared" si="129"/>
        <v>19.119503242742752</v>
      </c>
      <c r="AD122" s="668">
        <f t="shared" si="129"/>
        <v>8.0574959724509551E-2</v>
      </c>
      <c r="AE122" s="667">
        <f t="shared" si="129"/>
        <v>9.2595925926856353</v>
      </c>
      <c r="AF122" s="668">
        <f t="shared" si="129"/>
        <v>3.6112742583922192E-2</v>
      </c>
      <c r="AG122" s="667">
        <f t="shared" si="129"/>
        <v>-6.611477406552126</v>
      </c>
      <c r="AH122" s="668">
        <f t="shared" ref="AH122:BB122" si="130">AH89</f>
        <v>-2.4886286503117191E-2</v>
      </c>
      <c r="AI122" s="667">
        <f t="shared" si="130"/>
        <v>-0.14474202945456227</v>
      </c>
      <c r="AJ122" s="667">
        <f t="shared" si="130"/>
        <v>-5.587286894273031E-4</v>
      </c>
      <c r="AK122" s="667">
        <f t="shared" si="130"/>
        <v>-3.8432446944829337</v>
      </c>
      <c r="AL122" s="668">
        <f t="shared" si="130"/>
        <v>-1.4843867573173146E-2</v>
      </c>
      <c r="AM122" s="667">
        <f t="shared" si="130"/>
        <v>-29.966554511821073</v>
      </c>
      <c r="AN122" s="668">
        <f t="shared" si="130"/>
        <v>-0.11748455639764253</v>
      </c>
      <c r="AO122" s="667">
        <f t="shared" si="130"/>
        <v>41.24905683466082</v>
      </c>
      <c r="AP122" s="669">
        <f t="shared" si="130"/>
        <v>0.18324649583839481</v>
      </c>
      <c r="AQ122" s="667">
        <f t="shared" si="130"/>
        <v>11.321071768040838</v>
      </c>
      <c r="AR122" s="669">
        <f t="shared" si="130"/>
        <v>4.2504408055252747E-2</v>
      </c>
      <c r="AS122" s="667">
        <f t="shared" si="130"/>
        <v>-24.947691860345145</v>
      </c>
      <c r="AT122" s="669">
        <f t="shared" si="130"/>
        <v>-8.9846031691597258E-2</v>
      </c>
      <c r="AU122" s="667">
        <f t="shared" si="130"/>
        <v>-14.341679631960062</v>
      </c>
      <c r="AV122" s="669">
        <f t="shared" si="130"/>
        <v>-5.6748407501307913E-2</v>
      </c>
      <c r="AW122" s="667">
        <f t="shared" si="130"/>
        <v>3.103860108469064</v>
      </c>
      <c r="AX122" s="669">
        <f t="shared" si="130"/>
        <v>1.3020517751426285E-2</v>
      </c>
      <c r="AY122" s="667">
        <f t="shared" si="130"/>
        <v>32.328272758162854</v>
      </c>
      <c r="AZ122" s="669">
        <f t="shared" si="130"/>
        <v>0.13387219205026377</v>
      </c>
      <c r="BA122" s="667">
        <f t="shared" si="130"/>
        <v>1.6545129385542054</v>
      </c>
      <c r="BB122" s="669">
        <f t="shared" si="130"/>
        <v>6.042462117417483E-3</v>
      </c>
      <c r="BC122" s="667">
        <f t="shared" ref="BC122:BD122" si="131">BC89</f>
        <v>-19.107527302416088</v>
      </c>
      <c r="BD122" s="669">
        <f t="shared" si="131"/>
        <v>-6.9363651244393865E-2</v>
      </c>
      <c r="BE122" s="667">
        <f t="shared" ref="BE122:BF122" si="132">BE89</f>
        <v>2.2857129617836449</v>
      </c>
      <c r="BF122" s="669">
        <f t="shared" si="132"/>
        <v>8.9159810561197858E-3</v>
      </c>
      <c r="BG122" s="667">
        <f t="shared" ref="BG122:BH122" si="133">BG89</f>
        <v>13.339753486017059</v>
      </c>
      <c r="BH122" s="669">
        <f t="shared" si="133"/>
        <v>5.1575120196438028E-2</v>
      </c>
      <c r="BI122" s="1023">
        <f>'Summary Table'!AI105</f>
        <v>271.98681887741003</v>
      </c>
    </row>
    <row r="123" spans="6:61" ht="12.95" customHeight="1">
      <c r="W123" s="1057" t="s">
        <v>1441</v>
      </c>
      <c r="X123" s="118"/>
      <c r="Y123" s="1057" t="s">
        <v>1439</v>
      </c>
      <c r="Z123" s="1058"/>
      <c r="AA123" s="667">
        <f>AA93</f>
        <v>-9.0935283815814216</v>
      </c>
      <c r="AB123" s="668">
        <f t="shared" ref="AB123:AG123" si="134">AB93</f>
        <v>-5.5814169911909732E-2</v>
      </c>
      <c r="AC123" s="667">
        <f t="shared" si="134"/>
        <v>9.7588742761276706</v>
      </c>
      <c r="AD123" s="668">
        <f t="shared" si="134"/>
        <v>6.3438701951406148E-2</v>
      </c>
      <c r="AE123" s="667">
        <f t="shared" si="134"/>
        <v>7.6028232982372401</v>
      </c>
      <c r="AF123" s="668">
        <f t="shared" si="134"/>
        <v>4.6474743375476399E-2</v>
      </c>
      <c r="AG123" s="667">
        <f t="shared" si="134"/>
        <v>-2.1399225474787897</v>
      </c>
      <c r="AH123" s="668">
        <f t="shared" ref="AH123:BB123" si="135">AH93</f>
        <v>-1.250004012462933E-2</v>
      </c>
      <c r="AI123" s="667">
        <f t="shared" si="135"/>
        <v>-1.0844562364330557</v>
      </c>
      <c r="AJ123" s="667">
        <f t="shared" si="135"/>
        <v>-6.4148764497205446E-3</v>
      </c>
      <c r="AK123" s="667">
        <f t="shared" si="135"/>
        <v>2.7691424630922086</v>
      </c>
      <c r="AL123" s="668">
        <f t="shared" si="135"/>
        <v>1.6486045137996713E-2</v>
      </c>
      <c r="AM123" s="667">
        <f t="shared" si="135"/>
        <v>-13.695223343110939</v>
      </c>
      <c r="AN123" s="668">
        <f t="shared" si="135"/>
        <v>-8.0211914764899986E-2</v>
      </c>
      <c r="AO123" s="667">
        <f t="shared" si="135"/>
        <v>22.176808002327789</v>
      </c>
      <c r="AP123" s="669">
        <f t="shared" si="135"/>
        <v>0.14121506215887428</v>
      </c>
      <c r="AQ123" s="667">
        <f t="shared" si="135"/>
        <v>9.9697851627934142</v>
      </c>
      <c r="AR123" s="669">
        <f t="shared" si="135"/>
        <v>5.5628876626900511E-2</v>
      </c>
      <c r="AS123" s="667">
        <f t="shared" si="135"/>
        <v>-13.777635976398187</v>
      </c>
      <c r="AT123" s="669">
        <f t="shared" si="135"/>
        <v>-7.2824570862506419E-2</v>
      </c>
      <c r="AU123" s="667">
        <f t="shared" si="135"/>
        <v>-4.8711863541169578</v>
      </c>
      <c r="AV123" s="669">
        <f t="shared" si="135"/>
        <v>-2.7770011439891069E-2</v>
      </c>
      <c r="AW123" s="667">
        <f t="shared" si="135"/>
        <v>2.6495507300392944</v>
      </c>
      <c r="AX123" s="669">
        <f t="shared" si="135"/>
        <v>1.5536190601607E-2</v>
      </c>
      <c r="AY123" s="667">
        <f t="shared" si="135"/>
        <v>19.338267912817059</v>
      </c>
      <c r="AZ123" s="669">
        <f t="shared" si="135"/>
        <v>0.11165918898868613</v>
      </c>
      <c r="BA123" s="667">
        <f t="shared" si="135"/>
        <v>0.38782466220968104</v>
      </c>
      <c r="BB123" s="669">
        <f t="shared" si="135"/>
        <v>2.0143765505002418E-3</v>
      </c>
      <c r="BC123" s="667">
        <f t="shared" ref="BC123:BD123" si="136">BC93</f>
        <v>-19.466126030431894</v>
      </c>
      <c r="BD123" s="669">
        <f t="shared" si="136"/>
        <v>-0.10090456450853047</v>
      </c>
      <c r="BE123" s="667">
        <f t="shared" ref="BE123:BF123" si="137">BE93</f>
        <v>6.9127421702976335</v>
      </c>
      <c r="BF123" s="669">
        <f t="shared" si="137"/>
        <v>3.9854360758783208E-2</v>
      </c>
      <c r="BG123" s="667">
        <f t="shared" ref="BG123:BH123" si="138">BG93</f>
        <v>11.899597423946062</v>
      </c>
      <c r="BH123" s="669">
        <f t="shared" si="138"/>
        <v>6.5975887388618412E-2</v>
      </c>
      <c r="BI123" s="1023">
        <f>'Summary Table'!AI109</f>
        <v>192.26242231258678</v>
      </c>
    </row>
    <row r="124" spans="6:61" ht="13.5" customHeight="1" thickBot="1">
      <c r="W124" s="1057" t="s">
        <v>1443</v>
      </c>
      <c r="X124" s="118"/>
      <c r="Y124" s="1057" t="s">
        <v>1439</v>
      </c>
      <c r="Z124" s="1057"/>
      <c r="AA124" s="667">
        <f>AA97</f>
        <v>-0.34882154510120245</v>
      </c>
      <c r="AB124" s="668">
        <f t="shared" ref="AB124:AG124" si="139">AB97</f>
        <v>-8.9952446120175806E-4</v>
      </c>
      <c r="AC124" s="667">
        <f t="shared" si="139"/>
        <v>9.5335177302127363</v>
      </c>
      <c r="AD124" s="668">
        <f t="shared" si="139"/>
        <v>2.4606717837401787E-2</v>
      </c>
      <c r="AE124" s="667">
        <f t="shared" si="139"/>
        <v>1.6820477537155512</v>
      </c>
      <c r="AF124" s="668">
        <f t="shared" si="139"/>
        <v>4.2372260443268583E-3</v>
      </c>
      <c r="AG124" s="667">
        <f t="shared" si="139"/>
        <v>-24.451494554685269</v>
      </c>
      <c r="AH124" s="668">
        <f t="shared" ref="AH124:BB124" si="140">AH97</f>
        <v>-6.1335569951969246E-2</v>
      </c>
      <c r="AI124" s="667">
        <f t="shared" si="140"/>
        <v>32.88984530648321</v>
      </c>
      <c r="AJ124" s="667">
        <f t="shared" si="140"/>
        <v>8.7893845380613955E-2</v>
      </c>
      <c r="AK124" s="667">
        <f t="shared" si="140"/>
        <v>10.080205456945919</v>
      </c>
      <c r="AL124" s="668">
        <f t="shared" si="140"/>
        <v>2.4761645335618043E-2</v>
      </c>
      <c r="AM124" s="667">
        <f t="shared" si="140"/>
        <v>16.704422736790093</v>
      </c>
      <c r="AN124" s="668">
        <f t="shared" si="140"/>
        <v>4.0042273212859011E-2</v>
      </c>
      <c r="AO124" s="667">
        <f t="shared" si="140"/>
        <v>17.06200214475956</v>
      </c>
      <c r="AP124" s="669">
        <f t="shared" si="140"/>
        <v>3.9324775576152993E-2</v>
      </c>
      <c r="AQ124" s="667">
        <f t="shared" si="140"/>
        <v>14.999958641302214</v>
      </c>
      <c r="AR124" s="669">
        <f t="shared" si="140"/>
        <v>3.3264043660060985E-2</v>
      </c>
      <c r="AS124" s="667">
        <f t="shared" si="140"/>
        <v>-6.2897945826152295</v>
      </c>
      <c r="AT124" s="669">
        <f t="shared" si="140"/>
        <v>-1.3499265089527798E-2</v>
      </c>
      <c r="AU124" s="667">
        <f t="shared" si="140"/>
        <v>4.3362991368272787</v>
      </c>
      <c r="AV124" s="669">
        <f t="shared" si="140"/>
        <v>9.4339915878108166E-3</v>
      </c>
      <c r="AW124" s="667">
        <f t="shared" si="140"/>
        <v>4.1505791778881758</v>
      </c>
      <c r="AX124" s="669">
        <f t="shared" si="140"/>
        <v>8.9455496099967065E-3</v>
      </c>
      <c r="AY124" s="667">
        <f t="shared" si="140"/>
        <v>25.335821633742512</v>
      </c>
      <c r="AZ124" s="669">
        <f t="shared" si="140"/>
        <v>5.4120972196835572E-2</v>
      </c>
      <c r="BA124" s="667">
        <f t="shared" si="140"/>
        <v>8.0395360379509953</v>
      </c>
      <c r="BB124" s="669">
        <f t="shared" si="140"/>
        <v>1.6291877236843468E-2</v>
      </c>
      <c r="BC124" s="667">
        <f t="shared" ref="BC124:BD124" si="141">BC97</f>
        <v>-11.791551246343602</v>
      </c>
      <c r="BD124" s="669">
        <f t="shared" si="141"/>
        <v>-2.3512165547753906E-2</v>
      </c>
      <c r="BE124" s="667">
        <f t="shared" ref="BE124:BF124" si="142">BE97</f>
        <v>11.449701573297261</v>
      </c>
      <c r="BF124" s="669">
        <f t="shared" si="142"/>
        <v>2.3380242880666806E-2</v>
      </c>
      <c r="BG124" s="667">
        <f t="shared" ref="BG124:BH124" si="143">BG97</f>
        <v>10.279228511500264</v>
      </c>
      <c r="BH124" s="669">
        <f t="shared" si="143"/>
        <v>2.0510598982164591E-2</v>
      </c>
      <c r="BI124" s="17">
        <f>'Summary Table'!AI113</f>
        <v>511.44589460637036</v>
      </c>
    </row>
    <row r="125" spans="6:61" s="5" customFormat="1" ht="15" customHeight="1" thickBot="1">
      <c r="W125" s="1234" t="s">
        <v>1584</v>
      </c>
      <c r="X125" s="1233"/>
      <c r="Y125" s="1233" t="s">
        <v>1585</v>
      </c>
      <c r="Z125" s="1233"/>
      <c r="AA125" s="670">
        <f>AA112</f>
        <v>-88.616493476922187</v>
      </c>
      <c r="AB125" s="671">
        <f t="shared" ref="AB125:AG125" si="144">AB112</f>
        <v>-1.5439606278563531E-2</v>
      </c>
      <c r="AC125" s="670">
        <f t="shared" si="144"/>
        <v>83.924116451373266</v>
      </c>
      <c r="AD125" s="671">
        <f>AD112</f>
        <v>1.4851354904770271E-2</v>
      </c>
      <c r="AE125" s="670">
        <f t="shared" si="144"/>
        <v>-187.00504719647688</v>
      </c>
      <c r="AF125" s="671">
        <f t="shared" si="144"/>
        <v>-3.2608452664019676E-2</v>
      </c>
      <c r="AG125" s="670">
        <f t="shared" si="144"/>
        <v>-368.34725966478436</v>
      </c>
      <c r="AH125" s="671">
        <f t="shared" ref="AH125:BA125" si="145">AH112</f>
        <v>-6.6394486728823907E-2</v>
      </c>
      <c r="AI125" s="670">
        <f t="shared" si="145"/>
        <v>157.05971067606515</v>
      </c>
      <c r="AJ125" s="670">
        <f t="shared" si="145"/>
        <v>3.0323264909500602E-2</v>
      </c>
      <c r="AK125" s="670">
        <f t="shared" si="145"/>
        <v>-132.02703145332998</v>
      </c>
      <c r="AL125" s="671">
        <f t="shared" si="145"/>
        <v>-2.4740046927705053E-2</v>
      </c>
      <c r="AM125" s="670">
        <f t="shared" si="145"/>
        <v>-206.69848379710675</v>
      </c>
      <c r="AN125" s="671">
        <f t="shared" si="145"/>
        <v>-3.9714999393062257E-2</v>
      </c>
      <c r="AO125" s="670">
        <f t="shared" si="145"/>
        <v>121.32372369112909</v>
      </c>
      <c r="AP125" s="672">
        <f t="shared" si="145"/>
        <v>2.4275202155230515E-2</v>
      </c>
      <c r="AQ125" s="670">
        <f t="shared" si="145"/>
        <v>49.95624563747424</v>
      </c>
      <c r="AR125" s="672">
        <f t="shared" si="145"/>
        <v>9.7586615897320254E-3</v>
      </c>
      <c r="AS125" s="670">
        <f t="shared" si="145"/>
        <v>-164.79294553007821</v>
      </c>
      <c r="AT125" s="672">
        <f t="shared" si="145"/>
        <v>-3.1880233578124556E-2</v>
      </c>
      <c r="AU125" s="670">
        <f t="shared" si="145"/>
        <v>-97.003320392508613</v>
      </c>
      <c r="AV125" s="672">
        <f t="shared" si="145"/>
        <v>-1.9383865656703612E-2</v>
      </c>
      <c r="AW125" s="670">
        <f t="shared" si="145"/>
        <v>-63.839710350323003</v>
      </c>
      <c r="AX125" s="672">
        <f t="shared" si="145"/>
        <v>-1.3009052437369649E-2</v>
      </c>
      <c r="AY125" s="670">
        <f t="shared" si="145"/>
        <v>139.45009223839406</v>
      </c>
      <c r="AZ125" s="672">
        <f>AZ112</f>
        <v>2.8791241526579556E-2</v>
      </c>
      <c r="BA125" s="670">
        <f t="shared" si="145"/>
        <v>-141.99144325552334</v>
      </c>
      <c r="BB125" s="672">
        <f>BB112</f>
        <v>-2.8495514461137992E-2</v>
      </c>
      <c r="BC125" s="670">
        <f t="shared" ref="BC125:BE125" si="146">BC112</f>
        <v>-511.70751155759626</v>
      </c>
      <c r="BD125" s="672">
        <f>BD112</f>
        <v>-0.105703972917549</v>
      </c>
      <c r="BE125" s="670">
        <f t="shared" si="146"/>
        <v>313.40373862057731</v>
      </c>
      <c r="BF125" s="672">
        <f>BF112</f>
        <v>7.2392302508420034E-2</v>
      </c>
      <c r="BG125" s="670">
        <f t="shared" ref="BG125" si="147">BG112</f>
        <v>47.237865710278129</v>
      </c>
      <c r="BH125" s="672">
        <f>BH112</f>
        <v>1.0174774579883274E-2</v>
      </c>
      <c r="BI125" s="1042">
        <f>'Summary Table'!AI128</f>
        <v>4689.8828048593914</v>
      </c>
    </row>
    <row r="126" spans="6:61" ht="14.25" customHeight="1">
      <c r="W126" s="752" t="s">
        <v>1586</v>
      </c>
    </row>
    <row r="127" spans="6:61">
      <c r="F127" s="6"/>
      <c r="N127" s="90"/>
      <c r="O127" s="90"/>
      <c r="P127" s="90"/>
    </row>
    <row r="128" spans="6:61">
      <c r="F128" s="5"/>
      <c r="N128" s="90"/>
      <c r="O128" s="90"/>
      <c r="P128" s="90"/>
    </row>
    <row r="129" spans="6:16">
      <c r="F129" s="6"/>
      <c r="N129" s="90"/>
      <c r="O129" s="90"/>
      <c r="P129" s="90"/>
    </row>
    <row r="130" spans="6:16">
      <c r="F130" s="6"/>
      <c r="N130" s="89"/>
      <c r="O130" s="89"/>
      <c r="P130" s="89"/>
    </row>
    <row r="131" spans="6:16">
      <c r="F131" s="6"/>
      <c r="N131" s="90"/>
      <c r="O131" s="90"/>
      <c r="P131" s="90"/>
    </row>
    <row r="132" spans="6:16">
      <c r="F132" s="5"/>
      <c r="N132" s="90"/>
      <c r="O132" s="90"/>
      <c r="P132" s="90"/>
    </row>
    <row r="133" spans="6:16">
      <c r="F133" s="6"/>
      <c r="N133" s="90"/>
      <c r="O133" s="90"/>
      <c r="P133" s="90"/>
    </row>
    <row r="134" spans="6:16">
      <c r="F134" s="6"/>
      <c r="N134" s="89"/>
      <c r="O134" s="89"/>
      <c r="P134" s="89"/>
    </row>
    <row r="135" spans="6:16">
      <c r="F135" s="6"/>
      <c r="N135" s="90"/>
      <c r="O135" s="90"/>
      <c r="P135" s="90"/>
    </row>
    <row r="136" spans="6:16">
      <c r="F136" s="6"/>
      <c r="N136" s="90"/>
      <c r="O136" s="90"/>
      <c r="P136" s="90"/>
    </row>
    <row r="137" spans="6:16">
      <c r="F137" s="5"/>
      <c r="N137" s="90"/>
      <c r="O137" s="90"/>
      <c r="P137" s="90"/>
    </row>
    <row r="138" spans="6:16">
      <c r="F138" s="6"/>
      <c r="N138" s="89"/>
      <c r="O138" s="89"/>
      <c r="P138" s="89"/>
    </row>
    <row r="139" spans="6:16">
      <c r="F139" s="6"/>
      <c r="N139" s="90"/>
      <c r="O139" s="90"/>
      <c r="P139" s="90"/>
    </row>
    <row r="140" spans="6:16">
      <c r="F140" s="6"/>
      <c r="N140" s="90"/>
      <c r="O140" s="90"/>
      <c r="P140" s="90"/>
    </row>
    <row r="141" spans="6:16">
      <c r="F141" s="5"/>
      <c r="N141" s="90"/>
      <c r="O141" s="90"/>
      <c r="P141" s="90"/>
    </row>
    <row r="142" spans="6:16">
      <c r="N142" s="90"/>
      <c r="O142" s="90"/>
      <c r="P142" s="90"/>
    </row>
    <row r="143" spans="6:16">
      <c r="N143" s="89"/>
      <c r="O143" s="89"/>
      <c r="P143" s="89"/>
    </row>
    <row r="144" spans="6:16">
      <c r="N144" s="90"/>
      <c r="O144" s="90"/>
      <c r="P144" s="90"/>
    </row>
    <row r="145" spans="14:16">
      <c r="N145" s="90"/>
      <c r="O145" s="90"/>
      <c r="P145" s="90"/>
    </row>
    <row r="146" spans="14:16">
      <c r="N146" s="90"/>
      <c r="O146" s="90"/>
      <c r="P146" s="90"/>
    </row>
    <row r="147" spans="14:16">
      <c r="N147" s="89"/>
      <c r="O147" s="89"/>
      <c r="P147" s="89"/>
    </row>
  </sheetData>
  <mergeCells count="7">
    <mergeCell ref="Y125:Z125"/>
    <mergeCell ref="W125:X125"/>
    <mergeCell ref="Y117:Z117"/>
    <mergeCell ref="G5:Z5"/>
    <mergeCell ref="W117:X117"/>
    <mergeCell ref="G57:Z57"/>
    <mergeCell ref="G31:Z31"/>
  </mergeCells>
  <phoneticPr fontId="10" type="noConversion"/>
  <pageMargins left="0.5" right="0.5" top="0.5" bottom="0.75" header="0.27" footer="0.21"/>
  <pageSetup scale="84" orientation="landscape" r:id="rId1"/>
  <headerFooter alignWithMargins="0">
    <oddHeader>&amp;L&amp;12GREENHOUSE GAS INVENTORY:  ENERGY</oddHeader>
    <oddFooter>&amp;LPage &amp;P of &amp;N&amp;C&amp;F  &amp;A&amp;R&amp;D  &amp;T</oddFooter>
  </headerFooter>
  <rowBreaks count="2" manualBreakCount="2">
    <brk id="29" max="16383" man="1"/>
    <brk id="81" max="16383"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BL70"/>
  <sheetViews>
    <sheetView workbookViewId="0">
      <selection activeCell="H20" sqref="H20"/>
    </sheetView>
  </sheetViews>
  <sheetFormatPr defaultColWidth="9" defaultRowHeight="12.95"/>
  <cols>
    <col min="1" max="1" width="10.6640625" style="1" customWidth="1"/>
    <col min="2" max="2" width="31" style="1" customWidth="1"/>
    <col min="3" max="3" width="13" style="1" customWidth="1"/>
    <col min="4" max="4" width="17" style="1" bestFit="1" customWidth="1"/>
    <col min="5" max="29" width="11" style="1" customWidth="1"/>
    <col min="30" max="35" width="11.6640625" style="1" customWidth="1"/>
    <col min="36" max="37" width="18" style="1" customWidth="1"/>
    <col min="38" max="38" width="21" style="1" customWidth="1"/>
    <col min="39" max="39" width="13" style="1" customWidth="1"/>
    <col min="40" max="40" width="17" style="1" customWidth="1"/>
    <col min="41" max="67" width="10" style="1" customWidth="1"/>
    <col min="68" max="68" width="10.5" style="1" bestFit="1" customWidth="1"/>
    <col min="69" max="16384" width="9" style="1"/>
  </cols>
  <sheetData>
    <row r="1" spans="1:64" ht="17.45">
      <c r="A1" s="1238" t="s">
        <v>1587</v>
      </c>
      <c r="B1" s="1238"/>
      <c r="C1" s="361"/>
    </row>
    <row r="2" spans="1:64">
      <c r="A2" s="1239" t="s">
        <v>1588</v>
      </c>
      <c r="B2" s="1239"/>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row>
    <row r="3" spans="1:64">
      <c r="C3" s="3"/>
      <c r="D3" s="3"/>
      <c r="E3" s="3"/>
      <c r="F3" s="3"/>
      <c r="G3" s="3"/>
      <c r="H3" s="3"/>
      <c r="I3" s="3"/>
      <c r="J3" s="3"/>
      <c r="K3" s="58"/>
      <c r="L3" s="58"/>
      <c r="M3" s="58"/>
      <c r="N3" s="58"/>
      <c r="O3" s="58"/>
      <c r="P3" s="58"/>
      <c r="Q3" s="58"/>
      <c r="R3" s="58"/>
      <c r="S3" s="58"/>
      <c r="T3" s="58"/>
      <c r="U3" s="58"/>
      <c r="V3" s="58"/>
    </row>
    <row r="4" spans="1:64">
      <c r="B4" s="4" t="s">
        <v>1503</v>
      </c>
      <c r="C4" s="28">
        <v>1990</v>
      </c>
      <c r="D4" s="28">
        <v>1991</v>
      </c>
      <c r="E4" s="28">
        <v>1992</v>
      </c>
      <c r="F4" s="28">
        <v>1993</v>
      </c>
      <c r="G4" s="28">
        <v>1994</v>
      </c>
      <c r="H4" s="28">
        <v>1995</v>
      </c>
      <c r="I4" s="28">
        <v>1996</v>
      </c>
      <c r="J4" s="28">
        <v>1997</v>
      </c>
      <c r="K4" s="59">
        <v>1998</v>
      </c>
      <c r="L4" s="59">
        <v>1999</v>
      </c>
      <c r="M4" s="59">
        <v>2000</v>
      </c>
      <c r="N4" s="59">
        <v>2001</v>
      </c>
      <c r="O4" s="59">
        <v>2002</v>
      </c>
      <c r="P4" s="59">
        <v>2003</v>
      </c>
      <c r="Q4" s="59">
        <v>2004</v>
      </c>
      <c r="R4" s="59">
        <v>2005</v>
      </c>
      <c r="S4" s="59">
        <v>2006</v>
      </c>
      <c r="T4" s="59">
        <v>2007</v>
      </c>
      <c r="U4" s="59">
        <v>2008</v>
      </c>
      <c r="V4" s="59">
        <v>2009</v>
      </c>
      <c r="W4" s="59">
        <v>2010</v>
      </c>
      <c r="X4" s="59">
        <v>2011</v>
      </c>
      <c r="Y4" s="59">
        <v>2012</v>
      </c>
      <c r="Z4" s="59">
        <v>2013</v>
      </c>
      <c r="AA4" s="59">
        <v>2014</v>
      </c>
      <c r="AB4" s="59">
        <v>2015</v>
      </c>
      <c r="AC4" s="59">
        <v>2016</v>
      </c>
      <c r="AD4" s="59">
        <v>2017</v>
      </c>
      <c r="AE4" s="59">
        <v>2018</v>
      </c>
      <c r="AF4" s="59">
        <v>2019</v>
      </c>
      <c r="AG4" s="59">
        <v>2020</v>
      </c>
      <c r="AH4" s="59">
        <v>2021</v>
      </c>
      <c r="AI4" s="59">
        <v>2022</v>
      </c>
      <c r="AJ4" s="712" t="s">
        <v>1528</v>
      </c>
      <c r="AK4" s="712"/>
    </row>
    <row r="5" spans="1:64">
      <c r="A5" s="27"/>
      <c r="B5" s="5" t="s">
        <v>1434</v>
      </c>
      <c r="C5" s="27">
        <f t="shared" ref="C5:R5" si="0">SUM(C6:C8)</f>
        <v>5893.3345404395432</v>
      </c>
      <c r="D5" s="27">
        <f t="shared" si="0"/>
        <v>6074.5307159096701</v>
      </c>
      <c r="E5" s="27">
        <f t="shared" si="0"/>
        <v>6196.4745550889129</v>
      </c>
      <c r="F5" s="27">
        <f t="shared" si="0"/>
        <v>6433.0802409075968</v>
      </c>
      <c r="G5" s="27">
        <f t="shared" si="0"/>
        <v>6284.3906598920257</v>
      </c>
      <c r="H5" s="27">
        <f t="shared" si="0"/>
        <v>6230.9598536056765</v>
      </c>
      <c r="I5" s="27">
        <f t="shared" si="0"/>
        <v>6765.9843240227738</v>
      </c>
      <c r="J5" s="27">
        <f t="shared" si="0"/>
        <v>6440.9104289960051</v>
      </c>
      <c r="K5" s="27">
        <f t="shared" si="0"/>
        <v>5863.1331198696553</v>
      </c>
      <c r="L5" s="27">
        <f t="shared" si="0"/>
        <v>6189.1115367682578</v>
      </c>
      <c r="M5" s="27">
        <f t="shared" si="0"/>
        <v>6541.3833985358306</v>
      </c>
      <c r="N5" s="27">
        <f t="shared" si="0"/>
        <v>6361.4826877685609</v>
      </c>
      <c r="O5" s="27">
        <f t="shared" si="0"/>
        <v>6363.3029860058978</v>
      </c>
      <c r="P5" s="27">
        <f t="shared" si="0"/>
        <v>6684.8429471630052</v>
      </c>
      <c r="Q5" s="27">
        <f t="shared" si="0"/>
        <v>6462.6705347326579</v>
      </c>
      <c r="R5" s="27">
        <f t="shared" si="0"/>
        <v>6317.3539051394182</v>
      </c>
      <c r="S5" s="27">
        <f t="shared" ref="S5:X5" si="1">SUM(S6:S8)</f>
        <v>5667.8487971365057</v>
      </c>
      <c r="T5" s="27">
        <f t="shared" si="1"/>
        <v>6035.9013662373909</v>
      </c>
      <c r="U5" s="27">
        <f t="shared" si="1"/>
        <v>6190.8500883082324</v>
      </c>
      <c r="V5" s="27">
        <f t="shared" si="1"/>
        <v>6003.3061494952344</v>
      </c>
      <c r="W5" s="27">
        <f t="shared" si="1"/>
        <v>5977.9624798329278</v>
      </c>
      <c r="X5" s="27">
        <f t="shared" si="1"/>
        <v>5840.9159037068766</v>
      </c>
      <c r="Y5" s="27">
        <f t="shared" ref="Y5:AF5" si="2">SUM(Y6:Y8)</f>
        <v>5076.9379758204132</v>
      </c>
      <c r="Z5" s="27">
        <f t="shared" si="2"/>
        <v>5941.8656153366228</v>
      </c>
      <c r="AA5" s="27">
        <f t="shared" si="2"/>
        <v>6248.3324064308654</v>
      </c>
      <c r="AB5" s="27">
        <f t="shared" si="2"/>
        <v>5720.0479567126313</v>
      </c>
      <c r="AC5" s="27">
        <f t="shared" si="2"/>
        <v>5310.72990733199</v>
      </c>
      <c r="AD5" s="27">
        <f t="shared" si="2"/>
        <v>5337.1170504766333</v>
      </c>
      <c r="AE5" s="27">
        <f t="shared" si="2"/>
        <v>6129.8707247370448</v>
      </c>
      <c r="AF5" s="27">
        <f t="shared" si="2"/>
        <v>6203.3515340032218</v>
      </c>
      <c r="AG5" s="27">
        <f t="shared" ref="AG5:AH5" si="3">SUM(AG6:AG8)</f>
        <v>5709.2610667624795</v>
      </c>
      <c r="AH5" s="27">
        <f t="shared" si="3"/>
        <v>5763.6603411342603</v>
      </c>
      <c r="AI5" s="27">
        <f t="shared" ref="AI5" si="4">SUM(AI6:AI8)</f>
        <v>6038.3386301349019</v>
      </c>
      <c r="AJ5" s="26"/>
      <c r="AK5" s="26"/>
    </row>
    <row r="6" spans="1:64">
      <c r="A6" s="26"/>
      <c r="B6" s="6" t="s">
        <v>1435</v>
      </c>
      <c r="C6" s="26">
        <f>'Consumption Input'!E7</f>
        <v>31.113999999999997</v>
      </c>
      <c r="D6" s="26">
        <f>'Consumption Input'!F7</f>
        <v>25.354999999999997</v>
      </c>
      <c r="E6" s="26">
        <f>'Consumption Input'!G7</f>
        <v>25.588999999999995</v>
      </c>
      <c r="F6" s="26">
        <f>'Consumption Input'!H7</f>
        <v>25.748999999999999</v>
      </c>
      <c r="G6" s="26">
        <f>'Consumption Input'!I7</f>
        <v>20.844999999999999</v>
      </c>
      <c r="H6" s="26">
        <f>'Consumption Input'!J7</f>
        <v>17.451000000000001</v>
      </c>
      <c r="I6" s="26">
        <f>'Consumption Input'!K7</f>
        <v>16.583999999999996</v>
      </c>
      <c r="J6" s="26">
        <f>'Consumption Input'!L7</f>
        <v>15.991999999999999</v>
      </c>
      <c r="K6" s="26">
        <f>'Consumption Input'!M7</f>
        <v>11.547999999999998</v>
      </c>
      <c r="L6" s="26">
        <f>'Consumption Input'!N7</f>
        <v>13.981</v>
      </c>
      <c r="M6" s="26">
        <f>'Consumption Input'!O7</f>
        <v>11.358000000000001</v>
      </c>
      <c r="N6" s="26">
        <f>'Consumption Input'!P7</f>
        <v>11.971</v>
      </c>
      <c r="O6" s="26">
        <f>'Consumption Input'!Q7</f>
        <v>12.247999999999998</v>
      </c>
      <c r="P6" s="26">
        <f>'Consumption Input'!R7</f>
        <v>12.246999999999998</v>
      </c>
      <c r="Q6" s="26">
        <f>'Consumption Input'!S7</f>
        <v>11.433999999999999</v>
      </c>
      <c r="R6" s="26">
        <f>'Consumption Input'!T7</f>
        <v>8.4350000000000005</v>
      </c>
      <c r="S6" s="26">
        <f>'Consumption Input'!U7</f>
        <v>6.4080000000000004</v>
      </c>
      <c r="T6" s="26">
        <f>'Consumption Input'!V7</f>
        <v>7.782</v>
      </c>
      <c r="U6" s="26">
        <f>'Consumption Input'!W7</f>
        <v>0</v>
      </c>
      <c r="V6" s="26">
        <f>'Consumption Input'!X7</f>
        <v>0</v>
      </c>
      <c r="W6" s="26">
        <f>'Consumption Input'!Y7</f>
        <v>0</v>
      </c>
      <c r="X6" s="26">
        <f>'Consumption Input'!Z7</f>
        <v>0</v>
      </c>
      <c r="Y6" s="26">
        <f>'Consumption Input'!AA7</f>
        <v>0</v>
      </c>
      <c r="Z6" s="26">
        <f>'Consumption Input'!AB7</f>
        <v>0</v>
      </c>
      <c r="AA6" s="26">
        <f>'Consumption Input'!AC7</f>
        <v>0</v>
      </c>
      <c r="AB6" s="26">
        <f>'Consumption Input'!AD7</f>
        <v>0</v>
      </c>
      <c r="AC6" s="26">
        <f>'Consumption Input'!AE7</f>
        <v>0</v>
      </c>
      <c r="AD6" s="26">
        <f>'Consumption Input'!AF7</f>
        <v>0</v>
      </c>
      <c r="AE6" s="26">
        <f>'Consumption Input'!AG7</f>
        <v>0</v>
      </c>
      <c r="AF6" s="26">
        <f>'Consumption Input'!AH7</f>
        <v>0</v>
      </c>
      <c r="AG6" s="26">
        <f>'Consumption Input'!AI7</f>
        <v>0</v>
      </c>
      <c r="AH6" s="26">
        <f>'Consumption Input'!AJ7</f>
        <v>0</v>
      </c>
      <c r="AI6" s="26">
        <f>'Consumption Input'!AK7</f>
        <v>0</v>
      </c>
      <c r="AJ6" s="26"/>
      <c r="AK6" s="26"/>
    </row>
    <row r="7" spans="1:64">
      <c r="A7" s="26"/>
      <c r="B7" s="6" t="s">
        <v>1439</v>
      </c>
      <c r="C7" s="26">
        <f>'Consumption Input'!E8</f>
        <v>4486.5529999999999</v>
      </c>
      <c r="D7" s="26">
        <f>'Consumption Input'!F8</f>
        <v>4667.223</v>
      </c>
      <c r="E7" s="26">
        <f>'Consumption Input'!G8</f>
        <v>4804.5809999999992</v>
      </c>
      <c r="F7" s="26">
        <f>'Consumption Input'!H8</f>
        <v>5058.3729999999996</v>
      </c>
      <c r="G7" s="26">
        <f>'Consumption Input'!I8</f>
        <v>4959.84</v>
      </c>
      <c r="H7" s="26">
        <f>'Consumption Input'!J8</f>
        <v>4954.1890000000003</v>
      </c>
      <c r="I7" s="26">
        <f>'Consumption Input'!K8</f>
        <v>5354.3890000000001</v>
      </c>
      <c r="J7" s="26">
        <f>'Consumption Input'!L8</f>
        <v>5092.9189999999999</v>
      </c>
      <c r="K7" s="26">
        <f>'Consumption Input'!M8</f>
        <v>4646.0870000000004</v>
      </c>
      <c r="L7" s="26">
        <f>'Consumption Input'!N8</f>
        <v>4834.8990000000003</v>
      </c>
      <c r="M7" s="26">
        <f>'Consumption Input'!O8</f>
        <v>5104.5929999999989</v>
      </c>
      <c r="N7" s="26">
        <f>'Consumption Input'!P8</f>
        <v>4889.018</v>
      </c>
      <c r="O7" s="26">
        <f>'Consumption Input'!Q8</f>
        <v>4994.9939999999988</v>
      </c>
      <c r="P7" s="26">
        <f>'Consumption Input'!R8</f>
        <v>5209.4279999999999</v>
      </c>
      <c r="Q7" s="26">
        <f>'Consumption Input'!S8</f>
        <v>4980.8310000000001</v>
      </c>
      <c r="R7" s="26">
        <f>'Consumption Input'!T8</f>
        <v>4946.3540000000003</v>
      </c>
      <c r="S7" s="26">
        <f>'Consumption Input'!U8</f>
        <v>4475.9129999999996</v>
      </c>
      <c r="T7" s="26">
        <f>'Consumption Input'!V8</f>
        <v>4835.4399999999996</v>
      </c>
      <c r="U7" s="26">
        <f>'Consumption Input'!W8</f>
        <v>5010.0609999999997</v>
      </c>
      <c r="V7" s="26">
        <f>'Consumption Input'!X8</f>
        <v>4883.1119999999992</v>
      </c>
      <c r="W7" s="26">
        <f>'Consumption Input'!Y8</f>
        <v>4878.1109999999999</v>
      </c>
      <c r="X7" s="26">
        <f>'Consumption Input'!Z8</f>
        <v>4804.5789999999997</v>
      </c>
      <c r="Y7" s="26">
        <f>'Consumption Input'!AA8</f>
        <v>4242.0940000000001</v>
      </c>
      <c r="Z7" s="26">
        <f>'Consumption Input'!AB8</f>
        <v>5022.9419999999991</v>
      </c>
      <c r="AA7" s="26">
        <f>'Consumption Input'!AC8</f>
        <v>5242.4830000000002</v>
      </c>
      <c r="AB7" s="26">
        <f>'Consumption Input'!AD8</f>
        <v>4776.9269999999997</v>
      </c>
      <c r="AC7" s="26">
        <f>'Consumption Input'!AE8</f>
        <v>4505.8440000000001</v>
      </c>
      <c r="AD7" s="26">
        <f>'Consumption Input'!AF8</f>
        <v>4563.4719999999998</v>
      </c>
      <c r="AE7" s="26">
        <f>'Consumption Input'!AG8</f>
        <v>5174.3940000000002</v>
      </c>
      <c r="AF7" s="26">
        <f>'Consumption Input'!AH8</f>
        <v>5208.0320000000002</v>
      </c>
      <c r="AG7" s="26">
        <f>'Consumption Input'!AI8</f>
        <v>4845.6809999999996</v>
      </c>
      <c r="AH7" s="26">
        <f>'Consumption Input'!AJ8</f>
        <v>4888.8850000000002</v>
      </c>
      <c r="AI7" s="26">
        <f>'Consumption Input'!AK8</f>
        <v>5139.8580000000002</v>
      </c>
      <c r="AJ7" s="26"/>
      <c r="AK7" s="26"/>
    </row>
    <row r="8" spans="1:64">
      <c r="A8" s="26"/>
      <c r="B8" s="6" t="s">
        <v>1440</v>
      </c>
      <c r="C8" s="26">
        <f>SUM('Consumption Input'!E9:E11)</f>
        <v>1375.6675404395437</v>
      </c>
      <c r="D8" s="26">
        <f>SUM('Consumption Input'!F9:F11)</f>
        <v>1381.9527159096701</v>
      </c>
      <c r="E8" s="26">
        <f>SUM('Consumption Input'!G9:G11)</f>
        <v>1366.3045550889135</v>
      </c>
      <c r="F8" s="26">
        <f>SUM('Consumption Input'!H9:H11)</f>
        <v>1348.9582409075979</v>
      </c>
      <c r="G8" s="26">
        <f>SUM('Consumption Input'!I9:I11)</f>
        <v>1303.7056598920256</v>
      </c>
      <c r="H8" s="26">
        <f>SUM('Consumption Input'!J9:J11)</f>
        <v>1259.3198536056766</v>
      </c>
      <c r="I8" s="26">
        <f>SUM('Consumption Input'!K9:K11)</f>
        <v>1395.011324022774</v>
      </c>
      <c r="J8" s="26">
        <f>SUM('Consumption Input'!L9:L11)</f>
        <v>1331.9994289960048</v>
      </c>
      <c r="K8" s="26">
        <f>SUM('Consumption Input'!M9:M11)</f>
        <v>1205.4981198696548</v>
      </c>
      <c r="L8" s="26">
        <f>SUM('Consumption Input'!N9:N11)</f>
        <v>1340.2315367682581</v>
      </c>
      <c r="M8" s="26">
        <f>SUM('Consumption Input'!O9:O11)</f>
        <v>1425.4323985358319</v>
      </c>
      <c r="N8" s="26">
        <f>SUM('Consumption Input'!P9:P11)</f>
        <v>1460.4936877685618</v>
      </c>
      <c r="O8" s="26">
        <f>SUM('Consumption Input'!Q9:Q11)</f>
        <v>1356.0609860058994</v>
      </c>
      <c r="P8" s="26">
        <f>SUM('Consumption Input'!R9:R11)</f>
        <v>1463.1679471630052</v>
      </c>
      <c r="Q8" s="26">
        <f>SUM('Consumption Input'!S9:S11)</f>
        <v>1470.4055347326575</v>
      </c>
      <c r="R8" s="26">
        <f>SUM('Consumption Input'!T9:T11)</f>
        <v>1362.5649051394173</v>
      </c>
      <c r="S8" s="26">
        <f>SUM('Consumption Input'!U9:U11)</f>
        <v>1185.5277971365058</v>
      </c>
      <c r="T8" s="26">
        <f>SUM('Consumption Input'!V9:V11)</f>
        <v>1192.6793662373909</v>
      </c>
      <c r="U8" s="26">
        <f>SUM('Consumption Input'!W9:W11)</f>
        <v>1180.7890883082323</v>
      </c>
      <c r="V8" s="26">
        <f>SUM('Consumption Input'!X9:X11)</f>
        <v>1120.1941494952348</v>
      </c>
      <c r="W8" s="26">
        <f>SUM('Consumption Input'!Y9:Y11)</f>
        <v>1099.8514798329275</v>
      </c>
      <c r="X8" s="26">
        <f>SUM('Consumption Input'!Z9:Z11)</f>
        <v>1036.3369037068765</v>
      </c>
      <c r="Y8" s="26">
        <f>SUM('Consumption Input'!AA9:AA11)</f>
        <v>834.84397582041333</v>
      </c>
      <c r="Z8" s="26">
        <f>SUM('Consumption Input'!AB9:AB11)</f>
        <v>918.92361533662393</v>
      </c>
      <c r="AA8" s="26">
        <f>SUM('Consumption Input'!AC9:AC11)</f>
        <v>1005.8494064308652</v>
      </c>
      <c r="AB8" s="26">
        <f>SUM('Consumption Input'!AD9:AD11)</f>
        <v>943.12095671263205</v>
      </c>
      <c r="AC8" s="26">
        <f>SUM('Consumption Input'!AE9:AE11)</f>
        <v>804.88590733198987</v>
      </c>
      <c r="AD8" s="26">
        <f>SUM('Consumption Input'!AF9:AF11)</f>
        <v>773.64505047663374</v>
      </c>
      <c r="AE8" s="26">
        <f>SUM('Consumption Input'!AG9:AG11)</f>
        <v>955.47672473704495</v>
      </c>
      <c r="AF8" s="26">
        <f>SUM('Consumption Input'!AH9:AH11)</f>
        <v>995.31953400322186</v>
      </c>
      <c r="AG8" s="26">
        <f>SUM('Consumption Input'!AI9:AI11)</f>
        <v>863.58006676248033</v>
      </c>
      <c r="AH8" s="26">
        <f>SUM('Consumption Input'!AJ9:AJ11)</f>
        <v>874.77534113425963</v>
      </c>
      <c r="AI8" s="26">
        <f>SUM('Consumption Input'!AK9:AK11)</f>
        <v>898.4806301349015</v>
      </c>
      <c r="AJ8" s="26"/>
      <c r="AK8" s="26"/>
    </row>
    <row r="9" spans="1:64">
      <c r="A9" s="27"/>
      <c r="B9" s="5" t="s">
        <v>1441</v>
      </c>
      <c r="C9" s="27">
        <f t="shared" ref="C9:R9" si="5">SUM(C10:C12)</f>
        <v>3826.5304584610712</v>
      </c>
      <c r="D9" s="27">
        <f t="shared" si="5"/>
        <v>3922.4481333986005</v>
      </c>
      <c r="E9" s="27">
        <f t="shared" si="5"/>
        <v>3878.0988877250243</v>
      </c>
      <c r="F9" s="27">
        <f t="shared" si="5"/>
        <v>3822.0428901488199</v>
      </c>
      <c r="G9" s="27">
        <f t="shared" si="5"/>
        <v>3857.1843432377186</v>
      </c>
      <c r="H9" s="27">
        <f t="shared" si="5"/>
        <v>3936.8559134378102</v>
      </c>
      <c r="I9" s="27">
        <f t="shared" si="5"/>
        <v>4107.4791393430396</v>
      </c>
      <c r="J9" s="27">
        <f t="shared" si="5"/>
        <v>4127.0458451323502</v>
      </c>
      <c r="K9" s="27">
        <f t="shared" si="5"/>
        <v>3842.499007357449</v>
      </c>
      <c r="L9" s="27">
        <f t="shared" si="5"/>
        <v>3857.9613935117422</v>
      </c>
      <c r="M9" s="27">
        <f t="shared" si="5"/>
        <v>4110.1695246670042</v>
      </c>
      <c r="N9" s="27">
        <f t="shared" si="5"/>
        <v>3956.0440897241292</v>
      </c>
      <c r="O9" s="27">
        <f t="shared" si="5"/>
        <v>3996.7902614225236</v>
      </c>
      <c r="P9" s="27">
        <f t="shared" si="5"/>
        <v>4166.0176905808939</v>
      </c>
      <c r="Q9" s="27">
        <f t="shared" si="5"/>
        <v>4112.0283590578238</v>
      </c>
      <c r="R9" s="27">
        <f t="shared" si="5"/>
        <v>3928.924805696262</v>
      </c>
      <c r="S9" s="27">
        <f t="shared" ref="S9:X9" si="6">SUM(S10:S12)</f>
        <v>3678.8476914177982</v>
      </c>
      <c r="T9" s="27">
        <f t="shared" si="6"/>
        <v>3882.9793106338357</v>
      </c>
      <c r="U9" s="27">
        <f t="shared" si="6"/>
        <v>3988.5609096956832</v>
      </c>
      <c r="V9" s="27">
        <f t="shared" si="6"/>
        <v>3983.0636375768054</v>
      </c>
      <c r="W9" s="27">
        <f t="shared" si="6"/>
        <v>3929.8087048315488</v>
      </c>
      <c r="X9" s="27">
        <f t="shared" si="6"/>
        <v>3949.7241481314886</v>
      </c>
      <c r="Y9" s="27">
        <f t="shared" ref="Y9:Z9" si="7">SUM(Y10:Y12)</f>
        <v>3555.428459163465</v>
      </c>
      <c r="Z9" s="27">
        <f t="shared" si="7"/>
        <v>4003.276362143155</v>
      </c>
      <c r="AA9" s="27">
        <f t="shared" ref="AA9:AF9" si="8">SUM(AA10:AA12)</f>
        <v>4171.9946318551629</v>
      </c>
      <c r="AB9" s="27">
        <f t="shared" si="8"/>
        <v>4287.3651164133498</v>
      </c>
      <c r="AC9" s="27">
        <f t="shared" si="8"/>
        <v>4085.9894477908783</v>
      </c>
      <c r="AD9" s="27">
        <f t="shared" si="8"/>
        <v>4108.0357873369694</v>
      </c>
      <c r="AE9" s="27">
        <f t="shared" si="8"/>
        <v>4397.8168118950462</v>
      </c>
      <c r="AF9" s="27">
        <f t="shared" si="8"/>
        <v>4479.3820781789418</v>
      </c>
      <c r="AG9" s="27">
        <f t="shared" ref="AG9:AH9" si="9">SUM(AG10:AG12)</f>
        <v>4073.2220786778184</v>
      </c>
      <c r="AH9" s="27">
        <f t="shared" si="9"/>
        <v>4223.4979273942545</v>
      </c>
      <c r="AI9" s="27">
        <f t="shared" ref="AI9" si="10">SUM(AI10:AI12)</f>
        <v>4380.2999640186235</v>
      </c>
      <c r="AJ9" s="26"/>
      <c r="AK9" s="26"/>
    </row>
    <row r="10" spans="1:64">
      <c r="A10" s="26"/>
      <c r="B10" s="6" t="s">
        <v>1435</v>
      </c>
      <c r="C10" s="26">
        <f>'Consumption Input'!E13</f>
        <v>124.45599999999999</v>
      </c>
      <c r="D10" s="26">
        <f>'Consumption Input'!F13</f>
        <v>115.505</v>
      </c>
      <c r="E10" s="26">
        <f>'Consumption Input'!G13</f>
        <v>116.57</v>
      </c>
      <c r="F10" s="26">
        <f>'Consumption Input'!H13</f>
        <v>117.30200000000001</v>
      </c>
      <c r="G10" s="26">
        <f>'Consumption Input'!I13</f>
        <v>118.119</v>
      </c>
      <c r="H10" s="26">
        <f>'Consumption Input'!J13</f>
        <v>116.788</v>
      </c>
      <c r="I10" s="26">
        <f>'Consumption Input'!K13</f>
        <v>121.613</v>
      </c>
      <c r="J10" s="26">
        <f>'Consumption Input'!L13</f>
        <v>129.39099999999996</v>
      </c>
      <c r="K10" s="26">
        <f>'Consumption Input'!M13</f>
        <v>93.436000000000007</v>
      </c>
      <c r="L10" s="26">
        <f>'Consumption Input'!N13</f>
        <v>102.524</v>
      </c>
      <c r="M10" s="26">
        <f>'Consumption Input'!O13</f>
        <v>91.894999999999982</v>
      </c>
      <c r="N10" s="26">
        <f>'Consumption Input'!P13</f>
        <v>96.858000000000004</v>
      </c>
      <c r="O10" s="26">
        <f>'Consumption Input'!Q13</f>
        <v>89.82</v>
      </c>
      <c r="P10" s="26">
        <f>'Consumption Input'!R13</f>
        <v>81.962999999999994</v>
      </c>
      <c r="Q10" s="26">
        <f>'Consumption Input'!S13</f>
        <v>102.904</v>
      </c>
      <c r="R10" s="26">
        <f>'Consumption Input'!T13</f>
        <v>96.998999999999995</v>
      </c>
      <c r="S10" s="26">
        <f>'Consumption Input'!U13</f>
        <v>64.789000000000001</v>
      </c>
      <c r="T10" s="26">
        <f>'Consumption Input'!V13</f>
        <v>70.034999999999997</v>
      </c>
      <c r="U10" s="26">
        <f>'Consumption Input'!W13</f>
        <v>80.757000000000005</v>
      </c>
      <c r="V10" s="26">
        <f>'Consumption Input'!X13</f>
        <v>73.35299999999998</v>
      </c>
      <c r="W10" s="26">
        <f>'Consumption Input'!Y13</f>
        <v>69.653999999999996</v>
      </c>
      <c r="X10" s="26">
        <f>'Consumption Input'!Z13</f>
        <v>61.715000000000003</v>
      </c>
      <c r="Y10" s="26">
        <f>'Consumption Input'!AA13</f>
        <v>43.552</v>
      </c>
      <c r="Z10" s="26">
        <f>'Consumption Input'!AB13</f>
        <v>41.427999999999997</v>
      </c>
      <c r="AA10" s="26">
        <f>'Consumption Input'!AC13</f>
        <v>40.204000000000001</v>
      </c>
      <c r="AB10" s="26">
        <f>'Consumption Input'!AD13</f>
        <v>31.119</v>
      </c>
      <c r="AC10" s="26">
        <f>'Consumption Input'!AE13</f>
        <v>23.745999999999999</v>
      </c>
      <c r="AD10" s="26">
        <f>'Consumption Input'!AF13</f>
        <v>20.657</v>
      </c>
      <c r="AE10" s="26">
        <f>'Consumption Input'!AG13</f>
        <v>18.721</v>
      </c>
      <c r="AF10" s="26">
        <f>'Consumption Input'!AH13</f>
        <v>16.716000000000001</v>
      </c>
      <c r="AG10" s="26">
        <f>'Consumption Input'!AI13</f>
        <v>14.512</v>
      </c>
      <c r="AH10" s="26">
        <f>'Consumption Input'!AJ13</f>
        <v>14.914999999999999</v>
      </c>
      <c r="AI10" s="26">
        <f>'Consumption Input'!AK13</f>
        <v>14.461</v>
      </c>
      <c r="AJ10" s="26"/>
      <c r="AK10" s="26"/>
    </row>
    <row r="11" spans="1:64">
      <c r="A11" s="26"/>
      <c r="B11" s="6" t="s">
        <v>1439</v>
      </c>
      <c r="C11" s="26">
        <f>'Consumption Input'!E14</f>
        <v>2679.5970000000002</v>
      </c>
      <c r="D11" s="26">
        <f>'Consumption Input'!F14</f>
        <v>2795.4009999999998</v>
      </c>
      <c r="E11" s="26">
        <f>'Consumption Input'!G14</f>
        <v>2871.1860000000001</v>
      </c>
      <c r="F11" s="26">
        <f>'Consumption Input'!H14</f>
        <v>2920.4160000000002</v>
      </c>
      <c r="G11" s="26">
        <f>'Consumption Input'!I14</f>
        <v>2961.9810000000002</v>
      </c>
      <c r="H11" s="26">
        <f>'Consumption Input'!J14</f>
        <v>3095.989</v>
      </c>
      <c r="I11" s="26">
        <f>'Consumption Input'!K14</f>
        <v>3226.317</v>
      </c>
      <c r="J11" s="26">
        <f>'Consumption Input'!L14</f>
        <v>3285.32</v>
      </c>
      <c r="K11" s="26">
        <f>'Consumption Input'!M14</f>
        <v>3082.9749999999999</v>
      </c>
      <c r="L11" s="26">
        <f>'Consumption Input'!N14</f>
        <v>3115.0309999999999</v>
      </c>
      <c r="M11" s="26">
        <f>'Consumption Input'!O14</f>
        <v>3251.5259999999998</v>
      </c>
      <c r="N11" s="26">
        <f>'Consumption Input'!P14</f>
        <v>3097.2620000000002</v>
      </c>
      <c r="O11" s="26">
        <f>'Consumption Input'!Q14</f>
        <v>3212.4560000000001</v>
      </c>
      <c r="P11" s="26">
        <f>'Consumption Input'!R14</f>
        <v>3260.9160000000002</v>
      </c>
      <c r="Q11" s="26">
        <f>'Consumption Input'!S14</f>
        <v>3200.9720000000002</v>
      </c>
      <c r="R11" s="26">
        <f>'Consumption Input'!T14</f>
        <v>3073.2159999999999</v>
      </c>
      <c r="S11" s="26">
        <f>'Consumption Input'!U14</f>
        <v>2901.6869999999999</v>
      </c>
      <c r="T11" s="26">
        <f>'Consumption Input'!V14</f>
        <v>3085.0520000000001</v>
      </c>
      <c r="U11" s="26">
        <f>'Consumption Input'!W14</f>
        <v>3228.4290000000001</v>
      </c>
      <c r="V11" s="26">
        <f>'Consumption Input'!X14</f>
        <v>3186.5940000000001</v>
      </c>
      <c r="W11" s="26">
        <f>'Consumption Input'!Y14</f>
        <v>3164.6779999999999</v>
      </c>
      <c r="X11" s="26">
        <f>'Consumption Input'!Z14</f>
        <v>3216.1</v>
      </c>
      <c r="Y11" s="26">
        <f>'Consumption Input'!AA14</f>
        <v>2959.511</v>
      </c>
      <c r="Z11" s="26">
        <f>'Consumption Input'!AB14</f>
        <v>3379.7930000000001</v>
      </c>
      <c r="AA11" s="26">
        <f>'Consumption Input'!AC14</f>
        <v>3571.9250000000002</v>
      </c>
      <c r="AB11" s="26">
        <f>'Consumption Input'!AD14</f>
        <v>3315.5909999999999</v>
      </c>
      <c r="AC11" s="26">
        <f>'Consumption Input'!AE14</f>
        <v>3223.5169999999998</v>
      </c>
      <c r="AD11" s="26">
        <f>'Consumption Input'!AF14</f>
        <v>3272.8519999999999</v>
      </c>
      <c r="AE11" s="26">
        <f>'Consumption Input'!AG14</f>
        <v>3638.2959999999998</v>
      </c>
      <c r="AF11" s="26">
        <f>'Consumption Input'!AH14</f>
        <v>3647.2860000000001</v>
      </c>
      <c r="AG11" s="26">
        <f>'Consumption Input'!AI14</f>
        <v>3278.5120000000002</v>
      </c>
      <c r="AH11" s="26">
        <f>'Consumption Input'!AJ14</f>
        <v>3409.1750000000002</v>
      </c>
      <c r="AI11" s="26">
        <f>'Consumption Input'!AK14</f>
        <v>3633.27</v>
      </c>
      <c r="AJ11" s="26"/>
      <c r="AK11" s="26"/>
    </row>
    <row r="12" spans="1:64">
      <c r="A12" s="26"/>
      <c r="B12" s="6" t="s">
        <v>1440</v>
      </c>
      <c r="C12" s="26">
        <f>SUM('Consumption Input'!E15:E21)</f>
        <v>1022.4774584610708</v>
      </c>
      <c r="D12" s="26">
        <f>SUM('Consumption Input'!F15:F21)</f>
        <v>1011.5421333986003</v>
      </c>
      <c r="E12" s="26">
        <f>SUM('Consumption Input'!G15:G21)</f>
        <v>890.34288772502384</v>
      </c>
      <c r="F12" s="26">
        <f>SUM('Consumption Input'!H15:H21)</f>
        <v>784.32489014881969</v>
      </c>
      <c r="G12" s="26">
        <f>SUM('Consumption Input'!I15:I21)</f>
        <v>777.08434323771826</v>
      </c>
      <c r="H12" s="26">
        <f>SUM('Consumption Input'!J15:J21)</f>
        <v>724.07891343781012</v>
      </c>
      <c r="I12" s="26">
        <f>SUM('Consumption Input'!K15:K21)</f>
        <v>759.54913934303966</v>
      </c>
      <c r="J12" s="26">
        <f>SUM('Consumption Input'!L15:L21)</f>
        <v>712.33484513234953</v>
      </c>
      <c r="K12" s="26">
        <f>SUM('Consumption Input'!M15:M21)</f>
        <v>666.08800735744876</v>
      </c>
      <c r="L12" s="26">
        <f>SUM('Consumption Input'!N15:N21)</f>
        <v>640.40639351174241</v>
      </c>
      <c r="M12" s="26">
        <f>SUM('Consumption Input'!O15:O21)</f>
        <v>766.74852466700406</v>
      </c>
      <c r="N12" s="26">
        <f>SUM('Consumption Input'!P15:P21)</f>
        <v>761.92408972412886</v>
      </c>
      <c r="O12" s="26">
        <f>SUM('Consumption Input'!Q15:Q21)</f>
        <v>694.5142614225233</v>
      </c>
      <c r="P12" s="26">
        <f>SUM('Consumption Input'!R15:R21)</f>
        <v>823.13869058089324</v>
      </c>
      <c r="Q12" s="26">
        <f>SUM('Consumption Input'!S15:S21)</f>
        <v>808.15235905782322</v>
      </c>
      <c r="R12" s="26">
        <f>SUM('Consumption Input'!T15:T21)</f>
        <v>758.70980569626215</v>
      </c>
      <c r="S12" s="26">
        <f>SUM('Consumption Input'!U15:U21)</f>
        <v>712.37169141779805</v>
      </c>
      <c r="T12" s="26">
        <f>SUM('Consumption Input'!V15:V21)</f>
        <v>727.89231063383545</v>
      </c>
      <c r="U12" s="26">
        <f>SUM('Consumption Input'!W15:W21)</f>
        <v>679.3749096956833</v>
      </c>
      <c r="V12" s="26">
        <f>SUM('Consumption Input'!X15:X21)</f>
        <v>723.11663757680549</v>
      </c>
      <c r="W12" s="26">
        <f>SUM('Consumption Input'!Y15:Y21)</f>
        <v>695.47670483154889</v>
      </c>
      <c r="X12" s="26">
        <f>SUM('Consumption Input'!Z15:Z21)</f>
        <v>671.90914813148845</v>
      </c>
      <c r="Y12" s="26">
        <f>SUM('Consumption Input'!AA15:AA21)</f>
        <v>552.36545916346483</v>
      </c>
      <c r="Z12" s="26">
        <f>SUM('Consumption Input'!AB15:AB21)</f>
        <v>582.05536214315521</v>
      </c>
      <c r="AA12" s="26">
        <f>SUM('Consumption Input'!AC15:AC21)</f>
        <v>559.86563185516297</v>
      </c>
      <c r="AB12" s="26">
        <f>SUM('Consumption Input'!AD15:AD21)</f>
        <v>940.65511641334979</v>
      </c>
      <c r="AC12" s="26">
        <f>SUM('Consumption Input'!AE15:AE21)</f>
        <v>838.7264477908783</v>
      </c>
      <c r="AD12" s="26">
        <f>SUM('Consumption Input'!AF15:AF21)</f>
        <v>814.52678733696916</v>
      </c>
      <c r="AE12" s="26">
        <f>SUM('Consumption Input'!AG15:AG21)</f>
        <v>740.79981189504667</v>
      </c>
      <c r="AF12" s="26">
        <f>SUM('Consumption Input'!AH15:AH21)</f>
        <v>815.38007817894209</v>
      </c>
      <c r="AG12" s="26">
        <f>SUM('Consumption Input'!AI15:AI21)</f>
        <v>780.19807867781822</v>
      </c>
      <c r="AH12" s="26">
        <f>SUM('Consumption Input'!AJ15:AJ21)</f>
        <v>799.40792739425467</v>
      </c>
      <c r="AI12" s="26">
        <f>SUM('Consumption Input'!AK15:AK21)</f>
        <v>732.56896401862355</v>
      </c>
      <c r="AJ12" s="26"/>
      <c r="AK12" s="26"/>
    </row>
    <row r="13" spans="1:64">
      <c r="A13" s="27"/>
      <c r="B13" s="5" t="s">
        <v>1443</v>
      </c>
      <c r="C13" s="27">
        <f t="shared" ref="C13:R13" si="11">SUM(C14:C16)</f>
        <v>17963.642170784311</v>
      </c>
      <c r="D13" s="27">
        <f t="shared" si="11"/>
        <v>17891.127745874608</v>
      </c>
      <c r="E13" s="27">
        <f t="shared" si="11"/>
        <v>18463.315465580938</v>
      </c>
      <c r="F13" s="27">
        <f t="shared" si="11"/>
        <v>18487.641462691216</v>
      </c>
      <c r="G13" s="27">
        <f t="shared" si="11"/>
        <v>18790.932693354014</v>
      </c>
      <c r="H13" s="27">
        <f t="shared" si="11"/>
        <v>19146.001280976372</v>
      </c>
      <c r="I13" s="27">
        <f t="shared" si="11"/>
        <v>19547.7558784223</v>
      </c>
      <c r="J13" s="27">
        <f t="shared" si="11"/>
        <v>19756.983395204465</v>
      </c>
      <c r="K13" s="27">
        <f t="shared" si="11"/>
        <v>19653.919969433726</v>
      </c>
      <c r="L13" s="27">
        <f t="shared" si="11"/>
        <v>19224.172203821938</v>
      </c>
      <c r="M13" s="27">
        <f t="shared" si="11"/>
        <v>19384.528532196149</v>
      </c>
      <c r="N13" s="27">
        <f t="shared" si="11"/>
        <v>18595.835453531003</v>
      </c>
      <c r="O13" s="27">
        <f t="shared" si="11"/>
        <v>18731.310484079571</v>
      </c>
      <c r="P13" s="27">
        <f t="shared" si="11"/>
        <v>18491.077297855343</v>
      </c>
      <c r="Q13" s="27">
        <f t="shared" si="11"/>
        <v>19356.050013529119</v>
      </c>
      <c r="R13" s="27">
        <f t="shared" si="11"/>
        <v>18441.022877331401</v>
      </c>
      <c r="S13" s="27">
        <f t="shared" ref="S13:X13" si="12">SUM(S14:S16)</f>
        <v>18734.790657324105</v>
      </c>
      <c r="T13" s="27">
        <f t="shared" si="12"/>
        <v>18418.313138132253</v>
      </c>
      <c r="U13" s="27">
        <f t="shared" si="12"/>
        <v>17514.473725904987</v>
      </c>
      <c r="V13" s="27">
        <f t="shared" si="12"/>
        <v>16202.127316225782</v>
      </c>
      <c r="W13" s="27">
        <f t="shared" si="12"/>
        <v>17122.244236535294</v>
      </c>
      <c r="X13" s="27">
        <f t="shared" si="12"/>
        <v>17228.193690141361</v>
      </c>
      <c r="Y13" s="27">
        <f t="shared" ref="Y13:Z13" si="13">SUM(Y14:Y16)</f>
        <v>17371.155138182534</v>
      </c>
      <c r="Z13" s="27">
        <f t="shared" si="13"/>
        <v>18140.355413520192</v>
      </c>
      <c r="AA13" s="27">
        <f t="shared" ref="AA13:AF13" si="14">SUM(AA14:AA16)</f>
        <v>17920.588344912008</v>
      </c>
      <c r="AB13" s="27">
        <f t="shared" si="14"/>
        <v>17887.41027663384</v>
      </c>
      <c r="AC13" s="27">
        <f t="shared" si="14"/>
        <v>17980.899105226861</v>
      </c>
      <c r="AD13" s="27">
        <f t="shared" si="14"/>
        <v>18120.981657853092</v>
      </c>
      <c r="AE13" s="27">
        <f t="shared" si="14"/>
        <v>18996.792479671851</v>
      </c>
      <c r="AF13" s="27">
        <f t="shared" si="14"/>
        <v>18994.568096208786</v>
      </c>
      <c r="AG13" s="27">
        <f t="shared" ref="AG13:AH13" si="15">SUM(AG14:AG16)</f>
        <v>18283.617986050427</v>
      </c>
      <c r="AH13" s="27">
        <f t="shared" si="15"/>
        <v>18840.709040731388</v>
      </c>
      <c r="AI13" s="27">
        <f t="shared" ref="AI13" si="16">SUM(AI14:AI16)</f>
        <v>19015.983945535238</v>
      </c>
      <c r="AJ13" s="26"/>
      <c r="AK13" s="26"/>
    </row>
    <row r="14" spans="1:64">
      <c r="A14" s="26"/>
      <c r="B14" s="6" t="s">
        <v>1435</v>
      </c>
      <c r="C14" s="26">
        <f>'Consumption Input'!E23+'Consumption Input'!E24+'Consumption Input'!E25</f>
        <v>1675.7347203839388</v>
      </c>
      <c r="D14" s="26">
        <f>'Consumption Input'!F23+'Consumption Input'!F24+'Consumption Input'!F25</f>
        <v>1637.9614923049921</v>
      </c>
      <c r="E14" s="26">
        <f>'Consumption Input'!G23+'Consumption Input'!G24+'Consumption Input'!G25</f>
        <v>1593.917282619431</v>
      </c>
      <c r="F14" s="26">
        <f>'Consumption Input'!H23+'Consumption Input'!H24+'Consumption Input'!H25</f>
        <v>1625.3297273836315</v>
      </c>
      <c r="G14" s="26">
        <f>'Consumption Input'!I23+'Consumption Input'!I24+'Consumption Input'!I25</f>
        <v>1643.8098431564704</v>
      </c>
      <c r="H14" s="26">
        <f>'Consumption Input'!J23+'Consumption Input'!J24+'Consumption Input'!J25</f>
        <v>1605.24148229805</v>
      </c>
      <c r="I14" s="26">
        <f>'Consumption Input'!K23+'Consumption Input'!K24+'Consumption Input'!K25</f>
        <v>1518.8016120373138</v>
      </c>
      <c r="J14" s="26">
        <f>'Consumption Input'!L23+'Consumption Input'!L24+'Consumption Input'!L25</f>
        <v>1495.8628301923181</v>
      </c>
      <c r="K14" s="26">
        <f>'Consumption Input'!M23+'Consumption Input'!M24+'Consumption Input'!M25</f>
        <v>1519.9380921932566</v>
      </c>
      <c r="L14" s="26">
        <f>'Consumption Input'!N23+'Consumption Input'!N24+'Consumption Input'!N25</f>
        <v>1451.0195799134322</v>
      </c>
      <c r="M14" s="26">
        <f>'Consumption Input'!O23+'Consumption Input'!O24+'Consumption Input'!O25</f>
        <v>1426.5833720153305</v>
      </c>
      <c r="N14" s="26">
        <f>'Consumption Input'!P23+'Consumption Input'!P24+'Consumption Input'!P25</f>
        <v>1419.2318511344968</v>
      </c>
      <c r="O14" s="26">
        <f>'Consumption Input'!Q23+'Consumption Input'!Q24+'Consumption Input'!Q25</f>
        <v>1321.8296825208117</v>
      </c>
      <c r="P14" s="26">
        <f>'Consumption Input'!R23+'Consumption Input'!R24+'Consumption Input'!R25</f>
        <v>1338.4078622960797</v>
      </c>
      <c r="Q14" s="26">
        <f>'Consumption Input'!S23+'Consumption Input'!S24+'Consumption Input'!S25</f>
        <v>1464.5442683745514</v>
      </c>
      <c r="R14" s="26">
        <f>'Consumption Input'!T23+'Consumption Input'!T24+'Consumption Input'!T25</f>
        <v>1337.4118204856125</v>
      </c>
      <c r="S14" s="26">
        <f>'Consumption Input'!U23+'Consumption Input'!U24+'Consumption Input'!U25</f>
        <v>1294.1113758877145</v>
      </c>
      <c r="T14" s="26">
        <f>'Consumption Input'!V23+'Consumption Input'!V24+'Consumption Input'!V25</f>
        <v>1183.7626531203796</v>
      </c>
      <c r="U14" s="26">
        <f>'Consumption Input'!W23+'Consumption Input'!W24+'Consumption Input'!W25</f>
        <v>1160.9742032321776</v>
      </c>
      <c r="V14" s="26">
        <f>'Consumption Input'!X23+'Consumption Input'!X24+'Consumption Input'!X25</f>
        <v>935.53500335691456</v>
      </c>
      <c r="W14" s="26">
        <f>'Consumption Input'!Y23+'Consumption Input'!Y24+'Consumption Input'!Y25</f>
        <v>1067.299933501992</v>
      </c>
      <c r="X14" s="26">
        <f>'Consumption Input'!Z23+'Consumption Input'!Z24+'Consumption Input'!Z25</f>
        <v>976.10615354601441</v>
      </c>
      <c r="Y14" s="26">
        <f>'Consumption Input'!AA23+'Consumption Input'!AA24+'Consumption Input'!AA25</f>
        <v>964.58553622589341</v>
      </c>
      <c r="Z14" s="26">
        <f>'Consumption Input'!AB23+'Consumption Input'!AB24+'Consumption Input'!AB25</f>
        <v>966.20928635940993</v>
      </c>
      <c r="AA14" s="26">
        <f>'Consumption Input'!AC23+'Consumption Input'!AC24+'Consumption Input'!AC25</f>
        <v>891.5884726735967</v>
      </c>
      <c r="AB14" s="26">
        <f>'Consumption Input'!AD23+'Consumption Input'!AD24+'Consumption Input'!AD25</f>
        <v>865.68984281719759</v>
      </c>
      <c r="AC14" s="26">
        <f>'Consumption Input'!AE23+'Consumption Input'!AE24+'Consumption Input'!AE25</f>
        <v>760.6606211544904</v>
      </c>
      <c r="AD14" s="26">
        <f>'Consumption Input'!AF23+'Consumption Input'!AF24+'Consumption Input'!AF25</f>
        <v>736.53379260327051</v>
      </c>
      <c r="AE14" s="26">
        <f>'Consumption Input'!AG23+'Consumption Input'!AG24+'Consumption Input'!AG25</f>
        <v>703.19057868248103</v>
      </c>
      <c r="AF14" s="26">
        <f>'Consumption Input'!AH23+'Consumption Input'!AH24+'Consumption Input'!AH25</f>
        <v>639.69706184953088</v>
      </c>
      <c r="AG14" s="26">
        <f>'Consumption Input'!AI23+'Consumption Input'!AI24+'Consumption Input'!AI25</f>
        <v>537.81499465683714</v>
      </c>
      <c r="AH14" s="26">
        <f>'Consumption Input'!AJ23+'Consumption Input'!AJ24+'Consumption Input'!AJ25</f>
        <v>537.01015821038027</v>
      </c>
      <c r="AI14" s="26">
        <f>'Consumption Input'!AK23+'Consumption Input'!AK24+'Consumption Input'!AK25</f>
        <v>487.80390035738031</v>
      </c>
      <c r="AJ14" s="26"/>
      <c r="AK14" s="26"/>
    </row>
    <row r="15" spans="1:64">
      <c r="A15" s="26"/>
      <c r="B15" s="6" t="s">
        <v>1439</v>
      </c>
      <c r="C15" s="26">
        <f>'Consumption Input'!E26</f>
        <v>7993.1381541127721</v>
      </c>
      <c r="D15" s="26">
        <f>'Consumption Input'!F26</f>
        <v>8106.186538507146</v>
      </c>
      <c r="E15" s="26">
        <f>'Consumption Input'!G26</f>
        <v>8420.583142909436</v>
      </c>
      <c r="F15" s="26">
        <f>'Consumption Input'!H26</f>
        <v>8576.5936056149731</v>
      </c>
      <c r="G15" s="26">
        <f>'Consumption Input'!I26</f>
        <v>8619.798576906609</v>
      </c>
      <c r="H15" s="26">
        <f>'Consumption Input'!J26</f>
        <v>9071.5290918915325</v>
      </c>
      <c r="I15" s="26">
        <f>'Consumption Input'!K26</f>
        <v>9386.3660914836473</v>
      </c>
      <c r="J15" s="26">
        <f>'Consumption Input'!L26</f>
        <v>9416.5082266472109</v>
      </c>
      <c r="K15" s="26">
        <f>'Consumption Input'!M26</f>
        <v>9227.0733414263941</v>
      </c>
      <c r="L15" s="26">
        <f>'Consumption Input'!N26</f>
        <v>8817.2157531256053</v>
      </c>
      <c r="M15" s="26">
        <f>'Consumption Input'!O26</f>
        <v>9038.2946285140843</v>
      </c>
      <c r="N15" s="26">
        <f>'Consumption Input'!P26</f>
        <v>8325.4690296393874</v>
      </c>
      <c r="O15" s="26">
        <f>'Consumption Input'!Q26</f>
        <v>8448.5696850214154</v>
      </c>
      <c r="P15" s="26">
        <f>'Consumption Input'!R26</f>
        <v>8174.946676384684</v>
      </c>
      <c r="Q15" s="26">
        <f>'Consumption Input'!S26</f>
        <v>8204.2447102981805</v>
      </c>
      <c r="R15" s="26">
        <f>'Consumption Input'!T26</f>
        <v>7585.0517920141347</v>
      </c>
      <c r="S15" s="26">
        <f>'Consumption Input'!U26</f>
        <v>7541.4583065914294</v>
      </c>
      <c r="T15" s="26">
        <f>'Consumption Input'!V26</f>
        <v>7738.8395001602103</v>
      </c>
      <c r="U15" s="26">
        <f>'Consumption Input'!W26</f>
        <v>7790.0732111808638</v>
      </c>
      <c r="V15" s="26">
        <f>'Consumption Input'!X26</f>
        <v>7344.627521184957</v>
      </c>
      <c r="W15" s="26">
        <f>'Consumption Input'!Y26</f>
        <v>7979.88483813116</v>
      </c>
      <c r="X15" s="26">
        <f>'Consumption Input'!Z26</f>
        <v>8172.0100719061047</v>
      </c>
      <c r="Y15" s="26">
        <f>'Consumption Input'!AA26</f>
        <v>8495.7543983742817</v>
      </c>
      <c r="Z15" s="26">
        <f>'Consumption Input'!AB26</f>
        <v>8828.5197285528957</v>
      </c>
      <c r="AA15" s="26">
        <f>'Consumption Input'!AC26</f>
        <v>9127.5053889729134</v>
      </c>
      <c r="AB15" s="26">
        <f>'Consumption Input'!AD26</f>
        <v>9119.932101192273</v>
      </c>
      <c r="AC15" s="26">
        <f>'Consumption Input'!AE26</f>
        <v>9302.0557908767769</v>
      </c>
      <c r="AD15" s="26">
        <f>'Consumption Input'!AF26</f>
        <v>9477.6281353869836</v>
      </c>
      <c r="AE15" s="26">
        <f>'Consumption Input'!AG26</f>
        <v>10056.058622156899</v>
      </c>
      <c r="AF15" s="26">
        <f>'Consumption Input'!AH26</f>
        <v>10213.711603697042</v>
      </c>
      <c r="AG15" s="26">
        <f>'Consumption Input'!AI26</f>
        <v>9987.9689956998172</v>
      </c>
      <c r="AH15" s="26">
        <f>'Consumption Input'!AJ26</f>
        <v>10204.388517767327</v>
      </c>
      <c r="AI15" s="26">
        <f>'Consumption Input'!AK26</f>
        <v>10394.368517767327</v>
      </c>
      <c r="AJ15" s="26"/>
      <c r="AK15" s="26"/>
    </row>
    <row r="16" spans="1:64">
      <c r="A16" s="26"/>
      <c r="B16" s="6" t="s">
        <v>1440</v>
      </c>
      <c r="C16" s="26">
        <f>SUM('Consumption Input'!E27:E33,'Consumption Input'!E35:E46)</f>
        <v>8294.769296287599</v>
      </c>
      <c r="D16" s="26">
        <f>SUM('Consumption Input'!F27:F33,'Consumption Input'!F35:F46)</f>
        <v>8146.979715062469</v>
      </c>
      <c r="E16" s="26">
        <f>SUM('Consumption Input'!G27:G33,'Consumption Input'!G35:G46)</f>
        <v>8448.8150400520699</v>
      </c>
      <c r="F16" s="26">
        <f>SUM('Consumption Input'!H27:H33,'Consumption Input'!H35:H46)</f>
        <v>8285.7181296926119</v>
      </c>
      <c r="G16" s="26">
        <f>SUM('Consumption Input'!I27:I33,'Consumption Input'!I35:I46)</f>
        <v>8527.3242732909366</v>
      </c>
      <c r="H16" s="26">
        <f>SUM('Consumption Input'!J27:J33,'Consumption Input'!J35:J46)</f>
        <v>8469.2307067867878</v>
      </c>
      <c r="I16" s="26">
        <f>SUM('Consumption Input'!K27:K33,'Consumption Input'!K35:K46)</f>
        <v>8642.5881749013388</v>
      </c>
      <c r="J16" s="26">
        <f>SUM('Consumption Input'!L27:L33,'Consumption Input'!L35:L46)</f>
        <v>8844.6123383649337</v>
      </c>
      <c r="K16" s="26">
        <f>SUM('Consumption Input'!M27:M33,'Consumption Input'!M35:M46)</f>
        <v>8906.9085358140746</v>
      </c>
      <c r="L16" s="26">
        <f>SUM('Consumption Input'!N27:N33,'Consumption Input'!N35:N46)</f>
        <v>8955.936870782898</v>
      </c>
      <c r="M16" s="26">
        <f>SUM('Consumption Input'!O27:O33,'Consumption Input'!O35:O46)</f>
        <v>8919.6505316667372</v>
      </c>
      <c r="N16" s="26">
        <f>SUM('Consumption Input'!P27:P33,'Consumption Input'!P35:P46)</f>
        <v>8851.1345727571188</v>
      </c>
      <c r="O16" s="26">
        <f>SUM('Consumption Input'!Q27:Q33,'Consumption Input'!Q35:Q46)</f>
        <v>8960.9111165373433</v>
      </c>
      <c r="P16" s="26">
        <f>SUM('Consumption Input'!R27:R33,'Consumption Input'!R35:R46)</f>
        <v>8977.7227591745814</v>
      </c>
      <c r="Q16" s="26">
        <f>SUM('Consumption Input'!S27:S33,'Consumption Input'!S35:S46)</f>
        <v>9687.2610348563867</v>
      </c>
      <c r="R16" s="26">
        <f>SUM('Consumption Input'!T27:T33,'Consumption Input'!T35:T46)</f>
        <v>9518.559264831656</v>
      </c>
      <c r="S16" s="26">
        <f>SUM('Consumption Input'!U27:U33,'Consumption Input'!U35:U46)</f>
        <v>9899.2209748449623</v>
      </c>
      <c r="T16" s="26">
        <f>SUM('Consumption Input'!V27:V33,'Consumption Input'!V35:V46)</f>
        <v>9495.7109848516611</v>
      </c>
      <c r="U16" s="26">
        <f>SUM('Consumption Input'!W27:W33,'Consumption Input'!W35:W46)</f>
        <v>8563.4263114919431</v>
      </c>
      <c r="V16" s="26">
        <f>SUM('Consumption Input'!X27:X33,'Consumption Input'!X35:X46)</f>
        <v>7921.9647916839122</v>
      </c>
      <c r="W16" s="26">
        <f>SUM('Consumption Input'!Y27:Y33,'Consumption Input'!Y35:Y46)</f>
        <v>8075.0594649021414</v>
      </c>
      <c r="X16" s="26">
        <f>SUM('Consumption Input'!Z27:Z33,'Consumption Input'!Z35:Z46)</f>
        <v>8080.0774646892423</v>
      </c>
      <c r="Y16" s="26">
        <f>SUM('Consumption Input'!AA27:AA33,'Consumption Input'!AA35:AA46)</f>
        <v>7910.8152035823568</v>
      </c>
      <c r="Z16" s="26">
        <f>SUM('Consumption Input'!AB27:AB33,'Consumption Input'!AB35:AB46)</f>
        <v>8345.6263986078848</v>
      </c>
      <c r="AA16" s="26">
        <f>SUM('Consumption Input'!AC27:AC33,'Consumption Input'!AC35:AC46)</f>
        <v>7901.4944832655001</v>
      </c>
      <c r="AB16" s="26">
        <f>SUM('Consumption Input'!AD27:AD33,'Consumption Input'!AD35:AD46)</f>
        <v>7901.7883326243709</v>
      </c>
      <c r="AC16" s="26">
        <f>SUM('Consumption Input'!AE27:AE33,'Consumption Input'!AE35:AE46)</f>
        <v>7918.1826931955939</v>
      </c>
      <c r="AD16" s="26">
        <f>SUM('Consumption Input'!AF27:AF33,'Consumption Input'!AF35:AF46)</f>
        <v>7906.8197298628374</v>
      </c>
      <c r="AE16" s="26">
        <f>SUM('Consumption Input'!AG27:AG33,'Consumption Input'!AG35:AG46)</f>
        <v>8237.5432788324688</v>
      </c>
      <c r="AF16" s="26">
        <f>SUM('Consumption Input'!AH27:AH33,'Consumption Input'!AH35:AH46)</f>
        <v>8141.1594306622137</v>
      </c>
      <c r="AG16" s="26">
        <f>SUM('Consumption Input'!AI27:AI33,'Consumption Input'!AI35:AI46)</f>
        <v>7757.8339956937716</v>
      </c>
      <c r="AH16" s="26">
        <f>SUM('Consumption Input'!AJ27:AJ33,'Consumption Input'!AJ35:AJ46)</f>
        <v>8099.3103647536809</v>
      </c>
      <c r="AI16" s="26">
        <f>SUM('Consumption Input'!AK27:AK33,'Consumption Input'!AK35:AK46)</f>
        <v>8133.8115274105303</v>
      </c>
      <c r="AJ16" s="26"/>
      <c r="AK16" s="26"/>
    </row>
    <row r="17" spans="1:37">
      <c r="A17" s="27"/>
      <c r="B17" s="5" t="s">
        <v>1445</v>
      </c>
      <c r="C17" s="27">
        <f t="shared" ref="C17:R17" si="17">SUM(C18:C20)</f>
        <v>22245.487667015866</v>
      </c>
      <c r="D17" s="27">
        <f t="shared" si="17"/>
        <v>21743.140806419928</v>
      </c>
      <c r="E17" s="27">
        <f t="shared" si="17"/>
        <v>22336.023169549855</v>
      </c>
      <c r="F17" s="27">
        <f t="shared" si="17"/>
        <v>22681.951841792681</v>
      </c>
      <c r="G17" s="27">
        <f t="shared" si="17"/>
        <v>23376.559025152605</v>
      </c>
      <c r="H17" s="27">
        <f t="shared" si="17"/>
        <v>23773.976469330817</v>
      </c>
      <c r="I17" s="27">
        <f t="shared" si="17"/>
        <v>24396.284175957226</v>
      </c>
      <c r="J17" s="27">
        <f t="shared" si="17"/>
        <v>24731.585802663332</v>
      </c>
      <c r="K17" s="27">
        <f t="shared" si="17"/>
        <v>25244.655594583299</v>
      </c>
      <c r="L17" s="27">
        <f t="shared" si="17"/>
        <v>26113.18807500296</v>
      </c>
      <c r="M17" s="27">
        <f t="shared" si="17"/>
        <v>26558.685909046995</v>
      </c>
      <c r="N17" s="27">
        <f t="shared" si="17"/>
        <v>26142.707080207092</v>
      </c>
      <c r="O17" s="27">
        <f t="shared" si="17"/>
        <v>26701.596939669715</v>
      </c>
      <c r="P17" s="27">
        <f t="shared" si="17"/>
        <v>26641.94978761809</v>
      </c>
      <c r="Q17" s="27">
        <f t="shared" si="17"/>
        <v>27367.185205455229</v>
      </c>
      <c r="R17" s="27">
        <f t="shared" si="17"/>
        <v>27707.387122542663</v>
      </c>
      <c r="S17" s="27">
        <f t="shared" ref="S17:X17" si="18">SUM(S18:S20)</f>
        <v>27603.752618791885</v>
      </c>
      <c r="T17" s="27">
        <f t="shared" si="18"/>
        <v>27595.36431409897</v>
      </c>
      <c r="U17" s="27">
        <f t="shared" si="18"/>
        <v>26355.068614098804</v>
      </c>
      <c r="V17" s="27">
        <f t="shared" si="18"/>
        <v>25206.475977828421</v>
      </c>
      <c r="W17" s="27">
        <f t="shared" si="18"/>
        <v>25516.564646000763</v>
      </c>
      <c r="X17" s="27">
        <f t="shared" si="18"/>
        <v>25090.50244187739</v>
      </c>
      <c r="Y17" s="27">
        <f t="shared" ref="Y17:Z17" si="19">SUM(Y18:Y20)</f>
        <v>24883.262677241859</v>
      </c>
      <c r="Z17" s="27">
        <f t="shared" si="19"/>
        <v>25021.53079339724</v>
      </c>
      <c r="AA17" s="27">
        <f t="shared" ref="AA17:AF17" si="20">SUM(AA18:AA20)</f>
        <v>25603.865218706473</v>
      </c>
      <c r="AB17" s="27">
        <f t="shared" si="20"/>
        <v>25873.008519914703</v>
      </c>
      <c r="AC17" s="27">
        <f t="shared" si="20"/>
        <v>26491.301184236345</v>
      </c>
      <c r="AD17" s="27">
        <f t="shared" si="20"/>
        <v>26831.809748585176</v>
      </c>
      <c r="AE17" s="27">
        <f t="shared" si="20"/>
        <v>27360.779745964061</v>
      </c>
      <c r="AF17" s="27">
        <f t="shared" si="20"/>
        <v>27328.831917618383</v>
      </c>
      <c r="AG17" s="27">
        <f t="shared" ref="AG17:AH17" si="21">SUM(AG18:AG20)</f>
        <v>23278.751498516569</v>
      </c>
      <c r="AH17" s="27">
        <f t="shared" si="21"/>
        <v>25976.456358102576</v>
      </c>
      <c r="AI17" s="27">
        <f t="shared" ref="AI17" si="22">SUM(AI18:AI20)</f>
        <v>26604.699580575718</v>
      </c>
      <c r="AJ17" s="26"/>
      <c r="AK17" s="26"/>
    </row>
    <row r="18" spans="1:37">
      <c r="A18" s="26"/>
      <c r="B18" s="6" t="s">
        <v>1435</v>
      </c>
      <c r="C18" s="26" t="s">
        <v>103</v>
      </c>
      <c r="D18" s="26" t="s">
        <v>103</v>
      </c>
      <c r="E18" s="26" t="s">
        <v>103</v>
      </c>
      <c r="F18" s="26" t="s">
        <v>103</v>
      </c>
      <c r="G18" s="26" t="s">
        <v>103</v>
      </c>
      <c r="H18" s="26" t="s">
        <v>103</v>
      </c>
      <c r="I18" s="26" t="s">
        <v>103</v>
      </c>
      <c r="J18" s="26" t="s">
        <v>103</v>
      </c>
      <c r="K18" s="26" t="s">
        <v>103</v>
      </c>
      <c r="L18" s="26" t="s">
        <v>103</v>
      </c>
      <c r="M18" s="26" t="s">
        <v>103</v>
      </c>
      <c r="N18" s="26" t="s">
        <v>103</v>
      </c>
      <c r="O18" s="26" t="s">
        <v>103</v>
      </c>
      <c r="P18" s="26" t="s">
        <v>103</v>
      </c>
      <c r="Q18" s="26" t="s">
        <v>103</v>
      </c>
      <c r="R18" s="26" t="s">
        <v>103</v>
      </c>
      <c r="S18" s="26" t="s">
        <v>103</v>
      </c>
      <c r="T18" s="26" t="s">
        <v>103</v>
      </c>
      <c r="U18" s="26" t="s">
        <v>103</v>
      </c>
      <c r="V18" s="26" t="s">
        <v>103</v>
      </c>
      <c r="W18" s="26" t="s">
        <v>103</v>
      </c>
      <c r="X18" s="26" t="s">
        <v>103</v>
      </c>
      <c r="Y18" s="26" t="s">
        <v>103</v>
      </c>
      <c r="Z18" s="26" t="s">
        <v>103</v>
      </c>
      <c r="AA18" s="26" t="s">
        <v>103</v>
      </c>
      <c r="AB18" s="26" t="s">
        <v>103</v>
      </c>
      <c r="AC18" s="26" t="s">
        <v>103</v>
      </c>
      <c r="AD18" s="26" t="s">
        <v>103</v>
      </c>
      <c r="AE18" s="26" t="s">
        <v>103</v>
      </c>
      <c r="AF18" s="26" t="s">
        <v>103</v>
      </c>
      <c r="AG18" s="26" t="s">
        <v>103</v>
      </c>
      <c r="AH18" s="26" t="s">
        <v>103</v>
      </c>
      <c r="AI18" s="26" t="s">
        <v>103</v>
      </c>
      <c r="AJ18" s="26"/>
      <c r="AK18" s="26"/>
    </row>
    <row r="19" spans="1:37">
      <c r="A19" s="26"/>
      <c r="B19" s="6" t="s">
        <v>1439</v>
      </c>
      <c r="C19" s="26">
        <f>'Consumption Input'!E49</f>
        <v>679.22799999999995</v>
      </c>
      <c r="D19" s="26">
        <f>'Consumption Input'!F49</f>
        <v>620.32399999999996</v>
      </c>
      <c r="E19" s="26">
        <f>'Consumption Input'!G49</f>
        <v>608.10599999999999</v>
      </c>
      <c r="F19" s="26">
        <f>'Consumption Input'!H49</f>
        <v>644.101</v>
      </c>
      <c r="G19" s="26">
        <f>'Consumption Input'!I49</f>
        <v>708.53800000000001</v>
      </c>
      <c r="H19" s="26">
        <f>'Consumption Input'!J49</f>
        <v>723.952</v>
      </c>
      <c r="I19" s="26">
        <f>'Consumption Input'!K49</f>
        <v>736.88599999999997</v>
      </c>
      <c r="J19" s="26">
        <f>'Consumption Input'!L49</f>
        <v>780.31200000000001</v>
      </c>
      <c r="K19" s="26">
        <f>'Consumption Input'!M49</f>
        <v>666.09699999999998</v>
      </c>
      <c r="L19" s="26">
        <f>'Consumption Input'!N49</f>
        <v>675.33500000000004</v>
      </c>
      <c r="M19" s="26">
        <f>'Consumption Input'!O49</f>
        <v>671.99099999999999</v>
      </c>
      <c r="N19" s="26">
        <f>'Consumption Input'!P49</f>
        <v>658.04600000000005</v>
      </c>
      <c r="O19" s="26">
        <f>'Consumption Input'!Q49</f>
        <v>698.91600000000005</v>
      </c>
      <c r="P19" s="26">
        <f>'Consumption Input'!R49</f>
        <v>627.44600000000003</v>
      </c>
      <c r="Q19" s="26">
        <f>'Consumption Input'!S49</f>
        <v>601.95500000000004</v>
      </c>
      <c r="R19" s="26">
        <f>'Consumption Input'!T49</f>
        <v>623.90300000000002</v>
      </c>
      <c r="S19" s="26">
        <f>'Consumption Input'!U49</f>
        <v>624.97500000000002</v>
      </c>
      <c r="T19" s="26">
        <f>'Consumption Input'!V49</f>
        <v>663.46199999999999</v>
      </c>
      <c r="U19" s="26">
        <f>'Consumption Input'!W49</f>
        <v>692.13400000000001</v>
      </c>
      <c r="V19" s="26">
        <f>'Consumption Input'!X49</f>
        <v>714.87199999999996</v>
      </c>
      <c r="W19" s="26">
        <f>'Consumption Input'!Y49</f>
        <v>718.952</v>
      </c>
      <c r="X19" s="26">
        <f>'Consumption Input'!Z49</f>
        <v>733.548</v>
      </c>
      <c r="Y19" s="26">
        <f>'Consumption Input'!AA49</f>
        <v>779.779</v>
      </c>
      <c r="Z19" s="26">
        <f>'Consumption Input'!AB49</f>
        <v>887.27299999999991</v>
      </c>
      <c r="AA19" s="26">
        <f>'Consumption Input'!AC49</f>
        <v>759.702</v>
      </c>
      <c r="AB19" s="26">
        <f>'Consumption Input'!AD49</f>
        <v>744.84100000000001</v>
      </c>
      <c r="AC19" s="26">
        <f>'Consumption Input'!AE49</f>
        <v>757.18200000000002</v>
      </c>
      <c r="AD19" s="26">
        <f>'Consumption Input'!AF49</f>
        <v>798.56399999999996</v>
      </c>
      <c r="AE19" s="26">
        <f>'Consumption Input'!AG49</f>
        <v>962.17200000000003</v>
      </c>
      <c r="AF19" s="26">
        <f>'Consumption Input'!AH49</f>
        <v>1114.1110000000001</v>
      </c>
      <c r="AG19" s="26">
        <f>'Consumption Input'!AI49</f>
        <v>1108.6599999999999</v>
      </c>
      <c r="AH19" s="26">
        <f>'Consumption Input'!AJ49</f>
        <v>1232.2249999999999</v>
      </c>
      <c r="AI19" s="26">
        <f>'Consumption Input'!AK49</f>
        <v>1325.87</v>
      </c>
      <c r="AJ19" s="26"/>
      <c r="AK19" s="26"/>
    </row>
    <row r="20" spans="1:37">
      <c r="A20" s="26"/>
      <c r="B20" s="6" t="s">
        <v>1440</v>
      </c>
      <c r="C20" s="26">
        <f>SUM('Consumption Input'!E50:E55,'Consumption Input'!E56)</f>
        <v>21566.259667015867</v>
      </c>
      <c r="D20" s="26">
        <f>SUM('Consumption Input'!F50:F55,'Consumption Input'!F56)</f>
        <v>21122.816806419927</v>
      </c>
      <c r="E20" s="26">
        <f>SUM('Consumption Input'!G50:G55,'Consumption Input'!G56)</f>
        <v>21727.917169549855</v>
      </c>
      <c r="F20" s="26">
        <f>SUM('Consumption Input'!H50:H55,'Consumption Input'!H56)</f>
        <v>22037.850841792682</v>
      </c>
      <c r="G20" s="26">
        <f>SUM('Consumption Input'!I50:I55,'Consumption Input'!I56)</f>
        <v>22668.021025152604</v>
      </c>
      <c r="H20" s="26">
        <f>SUM('Consumption Input'!J50:J55,'Consumption Input'!J56)</f>
        <v>23050.024469330816</v>
      </c>
      <c r="I20" s="26">
        <f>SUM('Consumption Input'!K50:K55,'Consumption Input'!K56)</f>
        <v>23659.398175957227</v>
      </c>
      <c r="J20" s="26">
        <f>SUM('Consumption Input'!L50:L55,'Consumption Input'!L56)</f>
        <v>23951.273802663331</v>
      </c>
      <c r="K20" s="26">
        <f>SUM('Consumption Input'!M50:M55,'Consumption Input'!M56)</f>
        <v>24578.558594583297</v>
      </c>
      <c r="L20" s="26">
        <f>SUM('Consumption Input'!N50:N55,'Consumption Input'!N56)</f>
        <v>25437.85307500296</v>
      </c>
      <c r="M20" s="26">
        <f>SUM('Consumption Input'!O50:O55,'Consumption Input'!O56)</f>
        <v>25886.694909046997</v>
      </c>
      <c r="N20" s="26">
        <f>SUM('Consumption Input'!P50:P55,'Consumption Input'!P56)</f>
        <v>25484.661080207094</v>
      </c>
      <c r="O20" s="26">
        <f>SUM('Consumption Input'!Q50:Q55,'Consumption Input'!Q56)</f>
        <v>26002.680939669714</v>
      </c>
      <c r="P20" s="26">
        <f>SUM('Consumption Input'!R50:R55,'Consumption Input'!R56)</f>
        <v>26014.50378761809</v>
      </c>
      <c r="Q20" s="26">
        <f>SUM('Consumption Input'!S50:S55,'Consumption Input'!S56)</f>
        <v>26765.230205455227</v>
      </c>
      <c r="R20" s="26">
        <f>SUM('Consumption Input'!T50:T55,'Consumption Input'!T56)</f>
        <v>27083.484122542664</v>
      </c>
      <c r="S20" s="26">
        <f>SUM('Consumption Input'!U50:U55,'Consumption Input'!U56)</f>
        <v>26978.777618791886</v>
      </c>
      <c r="T20" s="26">
        <f>SUM('Consumption Input'!V50:V55,'Consumption Input'!V56)</f>
        <v>26931.90231409897</v>
      </c>
      <c r="U20" s="26">
        <f>SUM('Consumption Input'!W50:W55,'Consumption Input'!W56)</f>
        <v>25662.934614098805</v>
      </c>
      <c r="V20" s="26">
        <f>SUM('Consumption Input'!X50:X55,'Consumption Input'!X56)</f>
        <v>24491.603977828421</v>
      </c>
      <c r="W20" s="26">
        <f>SUM('Consumption Input'!Y50:Y55,'Consumption Input'!Y56)</f>
        <v>24797.612646000762</v>
      </c>
      <c r="X20" s="26">
        <f>SUM('Consumption Input'!Z50:Z55,'Consumption Input'!Z56)</f>
        <v>24356.954441877391</v>
      </c>
      <c r="Y20" s="26">
        <f>SUM('Consumption Input'!AA50:AA55,'Consumption Input'!AA56)</f>
        <v>24103.48367724186</v>
      </c>
      <c r="Z20" s="26">
        <f>SUM('Consumption Input'!AB50:AB55,'Consumption Input'!AB56)</f>
        <v>24134.257793397239</v>
      </c>
      <c r="AA20" s="26">
        <f>SUM('Consumption Input'!AC50:AC55,'Consumption Input'!AC56)</f>
        <v>24844.163218706472</v>
      </c>
      <c r="AB20" s="26">
        <f>SUM('Consumption Input'!AD50:AD55,'Consumption Input'!AD56)</f>
        <v>25128.167519914703</v>
      </c>
      <c r="AC20" s="26">
        <f>SUM('Consumption Input'!AE50:AE55,'Consumption Input'!AE56)</f>
        <v>25734.119184236344</v>
      </c>
      <c r="AD20" s="26">
        <f>SUM('Consumption Input'!AF50:AF55,'Consumption Input'!AF56)</f>
        <v>26033.245748585177</v>
      </c>
      <c r="AE20" s="26">
        <f>SUM('Consumption Input'!AG50:AG55,'Consumption Input'!AG56)</f>
        <v>26398.607745964062</v>
      </c>
      <c r="AF20" s="26">
        <f>SUM('Consumption Input'!AH50:AH55,'Consumption Input'!AH56)</f>
        <v>26214.720917618382</v>
      </c>
      <c r="AG20" s="26">
        <f>SUM('Consumption Input'!AI50:AI55,'Consumption Input'!AI56)</f>
        <v>22170.091498516569</v>
      </c>
      <c r="AH20" s="26">
        <f>SUM('Consumption Input'!AJ50:AJ55,'Consumption Input'!AJ56)</f>
        <v>24744.231358102577</v>
      </c>
      <c r="AI20" s="26">
        <f>SUM('Consumption Input'!AK50:AK55,'Consumption Input'!AK56)</f>
        <v>25278.829580575719</v>
      </c>
      <c r="AJ20" s="26"/>
      <c r="AK20" s="26"/>
    </row>
    <row r="21" spans="1:37">
      <c r="A21" s="27"/>
      <c r="B21" s="5" t="s">
        <v>1474</v>
      </c>
      <c r="C21" s="27">
        <f t="shared" ref="C21:R21" si="23">SUM(C22:C24)</f>
        <v>20858.922999999999</v>
      </c>
      <c r="D21" s="27">
        <f t="shared" si="23"/>
        <v>20825.328999999998</v>
      </c>
      <c r="E21" s="27">
        <f t="shared" si="23"/>
        <v>20967.804</v>
      </c>
      <c r="F21" s="27">
        <f t="shared" si="23"/>
        <v>21857.217000000001</v>
      </c>
      <c r="G21" s="27">
        <f t="shared" si="23"/>
        <v>22296.853999999999</v>
      </c>
      <c r="H21" s="27">
        <f t="shared" si="23"/>
        <v>22522.761000000002</v>
      </c>
      <c r="I21" s="27">
        <f t="shared" si="23"/>
        <v>23108.737999999998</v>
      </c>
      <c r="J21" s="27">
        <f t="shared" si="23"/>
        <v>23956.755999999994</v>
      </c>
      <c r="K21" s="27">
        <f t="shared" si="23"/>
        <v>25196.677000000003</v>
      </c>
      <c r="L21" s="27">
        <f t="shared" si="23"/>
        <v>25392.841</v>
      </c>
      <c r="M21" s="27">
        <f t="shared" si="23"/>
        <v>26657.685999999994</v>
      </c>
      <c r="N21" s="27">
        <f t="shared" si="23"/>
        <v>26348.149999999998</v>
      </c>
      <c r="O21" s="27">
        <f t="shared" si="23"/>
        <v>26510.777000000002</v>
      </c>
      <c r="P21" s="27">
        <f t="shared" si="23"/>
        <v>26635.810999999998</v>
      </c>
      <c r="Q21" s="27">
        <f t="shared" si="23"/>
        <v>27100.967000000001</v>
      </c>
      <c r="R21" s="27">
        <f t="shared" si="23"/>
        <v>27973.852999999999</v>
      </c>
      <c r="S21" s="27">
        <f t="shared" ref="S21:X21" si="24">SUM(S22:S24)</f>
        <v>27473.98</v>
      </c>
      <c r="T21" s="27">
        <f t="shared" si="24"/>
        <v>28460.787</v>
      </c>
      <c r="U21" s="27">
        <f t="shared" si="24"/>
        <v>27801.215</v>
      </c>
      <c r="V21" s="27">
        <f t="shared" si="24"/>
        <v>25630.092999999997</v>
      </c>
      <c r="W21" s="27">
        <f t="shared" si="24"/>
        <v>27031.422000000002</v>
      </c>
      <c r="X21" s="27">
        <f t="shared" si="24"/>
        <v>26042.42</v>
      </c>
      <c r="Y21" s="27">
        <f t="shared" ref="Y21:Z21" si="25">SUM(Y22:Y24)</f>
        <v>25322.245999999999</v>
      </c>
      <c r="Z21" s="27">
        <f t="shared" si="25"/>
        <v>25081.976000000002</v>
      </c>
      <c r="AA21" s="27">
        <f t="shared" ref="AA21:AF21" si="26">SUM(AA22:AA24)</f>
        <v>25084.550000000003</v>
      </c>
      <c r="AB21" s="27">
        <f t="shared" si="26"/>
        <v>24340.673999999999</v>
      </c>
      <c r="AC21" s="27">
        <f t="shared" si="26"/>
        <v>23541.564000000002</v>
      </c>
      <c r="AD21" s="27">
        <f t="shared" si="26"/>
        <v>22395.162000000004</v>
      </c>
      <c r="AE21" s="27">
        <f t="shared" si="26"/>
        <v>23234.814999999999</v>
      </c>
      <c r="AF21" s="27">
        <f t="shared" si="26"/>
        <v>22028.246999999999</v>
      </c>
      <c r="AG21" s="27">
        <f t="shared" ref="AG21:AH21" si="27">SUM(AG22:AG24)</f>
        <v>20413.447</v>
      </c>
      <c r="AH21" s="27">
        <f t="shared" si="27"/>
        <v>21285.270999999997</v>
      </c>
      <c r="AI21" s="27">
        <f t="shared" ref="AI21" si="28">SUM(AI22:AI24)</f>
        <v>21588.543000000001</v>
      </c>
      <c r="AJ21" s="26"/>
      <c r="AK21" s="26"/>
    </row>
    <row r="22" spans="1:37">
      <c r="A22" s="26"/>
      <c r="B22" s="6" t="s">
        <v>1435</v>
      </c>
      <c r="C22" s="26">
        <f>'Consumption Input'!E58</f>
        <v>16260.951999999999</v>
      </c>
      <c r="D22" s="26">
        <f>'Consumption Input'!F58</f>
        <v>16249.708999999999</v>
      </c>
      <c r="E22" s="26">
        <f>'Consumption Input'!G58</f>
        <v>16465.595000000001</v>
      </c>
      <c r="F22" s="26">
        <f>'Consumption Input'!H58</f>
        <v>17195.927</v>
      </c>
      <c r="G22" s="26">
        <f>'Consumption Input'!I58</f>
        <v>17260.875</v>
      </c>
      <c r="H22" s="26">
        <f>'Consumption Input'!J58</f>
        <v>17466.285</v>
      </c>
      <c r="I22" s="26">
        <f>'Consumption Input'!K58</f>
        <v>18429.026999999998</v>
      </c>
      <c r="J22" s="26">
        <f>'Consumption Input'!L58</f>
        <v>18904.537999999997</v>
      </c>
      <c r="K22" s="26">
        <f>'Consumption Input'!M58</f>
        <v>19215.682000000001</v>
      </c>
      <c r="L22" s="26">
        <f>'Consumption Input'!N58</f>
        <v>19279.487000000001</v>
      </c>
      <c r="M22" s="26">
        <f>'Consumption Input'!O58</f>
        <v>20220.170999999995</v>
      </c>
      <c r="N22" s="26">
        <f>'Consumption Input'!P58</f>
        <v>19613.672999999999</v>
      </c>
      <c r="O22" s="26">
        <f>'Consumption Input'!Q58</f>
        <v>19782.780999999999</v>
      </c>
      <c r="P22" s="26">
        <f>'Consumption Input'!R58</f>
        <v>20184.742999999999</v>
      </c>
      <c r="Q22" s="26">
        <f>'Consumption Input'!S58</f>
        <v>20305.035</v>
      </c>
      <c r="R22" s="26">
        <f>'Consumption Input'!T58</f>
        <v>20737.241000000002</v>
      </c>
      <c r="S22" s="26">
        <f>'Consumption Input'!U58</f>
        <v>20461.883000000002</v>
      </c>
      <c r="T22" s="26">
        <f>'Consumption Input'!V58</f>
        <v>20807.722000000002</v>
      </c>
      <c r="U22" s="26">
        <f>'Consumption Input'!W58</f>
        <v>20512.955000000002</v>
      </c>
      <c r="V22" s="26">
        <f>'Consumption Input'!X58</f>
        <v>18225.331999999999</v>
      </c>
      <c r="W22" s="26">
        <f>'Consumption Input'!Y58</f>
        <v>19133.455000000002</v>
      </c>
      <c r="X22" s="26">
        <f>'Consumption Input'!Z58</f>
        <v>18035.174999999999</v>
      </c>
      <c r="Y22" s="26">
        <f>'Consumption Input'!AA58</f>
        <v>15821.247999999998</v>
      </c>
      <c r="Z22" s="26">
        <f>'Consumption Input'!AB58</f>
        <v>16450.559000000001</v>
      </c>
      <c r="AA22" s="26">
        <f>'Consumption Input'!AC58</f>
        <v>16427.400000000001</v>
      </c>
      <c r="AB22" s="26">
        <f>'Consumption Input'!AD58</f>
        <v>14138.249999999998</v>
      </c>
      <c r="AC22" s="26">
        <f>'Consumption Input'!AE58</f>
        <v>12996.353999999999</v>
      </c>
      <c r="AD22" s="26">
        <f>'Consumption Input'!AF58</f>
        <v>12622.233</v>
      </c>
      <c r="AE22" s="26">
        <f>'Consumption Input'!AG58</f>
        <v>12052.957</v>
      </c>
      <c r="AF22" s="26">
        <f>'Consumption Input'!AH58</f>
        <v>10181.262000000001</v>
      </c>
      <c r="AG22" s="26">
        <f>'Consumption Input'!AI58</f>
        <v>8229.2829999999994</v>
      </c>
      <c r="AH22" s="26">
        <f>'Consumption Input'!AJ58</f>
        <v>9497.6719999999987</v>
      </c>
      <c r="AI22" s="26">
        <f>'Consumption Input'!AK58</f>
        <v>8885.491</v>
      </c>
      <c r="AJ22" s="232">
        <f>(AI22-AH22)/AH22</f>
        <v>-6.4455900351159612E-2</v>
      </c>
    </row>
    <row r="23" spans="1:37">
      <c r="A23" s="26"/>
      <c r="B23" s="6" t="s">
        <v>1439</v>
      </c>
      <c r="C23" s="26">
        <f>'Consumption Input'!E59</f>
        <v>3308.538</v>
      </c>
      <c r="D23" s="26">
        <f>'Consumption Input'!F59</f>
        <v>3377.3589999999999</v>
      </c>
      <c r="E23" s="26">
        <f>'Consumption Input'!G59</f>
        <v>3511.502</v>
      </c>
      <c r="F23" s="26">
        <f>'Consumption Input'!H59</f>
        <v>3537.5010000000002</v>
      </c>
      <c r="G23" s="26">
        <f>'Consumption Input'!I59</f>
        <v>3977.299</v>
      </c>
      <c r="H23" s="26">
        <f>'Consumption Input'!J59</f>
        <v>4301.9709999999995</v>
      </c>
      <c r="I23" s="26">
        <f>'Consumption Input'!K59</f>
        <v>3862.4490000000001</v>
      </c>
      <c r="J23" s="26">
        <f>'Consumption Input'!L59</f>
        <v>4125.5119999999997</v>
      </c>
      <c r="K23" s="26">
        <f>'Consumption Input'!M59</f>
        <v>4674.8999999999996</v>
      </c>
      <c r="L23" s="26">
        <f>'Consumption Input'!N59</f>
        <v>4902.1480000000001</v>
      </c>
      <c r="M23" s="26">
        <f>'Consumption Input'!O59</f>
        <v>5293.375</v>
      </c>
      <c r="N23" s="26">
        <f>'Consumption Input'!P59</f>
        <v>5458.1009999999997</v>
      </c>
      <c r="O23" s="26">
        <f>'Consumption Input'!Q59</f>
        <v>5766.8119999999999</v>
      </c>
      <c r="P23" s="26">
        <f>'Consumption Input'!R59</f>
        <v>5246.2489999999998</v>
      </c>
      <c r="Q23" s="26">
        <f>'Consumption Input'!S59</f>
        <v>5594.9350000000004</v>
      </c>
      <c r="R23" s="26">
        <f>'Consumption Input'!T59</f>
        <v>6014.5479999999998</v>
      </c>
      <c r="S23" s="26">
        <f>'Consumption Input'!U59</f>
        <v>6375.1390000000001</v>
      </c>
      <c r="T23" s="26">
        <f>'Consumption Input'!V59</f>
        <v>7005.2340000000004</v>
      </c>
      <c r="U23" s="26">
        <f>'Consumption Input'!W59</f>
        <v>6828.924</v>
      </c>
      <c r="V23" s="26">
        <f>'Consumption Input'!X59</f>
        <v>7022.39</v>
      </c>
      <c r="W23" s="26">
        <f>'Consumption Input'!Y59</f>
        <v>7527.6409999999996</v>
      </c>
      <c r="X23" s="26">
        <f>'Consumption Input'!Z59</f>
        <v>7712.2049999999999</v>
      </c>
      <c r="Y23" s="26">
        <f>'Consumption Input'!AA59</f>
        <v>9286.7929999999997</v>
      </c>
      <c r="Z23" s="26">
        <f>'Consumption Input'!AB59</f>
        <v>8376.2540000000008</v>
      </c>
      <c r="AA23" s="26">
        <f>'Consumption Input'!AC59</f>
        <v>8361.6810000000005</v>
      </c>
      <c r="AB23" s="26">
        <f>'Consumption Input'!AD59</f>
        <v>9926.4590000000007</v>
      </c>
      <c r="AC23" s="26">
        <f>'Consumption Input'!AE59</f>
        <v>10301.311</v>
      </c>
      <c r="AD23" s="26">
        <f>'Consumption Input'!AF59</f>
        <v>9555.2070000000003</v>
      </c>
      <c r="AE23" s="26">
        <f>'Consumption Input'!AG59</f>
        <v>10921.508</v>
      </c>
      <c r="AF23" s="26">
        <f>'Consumption Input'!AH59</f>
        <v>11658.398999999999</v>
      </c>
      <c r="AG23" s="26">
        <f>'Consumption Input'!AI59</f>
        <v>11999.767</v>
      </c>
      <c r="AH23" s="26">
        <f>'Consumption Input'!AJ59</f>
        <v>11582.584999999999</v>
      </c>
      <c r="AI23" s="26">
        <f>'Consumption Input'!AK59</f>
        <v>12459.189</v>
      </c>
      <c r="AJ23" s="232">
        <f>(AI23-AH23)/AH23</f>
        <v>7.5682932609603237E-2</v>
      </c>
    </row>
    <row r="24" spans="1:37">
      <c r="A24" s="26"/>
      <c r="B24" s="6" t="s">
        <v>1440</v>
      </c>
      <c r="C24" s="26">
        <f>SUM('Consumption Input'!E60:E64)</f>
        <v>1289.4329999999998</v>
      </c>
      <c r="D24" s="26">
        <f>SUM('Consumption Input'!F60:F64)</f>
        <v>1198.261</v>
      </c>
      <c r="E24" s="26">
        <f>SUM('Consumption Input'!G60:G64)</f>
        <v>990.70699999999988</v>
      </c>
      <c r="F24" s="26">
        <f>SUM('Consumption Input'!H60:H64)</f>
        <v>1123.789</v>
      </c>
      <c r="G24" s="26">
        <f>SUM('Consumption Input'!I60:I64)</f>
        <v>1058.68</v>
      </c>
      <c r="H24" s="26">
        <f>SUM('Consumption Input'!J60:J64)</f>
        <v>754.505</v>
      </c>
      <c r="I24" s="26">
        <f>SUM('Consumption Input'!K60:K64)</f>
        <v>817.26199999999994</v>
      </c>
      <c r="J24" s="26">
        <f>SUM('Consumption Input'!L60:L64)</f>
        <v>926.70600000000002</v>
      </c>
      <c r="K24" s="26">
        <f>SUM('Consumption Input'!M60:M64)</f>
        <v>1306.095</v>
      </c>
      <c r="L24" s="26">
        <f>SUM('Consumption Input'!N60:N64)</f>
        <v>1211.2059999999999</v>
      </c>
      <c r="M24" s="26">
        <f>SUM('Consumption Input'!O60:O64)</f>
        <v>1144.1400000000001</v>
      </c>
      <c r="N24" s="26">
        <f>SUM('Consumption Input'!P60:P64)</f>
        <v>1276.3759999999997</v>
      </c>
      <c r="O24" s="26">
        <f>SUM('Consumption Input'!Q60:Q64)</f>
        <v>961.18399999999997</v>
      </c>
      <c r="P24" s="26">
        <f>SUM('Consumption Input'!R60:R64)</f>
        <v>1204.819</v>
      </c>
      <c r="Q24" s="26">
        <f>SUM('Consumption Input'!S60:S64)</f>
        <v>1200.9970000000001</v>
      </c>
      <c r="R24" s="26">
        <f>SUM('Consumption Input'!T60:T64)</f>
        <v>1222.0640000000001</v>
      </c>
      <c r="S24" s="26">
        <f>SUM('Consumption Input'!U60:U64)</f>
        <v>636.95799999999997</v>
      </c>
      <c r="T24" s="26">
        <f>SUM('Consumption Input'!V60:V64)</f>
        <v>647.83100000000002</v>
      </c>
      <c r="U24" s="26">
        <f>SUM('Consumption Input'!W60:W64)</f>
        <v>459.33600000000001</v>
      </c>
      <c r="V24" s="26">
        <f>SUM('Consumption Input'!X60:X64)</f>
        <v>382.37099999999998</v>
      </c>
      <c r="W24" s="26">
        <f>SUM('Consumption Input'!Y60:Y64)</f>
        <v>370.32600000000002</v>
      </c>
      <c r="X24" s="26">
        <f>SUM('Consumption Input'!Z60:Z64)</f>
        <v>295.03999999999996</v>
      </c>
      <c r="Y24" s="26">
        <f>SUM('Consumption Input'!AA60:AA64)</f>
        <v>214.20500000000001</v>
      </c>
      <c r="Z24" s="26">
        <f>SUM('Consumption Input'!AB60:AB64)</f>
        <v>255.16299999999998</v>
      </c>
      <c r="AA24" s="26">
        <f>SUM('Consumption Input'!AC60:AC64)</f>
        <v>295.46899999999999</v>
      </c>
      <c r="AB24" s="26">
        <f>SUM('Consumption Input'!AD60:AD64)</f>
        <v>275.96500000000003</v>
      </c>
      <c r="AC24" s="26">
        <f>SUM('Consumption Input'!AE60:AE64)</f>
        <v>243.899</v>
      </c>
      <c r="AD24" s="26">
        <f>SUM('Consumption Input'!AF60:AF64)</f>
        <v>217.72199999999998</v>
      </c>
      <c r="AE24" s="26">
        <f>SUM('Consumption Input'!AG60:AG64)</f>
        <v>260.35000000000002</v>
      </c>
      <c r="AF24" s="26">
        <f>SUM('Consumption Input'!AH60:AH64)</f>
        <v>188.58600000000001</v>
      </c>
      <c r="AG24" s="26">
        <f>SUM('Consumption Input'!AI60:AI64)</f>
        <v>184.39699999999999</v>
      </c>
      <c r="AH24" s="26">
        <f>SUM('Consumption Input'!AJ60:AJ64)</f>
        <v>205.01399999999998</v>
      </c>
      <c r="AI24" s="26">
        <f>SUM('Consumption Input'!AK60:AK64)</f>
        <v>243.863</v>
      </c>
      <c r="AJ24" s="232">
        <f>(AI24-AH24)/AH24</f>
        <v>0.18949437599383467</v>
      </c>
    </row>
    <row r="25" spans="1:37">
      <c r="A25" s="27"/>
      <c r="B25" s="5" t="s">
        <v>1476</v>
      </c>
      <c r="C25" s="27">
        <f t="shared" ref="C25:R25" si="29">SUM(C26:C28)</f>
        <v>324.4665204577982</v>
      </c>
      <c r="D25" s="27">
        <f t="shared" si="29"/>
        <v>327.05291625865414</v>
      </c>
      <c r="E25" s="27">
        <f t="shared" si="29"/>
        <v>335.152935522478</v>
      </c>
      <c r="F25" s="27">
        <f t="shared" si="29"/>
        <v>347.5751450905413</v>
      </c>
      <c r="G25" s="27">
        <f t="shared" si="29"/>
        <v>368.48222781436704</v>
      </c>
      <c r="H25" s="27">
        <f t="shared" si="29"/>
        <v>350.48865848592732</v>
      </c>
      <c r="I25" s="27">
        <f t="shared" si="29"/>
        <v>343.07239580525902</v>
      </c>
      <c r="J25" s="27">
        <f t="shared" si="29"/>
        <v>351.58912809857435</v>
      </c>
      <c r="K25" s="27">
        <f t="shared" si="29"/>
        <v>341.81780602641896</v>
      </c>
      <c r="L25" s="27">
        <f t="shared" si="29"/>
        <v>346.37269786853142</v>
      </c>
      <c r="M25" s="27">
        <f t="shared" si="29"/>
        <v>649.89002595223008</v>
      </c>
      <c r="N25" s="27">
        <f t="shared" si="29"/>
        <v>767.94138974898863</v>
      </c>
      <c r="O25" s="27">
        <f t="shared" si="29"/>
        <v>758.66090540586094</v>
      </c>
      <c r="P25" s="27">
        <f t="shared" si="29"/>
        <v>806.91878949518593</v>
      </c>
      <c r="Q25" s="27">
        <f t="shared" si="29"/>
        <v>833.37656572112917</v>
      </c>
      <c r="R25" s="27">
        <f t="shared" si="29"/>
        <v>821.43854523628113</v>
      </c>
      <c r="S25" s="27">
        <f t="shared" ref="S25:X25" si="30">SUM(S26:S28)</f>
        <v>793.74709331538338</v>
      </c>
      <c r="T25" s="27">
        <f t="shared" si="30"/>
        <v>744.3712083308244</v>
      </c>
      <c r="U25" s="27">
        <f t="shared" si="30"/>
        <v>601.78017786338455</v>
      </c>
      <c r="V25" s="27">
        <f t="shared" si="30"/>
        <v>571.46582385405327</v>
      </c>
      <c r="W25" s="27">
        <f t="shared" si="30"/>
        <v>497.62655158279728</v>
      </c>
      <c r="X25" s="27">
        <f t="shared" si="30"/>
        <v>480.71791243244314</v>
      </c>
      <c r="Y25" s="27">
        <f t="shared" ref="Y25:Z25" si="31">SUM(Y26:Y28)</f>
        <v>473.60371676302316</v>
      </c>
      <c r="Z25" s="27">
        <f t="shared" si="31"/>
        <v>404.07070568005963</v>
      </c>
      <c r="AA25" s="27">
        <f t="shared" ref="AA25:AE25" si="32">SUM(AA26:AA28)</f>
        <v>407.58329101829059</v>
      </c>
      <c r="AB25" s="27">
        <f t="shared" si="32"/>
        <v>409.37888539441576</v>
      </c>
      <c r="AC25" s="27">
        <f t="shared" si="32"/>
        <v>379.20440249370552</v>
      </c>
      <c r="AD25" s="27">
        <f t="shared" si="32"/>
        <v>368.88271287039959</v>
      </c>
      <c r="AE25" s="27">
        <f t="shared" si="32"/>
        <v>371.77084886443447</v>
      </c>
      <c r="AF25" s="27">
        <f>SUM(AF26:AF28)</f>
        <v>354.35317671786061</v>
      </c>
      <c r="AG25" s="27">
        <f>SUM(AG26:AG28)</f>
        <v>325.54746190633119</v>
      </c>
      <c r="AH25" s="27">
        <f>SUM(AH26:AH28)</f>
        <v>340.38063892693521</v>
      </c>
      <c r="AI25" s="27">
        <f>SUM(AI26:AI28)</f>
        <v>340.29417225378836</v>
      </c>
      <c r="AJ25" s="26"/>
      <c r="AK25" s="26"/>
    </row>
    <row r="26" spans="1:37">
      <c r="A26" s="26"/>
      <c r="B26" s="6" t="s">
        <v>1435</v>
      </c>
      <c r="C26" s="26">
        <f>'US Territories'!D29</f>
        <v>5.4153140038999998</v>
      </c>
      <c r="D26" s="26">
        <f>'US Territories'!E29</f>
        <v>5.0225861839999562</v>
      </c>
      <c r="E26" s="26">
        <f>'US Territories'!F29</f>
        <v>4.2894793258999551</v>
      </c>
      <c r="F26" s="26">
        <f>'US Territories'!G29</f>
        <v>4.4984224763</v>
      </c>
      <c r="G26" s="26">
        <f>'US Territories'!H29</f>
        <v>4.584457816399933</v>
      </c>
      <c r="H26" s="26">
        <f>'US Territories'!I29</f>
        <v>4.6704931342000666</v>
      </c>
      <c r="I26" s="26">
        <f>'US Territories'!J29</f>
        <v>4.7934009221999334</v>
      </c>
      <c r="J26" s="26">
        <f>'US Territories'!K29</f>
        <v>4.8720619868000448</v>
      </c>
      <c r="K26" s="26">
        <f>'US Territories'!L29</f>
        <v>4.9261413376999998</v>
      </c>
      <c r="L26" s="26">
        <f>'US Territories'!M29</f>
        <v>4.5598763479999995</v>
      </c>
      <c r="M26" s="26">
        <f>'US Territories'!N29</f>
        <v>5.1530037646000668</v>
      </c>
      <c r="N26" s="26">
        <f>'US Territories'!O29</f>
        <v>6.4746043000000659</v>
      </c>
      <c r="O26" s="26">
        <f>'US Territories'!P29</f>
        <v>21.950202199999911</v>
      </c>
      <c r="P26" s="26">
        <f>'US Territories'!Q29</f>
        <v>28.898837327166859</v>
      </c>
      <c r="Q26" s="26">
        <f>'US Territories'!R29</f>
        <v>31.956006371000896</v>
      </c>
      <c r="R26" s="26">
        <f>'US Territories'!S29</f>
        <v>32.693452652999333</v>
      </c>
      <c r="S26" s="26">
        <f>'US Territories'!T29</f>
        <v>36.872314991999332</v>
      </c>
      <c r="T26" s="26">
        <f>'US Territories'!U29</f>
        <v>36.910076885308783</v>
      </c>
      <c r="U26" s="26">
        <f>'US Territories'!V29</f>
        <v>37.24687728113885</v>
      </c>
      <c r="V26" s="26">
        <f>'US Territories'!W29</f>
        <v>36.988296399999335</v>
      </c>
      <c r="W26" s="26">
        <f>'US Territories'!X29</f>
        <v>34.668182100000891</v>
      </c>
      <c r="X26" s="26">
        <f>'US Territories'!Y29</f>
        <v>37.299648999999107</v>
      </c>
      <c r="Y26" s="26">
        <f>'US Territories'!Z29</f>
        <v>35.667677036947332</v>
      </c>
      <c r="Z26" s="26">
        <f>'US Territories'!AA29</f>
        <v>35.534273165896998</v>
      </c>
      <c r="AA26" s="26">
        <f>'US Territories'!AB29</f>
        <v>37.343816349511442</v>
      </c>
      <c r="AB26" s="26">
        <f>'US Territories'!AC29</f>
        <v>35.908837411646324</v>
      </c>
      <c r="AC26" s="26">
        <f>'US Territories'!AD29</f>
        <v>35.481528518267581</v>
      </c>
      <c r="AD26" s="26">
        <f>'US Territories'!AE29</f>
        <v>24.956420600000001</v>
      </c>
      <c r="AE26" s="26">
        <f>'US Territories'!AF29</f>
        <v>27.736806900000005</v>
      </c>
      <c r="AF26" s="26">
        <f>'US Territories'!AG29</f>
        <v>38.625227900000006</v>
      </c>
      <c r="AG26" s="26">
        <f>'US Territories'!AH29</f>
        <v>33.440974905674999</v>
      </c>
      <c r="AH26" s="26">
        <f>'US Territories'!AI29</f>
        <v>31.336178988899004</v>
      </c>
      <c r="AI26" s="26">
        <f>'US Territories'!AJ29</f>
        <v>31.336178988899004</v>
      </c>
      <c r="AJ26" s="26"/>
      <c r="AK26" s="26"/>
    </row>
    <row r="27" spans="1:37">
      <c r="A27" s="26"/>
      <c r="B27" s="6" t="s">
        <v>1439</v>
      </c>
      <c r="C27" s="26">
        <f>'US Territories'!D30</f>
        <v>0</v>
      </c>
      <c r="D27" s="26">
        <f>'US Territories'!E30</f>
        <v>0</v>
      </c>
      <c r="E27" s="26">
        <f>'US Territories'!F30</f>
        <v>0</v>
      </c>
      <c r="F27" s="26">
        <f>'US Territories'!G30</f>
        <v>0</v>
      </c>
      <c r="G27" s="26">
        <f>'US Territories'!H30</f>
        <v>0</v>
      </c>
      <c r="H27" s="26">
        <f>'US Territories'!I30</f>
        <v>0</v>
      </c>
      <c r="I27" s="26">
        <f>'US Territories'!J30</f>
        <v>0</v>
      </c>
      <c r="J27" s="26">
        <f>'US Territories'!K30</f>
        <v>0</v>
      </c>
      <c r="K27" s="26">
        <f>'US Territories'!L30</f>
        <v>0</v>
      </c>
      <c r="L27" s="26">
        <f>'US Territories'!M30</f>
        <v>0</v>
      </c>
      <c r="M27" s="26">
        <f>'US Territories'!N30</f>
        <v>12.66925625</v>
      </c>
      <c r="N27" s="26">
        <f>'US Territories'!O30</f>
        <v>22.871406599999997</v>
      </c>
      <c r="O27" s="26">
        <f>'US Territories'!P30</f>
        <v>22.782412799999999</v>
      </c>
      <c r="P27" s="26">
        <f>'US Territories'!Q30</f>
        <v>26.864826799999999</v>
      </c>
      <c r="Q27" s="26">
        <f>'US Territories'!R30</f>
        <v>24.638569199999999</v>
      </c>
      <c r="R27" s="26">
        <f>'US Territories'!S30</f>
        <v>24.323559399999997</v>
      </c>
      <c r="S27" s="26">
        <f>'US Territories'!T30</f>
        <v>26.138750399999999</v>
      </c>
      <c r="T27" s="26">
        <f>'US Territories'!U30</f>
        <v>26.702000000000002</v>
      </c>
      <c r="U27" s="26">
        <f>'US Territories'!V30</f>
        <v>29.255122</v>
      </c>
      <c r="V27" s="26">
        <f>'US Territories'!W30</f>
        <v>27.391075000000001</v>
      </c>
      <c r="W27" s="26">
        <f>'US Territories'!X30</f>
        <v>27.818439000000001</v>
      </c>
      <c r="X27" s="26">
        <f>'US Territories'!Y30</f>
        <v>27.0689475</v>
      </c>
      <c r="Y27" s="26">
        <f>'US Territories'!Z30</f>
        <v>49.181081599999999</v>
      </c>
      <c r="Z27" s="26">
        <f>'US Territories'!AA30</f>
        <v>58.238016083000005</v>
      </c>
      <c r="AA27" s="26">
        <f>'US Territories'!AB30</f>
        <v>60.592056456000009</v>
      </c>
      <c r="AB27" s="26">
        <f>'US Territories'!AC30</f>
        <v>57.422245873000001</v>
      </c>
      <c r="AC27" s="26">
        <f>'US Territories'!AD30</f>
        <v>63.604347298</v>
      </c>
      <c r="AD27" s="26">
        <f>'US Territories'!AE30</f>
        <v>48.104436743999997</v>
      </c>
      <c r="AE27" s="26">
        <f>'US Territories'!AF30</f>
        <v>62.438463332000005</v>
      </c>
      <c r="AF27" s="26">
        <f>'US Territories'!AG30</f>
        <v>71.333004192000004</v>
      </c>
      <c r="AG27" s="26">
        <f>'US Territories'!AH30</f>
        <v>50.043995020999994</v>
      </c>
      <c r="AH27" s="26">
        <f>'US Territories'!AI30</f>
        <v>74.144902688000002</v>
      </c>
      <c r="AI27" s="26">
        <f>'US Territories'!AJ30</f>
        <v>74.073403264000007</v>
      </c>
      <c r="AJ27" s="26"/>
      <c r="AK27" s="26"/>
    </row>
    <row r="28" spans="1:37">
      <c r="A28" s="26"/>
      <c r="B28" s="7" t="s">
        <v>1440</v>
      </c>
      <c r="C28" s="65">
        <f>SUM('US Territories'!D31:D38)</f>
        <v>319.0512064538982</v>
      </c>
      <c r="D28" s="65">
        <f>SUM('US Territories'!E31:E38)</f>
        <v>322.03033007465416</v>
      </c>
      <c r="E28" s="65">
        <f>SUM('US Territories'!F31:F38)</f>
        <v>330.86345619657806</v>
      </c>
      <c r="F28" s="65">
        <f>SUM('US Territories'!G31:G38)</f>
        <v>343.07672261424131</v>
      </c>
      <c r="G28" s="65">
        <f>SUM('US Territories'!H31:H38)</f>
        <v>363.89776999796709</v>
      </c>
      <c r="H28" s="65">
        <f>SUM('US Territories'!I31:I38)</f>
        <v>345.81816535172726</v>
      </c>
      <c r="I28" s="65">
        <f>SUM('US Territories'!J31:J38)</f>
        <v>338.27899488305911</v>
      </c>
      <c r="J28" s="65">
        <f>SUM('US Territories'!K31:K38)</f>
        <v>346.71706611177433</v>
      </c>
      <c r="K28" s="65">
        <f>SUM('US Territories'!L31:L38)</f>
        <v>336.89166468871895</v>
      </c>
      <c r="L28" s="65">
        <f>SUM('US Territories'!M31:M38)</f>
        <v>341.81282152053143</v>
      </c>
      <c r="M28" s="65">
        <f>SUM('US Territories'!N31:N38)</f>
        <v>632.06776593763004</v>
      </c>
      <c r="N28" s="65">
        <f>SUM('US Territories'!O31:O38)</f>
        <v>738.59537884898862</v>
      </c>
      <c r="O28" s="65">
        <f>SUM('US Territories'!P31:P38)</f>
        <v>713.92829040586105</v>
      </c>
      <c r="P28" s="65">
        <f>SUM('US Territories'!Q31:Q38)</f>
        <v>751.15512536801907</v>
      </c>
      <c r="Q28" s="65">
        <f>SUM('US Territories'!R31:R38)</f>
        <v>776.78199015012831</v>
      </c>
      <c r="R28" s="65">
        <f>SUM('US Territories'!S31:S38)</f>
        <v>764.42153318328178</v>
      </c>
      <c r="S28" s="65">
        <f>SUM('US Territories'!T31:T38)</f>
        <v>730.73602792338409</v>
      </c>
      <c r="T28" s="65">
        <f>SUM('US Territories'!U31:U38)</f>
        <v>680.75913144551566</v>
      </c>
      <c r="U28" s="65">
        <f>SUM('US Territories'!V31:V38)</f>
        <v>535.27817858224569</v>
      </c>
      <c r="V28" s="65">
        <f>SUM('US Territories'!W31:W38)</f>
        <v>507.08645245405387</v>
      </c>
      <c r="W28" s="65">
        <f>SUM('US Territories'!X31:X38)</f>
        <v>435.13993048279639</v>
      </c>
      <c r="X28" s="65">
        <f>SUM('US Territories'!Y31:Y38)</f>
        <v>416.34931593244403</v>
      </c>
      <c r="Y28" s="65">
        <f>SUM('US Territories'!Z31:Z38)</f>
        <v>388.75495812607585</v>
      </c>
      <c r="Z28" s="65">
        <f>SUM('US Territories'!AA31:AA38)</f>
        <v>310.29841643116259</v>
      </c>
      <c r="AA28" s="65">
        <f>SUM('US Territories'!AB31:AB38)</f>
        <v>309.64741821277914</v>
      </c>
      <c r="AB28" s="65">
        <f>SUM('US Territories'!AC31:AC38)</f>
        <v>316.04780210976946</v>
      </c>
      <c r="AC28" s="65">
        <f>SUM('US Territories'!AD31:AD38)</f>
        <v>280.1185266774379</v>
      </c>
      <c r="AD28" s="65">
        <f>SUM('US Territories'!AE31:AE38)</f>
        <v>295.82185552639959</v>
      </c>
      <c r="AE28" s="65">
        <f>SUM('US Territories'!AF31:AF38)</f>
        <v>281.59557863243447</v>
      </c>
      <c r="AF28" s="65">
        <f>SUM('US Territories'!AG31:AG38)</f>
        <v>244.3949446258606</v>
      </c>
      <c r="AG28" s="65">
        <f>SUM('US Territories'!AH31:AH38)</f>
        <v>242.06249197965619</v>
      </c>
      <c r="AH28" s="65">
        <f>SUM('US Territories'!AI31:AI38)</f>
        <v>234.8995572500362</v>
      </c>
      <c r="AI28" s="65">
        <f>SUM('US Territories'!AJ31:AJ38)</f>
        <v>234.88459000088938</v>
      </c>
      <c r="AJ28" s="26"/>
      <c r="AK28" s="26"/>
    </row>
    <row r="29" spans="1:37">
      <c r="B29" s="1" t="s">
        <v>1482</v>
      </c>
      <c r="C29" s="1054"/>
      <c r="D29" s="1054"/>
      <c r="E29" s="1054"/>
      <c r="F29" s="1054"/>
      <c r="G29" s="1054"/>
      <c r="H29" s="1054"/>
      <c r="I29" s="1054"/>
      <c r="J29" s="1054"/>
      <c r="K29" s="1054"/>
      <c r="L29" s="1054"/>
      <c r="M29" s="1054"/>
      <c r="N29" s="1054"/>
      <c r="O29" s="1054"/>
      <c r="P29" s="1054"/>
      <c r="Q29" s="1054"/>
      <c r="R29" s="1054"/>
      <c r="S29" s="1054"/>
      <c r="T29" s="1054"/>
      <c r="U29" s="1054"/>
      <c r="V29" s="1054"/>
      <c r="W29" s="1054"/>
      <c r="X29" s="1054"/>
      <c r="Y29" s="1054"/>
      <c r="Z29" s="1054"/>
      <c r="AA29" s="1054"/>
      <c r="AB29" s="1054"/>
      <c r="AC29" s="1054"/>
      <c r="AD29" s="1054"/>
      <c r="AE29" s="1054"/>
      <c r="AF29" s="1054"/>
      <c r="AG29" s="1054"/>
      <c r="AH29" s="1054"/>
      <c r="AI29" s="1054"/>
    </row>
    <row r="30" spans="1:37">
      <c r="B30" s="1" t="s">
        <v>1483</v>
      </c>
      <c r="D30" s="9"/>
      <c r="E30" s="9"/>
      <c r="F30" s="9"/>
      <c r="G30" s="9"/>
      <c r="H30" s="9"/>
      <c r="I30" s="9"/>
      <c r="J30" s="9"/>
      <c r="K30" s="9"/>
      <c r="L30" s="9"/>
      <c r="M30" s="9"/>
      <c r="N30" s="9"/>
      <c r="O30" s="9"/>
      <c r="P30" s="9"/>
      <c r="Q30" s="9"/>
      <c r="R30" s="9"/>
      <c r="S30" s="9"/>
      <c r="T30" s="9"/>
      <c r="U30" s="9"/>
      <c r="V30" s="9"/>
      <c r="W30" s="9"/>
    </row>
    <row r="31" spans="1:37">
      <c r="B31" s="1" t="s">
        <v>1589</v>
      </c>
      <c r="C31" s="9"/>
      <c r="D31" s="9"/>
      <c r="E31" s="9"/>
      <c r="F31" s="9"/>
      <c r="G31" s="9"/>
      <c r="H31" s="9"/>
      <c r="I31" s="9"/>
      <c r="J31" s="9"/>
      <c r="K31" s="9"/>
      <c r="L31" s="9"/>
      <c r="M31" s="9"/>
      <c r="N31" s="9"/>
      <c r="O31" s="9"/>
      <c r="P31" s="9"/>
      <c r="Q31" s="9"/>
      <c r="R31" s="9"/>
      <c r="S31" s="9"/>
      <c r="T31" s="9"/>
      <c r="U31" s="9"/>
      <c r="V31" s="9"/>
      <c r="W31" s="9"/>
    </row>
    <row r="32" spans="1:37">
      <c r="C32" s="9"/>
      <c r="D32" s="9"/>
      <c r="E32" s="9"/>
      <c r="F32" s="9"/>
      <c r="G32" s="9"/>
      <c r="H32" s="9"/>
      <c r="I32" s="9"/>
      <c r="J32" s="9"/>
      <c r="K32" s="9"/>
      <c r="L32" s="9"/>
      <c r="M32" s="9"/>
      <c r="N32" s="9"/>
      <c r="O32" s="9"/>
      <c r="P32" s="9"/>
      <c r="Q32" s="9"/>
      <c r="R32" s="9"/>
      <c r="S32" s="9"/>
      <c r="T32" s="9"/>
      <c r="U32" s="9"/>
      <c r="V32" s="9"/>
      <c r="W32" s="9"/>
    </row>
    <row r="33" spans="2:35">
      <c r="C33" s="8"/>
      <c r="D33" s="8"/>
      <c r="E33" s="8"/>
      <c r="F33" s="8"/>
      <c r="G33" s="8"/>
      <c r="H33" s="8"/>
      <c r="I33" s="8"/>
      <c r="J33" s="8"/>
      <c r="K33" s="8"/>
      <c r="L33" s="8"/>
      <c r="M33" s="8"/>
      <c r="N33" s="8"/>
      <c r="O33" s="8"/>
      <c r="P33" s="8"/>
      <c r="Q33" s="8"/>
      <c r="R33" s="8"/>
      <c r="S33" s="8"/>
      <c r="T33" s="8"/>
      <c r="U33" s="8"/>
      <c r="V33" s="8"/>
      <c r="W33" s="8"/>
    </row>
    <row r="34" spans="2:35">
      <c r="B34" s="4" t="s">
        <v>1535</v>
      </c>
      <c r="C34" s="11">
        <f>SUM(C5,C9,C13,C17,C21,C25)</f>
        <v>71112.384357158589</v>
      </c>
      <c r="D34" s="11">
        <f t="shared" ref="D34:O34" si="33">SUM(D5,D9,D13,D17,D21,D25)</f>
        <v>70783.629317861458</v>
      </c>
      <c r="E34" s="11">
        <f t="shared" si="33"/>
        <v>72176.869013467207</v>
      </c>
      <c r="F34" s="11">
        <f t="shared" si="33"/>
        <v>73629.508580630849</v>
      </c>
      <c r="G34" s="11">
        <f t="shared" si="33"/>
        <v>74974.402949450727</v>
      </c>
      <c r="H34" s="11">
        <f t="shared" si="33"/>
        <v>75961.043175836618</v>
      </c>
      <c r="I34" s="11">
        <f t="shared" si="33"/>
        <v>78269.313913550592</v>
      </c>
      <c r="J34" s="11">
        <f t="shared" si="33"/>
        <v>79364.870600094728</v>
      </c>
      <c r="K34" s="11">
        <f t="shared" si="33"/>
        <v>80142.702497270555</v>
      </c>
      <c r="L34" s="11">
        <f t="shared" si="33"/>
        <v>81123.64690697343</v>
      </c>
      <c r="M34" s="11">
        <f t="shared" si="33"/>
        <v>83902.343390398208</v>
      </c>
      <c r="N34" s="11">
        <f t="shared" si="33"/>
        <v>82172.160700979774</v>
      </c>
      <c r="O34" s="11">
        <f t="shared" si="33"/>
        <v>83062.438576583576</v>
      </c>
      <c r="P34" s="11">
        <f t="shared" ref="P34:U34" si="34">SUM(P5,P9,P13,P17,P21,P25)</f>
        <v>83426.617512712517</v>
      </c>
      <c r="Q34" s="11">
        <f t="shared" si="34"/>
        <v>85232.277678495971</v>
      </c>
      <c r="R34" s="11">
        <f t="shared" si="34"/>
        <v>85189.980255946022</v>
      </c>
      <c r="S34" s="11">
        <f t="shared" si="34"/>
        <v>83952.966857985681</v>
      </c>
      <c r="T34" s="11">
        <f t="shared" si="34"/>
        <v>85137.716337433274</v>
      </c>
      <c r="U34" s="11">
        <f t="shared" si="34"/>
        <v>82451.948515871089</v>
      </c>
      <c r="V34" s="11">
        <f t="shared" ref="V34:AA34" si="35">SUM(V5,V9,V13,V17,V21,V25)</f>
        <v>77596.531904980293</v>
      </c>
      <c r="W34" s="11">
        <f t="shared" si="35"/>
        <v>80075.628618783332</v>
      </c>
      <c r="X34" s="11">
        <f t="shared" si="35"/>
        <v>78632.474096289559</v>
      </c>
      <c r="Y34" s="11">
        <f t="shared" si="35"/>
        <v>76682.633967171307</v>
      </c>
      <c r="Z34" s="11">
        <f t="shared" si="35"/>
        <v>78593.07489007726</v>
      </c>
      <c r="AA34" s="11">
        <f t="shared" si="35"/>
        <v>79436.913892922807</v>
      </c>
      <c r="AB34" s="11">
        <f>SUM(AB5,AB9,AB13,AB17,AB21,AB25)</f>
        <v>78517.884755068939</v>
      </c>
      <c r="AC34" s="11">
        <f>SUM(AC5,AC9,AC13,AC17,AC21,AC25)</f>
        <v>77789.688047079777</v>
      </c>
      <c r="AD34" s="11">
        <f>SUM(AD5,AD9,AD13,AD17,AD21,AD25)</f>
        <v>77161.988957122274</v>
      </c>
      <c r="AE34" s="11">
        <f t="shared" ref="AE34" si="36">SUM(AE5,AE9,AE13,AE17,AE21,AE25)</f>
        <v>80491.845611132434</v>
      </c>
      <c r="AF34" s="11">
        <f>SUM(AF5,AF9,AF13,AF17,AF21,AF25)</f>
        <v>79388.733802727205</v>
      </c>
      <c r="AG34" s="11">
        <f>SUM(AG5,AG9,AG13,AG17,AG21,AG25)</f>
        <v>72083.847091913631</v>
      </c>
      <c r="AH34" s="11">
        <f>SUM(AH5,AH9,AH13,AH17,AH21,AH25)</f>
        <v>76429.975306289401</v>
      </c>
      <c r="AI34" s="11">
        <f>SUM(AI5,AI9,AI13,AI17,AI21,AI25)</f>
        <v>77968.159292518278</v>
      </c>
    </row>
    <row r="35" spans="2:35">
      <c r="B35" s="1" t="s">
        <v>1536</v>
      </c>
      <c r="C35" s="10">
        <f>C21/C34</f>
        <v>0.29332335272625715</v>
      </c>
      <c r="D35" s="10">
        <f t="shared" ref="D35:U35" si="37">D21/D34</f>
        <v>0.29421109373301035</v>
      </c>
      <c r="E35" s="10">
        <f t="shared" si="37"/>
        <v>0.29050586824551361</v>
      </c>
      <c r="F35" s="10">
        <f t="shared" si="37"/>
        <v>0.2968540388404794</v>
      </c>
      <c r="G35" s="10">
        <f t="shared" si="37"/>
        <v>0.29739288507616385</v>
      </c>
      <c r="H35" s="10">
        <f t="shared" si="37"/>
        <v>0.29650410339762873</v>
      </c>
      <c r="I35" s="10">
        <f t="shared" si="37"/>
        <v>0.29524646179374819</v>
      </c>
      <c r="J35" s="10">
        <f t="shared" si="37"/>
        <v>0.30185591961352481</v>
      </c>
      <c r="K35" s="63">
        <f t="shared" si="37"/>
        <v>0.31439764588495295</v>
      </c>
      <c r="L35" s="63">
        <f t="shared" si="37"/>
        <v>0.3130140466825736</v>
      </c>
      <c r="M35" s="63">
        <f t="shared" si="37"/>
        <v>0.31772278249680808</v>
      </c>
      <c r="N35" s="63">
        <f t="shared" si="37"/>
        <v>0.32064570014021593</v>
      </c>
      <c r="O35" s="63">
        <f t="shared" si="37"/>
        <v>0.31916685151925878</v>
      </c>
      <c r="P35" s="63">
        <f t="shared" si="37"/>
        <v>0.31927233530642957</v>
      </c>
      <c r="Q35" s="63">
        <f t="shared" si="37"/>
        <v>0.31796600698889393</v>
      </c>
      <c r="R35" s="63">
        <f t="shared" si="37"/>
        <v>0.328370225183231</v>
      </c>
      <c r="S35" s="63">
        <f t="shared" si="37"/>
        <v>0.32725442623695256</v>
      </c>
      <c r="T35" s="63">
        <f t="shared" si="37"/>
        <v>0.33429117228372718</v>
      </c>
      <c r="U35" s="63">
        <f t="shared" si="37"/>
        <v>0.33718081258744992</v>
      </c>
      <c r="V35" s="63">
        <f t="shared" ref="V35:AA35" si="38">V21/V34</f>
        <v>0.33029946533415894</v>
      </c>
      <c r="W35" s="63">
        <f t="shared" si="38"/>
        <v>0.33757364714161286</v>
      </c>
      <c r="X35" s="63">
        <f t="shared" si="38"/>
        <v>0.3311916647581214</v>
      </c>
      <c r="Y35" s="63">
        <f t="shared" si="38"/>
        <v>0.3302213902934103</v>
      </c>
      <c r="Z35" s="63">
        <f t="shared" si="38"/>
        <v>0.31913722723128524</v>
      </c>
      <c r="AA35" s="63">
        <f t="shared" si="38"/>
        <v>0.31577951320985087</v>
      </c>
      <c r="AB35" s="63">
        <f>AB21/AB34</f>
        <v>0.31000165218318138</v>
      </c>
      <c r="AC35" s="63">
        <f>AC21/AC34</f>
        <v>0.30263090894196937</v>
      </c>
      <c r="AD35" s="63">
        <f>AD21/AD34</f>
        <v>0.29023567565689173</v>
      </c>
      <c r="AE35" s="63">
        <f t="shared" ref="AE35:AF35" si="39">AE21/AE34</f>
        <v>0.28866048260653254</v>
      </c>
      <c r="AF35" s="63">
        <f t="shared" si="39"/>
        <v>0.27747321244268636</v>
      </c>
      <c r="AG35" s="63">
        <f t="shared" ref="AG35:AH35" si="40">AG21/AG34</f>
        <v>0.28319030994518024</v>
      </c>
      <c r="AH35" s="63">
        <f t="shared" si="40"/>
        <v>0.27849375738642218</v>
      </c>
      <c r="AI35" s="63">
        <f t="shared" ref="AI35" si="41">AI21/AI34</f>
        <v>0.27688922241969116</v>
      </c>
    </row>
    <row r="36" spans="2:35">
      <c r="B36" s="1" t="s">
        <v>1537</v>
      </c>
      <c r="C36" s="10">
        <f>C17/C34</f>
        <v>0.31282156924016152</v>
      </c>
      <c r="D36" s="10">
        <f t="shared" ref="D36:O36" si="42">D17/D34</f>
        <v>0.30717753548324045</v>
      </c>
      <c r="E36" s="10">
        <f t="shared" si="42"/>
        <v>0.30946234541404477</v>
      </c>
      <c r="F36" s="10">
        <f t="shared" si="42"/>
        <v>0.30805518438241281</v>
      </c>
      <c r="G36" s="10">
        <f t="shared" si="42"/>
        <v>0.31179386704704481</v>
      </c>
      <c r="H36" s="10">
        <f t="shared" si="42"/>
        <v>0.31297590811513992</v>
      </c>
      <c r="I36" s="10">
        <f t="shared" si="42"/>
        <v>0.31169666573164573</v>
      </c>
      <c r="J36" s="10">
        <f t="shared" si="42"/>
        <v>0.31161880080774446</v>
      </c>
      <c r="K36" s="63">
        <f t="shared" si="42"/>
        <v>0.31499631043067289</v>
      </c>
      <c r="L36" s="63">
        <f t="shared" si="42"/>
        <v>0.32189366566505107</v>
      </c>
      <c r="M36" s="63">
        <f t="shared" si="42"/>
        <v>0.3165428382073816</v>
      </c>
      <c r="N36" s="63">
        <f t="shared" si="42"/>
        <v>0.31814554780102527</v>
      </c>
      <c r="O36" s="63">
        <f t="shared" si="42"/>
        <v>0.32146415873705464</v>
      </c>
      <c r="P36" s="63">
        <f t="shared" ref="P36:U36" si="43">P17/P34</f>
        <v>0.31934591838819787</v>
      </c>
      <c r="Q36" s="63">
        <f t="shared" si="43"/>
        <v>0.32108945050942767</v>
      </c>
      <c r="R36" s="63">
        <f t="shared" si="43"/>
        <v>0.32524232356080118</v>
      </c>
      <c r="S36" s="63">
        <f t="shared" si="43"/>
        <v>0.3288002038747031</v>
      </c>
      <c r="T36" s="63">
        <f t="shared" si="43"/>
        <v>0.32412619813207116</v>
      </c>
      <c r="U36" s="63">
        <f t="shared" si="43"/>
        <v>0.31964154987829968</v>
      </c>
      <c r="V36" s="63">
        <f t="shared" ref="V36:AA36" si="44">V17/V34</f>
        <v>0.32484023910623538</v>
      </c>
      <c r="W36" s="63">
        <f t="shared" si="44"/>
        <v>0.3186558143361905</v>
      </c>
      <c r="X36" s="63">
        <f t="shared" si="44"/>
        <v>0.31908575598362532</v>
      </c>
      <c r="Y36" s="63">
        <f t="shared" si="44"/>
        <v>0.32449671313970074</v>
      </c>
      <c r="Z36" s="63">
        <f t="shared" si="44"/>
        <v>0.31836813648522005</v>
      </c>
      <c r="AA36" s="63">
        <f t="shared" si="44"/>
        <v>0.32231696781699337</v>
      </c>
      <c r="AB36" s="63">
        <f>AB17/AB34</f>
        <v>0.32951739085462817</v>
      </c>
      <c r="AC36" s="63">
        <f>AC17/AC34</f>
        <v>0.34055029463806713</v>
      </c>
      <c r="AD36" s="63">
        <f>AD17/AD34</f>
        <v>0.34773351634954874</v>
      </c>
      <c r="AE36" s="63">
        <f t="shared" ref="AE36:AF36" si="45">AE17/AE34</f>
        <v>0.33991989546553425</v>
      </c>
      <c r="AF36" s="63">
        <f t="shared" si="45"/>
        <v>0.34424068263297541</v>
      </c>
      <c r="AG36" s="63">
        <f t="shared" ref="AG36:AH36" si="46">AG17/AG34</f>
        <v>0.32293991563510738</v>
      </c>
      <c r="AH36" s="63">
        <f t="shared" si="46"/>
        <v>0.33987262528874557</v>
      </c>
      <c r="AI36" s="63">
        <f t="shared" ref="AI36" si="47">AI17/AI34</f>
        <v>0.34122518502407007</v>
      </c>
    </row>
    <row r="38" spans="2:35" hidden="1">
      <c r="B38" s="5" t="s">
        <v>1590</v>
      </c>
      <c r="C38" s="9"/>
      <c r="D38" s="9"/>
      <c r="E38" s="9"/>
      <c r="F38" s="9"/>
      <c r="G38" s="9"/>
      <c r="H38" s="9"/>
      <c r="I38" s="9"/>
      <c r="J38" s="9"/>
      <c r="K38" s="9"/>
      <c r="L38" s="9"/>
      <c r="M38" s="9"/>
      <c r="N38" s="9"/>
      <c r="O38" s="9"/>
      <c r="AI38" s="1036"/>
    </row>
    <row r="39" spans="2:35" hidden="1">
      <c r="B39" s="408" t="s">
        <v>1434</v>
      </c>
      <c r="C39" s="551">
        <f>C5-'Consumption Input'!E6</f>
        <v>0</v>
      </c>
      <c r="D39" s="551">
        <f>D5-'Consumption Input'!F6</f>
        <v>0</v>
      </c>
      <c r="E39" s="551">
        <f>E5-'Consumption Input'!G6</f>
        <v>0</v>
      </c>
      <c r="F39" s="551">
        <f>F5-'Consumption Input'!H6</f>
        <v>0</v>
      </c>
      <c r="G39" s="551">
        <f>G5-'Consumption Input'!I6</f>
        <v>0</v>
      </c>
      <c r="H39" s="551">
        <f>H5-'Consumption Input'!J6</f>
        <v>0</v>
      </c>
      <c r="I39" s="551">
        <f>I5-'Consumption Input'!K6</f>
        <v>0</v>
      </c>
      <c r="J39" s="551">
        <f>J5-'Consumption Input'!L6</f>
        <v>0</v>
      </c>
      <c r="K39" s="551">
        <f>K5-'Consumption Input'!M6</f>
        <v>0</v>
      </c>
      <c r="L39" s="551">
        <f>L5-'Consumption Input'!N6</f>
        <v>0</v>
      </c>
      <c r="M39" s="551">
        <f>M5-'Consumption Input'!O6</f>
        <v>0</v>
      </c>
      <c r="N39" s="551">
        <f>N5-'Consumption Input'!P6</f>
        <v>0</v>
      </c>
      <c r="O39" s="551">
        <f>O5-'Consumption Input'!Q6</f>
        <v>0</v>
      </c>
      <c r="P39" s="551">
        <f>P5-'Consumption Input'!R6</f>
        <v>0</v>
      </c>
      <c r="Q39" s="551">
        <f>Q5-'Consumption Input'!S6</f>
        <v>0</v>
      </c>
      <c r="R39" s="551">
        <f>R5-'Consumption Input'!T6</f>
        <v>0</v>
      </c>
      <c r="S39" s="551">
        <f>S5-'Consumption Input'!U6</f>
        <v>0</v>
      </c>
      <c r="T39" s="551">
        <f>T5-'Consumption Input'!V6</f>
        <v>0</v>
      </c>
      <c r="U39" s="551">
        <f>U5-'Consumption Input'!W6</f>
        <v>0</v>
      </c>
      <c r="V39" s="551">
        <f>V5-'Consumption Input'!X6</f>
        <v>0</v>
      </c>
      <c r="W39" s="551">
        <f>W5-'Consumption Input'!Y6</f>
        <v>0</v>
      </c>
      <c r="X39" s="551">
        <f>X5-'Consumption Input'!Z6</f>
        <v>0</v>
      </c>
      <c r="Y39" s="551">
        <f>Y5-'Consumption Input'!AA6</f>
        <v>0</v>
      </c>
      <c r="Z39" s="551">
        <f>Z5-'Consumption Input'!AB6</f>
        <v>0</v>
      </c>
      <c r="AA39" s="551">
        <f>AA5-'Consumption Input'!AC6</f>
        <v>0</v>
      </c>
      <c r="AB39" s="551">
        <f>AB5-'Consumption Input'!AD6</f>
        <v>0</v>
      </c>
      <c r="AC39" s="551">
        <f>AC5-'Consumption Input'!AE6</f>
        <v>0</v>
      </c>
      <c r="AD39" s="551">
        <f>AD5-'Consumption Input'!AF6</f>
        <v>0</v>
      </c>
      <c r="AE39" s="551"/>
      <c r="AF39" s="551"/>
      <c r="AG39" s="551"/>
      <c r="AH39" s="551"/>
      <c r="AI39" s="551"/>
    </row>
    <row r="40" spans="2:35" hidden="1">
      <c r="B40" s="408" t="s">
        <v>1441</v>
      </c>
      <c r="C40" s="551">
        <f>C9-'Consumption Input'!E12</f>
        <v>0</v>
      </c>
      <c r="D40" s="551">
        <f>D9-'Consumption Input'!F12</f>
        <v>0</v>
      </c>
      <c r="E40" s="551">
        <f>E9-'Consumption Input'!G12</f>
        <v>0</v>
      </c>
      <c r="F40" s="551">
        <f>F9-'Consumption Input'!H12</f>
        <v>0</v>
      </c>
      <c r="G40" s="551">
        <f>G9-'Consumption Input'!I12</f>
        <v>0</v>
      </c>
      <c r="H40" s="551">
        <f>H9-'Consumption Input'!J12</f>
        <v>0</v>
      </c>
      <c r="I40" s="551">
        <f>I9-'Consumption Input'!K12</f>
        <v>0</v>
      </c>
      <c r="J40" s="551">
        <f>J9-'Consumption Input'!L12</f>
        <v>0</v>
      </c>
      <c r="K40" s="551">
        <f>K9-'Consumption Input'!M12</f>
        <v>0</v>
      </c>
      <c r="L40" s="551">
        <f>L9-'Consumption Input'!N12</f>
        <v>0</v>
      </c>
      <c r="M40" s="551">
        <f>M9-'Consumption Input'!O12</f>
        <v>0</v>
      </c>
      <c r="N40" s="551">
        <f>N9-'Consumption Input'!P12</f>
        <v>0</v>
      </c>
      <c r="O40" s="551">
        <f>O9-'Consumption Input'!Q12</f>
        <v>0</v>
      </c>
      <c r="P40" s="551">
        <f>P9-'Consumption Input'!R12</f>
        <v>0</v>
      </c>
      <c r="Q40" s="551">
        <f>Q9-'Consumption Input'!S12</f>
        <v>0</v>
      </c>
      <c r="R40" s="551">
        <f>R9-'Consumption Input'!T12</f>
        <v>0</v>
      </c>
      <c r="S40" s="551">
        <f>S9-'Consumption Input'!U12</f>
        <v>0</v>
      </c>
      <c r="T40" s="551">
        <f>T9-'Consumption Input'!V12</f>
        <v>0</v>
      </c>
      <c r="U40" s="551">
        <f>U6-'Consumption Input'!W7</f>
        <v>0</v>
      </c>
      <c r="V40" s="551">
        <f>V6-'Consumption Input'!X7</f>
        <v>0</v>
      </c>
      <c r="W40" s="551">
        <f>W9-'Consumption Input'!Y12</f>
        <v>0</v>
      </c>
      <c r="X40" s="551">
        <f>X9-'Consumption Input'!Z12</f>
        <v>0</v>
      </c>
      <c r="Y40" s="551">
        <f>Y9-'Consumption Input'!AA12</f>
        <v>0</v>
      </c>
      <c r="Z40" s="551">
        <f>Z9-'Consumption Input'!AB12</f>
        <v>0</v>
      </c>
      <c r="AA40" s="551">
        <f>AA9-'Consumption Input'!AC12</f>
        <v>0</v>
      </c>
      <c r="AB40" s="551">
        <f>AB9-'Consumption Input'!AD12</f>
        <v>0</v>
      </c>
      <c r="AC40" s="551">
        <f>AC9-'Consumption Input'!AE12</f>
        <v>0</v>
      </c>
      <c r="AD40" s="551">
        <f>AD9-'Consumption Input'!AF12</f>
        <v>0</v>
      </c>
      <c r="AE40" s="551"/>
      <c r="AF40" s="551"/>
      <c r="AG40" s="551"/>
      <c r="AH40" s="551"/>
      <c r="AI40" s="551"/>
    </row>
    <row r="41" spans="2:35" hidden="1">
      <c r="B41" s="408" t="s">
        <v>1443</v>
      </c>
      <c r="C41" s="551">
        <f>C13-'Consumption Input'!E22</f>
        <v>0</v>
      </c>
      <c r="D41" s="551">
        <f>D13-'Consumption Input'!F22</f>
        <v>0</v>
      </c>
      <c r="E41" s="551">
        <f>E13-'Consumption Input'!G22</f>
        <v>0</v>
      </c>
      <c r="F41" s="551">
        <f>F13-'Consumption Input'!H22</f>
        <v>0</v>
      </c>
      <c r="G41" s="551">
        <f>G13-'Consumption Input'!I22</f>
        <v>0</v>
      </c>
      <c r="H41" s="551">
        <f>H13-'Consumption Input'!J22</f>
        <v>0</v>
      </c>
      <c r="I41" s="551">
        <f>I13-'Consumption Input'!K22</f>
        <v>0</v>
      </c>
      <c r="J41" s="551">
        <f>J13-'Consumption Input'!L22</f>
        <v>0</v>
      </c>
      <c r="K41" s="551">
        <f>K13-'Consumption Input'!M22</f>
        <v>0</v>
      </c>
      <c r="L41" s="551">
        <f>L13-'Consumption Input'!N22</f>
        <v>0</v>
      </c>
      <c r="M41" s="551">
        <f>M13-'Consumption Input'!O22</f>
        <v>0</v>
      </c>
      <c r="N41" s="551">
        <f>N13-'Consumption Input'!P22</f>
        <v>0</v>
      </c>
      <c r="O41" s="551">
        <f>O13-'Consumption Input'!Q22</f>
        <v>0</v>
      </c>
      <c r="P41" s="551">
        <f>P13-'Consumption Input'!R22</f>
        <v>0</v>
      </c>
      <c r="Q41" s="551">
        <f>Q13-'Consumption Input'!S22</f>
        <v>0</v>
      </c>
      <c r="R41" s="551">
        <f>R13-'Consumption Input'!T22</f>
        <v>0</v>
      </c>
      <c r="S41" s="551">
        <f>S13-'Consumption Input'!U22</f>
        <v>0</v>
      </c>
      <c r="T41" s="551">
        <f>T13-'Consumption Input'!V22</f>
        <v>0</v>
      </c>
      <c r="U41" s="551">
        <f>U7-'Consumption Input'!W8</f>
        <v>0</v>
      </c>
      <c r="V41" s="551">
        <f>V7-'Consumption Input'!X8</f>
        <v>0</v>
      </c>
      <c r="W41" s="551">
        <f>W13-'Consumption Input'!Y22</f>
        <v>0</v>
      </c>
      <c r="X41" s="551">
        <f>X13-'Consumption Input'!Z22</f>
        <v>0</v>
      </c>
      <c r="Y41" s="551">
        <f>Y13-'Consumption Input'!AA22</f>
        <v>0</v>
      </c>
      <c r="Z41" s="551">
        <f>Z13-'Consumption Input'!AB22</f>
        <v>0</v>
      </c>
      <c r="AA41" s="551">
        <f>AA13-'Consumption Input'!AC22</f>
        <v>0</v>
      </c>
      <c r="AB41" s="551">
        <f>AB13-'Consumption Input'!AD22</f>
        <v>0</v>
      </c>
      <c r="AC41" s="551">
        <f>AC13-'Consumption Input'!AE22</f>
        <v>0</v>
      </c>
      <c r="AD41" s="551">
        <f>AD13-'Consumption Input'!AF22</f>
        <v>0</v>
      </c>
      <c r="AE41" s="551"/>
      <c r="AF41" s="551"/>
      <c r="AG41" s="551"/>
      <c r="AH41" s="551"/>
      <c r="AI41" s="551"/>
    </row>
    <row r="42" spans="2:35" hidden="1">
      <c r="B42" s="408" t="s">
        <v>1445</v>
      </c>
      <c r="C42" s="551">
        <f>C17-'Consumption Input'!E47</f>
        <v>0</v>
      </c>
      <c r="D42" s="551">
        <f>D17-'Consumption Input'!F47</f>
        <v>0</v>
      </c>
      <c r="E42" s="551">
        <f>E17-'Consumption Input'!G47</f>
        <v>0</v>
      </c>
      <c r="F42" s="551">
        <f>F17-'Consumption Input'!H47</f>
        <v>0</v>
      </c>
      <c r="G42" s="551">
        <f>G17-'Consumption Input'!I47</f>
        <v>0</v>
      </c>
      <c r="H42" s="551">
        <f>H17-'Consumption Input'!J47</f>
        <v>0</v>
      </c>
      <c r="I42" s="551">
        <f>I17-'Consumption Input'!K47</f>
        <v>0</v>
      </c>
      <c r="J42" s="551">
        <f>J17-'Consumption Input'!L47</f>
        <v>0</v>
      </c>
      <c r="K42" s="551">
        <f>K17-'Consumption Input'!M47</f>
        <v>0</v>
      </c>
      <c r="L42" s="551">
        <f>L17-'Consumption Input'!N47</f>
        <v>0</v>
      </c>
      <c r="M42" s="551">
        <f>M17-'Consumption Input'!O47</f>
        <v>0</v>
      </c>
      <c r="N42" s="551">
        <f>N17-'Consumption Input'!P47</f>
        <v>0</v>
      </c>
      <c r="O42" s="551">
        <f>O17-'Consumption Input'!Q47</f>
        <v>0</v>
      </c>
      <c r="P42" s="551">
        <f>P17-'Consumption Input'!R47</f>
        <v>0</v>
      </c>
      <c r="Q42" s="551">
        <f>Q17-'Consumption Input'!S47</f>
        <v>0</v>
      </c>
      <c r="R42" s="551">
        <f>R17-'Consumption Input'!T47</f>
        <v>0</v>
      </c>
      <c r="S42" s="551">
        <f>S17-'Consumption Input'!U47</f>
        <v>0</v>
      </c>
      <c r="T42" s="551">
        <f>T17-'Consumption Input'!V47</f>
        <v>0</v>
      </c>
      <c r="U42" s="551">
        <f>U17-'Consumption Input'!W47</f>
        <v>0</v>
      </c>
      <c r="V42" s="551">
        <f>V17-'Consumption Input'!X47</f>
        <v>0</v>
      </c>
      <c r="W42" s="551">
        <f>W17-'Consumption Input'!Y47</f>
        <v>0</v>
      </c>
      <c r="X42" s="551">
        <f>X17-'Consumption Input'!Z47</f>
        <v>0</v>
      </c>
      <c r="Y42" s="551">
        <f>Y17-'Consumption Input'!AA47</f>
        <v>0</v>
      </c>
      <c r="Z42" s="551">
        <f>Z17-'Consumption Input'!AB47</f>
        <v>0</v>
      </c>
      <c r="AA42" s="551">
        <f>AA17-'Consumption Input'!AC47</f>
        <v>0</v>
      </c>
      <c r="AB42" s="551">
        <f>AB17-'Consumption Input'!AD47</f>
        <v>0</v>
      </c>
      <c r="AC42" s="551">
        <f>AC17-'Consumption Input'!AE47</f>
        <v>0</v>
      </c>
      <c r="AD42" s="551">
        <f>AD17-'Consumption Input'!AF47</f>
        <v>0</v>
      </c>
      <c r="AE42" s="551"/>
      <c r="AF42" s="551"/>
      <c r="AG42" s="551"/>
      <c r="AH42" s="551"/>
      <c r="AI42" s="551"/>
    </row>
    <row r="43" spans="2:35" hidden="1">
      <c r="B43" s="408" t="s">
        <v>1474</v>
      </c>
      <c r="C43" s="551">
        <f>C21-'Consumption Input'!E57</f>
        <v>0</v>
      </c>
      <c r="D43" s="551">
        <f>D21-'Consumption Input'!F57</f>
        <v>0</v>
      </c>
      <c r="E43" s="551">
        <f>E21-'Consumption Input'!G57</f>
        <v>0</v>
      </c>
      <c r="F43" s="551">
        <f>F21-'Consumption Input'!H57</f>
        <v>0</v>
      </c>
      <c r="G43" s="551">
        <f>G21-'Consumption Input'!I57</f>
        <v>0</v>
      </c>
      <c r="H43" s="551">
        <f>H21-'Consumption Input'!J57</f>
        <v>0</v>
      </c>
      <c r="I43" s="551">
        <f>I21-'Consumption Input'!K57</f>
        <v>0</v>
      </c>
      <c r="J43" s="551">
        <f>J21-'Consumption Input'!L57</f>
        <v>0</v>
      </c>
      <c r="K43" s="551">
        <f>K21-'Consumption Input'!M57</f>
        <v>0</v>
      </c>
      <c r="L43" s="551">
        <f>L21-'Consumption Input'!N57</f>
        <v>0</v>
      </c>
      <c r="M43" s="551">
        <f>M21-'Consumption Input'!O57</f>
        <v>0</v>
      </c>
      <c r="N43" s="551">
        <f>N21-'Consumption Input'!P57</f>
        <v>0</v>
      </c>
      <c r="O43" s="551">
        <f>O21-'Consumption Input'!Q57</f>
        <v>0</v>
      </c>
      <c r="P43" s="551">
        <f>P21-'Consumption Input'!R57</f>
        <v>0</v>
      </c>
      <c r="Q43" s="551">
        <f>Q21-'Consumption Input'!S57</f>
        <v>0</v>
      </c>
      <c r="R43" s="551">
        <f>R21-'Consumption Input'!T57</f>
        <v>0</v>
      </c>
      <c r="S43" s="551">
        <f>S21-'Consumption Input'!U57</f>
        <v>0</v>
      </c>
      <c r="T43" s="551">
        <f>T21-'Consumption Input'!V57</f>
        <v>0</v>
      </c>
      <c r="U43" s="551">
        <f>U21-'Consumption Input'!W57</f>
        <v>0</v>
      </c>
      <c r="V43" s="551">
        <f>V21-'Consumption Input'!X57</f>
        <v>0</v>
      </c>
      <c r="W43" s="551">
        <f>W21-'Consumption Input'!Y57</f>
        <v>0</v>
      </c>
      <c r="X43" s="551">
        <f>X21-'Consumption Input'!Z57</f>
        <v>0</v>
      </c>
      <c r="Y43" s="551">
        <f>Y21-'Consumption Input'!AA57</f>
        <v>0</v>
      </c>
      <c r="Z43" s="551">
        <f>Z21-'Consumption Input'!AB57</f>
        <v>0</v>
      </c>
      <c r="AA43" s="551">
        <f>AA21-'Consumption Input'!AC57</f>
        <v>0</v>
      </c>
      <c r="AB43" s="551">
        <f>AB21-'Consumption Input'!AD57</f>
        <v>0</v>
      </c>
      <c r="AC43" s="551">
        <f>AC21-'Consumption Input'!AE57</f>
        <v>0</v>
      </c>
      <c r="AD43" s="551">
        <f>AD21-'Consumption Input'!AF57</f>
        <v>0</v>
      </c>
      <c r="AE43" s="551"/>
      <c r="AF43" s="551"/>
      <c r="AG43" s="551"/>
      <c r="AH43" s="551"/>
      <c r="AI43" s="551"/>
    </row>
    <row r="44" spans="2:35" hidden="1">
      <c r="B44" s="408" t="s">
        <v>1476</v>
      </c>
      <c r="C44" s="551">
        <f>C25-SUM('US Territories'!D29:D38)</f>
        <v>0</v>
      </c>
      <c r="D44" s="551">
        <f>D25-SUM('US Territories'!E29:E38)</f>
        <v>0</v>
      </c>
      <c r="E44" s="551">
        <f>E25-SUM('US Territories'!F29:F38)</f>
        <v>0</v>
      </c>
      <c r="F44" s="551">
        <f>F25-SUM('US Territories'!G29:G38)</f>
        <v>0</v>
      </c>
      <c r="G44" s="551">
        <f>G25-SUM('US Territories'!H29:H38)</f>
        <v>0</v>
      </c>
      <c r="H44" s="551">
        <f>H25-SUM('US Territories'!I29:I38)</f>
        <v>0</v>
      </c>
      <c r="I44" s="551">
        <f>I25-SUM('US Territories'!J29:J38)</f>
        <v>0</v>
      </c>
      <c r="J44" s="551">
        <f>J25-SUM('US Territories'!K29:K38)</f>
        <v>0</v>
      </c>
      <c r="K44" s="551">
        <f>K25-SUM('US Territories'!L29:L38)</f>
        <v>0</v>
      </c>
      <c r="L44" s="551">
        <f>L25-SUM('US Territories'!M29:M38)</f>
        <v>0</v>
      </c>
      <c r="M44" s="551">
        <f>M25-SUM('US Territories'!N29:N38)</f>
        <v>0</v>
      </c>
      <c r="N44" s="551">
        <f>N25-SUM('US Territories'!O29:O38)</f>
        <v>0</v>
      </c>
      <c r="O44" s="551">
        <f>O25-SUM('US Territories'!P29:P38)</f>
        <v>0</v>
      </c>
      <c r="P44" s="551">
        <f>P25-SUM('US Territories'!Q29:Q38)</f>
        <v>0</v>
      </c>
      <c r="Q44" s="551">
        <f>Q25-SUM('US Territories'!R29:R38)</f>
        <v>0</v>
      </c>
      <c r="R44" s="551">
        <f>R25-SUM('US Territories'!S29:S38)</f>
        <v>0</v>
      </c>
      <c r="S44" s="551">
        <f>S25-SUM('US Territories'!T29:T38)</f>
        <v>0</v>
      </c>
      <c r="T44" s="551">
        <f>T25-SUM('US Territories'!U29:U38)</f>
        <v>0</v>
      </c>
      <c r="U44" s="551">
        <f>U25-SUM('US Territories'!V29:V38)</f>
        <v>0</v>
      </c>
      <c r="V44" s="551">
        <f>V25-SUM('US Territories'!W29:W38)</f>
        <v>0</v>
      </c>
      <c r="W44" s="551">
        <f>W25-SUM('US Territories'!X29:X38)</f>
        <v>0</v>
      </c>
      <c r="X44" s="551">
        <f>X25-SUM('US Territories'!Y29:Y38)</f>
        <v>0</v>
      </c>
      <c r="Y44" s="551">
        <f>Y25-SUM('US Territories'!Z29:Z38)</f>
        <v>0</v>
      </c>
      <c r="Z44" s="551">
        <f>Z25-SUM('US Territories'!AA29:AA38)</f>
        <v>0</v>
      </c>
      <c r="AA44" s="551">
        <f>AA25-SUM('US Territories'!AB29:AB38)</f>
        <v>0</v>
      </c>
      <c r="AB44" s="551">
        <f>AB25-SUM('US Territories'!AC29:AC38)</f>
        <v>0</v>
      </c>
      <c r="AC44" s="551">
        <f>AC25-SUM('US Territories'!AD29:AD38)</f>
        <v>0</v>
      </c>
      <c r="AD44" s="551">
        <f>AD25-SUM('US Territories'!AE29:AE38)</f>
        <v>0</v>
      </c>
      <c r="AE44" s="551"/>
      <c r="AF44" s="551"/>
      <c r="AG44" s="551"/>
      <c r="AH44" s="551"/>
      <c r="AI44" s="551"/>
    </row>
    <row r="45" spans="2:35">
      <c r="AI45" s="1036"/>
    </row>
    <row r="46" spans="2:35">
      <c r="B46" s="60" t="s">
        <v>1529</v>
      </c>
      <c r="C46" s="59">
        <v>1990</v>
      </c>
      <c r="D46" s="59">
        <v>1991</v>
      </c>
      <c r="E46" s="59">
        <v>1992</v>
      </c>
      <c r="F46" s="59">
        <v>1993</v>
      </c>
      <c r="G46" s="59">
        <v>1994</v>
      </c>
      <c r="H46" s="59">
        <v>1995</v>
      </c>
      <c r="I46" s="59">
        <v>1996</v>
      </c>
      <c r="J46" s="59">
        <v>1997</v>
      </c>
      <c r="K46" s="59">
        <v>1998</v>
      </c>
      <c r="L46" s="59">
        <v>1999</v>
      </c>
      <c r="M46" s="59">
        <v>2000</v>
      </c>
      <c r="N46" s="59">
        <v>2001</v>
      </c>
      <c r="O46" s="59">
        <v>2002</v>
      </c>
      <c r="P46" s="59">
        <v>2003</v>
      </c>
      <c r="Q46" s="59">
        <v>2004</v>
      </c>
      <c r="R46" s="59">
        <v>2005</v>
      </c>
      <c r="S46" s="59">
        <v>2006</v>
      </c>
      <c r="T46" s="59">
        <v>2007</v>
      </c>
      <c r="U46" s="59">
        <v>2008</v>
      </c>
      <c r="V46" s="59">
        <v>2009</v>
      </c>
      <c r="W46" s="59">
        <v>2010</v>
      </c>
      <c r="X46" s="59">
        <v>2011</v>
      </c>
      <c r="Y46" s="59">
        <v>2012</v>
      </c>
      <c r="Z46" s="59">
        <v>2013</v>
      </c>
      <c r="AA46" s="59">
        <v>2014</v>
      </c>
      <c r="AB46" s="59">
        <v>2015</v>
      </c>
      <c r="AC46" s="59">
        <v>2016</v>
      </c>
      <c r="AD46" s="59">
        <v>2017</v>
      </c>
      <c r="AE46" s="59">
        <v>2018</v>
      </c>
      <c r="AF46" s="59">
        <v>2019</v>
      </c>
      <c r="AG46" s="59">
        <v>2020</v>
      </c>
      <c r="AH46" s="59">
        <v>2021</v>
      </c>
      <c r="AI46" s="59">
        <v>2022</v>
      </c>
    </row>
    <row r="47" spans="2:35">
      <c r="B47" s="6" t="s">
        <v>1435</v>
      </c>
      <c r="C47" s="61">
        <f t="shared" ref="C47:AF47" si="48">C6+C10+C14+C22+C26</f>
        <v>18097.672034387841</v>
      </c>
      <c r="D47" s="61">
        <f t="shared" si="48"/>
        <v>18033.553078488992</v>
      </c>
      <c r="E47" s="61">
        <f t="shared" si="48"/>
        <v>18205.960761945331</v>
      </c>
      <c r="F47" s="61">
        <f t="shared" si="48"/>
        <v>18968.806149859931</v>
      </c>
      <c r="G47" s="61">
        <f t="shared" si="48"/>
        <v>19048.233300972872</v>
      </c>
      <c r="H47" s="61">
        <f t="shared" si="48"/>
        <v>19210.43597543225</v>
      </c>
      <c r="I47" s="61">
        <f t="shared" si="48"/>
        <v>20090.819012959513</v>
      </c>
      <c r="J47" s="61">
        <f t="shared" si="48"/>
        <v>20550.655892179115</v>
      </c>
      <c r="K47" s="61">
        <f t="shared" si="48"/>
        <v>20845.530233530957</v>
      </c>
      <c r="L47" s="61">
        <f t="shared" si="48"/>
        <v>20851.571456261434</v>
      </c>
      <c r="M47" s="61">
        <f t="shared" si="48"/>
        <v>21755.160375779928</v>
      </c>
      <c r="N47" s="61">
        <f t="shared" si="48"/>
        <v>21148.208455434498</v>
      </c>
      <c r="O47" s="61">
        <f t="shared" si="48"/>
        <v>21228.628884720812</v>
      </c>
      <c r="P47" s="61">
        <f t="shared" si="48"/>
        <v>21646.259699623246</v>
      </c>
      <c r="Q47" s="61">
        <f t="shared" si="48"/>
        <v>21915.873274745554</v>
      </c>
      <c r="R47" s="61">
        <f t="shared" si="48"/>
        <v>22212.780273138615</v>
      </c>
      <c r="S47" s="61">
        <f t="shared" si="48"/>
        <v>21864.063690879717</v>
      </c>
      <c r="T47" s="61">
        <f t="shared" si="48"/>
        <v>22106.211730005693</v>
      </c>
      <c r="U47" s="61">
        <f t="shared" si="48"/>
        <v>21791.933080513318</v>
      </c>
      <c r="V47" s="61">
        <f t="shared" si="48"/>
        <v>19271.208299756912</v>
      </c>
      <c r="W47" s="61">
        <f t="shared" si="48"/>
        <v>20305.077115601995</v>
      </c>
      <c r="X47" s="61">
        <f t="shared" si="48"/>
        <v>19110.295802546014</v>
      </c>
      <c r="Y47" s="61">
        <f t="shared" si="48"/>
        <v>16865.05321326284</v>
      </c>
      <c r="Z47" s="61">
        <f t="shared" si="48"/>
        <v>17493.730559525309</v>
      </c>
      <c r="AA47" s="61">
        <f t="shared" si="48"/>
        <v>17396.536289023112</v>
      </c>
      <c r="AB47" s="61">
        <f t="shared" si="48"/>
        <v>15070.967680228841</v>
      </c>
      <c r="AC47" s="61">
        <f t="shared" si="48"/>
        <v>13816.242149672757</v>
      </c>
      <c r="AD47" s="61">
        <f t="shared" si="48"/>
        <v>13404.380213203271</v>
      </c>
      <c r="AE47" s="61">
        <f t="shared" si="48"/>
        <v>12802.605385582481</v>
      </c>
      <c r="AF47" s="61">
        <f t="shared" si="48"/>
        <v>10876.300289749532</v>
      </c>
      <c r="AG47" s="61">
        <f t="shared" ref="AG47:AH47" si="49">AG6+AG10+AG14+AG22+AG26</f>
        <v>8815.0509695625115</v>
      </c>
      <c r="AH47" s="61">
        <f t="shared" si="49"/>
        <v>10080.933337199278</v>
      </c>
      <c r="AI47" s="61">
        <f t="shared" ref="AI47" si="50">AI6+AI10+AI14+AI22+AI26</f>
        <v>9419.0920793462792</v>
      </c>
    </row>
    <row r="48" spans="2:35">
      <c r="B48" s="6" t="s">
        <v>1439</v>
      </c>
      <c r="C48" s="61">
        <f t="shared" ref="C48:AF48" si="51">C7+C11+C15+C19+C23+C27</f>
        <v>19147.054154112771</v>
      </c>
      <c r="D48" s="61">
        <f t="shared" si="51"/>
        <v>19566.493538507148</v>
      </c>
      <c r="E48" s="61">
        <f t="shared" si="51"/>
        <v>20215.958142909436</v>
      </c>
      <c r="F48" s="61">
        <f t="shared" si="51"/>
        <v>20736.984605614973</v>
      </c>
      <c r="G48" s="61">
        <f t="shared" si="51"/>
        <v>21227.45657690661</v>
      </c>
      <c r="H48" s="61">
        <f t="shared" si="51"/>
        <v>22147.630091891537</v>
      </c>
      <c r="I48" s="61">
        <f t="shared" si="51"/>
        <v>22566.407091483648</v>
      </c>
      <c r="J48" s="61">
        <f t="shared" si="51"/>
        <v>22700.571226647211</v>
      </c>
      <c r="K48" s="61">
        <f t="shared" si="51"/>
        <v>22297.132341426397</v>
      </c>
      <c r="L48" s="61">
        <f t="shared" si="51"/>
        <v>22344.628753125606</v>
      </c>
      <c r="M48" s="61">
        <f t="shared" si="51"/>
        <v>23372.448884764086</v>
      </c>
      <c r="N48" s="61">
        <f t="shared" si="51"/>
        <v>22450.767436239385</v>
      </c>
      <c r="O48" s="61">
        <f t="shared" si="51"/>
        <v>23144.530097821415</v>
      </c>
      <c r="P48" s="61">
        <f t="shared" si="51"/>
        <v>22545.850503184683</v>
      </c>
      <c r="Q48" s="61">
        <f t="shared" si="51"/>
        <v>22607.576279498186</v>
      </c>
      <c r="R48" s="61">
        <f t="shared" si="51"/>
        <v>22267.396351414136</v>
      </c>
      <c r="S48" s="61">
        <f t="shared" si="51"/>
        <v>21945.311056991432</v>
      </c>
      <c r="T48" s="61">
        <f t="shared" si="51"/>
        <v>23354.729500160211</v>
      </c>
      <c r="U48" s="61">
        <f t="shared" si="51"/>
        <v>23578.876333180862</v>
      </c>
      <c r="V48" s="61">
        <f t="shared" si="51"/>
        <v>23178.986596184954</v>
      </c>
      <c r="W48" s="61">
        <f t="shared" si="51"/>
        <v>24297.085277131158</v>
      </c>
      <c r="X48" s="61">
        <f t="shared" si="51"/>
        <v>24665.511019406102</v>
      </c>
      <c r="Y48" s="61">
        <f t="shared" si="51"/>
        <v>25813.112479974283</v>
      </c>
      <c r="Z48" s="61">
        <f t="shared" si="51"/>
        <v>26553.019744635894</v>
      </c>
      <c r="AA48" s="61">
        <f t="shared" si="51"/>
        <v>27123.888445428915</v>
      </c>
      <c r="AB48" s="61">
        <f t="shared" si="51"/>
        <v>27941.172347065272</v>
      </c>
      <c r="AC48" s="61">
        <f t="shared" si="51"/>
        <v>28153.514138174782</v>
      </c>
      <c r="AD48" s="61">
        <f t="shared" si="51"/>
        <v>27715.82757213098</v>
      </c>
      <c r="AE48" s="61">
        <f t="shared" si="51"/>
        <v>30814.867085488899</v>
      </c>
      <c r="AF48" s="61">
        <f t="shared" si="51"/>
        <v>31912.872607889043</v>
      </c>
      <c r="AG48" s="61">
        <f t="shared" ref="AG48:AH48" si="52">AG7+AG11+AG15+AG19+AG23+AG27</f>
        <v>31270.632990720816</v>
      </c>
      <c r="AH48" s="61">
        <f t="shared" si="52"/>
        <v>31391.403420455325</v>
      </c>
      <c r="AI48" s="61">
        <f t="shared" ref="AI48" si="53">AI7+AI11+AI15+AI19+AI23+AI27</f>
        <v>33026.628921031333</v>
      </c>
    </row>
    <row r="49" spans="2:35">
      <c r="B49" s="6" t="s">
        <v>1440</v>
      </c>
      <c r="C49" s="61">
        <f t="shared" ref="C49:AF49" si="54">C8+C12+C16+C20+C24+C28</f>
        <v>33867.658168657981</v>
      </c>
      <c r="D49" s="61">
        <f t="shared" si="54"/>
        <v>33183.582700865321</v>
      </c>
      <c r="E49" s="61">
        <f t="shared" si="54"/>
        <v>33754.950108612444</v>
      </c>
      <c r="F49" s="61">
        <f t="shared" si="54"/>
        <v>33923.717825155953</v>
      </c>
      <c r="G49" s="61">
        <f t="shared" si="54"/>
        <v>34698.713071571256</v>
      </c>
      <c r="H49" s="61">
        <f t="shared" si="54"/>
        <v>34602.977108512809</v>
      </c>
      <c r="I49" s="61">
        <f t="shared" si="54"/>
        <v>35612.087809107441</v>
      </c>
      <c r="J49" s="61">
        <f t="shared" si="54"/>
        <v>36113.643481268387</v>
      </c>
      <c r="K49" s="61">
        <f t="shared" si="54"/>
        <v>37000.03992231319</v>
      </c>
      <c r="L49" s="61">
        <f t="shared" si="54"/>
        <v>37927.446697586391</v>
      </c>
      <c r="M49" s="111">
        <f t="shared" si="54"/>
        <v>38774.734129854201</v>
      </c>
      <c r="N49" s="111">
        <f t="shared" si="54"/>
        <v>38573.184809305887</v>
      </c>
      <c r="O49" s="111">
        <f t="shared" si="54"/>
        <v>38689.279594041342</v>
      </c>
      <c r="P49" s="111">
        <f t="shared" si="54"/>
        <v>39234.507309904599</v>
      </c>
      <c r="Q49" s="111">
        <f t="shared" si="54"/>
        <v>40708.828124252228</v>
      </c>
      <c r="R49" s="111">
        <f t="shared" si="54"/>
        <v>40709.803631393283</v>
      </c>
      <c r="S49" s="111">
        <f t="shared" si="54"/>
        <v>40143.592110114536</v>
      </c>
      <c r="T49" s="111">
        <f t="shared" si="54"/>
        <v>39676.775107267371</v>
      </c>
      <c r="U49" s="111">
        <f t="shared" si="54"/>
        <v>37081.139102176916</v>
      </c>
      <c r="V49" s="111">
        <f t="shared" si="54"/>
        <v>35146.337009038427</v>
      </c>
      <c r="W49" s="61">
        <f t="shared" si="54"/>
        <v>35473.466226050172</v>
      </c>
      <c r="X49" s="61">
        <f t="shared" si="54"/>
        <v>34856.667274337444</v>
      </c>
      <c r="Y49" s="61">
        <f t="shared" si="54"/>
        <v>34004.468273934173</v>
      </c>
      <c r="Z49" s="61">
        <f t="shared" si="54"/>
        <v>34546.324585916067</v>
      </c>
      <c r="AA49" s="61">
        <f t="shared" si="54"/>
        <v>34916.489158470773</v>
      </c>
      <c r="AB49" s="61">
        <f t="shared" si="54"/>
        <v>35505.744727774814</v>
      </c>
      <c r="AC49" s="61">
        <f t="shared" si="54"/>
        <v>35819.93175923224</v>
      </c>
      <c r="AD49" s="61">
        <f t="shared" si="54"/>
        <v>36041.781171788018</v>
      </c>
      <c r="AE49" s="61">
        <f t="shared" si="54"/>
        <v>36874.373140061056</v>
      </c>
      <c r="AF49" s="61">
        <f t="shared" si="54"/>
        <v>36599.560905088627</v>
      </c>
      <c r="AG49" s="61">
        <f t="shared" ref="AG49:AH49" si="55">AG8+AG12+AG16+AG20+AG24+AG28</f>
        <v>31998.163131630296</v>
      </c>
      <c r="AH49" s="61">
        <f t="shared" si="55"/>
        <v>34957.638548634815</v>
      </c>
      <c r="AI49" s="61">
        <f t="shared" ref="AI49" si="56">AI8+AI12+AI16+AI20+AI24+AI28</f>
        <v>35522.438292140665</v>
      </c>
    </row>
    <row r="50" spans="2:35">
      <c r="B50" s="4" t="s">
        <v>1530</v>
      </c>
      <c r="C50" s="62"/>
      <c r="D50" s="62"/>
      <c r="E50" s="62"/>
      <c r="F50" s="62"/>
      <c r="G50" s="62"/>
      <c r="H50" s="62"/>
      <c r="I50" s="62"/>
      <c r="J50" s="62"/>
      <c r="K50" s="62"/>
      <c r="L50" s="62"/>
      <c r="M50" s="98"/>
      <c r="N50" s="62"/>
      <c r="O50" s="62"/>
      <c r="P50" s="62"/>
      <c r="Q50" s="62"/>
      <c r="R50" s="62"/>
      <c r="S50" s="62"/>
      <c r="T50" s="62"/>
      <c r="U50" s="62"/>
      <c r="V50" s="62"/>
      <c r="W50" s="62"/>
      <c r="X50" s="62"/>
      <c r="Y50" s="62"/>
      <c r="Z50" s="62"/>
      <c r="AA50" s="62"/>
      <c r="AB50" s="62"/>
      <c r="AC50" s="62"/>
      <c r="AD50" s="62"/>
      <c r="AE50" s="62"/>
      <c r="AF50" s="62"/>
      <c r="AG50" s="62"/>
      <c r="AH50" s="62"/>
      <c r="AI50" s="62"/>
    </row>
    <row r="51" spans="2:35">
      <c r="B51" s="6" t="s">
        <v>1435</v>
      </c>
      <c r="C51" s="61">
        <f t="shared" ref="C51:AF51" si="57">C47/$C47*100</f>
        <v>100</v>
      </c>
      <c r="D51" s="61">
        <f t="shared" si="57"/>
        <v>99.645706056685</v>
      </c>
      <c r="E51" s="61">
        <f t="shared" si="57"/>
        <v>100.59835722159032</v>
      </c>
      <c r="F51" s="61">
        <f t="shared" si="57"/>
        <v>104.81351476486493</v>
      </c>
      <c r="G51" s="61">
        <f t="shared" si="57"/>
        <v>105.25239525160389</v>
      </c>
      <c r="H51" s="61">
        <f t="shared" si="57"/>
        <v>106.14865789881716</v>
      </c>
      <c r="I51" s="61">
        <f t="shared" si="57"/>
        <v>111.01327825360326</v>
      </c>
      <c r="J51" s="61">
        <f t="shared" si="57"/>
        <v>113.55414029567061</v>
      </c>
      <c r="K51" s="61">
        <f t="shared" si="57"/>
        <v>115.18348986500497</v>
      </c>
      <c r="L51" s="61">
        <f t="shared" si="57"/>
        <v>115.21687107955564</v>
      </c>
      <c r="M51" s="61">
        <f t="shared" si="57"/>
        <v>120.20971721911195</v>
      </c>
      <c r="N51" s="61">
        <f t="shared" si="57"/>
        <v>116.85596034258027</v>
      </c>
      <c r="O51" s="61">
        <f t="shared" si="57"/>
        <v>117.30032925993885</v>
      </c>
      <c r="P51" s="61">
        <f t="shared" si="57"/>
        <v>119.60797863113358</v>
      </c>
      <c r="Q51" s="61">
        <f t="shared" si="57"/>
        <v>121.0977480037358</v>
      </c>
      <c r="R51" s="61">
        <f t="shared" si="57"/>
        <v>122.73832916704177</v>
      </c>
      <c r="S51" s="61">
        <f t="shared" si="57"/>
        <v>120.81147038876195</v>
      </c>
      <c r="T51" s="61">
        <f t="shared" si="57"/>
        <v>122.14947694930667</v>
      </c>
      <c r="U51" s="61">
        <f t="shared" si="57"/>
        <v>120.41290746735778</v>
      </c>
      <c r="V51" s="61">
        <f t="shared" si="57"/>
        <v>106.48445978653611</v>
      </c>
      <c r="W51" s="61">
        <f t="shared" si="57"/>
        <v>112.19717694640399</v>
      </c>
      <c r="X51" s="61">
        <f t="shared" si="57"/>
        <v>105.59532610732509</v>
      </c>
      <c r="Y51" s="61">
        <f t="shared" si="57"/>
        <v>93.189075264581703</v>
      </c>
      <c r="Z51" s="61">
        <f t="shared" si="57"/>
        <v>96.662877558423162</v>
      </c>
      <c r="AA51" s="61">
        <f t="shared" si="57"/>
        <v>96.125823564309911</v>
      </c>
      <c r="AB51" s="61">
        <f t="shared" si="57"/>
        <v>83.275725472271333</v>
      </c>
      <c r="AC51" s="61">
        <f t="shared" si="57"/>
        <v>76.342648509820307</v>
      </c>
      <c r="AD51" s="61">
        <f t="shared" si="57"/>
        <v>74.066875494998868</v>
      </c>
      <c r="AE51" s="61">
        <f t="shared" si="57"/>
        <v>70.741725019969024</v>
      </c>
      <c r="AF51" s="61">
        <f t="shared" si="57"/>
        <v>60.097786439511111</v>
      </c>
      <c r="AG51" s="61">
        <f t="shared" ref="AG51:AH51" si="58">AG47/$C47*100</f>
        <v>48.708203755780367</v>
      </c>
      <c r="AH51" s="61">
        <f t="shared" si="58"/>
        <v>55.702928631065049</v>
      </c>
      <c r="AI51" s="61">
        <f t="shared" ref="AI51" si="59">AI47/$C47*100</f>
        <v>52.045876737344045</v>
      </c>
    </row>
    <row r="52" spans="2:35">
      <c r="B52" s="6" t="s">
        <v>1439</v>
      </c>
      <c r="C52" s="61">
        <f t="shared" ref="C52:AF52" si="60">C48/$C48*100</f>
        <v>100</v>
      </c>
      <c r="D52" s="61">
        <f t="shared" si="60"/>
        <v>102.19062097499882</v>
      </c>
      <c r="E52" s="61">
        <f t="shared" si="60"/>
        <v>105.58260283902246</v>
      </c>
      <c r="F52" s="61">
        <f t="shared" si="60"/>
        <v>108.30378625717046</v>
      </c>
      <c r="G52" s="61">
        <f t="shared" si="60"/>
        <v>110.86539164745075</v>
      </c>
      <c r="H52" s="61">
        <f t="shared" si="60"/>
        <v>115.6712145567011</v>
      </c>
      <c r="I52" s="61">
        <f t="shared" si="60"/>
        <v>117.8583760710595</v>
      </c>
      <c r="J52" s="61">
        <f t="shared" si="60"/>
        <v>118.55907986645113</v>
      </c>
      <c r="K52" s="61">
        <f t="shared" si="60"/>
        <v>116.45202526696249</v>
      </c>
      <c r="L52" s="61">
        <f t="shared" si="60"/>
        <v>116.70008646382817</v>
      </c>
      <c r="M52" s="61">
        <f t="shared" si="60"/>
        <v>122.06811918241587</v>
      </c>
      <c r="N52" s="61">
        <f t="shared" si="60"/>
        <v>117.25442073509245</v>
      </c>
      <c r="O52" s="61">
        <f t="shared" si="60"/>
        <v>120.87775963619964</v>
      </c>
      <c r="P52" s="61">
        <f t="shared" si="60"/>
        <v>117.75101444700231</v>
      </c>
      <c r="Q52" s="61">
        <f t="shared" si="60"/>
        <v>118.0733918519894</v>
      </c>
      <c r="R52" s="61">
        <f t="shared" si="60"/>
        <v>116.29672205544537</v>
      </c>
      <c r="S52" s="61">
        <f t="shared" si="60"/>
        <v>114.61455574500268</v>
      </c>
      <c r="T52" s="61">
        <f t="shared" si="60"/>
        <v>121.97557552289908</v>
      </c>
      <c r="U52" s="61">
        <f t="shared" si="60"/>
        <v>123.14623515135428</v>
      </c>
      <c r="V52" s="61">
        <f t="shared" si="60"/>
        <v>121.05771681439637</v>
      </c>
      <c r="W52" s="61">
        <f t="shared" si="60"/>
        <v>126.89725051993005</v>
      </c>
      <c r="X52" s="61">
        <f t="shared" si="60"/>
        <v>128.82144073378498</v>
      </c>
      <c r="Y52" s="61">
        <f t="shared" si="60"/>
        <v>134.81505965464481</v>
      </c>
      <c r="Z52" s="61">
        <f t="shared" si="60"/>
        <v>138.67939961371201</v>
      </c>
      <c r="AA52" s="61">
        <f t="shared" si="60"/>
        <v>141.66089585954779</v>
      </c>
      <c r="AB52" s="61">
        <f t="shared" si="60"/>
        <v>145.92935352963175</v>
      </c>
      <c r="AC52" s="61">
        <f t="shared" si="60"/>
        <v>147.03835854628025</v>
      </c>
      <c r="AD52" s="61">
        <f t="shared" si="60"/>
        <v>144.75243736738292</v>
      </c>
      <c r="AE52" s="61">
        <f t="shared" si="60"/>
        <v>160.93790113854089</v>
      </c>
      <c r="AF52" s="61">
        <f t="shared" si="60"/>
        <v>166.67249359105293</v>
      </c>
      <c r="AG52" s="61">
        <f t="shared" ref="AG52:AH52" si="61">AG48/$C48*100</f>
        <v>163.31824592455081</v>
      </c>
      <c r="AH52" s="61">
        <f t="shared" si="61"/>
        <v>163.94899793873762</v>
      </c>
      <c r="AI52" s="61">
        <f t="shared" ref="AI52" si="62">AI48/$C48*100</f>
        <v>172.48934825797861</v>
      </c>
    </row>
    <row r="53" spans="2:35">
      <c r="B53" s="6" t="s">
        <v>1440</v>
      </c>
      <c r="C53" s="61">
        <f t="shared" ref="C53:AF53" si="63">C49/$C49*100</f>
        <v>100</v>
      </c>
      <c r="D53" s="61">
        <f t="shared" si="63"/>
        <v>97.980151257031039</v>
      </c>
      <c r="E53" s="61">
        <f t="shared" si="63"/>
        <v>99.667210353062316</v>
      </c>
      <c r="F53" s="61">
        <f t="shared" si="63"/>
        <v>100.16552563575196</v>
      </c>
      <c r="G53" s="61">
        <f t="shared" si="63"/>
        <v>102.45383043248721</v>
      </c>
      <c r="H53" s="61">
        <f t="shared" si="63"/>
        <v>102.17115377801737</v>
      </c>
      <c r="I53" s="61">
        <f t="shared" si="63"/>
        <v>105.15072412672394</v>
      </c>
      <c r="J53" s="61">
        <f t="shared" si="63"/>
        <v>106.63165224305027</v>
      </c>
      <c r="K53" s="61">
        <f t="shared" si="63"/>
        <v>109.24888794511926</v>
      </c>
      <c r="L53" s="61">
        <f t="shared" si="63"/>
        <v>111.98721360866175</v>
      </c>
      <c r="M53" s="61">
        <f t="shared" si="63"/>
        <v>114.4889733348536</v>
      </c>
      <c r="N53" s="111">
        <f t="shared" si="63"/>
        <v>113.89386481112686</v>
      </c>
      <c r="O53" s="111">
        <f t="shared" si="63"/>
        <v>114.23665433663027</v>
      </c>
      <c r="P53" s="111">
        <f t="shared" si="63"/>
        <v>115.84653156270852</v>
      </c>
      <c r="Q53" s="111">
        <f t="shared" si="63"/>
        <v>120.19971360737674</v>
      </c>
      <c r="R53" s="111">
        <f t="shared" si="63"/>
        <v>120.2025939575214</v>
      </c>
      <c r="S53" s="111">
        <f t="shared" si="63"/>
        <v>118.53075849001118</v>
      </c>
      <c r="T53" s="111">
        <f t="shared" si="63"/>
        <v>117.15240218169349</v>
      </c>
      <c r="U53" s="111">
        <f t="shared" si="63"/>
        <v>109.48834701683853</v>
      </c>
      <c r="V53" s="111">
        <f t="shared" si="63"/>
        <v>103.77551596278884</v>
      </c>
      <c r="W53" s="61">
        <f t="shared" si="63"/>
        <v>104.74142041175509</v>
      </c>
      <c r="X53" s="61">
        <f t="shared" si="63"/>
        <v>102.92021698327733</v>
      </c>
      <c r="Y53" s="61">
        <f t="shared" si="63"/>
        <v>100.40395501984487</v>
      </c>
      <c r="Z53" s="61">
        <f t="shared" si="63"/>
        <v>102.00387760464093</v>
      </c>
      <c r="AA53" s="61">
        <f t="shared" si="63"/>
        <v>103.09685123367463</v>
      </c>
      <c r="AB53" s="61">
        <f t="shared" si="63"/>
        <v>104.83672815805363</v>
      </c>
      <c r="AC53" s="61">
        <f t="shared" si="63"/>
        <v>105.7644186109713</v>
      </c>
      <c r="AD53" s="61">
        <f t="shared" si="63"/>
        <v>106.41946659642983</v>
      </c>
      <c r="AE53" s="61">
        <f t="shared" si="63"/>
        <v>108.87783547486482</v>
      </c>
      <c r="AF53" s="61">
        <f t="shared" si="63"/>
        <v>108.06640578107294</v>
      </c>
      <c r="AG53" s="61">
        <f t="shared" ref="AG53:AH53" si="64">AG49/$C49*100</f>
        <v>94.47999909613543</v>
      </c>
      <c r="AH53" s="61">
        <f t="shared" si="64"/>
        <v>103.2183517813627</v>
      </c>
      <c r="AI53" s="61">
        <f t="shared" ref="AI53" si="65">AI49/$C49*100</f>
        <v>104.88601873575676</v>
      </c>
    </row>
    <row r="54" spans="2:35">
      <c r="B54" s="4" t="s">
        <v>1531</v>
      </c>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row>
    <row r="55" spans="2:35">
      <c r="B55" s="6" t="s">
        <v>1435</v>
      </c>
      <c r="C55" s="63">
        <f t="shared" ref="C55:AF55" si="66">C47/C34</f>
        <v>0.25449395626355514</v>
      </c>
      <c r="D55" s="63">
        <f t="shared" si="66"/>
        <v>0.25477011072019767</v>
      </c>
      <c r="E55" s="63">
        <f t="shared" si="66"/>
        <v>0.25224093273633619</v>
      </c>
      <c r="F55" s="63">
        <f t="shared" si="66"/>
        <v>0.25762505435015098</v>
      </c>
      <c r="G55" s="63">
        <f t="shared" si="66"/>
        <v>0.2540631542449972</v>
      </c>
      <c r="H55" s="63">
        <f t="shared" si="66"/>
        <v>0.25289852761715542</v>
      </c>
      <c r="I55" s="63">
        <f t="shared" si="66"/>
        <v>0.25668832404932113</v>
      </c>
      <c r="J55" s="63">
        <f t="shared" si="66"/>
        <v>0.25893894536450723</v>
      </c>
      <c r="K55" s="63">
        <f t="shared" si="66"/>
        <v>0.26010515722552408</v>
      </c>
      <c r="L55" s="63">
        <f t="shared" si="66"/>
        <v>0.25703444373220136</v>
      </c>
      <c r="M55" s="63">
        <f t="shared" si="66"/>
        <v>0.25929145118811531</v>
      </c>
      <c r="N55" s="63">
        <f t="shared" si="66"/>
        <v>0.25736463876606253</v>
      </c>
      <c r="O55" s="63">
        <f t="shared" si="66"/>
        <v>0.2555743516384727</v>
      </c>
      <c r="P55" s="63">
        <f t="shared" si="66"/>
        <v>0.25946466901076021</v>
      </c>
      <c r="Q55" s="63">
        <f t="shared" si="66"/>
        <v>0.25713114645855473</v>
      </c>
      <c r="R55" s="63">
        <f t="shared" si="66"/>
        <v>0.26074404767323822</v>
      </c>
      <c r="S55" s="63">
        <f t="shared" si="66"/>
        <v>0.2604322933323468</v>
      </c>
      <c r="T55" s="63">
        <f t="shared" si="66"/>
        <v>0.25965239239434534</v>
      </c>
      <c r="U55" s="63">
        <f t="shared" si="66"/>
        <v>0.26429858205617313</v>
      </c>
      <c r="V55" s="63">
        <f t="shared" si="66"/>
        <v>0.24835141244914388</v>
      </c>
      <c r="W55" s="63">
        <f t="shared" si="66"/>
        <v>0.2535737460428632</v>
      </c>
      <c r="X55" s="63">
        <f t="shared" si="66"/>
        <v>0.24303312368302771</v>
      </c>
      <c r="Y55" s="63">
        <f t="shared" si="66"/>
        <v>0.21993314966831939</v>
      </c>
      <c r="Z55" s="63">
        <f t="shared" si="66"/>
        <v>0.22258615767346665</v>
      </c>
      <c r="AA55" s="63">
        <f t="shared" si="66"/>
        <v>0.21899813873022331</v>
      </c>
      <c r="AB55" s="63">
        <f t="shared" si="66"/>
        <v>0.19194311878423206</v>
      </c>
      <c r="AC55" s="63">
        <f t="shared" si="66"/>
        <v>0.17761020125586449</v>
      </c>
      <c r="AD55" s="63">
        <f t="shared" si="66"/>
        <v>0.17371740146112458</v>
      </c>
      <c r="AE55" s="63">
        <f t="shared" si="66"/>
        <v>0.15905468794234998</v>
      </c>
      <c r="AF55" s="63">
        <f t="shared" si="66"/>
        <v>0.13700055119629459</v>
      </c>
      <c r="AG55" s="63">
        <f t="shared" ref="AG55:AH55" si="67">AG47/AG34</f>
        <v>0.12228885284552722</v>
      </c>
      <c r="AH55" s="63">
        <f t="shared" si="67"/>
        <v>0.13189763959494202</v>
      </c>
      <c r="AI55" s="63">
        <f t="shared" ref="AI55" si="68">AI47/AI34</f>
        <v>0.12080690585509465</v>
      </c>
    </row>
    <row r="56" spans="2:35">
      <c r="B56" s="6" t="s">
        <v>1439</v>
      </c>
      <c r="C56" s="63">
        <f t="shared" ref="C56:AF56" si="69">C48/C34</f>
        <v>0.26925062810364503</v>
      </c>
      <c r="D56" s="63">
        <f t="shared" si="69"/>
        <v>0.27642681969077504</v>
      </c>
      <c r="E56" s="63">
        <f t="shared" si="69"/>
        <v>0.28008915348125474</v>
      </c>
      <c r="F56" s="63">
        <f t="shared" si="69"/>
        <v>0.28163958996013311</v>
      </c>
      <c r="G56" s="63">
        <f t="shared" si="69"/>
        <v>0.28312938472105731</v>
      </c>
      <c r="H56" s="63">
        <f t="shared" si="69"/>
        <v>0.29156563898975979</v>
      </c>
      <c r="I56" s="63">
        <f t="shared" si="69"/>
        <v>0.28831742560575552</v>
      </c>
      <c r="J56" s="63">
        <f t="shared" si="69"/>
        <v>0.28602794983477381</v>
      </c>
      <c r="K56" s="63">
        <f t="shared" si="69"/>
        <v>0.27821787444946439</v>
      </c>
      <c r="L56" s="63">
        <f t="shared" si="69"/>
        <v>0.27543915498213195</v>
      </c>
      <c r="M56" s="63">
        <f t="shared" si="69"/>
        <v>0.27856729550463105</v>
      </c>
      <c r="N56" s="63">
        <f t="shared" si="69"/>
        <v>0.27321622365434156</v>
      </c>
      <c r="O56" s="63">
        <f t="shared" si="69"/>
        <v>0.27864014703206857</v>
      </c>
      <c r="P56" s="63">
        <f t="shared" si="69"/>
        <v>0.27024768803252935</v>
      </c>
      <c r="Q56" s="63">
        <f t="shared" si="69"/>
        <v>0.26524665179987389</v>
      </c>
      <c r="R56" s="63">
        <f t="shared" si="69"/>
        <v>0.26138515685194014</v>
      </c>
      <c r="S56" s="63">
        <f t="shared" si="69"/>
        <v>0.26140006575484087</v>
      </c>
      <c r="T56" s="63">
        <f t="shared" si="69"/>
        <v>0.27431707714118736</v>
      </c>
      <c r="U56" s="63">
        <f t="shared" si="69"/>
        <v>0.28597112327360208</v>
      </c>
      <c r="V56" s="63">
        <f t="shared" si="69"/>
        <v>0.29871163088278796</v>
      </c>
      <c r="W56" s="63">
        <f t="shared" si="69"/>
        <v>0.30342671916823133</v>
      </c>
      <c r="X56" s="63">
        <f t="shared" si="69"/>
        <v>0.31368097345127283</v>
      </c>
      <c r="Y56" s="63">
        <f t="shared" si="69"/>
        <v>0.33662266336632574</v>
      </c>
      <c r="Z56" s="63">
        <f t="shared" si="69"/>
        <v>0.33785444559554112</v>
      </c>
      <c r="AA56" s="63">
        <f t="shared" si="69"/>
        <v>0.34145194112136118</v>
      </c>
      <c r="AB56" s="63">
        <f t="shared" si="69"/>
        <v>0.35585742578554946</v>
      </c>
      <c r="AC56" s="63">
        <f t="shared" si="69"/>
        <v>0.36191833191483874</v>
      </c>
      <c r="AD56" s="63">
        <f t="shared" si="69"/>
        <v>0.35919016534854015</v>
      </c>
      <c r="AE56" s="63">
        <f t="shared" si="69"/>
        <v>0.38283215959986688</v>
      </c>
      <c r="AF56" s="63">
        <f t="shared" si="69"/>
        <v>0.40198238565171263</v>
      </c>
      <c r="AG56" s="63">
        <f t="shared" ref="AG56:AH56" si="70">AG48/AG34</f>
        <v>0.43380915770003009</v>
      </c>
      <c r="AH56" s="63">
        <f t="shared" si="70"/>
        <v>0.41072109855663047</v>
      </c>
      <c r="AI56" s="63">
        <f t="shared" ref="AI56" si="71">AI48/AI34</f>
        <v>0.4235912354570685</v>
      </c>
    </row>
    <row r="57" spans="2:35">
      <c r="B57" s="7" t="s">
        <v>1440</v>
      </c>
      <c r="C57" s="64">
        <f t="shared" ref="C57:AF57" si="72">C49/C34</f>
        <v>0.47625541563279988</v>
      </c>
      <c r="D57" s="64">
        <f t="shared" si="72"/>
        <v>0.46880306958902734</v>
      </c>
      <c r="E57" s="64">
        <f t="shared" si="72"/>
        <v>0.46766991378240907</v>
      </c>
      <c r="F57" s="64">
        <f t="shared" si="72"/>
        <v>0.46073535568971602</v>
      </c>
      <c r="G57" s="64">
        <f t="shared" si="72"/>
        <v>0.46280746103394566</v>
      </c>
      <c r="H57" s="64">
        <f t="shared" si="72"/>
        <v>0.45553583339308451</v>
      </c>
      <c r="I57" s="64">
        <f t="shared" si="72"/>
        <v>0.45499425034492347</v>
      </c>
      <c r="J57" s="64">
        <f t="shared" si="72"/>
        <v>0.45503310480071874</v>
      </c>
      <c r="K57" s="64">
        <f t="shared" si="72"/>
        <v>0.46167696832501137</v>
      </c>
      <c r="L57" s="64">
        <f t="shared" si="72"/>
        <v>0.46752640128566664</v>
      </c>
      <c r="M57" s="64">
        <f t="shared" si="72"/>
        <v>0.4621412533072537</v>
      </c>
      <c r="N57" s="64">
        <f t="shared" si="72"/>
        <v>0.46941913757959591</v>
      </c>
      <c r="O57" s="64">
        <f t="shared" si="72"/>
        <v>0.46578550132945856</v>
      </c>
      <c r="P57" s="64">
        <f t="shared" si="72"/>
        <v>0.47028764295671055</v>
      </c>
      <c r="Q57" s="64">
        <f t="shared" si="72"/>
        <v>0.47762220174157133</v>
      </c>
      <c r="R57" s="64">
        <f t="shared" si="72"/>
        <v>0.47787079547482175</v>
      </c>
      <c r="S57" s="64">
        <f t="shared" si="72"/>
        <v>0.47816764091281239</v>
      </c>
      <c r="T57" s="64">
        <f t="shared" si="72"/>
        <v>0.4660305304644673</v>
      </c>
      <c r="U57" s="64">
        <f t="shared" si="72"/>
        <v>0.44973029467022491</v>
      </c>
      <c r="V57" s="64">
        <f t="shared" si="72"/>
        <v>0.45293695666806816</v>
      </c>
      <c r="W57" s="64">
        <f t="shared" si="72"/>
        <v>0.44299953478890536</v>
      </c>
      <c r="X57" s="64">
        <f t="shared" si="72"/>
        <v>0.44328590286569947</v>
      </c>
      <c r="Y57" s="64">
        <f t="shared" si="72"/>
        <v>0.4434441869653547</v>
      </c>
      <c r="Z57" s="64">
        <f t="shared" si="72"/>
        <v>0.43955939673099242</v>
      </c>
      <c r="AA57" s="64">
        <f t="shared" si="72"/>
        <v>0.43954992014841543</v>
      </c>
      <c r="AB57" s="64">
        <f t="shared" si="72"/>
        <v>0.45219945543021833</v>
      </c>
      <c r="AC57" s="64">
        <f t="shared" si="72"/>
        <v>0.46047146682929679</v>
      </c>
      <c r="AD57" s="64">
        <f t="shared" si="72"/>
        <v>0.46709243319033522</v>
      </c>
      <c r="AE57" s="64">
        <f t="shared" si="72"/>
        <v>0.45811315245778317</v>
      </c>
      <c r="AF57" s="64">
        <f t="shared" si="72"/>
        <v>0.4610170631519927</v>
      </c>
      <c r="AG57" s="64">
        <f t="shared" ref="AG57:AH57" si="73">AG49/AG34</f>
        <v>0.44390198945444259</v>
      </c>
      <c r="AH57" s="64">
        <f t="shared" si="73"/>
        <v>0.4573812618484277</v>
      </c>
      <c r="AI57" s="64">
        <f t="shared" ref="AI57" si="74">AI49/AI34</f>
        <v>0.45560185868783681</v>
      </c>
    </row>
    <row r="58" spans="2:35">
      <c r="AI58" s="1036"/>
    </row>
    <row r="59" spans="2:35">
      <c r="AI59" s="1036"/>
    </row>
    <row r="60" spans="2:35">
      <c r="B60" s="62"/>
      <c r="C60" s="4" t="s">
        <v>1532</v>
      </c>
      <c r="D60" s="4" t="s">
        <v>1533</v>
      </c>
      <c r="AI60" s="1036"/>
    </row>
    <row r="61" spans="2:35">
      <c r="B61" s="6" t="s">
        <v>1435</v>
      </c>
      <c r="C61" s="282">
        <f>SUM(C47:AI47)</f>
        <v>594299.83074512065</v>
      </c>
      <c r="D61" s="63">
        <f>C61/$C$64</f>
        <v>0.22832076977033955</v>
      </c>
      <c r="AI61" s="1036"/>
    </row>
    <row r="62" spans="2:35">
      <c r="B62" s="6" t="s">
        <v>1439</v>
      </c>
      <c r="C62" s="282">
        <f>SUM(C48:AI48)</f>
        <v>812076.32561159739</v>
      </c>
      <c r="D62" s="63">
        <f>C62/$C$64</f>
        <v>0.31198711859540795</v>
      </c>
      <c r="AI62" s="1036"/>
    </row>
    <row r="63" spans="2:35">
      <c r="B63" s="7" t="s">
        <v>1440</v>
      </c>
      <c r="C63" s="282">
        <f>SUM(C49:AI49)</f>
        <v>1196540.045016059</v>
      </c>
      <c r="D63" s="64">
        <f>C63/$C$64</f>
        <v>0.45969211163425244</v>
      </c>
      <c r="AI63" s="1036"/>
    </row>
    <row r="64" spans="2:35">
      <c r="B64" s="4" t="s">
        <v>1480</v>
      </c>
      <c r="C64" s="742">
        <f>SUM(C61:C63)</f>
        <v>2602916.2013727771</v>
      </c>
      <c r="D64" s="62"/>
      <c r="AI64" s="1036"/>
    </row>
    <row r="65" spans="2:35">
      <c r="AI65" s="1036"/>
    </row>
    <row r="66" spans="2:35">
      <c r="B66" s="60" t="s">
        <v>1529</v>
      </c>
      <c r="C66" s="59">
        <v>1990</v>
      </c>
      <c r="D66" s="59">
        <v>1991</v>
      </c>
      <c r="E66" s="59">
        <v>1992</v>
      </c>
      <c r="F66" s="59">
        <v>1993</v>
      </c>
      <c r="G66" s="59">
        <v>1994</v>
      </c>
      <c r="H66" s="59">
        <v>1995</v>
      </c>
      <c r="I66" s="59">
        <v>1996</v>
      </c>
      <c r="J66" s="59">
        <v>1997</v>
      </c>
      <c r="K66" s="59">
        <v>1998</v>
      </c>
      <c r="L66" s="59">
        <v>1999</v>
      </c>
      <c r="M66" s="59">
        <v>2000</v>
      </c>
      <c r="N66" s="59">
        <v>2001</v>
      </c>
      <c r="O66" s="59">
        <v>2002</v>
      </c>
      <c r="P66" s="59">
        <v>2003</v>
      </c>
      <c r="Q66" s="59">
        <v>2004</v>
      </c>
      <c r="R66" s="59">
        <v>2005</v>
      </c>
      <c r="S66" s="59">
        <v>2006</v>
      </c>
      <c r="T66" s="59">
        <v>2007</v>
      </c>
      <c r="U66" s="59">
        <v>2008</v>
      </c>
      <c r="V66" s="59">
        <v>2009</v>
      </c>
      <c r="W66" s="59">
        <v>2010</v>
      </c>
      <c r="X66" s="59">
        <v>2011</v>
      </c>
      <c r="Y66" s="59">
        <v>2012</v>
      </c>
      <c r="Z66" s="59">
        <v>2013</v>
      </c>
      <c r="AA66" s="59">
        <v>2014</v>
      </c>
      <c r="AB66" s="59">
        <v>2015</v>
      </c>
      <c r="AC66" s="59">
        <v>2016</v>
      </c>
      <c r="AD66" s="59">
        <v>2017</v>
      </c>
      <c r="AE66" s="59">
        <v>2018</v>
      </c>
      <c r="AF66" s="59">
        <v>2019</v>
      </c>
      <c r="AG66" s="59">
        <v>2020</v>
      </c>
      <c r="AH66" s="59">
        <v>2021</v>
      </c>
      <c r="AI66" s="59">
        <v>2022</v>
      </c>
    </row>
    <row r="67" spans="2:35">
      <c r="B67" s="229" t="s">
        <v>1435</v>
      </c>
      <c r="C67" s="230">
        <f>C47</f>
        <v>18097.672034387841</v>
      </c>
      <c r="D67" s="230">
        <f t="shared" ref="D67:T67" si="75">D47</f>
        <v>18033.553078488992</v>
      </c>
      <c r="E67" s="230">
        <f t="shared" si="75"/>
        <v>18205.960761945331</v>
      </c>
      <c r="F67" s="230">
        <f t="shared" si="75"/>
        <v>18968.806149859931</v>
      </c>
      <c r="G67" s="230">
        <f t="shared" si="75"/>
        <v>19048.233300972872</v>
      </c>
      <c r="H67" s="230">
        <f t="shared" si="75"/>
        <v>19210.43597543225</v>
      </c>
      <c r="I67" s="230">
        <f t="shared" si="75"/>
        <v>20090.819012959513</v>
      </c>
      <c r="J67" s="230">
        <f t="shared" si="75"/>
        <v>20550.655892179115</v>
      </c>
      <c r="K67" s="230">
        <f t="shared" si="75"/>
        <v>20845.530233530957</v>
      </c>
      <c r="L67" s="230">
        <f t="shared" si="75"/>
        <v>20851.571456261434</v>
      </c>
      <c r="M67" s="230">
        <f t="shared" si="75"/>
        <v>21755.160375779928</v>
      </c>
      <c r="N67" s="230">
        <f t="shared" si="75"/>
        <v>21148.208455434498</v>
      </c>
      <c r="O67" s="230">
        <f t="shared" si="75"/>
        <v>21228.628884720812</v>
      </c>
      <c r="P67" s="230">
        <f t="shared" si="75"/>
        <v>21646.259699623246</v>
      </c>
      <c r="Q67" s="230">
        <f t="shared" si="75"/>
        <v>21915.873274745554</v>
      </c>
      <c r="R67" s="230">
        <f t="shared" si="75"/>
        <v>22212.780273138615</v>
      </c>
      <c r="S67" s="230">
        <f>S47</f>
        <v>21864.063690879717</v>
      </c>
      <c r="T67" s="230">
        <f t="shared" si="75"/>
        <v>22106.211730005693</v>
      </c>
      <c r="U67" s="230">
        <f t="shared" ref="U67:W68" si="76">U47</f>
        <v>21791.933080513318</v>
      </c>
      <c r="V67" s="230">
        <f t="shared" si="76"/>
        <v>19271.208299756912</v>
      </c>
      <c r="W67" s="230">
        <f t="shared" si="76"/>
        <v>20305.077115601995</v>
      </c>
      <c r="X67" s="230">
        <f t="shared" ref="X67:Z68" si="77">X47</f>
        <v>19110.295802546014</v>
      </c>
      <c r="Y67" s="230">
        <f t="shared" si="77"/>
        <v>16865.05321326284</v>
      </c>
      <c r="Z67" s="230">
        <f t="shared" ref="Z67:AD67" si="78">Z47</f>
        <v>17493.730559525309</v>
      </c>
      <c r="AA67" s="230">
        <f t="shared" si="78"/>
        <v>17396.536289023112</v>
      </c>
      <c r="AB67" s="230">
        <f t="shared" si="78"/>
        <v>15070.967680228841</v>
      </c>
      <c r="AC67" s="230">
        <f t="shared" si="78"/>
        <v>13816.242149672757</v>
      </c>
      <c r="AD67" s="230">
        <f t="shared" si="78"/>
        <v>13404.380213203271</v>
      </c>
      <c r="AE67" s="230">
        <f t="shared" ref="AE67:AF67" si="79">AE47</f>
        <v>12802.605385582481</v>
      </c>
      <c r="AF67" s="230">
        <f t="shared" si="79"/>
        <v>10876.300289749532</v>
      </c>
      <c r="AG67" s="230">
        <f t="shared" ref="AG67:AH67" si="80">AG47</f>
        <v>8815.0509695625115</v>
      </c>
      <c r="AH67" s="230">
        <f t="shared" si="80"/>
        <v>10080.933337199278</v>
      </c>
      <c r="AI67" s="230">
        <f t="shared" ref="AI67" si="81">AI47</f>
        <v>9419.0920793462792</v>
      </c>
    </row>
    <row r="68" spans="2:35">
      <c r="B68" s="6" t="s">
        <v>1439</v>
      </c>
      <c r="C68" s="61">
        <f t="shared" ref="C68:T68" si="82">C48</f>
        <v>19147.054154112771</v>
      </c>
      <c r="D68" s="61">
        <f t="shared" si="82"/>
        <v>19566.493538507148</v>
      </c>
      <c r="E68" s="61">
        <f t="shared" si="82"/>
        <v>20215.958142909436</v>
      </c>
      <c r="F68" s="61">
        <f t="shared" si="82"/>
        <v>20736.984605614973</v>
      </c>
      <c r="G68" s="61">
        <f t="shared" si="82"/>
        <v>21227.45657690661</v>
      </c>
      <c r="H68" s="61">
        <f t="shared" si="82"/>
        <v>22147.630091891537</v>
      </c>
      <c r="I68" s="61">
        <f t="shared" si="82"/>
        <v>22566.407091483648</v>
      </c>
      <c r="J68" s="61">
        <f t="shared" si="82"/>
        <v>22700.571226647211</v>
      </c>
      <c r="K68" s="61">
        <f t="shared" si="82"/>
        <v>22297.132341426397</v>
      </c>
      <c r="L68" s="61">
        <f t="shared" si="82"/>
        <v>22344.628753125606</v>
      </c>
      <c r="M68" s="61">
        <f t="shared" si="82"/>
        <v>23372.448884764086</v>
      </c>
      <c r="N68" s="61">
        <f t="shared" si="82"/>
        <v>22450.767436239385</v>
      </c>
      <c r="O68" s="61">
        <f t="shared" si="82"/>
        <v>23144.530097821415</v>
      </c>
      <c r="P68" s="61">
        <f t="shared" si="82"/>
        <v>22545.850503184683</v>
      </c>
      <c r="Q68" s="61">
        <f t="shared" si="82"/>
        <v>22607.576279498186</v>
      </c>
      <c r="R68" s="61">
        <f t="shared" si="82"/>
        <v>22267.396351414136</v>
      </c>
      <c r="S68" s="61">
        <f>S48</f>
        <v>21945.311056991432</v>
      </c>
      <c r="T68" s="61">
        <f t="shared" si="82"/>
        <v>23354.729500160211</v>
      </c>
      <c r="U68" s="61">
        <f t="shared" si="76"/>
        <v>23578.876333180862</v>
      </c>
      <c r="V68" s="61">
        <f t="shared" si="76"/>
        <v>23178.986596184954</v>
      </c>
      <c r="W68" s="61">
        <f t="shared" si="76"/>
        <v>24297.085277131158</v>
      </c>
      <c r="X68" s="61">
        <f t="shared" si="77"/>
        <v>24665.511019406102</v>
      </c>
      <c r="Y68" s="61">
        <f t="shared" si="77"/>
        <v>25813.112479974283</v>
      </c>
      <c r="Z68" s="61">
        <f t="shared" si="77"/>
        <v>26553.019744635894</v>
      </c>
      <c r="AA68" s="61">
        <f>AA48</f>
        <v>27123.888445428915</v>
      </c>
      <c r="AB68" s="61">
        <f>AB48</f>
        <v>27941.172347065272</v>
      </c>
      <c r="AC68" s="61">
        <f>AC48</f>
        <v>28153.514138174782</v>
      </c>
      <c r="AD68" s="61">
        <f>AD48</f>
        <v>27715.82757213098</v>
      </c>
      <c r="AE68" s="61">
        <f t="shared" ref="AE68:AF68" si="83">AE48</f>
        <v>30814.867085488899</v>
      </c>
      <c r="AF68" s="61">
        <f t="shared" si="83"/>
        <v>31912.872607889043</v>
      </c>
      <c r="AG68" s="61">
        <f t="shared" ref="AG68:AH68" si="84">AG48</f>
        <v>31270.632990720816</v>
      </c>
      <c r="AH68" s="61">
        <f t="shared" si="84"/>
        <v>31391.403420455325</v>
      </c>
      <c r="AI68" s="61">
        <f t="shared" ref="AI68" si="85">AI48</f>
        <v>33026.628921031333</v>
      </c>
    </row>
    <row r="69" spans="2:35">
      <c r="B69" s="7" t="s">
        <v>1440</v>
      </c>
      <c r="C69" s="111">
        <f>C49-SUM('Consumption Input'!E69:E71)</f>
        <v>32452.143950696147</v>
      </c>
      <c r="D69" s="111">
        <f>D49-SUM('Consumption Input'!F69:F71)</f>
        <v>31578.930322343687</v>
      </c>
      <c r="E69" s="111">
        <f>E49-SUM('Consumption Input'!G69:G71)</f>
        <v>32279.676464415905</v>
      </c>
      <c r="F69" s="111">
        <f>F49-SUM('Consumption Input'!H69:H71)</f>
        <v>32581.628970814505</v>
      </c>
      <c r="G69" s="111">
        <f>G49-SUM('Consumption Input'!I69:I71)</f>
        <v>33370.586604686738</v>
      </c>
      <c r="H69" s="111">
        <f>H49-SUM('Consumption Input'!J69:J71)</f>
        <v>33248.974845115343</v>
      </c>
      <c r="I69" s="111">
        <f>I49-SUM('Consumption Input'!K69:K71)</f>
        <v>34241.756888339296</v>
      </c>
      <c r="J69" s="111">
        <f>J49-SUM('Consumption Input'!L69:L71)</f>
        <v>34657.108037325794</v>
      </c>
      <c r="K69" s="111">
        <f>K49-SUM('Consumption Input'!M69:M71)</f>
        <v>35496.192379092216</v>
      </c>
      <c r="L69" s="111">
        <f>L49-SUM('Consumption Input'!N69:N71)</f>
        <v>36525.790638343562</v>
      </c>
      <c r="M69" s="111">
        <f>M49-SUM('Consumption Input'!O69:O71)</f>
        <v>37363.350710027247</v>
      </c>
      <c r="N69" s="111">
        <f>N49-SUM('Consumption Input'!P69:P71)</f>
        <v>37273.577634426787</v>
      </c>
      <c r="O69" s="111">
        <f>O49-SUM('Consumption Input'!Q69:Q71)</f>
        <v>37381.592237108853</v>
      </c>
      <c r="P69" s="111">
        <f>P49-SUM('Consumption Input'!R69:R71)</f>
        <v>37874.482791193994</v>
      </c>
      <c r="Q69" s="111">
        <f>Q49-SUM('Consumption Input'!S69:S71)</f>
        <v>39213.036368116569</v>
      </c>
      <c r="R69" s="111">
        <f>R49-SUM('Consumption Input'!T69:T71)</f>
        <v>39147.512645059447</v>
      </c>
      <c r="S69" s="111">
        <f>S49-SUM('Consumption Input'!U69:U71)</f>
        <v>38568.220678961319</v>
      </c>
      <c r="T69" s="111">
        <f>T49-SUM('Consumption Input'!V69:V71)</f>
        <v>38084.077222772888</v>
      </c>
      <c r="U69" s="111">
        <f>U49-SUM('Consumption Input'!W69:W71)</f>
        <v>35506.426755368993</v>
      </c>
      <c r="V69" s="111">
        <f>V49-SUM('Consumption Input'!X69:X71)</f>
        <v>33680.424369398475</v>
      </c>
      <c r="W69" s="111">
        <f>W49-SUM('Consumption Input'!Y69:Y71)</f>
        <v>33859.019489974096</v>
      </c>
      <c r="X69" s="111">
        <f>X49-SUM('Consumption Input'!Z69:Z71)</f>
        <v>33310.071582365985</v>
      </c>
      <c r="Y69" s="111">
        <f>Y49-SUM('Consumption Input'!AA69:AA71)</f>
        <v>32536.170413846634</v>
      </c>
      <c r="Z69" s="111">
        <f>Z49-SUM('Consumption Input'!AB69:AB71)</f>
        <v>33158.598380421092</v>
      </c>
      <c r="AA69" s="111">
        <f>AA49-SUM('Consumption Input'!AC69:AC71)</f>
        <v>33476.474670121061</v>
      </c>
      <c r="AB69" s="111">
        <f>AB49-SUM('Consumption Input'!AD69:AD71)</f>
        <v>33962.142365550048</v>
      </c>
      <c r="AC69" s="111">
        <f>AC49-SUM('Consumption Input'!AE69:AE71)</f>
        <v>34199.643098370783</v>
      </c>
      <c r="AD69" s="111">
        <f>AD49-SUM('Consumption Input'!AF69:AF71)</f>
        <v>34370.968178682022</v>
      </c>
      <c r="AE69" s="111">
        <f>AE49-SUM('Consumption Input'!AG69:AG71)</f>
        <v>35174.695432902205</v>
      </c>
      <c r="AF69" s="111">
        <f>AF49-SUM('Consumption Input'!AH69:AH71)</f>
        <v>35015.0435647708</v>
      </c>
      <c r="AG69" s="111">
        <f>AG49-SUM('Consumption Input'!AI69:AI71)</f>
        <v>31035.550329501002</v>
      </c>
      <c r="AH69" s="111">
        <f>AH49-SUM('Consumption Input'!AJ69:AJ71)</f>
        <v>33843.787819779725</v>
      </c>
      <c r="AI69" s="111">
        <f>AI49-SUM('Consumption Input'!AK69:AK71)</f>
        <v>34191.687277967831</v>
      </c>
    </row>
    <row r="70" spans="2:35">
      <c r="B70" s="1" t="s">
        <v>1591</v>
      </c>
    </row>
  </sheetData>
  <mergeCells count="2">
    <mergeCell ref="A1:B1"/>
    <mergeCell ref="A2:B2"/>
  </mergeCells>
  <phoneticPr fontId="26" type="noConversion"/>
  <conditionalFormatting sqref="C39:AI44">
    <cfRule type="cellIs" dxfId="44" priority="1" stopIfTrue="1" operator="notEqual">
      <formula>0</formula>
    </cfRule>
  </conditionalFormatting>
  <pageMargins left="0.5" right="0.5" top="0.5" bottom="0.75" header="0.27" footer="0.21"/>
  <pageSetup scale="87" orientation="landscape" r:id="rId1"/>
  <headerFooter alignWithMargins="0">
    <oddHeader>&amp;L&amp;12GREENHOUSE GAS INVENTORY:  ENERGY</oddHeader>
    <oddFooter>&amp;LPage &amp;P of &amp;N&amp;C&amp;F  &amp;A&amp;R&amp;D  &amp;T</oddFooter>
  </headerFooter>
  <colBreaks count="1" manualBreakCount="1">
    <brk id="22" max="1048575" man="1"/>
  </col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ransitionEvaluation="1" transitionEntry="1" codeName="Sheet1"/>
  <dimension ref="A1:AR143"/>
  <sheetViews>
    <sheetView topLeftCell="Z5" workbookViewId="0">
      <selection activeCell="AJ37" sqref="AJ37"/>
    </sheetView>
  </sheetViews>
  <sheetFormatPr defaultColWidth="9.6640625" defaultRowHeight="9.9499999999999993"/>
  <cols>
    <col min="1" max="1" width="1" style="142" customWidth="1"/>
    <col min="2" max="2" width="5" style="147" customWidth="1"/>
    <col min="3" max="3" width="38" style="142" customWidth="1"/>
    <col min="4" max="4" width="41.5" style="2" customWidth="1"/>
    <col min="5" max="8" width="10" style="143" customWidth="1"/>
    <col min="9" max="11" width="10" style="12" customWidth="1"/>
    <col min="12" max="13" width="10" style="146" customWidth="1"/>
    <col min="14" max="28" width="10" style="142" customWidth="1"/>
    <col min="29" max="32" width="10" style="142" bestFit="1" customWidth="1"/>
    <col min="33" max="37" width="10" style="142" customWidth="1"/>
    <col min="38" max="38" width="9.6640625" style="142"/>
    <col min="39" max="39" width="11" style="142" bestFit="1" customWidth="1"/>
    <col min="40" max="16384" width="9.6640625" style="142"/>
  </cols>
  <sheetData>
    <row r="1" spans="1:44" ht="15.75" customHeight="1">
      <c r="A1" s="1"/>
      <c r="B1" s="645" t="s">
        <v>1592</v>
      </c>
      <c r="C1" s="1"/>
      <c r="D1" s="1"/>
      <c r="E1" s="287"/>
      <c r="F1" s="287"/>
      <c r="G1" s="287"/>
      <c r="H1" s="287"/>
      <c r="I1" s="466"/>
      <c r="J1" s="466"/>
      <c r="K1" s="466"/>
      <c r="L1" s="468"/>
      <c r="M1"/>
      <c r="N1"/>
      <c r="O1" s="466"/>
      <c r="P1" s="466"/>
      <c r="Q1" s="1"/>
      <c r="R1" s="1"/>
      <c r="S1" s="1"/>
      <c r="T1" s="1"/>
      <c r="U1" s="1"/>
      <c r="V1" s="1"/>
      <c r="W1" s="1"/>
      <c r="X1" s="1"/>
      <c r="Y1" s="1"/>
      <c r="Z1" s="1"/>
      <c r="AA1" s="1"/>
      <c r="AB1" s="1"/>
      <c r="AC1" s="1"/>
      <c r="AD1" s="1"/>
      <c r="AE1" s="1"/>
      <c r="AF1" s="1"/>
      <c r="AG1" s="1"/>
      <c r="AH1" s="1"/>
      <c r="AI1" s="1"/>
      <c r="AJ1" s="1"/>
      <c r="AK1" s="1"/>
      <c r="AL1" s="1"/>
      <c r="AM1" s="43"/>
      <c r="AN1" s="43"/>
      <c r="AO1" s="43"/>
      <c r="AP1" s="43"/>
      <c r="AQ1" s="43"/>
      <c r="AR1" s="43"/>
    </row>
    <row r="2" spans="1:44" ht="11.25" customHeight="1">
      <c r="A2" s="1"/>
      <c r="B2" s="637" t="s">
        <v>1593</v>
      </c>
      <c r="C2" s="1"/>
      <c r="D2" s="1"/>
      <c r="E2" s="287"/>
      <c r="F2" s="287"/>
      <c r="G2" s="287"/>
      <c r="H2" s="287"/>
      <c r="I2" s="466"/>
      <c r="J2" s="466"/>
      <c r="K2" s="466"/>
      <c r="L2" s="468"/>
      <c r="M2"/>
      <c r="N2"/>
      <c r="O2" s="466"/>
      <c r="P2" s="466"/>
      <c r="Q2" s="638"/>
      <c r="R2" s="1"/>
      <c r="S2" s="1"/>
      <c r="T2" s="1"/>
      <c r="U2" s="1"/>
      <c r="V2" s="1"/>
      <c r="W2" s="1"/>
      <c r="X2" s="1"/>
      <c r="Y2" s="1"/>
      <c r="Z2" s="1"/>
      <c r="AA2" s="1"/>
      <c r="AB2" s="1"/>
      <c r="AC2" s="1"/>
      <c r="AD2" s="1"/>
      <c r="AE2" s="1"/>
      <c r="AF2" s="1"/>
      <c r="AG2" s="1"/>
      <c r="AH2" s="1"/>
      <c r="AI2" s="1"/>
      <c r="AJ2" s="1"/>
      <c r="AK2" s="1"/>
      <c r="AL2" s="1"/>
      <c r="AM2" s="43"/>
      <c r="AN2" s="43"/>
      <c r="AO2" s="43"/>
      <c r="AP2" s="43"/>
      <c r="AQ2" s="43"/>
      <c r="AR2" s="43"/>
    </row>
    <row r="3" spans="1:44" ht="12.95">
      <c r="A3" s="1"/>
      <c r="B3" s="639" t="s">
        <v>1594</v>
      </c>
      <c r="C3" s="1"/>
      <c r="D3" s="1"/>
      <c r="E3" s="287"/>
      <c r="F3" s="287"/>
      <c r="G3" s="287"/>
      <c r="H3" s="287"/>
      <c r="I3" s="466"/>
      <c r="J3" s="466"/>
      <c r="K3" s="466"/>
      <c r="L3" s="468"/>
      <c r="M3" s="1141"/>
      <c r="N3" s="640" t="s">
        <v>1595</v>
      </c>
      <c r="O3" s="466"/>
      <c r="P3" s="466"/>
      <c r="Q3" s="1"/>
      <c r="R3" s="1"/>
      <c r="S3" s="1"/>
      <c r="T3" s="1"/>
      <c r="U3" s="1"/>
      <c r="V3" s="1"/>
      <c r="W3" s="1"/>
      <c r="X3" s="1"/>
      <c r="Y3" s="1"/>
      <c r="Z3" s="1"/>
      <c r="AA3" s="1"/>
      <c r="AB3" s="1"/>
      <c r="AC3" s="1"/>
      <c r="AD3" s="1"/>
      <c r="AE3" s="1"/>
      <c r="AF3" s="1"/>
      <c r="AG3" s="1"/>
      <c r="AH3" s="1"/>
      <c r="AI3" s="1"/>
      <c r="AJ3" s="1"/>
      <c r="AK3" s="1"/>
      <c r="AL3" s="1"/>
      <c r="AM3" s="43"/>
      <c r="AN3" s="43"/>
      <c r="AO3" s="43"/>
      <c r="AP3" s="43"/>
      <c r="AQ3" s="43"/>
      <c r="AR3" s="43"/>
    </row>
    <row r="4" spans="1:44" ht="12.95">
      <c r="A4" s="1"/>
      <c r="B4" s="1142"/>
      <c r="C4" s="5"/>
      <c r="D4" s="1"/>
      <c r="E4" s="287"/>
      <c r="F4" s="287"/>
      <c r="G4" s="287"/>
      <c r="H4" s="287"/>
      <c r="I4" s="466"/>
      <c r="J4" s="466"/>
      <c r="K4" s="466"/>
      <c r="L4" s="468"/>
      <c r="N4" s="43"/>
      <c r="O4" s="466"/>
      <c r="P4" s="466"/>
      <c r="Q4" s="1"/>
      <c r="R4" s="1"/>
      <c r="S4" s="1"/>
      <c r="T4" s="1"/>
      <c r="U4" s="1"/>
      <c r="V4" s="1"/>
      <c r="W4" s="1"/>
      <c r="X4" s="1"/>
      <c r="Y4" s="1"/>
      <c r="Z4" s="1"/>
      <c r="AA4" s="1"/>
      <c r="AB4" s="1"/>
      <c r="AC4" s="1"/>
      <c r="AD4" s="1"/>
      <c r="AE4" s="1"/>
      <c r="AF4" s="1"/>
      <c r="AG4" s="1"/>
      <c r="AH4" s="1"/>
      <c r="AI4" s="1"/>
      <c r="AJ4" s="1"/>
      <c r="AK4" s="1"/>
      <c r="AL4" s="1"/>
      <c r="AM4" s="43"/>
      <c r="AN4" s="43"/>
      <c r="AO4" s="43"/>
      <c r="AP4" s="43"/>
      <c r="AQ4" s="43"/>
      <c r="AR4" s="43"/>
    </row>
    <row r="5" spans="1:44" s="144" customFormat="1" ht="12.95">
      <c r="A5" s="1"/>
      <c r="B5" s="456">
        <v>1</v>
      </c>
      <c r="C5" s="457" t="s">
        <v>1596</v>
      </c>
      <c r="D5" s="4"/>
      <c r="E5" s="23">
        <v>1990</v>
      </c>
      <c r="F5" s="23">
        <v>1991</v>
      </c>
      <c r="G5" s="23">
        <v>1992</v>
      </c>
      <c r="H5" s="23">
        <v>1993</v>
      </c>
      <c r="I5" s="454">
        <v>1994</v>
      </c>
      <c r="J5" s="454">
        <v>1995</v>
      </c>
      <c r="K5" s="454">
        <v>1996</v>
      </c>
      <c r="L5" s="454">
        <v>1997</v>
      </c>
      <c r="M5" s="454">
        <v>1998</v>
      </c>
      <c r="N5" s="454">
        <v>1999</v>
      </c>
      <c r="O5" s="454">
        <v>2000</v>
      </c>
      <c r="P5" s="454">
        <v>2001</v>
      </c>
      <c r="Q5" s="454">
        <v>2002</v>
      </c>
      <c r="R5" s="454">
        <v>2003</v>
      </c>
      <c r="S5" s="454">
        <v>2004</v>
      </c>
      <c r="T5" s="454">
        <v>2005</v>
      </c>
      <c r="U5" s="454">
        <v>2006</v>
      </c>
      <c r="V5" s="454">
        <v>2007</v>
      </c>
      <c r="W5" s="454">
        <v>2008</v>
      </c>
      <c r="X5" s="454">
        <v>2009</v>
      </c>
      <c r="Y5" s="454">
        <v>2010</v>
      </c>
      <c r="Z5" s="454">
        <v>2011</v>
      </c>
      <c r="AA5" s="454">
        <v>2012</v>
      </c>
      <c r="AB5" s="454">
        <v>2013</v>
      </c>
      <c r="AC5" s="454">
        <v>2014</v>
      </c>
      <c r="AD5" s="454">
        <v>2015</v>
      </c>
      <c r="AE5" s="454">
        <v>2016</v>
      </c>
      <c r="AF5" s="454">
        <v>2017</v>
      </c>
      <c r="AG5" s="454">
        <v>2018</v>
      </c>
      <c r="AH5" s="454">
        <v>2019</v>
      </c>
      <c r="AI5" s="454">
        <v>2020</v>
      </c>
      <c r="AJ5" s="454">
        <v>2021</v>
      </c>
      <c r="AK5" s="454">
        <v>2022</v>
      </c>
      <c r="AL5" s="646" t="s">
        <v>1597</v>
      </c>
      <c r="AM5"/>
      <c r="AN5"/>
      <c r="AO5"/>
      <c r="AP5"/>
      <c r="AQ5"/>
      <c r="AR5"/>
    </row>
    <row r="6" spans="1:44" ht="12.95">
      <c r="A6" s="1"/>
      <c r="B6" s="456">
        <f t="shared" ref="B6:B55" si="0">B5+1</f>
        <v>2</v>
      </c>
      <c r="C6" s="458" t="s">
        <v>1434</v>
      </c>
      <c r="D6" s="4"/>
      <c r="E6" s="462">
        <f>SUM(E7:E11)</f>
        <v>5893.3345404395423</v>
      </c>
      <c r="F6" s="462">
        <f t="shared" ref="F6:W6" si="1">SUM(F7:F11)</f>
        <v>6074.5307159096692</v>
      </c>
      <c r="G6" s="462">
        <f t="shared" si="1"/>
        <v>6196.474555088912</v>
      </c>
      <c r="H6" s="462">
        <f t="shared" si="1"/>
        <v>6433.0802409075968</v>
      </c>
      <c r="I6" s="462">
        <f t="shared" si="1"/>
        <v>6284.3906598920257</v>
      </c>
      <c r="J6" s="462">
        <f t="shared" si="1"/>
        <v>6230.9598536056774</v>
      </c>
      <c r="K6" s="462">
        <f t="shared" si="1"/>
        <v>6765.9843240227747</v>
      </c>
      <c r="L6" s="462">
        <f t="shared" si="1"/>
        <v>6440.9104289960051</v>
      </c>
      <c r="M6" s="462">
        <f t="shared" si="1"/>
        <v>5863.1331198696553</v>
      </c>
      <c r="N6" s="462">
        <f t="shared" si="1"/>
        <v>6189.1115367682578</v>
      </c>
      <c r="O6" s="462">
        <f t="shared" si="1"/>
        <v>6541.3833985358306</v>
      </c>
      <c r="P6" s="462">
        <f t="shared" si="1"/>
        <v>6361.4826877685618</v>
      </c>
      <c r="Q6" s="462">
        <f t="shared" si="1"/>
        <v>6363.3029860058978</v>
      </c>
      <c r="R6" s="462">
        <f t="shared" si="1"/>
        <v>6684.8429471630061</v>
      </c>
      <c r="S6" s="462">
        <f t="shared" si="1"/>
        <v>6462.670534732657</v>
      </c>
      <c r="T6" s="462">
        <f t="shared" si="1"/>
        <v>6317.3539051394182</v>
      </c>
      <c r="U6" s="462">
        <f t="shared" si="1"/>
        <v>5667.8487971365048</v>
      </c>
      <c r="V6" s="462">
        <f t="shared" si="1"/>
        <v>6035.90136623739</v>
      </c>
      <c r="W6" s="462">
        <f t="shared" si="1"/>
        <v>6190.8500883082324</v>
      </c>
      <c r="X6" s="462">
        <f t="shared" ref="X6:AC6" si="2">SUM(X7:X11)</f>
        <v>6003.3061494952344</v>
      </c>
      <c r="Y6" s="462">
        <f t="shared" si="2"/>
        <v>5977.9624798329269</v>
      </c>
      <c r="Z6" s="462">
        <f t="shared" si="2"/>
        <v>5840.9159037068757</v>
      </c>
      <c r="AA6" s="462">
        <f t="shared" si="2"/>
        <v>5076.9379758204132</v>
      </c>
      <c r="AB6" s="462">
        <f t="shared" si="2"/>
        <v>5941.8656153366228</v>
      </c>
      <c r="AC6" s="462">
        <f t="shared" si="2"/>
        <v>6248.3324064308645</v>
      </c>
      <c r="AD6" s="462">
        <f>SUM(AD7:AD11)</f>
        <v>5720.0479567126322</v>
      </c>
      <c r="AE6" s="462">
        <f>SUM(AE7:AE11)</f>
        <v>5310.7299073319891</v>
      </c>
      <c r="AF6" s="462">
        <f>SUM(AF7:AF11)</f>
        <v>5337.1170504766342</v>
      </c>
      <c r="AG6" s="462">
        <f t="shared" ref="AG6:AH6" si="3">SUM(AG7:AG11)</f>
        <v>6129.8707247370457</v>
      </c>
      <c r="AH6" s="462">
        <f t="shared" si="3"/>
        <v>6203.3515340032218</v>
      </c>
      <c r="AI6" s="462">
        <f t="shared" ref="AI6:AJ6" si="4">SUM(AI7:AI11)</f>
        <v>5709.2610667624804</v>
      </c>
      <c r="AJ6" s="462">
        <f t="shared" si="4"/>
        <v>5763.6603411342594</v>
      </c>
      <c r="AK6" s="462">
        <f t="shared" ref="AK6" si="5">SUM(AK7:AK11)</f>
        <v>6038.3386301349019</v>
      </c>
      <c r="AL6" s="57">
        <f>IFERROR((AK6-AJ6)/AJ6, "NA")</f>
        <v>4.7656918128972742E-2</v>
      </c>
      <c r="AM6" s="43"/>
      <c r="AN6"/>
      <c r="AO6"/>
      <c r="AP6"/>
      <c r="AQ6"/>
      <c r="AR6"/>
    </row>
    <row r="7" spans="1:44" s="145" customFormat="1" ht="12.95">
      <c r="A7" s="1"/>
      <c r="B7" s="456">
        <f t="shared" si="0"/>
        <v>3</v>
      </c>
      <c r="C7" s="1"/>
      <c r="D7" s="45" t="s">
        <v>1435</v>
      </c>
      <c r="E7" s="532">
        <f>'[7]EIA_Output QBtu'!G$8/TbtuToQBtu</f>
        <v>31.113999999999997</v>
      </c>
      <c r="F7" s="532">
        <f>'[7]EIA_Output QBtu'!H$8/TbtuToQBtu</f>
        <v>25.354999999999997</v>
      </c>
      <c r="G7" s="532">
        <f>'[7]EIA_Output QBtu'!I$8/TbtuToQBtu</f>
        <v>25.588999999999995</v>
      </c>
      <c r="H7" s="532">
        <f>'[7]EIA_Output QBtu'!J$8/TbtuToQBtu</f>
        <v>25.748999999999999</v>
      </c>
      <c r="I7" s="532">
        <f>'[7]EIA_Output QBtu'!K$8/TbtuToQBtu</f>
        <v>20.844999999999999</v>
      </c>
      <c r="J7" s="532">
        <f>'[7]EIA_Output QBtu'!L$8/TbtuToQBtu</f>
        <v>17.451000000000001</v>
      </c>
      <c r="K7" s="532">
        <f>'[7]EIA_Output QBtu'!M$8/TbtuToQBtu</f>
        <v>16.583999999999996</v>
      </c>
      <c r="L7" s="532">
        <f>'[7]EIA_Output QBtu'!N$8/TbtuToQBtu</f>
        <v>15.991999999999999</v>
      </c>
      <c r="M7" s="532">
        <f>'[7]EIA_Output QBtu'!O$8/TbtuToQBtu</f>
        <v>11.547999999999998</v>
      </c>
      <c r="N7" s="532">
        <f>'[7]EIA_Output QBtu'!P$8/TbtuToQBtu</f>
        <v>13.981</v>
      </c>
      <c r="O7" s="532">
        <f>'[7]EIA_Output QBtu'!Q$8/TbtuToQBtu</f>
        <v>11.358000000000001</v>
      </c>
      <c r="P7" s="532">
        <f>'[7]EIA_Output QBtu'!R$8/TbtuToQBtu</f>
        <v>11.971</v>
      </c>
      <c r="Q7" s="532">
        <f>'[7]EIA_Output QBtu'!S$8/TbtuToQBtu</f>
        <v>12.247999999999998</v>
      </c>
      <c r="R7" s="532">
        <f>'[7]EIA_Output QBtu'!T$8/TbtuToQBtu</f>
        <v>12.246999999999998</v>
      </c>
      <c r="S7" s="532">
        <f>'[7]EIA_Output QBtu'!U$8/TbtuToQBtu</f>
        <v>11.433999999999999</v>
      </c>
      <c r="T7" s="532">
        <f>'[7]EIA_Output QBtu'!V$8/TbtuToQBtu</f>
        <v>8.4350000000000005</v>
      </c>
      <c r="U7" s="532">
        <f>'[7]EIA_Output QBtu'!W$8/TbtuToQBtu</f>
        <v>6.4080000000000004</v>
      </c>
      <c r="V7" s="532">
        <f>'[7]EIA_Output QBtu'!X$8/TbtuToQBtu</f>
        <v>7.782</v>
      </c>
      <c r="W7" s="532">
        <f>'[7]EIA_Output QBtu'!Y$8/TbtuToQBtu</f>
        <v>0</v>
      </c>
      <c r="X7" s="532">
        <f>'[7]EIA_Output QBtu'!Z$8/TbtuToQBtu</f>
        <v>0</v>
      </c>
      <c r="Y7" s="532">
        <f>'[7]EIA_Output QBtu'!AA$8/TbtuToQBtu</f>
        <v>0</v>
      </c>
      <c r="Z7" s="532">
        <f>'[7]EIA_Output QBtu'!AB$8/TbtuToQBtu</f>
        <v>0</v>
      </c>
      <c r="AA7" s="532">
        <f>'[7]EIA_Output QBtu'!AC$8/TbtuToQBtu</f>
        <v>0</v>
      </c>
      <c r="AB7" s="532">
        <f>'[7]EIA_Output QBtu'!AD$8/TbtuToQBtu</f>
        <v>0</v>
      </c>
      <c r="AC7" s="532">
        <f>'[7]EIA_Output QBtu'!AE$8/TbtuToQBtu</f>
        <v>0</v>
      </c>
      <c r="AD7" s="532">
        <f>'[7]EIA_Output QBtu'!AF$8/TbtuToQBtu</f>
        <v>0</v>
      </c>
      <c r="AE7" s="532">
        <f>'[7]EIA_Output QBtu'!AG$8/TbtuToQBtu</f>
        <v>0</v>
      </c>
      <c r="AF7" s="532">
        <f>'[7]EIA_Output QBtu'!AH$8/TbtuToQBtu</f>
        <v>0</v>
      </c>
      <c r="AG7" s="532">
        <f>'[7]EIA_Output QBtu'!AI$8/TbtuToQBtu</f>
        <v>0</v>
      </c>
      <c r="AH7" s="532">
        <f>'[7]EIA_Output QBtu'!AJ$8/TbtuToQBtu</f>
        <v>0</v>
      </c>
      <c r="AI7" s="532">
        <f>'[7]EIA_Output QBtu'!AK$8/TbtuToQBtu</f>
        <v>0</v>
      </c>
      <c r="AJ7" s="532">
        <f>'[7]EIA_Output QBtu'!AL$8/TbtuToQBtu</f>
        <v>0</v>
      </c>
      <c r="AK7" s="532">
        <f>'[7]EIA_Output QBtu'!AM$8/TbtuToQBtu</f>
        <v>0</v>
      </c>
      <c r="AL7" s="57" t="str">
        <f>IFERROR((AK7-AJ7)/AJ7, "NA")</f>
        <v>NA</v>
      </c>
      <c r="AM7"/>
      <c r="AN7"/>
      <c r="AO7"/>
      <c r="AP7"/>
    </row>
    <row r="8" spans="1:44" s="145" customFormat="1" ht="12.95">
      <c r="A8" s="1"/>
      <c r="B8" s="456">
        <f t="shared" si="0"/>
        <v>4</v>
      </c>
      <c r="C8" s="1"/>
      <c r="D8" s="45" t="s">
        <v>1439</v>
      </c>
      <c r="E8" s="532">
        <f>'[7]EIA_Output QBtu'!G$9/TbtuToQBtu</f>
        <v>4486.5529999999999</v>
      </c>
      <c r="F8" s="532">
        <f>'[7]EIA_Output QBtu'!H$9/TbtuToQBtu</f>
        <v>4667.223</v>
      </c>
      <c r="G8" s="532">
        <f>'[7]EIA_Output QBtu'!I$9/TbtuToQBtu</f>
        <v>4804.5809999999992</v>
      </c>
      <c r="H8" s="532">
        <f>'[7]EIA_Output QBtu'!J$9/TbtuToQBtu</f>
        <v>5058.3729999999996</v>
      </c>
      <c r="I8" s="532">
        <f>'[7]EIA_Output QBtu'!K$9/TbtuToQBtu</f>
        <v>4959.84</v>
      </c>
      <c r="J8" s="532">
        <f>'[7]EIA_Output QBtu'!L$9/TbtuToQBtu</f>
        <v>4954.1890000000003</v>
      </c>
      <c r="K8" s="532">
        <f>'[7]EIA_Output QBtu'!M$9/TbtuToQBtu</f>
        <v>5354.3890000000001</v>
      </c>
      <c r="L8" s="532">
        <f>'[7]EIA_Output QBtu'!N$9/TbtuToQBtu</f>
        <v>5092.9189999999999</v>
      </c>
      <c r="M8" s="532">
        <f>'[7]EIA_Output QBtu'!O$9/TbtuToQBtu</f>
        <v>4646.0870000000004</v>
      </c>
      <c r="N8" s="532">
        <f>'[7]EIA_Output QBtu'!P$9/TbtuToQBtu</f>
        <v>4834.8990000000003</v>
      </c>
      <c r="O8" s="532">
        <f>'[7]EIA_Output QBtu'!Q$9/TbtuToQBtu</f>
        <v>5104.5929999999989</v>
      </c>
      <c r="P8" s="532">
        <f>'[7]EIA_Output QBtu'!R$9/TbtuToQBtu</f>
        <v>4889.018</v>
      </c>
      <c r="Q8" s="532">
        <f>'[7]EIA_Output QBtu'!S$9/TbtuToQBtu</f>
        <v>4994.9939999999988</v>
      </c>
      <c r="R8" s="532">
        <f>'[7]EIA_Output QBtu'!T$9/TbtuToQBtu</f>
        <v>5209.4279999999999</v>
      </c>
      <c r="S8" s="532">
        <f>'[7]EIA_Output QBtu'!U$9/TbtuToQBtu</f>
        <v>4980.8310000000001</v>
      </c>
      <c r="T8" s="532">
        <f>'[7]EIA_Output QBtu'!V$9/TbtuToQBtu</f>
        <v>4946.3540000000003</v>
      </c>
      <c r="U8" s="532">
        <f>'[7]EIA_Output QBtu'!W$9/TbtuToQBtu</f>
        <v>4475.9129999999996</v>
      </c>
      <c r="V8" s="532">
        <f>'[7]EIA_Output QBtu'!X$9/TbtuToQBtu</f>
        <v>4835.4399999999996</v>
      </c>
      <c r="W8" s="532">
        <f>'[7]EIA_Output QBtu'!$Y9/TbtuToQBtu</f>
        <v>5010.0609999999997</v>
      </c>
      <c r="X8" s="532">
        <f>'[7]EIA_Output QBtu'!Z$9/TbtuToQBtu</f>
        <v>4883.1119999999992</v>
      </c>
      <c r="Y8" s="532">
        <f>'[7]EIA_Output QBtu'!AA$9/TbtuToQBtu</f>
        <v>4878.1109999999999</v>
      </c>
      <c r="Z8" s="532">
        <f>'[7]EIA_Output QBtu'!AB$9/TbtuToQBtu</f>
        <v>4804.5789999999997</v>
      </c>
      <c r="AA8" s="532">
        <f>'[7]EIA_Output QBtu'!AC$9/TbtuToQBtu</f>
        <v>4242.0940000000001</v>
      </c>
      <c r="AB8" s="532">
        <f>'[7]EIA_Output QBtu'!AD$9/TbtuToQBtu</f>
        <v>5022.9419999999991</v>
      </c>
      <c r="AC8" s="532">
        <f>'[7]EIA_Output QBtu'!AE$9/TbtuToQBtu</f>
        <v>5242.4830000000002</v>
      </c>
      <c r="AD8" s="532">
        <f>'[7]EIA_Output QBtu'!AF$9/TbtuToQBtu</f>
        <v>4776.9269999999997</v>
      </c>
      <c r="AE8" s="532">
        <f>'[7]EIA_Output QBtu'!AG$9/TbtuToQBtu</f>
        <v>4505.8440000000001</v>
      </c>
      <c r="AF8" s="532">
        <f>'[7]EIA_Output QBtu'!AH$9/TbtuToQBtu</f>
        <v>4563.4719999999998</v>
      </c>
      <c r="AG8" s="532">
        <f>'[7]EIA_Output QBtu'!AI$9/TbtuToQBtu</f>
        <v>5174.3940000000002</v>
      </c>
      <c r="AH8" s="532">
        <f>'[7]EIA_Output QBtu'!AJ$9/TbtuToQBtu</f>
        <v>5208.0320000000002</v>
      </c>
      <c r="AI8" s="532">
        <f>'[7]EIA_Output QBtu'!AK$9/TbtuToQBtu</f>
        <v>4845.6809999999996</v>
      </c>
      <c r="AJ8" s="532">
        <f>'[7]EIA_Output QBtu'!AL$9/TbtuToQBtu</f>
        <v>4888.8850000000002</v>
      </c>
      <c r="AK8" s="532">
        <f>'[7]EIA_Output QBtu'!AM$9/TbtuToQBtu</f>
        <v>5139.8580000000002</v>
      </c>
      <c r="AL8" s="57">
        <f t="shared" ref="AL8:AL64" si="6">IFERROR((AK8-AJ8)/AJ8, "NA")</f>
        <v>5.1335427198635257E-2</v>
      </c>
      <c r="AM8"/>
      <c r="AN8"/>
      <c r="AO8"/>
      <c r="AP8"/>
    </row>
    <row r="9" spans="1:44" s="145" customFormat="1" ht="12.95">
      <c r="A9" s="1"/>
      <c r="B9" s="456">
        <f t="shared" si="0"/>
        <v>5</v>
      </c>
      <c r="C9" s="1"/>
      <c r="D9" s="45" t="s">
        <v>1598</v>
      </c>
      <c r="E9" s="641">
        <f>[8]Summary!B$7</f>
        <v>959.16154043954384</v>
      </c>
      <c r="F9" s="641">
        <f>[8]Summary!C$7</f>
        <v>930.97471590967007</v>
      </c>
      <c r="G9" s="641">
        <f>[8]Summary!D$7</f>
        <v>931.40955508891352</v>
      </c>
      <c r="H9" s="641">
        <f>[8]Summary!E$7</f>
        <v>883.26424090759792</v>
      </c>
      <c r="I9" s="641">
        <f>[8]Summary!F$7</f>
        <v>854.60665989202562</v>
      </c>
      <c r="J9" s="641">
        <f>[8]Summary!G$7</f>
        <v>789.70185360567677</v>
      </c>
      <c r="K9" s="641">
        <f>[8]Summary!H$7</f>
        <v>836.88532402277406</v>
      </c>
      <c r="L9" s="641">
        <f>[8]Summary!I$7</f>
        <v>783.72642899600487</v>
      </c>
      <c r="M9" s="641">
        <f>[8]Summary!J$7</f>
        <v>672.74211986965486</v>
      </c>
      <c r="N9" s="641">
        <f>[8]Summary!K$7</f>
        <v>702.39853676825817</v>
      </c>
      <c r="O9" s="641">
        <f>[8]Summary!L$7</f>
        <v>775.2453985358319</v>
      </c>
      <c r="P9" s="641">
        <f>[8]Summary!M$7</f>
        <v>839.04168776856193</v>
      </c>
      <c r="Q9" s="641">
        <f>[8]Summary!N$7</f>
        <v>758.27598600589943</v>
      </c>
      <c r="R9" s="641">
        <f>[8]Summary!O$7</f>
        <v>847.67694716300514</v>
      </c>
      <c r="S9" s="641">
        <f>[8]Summary!P$7</f>
        <v>873.2335347326574</v>
      </c>
      <c r="T9" s="641">
        <f>[8]Summary!Q$7</f>
        <v>765.24090513941735</v>
      </c>
      <c r="U9" s="641">
        <f>[8]Summary!R$7</f>
        <v>673.07179713650589</v>
      </c>
      <c r="V9" s="641">
        <f>[8]Summary!S$7</f>
        <v>664.48036623739097</v>
      </c>
      <c r="W9" s="641">
        <f>[8]Summary!T$7</f>
        <v>606.08208830823241</v>
      </c>
      <c r="X9" s="641">
        <f>[8]Summary!U$7</f>
        <v>544.72014949523475</v>
      </c>
      <c r="Y9" s="641">
        <f>[8]Summary!V$7</f>
        <v>540.9124798329276</v>
      </c>
      <c r="Z9" s="641">
        <f>[8]Summary!W$7</f>
        <v>525.19890370687642</v>
      </c>
      <c r="AA9" s="641">
        <f>[8]Summary!X$7</f>
        <v>431.55097582041327</v>
      </c>
      <c r="AB9" s="641">
        <f>[8]Summary!Y$7</f>
        <v>447.19061533662392</v>
      </c>
      <c r="AC9" s="641">
        <f>[8]Summary!Z$7</f>
        <v>502.57940643086511</v>
      </c>
      <c r="AD9" s="641">
        <f>[8]Summary!AA$7</f>
        <v>487.29495671263209</v>
      </c>
      <c r="AE9" s="641">
        <f>[8]Summary!AB$7</f>
        <v>361.34790733198992</v>
      </c>
      <c r="AF9" s="641">
        <f>[8]Summary!AC$7</f>
        <v>334.53205047663374</v>
      </c>
      <c r="AG9" s="641">
        <f>[8]Summary!AD$7</f>
        <v>440.68872473704488</v>
      </c>
      <c r="AH9" s="641">
        <f>[8]Summary!AE$7</f>
        <v>421.16053400322193</v>
      </c>
      <c r="AI9" s="641">
        <f>[8]Summary!AF$7</f>
        <v>357.81006676248023</v>
      </c>
      <c r="AJ9" s="641">
        <f>[8]Summary!AG$7</f>
        <v>381.23634113425965</v>
      </c>
      <c r="AK9" s="641">
        <f>[8]Summary!AH$7</f>
        <v>403.21663013490144</v>
      </c>
      <c r="AL9" s="57">
        <f t="shared" si="6"/>
        <v>5.7655282639754987E-2</v>
      </c>
      <c r="AM9"/>
      <c r="AN9"/>
      <c r="AO9"/>
      <c r="AP9"/>
    </row>
    <row r="10" spans="1:44" s="145" customFormat="1" ht="12.95">
      <c r="A10" s="1"/>
      <c r="B10" s="456">
        <f t="shared" si="0"/>
        <v>6</v>
      </c>
      <c r="C10" s="1"/>
      <c r="D10" s="45" t="s">
        <v>1599</v>
      </c>
      <c r="E10" s="532">
        <f>'[7]EIA_Output QBtu'!G$11/TbtuToQBtu</f>
        <v>63.908999999999992</v>
      </c>
      <c r="F10" s="532">
        <f>'[7]EIA_Output QBtu'!H$11/TbtuToQBtu</f>
        <v>72.34</v>
      </c>
      <c r="G10" s="532">
        <f>'[7]EIA_Output QBtu'!I$11/TbtuToQBtu</f>
        <v>65.004000000000005</v>
      </c>
      <c r="H10" s="532">
        <f>'[7]EIA_Output QBtu'!J$11/TbtuToQBtu</f>
        <v>75.614000000000004</v>
      </c>
      <c r="I10" s="532">
        <f>'[7]EIA_Output QBtu'!K$11/TbtuToQBtu</f>
        <v>64.923000000000002</v>
      </c>
      <c r="J10" s="532">
        <f>'[7]EIA_Output QBtu'!L$11/TbtuToQBtu</f>
        <v>74.295000000000002</v>
      </c>
      <c r="K10" s="532">
        <f>'[7]EIA_Output QBtu'!M$11/TbtuToQBtu</f>
        <v>88.781000000000006</v>
      </c>
      <c r="L10" s="532">
        <f>'[7]EIA_Output QBtu'!N$11/TbtuToQBtu</f>
        <v>92.882999999999996</v>
      </c>
      <c r="M10" s="532">
        <f>'[7]EIA_Output QBtu'!O$11/TbtuToQBtu</f>
        <v>108.31699999999999</v>
      </c>
      <c r="N10" s="532">
        <f>'[7]EIA_Output QBtu'!P$11/TbtuToQBtu</f>
        <v>111.164</v>
      </c>
      <c r="O10" s="532">
        <f>'[7]EIA_Output QBtu'!Q$11/TbtuToQBtu</f>
        <v>94.572000000000003</v>
      </c>
      <c r="P10" s="532">
        <f>'[7]EIA_Output QBtu'!R$11/TbtuToQBtu</f>
        <v>95.084999999999994</v>
      </c>
      <c r="Q10" s="532">
        <f>'[7]EIA_Output QBtu'!S$11/TbtuToQBtu</f>
        <v>59.936999999999998</v>
      </c>
      <c r="R10" s="532">
        <f>'[7]EIA_Output QBtu'!T$11/TbtuToQBtu</f>
        <v>70.301000000000002</v>
      </c>
      <c r="S10" s="532">
        <f>'[7]EIA_Output QBtu'!U$11/TbtuToQBtu</f>
        <v>84.759</v>
      </c>
      <c r="T10" s="532">
        <f>'[7]EIA_Output QBtu'!V$11/TbtuToQBtu</f>
        <v>83.804000000000002</v>
      </c>
      <c r="U10" s="532">
        <f>'[7]EIA_Output QBtu'!W$11/TbtuToQBtu</f>
        <v>66.350999999999985</v>
      </c>
      <c r="V10" s="532">
        <f>'[7]EIA_Output QBtu'!X$11/TbtuToQBtu</f>
        <v>43.917999999999999</v>
      </c>
      <c r="W10" s="532">
        <f>'[7]EIA_Output QBtu'!$Y11/TbtuToQBtu</f>
        <v>21.263000000000002</v>
      </c>
      <c r="X10" s="532">
        <f>'[7]EIA_Output QBtu'!Z$11/TbtuToQBtu</f>
        <v>27.693000000000001</v>
      </c>
      <c r="Y10" s="532">
        <f>'[7]EIA_Output QBtu'!AA$11/TbtuToQBtu</f>
        <v>29.104999999999997</v>
      </c>
      <c r="Z10" s="532">
        <f>'[7]EIA_Output QBtu'!AB$11/TbtuToQBtu</f>
        <v>18.526</v>
      </c>
      <c r="AA10" s="532">
        <f>'[7]EIA_Output QBtu'!AC$11/TbtuToQBtu</f>
        <v>7.7370000000000001</v>
      </c>
      <c r="AB10" s="532">
        <f>'[7]EIA_Output QBtu'!AD$11/TbtuToQBtu</f>
        <v>8.26</v>
      </c>
      <c r="AC10" s="532">
        <f>'[7]EIA_Output QBtu'!AE$11/TbtuToQBtu</f>
        <v>13.747999999999999</v>
      </c>
      <c r="AD10" s="532">
        <f>'[7]EIA_Output QBtu'!AF$11/TbtuToQBtu</f>
        <v>10.117000000000001</v>
      </c>
      <c r="AE10" s="532">
        <f>'[7]EIA_Output QBtu'!AG$11/TbtuToQBtu</f>
        <v>13.65</v>
      </c>
      <c r="AF10" s="532">
        <f>'[7]EIA_Output QBtu'!AH$11/TbtuToQBtu</f>
        <v>8.4120000000000008</v>
      </c>
      <c r="AG10" s="532">
        <f>'[7]EIA_Output QBtu'!AI$11/TbtuToQBtu</f>
        <v>8.2409999999999997</v>
      </c>
      <c r="AH10" s="532">
        <f>'[7]EIA_Output QBtu'!AJ$11/TbtuToQBtu</f>
        <v>10.754</v>
      </c>
      <c r="AI10" s="532">
        <f>'[7]EIA_Output QBtu'!AK$11/TbtuToQBtu</f>
        <v>10.836</v>
      </c>
      <c r="AJ10" s="532">
        <f>'[7]EIA_Output QBtu'!AL$11/TbtuToQBtu</f>
        <v>9.4090000000000007</v>
      </c>
      <c r="AK10" s="532">
        <f>'[7]EIA_Output QBtu'!AM$11/TbtuToQBtu</f>
        <v>8.3119999999999994</v>
      </c>
      <c r="AL10" s="57">
        <f t="shared" si="6"/>
        <v>-0.11659049845892244</v>
      </c>
      <c r="AM10"/>
      <c r="AN10"/>
      <c r="AO10"/>
      <c r="AP10"/>
    </row>
    <row r="11" spans="1:44" s="145" customFormat="1" ht="12.95">
      <c r="A11" s="1"/>
      <c r="B11" s="456">
        <f t="shared" si="0"/>
        <v>7</v>
      </c>
      <c r="C11" s="1"/>
      <c r="D11" s="45" t="s">
        <v>1600</v>
      </c>
      <c r="E11" s="532">
        <f>'[7]EIA_Output QBtu'!G$12/TbtuToQBtu</f>
        <v>352.59699999999998</v>
      </c>
      <c r="F11" s="532">
        <f>'[7]EIA_Output QBtu'!H$12/TbtuToQBtu</f>
        <v>378.63799999999998</v>
      </c>
      <c r="G11" s="532">
        <f>'[7]EIA_Output QBtu'!I$12/TbtuToQBtu</f>
        <v>369.89100000000002</v>
      </c>
      <c r="H11" s="532">
        <f>'[7]EIA_Output QBtu'!J$12/TbtuToQBtu</f>
        <v>390.08</v>
      </c>
      <c r="I11" s="532">
        <f>'[7]EIA_Output QBtu'!K$12/TbtuToQBtu</f>
        <v>384.17599999999993</v>
      </c>
      <c r="J11" s="532">
        <f>'[7]EIA_Output QBtu'!L$12/TbtuToQBtu</f>
        <v>395.32299999999998</v>
      </c>
      <c r="K11" s="532">
        <f>'[7]EIA_Output QBtu'!M$12/TbtuToQBtu</f>
        <v>469.34500000000003</v>
      </c>
      <c r="L11" s="532">
        <f>'[7]EIA_Output QBtu'!N$12/TbtuToQBtu</f>
        <v>455.38999999999993</v>
      </c>
      <c r="M11" s="532">
        <f>'[7]EIA_Output QBtu'!O$12/TbtuToQBtu</f>
        <v>424.43900000000002</v>
      </c>
      <c r="N11" s="532">
        <f>'[7]EIA_Output QBtu'!P$12/TbtuToQBtu</f>
        <v>526.66899999999998</v>
      </c>
      <c r="O11" s="532">
        <f>'[7]EIA_Output QBtu'!Q$12/TbtuToQBtu</f>
        <v>555.61500000000001</v>
      </c>
      <c r="P11" s="532">
        <f>'[7]EIA_Output QBtu'!R$12/TbtuToQBtu</f>
        <v>526.36699999999996</v>
      </c>
      <c r="Q11" s="532">
        <f>'[7]EIA_Output QBtu'!S$12/TbtuToQBtu</f>
        <v>537.84799999999996</v>
      </c>
      <c r="R11" s="532">
        <f>'[7]EIA_Output QBtu'!T$12/TbtuToQBtu</f>
        <v>545.19000000000005</v>
      </c>
      <c r="S11" s="532">
        <f>'[7]EIA_Output QBtu'!U$12/TbtuToQBtu</f>
        <v>512.41300000000001</v>
      </c>
      <c r="T11" s="532">
        <f>'[7]EIA_Output QBtu'!V$12/TbtuToQBtu</f>
        <v>513.52</v>
      </c>
      <c r="U11" s="532">
        <f>'[7]EIA_Output QBtu'!W$12/TbtuToQBtu</f>
        <v>446.10500000000002</v>
      </c>
      <c r="V11" s="532">
        <f>'[7]EIA_Output QBtu'!X$12/TbtuToQBtu</f>
        <v>484.28100000000001</v>
      </c>
      <c r="W11" s="532">
        <f>'[7]EIA_Output QBtu'!$Y12/TbtuToQBtu</f>
        <v>553.44399999999996</v>
      </c>
      <c r="X11" s="532">
        <f>'[7]EIA_Output QBtu'!Z$12/TbtuToQBtu</f>
        <v>547.78099999999995</v>
      </c>
      <c r="Y11" s="532">
        <f>'[7]EIA_Output QBtu'!AA$12/TbtuToQBtu</f>
        <v>529.83399999999995</v>
      </c>
      <c r="Z11" s="532">
        <f>'[7]EIA_Output QBtu'!AB$12/TbtuToQBtu</f>
        <v>492.61200000000002</v>
      </c>
      <c r="AA11" s="532">
        <f>'[7]EIA_Output QBtu'!AC$12/TbtuToQBtu</f>
        <v>395.55599999999998</v>
      </c>
      <c r="AB11" s="532">
        <f>'[7]EIA_Output QBtu'!AD$12/TbtuToQBtu</f>
        <v>463.47300000000001</v>
      </c>
      <c r="AC11" s="532">
        <f>'[7]EIA_Output QBtu'!AE$12/TbtuToQBtu</f>
        <v>489.52199999999999</v>
      </c>
      <c r="AD11" s="532">
        <f>'[7]EIA_Output QBtu'!AF$12/TbtuToQBtu</f>
        <v>445.709</v>
      </c>
      <c r="AE11" s="532">
        <f>'[7]EIA_Output QBtu'!AG$12/TbtuToQBtu</f>
        <v>429.88799999999998</v>
      </c>
      <c r="AF11" s="532">
        <f>'[7]EIA_Output QBtu'!AH$12/TbtuToQBtu</f>
        <v>430.70099999999996</v>
      </c>
      <c r="AG11" s="532">
        <f>'[7]EIA_Output QBtu'!AI$12/TbtuToQBtu</f>
        <v>506.54700000000008</v>
      </c>
      <c r="AH11" s="532">
        <f>'[7]EIA_Output QBtu'!AJ$12/TbtuToQBtu</f>
        <v>563.40499999999997</v>
      </c>
      <c r="AI11" s="532">
        <f>'[7]EIA_Output QBtu'!AK$12/TbtuToQBtu</f>
        <v>494.93400000000003</v>
      </c>
      <c r="AJ11" s="532">
        <f>'[7]EIA_Output QBtu'!AL$12/TbtuToQBtu</f>
        <v>484.13</v>
      </c>
      <c r="AK11" s="532">
        <f>'[7]EIA_Output QBtu'!AM$12/TbtuToQBtu</f>
        <v>486.952</v>
      </c>
      <c r="AL11" s="57">
        <f t="shared" si="6"/>
        <v>5.8290128684444316E-3</v>
      </c>
      <c r="AM11"/>
      <c r="AN11"/>
      <c r="AO11"/>
      <c r="AP11"/>
    </row>
    <row r="12" spans="1:44" ht="12.95">
      <c r="A12" s="1"/>
      <c r="B12" s="456">
        <f t="shared" si="0"/>
        <v>8</v>
      </c>
      <c r="C12" s="458" t="s">
        <v>1441</v>
      </c>
      <c r="D12" s="4"/>
      <c r="E12" s="462">
        <f t="shared" ref="E12:V12" si="7">SUM(E13:E21)</f>
        <v>3826.5304584610712</v>
      </c>
      <c r="F12" s="462">
        <f t="shared" si="7"/>
        <v>3922.4481333986005</v>
      </c>
      <c r="G12" s="462">
        <f t="shared" si="7"/>
        <v>3878.0988877250238</v>
      </c>
      <c r="H12" s="462">
        <f t="shared" si="7"/>
        <v>3822.0428901488208</v>
      </c>
      <c r="I12" s="462">
        <f t="shared" si="7"/>
        <v>3857.1843432377182</v>
      </c>
      <c r="J12" s="462">
        <f t="shared" si="7"/>
        <v>3936.8559134378102</v>
      </c>
      <c r="K12" s="462">
        <f t="shared" si="7"/>
        <v>4107.4791393430387</v>
      </c>
      <c r="L12" s="462">
        <f t="shared" si="7"/>
        <v>4127.0458451323493</v>
      </c>
      <c r="M12" s="462">
        <f t="shared" si="7"/>
        <v>3842.499007357449</v>
      </c>
      <c r="N12" s="462">
        <f t="shared" si="7"/>
        <v>3857.9613935117422</v>
      </c>
      <c r="O12" s="462">
        <f t="shared" si="7"/>
        <v>4110.1695246670033</v>
      </c>
      <c r="P12" s="462">
        <f t="shared" si="7"/>
        <v>3956.0440897241292</v>
      </c>
      <c r="Q12" s="462">
        <f t="shared" si="7"/>
        <v>3996.7902614225241</v>
      </c>
      <c r="R12" s="462">
        <f t="shared" si="7"/>
        <v>4166.0176905808939</v>
      </c>
      <c r="S12" s="462">
        <f t="shared" si="7"/>
        <v>4112.0283590578238</v>
      </c>
      <c r="T12" s="462">
        <f t="shared" si="7"/>
        <v>3928.9248056962624</v>
      </c>
      <c r="U12" s="462">
        <f t="shared" si="7"/>
        <v>3678.8476914177986</v>
      </c>
      <c r="V12" s="462">
        <f t="shared" si="7"/>
        <v>3882.9793106338352</v>
      </c>
      <c r="W12" s="462">
        <f t="shared" ref="W12:AC12" si="8">SUM(W13:W21)</f>
        <v>3988.5609096956837</v>
      </c>
      <c r="X12" s="462">
        <f t="shared" si="8"/>
        <v>3983.0636375768058</v>
      </c>
      <c r="Y12" s="462">
        <f t="shared" si="8"/>
        <v>3929.8087048315492</v>
      </c>
      <c r="Z12" s="462">
        <f t="shared" si="8"/>
        <v>3949.7241481314886</v>
      </c>
      <c r="AA12" s="462">
        <f t="shared" si="8"/>
        <v>3555.4284591634655</v>
      </c>
      <c r="AB12" s="462">
        <f t="shared" si="8"/>
        <v>4003.276362143155</v>
      </c>
      <c r="AC12" s="462">
        <f t="shared" si="8"/>
        <v>4171.9946318551638</v>
      </c>
      <c r="AD12" s="462">
        <f>SUM(AD13:AD21)</f>
        <v>4287.3651164133489</v>
      </c>
      <c r="AE12" s="462">
        <f>SUM(AE13:AE21)</f>
        <v>4085.9894477908783</v>
      </c>
      <c r="AF12" s="462">
        <f>SUM(AF13:AF21)</f>
        <v>4108.0357873369694</v>
      </c>
      <c r="AG12" s="462">
        <f t="shared" ref="AG12" si="9">SUM(AG13:AG21)</f>
        <v>4397.8168118950471</v>
      </c>
      <c r="AH12" s="462">
        <f>SUM(AH13:AH21)</f>
        <v>4479.3820781789418</v>
      </c>
      <c r="AI12" s="462">
        <f>SUM(AI13:AI21)</f>
        <v>4073.2220786778194</v>
      </c>
      <c r="AJ12" s="462">
        <f>SUM(AJ13:AJ21)</f>
        <v>4223.4979273942545</v>
      </c>
      <c r="AK12" s="462">
        <f>SUM(AK13:AK21)</f>
        <v>4380.2999640186226</v>
      </c>
      <c r="AL12" s="57">
        <f t="shared" si="6"/>
        <v>3.7126107155712358E-2</v>
      </c>
      <c r="AM12"/>
      <c r="AN12"/>
      <c r="AO12"/>
      <c r="AP12"/>
      <c r="AQ12"/>
      <c r="AR12"/>
    </row>
    <row r="13" spans="1:44" s="145" customFormat="1" ht="12.95">
      <c r="A13" s="1"/>
      <c r="B13" s="456">
        <f t="shared" si="0"/>
        <v>9</v>
      </c>
      <c r="C13" s="1"/>
      <c r="D13" s="45" t="s">
        <v>1435</v>
      </c>
      <c r="E13" s="532">
        <f>'[7]EIA_Output QBtu'!G$14/TbtuToQBtu</f>
        <v>124.45599999999999</v>
      </c>
      <c r="F13" s="532">
        <f>'[7]EIA_Output QBtu'!H$14/TbtuToQBtu</f>
        <v>115.505</v>
      </c>
      <c r="G13" s="532">
        <f>'[7]EIA_Output QBtu'!I$14/TbtuToQBtu</f>
        <v>116.57</v>
      </c>
      <c r="H13" s="532">
        <f>'[7]EIA_Output QBtu'!J$14/TbtuToQBtu</f>
        <v>117.30200000000001</v>
      </c>
      <c r="I13" s="532">
        <f>'[7]EIA_Output QBtu'!K$14/TbtuToQBtu</f>
        <v>118.119</v>
      </c>
      <c r="J13" s="532">
        <f>'[7]EIA_Output QBtu'!L$14/TbtuToQBtu</f>
        <v>116.788</v>
      </c>
      <c r="K13" s="532">
        <f>'[7]EIA_Output QBtu'!M$14/TbtuToQBtu</f>
        <v>121.613</v>
      </c>
      <c r="L13" s="532">
        <f>'[7]EIA_Output QBtu'!N$14/TbtuToQBtu</f>
        <v>129.39099999999996</v>
      </c>
      <c r="M13" s="532">
        <f>'[7]EIA_Output QBtu'!O$14/TbtuToQBtu</f>
        <v>93.436000000000007</v>
      </c>
      <c r="N13" s="532">
        <f>'[7]EIA_Output QBtu'!P$14/TbtuToQBtu</f>
        <v>102.524</v>
      </c>
      <c r="O13" s="532">
        <f>'[7]EIA_Output QBtu'!Q$14/TbtuToQBtu</f>
        <v>91.894999999999982</v>
      </c>
      <c r="P13" s="532">
        <f>'[7]EIA_Output QBtu'!R$14/TbtuToQBtu</f>
        <v>96.858000000000004</v>
      </c>
      <c r="Q13" s="532">
        <f>'[7]EIA_Output QBtu'!S$14/TbtuToQBtu</f>
        <v>89.82</v>
      </c>
      <c r="R13" s="532">
        <f>'[7]EIA_Output QBtu'!T$14/TbtuToQBtu</f>
        <v>81.962999999999994</v>
      </c>
      <c r="S13" s="532">
        <f>'[7]EIA_Output QBtu'!U$14/TbtuToQBtu</f>
        <v>102.904</v>
      </c>
      <c r="T13" s="532">
        <f>'[7]EIA_Output QBtu'!V$14/TbtuToQBtu</f>
        <v>96.998999999999995</v>
      </c>
      <c r="U13" s="532">
        <f>'[7]EIA_Output QBtu'!W$14/TbtuToQBtu</f>
        <v>64.789000000000001</v>
      </c>
      <c r="V13" s="532">
        <f>'[7]EIA_Output QBtu'!X$14/TbtuToQBtu</f>
        <v>70.034999999999997</v>
      </c>
      <c r="W13" s="532">
        <f>'[7]EIA_Output QBtu'!Y$14/TbtuToQBtu</f>
        <v>80.757000000000005</v>
      </c>
      <c r="X13" s="532">
        <f>'[7]EIA_Output QBtu'!Z$14/TbtuToQBtu</f>
        <v>73.35299999999998</v>
      </c>
      <c r="Y13" s="532">
        <f>'[7]EIA_Output QBtu'!AA$14/TbtuToQBtu</f>
        <v>69.653999999999996</v>
      </c>
      <c r="Z13" s="532">
        <f>'[7]EIA_Output QBtu'!AB$14/TbtuToQBtu</f>
        <v>61.715000000000003</v>
      </c>
      <c r="AA13" s="532">
        <f>'[7]EIA_Output QBtu'!AC$14/TbtuToQBtu</f>
        <v>43.552</v>
      </c>
      <c r="AB13" s="532">
        <f>'[7]EIA_Output QBtu'!AD$14/TbtuToQBtu</f>
        <v>41.427999999999997</v>
      </c>
      <c r="AC13" s="532">
        <f>'[7]EIA_Output QBtu'!AE$14/TbtuToQBtu</f>
        <v>40.204000000000001</v>
      </c>
      <c r="AD13" s="532">
        <f>'[7]EIA_Output QBtu'!AF$14/TbtuToQBtu</f>
        <v>31.119</v>
      </c>
      <c r="AE13" s="532">
        <f>'[7]EIA_Output QBtu'!AG$14/TbtuToQBtu</f>
        <v>23.745999999999999</v>
      </c>
      <c r="AF13" s="532">
        <f>'[7]EIA_Output QBtu'!AH$14/TbtuToQBtu</f>
        <v>20.657</v>
      </c>
      <c r="AG13" s="532">
        <f>'[7]EIA_Output QBtu'!AI$14/TbtuToQBtu</f>
        <v>18.721</v>
      </c>
      <c r="AH13" s="532">
        <f>'[7]EIA_Output QBtu'!AJ$14/TbtuToQBtu</f>
        <v>16.716000000000001</v>
      </c>
      <c r="AI13" s="532">
        <f>'[7]EIA_Output QBtu'!AK$14/TbtuToQBtu</f>
        <v>14.512</v>
      </c>
      <c r="AJ13" s="532">
        <f>'[7]EIA_Output QBtu'!AL$14/TbtuToQBtu</f>
        <v>14.914999999999999</v>
      </c>
      <c r="AK13" s="532">
        <f>'[7]EIA_Output QBtu'!AM$14/TbtuToQBtu</f>
        <v>14.461</v>
      </c>
      <c r="AL13" s="57">
        <f t="shared" si="6"/>
        <v>-3.0439155212872871E-2</v>
      </c>
      <c r="AM13"/>
      <c r="AN13"/>
      <c r="AO13"/>
      <c r="AP13"/>
    </row>
    <row r="14" spans="1:44" s="145" customFormat="1" ht="12.95">
      <c r="A14" s="1"/>
      <c r="B14" s="456">
        <f t="shared" si="0"/>
        <v>10</v>
      </c>
      <c r="C14" s="1"/>
      <c r="D14" s="45" t="s">
        <v>1439</v>
      </c>
      <c r="E14" s="532">
        <f>'[7]EIA_Output QBtu'!G$15/TbtuToQBtu</f>
        <v>2679.5970000000002</v>
      </c>
      <c r="F14" s="532">
        <f>'[7]EIA_Output QBtu'!H$15/TbtuToQBtu</f>
        <v>2795.4009999999998</v>
      </c>
      <c r="G14" s="532">
        <f>'[7]EIA_Output QBtu'!I$15/TbtuToQBtu</f>
        <v>2871.1860000000001</v>
      </c>
      <c r="H14" s="532">
        <f>'[7]EIA_Output QBtu'!J$15/TbtuToQBtu</f>
        <v>2920.4160000000002</v>
      </c>
      <c r="I14" s="532">
        <f>'[7]EIA_Output QBtu'!K$15/TbtuToQBtu</f>
        <v>2961.9810000000002</v>
      </c>
      <c r="J14" s="532">
        <f>'[7]EIA_Output QBtu'!L$15/TbtuToQBtu</f>
        <v>3095.989</v>
      </c>
      <c r="K14" s="532">
        <f>'[7]EIA_Output QBtu'!M$15/TbtuToQBtu</f>
        <v>3226.317</v>
      </c>
      <c r="L14" s="532">
        <f>'[7]EIA_Output QBtu'!N$15/TbtuToQBtu</f>
        <v>3285.32</v>
      </c>
      <c r="M14" s="532">
        <f>'[7]EIA_Output QBtu'!O$15/TbtuToQBtu</f>
        <v>3082.9749999999999</v>
      </c>
      <c r="N14" s="532">
        <f>'[7]EIA_Output QBtu'!P$15/TbtuToQBtu</f>
        <v>3115.0309999999999</v>
      </c>
      <c r="O14" s="532">
        <f>'[7]EIA_Output QBtu'!Q$15/TbtuToQBtu</f>
        <v>3251.5259999999998</v>
      </c>
      <c r="P14" s="532">
        <f>'[7]EIA_Output QBtu'!R$15/TbtuToQBtu</f>
        <v>3097.2620000000002</v>
      </c>
      <c r="Q14" s="532">
        <f>'[7]EIA_Output QBtu'!S$15/TbtuToQBtu</f>
        <v>3212.4560000000001</v>
      </c>
      <c r="R14" s="532">
        <f>'[7]EIA_Output QBtu'!T$15/TbtuToQBtu</f>
        <v>3260.9160000000002</v>
      </c>
      <c r="S14" s="532">
        <f>'[7]EIA_Output QBtu'!U$15/TbtuToQBtu</f>
        <v>3200.9720000000002</v>
      </c>
      <c r="T14" s="532">
        <f>'[7]EIA_Output QBtu'!V$15/TbtuToQBtu</f>
        <v>3073.2159999999999</v>
      </c>
      <c r="U14" s="532">
        <f>'[7]EIA_Output QBtu'!W$15/TbtuToQBtu</f>
        <v>2901.6869999999999</v>
      </c>
      <c r="V14" s="532">
        <f>'[7]EIA_Output QBtu'!X$15/TbtuToQBtu</f>
        <v>3085.0520000000001</v>
      </c>
      <c r="W14" s="532">
        <f>'[7]EIA_Output QBtu'!Y$15/TbtuToQBtu</f>
        <v>3228.4290000000001</v>
      </c>
      <c r="X14" s="532">
        <f>'[7]EIA_Output QBtu'!Z$15/TbtuToQBtu</f>
        <v>3186.5940000000001</v>
      </c>
      <c r="Y14" s="532">
        <f>'[7]EIA_Output QBtu'!AA$15/TbtuToQBtu</f>
        <v>3164.6779999999999</v>
      </c>
      <c r="Z14" s="532">
        <f>'[7]EIA_Output QBtu'!AB$15/TbtuToQBtu</f>
        <v>3216.1</v>
      </c>
      <c r="AA14" s="532">
        <f>'[7]EIA_Output QBtu'!AC$15/TbtuToQBtu</f>
        <v>2959.511</v>
      </c>
      <c r="AB14" s="532">
        <f>'[7]EIA_Output QBtu'!AD$15/TbtuToQBtu</f>
        <v>3379.7930000000001</v>
      </c>
      <c r="AC14" s="532">
        <f>'[7]EIA_Output QBtu'!AE$15/TbtuToQBtu</f>
        <v>3571.9250000000002</v>
      </c>
      <c r="AD14" s="532">
        <f>'[7]EIA_Output QBtu'!AF$15/TbtuToQBtu</f>
        <v>3315.5909999999999</v>
      </c>
      <c r="AE14" s="532">
        <f>'[7]EIA_Output QBtu'!AG$15/TbtuToQBtu</f>
        <v>3223.5169999999998</v>
      </c>
      <c r="AF14" s="532">
        <f>'[7]EIA_Output QBtu'!AH$15/TbtuToQBtu</f>
        <v>3272.8519999999999</v>
      </c>
      <c r="AG14" s="532">
        <f>'[7]EIA_Output QBtu'!AI$15/TbtuToQBtu</f>
        <v>3638.2959999999998</v>
      </c>
      <c r="AH14" s="532">
        <f>'[7]EIA_Output QBtu'!AJ$15/TbtuToQBtu</f>
        <v>3647.2860000000001</v>
      </c>
      <c r="AI14" s="532">
        <f>'[7]EIA_Output QBtu'!AK$15/TbtuToQBtu</f>
        <v>3278.5120000000002</v>
      </c>
      <c r="AJ14" s="532">
        <f>'[7]EIA_Output QBtu'!AL$15/TbtuToQBtu</f>
        <v>3409.1750000000002</v>
      </c>
      <c r="AK14" s="532">
        <f>'[7]EIA_Output QBtu'!AM$15/TbtuToQBtu</f>
        <v>3633.27</v>
      </c>
      <c r="AL14" s="57">
        <f t="shared" si="6"/>
        <v>6.5732911921505877E-2</v>
      </c>
      <c r="AM14"/>
      <c r="AN14"/>
      <c r="AO14"/>
      <c r="AP14"/>
    </row>
    <row r="15" spans="1:44" s="145" customFormat="1" ht="12.95">
      <c r="A15" s="1"/>
      <c r="B15" s="456">
        <f t="shared" si="0"/>
        <v>11</v>
      </c>
      <c r="C15" s="1"/>
      <c r="D15" s="45" t="s">
        <v>1598</v>
      </c>
      <c r="E15" s="641">
        <f>[8]Summary!B$8</f>
        <v>525.43995081801233</v>
      </c>
      <c r="F15" s="641">
        <f>[8]Summary!C$8</f>
        <v>517.70494422742649</v>
      </c>
      <c r="G15" s="641">
        <f>[8]Summary!D$8</f>
        <v>481.71058348560973</v>
      </c>
      <c r="H15" s="641">
        <f>[8]Summary!E$8</f>
        <v>447.19717596306373</v>
      </c>
      <c r="I15" s="641">
        <f>[8]Summary!F$8</f>
        <v>446.03916165181835</v>
      </c>
      <c r="J15" s="641">
        <f>[8]Summary!G$8</f>
        <v>417.98562278373203</v>
      </c>
      <c r="K15" s="641">
        <f>[8]Summary!H$8</f>
        <v>436.44150402945979</v>
      </c>
      <c r="L15" s="641">
        <f>[8]Summary!I$8</f>
        <v>397.77238150633514</v>
      </c>
      <c r="M15" s="641">
        <f>[8]Summary!J$8</f>
        <v>373.75037205267205</v>
      </c>
      <c r="N15" s="641">
        <f>[8]Summary!K$8</f>
        <v>372.04137646381236</v>
      </c>
      <c r="O15" s="641">
        <f>[8]Summary!L$8</f>
        <v>420.66424864464409</v>
      </c>
      <c r="P15" s="641">
        <f>[8]Summary!M$8</f>
        <v>469.58701469237423</v>
      </c>
      <c r="Q15" s="641">
        <f>[8]Summary!N$8</f>
        <v>391.63175094660932</v>
      </c>
      <c r="R15" s="641">
        <f>[8]Summary!O$8</f>
        <v>451.12756086985428</v>
      </c>
      <c r="S15" s="641">
        <f>[8]Summary!P$8</f>
        <v>444.57987796530313</v>
      </c>
      <c r="T15" s="641">
        <f>[8]Summary!Q$8</f>
        <v>400.8967257607481</v>
      </c>
      <c r="U15" s="641">
        <f>[8]Summary!R$8</f>
        <v>379.25393664619156</v>
      </c>
      <c r="V15" s="641">
        <f>[8]Summary!S$8</f>
        <v>351.34729659850325</v>
      </c>
      <c r="W15" s="641">
        <f>[8]Summary!T$8</f>
        <v>310.31916366685192</v>
      </c>
      <c r="X15" s="641">
        <f>[8]Summary!U$8</f>
        <v>369.69415191195827</v>
      </c>
      <c r="Y15" s="641">
        <f>[8]Summary!V$8</f>
        <v>376.84173758227683</v>
      </c>
      <c r="Z15" s="641">
        <f>[8]Summary!W$8</f>
        <v>393.32267709810907</v>
      </c>
      <c r="AA15" s="641">
        <f>[8]Summary!X$8</f>
        <v>317.76859578251867</v>
      </c>
      <c r="AB15" s="641">
        <f>[8]Summary!Y$8</f>
        <v>312.60620898365926</v>
      </c>
      <c r="AC15" s="641">
        <f>[8]Summary!Z$8</f>
        <v>336.18226738868799</v>
      </c>
      <c r="AD15" s="641">
        <f>[8]Summary!AA$8</f>
        <v>318.20990158373081</v>
      </c>
      <c r="AE15" s="641">
        <f>[8]Summary!AB$8</f>
        <v>271.09903494247459</v>
      </c>
      <c r="AF15" s="641">
        <f>[8]Summary!AC$8</f>
        <v>249.67562320316469</v>
      </c>
      <c r="AG15" s="641">
        <f>[8]Summary!AD$8</f>
        <v>280.49274187314353</v>
      </c>
      <c r="AH15" s="641">
        <f>[8]Summary!AE$8</f>
        <v>292.86392135374274</v>
      </c>
      <c r="AI15" s="641">
        <f>[8]Summary!AF$8</f>
        <v>242.11412010551922</v>
      </c>
      <c r="AJ15" s="641">
        <f>[8]Summary!AG$8</f>
        <v>264.13927112458236</v>
      </c>
      <c r="AK15" s="641">
        <f>[8]Summary!AH$8</f>
        <v>279.36831163385483</v>
      </c>
      <c r="AL15" s="57">
        <f>IFERROR((AK15-AJ15)/AJ15, "NA")</f>
        <v>5.7655343881408784E-2</v>
      </c>
      <c r="AM15"/>
      <c r="AN15"/>
      <c r="AO15"/>
      <c r="AP15"/>
    </row>
    <row r="16" spans="1:44" s="145" customFormat="1" ht="12.95">
      <c r="A16" s="1"/>
      <c r="B16" s="456">
        <f t="shared" si="0"/>
        <v>12</v>
      </c>
      <c r="C16" s="1"/>
      <c r="D16" s="45" t="s">
        <v>1599</v>
      </c>
      <c r="E16" s="532">
        <f>'[7]EIA_Output QBtu'!G$17/TbtuToQBtu</f>
        <v>11.834999999999999</v>
      </c>
      <c r="F16" s="532">
        <f>'[7]EIA_Output QBtu'!H$17/TbtuToQBtu</f>
        <v>12.087999999999999</v>
      </c>
      <c r="G16" s="532">
        <f>'[7]EIA_Output QBtu'!I$17/TbtuToQBtu</f>
        <v>11.124000000000001</v>
      </c>
      <c r="H16" s="532">
        <f>'[7]EIA_Output QBtu'!J$17/TbtuToQBtu</f>
        <v>14.039</v>
      </c>
      <c r="I16" s="532">
        <f>'[7]EIA_Output QBtu'!K$17/TbtuToQBtu</f>
        <v>19.459</v>
      </c>
      <c r="J16" s="532">
        <f>'[7]EIA_Output QBtu'!L$17/TbtuToQBtu</f>
        <v>22.102</v>
      </c>
      <c r="K16" s="532">
        <f>'[7]EIA_Output QBtu'!M$17/TbtuToQBtu</f>
        <v>21.031999999999996</v>
      </c>
      <c r="L16" s="532">
        <f>'[7]EIA_Output QBtu'!N$17/TbtuToQBtu</f>
        <v>24.645</v>
      </c>
      <c r="M16" s="532">
        <f>'[7]EIA_Output QBtu'!O$17/TbtuToQBtu</f>
        <v>31.149999999999995</v>
      </c>
      <c r="N16" s="532">
        <f>'[7]EIA_Output QBtu'!P$17/TbtuToQBtu</f>
        <v>26.943000000000001</v>
      </c>
      <c r="O16" s="532">
        <f>'[7]EIA_Output QBtu'!Q$17/TbtuToQBtu</f>
        <v>29.65</v>
      </c>
      <c r="P16" s="532">
        <f>'[7]EIA_Output QBtu'!R$17/TbtuToQBtu</f>
        <v>31.402999999999999</v>
      </c>
      <c r="Q16" s="532">
        <f>'[7]EIA_Output QBtu'!S$17/TbtuToQBtu</f>
        <v>15.949000000000002</v>
      </c>
      <c r="R16" s="532">
        <f>'[7]EIA_Output QBtu'!T$17/TbtuToQBtu</f>
        <v>18.635000000000002</v>
      </c>
      <c r="S16" s="532">
        <f>'[7]EIA_Output QBtu'!U$17/TbtuToQBtu</f>
        <v>20.493999999999996</v>
      </c>
      <c r="T16" s="532">
        <f>'[7]EIA_Output QBtu'!V$17/TbtuToQBtu</f>
        <v>21.593</v>
      </c>
      <c r="U16" s="532">
        <f>'[7]EIA_Output QBtu'!W$17/TbtuToQBtu</f>
        <v>15.172000000000001</v>
      </c>
      <c r="V16" s="532">
        <f>'[7]EIA_Output QBtu'!X$17/TbtuToQBtu</f>
        <v>9.1750000000000007</v>
      </c>
      <c r="W16" s="532">
        <f>'[7]EIA_Output QBtu'!Y$17/TbtuToQBtu</f>
        <v>4.4359999999999999</v>
      </c>
      <c r="X16" s="532">
        <f>'[7]EIA_Output QBtu'!Z$17/TbtuToQBtu</f>
        <v>4.2240000000000002</v>
      </c>
      <c r="Y16" s="532">
        <f>'[7]EIA_Output QBtu'!AA$17/TbtuToQBtu</f>
        <v>4.8220000000000001</v>
      </c>
      <c r="Z16" s="532">
        <f>'[7]EIA_Output QBtu'!AB$17/TbtuToQBtu</f>
        <v>3.1919999999999997</v>
      </c>
      <c r="AA16" s="532">
        <f>'[7]EIA_Output QBtu'!AC$17/TbtuToQBtu</f>
        <v>1.2030000000000001</v>
      </c>
      <c r="AB16" s="532">
        <f>'[7]EIA_Output QBtu'!AD$17/TbtuToQBtu</f>
        <v>1.018</v>
      </c>
      <c r="AC16" s="532">
        <f>'[7]EIA_Output QBtu'!AE$17/TbtuToQBtu</f>
        <v>2.04</v>
      </c>
      <c r="AD16" s="532">
        <f>'[7]EIA_Output QBtu'!AF$17/TbtuToQBtu</f>
        <v>1.371</v>
      </c>
      <c r="AE16" s="532">
        <f>'[7]EIA_Output QBtu'!AG$17/TbtuToQBtu</f>
        <v>2.077</v>
      </c>
      <c r="AF16" s="532">
        <f>'[7]EIA_Output QBtu'!AH$17/TbtuToQBtu</f>
        <v>1.1879999999999999</v>
      </c>
      <c r="AG16" s="532">
        <f>'[7]EIA_Output QBtu'!AI$17/TbtuToQBtu</f>
        <v>1.3369999999999997</v>
      </c>
      <c r="AH16" s="532">
        <f>'[7]EIA_Output QBtu'!AJ$17/TbtuToQBtu</f>
        <v>1.839</v>
      </c>
      <c r="AI16" s="532">
        <f>'[7]EIA_Output QBtu'!AK$17/TbtuToQBtu</f>
        <v>1.6930000000000001</v>
      </c>
      <c r="AJ16" s="532">
        <f>'[7]EIA_Output QBtu'!AL$17/TbtuToQBtu</f>
        <v>1.4370000000000001</v>
      </c>
      <c r="AK16" s="532">
        <f>'[7]EIA_Output QBtu'!AM$17/TbtuToQBtu</f>
        <v>1.27</v>
      </c>
      <c r="AL16" s="57">
        <f t="shared" si="6"/>
        <v>-0.11621433542101603</v>
      </c>
      <c r="AM16"/>
      <c r="AN16"/>
      <c r="AO16"/>
      <c r="AP16"/>
    </row>
    <row r="17" spans="1:44" s="145" customFormat="1" ht="12.95">
      <c r="A17" s="1"/>
      <c r="B17" s="456">
        <f t="shared" si="0"/>
        <v>13</v>
      </c>
      <c r="C17" s="1"/>
      <c r="D17" s="45" t="s">
        <v>1600</v>
      </c>
      <c r="E17" s="532">
        <f>'[7]EIA_Output QBtu'!G$18/TbtuToQBtu</f>
        <v>102.4</v>
      </c>
      <c r="F17" s="532">
        <f>'[7]EIA_Output QBtu'!H$18/TbtuToQBtu</f>
        <v>108.37</v>
      </c>
      <c r="G17" s="532">
        <f>'[7]EIA_Output QBtu'!I$18/TbtuToQBtu</f>
        <v>107.04600000000001</v>
      </c>
      <c r="H17" s="532">
        <f>'[7]EIA_Output QBtu'!J$18/TbtuToQBtu</f>
        <v>109.389</v>
      </c>
      <c r="I17" s="532">
        <f>'[7]EIA_Output QBtu'!K$18/TbtuToQBtu</f>
        <v>107.40300000000001</v>
      </c>
      <c r="J17" s="532">
        <f>'[7]EIA_Output QBtu'!L$18/TbtuToQBtu</f>
        <v>108.873</v>
      </c>
      <c r="K17" s="532">
        <f>'[7]EIA_Output QBtu'!M$18/TbtuToQBtu</f>
        <v>122.553</v>
      </c>
      <c r="L17" s="532">
        <f>'[7]EIA_Output QBtu'!N$18/TbtuToQBtu</f>
        <v>120.39700000000001</v>
      </c>
      <c r="M17" s="532">
        <f>'[7]EIA_Output QBtu'!O$18/TbtuToQBtu</f>
        <v>117.72299999999998</v>
      </c>
      <c r="N17" s="532">
        <f>'[7]EIA_Output QBtu'!P$18/TbtuToQBtu</f>
        <v>140.345</v>
      </c>
      <c r="O17" s="532">
        <f>'[7]EIA_Output QBtu'!Q$18/TbtuToQBtu</f>
        <v>150.58799999999999</v>
      </c>
      <c r="P17" s="532">
        <f>'[7]EIA_Output QBtu'!R$18/TbtuToQBtu</f>
        <v>142.863</v>
      </c>
      <c r="Q17" s="532">
        <f>'[7]EIA_Output QBtu'!S$18/TbtuToQBtu</f>
        <v>140.98099999999999</v>
      </c>
      <c r="R17" s="532">
        <f>'[7]EIA_Output QBtu'!T$18/TbtuToQBtu</f>
        <v>157.05799999999999</v>
      </c>
      <c r="S17" s="532">
        <f>'[7]EIA_Output QBtu'!U$18/TbtuToQBtu</f>
        <v>152.16800000000001</v>
      </c>
      <c r="T17" s="532">
        <f>'[7]EIA_Output QBtu'!V$18/TbtuToQBtu</f>
        <v>131.55600000000001</v>
      </c>
      <c r="U17" s="532">
        <f>'[7]EIA_Output QBtu'!W$18/TbtuToQBtu</f>
        <v>123.33099999999999</v>
      </c>
      <c r="V17" s="532">
        <f>'[7]EIA_Output QBtu'!X$18/TbtuToQBtu</f>
        <v>121.57299999999998</v>
      </c>
      <c r="W17" s="532">
        <f>'[7]EIA_Output QBtu'!Y$18/TbtuToQBtu</f>
        <v>158.18100000000001</v>
      </c>
      <c r="X17" s="532">
        <f>'[7]EIA_Output QBtu'!Z$18/TbtuToQBtu</f>
        <v>139.03299999999999</v>
      </c>
      <c r="Y17" s="532">
        <f>'[7]EIA_Output QBtu'!AA$18/TbtuToQBtu</f>
        <v>140.011</v>
      </c>
      <c r="Z17" s="532">
        <f>'[7]EIA_Output QBtu'!AB$18/TbtuToQBtu</f>
        <v>142.50899999999999</v>
      </c>
      <c r="AA17" s="532">
        <f>'[7]EIA_Output QBtu'!AC$18/TbtuToQBtu</f>
        <v>135.52500000000001</v>
      </c>
      <c r="AB17" s="532">
        <f>'[7]EIA_Output QBtu'!AD$18/TbtuToQBtu</f>
        <v>151.61699999999999</v>
      </c>
      <c r="AC17" s="532">
        <f>'[7]EIA_Output QBtu'!AE$18/TbtuToQBtu</f>
        <v>160.47300000000001</v>
      </c>
      <c r="AD17" s="532">
        <f>'[7]EIA_Output QBtu'!AF$18/TbtuToQBtu</f>
        <v>148.02799999999999</v>
      </c>
      <c r="AE17" s="532">
        <f>'[7]EIA_Output QBtu'!AG$18/TbtuToQBtu</f>
        <v>150.012</v>
      </c>
      <c r="AF17" s="532">
        <f>'[7]EIA_Output QBtu'!AH$18/TbtuToQBtu</f>
        <v>155.673</v>
      </c>
      <c r="AG17" s="532">
        <f>'[7]EIA_Output QBtu'!AI$18/TbtuToQBtu</f>
        <v>175.96600000000001</v>
      </c>
      <c r="AH17" s="532">
        <f>'[7]EIA_Output QBtu'!AJ$18/TbtuToQBtu</f>
        <v>182.02799999999999</v>
      </c>
      <c r="AI17" s="532">
        <f>'[7]EIA_Output QBtu'!AK$18/TbtuToQBtu</f>
        <v>201.04499999999996</v>
      </c>
      <c r="AJ17" s="532">
        <f>'[7]EIA_Output QBtu'!AL$18/TbtuToQBtu</f>
        <v>216.971</v>
      </c>
      <c r="AK17" s="532">
        <f>'[7]EIA_Output QBtu'!AM$18/TbtuToQBtu</f>
        <v>218.23599999999999</v>
      </c>
      <c r="AL17" s="57">
        <f t="shared" si="6"/>
        <v>5.8302722483649259E-3</v>
      </c>
      <c r="AM17"/>
      <c r="AN17"/>
      <c r="AO17"/>
      <c r="AP17"/>
    </row>
    <row r="18" spans="1:44" s="145" customFormat="1" ht="12.95">
      <c r="A18" s="1"/>
      <c r="B18" s="456">
        <f t="shared" si="0"/>
        <v>14</v>
      </c>
      <c r="C18" s="1"/>
      <c r="D18" s="45" t="s">
        <v>1601</v>
      </c>
      <c r="E18" s="641">
        <f>[8]Summary!B$31*10^3</f>
        <v>152.96050764305841</v>
      </c>
      <c r="F18" s="641">
        <f>[8]Summary!C$31*10^3</f>
        <v>161.45118917117387</v>
      </c>
      <c r="G18" s="641">
        <f>[8]Summary!D$31*10^3</f>
        <v>101.30830423941403</v>
      </c>
      <c r="H18" s="641">
        <f>[8]Summary!E$31*10^3</f>
        <v>40.827714185755994</v>
      </c>
      <c r="I18" s="641">
        <f>[8]Summary!F$31*10^3</f>
        <v>32.102181585899856</v>
      </c>
      <c r="J18" s="641">
        <f>[8]Summary!G$31*10^3</f>
        <v>33.511290654078138</v>
      </c>
      <c r="K18" s="641">
        <f>[8]Summary!H$31*10^3</f>
        <v>42.21763531357977</v>
      </c>
      <c r="L18" s="641">
        <f>[8]Summary!I$31*10^3</f>
        <v>58.145463626014312</v>
      </c>
      <c r="M18" s="641">
        <f>[8]Summary!J$31*10^3</f>
        <v>58.129635304776826</v>
      </c>
      <c r="N18" s="641">
        <f>[8]Summary!K$31*10^3</f>
        <v>27.655017047930102</v>
      </c>
      <c r="O18" s="641">
        <f>[8]Summary!L$31*10^3</f>
        <v>74.094276022359935</v>
      </c>
      <c r="P18" s="641">
        <f>[8]Summary!M$31*10^3</f>
        <v>48.024075031754613</v>
      </c>
      <c r="Q18" s="641">
        <f>[8]Summary!N$31*10^3</f>
        <v>65.907510475913895</v>
      </c>
      <c r="R18" s="641">
        <f>[8]Summary!O$31*10^3</f>
        <v>84.871129711039018</v>
      </c>
      <c r="S18" s="641">
        <f>[8]Summary!P$31*10^3</f>
        <v>68.15548109252012</v>
      </c>
      <c r="T18" s="641">
        <f>[8]Summary!Q$31*10^3</f>
        <v>88.571079935514064</v>
      </c>
      <c r="U18" s="641">
        <f>[8]Summary!R$31*10^3</f>
        <v>119.07375477160654</v>
      </c>
      <c r="V18" s="641">
        <f>[8]Summary!S$31*10^3</f>
        <v>170.05901403533215</v>
      </c>
      <c r="W18" s="641">
        <f>[8]Summary!T$31*10^3</f>
        <v>135.13574602883136</v>
      </c>
      <c r="X18" s="641">
        <f>[8]Summary!U$31*10^3</f>
        <v>138.63648566484724</v>
      </c>
      <c r="Y18" s="641">
        <f>[8]Summary!V$31*10^3</f>
        <v>111.76596724927209</v>
      </c>
      <c r="Z18" s="641">
        <f>[8]Summary!W$31*10^3</f>
        <v>78.957471033379463</v>
      </c>
      <c r="AA18" s="641">
        <f>[8]Summary!X$31*10^3</f>
        <v>66.110863380946256</v>
      </c>
      <c r="AB18" s="641">
        <f>[8]Summary!Y$31*10^3</f>
        <v>92.061153159495916</v>
      </c>
      <c r="AC18" s="641">
        <f>[8]Summary!Z$31*10^3</f>
        <v>52.706364466475023</v>
      </c>
      <c r="AD18" s="641">
        <f>[8]Summary!AA$31*10^3</f>
        <v>468.55321482961898</v>
      </c>
      <c r="AE18" s="641">
        <f>[8]Summary!AB$31*10^3</f>
        <v>410.80241284840372</v>
      </c>
      <c r="AF18" s="641">
        <f>[8]Summary!AC$31*10^3</f>
        <v>403.66216413380448</v>
      </c>
      <c r="AG18" s="641">
        <f>[8]Summary!AD$31*10^3</f>
        <v>279.54407002190311</v>
      </c>
      <c r="AH18" s="641">
        <f>[8]Summary!AE$31*10^3</f>
        <v>336.10215682519936</v>
      </c>
      <c r="AI18" s="641">
        <f>[8]Summary!AF$31*10^3</f>
        <v>332.89595857229904</v>
      </c>
      <c r="AJ18" s="641">
        <f>[8]Summary!AG$31*10^3</f>
        <v>313.5046562696723</v>
      </c>
      <c r="AK18" s="641">
        <f>[8]Summary!AH$31*10^3</f>
        <v>229.98565238476883</v>
      </c>
      <c r="AL18" s="57">
        <f t="shared" si="6"/>
        <v>-0.26640434907308552</v>
      </c>
      <c r="AM18"/>
      <c r="AN18"/>
      <c r="AO18"/>
      <c r="AP18"/>
    </row>
    <row r="19" spans="1:44" s="145" customFormat="1" ht="12.95">
      <c r="A19" s="1"/>
      <c r="B19" s="456">
        <f t="shared" si="0"/>
        <v>15</v>
      </c>
      <c r="C19" s="1"/>
      <c r="D19" s="45" t="s">
        <v>1602</v>
      </c>
      <c r="E19" s="532">
        <f>'[7]EIA_Output QBtu'!G$20/TbtuToQBtu</f>
        <v>229.84200000000001</v>
      </c>
      <c r="F19" s="532">
        <f>'[7]EIA_Output QBtu'!H$20/TbtuToQBtu</f>
        <v>211.928</v>
      </c>
      <c r="G19" s="532">
        <f>'[7]EIA_Output QBtu'!I$20/TbtuToQBtu</f>
        <v>189.08099999999999</v>
      </c>
      <c r="H19" s="532">
        <f>'[7]EIA_Output QBtu'!J$20/TbtuToQBtu</f>
        <v>172.71700000000001</v>
      </c>
      <c r="I19" s="532">
        <f>'[7]EIA_Output QBtu'!K$20/TbtuToQBtu</f>
        <v>171.946</v>
      </c>
      <c r="J19" s="532">
        <f>'[7]EIA_Output QBtu'!L$20/TbtuToQBtu</f>
        <v>141.48099999999999</v>
      </c>
      <c r="K19" s="532">
        <f>'[7]EIA_Output QBtu'!M$20/TbtuToQBtu</f>
        <v>137.191</v>
      </c>
      <c r="L19" s="532">
        <f>'[7]EIA_Output QBtu'!N$20/TbtuToQBtu</f>
        <v>111.242</v>
      </c>
      <c r="M19" s="532">
        <f>'[7]EIA_Output QBtu'!O$20/TbtuToQBtu</f>
        <v>85.209000000000003</v>
      </c>
      <c r="N19" s="532">
        <f>'[7]EIA_Output QBtu'!P$20/TbtuToQBtu</f>
        <v>73.302000000000007</v>
      </c>
      <c r="O19" s="532">
        <f>'[7]EIA_Output QBtu'!Q$20/TbtuToQBtu</f>
        <v>91.584000000000003</v>
      </c>
      <c r="P19" s="532">
        <f>'[7]EIA_Output QBtu'!R$20/TbtuToQBtu</f>
        <v>69.856999999999999</v>
      </c>
      <c r="Q19" s="532">
        <f>'[7]EIA_Output QBtu'!S$20/TbtuToQBtu</f>
        <v>79.801000000000002</v>
      </c>
      <c r="R19" s="532">
        <f>'[7]EIA_Output QBtu'!T$20/TbtuToQBtu</f>
        <v>111.119</v>
      </c>
      <c r="S19" s="532">
        <f>'[7]EIA_Output QBtu'!U$20/TbtuToQBtu</f>
        <v>122.492</v>
      </c>
      <c r="T19" s="532">
        <f>'[7]EIA_Output QBtu'!V$20/TbtuToQBtu</f>
        <v>115.82899999999998</v>
      </c>
      <c r="U19" s="532">
        <f>'[7]EIA_Output QBtu'!W$20/TbtuToQBtu</f>
        <v>75.262</v>
      </c>
      <c r="V19" s="532">
        <f>'[7]EIA_Output QBtu'!X$20/TbtuToQBtu</f>
        <v>75.388000000000005</v>
      </c>
      <c r="W19" s="532">
        <f>'[7]EIA_Output QBtu'!Y$20/TbtuToQBtu</f>
        <v>71.016000000000005</v>
      </c>
      <c r="X19" s="532">
        <f>'[7]EIA_Output QBtu'!Z$20/TbtuToQBtu</f>
        <v>71.28</v>
      </c>
      <c r="Y19" s="532">
        <f>'[7]EIA_Output QBtu'!AA$20/TbtuToQBtu</f>
        <v>61.689999999999991</v>
      </c>
      <c r="Z19" s="532">
        <f>'[7]EIA_Output QBtu'!AB$20/TbtuToQBtu</f>
        <v>53.746000000000002</v>
      </c>
      <c r="AA19" s="532">
        <f>'[7]EIA_Output QBtu'!AC$20/TbtuToQBtu</f>
        <v>31.396000000000001</v>
      </c>
      <c r="AB19" s="532">
        <f>'[7]EIA_Output QBtu'!AD$20/TbtuToQBtu</f>
        <v>24.402999999999999</v>
      </c>
      <c r="AC19" s="532">
        <f>'[7]EIA_Output QBtu'!AE$20/TbtuToQBtu</f>
        <v>7.9390000000000001</v>
      </c>
      <c r="AD19" s="532">
        <f>'[7]EIA_Output QBtu'!AF$20/TbtuToQBtu</f>
        <v>3.972</v>
      </c>
      <c r="AE19" s="532">
        <f>'[7]EIA_Output QBtu'!AG$20/TbtuToQBtu</f>
        <v>4.4390000000000001</v>
      </c>
      <c r="AF19" s="532">
        <f>'[7]EIA_Output QBtu'!AH$20/TbtuToQBtu</f>
        <v>3.8319999999999999</v>
      </c>
      <c r="AG19" s="532">
        <f>'[7]EIA_Output QBtu'!AI$20/TbtuToQBtu</f>
        <v>3.1059999999999999</v>
      </c>
      <c r="AH19" s="532">
        <f>'[7]EIA_Output QBtu'!AJ$20/TbtuToQBtu</f>
        <v>2.3370000000000002</v>
      </c>
      <c r="AI19" s="532">
        <f>'[7]EIA_Output QBtu'!AK$20/TbtuToQBtu</f>
        <v>2.3380000000000001</v>
      </c>
      <c r="AJ19" s="532">
        <f>'[7]EIA_Output QBtu'!AL$20/TbtuToQBtu</f>
        <v>3.1629999999999998</v>
      </c>
      <c r="AK19" s="532">
        <f>'[7]EIA_Output QBtu'!AM$20/TbtuToQBtu</f>
        <v>3.242</v>
      </c>
      <c r="AL19" s="57">
        <f t="shared" si="6"/>
        <v>2.4976288333860317E-2</v>
      </c>
      <c r="AM19"/>
      <c r="AN19"/>
      <c r="AO19"/>
      <c r="AP19"/>
    </row>
    <row r="20" spans="1:44" s="145" customFormat="1" ht="12.95">
      <c r="A20" s="1"/>
      <c r="B20" s="456">
        <f t="shared" si="0"/>
        <v>16</v>
      </c>
      <c r="C20" s="1"/>
      <c r="D20" s="45" t="s">
        <v>1603</v>
      </c>
      <c r="E20" s="464"/>
      <c r="F20" s="464"/>
      <c r="G20" s="464"/>
      <c r="H20" s="464"/>
      <c r="I20" s="464"/>
      <c r="J20" s="464"/>
      <c r="K20" s="464"/>
      <c r="L20" s="464"/>
      <c r="M20" s="464"/>
      <c r="N20" s="464"/>
      <c r="O20" s="464"/>
      <c r="P20" s="464"/>
      <c r="Q20" s="464"/>
      <c r="R20" s="464"/>
      <c r="S20" s="464"/>
      <c r="T20" s="464"/>
      <c r="U20" s="464"/>
      <c r="V20" s="464"/>
      <c r="W20" s="464"/>
      <c r="X20" s="464"/>
      <c r="Y20" s="464"/>
      <c r="Z20" s="464"/>
      <c r="AA20" s="464"/>
      <c r="AB20" s="464"/>
      <c r="AC20" s="464"/>
      <c r="AD20" s="464"/>
      <c r="AE20" s="464"/>
      <c r="AF20" s="464"/>
      <c r="AG20" s="464"/>
      <c r="AH20" s="464"/>
      <c r="AI20" s="464"/>
      <c r="AJ20" s="464"/>
      <c r="AK20" s="464"/>
      <c r="AL20" s="57"/>
      <c r="AM20"/>
      <c r="AN20"/>
      <c r="AO20"/>
      <c r="AP20"/>
    </row>
    <row r="21" spans="1:44" s="145" customFormat="1" ht="12.95">
      <c r="A21" s="1"/>
      <c r="B21" s="456">
        <f t="shared" si="0"/>
        <v>17</v>
      </c>
      <c r="C21" s="1"/>
      <c r="D21" s="7" t="s">
        <v>1604</v>
      </c>
      <c r="E21" s="532">
        <f>'[7]EIA_Output QBtu'!G$22/TbtuToQBtu</f>
        <v>0</v>
      </c>
      <c r="F21" s="532">
        <f>'[7]EIA_Output QBtu'!H$22/TbtuToQBtu</f>
        <v>0</v>
      </c>
      <c r="G21" s="532">
        <f>'[7]EIA_Output QBtu'!I$22/TbtuToQBtu</f>
        <v>7.2999999999999995E-2</v>
      </c>
      <c r="H21" s="532">
        <f>'[7]EIA_Output QBtu'!J$22/TbtuToQBtu</f>
        <v>0.155</v>
      </c>
      <c r="I21" s="532">
        <f>'[7]EIA_Output QBtu'!K$22/TbtuToQBtu</f>
        <v>0.13500000000000001</v>
      </c>
      <c r="J21" s="532">
        <f>'[7]EIA_Output QBtu'!L$22/TbtuToQBtu</f>
        <v>0.126</v>
      </c>
      <c r="K21" s="532">
        <f>'[7]EIA_Output QBtu'!M$22/TbtuToQBtu</f>
        <v>0.114</v>
      </c>
      <c r="L21" s="532">
        <f>'[7]EIA_Output QBtu'!N$22/TbtuToQBtu</f>
        <v>0.13300000000000001</v>
      </c>
      <c r="M21" s="532">
        <f>'[7]EIA_Output QBtu'!O$22/TbtuToQBtu</f>
        <v>0.126</v>
      </c>
      <c r="N21" s="532">
        <f>'[7]EIA_Output QBtu'!P$22/TbtuToQBtu</f>
        <v>0.11999999999999998</v>
      </c>
      <c r="O21" s="532">
        <f>'[7]EIA_Output QBtu'!Q$22/TbtuToQBtu</f>
        <v>0.16800000000000001</v>
      </c>
      <c r="P21" s="532">
        <f>'[7]EIA_Output QBtu'!R$22/TbtuToQBtu</f>
        <v>0.19</v>
      </c>
      <c r="Q21" s="532">
        <f>'[7]EIA_Output QBtu'!S$22/TbtuToQBtu</f>
        <v>0.24399999999999999</v>
      </c>
      <c r="R21" s="532">
        <f>'[7]EIA_Output QBtu'!T$22/TbtuToQBtu</f>
        <v>0.32800000000000001</v>
      </c>
      <c r="S21" s="532">
        <f>'[7]EIA_Output QBtu'!U$22/TbtuToQBtu</f>
        <v>0.26300000000000001</v>
      </c>
      <c r="T21" s="532">
        <f>'[7]EIA_Output QBtu'!V$22/TbtuToQBtu</f>
        <v>0.26400000000000001</v>
      </c>
      <c r="U21" s="532">
        <f>'[7]EIA_Output QBtu'!W$22/TbtuToQBtu</f>
        <v>0.27900000000000003</v>
      </c>
      <c r="V21" s="532">
        <f>'[7]EIA_Output QBtu'!X$22/TbtuToQBtu</f>
        <v>0.35</v>
      </c>
      <c r="W21" s="532">
        <f>'[7]EIA_Output QBtu'!Y$22/TbtuToQBtu</f>
        <v>0.28699999999999998</v>
      </c>
      <c r="X21" s="532">
        <f>'[7]EIA_Output QBtu'!Z$22/TbtuToQBtu</f>
        <v>0.24899999999999997</v>
      </c>
      <c r="Y21" s="532">
        <f>'[7]EIA_Output QBtu'!AA$22/TbtuToQBtu</f>
        <v>0.34599999999999992</v>
      </c>
      <c r="Z21" s="532">
        <f>'[7]EIA_Output QBtu'!AB$22/TbtuToQBtu</f>
        <v>0.182</v>
      </c>
      <c r="AA21" s="532">
        <f>'[7]EIA_Output QBtu'!AC$22/TbtuToQBtu</f>
        <v>0.36199999999999993</v>
      </c>
      <c r="AB21" s="532">
        <f>'[7]EIA_Output QBtu'!AD$22/TbtuToQBtu</f>
        <v>0.35</v>
      </c>
      <c r="AC21" s="532">
        <f>'[7]EIA_Output QBtu'!AE$22/TbtuToQBtu</f>
        <v>0.52500000000000002</v>
      </c>
      <c r="AD21" s="532">
        <f>'[7]EIA_Output QBtu'!AF$22/TbtuToQBtu</f>
        <v>0.52100000000000002</v>
      </c>
      <c r="AE21" s="532">
        <f>'[7]EIA_Output QBtu'!AG$22/TbtuToQBtu</f>
        <v>0.29699999999999999</v>
      </c>
      <c r="AF21" s="532">
        <f>'[7]EIA_Output QBtu'!AH$22/TbtuToQBtu</f>
        <v>0.496</v>
      </c>
      <c r="AG21" s="532">
        <f>'[7]EIA_Output QBtu'!AI$22/TbtuToQBtu</f>
        <v>0.35399999999999998</v>
      </c>
      <c r="AH21" s="532">
        <f>'[7]EIA_Output QBtu'!AJ$22/TbtuToQBtu</f>
        <v>0.20999999999999996</v>
      </c>
      <c r="AI21" s="532">
        <f>'[7]EIA_Output QBtu'!AK$22/TbtuToQBtu</f>
        <v>0.112</v>
      </c>
      <c r="AJ21" s="532">
        <f>'[7]EIA_Output QBtu'!AL$22/TbtuToQBtu</f>
        <v>0.193</v>
      </c>
      <c r="AK21" s="532">
        <f>'[7]EIA_Output QBtu'!AM$22/TbtuToQBtu</f>
        <v>0.46700000000000003</v>
      </c>
      <c r="AL21" s="57">
        <f t="shared" si="6"/>
        <v>1.4196891191709846</v>
      </c>
      <c r="AM21"/>
      <c r="AN21"/>
      <c r="AO21"/>
      <c r="AP21"/>
    </row>
    <row r="22" spans="1:44" ht="12.95">
      <c r="A22" s="1"/>
      <c r="B22" s="456">
        <f t="shared" si="0"/>
        <v>18</v>
      </c>
      <c r="C22" s="458" t="s">
        <v>1443</v>
      </c>
      <c r="D22" s="4"/>
      <c r="E22" s="462">
        <f t="shared" ref="E22:AK22" si="10">SUM(E23:E30,E31:E46)</f>
        <v>17963.642170784311</v>
      </c>
      <c r="F22" s="462">
        <f t="shared" si="10"/>
        <v>17891.127745874608</v>
      </c>
      <c r="G22" s="462">
        <f t="shared" si="10"/>
        <v>18463.315465580938</v>
      </c>
      <c r="H22" s="462">
        <f t="shared" si="10"/>
        <v>18487.641462691219</v>
      </c>
      <c r="I22" s="462">
        <f t="shared" si="10"/>
        <v>18790.932693354018</v>
      </c>
      <c r="J22" s="462">
        <f t="shared" si="10"/>
        <v>19146.001280976368</v>
      </c>
      <c r="K22" s="462">
        <f t="shared" si="10"/>
        <v>19547.7558784223</v>
      </c>
      <c r="L22" s="462">
        <f t="shared" si="10"/>
        <v>19756.983395204468</v>
      </c>
      <c r="M22" s="462">
        <f t="shared" si="10"/>
        <v>19653.919969433726</v>
      </c>
      <c r="N22" s="462">
        <f t="shared" si="10"/>
        <v>19224.172203821938</v>
      </c>
      <c r="O22" s="462">
        <f t="shared" si="10"/>
        <v>19384.528532196146</v>
      </c>
      <c r="P22" s="462">
        <f t="shared" si="10"/>
        <v>18595.835453530995</v>
      </c>
      <c r="Q22" s="462">
        <f t="shared" si="10"/>
        <v>18731.310484079571</v>
      </c>
      <c r="R22" s="462">
        <f t="shared" si="10"/>
        <v>18491.07729785534</v>
      </c>
      <c r="S22" s="462">
        <f t="shared" si="10"/>
        <v>19356.050013529119</v>
      </c>
      <c r="T22" s="462">
        <f t="shared" si="10"/>
        <v>18441.022877331397</v>
      </c>
      <c r="U22" s="462">
        <f t="shared" si="10"/>
        <v>18734.790657324102</v>
      </c>
      <c r="V22" s="462">
        <f t="shared" si="10"/>
        <v>18418.313138132249</v>
      </c>
      <c r="W22" s="462">
        <f t="shared" si="10"/>
        <v>17514.473725904987</v>
      </c>
      <c r="X22" s="462">
        <f t="shared" si="10"/>
        <v>16202.127316225782</v>
      </c>
      <c r="Y22" s="462">
        <f t="shared" si="10"/>
        <v>17122.244236535294</v>
      </c>
      <c r="Z22" s="462">
        <f t="shared" si="10"/>
        <v>17228.193690141357</v>
      </c>
      <c r="AA22" s="462">
        <f t="shared" si="10"/>
        <v>17371.15513818253</v>
      </c>
      <c r="AB22" s="462">
        <f t="shared" si="10"/>
        <v>18140.355413520188</v>
      </c>
      <c r="AC22" s="462">
        <f t="shared" si="10"/>
        <v>17920.588344912008</v>
      </c>
      <c r="AD22" s="462">
        <f t="shared" si="10"/>
        <v>17887.410276633844</v>
      </c>
      <c r="AE22" s="462">
        <f t="shared" si="10"/>
        <v>17980.899105226861</v>
      </c>
      <c r="AF22" s="462">
        <f t="shared" si="10"/>
        <v>18120.981657853095</v>
      </c>
      <c r="AG22" s="462">
        <f t="shared" si="10"/>
        <v>18996.792479671851</v>
      </c>
      <c r="AH22" s="462">
        <f t="shared" si="10"/>
        <v>18994.568096208783</v>
      </c>
      <c r="AI22" s="462">
        <f t="shared" si="10"/>
        <v>18283.617986050423</v>
      </c>
      <c r="AJ22" s="462">
        <f t="shared" si="10"/>
        <v>18840.709040731388</v>
      </c>
      <c r="AK22" s="462">
        <f t="shared" si="10"/>
        <v>19015.983945535234</v>
      </c>
      <c r="AL22" s="57">
        <f t="shared" si="6"/>
        <v>9.3029887795051773E-3</v>
      </c>
      <c r="AM22"/>
      <c r="AN22"/>
      <c r="AO22"/>
      <c r="AP22"/>
      <c r="AQ22"/>
      <c r="AR22"/>
    </row>
    <row r="23" spans="1:44" s="43" customFormat="1" ht="12.95">
      <c r="A23" s="1"/>
      <c r="B23" s="456">
        <f>B22+1</f>
        <v>19</v>
      </c>
      <c r="C23" s="1"/>
      <c r="D23" s="45" t="s">
        <v>1605</v>
      </c>
      <c r="E23" s="464">
        <f>E89</f>
        <v>0</v>
      </c>
      <c r="F23" s="464">
        <f t="shared" ref="F23:R23" si="11">F89</f>
        <v>0</v>
      </c>
      <c r="G23" s="464">
        <f t="shared" si="11"/>
        <v>0</v>
      </c>
      <c r="H23" s="464">
        <f t="shared" si="11"/>
        <v>0.99005191520268454</v>
      </c>
      <c r="I23" s="464">
        <f t="shared" si="11"/>
        <v>8.9173041849727497</v>
      </c>
      <c r="J23" s="464">
        <f t="shared" si="11"/>
        <v>37.763361390527734</v>
      </c>
      <c r="K23" s="464">
        <f t="shared" si="11"/>
        <v>24.077376524524198</v>
      </c>
      <c r="L23" s="464">
        <f t="shared" si="11"/>
        <v>0</v>
      </c>
      <c r="M23" s="464">
        <f t="shared" si="11"/>
        <v>10.911311877562298</v>
      </c>
      <c r="N23" s="464">
        <f t="shared" si="11"/>
        <v>40.077270031991247</v>
      </c>
      <c r="O23" s="464">
        <f t="shared" si="11"/>
        <v>53.543709066435099</v>
      </c>
      <c r="P23" s="464">
        <f t="shared" si="11"/>
        <v>24.764394990510937</v>
      </c>
      <c r="Q23" s="464">
        <f t="shared" si="11"/>
        <v>40.297952859316297</v>
      </c>
      <c r="R23" s="464">
        <f t="shared" si="11"/>
        <v>51.888657662241599</v>
      </c>
      <c r="S23" s="464">
        <f t="shared" ref="S23:Y23" si="12">S89</f>
        <v>167.7675714419388</v>
      </c>
      <c r="T23" s="464">
        <f t="shared" si="12"/>
        <v>80.441129905107346</v>
      </c>
      <c r="U23" s="464">
        <f t="shared" si="12"/>
        <v>62.874654862045077</v>
      </c>
      <c r="V23" s="464">
        <f t="shared" si="12"/>
        <v>2.3203149182869538</v>
      </c>
      <c r="W23" s="464">
        <f t="shared" si="12"/>
        <v>29.160207416902495</v>
      </c>
      <c r="X23" s="464">
        <f t="shared" si="12"/>
        <v>6.3849143400174171</v>
      </c>
      <c r="Y23" s="464">
        <f t="shared" si="12"/>
        <v>64.75700410595033</v>
      </c>
      <c r="Z23" s="464">
        <f t="shared" ref="Z23:AE23" si="13">Z89</f>
        <v>60.841185085936445</v>
      </c>
      <c r="AA23" s="464">
        <f t="shared" si="13"/>
        <v>132.48279136693179</v>
      </c>
      <c r="AB23" s="464">
        <f t="shared" si="13"/>
        <v>119.90639149360095</v>
      </c>
      <c r="AC23" s="464">
        <f t="shared" si="13"/>
        <v>49.106364978524198</v>
      </c>
      <c r="AD23" s="464">
        <f t="shared" si="13"/>
        <v>122.35139828043901</v>
      </c>
      <c r="AE23" s="464">
        <f t="shared" si="13"/>
        <v>89.635253981130802</v>
      </c>
      <c r="AF23" s="464">
        <f>AF89</f>
        <v>113.00308641767964</v>
      </c>
      <c r="AG23" s="464">
        <f t="shared" ref="AG23:AH23" si="14">AG89</f>
        <v>124.67753407088412</v>
      </c>
      <c r="AH23" s="464">
        <f t="shared" si="14"/>
        <v>112.83747864130271</v>
      </c>
      <c r="AI23" s="464">
        <f t="shared" ref="AI23:AJ23" si="15">AI89</f>
        <v>79.875589997130135</v>
      </c>
      <c r="AJ23" s="464">
        <f t="shared" si="15"/>
        <v>77.879517773454495</v>
      </c>
      <c r="AK23" s="464">
        <f t="shared" ref="AK23" si="16">AK89</f>
        <v>32.653210448454558</v>
      </c>
      <c r="AL23" s="57">
        <f t="shared" si="6"/>
        <v>-0.58072146076404552</v>
      </c>
      <c r="AM23"/>
      <c r="AN23"/>
      <c r="AO23"/>
      <c r="AP23"/>
    </row>
    <row r="24" spans="1:44" ht="12.95">
      <c r="A24" s="1"/>
      <c r="B24" s="456">
        <f>B23+1</f>
        <v>20</v>
      </c>
      <c r="C24" s="1"/>
      <c r="D24" s="45" t="s">
        <v>1606</v>
      </c>
      <c r="E24" s="464">
        <f>E92</f>
        <v>1675.7347203839388</v>
      </c>
      <c r="F24" s="464">
        <f t="shared" ref="F24:R24" si="17">F92</f>
        <v>1637.9614923049921</v>
      </c>
      <c r="G24" s="464">
        <f t="shared" si="17"/>
        <v>1593.917282619431</v>
      </c>
      <c r="H24" s="464">
        <f t="shared" si="17"/>
        <v>1624.3396754684288</v>
      </c>
      <c r="I24" s="464">
        <f t="shared" si="17"/>
        <v>1634.8925389714975</v>
      </c>
      <c r="J24" s="464">
        <f t="shared" si="17"/>
        <v>1567.4781209075222</v>
      </c>
      <c r="K24" s="464">
        <f t="shared" si="17"/>
        <v>1494.7242355127896</v>
      </c>
      <c r="L24" s="464">
        <f t="shared" si="17"/>
        <v>1495.8628301923181</v>
      </c>
      <c r="M24" s="464">
        <f t="shared" si="17"/>
        <v>1509.0267803156944</v>
      </c>
      <c r="N24" s="464">
        <f t="shared" si="17"/>
        <v>1410.9423098814409</v>
      </c>
      <c r="O24" s="464">
        <f t="shared" si="17"/>
        <v>1373.0396629488955</v>
      </c>
      <c r="P24" s="464">
        <f t="shared" si="17"/>
        <v>1394.4674561439858</v>
      </c>
      <c r="Q24" s="464">
        <f t="shared" si="17"/>
        <v>1281.5317296614955</v>
      </c>
      <c r="R24" s="464">
        <f t="shared" si="17"/>
        <v>1286.5192046338382</v>
      </c>
      <c r="S24" s="464">
        <f t="shared" ref="S24:Y24" si="18">S92</f>
        <v>1296.7766969326126</v>
      </c>
      <c r="T24" s="464">
        <f t="shared" si="18"/>
        <v>1256.9706905805051</v>
      </c>
      <c r="U24" s="464">
        <f t="shared" si="18"/>
        <v>1231.2367210256693</v>
      </c>
      <c r="V24" s="464">
        <f t="shared" si="18"/>
        <v>1181.4423382020925</v>
      </c>
      <c r="W24" s="464">
        <f t="shared" si="18"/>
        <v>1131.8139958152751</v>
      </c>
      <c r="X24" s="464">
        <f t="shared" si="18"/>
        <v>929.15008901689714</v>
      </c>
      <c r="Y24" s="464">
        <f t="shared" si="18"/>
        <v>1002.5429293960416</v>
      </c>
      <c r="Z24" s="464">
        <f t="shared" ref="Z24:AE24" si="19">Z92</f>
        <v>915.26496846007797</v>
      </c>
      <c r="AA24" s="464">
        <f t="shared" si="19"/>
        <v>832.10274485896161</v>
      </c>
      <c r="AB24" s="464">
        <f t="shared" si="19"/>
        <v>846.30289486580898</v>
      </c>
      <c r="AC24" s="464">
        <f t="shared" si="19"/>
        <v>842.4821076950725</v>
      </c>
      <c r="AD24" s="464">
        <f t="shared" si="19"/>
        <v>743.33844453675852</v>
      </c>
      <c r="AE24" s="464">
        <f t="shared" si="19"/>
        <v>671.02536717335965</v>
      </c>
      <c r="AF24" s="464">
        <f>AF92</f>
        <v>623.53070618559082</v>
      </c>
      <c r="AG24" s="464">
        <f t="shared" ref="AG24:AH24" si="20">AG92</f>
        <v>578.51304461159691</v>
      </c>
      <c r="AH24" s="464">
        <f t="shared" si="20"/>
        <v>526.85958320822817</v>
      </c>
      <c r="AI24" s="464">
        <f t="shared" ref="AI24:AJ24" si="21">AI92</f>
        <v>457.93940465970707</v>
      </c>
      <c r="AJ24" s="464">
        <f t="shared" si="21"/>
        <v>459.13064043692577</v>
      </c>
      <c r="AK24" s="464">
        <f t="shared" ref="AK24" si="22">AK92</f>
        <v>455.15068990892576</v>
      </c>
      <c r="AL24" s="57">
        <f t="shared" si="6"/>
        <v>-8.6684489717622614E-3</v>
      </c>
      <c r="AM24"/>
      <c r="AN24"/>
      <c r="AO24"/>
      <c r="AP24"/>
      <c r="AQ24"/>
      <c r="AR24"/>
    </row>
    <row r="25" spans="1:44" s="145" customFormat="1" ht="12.95">
      <c r="A25" s="1"/>
      <c r="B25" s="456">
        <f>B24+1</f>
        <v>21</v>
      </c>
      <c r="C25" s="1"/>
      <c r="D25" s="45" t="s">
        <v>1607</v>
      </c>
      <c r="E25" s="464"/>
      <c r="F25" s="464"/>
      <c r="G25" s="464"/>
      <c r="H25" s="464"/>
      <c r="I25" s="464"/>
      <c r="J25" s="464"/>
      <c r="K25" s="464"/>
      <c r="L25" s="464"/>
      <c r="M25" s="464"/>
      <c r="N25" s="464"/>
      <c r="O25" s="464"/>
      <c r="P25" s="464"/>
      <c r="Q25" s="464"/>
      <c r="R25" s="464"/>
      <c r="S25" s="464"/>
      <c r="T25" s="464"/>
      <c r="U25" s="464"/>
      <c r="V25" s="464"/>
      <c r="W25" s="464"/>
      <c r="X25" s="464"/>
      <c r="Y25" s="464"/>
      <c r="Z25" s="464"/>
      <c r="AA25" s="464"/>
      <c r="AB25" s="464"/>
      <c r="AC25" s="464"/>
      <c r="AD25" s="464"/>
      <c r="AE25" s="464"/>
      <c r="AF25" s="464"/>
      <c r="AG25" s="464"/>
      <c r="AH25" s="464"/>
      <c r="AI25" s="464"/>
      <c r="AJ25" s="464"/>
      <c r="AK25" s="464"/>
      <c r="AL25" s="57" t="str">
        <f t="shared" si="6"/>
        <v>NA</v>
      </c>
      <c r="AM25"/>
      <c r="AN25"/>
      <c r="AO25"/>
      <c r="AP25"/>
    </row>
    <row r="26" spans="1:44" ht="12.95">
      <c r="A26" s="1"/>
      <c r="B26" s="456">
        <f t="shared" si="0"/>
        <v>22</v>
      </c>
      <c r="C26" s="1"/>
      <c r="D26" s="45" t="s">
        <v>1439</v>
      </c>
      <c r="E26" s="464">
        <f t="shared" ref="E26:R26" si="23">E97</f>
        <v>7993.1381541127721</v>
      </c>
      <c r="F26" s="464">
        <f t="shared" si="23"/>
        <v>8106.186538507146</v>
      </c>
      <c r="G26" s="464">
        <f t="shared" si="23"/>
        <v>8420.583142909436</v>
      </c>
      <c r="H26" s="464">
        <f t="shared" si="23"/>
        <v>8576.5936056149731</v>
      </c>
      <c r="I26" s="464">
        <f t="shared" si="23"/>
        <v>8619.798576906609</v>
      </c>
      <c r="J26" s="464">
        <f t="shared" si="23"/>
        <v>9071.5290918915325</v>
      </c>
      <c r="K26" s="464">
        <f t="shared" si="23"/>
        <v>9386.3660914836473</v>
      </c>
      <c r="L26" s="464">
        <f t="shared" si="23"/>
        <v>9416.5082266472109</v>
      </c>
      <c r="M26" s="464">
        <f t="shared" si="23"/>
        <v>9227.0733414263941</v>
      </c>
      <c r="N26" s="464">
        <f t="shared" si="23"/>
        <v>8817.2157531256053</v>
      </c>
      <c r="O26" s="464">
        <f t="shared" si="23"/>
        <v>9038.2946285140843</v>
      </c>
      <c r="P26" s="464">
        <f t="shared" si="23"/>
        <v>8325.4690296393874</v>
      </c>
      <c r="Q26" s="464">
        <f t="shared" si="23"/>
        <v>8448.5696850214154</v>
      </c>
      <c r="R26" s="464">
        <f t="shared" si="23"/>
        <v>8174.946676384684</v>
      </c>
      <c r="S26" s="464">
        <f t="shared" ref="S26:X26" si="24">S97</f>
        <v>8204.2447102981805</v>
      </c>
      <c r="T26" s="464">
        <f t="shared" si="24"/>
        <v>7585.0517920141347</v>
      </c>
      <c r="U26" s="464">
        <f t="shared" si="24"/>
        <v>7541.4583065914294</v>
      </c>
      <c r="V26" s="464">
        <f t="shared" si="24"/>
        <v>7738.8395001602103</v>
      </c>
      <c r="W26" s="464">
        <f t="shared" si="24"/>
        <v>7790.0732111808638</v>
      </c>
      <c r="X26" s="464">
        <f t="shared" si="24"/>
        <v>7344.627521184957</v>
      </c>
      <c r="Y26" s="464">
        <f t="shared" ref="Y26:AD26" si="25">Y97</f>
        <v>7979.88483813116</v>
      </c>
      <c r="Z26" s="464">
        <f t="shared" si="25"/>
        <v>8172.0100719061047</v>
      </c>
      <c r="AA26" s="464">
        <f t="shared" si="25"/>
        <v>8495.7543983742817</v>
      </c>
      <c r="AB26" s="464">
        <f t="shared" si="25"/>
        <v>8828.5197285528957</v>
      </c>
      <c r="AC26" s="464">
        <f t="shared" si="25"/>
        <v>9127.5053889729134</v>
      </c>
      <c r="AD26" s="464">
        <f t="shared" si="25"/>
        <v>9119.932101192273</v>
      </c>
      <c r="AE26" s="464">
        <f>AE97</f>
        <v>9302.0557908767769</v>
      </c>
      <c r="AF26" s="464">
        <f>AF97</f>
        <v>9477.6281353869836</v>
      </c>
      <c r="AG26" s="464">
        <f t="shared" ref="AG26:AH26" si="26">AG97</f>
        <v>10056.058622156899</v>
      </c>
      <c r="AH26" s="464">
        <f t="shared" si="26"/>
        <v>10213.711603697042</v>
      </c>
      <c r="AI26" s="464">
        <f t="shared" ref="AI26:AJ26" si="27">AI97</f>
        <v>9987.9689956998172</v>
      </c>
      <c r="AJ26" s="464">
        <f t="shared" si="27"/>
        <v>10204.388517767327</v>
      </c>
      <c r="AK26" s="464">
        <f t="shared" ref="AK26" si="28">AK97</f>
        <v>10394.368517767327</v>
      </c>
      <c r="AL26" s="57">
        <f t="shared" si="6"/>
        <v>1.8617480084104666E-2</v>
      </c>
      <c r="AM26"/>
      <c r="AN26"/>
      <c r="AO26"/>
      <c r="AP26"/>
      <c r="AQ26"/>
      <c r="AR26"/>
    </row>
    <row r="27" spans="1:44" s="145" customFormat="1" ht="12.95">
      <c r="A27" s="1"/>
      <c r="B27" s="456">
        <f>B26+1</f>
        <v>23</v>
      </c>
      <c r="C27" s="1"/>
      <c r="D27" s="45" t="s">
        <v>1608</v>
      </c>
      <c r="E27" s="532">
        <f>'[7]EIA_Output QBtu'!G$28/TbtuToQBtu</f>
        <v>1170.193</v>
      </c>
      <c r="F27" s="532">
        <f>'[7]EIA_Output QBtu'!H$28/TbtuToQBtu</f>
        <v>1076.5350000000001</v>
      </c>
      <c r="G27" s="532">
        <f>'[7]EIA_Output QBtu'!I$28/TbtuToQBtu</f>
        <v>1102.22</v>
      </c>
      <c r="H27" s="532">
        <f>'[7]EIA_Output QBtu'!J$28/TbtuToQBtu</f>
        <v>1149.02</v>
      </c>
      <c r="I27" s="532">
        <f>'[7]EIA_Output QBtu'!K$28/TbtuToQBtu</f>
        <v>1172.9169999999999</v>
      </c>
      <c r="J27" s="532">
        <f>'[7]EIA_Output QBtu'!L$28/TbtuToQBtu</f>
        <v>1178.175</v>
      </c>
      <c r="K27" s="532">
        <f>'[7]EIA_Output QBtu'!M$28/TbtuToQBtu</f>
        <v>1175.932</v>
      </c>
      <c r="L27" s="532">
        <f>'[7]EIA_Output QBtu'!N$28/TbtuToQBtu</f>
        <v>1223.5659999999998</v>
      </c>
      <c r="M27" s="532">
        <f>'[7]EIA_Output QBtu'!O$28/TbtuToQBtu</f>
        <v>1262.5519999999999</v>
      </c>
      <c r="N27" s="532">
        <f>'[7]EIA_Output QBtu'!P$28/TbtuToQBtu</f>
        <v>1324.413</v>
      </c>
      <c r="O27" s="532">
        <f>'[7]EIA_Output QBtu'!Q$28/TbtuToQBtu</f>
        <v>1275.6780000000001</v>
      </c>
      <c r="P27" s="532">
        <f>'[7]EIA_Output QBtu'!R$28/TbtuToQBtu</f>
        <v>1256.8649999999998</v>
      </c>
      <c r="Q27" s="532">
        <f>'[7]EIA_Output QBtu'!S$28/TbtuToQBtu</f>
        <v>1239.9570000000001</v>
      </c>
      <c r="R27" s="532">
        <f>'[7]EIA_Output QBtu'!T$28/TbtuToQBtu</f>
        <v>1219.538</v>
      </c>
      <c r="S27" s="532">
        <f>'[7]EIA_Output QBtu'!U$28/TbtuToQBtu</f>
        <v>1303.848</v>
      </c>
      <c r="T27" s="532">
        <f>'[7]EIA_Output QBtu'!V$28/TbtuToQBtu</f>
        <v>1323.2380000000001</v>
      </c>
      <c r="U27" s="532">
        <f>'[7]EIA_Output QBtu'!W$28/TbtuToQBtu</f>
        <v>1261.1659999999999</v>
      </c>
      <c r="V27" s="532">
        <f>'[7]EIA_Output QBtu'!X$28/TbtuToQBtu</f>
        <v>1197.039</v>
      </c>
      <c r="W27" s="532">
        <f>'[7]EIA_Output QBtu'!Y$28/TbtuToQBtu</f>
        <v>1011.9709999999999</v>
      </c>
      <c r="X27" s="532">
        <f>'[7]EIA_Output QBtu'!Z$28/TbtuToQBtu</f>
        <v>873.08299999999997</v>
      </c>
      <c r="Y27" s="532">
        <f>'[7]EIA_Output QBtu'!AA$28/TbtuToQBtu</f>
        <v>877.76800000000003</v>
      </c>
      <c r="Z27" s="532">
        <f>'[7]EIA_Output QBtu'!AB$28/TbtuToQBtu</f>
        <v>859.48900000000003</v>
      </c>
      <c r="AA27" s="532">
        <f>'[7]EIA_Output QBtu'!AC$28/TbtuToQBtu</f>
        <v>826.697</v>
      </c>
      <c r="AB27" s="532">
        <f>'[7]EIA_Output QBtu'!AD$28/TbtuToQBtu</f>
        <v>783.34699999999998</v>
      </c>
      <c r="AC27" s="532">
        <f>'[7]EIA_Output QBtu'!AE$28/TbtuToQBtu</f>
        <v>792.63599999999997</v>
      </c>
      <c r="AD27" s="532">
        <f>'[7]EIA_Output QBtu'!AF$28/TbtuToQBtu</f>
        <v>831.66</v>
      </c>
      <c r="AE27" s="532">
        <f>'[7]EIA_Output QBtu'!AG$28/TbtuToQBtu</f>
        <v>853.36599999999999</v>
      </c>
      <c r="AF27" s="532">
        <f>'[7]EIA_Output QBtu'!AH$28/TbtuToQBtu</f>
        <v>849.18200000000002</v>
      </c>
      <c r="AG27" s="532">
        <f>'[7]EIA_Output QBtu'!AI$28/TbtuToQBtu</f>
        <v>792.76300000000003</v>
      </c>
      <c r="AH27" s="532">
        <f>'[7]EIA_Output QBtu'!AJ$28/TbtuToQBtu</f>
        <v>843.88300000000004</v>
      </c>
      <c r="AI27" s="532">
        <f>'[7]EIA_Output QBtu'!AK$28/TbtuToQBtu</f>
        <v>832.27300000000002</v>
      </c>
      <c r="AJ27" s="532">
        <f>'[7]EIA_Output QBtu'!AL$28/TbtuToQBtu</f>
        <v>898.08500000000004</v>
      </c>
      <c r="AK27" s="532">
        <f>'[7]EIA_Output QBtu'!AM$28/TbtuToQBtu</f>
        <v>916.13400000000001</v>
      </c>
      <c r="AL27" s="57">
        <f>IFERROR((AK27-AJ27)/AJ27, "NA")</f>
        <v>2.0097206834542362E-2</v>
      </c>
      <c r="AM27"/>
      <c r="AN27"/>
      <c r="AO27"/>
      <c r="AP27"/>
    </row>
    <row r="28" spans="1:44" s="145" customFormat="1" ht="12.95">
      <c r="A28" s="1"/>
      <c r="B28" s="456">
        <f t="shared" si="0"/>
        <v>24</v>
      </c>
      <c r="C28" s="1"/>
      <c r="D28" s="45" t="s">
        <v>1598</v>
      </c>
      <c r="E28" s="464">
        <f>E121</f>
        <v>1105.5138515995866</v>
      </c>
      <c r="F28" s="464">
        <f t="shared" ref="F28:V28" si="29">F121</f>
        <v>1057.8854839105218</v>
      </c>
      <c r="G28" s="464">
        <f t="shared" si="29"/>
        <v>1035.5408471397625</v>
      </c>
      <c r="H28" s="464">
        <f t="shared" si="29"/>
        <v>996.98227062933768</v>
      </c>
      <c r="I28" s="464">
        <f t="shared" si="29"/>
        <v>980.17125226567896</v>
      </c>
      <c r="J28" s="464">
        <f t="shared" si="29"/>
        <v>972.1698277772573</v>
      </c>
      <c r="K28" s="464">
        <f t="shared" si="29"/>
        <v>1053.1641975430043</v>
      </c>
      <c r="L28" s="464">
        <f t="shared" si="29"/>
        <v>1061.1738389024224</v>
      </c>
      <c r="M28" s="464">
        <f t="shared" si="29"/>
        <v>1035.789643791959</v>
      </c>
      <c r="N28" s="464">
        <f t="shared" si="29"/>
        <v>991.33075760126269</v>
      </c>
      <c r="O28" s="464">
        <f t="shared" si="29"/>
        <v>1011.7034372899376</v>
      </c>
      <c r="P28" s="464">
        <f t="shared" si="29"/>
        <v>1188.8289219438229</v>
      </c>
      <c r="Q28" s="464">
        <f t="shared" si="29"/>
        <v>1055.160164237968</v>
      </c>
      <c r="R28" s="464">
        <f t="shared" si="29"/>
        <v>1062.583227681426</v>
      </c>
      <c r="S28" s="464">
        <f t="shared" si="29"/>
        <v>1144.8322706353722</v>
      </c>
      <c r="T28" s="464">
        <f t="shared" si="29"/>
        <v>1129.7462881474539</v>
      </c>
      <c r="U28" s="464">
        <f t="shared" si="29"/>
        <v>1181.4984888363504</v>
      </c>
      <c r="V28" s="464">
        <f t="shared" si="29"/>
        <v>1145.8559764498209</v>
      </c>
      <c r="W28" s="464">
        <f t="shared" ref="W28:AB28" si="30">W121</f>
        <v>1081.9934001671768</v>
      </c>
      <c r="X28" s="464">
        <f t="shared" si="30"/>
        <v>1001.0325444753072</v>
      </c>
      <c r="Y28" s="464">
        <f t="shared" si="30"/>
        <v>1107.2281179715806</v>
      </c>
      <c r="Z28" s="464">
        <f t="shared" si="30"/>
        <v>1238.9677608672785</v>
      </c>
      <c r="AA28" s="464">
        <f t="shared" si="30"/>
        <v>1134.9496101202799</v>
      </c>
      <c r="AB28" s="464">
        <f t="shared" si="30"/>
        <v>1149.935917145192</v>
      </c>
      <c r="AC28" s="464">
        <f>AC121</f>
        <v>1285.7768692017291</v>
      </c>
      <c r="AD28" s="464">
        <f>AD121</f>
        <v>1032.6750796294348</v>
      </c>
      <c r="AE28" s="464">
        <f>AE121</f>
        <v>960.84723178693844</v>
      </c>
      <c r="AF28" s="464">
        <f>AF121</f>
        <v>931.93896845806046</v>
      </c>
      <c r="AG28" s="464">
        <f t="shared" ref="AG28:AH28" si="31">AG121</f>
        <v>1087.9623230467391</v>
      </c>
      <c r="AH28" s="464">
        <f t="shared" si="31"/>
        <v>1078.9566172655975</v>
      </c>
      <c r="AI28" s="464">
        <f t="shared" ref="AI28:AJ28" si="32">AI121</f>
        <v>935.64714171799005</v>
      </c>
      <c r="AJ28" s="464">
        <f t="shared" si="32"/>
        <v>953.91960015831023</v>
      </c>
      <c r="AK28" s="464">
        <f t="shared" ref="AK28" si="33">AK121</f>
        <v>1008.9336111554181</v>
      </c>
      <c r="AL28" s="57">
        <f t="shared" si="6"/>
        <v>5.7671538553121154E-2</v>
      </c>
      <c r="AM28"/>
      <c r="AN28"/>
      <c r="AO28"/>
      <c r="AP28"/>
    </row>
    <row r="29" spans="1:44" s="145" customFormat="1" ht="12.95">
      <c r="A29" s="1"/>
      <c r="B29" s="456">
        <f t="shared" si="0"/>
        <v>25</v>
      </c>
      <c r="C29" s="1"/>
      <c r="D29" s="45" t="s">
        <v>1599</v>
      </c>
      <c r="E29" s="532">
        <f>'[7]EIA_Output QBtu'!G$30/TbtuToQBtu</f>
        <v>12.273999999999997</v>
      </c>
      <c r="F29" s="532">
        <f>'[7]EIA_Output QBtu'!H$30/TbtuToQBtu</f>
        <v>11.382</v>
      </c>
      <c r="G29" s="532">
        <f>'[7]EIA_Output QBtu'!I$30/TbtuToQBtu</f>
        <v>9.7899999999999974</v>
      </c>
      <c r="H29" s="532">
        <f>'[7]EIA_Output QBtu'!J$30/TbtuToQBtu</f>
        <v>13.053000000000001</v>
      </c>
      <c r="I29" s="532">
        <f>'[7]EIA_Output QBtu'!K$30/TbtuToQBtu</f>
        <v>16.911999999999999</v>
      </c>
      <c r="J29" s="532">
        <f>'[7]EIA_Output QBtu'!L$30/TbtuToQBtu</f>
        <v>15.444000000000001</v>
      </c>
      <c r="K29" s="532">
        <f>'[7]EIA_Output QBtu'!M$30/TbtuToQBtu</f>
        <v>18.300999999999998</v>
      </c>
      <c r="L29" s="532">
        <f>'[7]EIA_Output QBtu'!N$30/TbtuToQBtu</f>
        <v>18.812000000000001</v>
      </c>
      <c r="M29" s="532">
        <f>'[7]EIA_Output QBtu'!O$30/TbtuToQBtu</f>
        <v>22.071000000000002</v>
      </c>
      <c r="N29" s="532">
        <f>'[7]EIA_Output QBtu'!P$30/TbtuToQBtu</f>
        <v>12.84</v>
      </c>
      <c r="O29" s="532">
        <f>'[7]EIA_Output QBtu'!Q$30/TbtuToQBtu</f>
        <v>15.64</v>
      </c>
      <c r="P29" s="532">
        <f>'[7]EIA_Output QBtu'!R$30/TbtuToQBtu</f>
        <v>23.222999999999999</v>
      </c>
      <c r="Q29" s="532">
        <f>'[7]EIA_Output QBtu'!S$30/TbtuToQBtu</f>
        <v>13.807999999999998</v>
      </c>
      <c r="R29" s="532">
        <f>'[7]EIA_Output QBtu'!T$30/TbtuToQBtu</f>
        <v>24.113</v>
      </c>
      <c r="S29" s="532">
        <f>'[7]EIA_Output QBtu'!U$30/TbtuToQBtu</f>
        <v>28.219000000000001</v>
      </c>
      <c r="T29" s="532">
        <f>'[7]EIA_Output QBtu'!V$30/TbtuToQBtu</f>
        <v>39.076000000000001</v>
      </c>
      <c r="U29" s="532">
        <f>'[7]EIA_Output QBtu'!W$30/TbtuToQBtu</f>
        <v>29.576000000000001</v>
      </c>
      <c r="V29" s="532">
        <f>'[7]EIA_Output QBtu'!X$30/TbtuToQBtu</f>
        <v>13.421999999999999</v>
      </c>
      <c r="W29" s="532">
        <f>'[7]EIA_Output QBtu'!Y$30/TbtuToQBtu</f>
        <v>3.83</v>
      </c>
      <c r="X29" s="532">
        <f>'[7]EIA_Output QBtu'!Z$30/TbtuToQBtu</f>
        <v>4.399</v>
      </c>
      <c r="Y29" s="532">
        <f>'[7]EIA_Output QBtu'!AA$30/TbtuToQBtu</f>
        <v>7.3179999999999996</v>
      </c>
      <c r="Z29" s="532">
        <f>'[7]EIA_Output QBtu'!AB$30/TbtuToQBtu</f>
        <v>3.6150000000000002</v>
      </c>
      <c r="AA29" s="532">
        <f>'[7]EIA_Output QBtu'!AC$30/TbtuToQBtu</f>
        <v>2.0079999999999996</v>
      </c>
      <c r="AB29" s="532">
        <f>'[7]EIA_Output QBtu'!AD$30/TbtuToQBtu</f>
        <v>1.4770000000000001</v>
      </c>
      <c r="AC29" s="532">
        <f>'[7]EIA_Output QBtu'!AE$30/TbtuToQBtu</f>
        <v>2.8290000000000002</v>
      </c>
      <c r="AD29" s="532">
        <f>'[7]EIA_Output QBtu'!AF$30/TbtuToQBtu</f>
        <v>1.728</v>
      </c>
      <c r="AE29" s="532">
        <f>'[7]EIA_Output QBtu'!AG$30/TbtuToQBtu</f>
        <v>2.266</v>
      </c>
      <c r="AF29" s="532">
        <f>'[7]EIA_Output QBtu'!AH$30/TbtuToQBtu</f>
        <v>1.1149999999999998</v>
      </c>
      <c r="AG29" s="532">
        <f>'[7]EIA_Output QBtu'!AI$30/TbtuToQBtu</f>
        <v>1.623</v>
      </c>
      <c r="AH29" s="532">
        <f>'[7]EIA_Output QBtu'!AJ$30/TbtuToQBtu</f>
        <v>1.4199999999999997</v>
      </c>
      <c r="AI29" s="532">
        <f>'[7]EIA_Output QBtu'!AK$30/TbtuToQBtu</f>
        <v>3.0230000000000001</v>
      </c>
      <c r="AJ29" s="532">
        <f>'[7]EIA_Output QBtu'!AL$30/TbtuToQBtu</f>
        <v>1.454</v>
      </c>
      <c r="AK29" s="532">
        <f>'[7]EIA_Output QBtu'!AM$30/TbtuToQBtu</f>
        <v>1.284</v>
      </c>
      <c r="AL29" s="57">
        <f t="shared" si="6"/>
        <v>-0.11691884456671248</v>
      </c>
      <c r="AM29"/>
      <c r="AN29"/>
      <c r="AO29"/>
      <c r="AP29"/>
    </row>
    <row r="30" spans="1:44" s="145" customFormat="1" ht="12.95">
      <c r="A30" s="1"/>
      <c r="B30" s="456">
        <f t="shared" si="0"/>
        <v>26</v>
      </c>
      <c r="C30" s="1"/>
      <c r="D30" s="45" t="s">
        <v>1609</v>
      </c>
      <c r="E30" s="532">
        <f>'[7]EIA_Output QBtu'!G$31/TbtuToQBtu</f>
        <v>1529.3263026540001</v>
      </c>
      <c r="F30" s="532">
        <f>'[7]EIA_Output QBtu'!H$31/TbtuToQBtu</f>
        <v>1662.5429146240001</v>
      </c>
      <c r="G30" s="532">
        <f>'[7]EIA_Output QBtu'!I$31/TbtuToQBtu</f>
        <v>1774.584744773</v>
      </c>
      <c r="H30" s="532">
        <f>'[7]EIA_Output QBtu'!J$31/TbtuToQBtu</f>
        <v>1703.870114736</v>
      </c>
      <c r="I30" s="532">
        <f>'[7]EIA_Output QBtu'!K$31/TbtuToQBtu</f>
        <v>1911.1828129390001</v>
      </c>
      <c r="J30" s="532">
        <f>'[7]EIA_Output QBtu'!L$31/TbtuToQBtu</f>
        <v>1929.459552923</v>
      </c>
      <c r="K30" s="532">
        <f>'[7]EIA_Output QBtu'!M$31/TbtuToQBtu</f>
        <v>1987.1319279320001</v>
      </c>
      <c r="L30" s="532">
        <f>'[7]EIA_Output QBtu'!N$31/TbtuToQBtu</f>
        <v>2035.4176398889997</v>
      </c>
      <c r="M30" s="532">
        <f>'[7]EIA_Output QBtu'!O$31/TbtuToQBtu</f>
        <v>1953.9419755939998</v>
      </c>
      <c r="N30" s="532">
        <f>'[7]EIA_Output QBtu'!P$31/TbtuToQBtu</f>
        <v>2145.6808347430001</v>
      </c>
      <c r="O30" s="532">
        <f>'[7]EIA_Output QBtu'!Q$31/TbtuToQBtu</f>
        <v>2153.0463699279999</v>
      </c>
      <c r="P30" s="532">
        <f>'[7]EIA_Output QBtu'!R$31/TbtuToQBtu</f>
        <v>1947.4696663549998</v>
      </c>
      <c r="Q30" s="532">
        <f>'[7]EIA_Output QBtu'!S$31/TbtuToQBtu</f>
        <v>2088.4931587649999</v>
      </c>
      <c r="R30" s="532">
        <f>'[7]EIA_Output QBtu'!T$31/TbtuToQBtu</f>
        <v>1963.4302249479999</v>
      </c>
      <c r="S30" s="532">
        <f>'[7]EIA_Output QBtu'!U$31/TbtuToQBtu</f>
        <v>2068.8134216240001</v>
      </c>
      <c r="T30" s="532">
        <f>'[7]EIA_Output QBtu'!V$31/TbtuToQBtu</f>
        <v>1941.3347836830001</v>
      </c>
      <c r="U30" s="532">
        <f>'[7]EIA_Output QBtu'!W$31/TbtuToQBtu</f>
        <v>2030.245257243</v>
      </c>
      <c r="V30" s="532">
        <f>'[7]EIA_Output QBtu'!X$31/TbtuToQBtu</f>
        <v>2026.8967288409997</v>
      </c>
      <c r="W30" s="532">
        <f>'[7]EIA_Output QBtu'!Y$31/TbtuToQBtu</f>
        <v>1750.339128134</v>
      </c>
      <c r="X30" s="532">
        <f>'[7]EIA_Output QBtu'!Z$31/TbtuToQBtu</f>
        <v>1863.969982933</v>
      </c>
      <c r="Y30" s="532">
        <f>'[7]EIA_Output QBtu'!AA$31/TbtuToQBtu</f>
        <v>2050.6972163320002</v>
      </c>
      <c r="Z30" s="532">
        <f>'[7]EIA_Output QBtu'!AB$31/TbtuToQBtu</f>
        <v>2116.6836242680001</v>
      </c>
      <c r="AA30" s="532">
        <f>'[7]EIA_Output QBtu'!AC$31/TbtuToQBtu</f>
        <v>2266.378065633</v>
      </c>
      <c r="AB30" s="532">
        <f>'[7]EIA_Output QBtu'!AD$31/TbtuToQBtu</f>
        <v>2450.0035188239999</v>
      </c>
      <c r="AC30" s="532">
        <f>'[7]EIA_Output QBtu'!AE$31/TbtuToQBtu</f>
        <v>2320.2033153940001</v>
      </c>
      <c r="AD30" s="532">
        <f>'[7]EIA_Output QBtu'!AF$31/TbtuToQBtu</f>
        <v>2456.6038462259999</v>
      </c>
      <c r="AE30" s="532">
        <f>'[7]EIA_Output QBtu'!AG$31/TbtuToQBtu</f>
        <v>2479.8433615969998</v>
      </c>
      <c r="AF30" s="532">
        <f>'[7]EIA_Output QBtu'!AH$31/TbtuToQBtu</f>
        <v>2500.057941171</v>
      </c>
      <c r="AG30" s="532">
        <f>'[7]EIA_Output QBtu'!AI$31/TbtuToQBtu</f>
        <v>2799.8231436239998</v>
      </c>
      <c r="AH30" s="532">
        <f>'[7]EIA_Output QBtu'!AJ$31/TbtuToQBtu</f>
        <v>2804.2537543660001</v>
      </c>
      <c r="AI30" s="532">
        <f>'[7]EIA_Output QBtu'!AK$31/TbtuToQBtu</f>
        <v>2897.3225185609999</v>
      </c>
      <c r="AJ30" s="532">
        <f>'[7]EIA_Output QBtu'!AL$31/TbtuToQBtu</f>
        <v>3083.4958338380002</v>
      </c>
      <c r="AK30" s="532">
        <f>'[7]EIA_Output QBtu'!AM$31/TbtuToQBtu</f>
        <v>3242.383802931</v>
      </c>
      <c r="AL30" s="57">
        <f t="shared" si="6"/>
        <v>5.1528517518777822E-2</v>
      </c>
      <c r="AM30"/>
      <c r="AN30"/>
      <c r="AO30"/>
      <c r="AP30"/>
    </row>
    <row r="31" spans="1:44" s="145" customFormat="1" ht="12.95">
      <c r="A31" s="1"/>
      <c r="B31" s="456">
        <f>B30+1</f>
        <v>27</v>
      </c>
      <c r="C31" s="1"/>
      <c r="D31" s="45" t="s">
        <v>1610</v>
      </c>
      <c r="E31" s="532">
        <f>'[7]EIA_Output QBtu'!G$32/TbtuToQBtu</f>
        <v>186.34299999999999</v>
      </c>
      <c r="F31" s="532">
        <f>'[7]EIA_Output QBtu'!H$32/TbtuToQBtu</f>
        <v>166.70299999999997</v>
      </c>
      <c r="G31" s="532">
        <f>'[7]EIA_Output QBtu'!I$32/TbtuToQBtu</f>
        <v>169.96</v>
      </c>
      <c r="H31" s="532">
        <f>'[7]EIA_Output QBtu'!J$32/TbtuToQBtu</f>
        <v>173.06399999999999</v>
      </c>
      <c r="I31" s="532">
        <f>'[7]EIA_Output QBtu'!K$32/TbtuToQBtu</f>
        <v>180.886</v>
      </c>
      <c r="J31" s="532">
        <f>'[7]EIA_Output QBtu'!L$32/TbtuToQBtu</f>
        <v>177.78</v>
      </c>
      <c r="K31" s="532">
        <f>'[7]EIA_Output QBtu'!M$32/TbtuToQBtu</f>
        <v>172.53399999999999</v>
      </c>
      <c r="L31" s="532">
        <f>'[7]EIA_Output QBtu'!N$32/TbtuToQBtu</f>
        <v>182.262</v>
      </c>
      <c r="M31" s="532">
        <f>'[7]EIA_Output QBtu'!O$32/TbtuToQBtu</f>
        <v>190.80199999999999</v>
      </c>
      <c r="N31" s="532">
        <f>'[7]EIA_Output QBtu'!P$32/TbtuToQBtu</f>
        <v>192.79900000000001</v>
      </c>
      <c r="O31" s="532">
        <f>'[7]EIA_Output QBtu'!Q$32/TbtuToQBtu</f>
        <v>189.90700000000001</v>
      </c>
      <c r="P31" s="532">
        <f>'[7]EIA_Output QBtu'!R$32/TbtuToQBtu</f>
        <v>173.99700000000001</v>
      </c>
      <c r="Q31" s="532">
        <f>'[7]EIA_Output QBtu'!S$32/TbtuToQBtu</f>
        <v>171.935</v>
      </c>
      <c r="R31" s="532">
        <f>'[7]EIA_Output QBtu'!T$32/TbtuToQBtu</f>
        <v>158.95699999999999</v>
      </c>
      <c r="S31" s="532">
        <f>'[7]EIA_Output QBtu'!U$32/TbtuToQBtu</f>
        <v>161.04</v>
      </c>
      <c r="T31" s="532">
        <f>'[7]EIA_Output QBtu'!V$32/TbtuToQBtu</f>
        <v>160.19900000000001</v>
      </c>
      <c r="U31" s="532">
        <f>'[7]EIA_Output QBtu'!W$32/TbtuToQBtu</f>
        <v>156.078</v>
      </c>
      <c r="V31" s="532">
        <f>'[7]EIA_Output QBtu'!X$32/TbtuToQBtu</f>
        <v>161.17699999999999</v>
      </c>
      <c r="W31" s="532">
        <f>'[7]EIA_Output QBtu'!Y$32/TbtuToQBtu</f>
        <v>149.63499999999999</v>
      </c>
      <c r="X31" s="532">
        <f>'[7]EIA_Output QBtu'!Z$32/TbtuToQBtu</f>
        <v>134.53299999999999</v>
      </c>
      <c r="Y31" s="532">
        <f>'[7]EIA_Output QBtu'!AA$32/TbtuToQBtu</f>
        <v>135.87899999999999</v>
      </c>
      <c r="Z31" s="532">
        <f>'[7]EIA_Output QBtu'!AB$32/TbtuToQBtu</f>
        <v>127.396</v>
      </c>
      <c r="AA31" s="532">
        <f>'[7]EIA_Output QBtu'!AC$32/TbtuToQBtu</f>
        <v>118.313</v>
      </c>
      <c r="AB31" s="532">
        <f>'[7]EIA_Output QBtu'!AD$32/TbtuToQBtu</f>
        <v>125.09100000000001</v>
      </c>
      <c r="AC31" s="532">
        <f>'[7]EIA_Output QBtu'!AE$32/TbtuToQBtu</f>
        <v>130.66300000000001</v>
      </c>
      <c r="AD31" s="532">
        <f>'[7]EIA_Output QBtu'!AF$32/TbtuToQBtu</f>
        <v>142.13499999999999</v>
      </c>
      <c r="AE31" s="532">
        <f>'[7]EIA_Output QBtu'!AG$32/TbtuToQBtu</f>
        <v>135.148</v>
      </c>
      <c r="AF31" s="532">
        <f>'[7]EIA_Output QBtu'!AH$32/TbtuToQBtu</f>
        <v>124.895</v>
      </c>
      <c r="AG31" s="532">
        <f>'[7]EIA_Output QBtu'!AI$32/TbtuToQBtu</f>
        <v>121.98699999999999</v>
      </c>
      <c r="AH31" s="532">
        <f>'[7]EIA_Output QBtu'!AJ$32/TbtuToQBtu</f>
        <v>118.313</v>
      </c>
      <c r="AI31" s="532">
        <f>'[7]EIA_Output QBtu'!AK$32/TbtuToQBtu</f>
        <v>111.09</v>
      </c>
      <c r="AJ31" s="532">
        <f>'[7]EIA_Output QBtu'!AL$32/TbtuToQBtu</f>
        <v>113.49299999999999</v>
      </c>
      <c r="AK31" s="532">
        <f>'[7]EIA_Output QBtu'!AM$32/TbtuToQBtu</f>
        <v>119.544</v>
      </c>
      <c r="AL31" s="57">
        <f t="shared" si="6"/>
        <v>5.3316063545769364E-2</v>
      </c>
      <c r="AM31"/>
      <c r="AN31"/>
      <c r="AO31"/>
      <c r="AP31"/>
    </row>
    <row r="32" spans="1:44" s="145" customFormat="1" ht="12.95">
      <c r="A32" s="1"/>
      <c r="B32" s="456">
        <f t="shared" si="0"/>
        <v>28</v>
      </c>
      <c r="C32" s="1"/>
      <c r="D32" s="45" t="s">
        <v>1601</v>
      </c>
      <c r="E32" s="641">
        <f>[8]Summary!B$32*10^3</f>
        <v>254.77987474583767</v>
      </c>
      <c r="F32" s="641">
        <f>[8]Summary!C$32*10^3</f>
        <v>366.90623952794652</v>
      </c>
      <c r="G32" s="641">
        <f>[8]Summary!D$32*10^3</f>
        <v>247.26111013930699</v>
      </c>
      <c r="H32" s="641">
        <f>[8]Summary!E$32*10^3</f>
        <v>247.74678732727477</v>
      </c>
      <c r="I32" s="641">
        <f>[8]Summary!F$32*10^3</f>
        <v>245.08213908625572</v>
      </c>
      <c r="J32" s="641">
        <f>[8]Summary!G$32*10^3</f>
        <v>370.45284458653009</v>
      </c>
      <c r="K32" s="641">
        <f>[8]Summary!H$32*10^3</f>
        <v>318.06057842633408</v>
      </c>
      <c r="L32" s="641">
        <f>[8]Summary!I$32*10^3</f>
        <v>288.24879807351357</v>
      </c>
      <c r="M32" s="641">
        <f>[8]Summary!J$32*10^3</f>
        <v>297.48128442811611</v>
      </c>
      <c r="N32" s="641">
        <f>[8]Summary!K$32*10^3</f>
        <v>147.60023743863499</v>
      </c>
      <c r="O32" s="641">
        <f>[8]Summary!L$32*10^3</f>
        <v>249.90433044879916</v>
      </c>
      <c r="P32" s="641">
        <f>[8]Summary!M$32*10^3</f>
        <v>378.51501245829439</v>
      </c>
      <c r="Q32" s="641">
        <f>[8]Summary!N$32*10^3</f>
        <v>451.4043065343742</v>
      </c>
      <c r="R32" s="641">
        <f>[8]Summary!O$32*10^3</f>
        <v>459.09323254515476</v>
      </c>
      <c r="S32" s="641">
        <f>[8]Summary!P$32*10^3</f>
        <v>567.57382359701342</v>
      </c>
      <c r="T32" s="641">
        <f>[8]Summary!Q$32*10^3</f>
        <v>689.47242905420046</v>
      </c>
      <c r="U32" s="641">
        <f>[8]Summary!R$32*10^3</f>
        <v>920.69404499461075</v>
      </c>
      <c r="V32" s="641">
        <f>[8]Summary!S$32*10^3</f>
        <v>850.69234786283857</v>
      </c>
      <c r="W32" s="641">
        <f>[8]Summary!T$32*10^3</f>
        <v>738.35845325676746</v>
      </c>
      <c r="X32" s="641">
        <f>[8]Summary!U$32*10^3</f>
        <v>635.50066694660484</v>
      </c>
      <c r="Y32" s="641">
        <f>[8]Summary!V$32*10^3</f>
        <v>559.73983247556157</v>
      </c>
      <c r="Z32" s="641">
        <f>[8]Summary!W$32*10^3</f>
        <v>455.91850589696293</v>
      </c>
      <c r="AA32" s="641">
        <f>[8]Summary!X$32*10^3</f>
        <v>432.15795489207591</v>
      </c>
      <c r="AB32" s="641">
        <f>[8]Summary!Y$32*10^3</f>
        <v>606.17213673969331</v>
      </c>
      <c r="AC32" s="641">
        <f>[8]Summary!Z$32*10^3</f>
        <v>205.64544280576979</v>
      </c>
      <c r="AD32" s="641">
        <f>[8]Summary!AA$32*10^3</f>
        <v>321.37593394893571</v>
      </c>
      <c r="AE32" s="641">
        <f>[8]Summary!AB$32*10^3</f>
        <v>287.24977837765573</v>
      </c>
      <c r="AF32" s="641">
        <f>[8]Summary!AC$32*10^3</f>
        <v>295.7313872007777</v>
      </c>
      <c r="AG32" s="641">
        <f>[8]Summary!AD$32*10^3</f>
        <v>205.56170090472864</v>
      </c>
      <c r="AH32" s="641">
        <f>[8]Summary!AE$32*10^3</f>
        <v>242.74768433861655</v>
      </c>
      <c r="AI32" s="641">
        <f>[8]Summary!AF$32*10^3</f>
        <v>241.27304953178137</v>
      </c>
      <c r="AJ32" s="641">
        <f>[8]Summary!AG$32*10^3</f>
        <v>221.17809769037061</v>
      </c>
      <c r="AK32" s="641">
        <f>[8]Summary!AH$32*10^3</f>
        <v>162.25532059511201</v>
      </c>
      <c r="AL32" s="57">
        <f t="shared" si="6"/>
        <v>-0.2664042132134854</v>
      </c>
      <c r="AM32"/>
      <c r="AN32"/>
      <c r="AO32"/>
      <c r="AP32"/>
    </row>
    <row r="33" spans="1:44" s="145" customFormat="1" ht="12.95">
      <c r="A33" s="1"/>
      <c r="B33" s="456">
        <f t="shared" si="0"/>
        <v>29</v>
      </c>
      <c r="C33" s="1"/>
      <c r="D33" s="45" t="s">
        <v>1602</v>
      </c>
      <c r="E33" s="464">
        <f>E104</f>
        <v>364.14793428817552</v>
      </c>
      <c r="F33" s="464">
        <f t="shared" ref="F33:V33" si="34">F104</f>
        <v>270.89068600000002</v>
      </c>
      <c r="G33" s="464">
        <f t="shared" si="34"/>
        <v>328.05710599999998</v>
      </c>
      <c r="H33" s="464">
        <f t="shared" si="34"/>
        <v>391.19952599999999</v>
      </c>
      <c r="I33" s="464">
        <f t="shared" si="34"/>
        <v>368.358946</v>
      </c>
      <c r="J33" s="464">
        <f t="shared" si="34"/>
        <v>284.66320949999999</v>
      </c>
      <c r="K33" s="464">
        <f t="shared" si="34"/>
        <v>281.661473</v>
      </c>
      <c r="L33" s="464">
        <f t="shared" si="34"/>
        <v>235.56173650000002</v>
      </c>
      <c r="M33" s="464">
        <f t="shared" si="34"/>
        <v>173.25800000000001</v>
      </c>
      <c r="N33" s="464">
        <f t="shared" si="34"/>
        <v>154.0335</v>
      </c>
      <c r="O33" s="464">
        <f t="shared" si="34"/>
        <v>190.34200000000001</v>
      </c>
      <c r="P33" s="464">
        <f t="shared" si="34"/>
        <v>156.09950000000001</v>
      </c>
      <c r="Q33" s="464">
        <f t="shared" si="34"/>
        <v>146.09800000000001</v>
      </c>
      <c r="R33" s="464">
        <f t="shared" si="34"/>
        <v>171.71474999999998</v>
      </c>
      <c r="S33" s="464">
        <f t="shared" si="34"/>
        <v>195.26749999999996</v>
      </c>
      <c r="T33" s="464">
        <f t="shared" si="34"/>
        <v>223.23224999999999</v>
      </c>
      <c r="U33" s="464">
        <f t="shared" si="34"/>
        <v>176.39400000000001</v>
      </c>
      <c r="V33" s="464">
        <f t="shared" si="34"/>
        <v>122.51024999999997</v>
      </c>
      <c r="W33" s="464">
        <f t="shared" ref="W33:AC33" si="35">W104</f>
        <v>115.7595</v>
      </c>
      <c r="X33" s="464">
        <f t="shared" si="35"/>
        <v>43.692750000000004</v>
      </c>
      <c r="Y33" s="464">
        <f t="shared" si="35"/>
        <v>25.895999999999972</v>
      </c>
      <c r="Z33" s="464">
        <f t="shared" si="35"/>
        <v>50.0505</v>
      </c>
      <c r="AA33" s="464">
        <f t="shared" si="35"/>
        <v>0</v>
      </c>
      <c r="AB33" s="464">
        <f t="shared" si="35"/>
        <v>0</v>
      </c>
      <c r="AC33" s="464">
        <f t="shared" si="35"/>
        <v>0</v>
      </c>
      <c r="AD33" s="464">
        <f>AD104</f>
        <v>0</v>
      </c>
      <c r="AE33" s="464">
        <f>AE104</f>
        <v>2.1189999999999927</v>
      </c>
      <c r="AF33" s="464">
        <f>AF104</f>
        <v>2.7844999999999942</v>
      </c>
      <c r="AG33" s="464">
        <f t="shared" ref="AG33:AH33" si="36">AG104</f>
        <v>0</v>
      </c>
      <c r="AH33" s="464">
        <f t="shared" si="36"/>
        <v>0</v>
      </c>
      <c r="AI33" s="464">
        <f t="shared" ref="AI33:AJ33" si="37">AI104</f>
        <v>0</v>
      </c>
      <c r="AJ33" s="464">
        <f t="shared" si="37"/>
        <v>1.8320000000000007</v>
      </c>
      <c r="AK33" s="464">
        <f t="shared" ref="AK33" si="38">AK104</f>
        <v>2.9649999999999963</v>
      </c>
      <c r="AL33" s="57">
        <f t="shared" si="6"/>
        <v>0.61844978165938602</v>
      </c>
      <c r="AM33"/>
      <c r="AN33"/>
      <c r="AO33"/>
      <c r="AP33"/>
    </row>
    <row r="34" spans="1:44" ht="12.95">
      <c r="A34" s="1"/>
      <c r="B34" s="456">
        <f>B33+1</f>
        <v>30</v>
      </c>
      <c r="C34" s="1"/>
      <c r="D34" s="45" t="s">
        <v>1603</v>
      </c>
      <c r="E34" s="464"/>
      <c r="F34" s="464"/>
      <c r="G34" s="464"/>
      <c r="H34" s="464"/>
      <c r="I34" s="464"/>
      <c r="J34" s="464"/>
      <c r="K34" s="464"/>
      <c r="L34" s="464"/>
      <c r="M34" s="464"/>
      <c r="N34" s="464"/>
      <c r="O34" s="464"/>
      <c r="P34" s="464"/>
      <c r="Q34" s="464"/>
      <c r="R34" s="464"/>
      <c r="S34" s="464"/>
      <c r="T34" s="464"/>
      <c r="U34" s="464"/>
      <c r="V34" s="464"/>
      <c r="W34" s="464"/>
      <c r="X34" s="464"/>
      <c r="Y34" s="464"/>
      <c r="Z34" s="464"/>
      <c r="AA34" s="464"/>
      <c r="AB34" s="464"/>
      <c r="AC34" s="464"/>
      <c r="AD34" s="464"/>
      <c r="AE34" s="464"/>
      <c r="AF34" s="464"/>
      <c r="AG34" s="464"/>
      <c r="AH34" s="464"/>
      <c r="AI34" s="464"/>
      <c r="AJ34" s="464"/>
      <c r="AK34" s="464"/>
      <c r="AL34" s="57"/>
      <c r="AM34"/>
      <c r="AN34"/>
      <c r="AO34"/>
      <c r="AP34"/>
      <c r="AQ34"/>
      <c r="AR34"/>
    </row>
    <row r="35" spans="1:44" s="145" customFormat="1" ht="12.95">
      <c r="A35" s="1"/>
      <c r="B35" s="456">
        <f t="shared" si="0"/>
        <v>31</v>
      </c>
      <c r="C35" s="1"/>
      <c r="D35" s="6" t="s">
        <v>1611</v>
      </c>
      <c r="E35" s="532">
        <f>'[7]EIA_Output QBtu'!G36/TbtuToQBtu</f>
        <v>0.23725599999999999</v>
      </c>
      <c r="F35" s="532">
        <f>'[7]EIA_Output QBtu'!H36/TbtuToQBtu</f>
        <v>-8.0768000000000006E-2</v>
      </c>
      <c r="G35" s="532">
        <f>'[7]EIA_Output QBtu'!I36/TbtuToQBtu</f>
        <v>0.15648799999999999</v>
      </c>
      <c r="H35" s="532">
        <f>'[7]EIA_Output QBtu'!J36/TbtuToQBtu</f>
        <v>0.14639199999999999</v>
      </c>
      <c r="I35" s="532">
        <f>'[7]EIA_Output QBtu'!K36/TbtuToQBtu</f>
        <v>6.0979839999999994</v>
      </c>
      <c r="J35" s="532">
        <f>'[7]EIA_Output QBtu'!L36/TbtuToQBtu</f>
        <v>5.2903039999999999</v>
      </c>
      <c r="K35" s="532">
        <f>'[7]EIA_Output QBtu'!M36/TbtuToQBtu</f>
        <v>6.9510959999999997</v>
      </c>
      <c r="L35" s="532">
        <f>'[7]EIA_Output QBtu'!N36/TbtuToQBtu</f>
        <v>9.0561119999999988</v>
      </c>
      <c r="M35" s="532">
        <f>'[7]EIA_Output QBtu'!O36/TbtuToQBtu</f>
        <v>4.0030639999999993</v>
      </c>
      <c r="N35" s="532">
        <f>'[7]EIA_Output QBtu'!P36/TbtuToQBtu</f>
        <v>6.3958159999999999</v>
      </c>
      <c r="O35" s="532">
        <f>'[7]EIA_Output QBtu'!Q36/TbtuToQBtu</f>
        <v>3.8162880000000001</v>
      </c>
      <c r="P35" s="532">
        <f>'[7]EIA_Output QBtu'!R36/TbtuToQBtu</f>
        <v>6.0727439999999993</v>
      </c>
      <c r="Q35" s="532">
        <f>'[7]EIA_Output QBtu'!S36/TbtuToQBtu</f>
        <v>7.5164720000000003</v>
      </c>
      <c r="R35" s="532">
        <f>'[7]EIA_Output QBtu'!T36/TbtuToQBtu</f>
        <v>7.4710399999999995</v>
      </c>
      <c r="S35" s="532">
        <f>'[7]EIA_Output QBtu'!U36/TbtuToQBtu</f>
        <v>10.615944000000001</v>
      </c>
      <c r="T35" s="532">
        <f>'[7]EIA_Output QBtu'!V36/TbtuToQBtu</f>
        <v>8.3241519999999998</v>
      </c>
      <c r="U35" s="532">
        <f>'[7]EIA_Output QBtu'!W36/TbtuToQBtu</f>
        <v>0.641096</v>
      </c>
      <c r="V35" s="532">
        <f>'[7]EIA_Output QBtu'!X36/TbtuToQBtu</f>
        <v>1.781944</v>
      </c>
      <c r="W35" s="532">
        <f>'[7]EIA_Output QBtu'!Y36/TbtuToQBtu</f>
        <v>9.5911999999999997E-2</v>
      </c>
      <c r="X35" s="532">
        <f>'[7]EIA_Output QBtu'!Z36/TbtuToQBtu</f>
        <v>-0.80263200000000001</v>
      </c>
      <c r="Y35" s="532">
        <f>'[7]EIA_Output QBtu'!AA36/TbtuToQBtu</f>
        <v>-0.24230399999999999</v>
      </c>
      <c r="Z35" s="532">
        <f>'[7]EIA_Output QBtu'!AB36/TbtuToQBtu</f>
        <v>1.0096000000000001E-2</v>
      </c>
      <c r="AA35" s="532">
        <f>'[7]EIA_Output QBtu'!AC36/TbtuToQBtu</f>
        <v>-5.0480000000000004E-3</v>
      </c>
      <c r="AB35" s="532">
        <f>'[7]EIA_Output QBtu'!AD36/TbtuToQBtu</f>
        <v>-0.37859999999999999</v>
      </c>
      <c r="AC35" s="532">
        <f>'[7]EIA_Output QBtu'!AE36/TbtuToQBtu</f>
        <v>-0.141344</v>
      </c>
      <c r="AD35" s="532">
        <f>'[7]EIA_Output QBtu'!AF36/TbtuToQBtu</f>
        <v>-0.34831200000000001</v>
      </c>
      <c r="AE35" s="532">
        <f>'[7]EIA_Output QBtu'!AG36/TbtuToQBtu</f>
        <v>-0.29278399999999999</v>
      </c>
      <c r="AF35" s="532">
        <f>'[7]EIA_Output QBtu'!AH36/TbtuToQBtu</f>
        <v>-0.19182399999999999</v>
      </c>
      <c r="AG35" s="532">
        <f>'[7]EIA_Output QBtu'!AI36/TbtuToQBtu</f>
        <v>-1.5547839999999999</v>
      </c>
      <c r="AH35" s="532">
        <f>'[7]EIA_Output QBtu'!AJ36/TbtuToQBtu</f>
        <v>-1.1913279999999999</v>
      </c>
      <c r="AI35" s="532">
        <f>'[7]EIA_Output QBtu'!AK36/TbtuToQBtu</f>
        <v>-0.78748799999999985</v>
      </c>
      <c r="AJ35" s="532">
        <f>'[7]EIA_Output QBtu'!AL36/TbtuToQBtu</f>
        <v>-0.83291999999999999</v>
      </c>
      <c r="AK35" s="532">
        <f>'[7]EIA_Output QBtu'!AM36/TbtuToQBtu</f>
        <v>-0.66128799999999999</v>
      </c>
      <c r="AL35" s="57">
        <f t="shared" si="6"/>
        <v>-0.20606060606060608</v>
      </c>
      <c r="AM35"/>
      <c r="AN35"/>
      <c r="AO35"/>
      <c r="AP35"/>
    </row>
    <row r="36" spans="1:44" s="145" customFormat="1" ht="12.95">
      <c r="A36" s="1"/>
      <c r="B36" s="456">
        <f t="shared" si="0"/>
        <v>32</v>
      </c>
      <c r="C36" s="1"/>
      <c r="D36" s="6" t="s">
        <v>1612</v>
      </c>
      <c r="E36" s="532">
        <f>'[7]EIA_Output QBtu'!G37/TbtuToQBtu</f>
        <v>50.883400000000002</v>
      </c>
      <c r="F36" s="532">
        <f>'[7]EIA_Output QBtu'!H37/TbtuToQBtu</f>
        <v>38.947000000000003</v>
      </c>
      <c r="G36" s="532">
        <f>'[7]EIA_Output QBtu'!I37/TbtuToQBtu</f>
        <v>27.3644</v>
      </c>
      <c r="H36" s="532">
        <f>'[7]EIA_Output QBtu'!J37/TbtuToQBtu</f>
        <v>21.1526</v>
      </c>
      <c r="I36" s="532">
        <f>'[7]EIA_Output QBtu'!K37/TbtuToQBtu</f>
        <v>18.681799999999999</v>
      </c>
      <c r="J36" s="532">
        <f>'[7]EIA_Output QBtu'!L37/TbtuToQBtu</f>
        <v>14.534800000000001</v>
      </c>
      <c r="K36" s="532">
        <f>'[7]EIA_Output QBtu'!M37/TbtuToQBtu</f>
        <v>13.7286</v>
      </c>
      <c r="L36" s="532">
        <f>'[7]EIA_Output QBtu'!N37/TbtuToQBtu</f>
        <v>4.6226000000000003</v>
      </c>
      <c r="M36" s="532">
        <f>'[7]EIA_Output QBtu'!O37/TbtuToQBtu</f>
        <v>0</v>
      </c>
      <c r="N36" s="532">
        <f>'[7]EIA_Output QBtu'!P37/TbtuToQBtu</f>
        <v>0</v>
      </c>
      <c r="O36" s="532">
        <f>'[7]EIA_Output QBtu'!Q37/TbtuToQBtu</f>
        <v>0</v>
      </c>
      <c r="P36" s="532">
        <f>'[7]EIA_Output QBtu'!R37/TbtuToQBtu</f>
        <v>0</v>
      </c>
      <c r="Q36" s="532">
        <f>'[7]EIA_Output QBtu'!S37/TbtuToQBtu</f>
        <v>0</v>
      </c>
      <c r="R36" s="532">
        <f>'[7]EIA_Output QBtu'!T37/TbtuToQBtu</f>
        <v>0</v>
      </c>
      <c r="S36" s="532">
        <f>'[7]EIA_Output QBtu'!U37/TbtuToQBtu</f>
        <v>0</v>
      </c>
      <c r="T36" s="532">
        <f>'[7]EIA_Output QBtu'!V37/TbtuToQBtu</f>
        <v>0</v>
      </c>
      <c r="U36" s="532">
        <f>'[7]EIA_Output QBtu'!W37/TbtuToQBtu</f>
        <v>0</v>
      </c>
      <c r="V36" s="532">
        <f>'[7]EIA_Output QBtu'!X37/TbtuToQBtu</f>
        <v>0</v>
      </c>
      <c r="W36" s="532">
        <f>'[7]EIA_Output QBtu'!Y37/TbtuToQBtu</f>
        <v>0</v>
      </c>
      <c r="X36" s="532">
        <f>'[7]EIA_Output QBtu'!Z37/TbtuToQBtu</f>
        <v>0</v>
      </c>
      <c r="Y36" s="532">
        <f>'[7]EIA_Output QBtu'!AA37/TbtuToQBtu</f>
        <v>0</v>
      </c>
      <c r="Z36" s="532">
        <f>'[7]EIA_Output QBtu'!AB37/TbtuToQBtu</f>
        <v>0</v>
      </c>
      <c r="AA36" s="532">
        <f>'[7]EIA_Output QBtu'!AC37/TbtuToQBtu</f>
        <v>0</v>
      </c>
      <c r="AB36" s="532">
        <f>'[7]EIA_Output QBtu'!AD37/TbtuToQBtu</f>
        <v>0</v>
      </c>
      <c r="AC36" s="532">
        <f>'[7]EIA_Output QBtu'!AE37/TbtuToQBtu</f>
        <v>0</v>
      </c>
      <c r="AD36" s="532">
        <f>'[7]EIA_Output QBtu'!AF37/TbtuToQBtu</f>
        <v>0</v>
      </c>
      <c r="AE36" s="532">
        <f>'[7]EIA_Output QBtu'!AG37/TbtuToQBtu</f>
        <v>0</v>
      </c>
      <c r="AF36" s="532">
        <f>'[7]EIA_Output QBtu'!AH37/TbtuToQBtu</f>
        <v>0</v>
      </c>
      <c r="AG36" s="532">
        <f>'[7]EIA_Output QBtu'!AI37/TbtuToQBtu</f>
        <v>0</v>
      </c>
      <c r="AH36" s="532">
        <f>'[7]EIA_Output QBtu'!AJ37/TbtuToQBtu</f>
        <v>0</v>
      </c>
      <c r="AI36" s="532">
        <f>'[7]EIA_Output QBtu'!AK37/TbtuToQBtu</f>
        <v>0</v>
      </c>
      <c r="AJ36" s="532">
        <f>'[7]EIA_Output QBtu'!AL37/TbtuToQBtu</f>
        <v>0</v>
      </c>
      <c r="AK36" s="532">
        <f>'[7]EIA_Output QBtu'!AM37/TbtuToQBtu</f>
        <v>0</v>
      </c>
      <c r="AL36" s="57" t="str">
        <f t="shared" si="6"/>
        <v>NA</v>
      </c>
      <c r="AM36"/>
      <c r="AN36"/>
      <c r="AO36"/>
      <c r="AP36"/>
    </row>
    <row r="37" spans="1:44" s="145" customFormat="1" ht="12.95">
      <c r="A37" s="1"/>
      <c r="B37" s="456">
        <f t="shared" si="0"/>
        <v>33</v>
      </c>
      <c r="C37" s="1"/>
      <c r="D37" s="6" t="s">
        <v>1613</v>
      </c>
      <c r="E37" s="532">
        <f>'[7]EIA_Output QBtu'!G38/TbtuToQBtu</f>
        <v>53.696165999999998</v>
      </c>
      <c r="F37" s="532">
        <f>'[7]EIA_Output QBtu'!H38/TbtuToQBtu</f>
        <v>-25.918302000000001</v>
      </c>
      <c r="G37" s="532">
        <f>'[7]EIA_Output QBtu'!I38/TbtuToQBtu</f>
        <v>75.685224000000005</v>
      </c>
      <c r="H37" s="532">
        <f>'[7]EIA_Output QBtu'!J38/TbtuToQBtu</f>
        <v>0</v>
      </c>
      <c r="I37" s="532">
        <f>'[7]EIA_Output QBtu'!K38/TbtuToQBtu</f>
        <v>0</v>
      </c>
      <c r="J37" s="532">
        <f>'[7]EIA_Output QBtu'!L38/TbtuToQBtu</f>
        <v>0</v>
      </c>
      <c r="K37" s="532">
        <f>'[7]EIA_Output QBtu'!M38/TbtuToQBtu</f>
        <v>0</v>
      </c>
      <c r="L37" s="532">
        <f>'[7]EIA_Output QBtu'!N38/TbtuToQBtu</f>
        <v>0</v>
      </c>
      <c r="M37" s="532">
        <f>'[7]EIA_Output QBtu'!O38/TbtuToQBtu</f>
        <v>0</v>
      </c>
      <c r="N37" s="532">
        <f>'[7]EIA_Output QBtu'!P38/TbtuToQBtu</f>
        <v>0</v>
      </c>
      <c r="O37" s="532">
        <f>'[7]EIA_Output QBtu'!Q38/TbtuToQBtu</f>
        <v>0</v>
      </c>
      <c r="P37" s="532">
        <f>'[7]EIA_Output QBtu'!R38/TbtuToQBtu</f>
        <v>0</v>
      </c>
      <c r="Q37" s="532">
        <f>'[7]EIA_Output QBtu'!S38/TbtuToQBtu</f>
        <v>0</v>
      </c>
      <c r="R37" s="532">
        <f>'[7]EIA_Output QBtu'!T38/TbtuToQBtu</f>
        <v>0</v>
      </c>
      <c r="S37" s="532">
        <f>'[7]EIA_Output QBtu'!U38/TbtuToQBtu</f>
        <v>0</v>
      </c>
      <c r="T37" s="532">
        <f>'[7]EIA_Output QBtu'!V38/TbtuToQBtu</f>
        <v>0</v>
      </c>
      <c r="U37" s="532">
        <f>'[7]EIA_Output QBtu'!W38/TbtuToQBtu</f>
        <v>0</v>
      </c>
      <c r="V37" s="532">
        <f>'[7]EIA_Output QBtu'!X38/TbtuToQBtu</f>
        <v>0</v>
      </c>
      <c r="W37" s="532">
        <f>'[7]EIA_Output QBtu'!Y38/TbtuToQBtu</f>
        <v>0</v>
      </c>
      <c r="X37" s="532">
        <f>'[7]EIA_Output QBtu'!Z38/TbtuToQBtu</f>
        <v>0</v>
      </c>
      <c r="Y37" s="532">
        <f>'[7]EIA_Output QBtu'!AA38/TbtuToQBtu</f>
        <v>0</v>
      </c>
      <c r="Z37" s="532">
        <f>'[7]EIA_Output QBtu'!AB38/TbtuToQBtu</f>
        <v>0</v>
      </c>
      <c r="AA37" s="532">
        <f>'[7]EIA_Output QBtu'!AC38/TbtuToQBtu</f>
        <v>0</v>
      </c>
      <c r="AB37" s="532">
        <f>'[7]EIA_Output QBtu'!AD38/TbtuToQBtu</f>
        <v>0</v>
      </c>
      <c r="AC37" s="532">
        <f>'[7]EIA_Output QBtu'!AE38/TbtuToQBtu</f>
        <v>0</v>
      </c>
      <c r="AD37" s="532">
        <f>'[7]EIA_Output QBtu'!AF38/TbtuToQBtu</f>
        <v>0</v>
      </c>
      <c r="AE37" s="532">
        <f>'[7]EIA_Output QBtu'!AG38/TbtuToQBtu</f>
        <v>0</v>
      </c>
      <c r="AF37" s="532">
        <f>'[7]EIA_Output QBtu'!AH38/TbtuToQBtu</f>
        <v>0</v>
      </c>
      <c r="AG37" s="532">
        <f>'[7]EIA_Output QBtu'!AI38/TbtuToQBtu</f>
        <v>0</v>
      </c>
      <c r="AH37" s="532">
        <f>'[7]EIA_Output QBtu'!AJ38/TbtuToQBtu</f>
        <v>0</v>
      </c>
      <c r="AI37" s="532">
        <f>'[7]EIA_Output QBtu'!AK38/TbtuToQBtu</f>
        <v>0</v>
      </c>
      <c r="AJ37" s="532">
        <f>'[7]EIA_Output QBtu'!AL38/TbtuToQBtu</f>
        <v>0</v>
      </c>
      <c r="AK37" s="532">
        <f>'[7]EIA_Output QBtu'!AM38/TbtuToQBtu</f>
        <v>0</v>
      </c>
      <c r="AL37" s="57" t="str">
        <f t="shared" si="6"/>
        <v>NA</v>
      </c>
      <c r="AM37"/>
      <c r="AN37"/>
      <c r="AO37"/>
      <c r="AP37"/>
    </row>
    <row r="38" spans="1:44" s="145" customFormat="1" ht="12.95">
      <c r="A38" s="1"/>
      <c r="B38" s="456">
        <f t="shared" si="0"/>
        <v>34</v>
      </c>
      <c r="C38" s="1"/>
      <c r="D38" s="6" t="s">
        <v>1614</v>
      </c>
      <c r="E38" s="532">
        <f>'[7]EIA_Output QBtu'!G39/TbtuToQBtu</f>
        <v>137.83467599999997</v>
      </c>
      <c r="F38" s="532">
        <f>'[7]EIA_Output QBtu'!H39/TbtuToQBtu</f>
        <v>152.626068</v>
      </c>
      <c r="G38" s="532">
        <f>'[7]EIA_Output QBtu'!I39/TbtuToQBtu</f>
        <v>100.062144</v>
      </c>
      <c r="H38" s="532">
        <f>'[7]EIA_Output QBtu'!J39/TbtuToQBtu</f>
        <v>94.718232</v>
      </c>
      <c r="I38" s="532">
        <f>'[7]EIA_Output QBtu'!K39/TbtuToQBtu</f>
        <v>105.85234800000001</v>
      </c>
      <c r="J38" s="532">
        <f>'[7]EIA_Output QBtu'!L39/TbtuToQBtu</f>
        <v>97.123571999999996</v>
      </c>
      <c r="K38" s="532">
        <f>'[7]EIA_Output QBtu'!M39/TbtuToQBtu</f>
        <v>89.032355999999993</v>
      </c>
      <c r="L38" s="532">
        <f>'[7]EIA_Output QBtu'!N39/TbtuToQBtu</f>
        <v>97.749539999999996</v>
      </c>
      <c r="M38" s="532">
        <f>'[7]EIA_Output QBtu'!O39/TbtuToQBtu</f>
        <v>118.98608400000001</v>
      </c>
      <c r="N38" s="532">
        <f>'[7]EIA_Output QBtu'!P39/TbtuToQBtu</f>
        <v>111.90916799999999</v>
      </c>
      <c r="O38" s="532">
        <f>'[7]EIA_Output QBtu'!Q39/TbtuToQBtu</f>
        <v>119.20633199999999</v>
      </c>
      <c r="P38" s="532">
        <f>'[7]EIA_Output QBtu'!R39/TbtuToQBtu</f>
        <v>124.9038</v>
      </c>
      <c r="Q38" s="532">
        <f>'[7]EIA_Output QBtu'!S39/TbtuToQBtu</f>
        <v>134.17740000000001</v>
      </c>
      <c r="R38" s="532">
        <f>'[7]EIA_Output QBtu'!T39/TbtuToQBtu</f>
        <v>125.964468</v>
      </c>
      <c r="S38" s="532">
        <f>'[7]EIA_Output QBtu'!U39/TbtuToQBtu</f>
        <v>113.421924</v>
      </c>
      <c r="T38" s="532">
        <f>'[7]EIA_Output QBtu'!V39/TbtuToQBtu</f>
        <v>112.79127862799999</v>
      </c>
      <c r="U38" s="532">
        <f>'[7]EIA_Output QBtu'!W39/TbtuToQBtu</f>
        <v>136.03287348000001</v>
      </c>
      <c r="V38" s="532">
        <f>'[7]EIA_Output QBtu'!X39/TbtuToQBtu</f>
        <v>133.47382356</v>
      </c>
      <c r="W38" s="532">
        <f>'[7]EIA_Output QBtu'!Y39/TbtuToQBtu</f>
        <v>142.028916624</v>
      </c>
      <c r="X38" s="532">
        <f>'[7]EIA_Output QBtu'!Z39/TbtuToQBtu</f>
        <v>151.82563460399999</v>
      </c>
      <c r="Y38" s="532">
        <f>'[7]EIA_Output QBtu'!AA39/TbtuToQBtu</f>
        <v>158.69992823999999</v>
      </c>
      <c r="Z38" s="532">
        <f>'[7]EIA_Output QBtu'!AB39/TbtuToQBtu</f>
        <v>164.74156271999999</v>
      </c>
      <c r="AA38" s="532">
        <f>'[7]EIA_Output QBtu'!AC39/TbtuToQBtu</f>
        <v>161.582447124</v>
      </c>
      <c r="AB38" s="532">
        <f>'[7]EIA_Output QBtu'!AD39/TbtuToQBtu</f>
        <v>171.16153109999999</v>
      </c>
      <c r="AC38" s="532">
        <f>'[7]EIA_Output QBtu'!AE39/TbtuToQBtu</f>
        <v>182.74043793600001</v>
      </c>
      <c r="AD38" s="532">
        <f>'[7]EIA_Output QBtu'!AF39/TbtuToQBtu</f>
        <v>188.926108812</v>
      </c>
      <c r="AE38" s="532">
        <f>'[7]EIA_Output QBtu'!AG39/TbtuToQBtu</f>
        <v>191.34131360399999</v>
      </c>
      <c r="AF38" s="532">
        <f>'[7]EIA_Output QBtu'!AH39/TbtuToQBtu</f>
        <v>198.81032320799997</v>
      </c>
      <c r="AG38" s="532">
        <f>'[7]EIA_Output QBtu'!AI39/TbtuToQBtu</f>
        <v>197.967787668</v>
      </c>
      <c r="AH38" s="532">
        <f>'[7]EIA_Output QBtu'!AJ39/TbtuToQBtu</f>
        <v>180.154361268</v>
      </c>
      <c r="AI38" s="532">
        <f>'[7]EIA_Output QBtu'!AK39/TbtuToQBtu</f>
        <v>170.665492032</v>
      </c>
      <c r="AJ38" s="532">
        <f>'[7]EIA_Output QBtu'!AL39/TbtuToQBtu</f>
        <v>170.80425406800001</v>
      </c>
      <c r="AK38" s="532">
        <f>'[7]EIA_Output QBtu'!AM39/TbtuToQBtu</f>
        <v>183.38850028799999</v>
      </c>
      <c r="AL38" s="57">
        <f t="shared" si="6"/>
        <v>7.3676421519278945E-2</v>
      </c>
      <c r="AM38"/>
      <c r="AN38"/>
      <c r="AO38"/>
      <c r="AP38"/>
    </row>
    <row r="39" spans="1:44" s="145" customFormat="1" ht="12.95">
      <c r="A39" s="1"/>
      <c r="B39" s="456">
        <f t="shared" si="0"/>
        <v>35</v>
      </c>
      <c r="C39" s="1"/>
      <c r="D39" s="6" t="s">
        <v>1615</v>
      </c>
      <c r="E39" s="532">
        <f>'[7]EIA_Output QBtu'!G40/TbtuToQBtu</f>
        <v>347.800704</v>
      </c>
      <c r="F39" s="532">
        <f>'[7]EIA_Output QBtu'!H40/TbtuToQBtu</f>
        <v>298.94707199999999</v>
      </c>
      <c r="G39" s="532">
        <f>'[7]EIA_Output QBtu'!I40/TbtuToQBtu</f>
        <v>377.12652800000001</v>
      </c>
      <c r="H39" s="532">
        <f>'[7]EIA_Output QBtu'!J40/TbtuToQBtu</f>
        <v>350.59264000000002</v>
      </c>
      <c r="I39" s="532">
        <f>'[7]EIA_Output QBtu'!K40/TbtuToQBtu</f>
        <v>398.33894400000003</v>
      </c>
      <c r="J39" s="532">
        <f>'[7]EIA_Output QBtu'!L40/TbtuToQBtu</f>
        <v>372.96486399999992</v>
      </c>
      <c r="K39" s="532">
        <f>'[7]EIA_Output QBtu'!M40/TbtuToQBtu</f>
        <v>479.31033600000001</v>
      </c>
      <c r="L39" s="532">
        <f>'[7]EIA_Output QBtu'!N40/TbtuToQBtu</f>
        <v>536.37708799999996</v>
      </c>
      <c r="M39" s="532">
        <f>'[7]EIA_Output QBtu'!O40/TbtuToQBtu</f>
        <v>583.99219200000005</v>
      </c>
      <c r="N39" s="532">
        <f>'[7]EIA_Output QBtu'!P40/TbtuToQBtu</f>
        <v>502.07615999999996</v>
      </c>
      <c r="O39" s="532">
        <f>'[7]EIA_Output QBtu'!Q40/TbtuToQBtu</f>
        <v>613.53318400000001</v>
      </c>
      <c r="P39" s="532">
        <f>'[7]EIA_Output QBtu'!R40/TbtuToQBtu</f>
        <v>493.71609599999999</v>
      </c>
      <c r="Q39" s="532">
        <f>'[7]EIA_Output QBtu'!S40/TbtuToQBtu</f>
        <v>582.55423999999994</v>
      </c>
      <c r="R39" s="532">
        <f>'[7]EIA_Output QBtu'!T40/TbtuToQBtu</f>
        <v>612.95590400000003</v>
      </c>
      <c r="S39" s="532">
        <f>'[7]EIA_Output QBtu'!U40/TbtuToQBtu</f>
        <v>749.43014400000004</v>
      </c>
      <c r="T39" s="532">
        <f>'[7]EIA_Output QBtu'!V40/TbtuToQBtu</f>
        <v>698.66624000000002</v>
      </c>
      <c r="U39" s="532">
        <f>'[7]EIA_Output QBtu'!W40/TbtuToQBtu</f>
        <v>628.85209599999985</v>
      </c>
      <c r="V39" s="532">
        <f>'[7]EIA_Output QBtu'!X40/TbtuToQBtu</f>
        <v>562.45439999999985</v>
      </c>
      <c r="W39" s="532">
        <f>'[7]EIA_Output QBtu'!Y40/TbtuToQBtu</f>
        <v>477.17439999999999</v>
      </c>
      <c r="X39" s="532">
        <f>'[7]EIA_Output QBtu'!Z40/TbtuToQBtu</f>
        <v>471.868672</v>
      </c>
      <c r="Y39" s="532">
        <f>'[7]EIA_Output QBtu'!AA40/TbtuToQBtu</f>
        <v>490.57254399999999</v>
      </c>
      <c r="Z39" s="532">
        <f>'[7]EIA_Output QBtu'!AB40/TbtuToQBtu</f>
        <v>487.31878399999999</v>
      </c>
      <c r="AA39" s="532">
        <f>'[7]EIA_Output QBtu'!AC40/TbtuToQBtu</f>
        <v>453.92051199999997</v>
      </c>
      <c r="AB39" s="532">
        <f>'[7]EIA_Output QBtu'!AD40/TbtuToQBtu</f>
        <v>517.83590400000003</v>
      </c>
      <c r="AC39" s="532">
        <f>'[7]EIA_Output QBtu'!AE40/TbtuToQBtu</f>
        <v>442.60582399999998</v>
      </c>
      <c r="AD39" s="532">
        <f>'[7]EIA_Output QBtu'!AF40/TbtuToQBtu</f>
        <v>428.05836799999997</v>
      </c>
      <c r="AE39" s="532">
        <f>'[7]EIA_Output QBtu'!AG40/TbtuToQBtu</f>
        <v>420.02368000000001</v>
      </c>
      <c r="AF39" s="532">
        <f>'[7]EIA_Output QBtu'!AH40/TbtuToQBtu</f>
        <v>436.17702400000002</v>
      </c>
      <c r="AG39" s="532">
        <f>'[7]EIA_Output QBtu'!AI40/TbtuToQBtu</f>
        <v>447.08761600000003</v>
      </c>
      <c r="AH39" s="532">
        <f>'[7]EIA_Output QBtu'!AJ40/TbtuToQBtu</f>
        <v>396.69107200000002</v>
      </c>
      <c r="AI39" s="532">
        <f>'[7]EIA_Output QBtu'!AK40/TbtuToQBtu</f>
        <v>354.60736000000003</v>
      </c>
      <c r="AJ39" s="532">
        <f>'[7]EIA_Output QBtu'!AL40/TbtuToQBtu</f>
        <v>354.81727999999993</v>
      </c>
      <c r="AK39" s="532">
        <f>'[7]EIA_Output QBtu'!AM40/TbtuToQBtu</f>
        <v>265.51206400000001</v>
      </c>
      <c r="AL39" s="57">
        <f t="shared" si="6"/>
        <v>-0.25169353645910347</v>
      </c>
      <c r="AM39"/>
      <c r="AN39"/>
      <c r="AO39"/>
      <c r="AP39"/>
    </row>
    <row r="40" spans="1:44" s="145" customFormat="1" ht="12.95">
      <c r="A40" s="1"/>
      <c r="B40" s="456">
        <f t="shared" si="0"/>
        <v>36</v>
      </c>
      <c r="C40" s="1"/>
      <c r="D40" s="6" t="s">
        <v>1616</v>
      </c>
      <c r="E40" s="532">
        <f>'[7]EIA_Output QBtu'!G41/TbtuToQBtu</f>
        <v>753.92392500000005</v>
      </c>
      <c r="F40" s="532">
        <f>'[7]EIA_Output QBtu'!H41/TbtuToQBtu</f>
        <v>827.29562499999997</v>
      </c>
      <c r="G40" s="532">
        <f>'[7]EIA_Output QBtu'!I41/TbtuToQBtu</f>
        <v>814.51557500000001</v>
      </c>
      <c r="H40" s="532">
        <f>'[7]EIA_Output QBtu'!J41/TbtuToQBtu</f>
        <v>844.07745</v>
      </c>
      <c r="I40" s="532">
        <f>'[7]EIA_Output QBtu'!K41/TbtuToQBtu</f>
        <v>838.64272500000004</v>
      </c>
      <c r="J40" s="532">
        <f>'[7]EIA_Output QBtu'!L41/TbtuToQBtu</f>
        <v>801.01322500000003</v>
      </c>
      <c r="K40" s="532">
        <f>'[7]EIA_Output QBtu'!M41/TbtuToQBtu</f>
        <v>729.64532499999996</v>
      </c>
      <c r="L40" s="532">
        <f>'[7]EIA_Output QBtu'!N41/TbtuToQBtu</f>
        <v>861.24372500000004</v>
      </c>
      <c r="M40" s="532">
        <f>'[7]EIA_Output QBtu'!O41/TbtuToQBtu</f>
        <v>818.66880000000003</v>
      </c>
      <c r="N40" s="532">
        <f>'[7]EIA_Output QBtu'!P41/TbtuToQBtu</f>
        <v>811.14289999999994</v>
      </c>
      <c r="O40" s="532">
        <f>'[7]EIA_Output QBtu'!Q41/TbtuToQBtu</f>
        <v>722.15437499999985</v>
      </c>
      <c r="P40" s="532">
        <f>'[7]EIA_Output QBtu'!R41/TbtuToQBtu</f>
        <v>662.45394999999996</v>
      </c>
      <c r="Q40" s="532">
        <f>'[7]EIA_Output QBtu'!S41/TbtuToQBtu</f>
        <v>632.06492500000002</v>
      </c>
      <c r="R40" s="532">
        <f>'[7]EIA_Output QBtu'!T41/TbtuToQBtu</f>
        <v>699.37862500000006</v>
      </c>
      <c r="S40" s="532">
        <f>'[7]EIA_Output QBtu'!U41/TbtuToQBtu</f>
        <v>779.48985000000005</v>
      </c>
      <c r="T40" s="532">
        <f>'[7]EIA_Output QBtu'!V41/TbtuToQBtu</f>
        <v>707.98215000000005</v>
      </c>
      <c r="U40" s="532">
        <f>'[7]EIA_Output QBtu'!W41/TbtuToQBtu</f>
        <v>790.63890000000004</v>
      </c>
      <c r="V40" s="532">
        <f>'[7]EIA_Output QBtu'!X41/TbtuToQBtu</f>
        <v>744.09132499999998</v>
      </c>
      <c r="W40" s="532">
        <f>'[7]EIA_Output QBtu'!Y41/TbtuToQBtu</f>
        <v>647.76329999999996</v>
      </c>
      <c r="X40" s="532">
        <f>'[7]EIA_Output QBtu'!Z41/TbtuToQBtu</f>
        <v>424.776475</v>
      </c>
      <c r="Y40" s="532">
        <f>'[7]EIA_Output QBtu'!AA41/TbtuToQBtu</f>
        <v>452.52095000000003</v>
      </c>
      <c r="Z40" s="532">
        <f>'[7]EIA_Output QBtu'!AB41/TbtuToQBtu</f>
        <v>388.52749999999997</v>
      </c>
      <c r="AA40" s="532">
        <f>'[7]EIA_Output QBtu'!AC41/TbtuToQBtu</f>
        <v>287.24239999999998</v>
      </c>
      <c r="AB40" s="532">
        <f>'[7]EIA_Output QBtu'!AD41/TbtuToQBtu</f>
        <v>223.91882499999997</v>
      </c>
      <c r="AC40" s="532">
        <f>'[7]EIA_Output QBtu'!AE41/TbtuToQBtu</f>
        <v>247.22465</v>
      </c>
      <c r="AD40" s="532">
        <f>'[7]EIA_Output QBtu'!AF41/TbtuToQBtu</f>
        <v>229.03899999999999</v>
      </c>
      <c r="AE40" s="532">
        <f>'[7]EIA_Output QBtu'!AG41/TbtuToQBtu</f>
        <v>222.45675</v>
      </c>
      <c r="AF40" s="532">
        <f>'[7]EIA_Output QBtu'!AH41/TbtuToQBtu</f>
        <v>262.92885000000001</v>
      </c>
      <c r="AG40" s="532">
        <f>'[7]EIA_Output QBtu'!AI41/TbtuToQBtu</f>
        <v>239.0813</v>
      </c>
      <c r="AH40" s="532">
        <f>'[7]EIA_Output QBtu'!AJ41/TbtuToQBtu</f>
        <v>234.08927499999999</v>
      </c>
      <c r="AI40" s="532">
        <f>'[7]EIA_Output QBtu'!AK41/TbtuToQBtu</f>
        <v>217.01037500000001</v>
      </c>
      <c r="AJ40" s="532">
        <f>'[7]EIA_Output QBtu'!AL41/TbtuToQBtu</f>
        <v>216.89387500000001</v>
      </c>
      <c r="AK40" s="532">
        <f>'[7]EIA_Output QBtu'!AM41/TbtuToQBtu</f>
        <v>127.73396102500001</v>
      </c>
      <c r="AL40" s="57">
        <f t="shared" si="6"/>
        <v>-0.41107621861152138</v>
      </c>
      <c r="AM40"/>
      <c r="AN40"/>
      <c r="AO40"/>
      <c r="AP40"/>
    </row>
    <row r="41" spans="1:44" s="145" customFormat="1" ht="12.95">
      <c r="A41" s="1"/>
      <c r="B41" s="456">
        <f>B40+1</f>
        <v>37</v>
      </c>
      <c r="C41" s="1"/>
      <c r="D41" s="6" t="s">
        <v>1617</v>
      </c>
      <c r="E41" s="532">
        <f>'[7]EIA_Output QBtu'!G42/TbtuToQBtu</f>
        <v>0</v>
      </c>
      <c r="F41" s="532">
        <f>'[7]EIA_Output QBtu'!H42/TbtuToQBtu</f>
        <v>0</v>
      </c>
      <c r="G41" s="532">
        <f>'[7]EIA_Output QBtu'!I42/TbtuToQBtu</f>
        <v>0</v>
      </c>
      <c r="H41" s="532">
        <f>'[7]EIA_Output QBtu'!J42/TbtuToQBtu</f>
        <v>0</v>
      </c>
      <c r="I41" s="532">
        <f>'[7]EIA_Output QBtu'!K42/TbtuToQBtu</f>
        <v>0</v>
      </c>
      <c r="J41" s="532">
        <f>'[7]EIA_Output QBtu'!L42/TbtuToQBtu</f>
        <v>0</v>
      </c>
      <c r="K41" s="532">
        <f>'[7]EIA_Output QBtu'!M42/TbtuToQBtu</f>
        <v>0</v>
      </c>
      <c r="L41" s="532">
        <f>'[7]EIA_Output QBtu'!N42/TbtuToQBtu</f>
        <v>0</v>
      </c>
      <c r="M41" s="532">
        <f>'[7]EIA_Output QBtu'!O42/TbtuToQBtu</f>
        <v>0</v>
      </c>
      <c r="N41" s="532">
        <f>'[7]EIA_Output QBtu'!P42/TbtuToQBtu</f>
        <v>0</v>
      </c>
      <c r="O41" s="532">
        <f>'[7]EIA_Output QBtu'!Q42/TbtuToQBtu</f>
        <v>0</v>
      </c>
      <c r="P41" s="532">
        <f>'[7]EIA_Output QBtu'!R42/TbtuToQBtu</f>
        <v>0</v>
      </c>
      <c r="Q41" s="532">
        <f>'[7]EIA_Output QBtu'!S42/TbtuToQBtu</f>
        <v>0</v>
      </c>
      <c r="R41" s="532">
        <f>'[7]EIA_Output QBtu'!T42/TbtuToQBtu</f>
        <v>0</v>
      </c>
      <c r="S41" s="532">
        <f>'[7]EIA_Output QBtu'!U42/TbtuToQBtu</f>
        <v>0</v>
      </c>
      <c r="T41" s="532">
        <f>'[7]EIA_Output QBtu'!V42/TbtuToQBtu</f>
        <v>0</v>
      </c>
      <c r="U41" s="532">
        <f>'[7]EIA_Output QBtu'!W42/TbtuToQBtu</f>
        <v>0</v>
      </c>
      <c r="V41" s="532">
        <f>'[7]EIA_Output QBtu'!X42/TbtuToQBtu</f>
        <v>0</v>
      </c>
      <c r="W41" s="532">
        <f>'[7]EIA_Output QBtu'!Y42/TbtuToQBtu</f>
        <v>0</v>
      </c>
      <c r="X41" s="532">
        <f>'[7]EIA_Output QBtu'!Z42/TbtuToQBtu</f>
        <v>0</v>
      </c>
      <c r="Y41" s="532">
        <f>'[7]EIA_Output QBtu'!AA42/TbtuToQBtu</f>
        <v>0</v>
      </c>
      <c r="Z41" s="532">
        <f>'[7]EIA_Output QBtu'!AB42/TbtuToQBtu</f>
        <v>0</v>
      </c>
      <c r="AA41" s="532">
        <f>'[7]EIA_Output QBtu'!AC42/TbtuToQBtu</f>
        <v>0</v>
      </c>
      <c r="AB41" s="532">
        <f>'[7]EIA_Output QBtu'!AD42/TbtuToQBtu</f>
        <v>0</v>
      </c>
      <c r="AC41" s="532">
        <f>'[7]EIA_Output QBtu'!AE42/TbtuToQBtu</f>
        <v>0</v>
      </c>
      <c r="AD41" s="532">
        <f>'[7]EIA_Output QBtu'!AF42/TbtuToQBtu</f>
        <v>0</v>
      </c>
      <c r="AE41" s="532">
        <f>'[7]EIA_Output QBtu'!AG42/TbtuToQBtu</f>
        <v>0</v>
      </c>
      <c r="AF41" s="532">
        <f>'[7]EIA_Output QBtu'!AH42/TbtuToQBtu</f>
        <v>0</v>
      </c>
      <c r="AG41" s="532">
        <f>'[7]EIA_Output QBtu'!AI42/TbtuToQBtu</f>
        <v>0</v>
      </c>
      <c r="AH41" s="532">
        <f>'[7]EIA_Output QBtu'!AJ42/TbtuToQBtu</f>
        <v>0</v>
      </c>
      <c r="AI41" s="532">
        <f>'[7]EIA_Output QBtu'!AK42/TbtuToQBtu</f>
        <v>0</v>
      </c>
      <c r="AJ41" s="532">
        <f>'[7]EIA_Output QBtu'!AL42/TbtuToQBtu</f>
        <v>0</v>
      </c>
      <c r="AK41" s="532">
        <f>'[7]EIA_Output QBtu'!AM42/TbtuToQBtu</f>
        <v>0</v>
      </c>
      <c r="AL41" s="57" t="str">
        <f t="shared" si="6"/>
        <v>NA</v>
      </c>
      <c r="AM41"/>
      <c r="AN41"/>
      <c r="AO41"/>
      <c r="AP41"/>
    </row>
    <row r="42" spans="1:44" s="145" customFormat="1" ht="12.95">
      <c r="A42" s="1"/>
      <c r="B42" s="456">
        <f t="shared" si="0"/>
        <v>38</v>
      </c>
      <c r="C42" s="1"/>
      <c r="D42" s="6" t="s">
        <v>1604</v>
      </c>
      <c r="E42" s="532">
        <f>'[7]EIA_Output QBtu'!G43/TbtuToQBtu</f>
        <v>714.21500000000003</v>
      </c>
      <c r="F42" s="532">
        <f>'[7]EIA_Output QBtu'!H43/TbtuToQBtu</f>
        <v>692.649</v>
      </c>
      <c r="G42" s="532">
        <f>'[7]EIA_Output QBtu'!I43/TbtuToQBtu</f>
        <v>797.70600000000002</v>
      </c>
      <c r="H42" s="532">
        <f>'[7]EIA_Output QBtu'!J43/TbtuToQBtu</f>
        <v>725.29600000000005</v>
      </c>
      <c r="I42" s="532">
        <f>'[7]EIA_Output QBtu'!K43/TbtuToQBtu</f>
        <v>723.1579999999999</v>
      </c>
      <c r="J42" s="532">
        <f>'[7]EIA_Output QBtu'!L43/TbtuToQBtu</f>
        <v>721.29399999999998</v>
      </c>
      <c r="K42" s="532">
        <f>'[7]EIA_Output QBtu'!M43/TbtuToQBtu</f>
        <v>756.83799999999997</v>
      </c>
      <c r="L42" s="532">
        <f>'[7]EIA_Output QBtu'!N43/TbtuToQBtu</f>
        <v>727.41</v>
      </c>
      <c r="M42" s="532">
        <f>'[7]EIA_Output QBtu'!O43/TbtuToQBtu</f>
        <v>858.48500000000001</v>
      </c>
      <c r="N42" s="532">
        <f>'[7]EIA_Output QBtu'!P43/TbtuToQBtu</f>
        <v>935.76400000000001</v>
      </c>
      <c r="O42" s="532">
        <f>'[7]EIA_Output QBtu'!Q43/TbtuToQBtu</f>
        <v>796.06899999999985</v>
      </c>
      <c r="P42" s="532">
        <f>'[7]EIA_Output QBtu'!R43/TbtuToQBtu</f>
        <v>857.57500000000005</v>
      </c>
      <c r="Q42" s="532">
        <f>'[7]EIA_Output QBtu'!S43/TbtuToQBtu</f>
        <v>842.08199999999999</v>
      </c>
      <c r="R42" s="532">
        <f>'[7]EIA_Output QBtu'!T43/TbtuToQBtu</f>
        <v>824.68799999999999</v>
      </c>
      <c r="S42" s="532">
        <f>'[7]EIA_Output QBtu'!U43/TbtuToQBtu</f>
        <v>936.76400000000001</v>
      </c>
      <c r="T42" s="532">
        <f>'[7]EIA_Output QBtu'!V43/TbtuToQBtu</f>
        <v>893.53300000000002</v>
      </c>
      <c r="U42" s="532">
        <f>'[7]EIA_Output QBtu'!W43/TbtuToQBtu</f>
        <v>937.85</v>
      </c>
      <c r="V42" s="532">
        <f>'[7]EIA_Output QBtu'!X43/TbtuToQBtu</f>
        <v>909.53599999999983</v>
      </c>
      <c r="W42" s="532">
        <f>'[7]EIA_Output QBtu'!Y43/TbtuToQBtu</f>
        <v>870.15</v>
      </c>
      <c r="X42" s="532">
        <f>'[7]EIA_Output QBtu'!Z43/TbtuToQBtu</f>
        <v>804.67499999999995</v>
      </c>
      <c r="Y42" s="532">
        <f>'[7]EIA_Output QBtu'!AA43/TbtuToQBtu</f>
        <v>693.9849999999999</v>
      </c>
      <c r="Z42" s="532">
        <f>'[7]EIA_Output QBtu'!AB43/TbtuToQBtu</f>
        <v>662.69600000000003</v>
      </c>
      <c r="AA42" s="532">
        <f>'[7]EIA_Output QBtu'!AC43/TbtuToQBtu</f>
        <v>716.74699999999984</v>
      </c>
      <c r="AB42" s="532">
        <f>'[7]EIA_Output QBtu'!AD43/TbtuToQBtu</f>
        <v>663.26099999999997</v>
      </c>
      <c r="AC42" s="532">
        <f>'[7]EIA_Output QBtu'!AE43/TbtuToQBtu</f>
        <v>653.46400000000006</v>
      </c>
      <c r="AD42" s="532">
        <f>'[7]EIA_Output QBtu'!AF43/TbtuToQBtu</f>
        <v>663.28599999999994</v>
      </c>
      <c r="AE42" s="532">
        <f>'[7]EIA_Output QBtu'!AG43/TbtuToQBtu</f>
        <v>652.68799999999987</v>
      </c>
      <c r="AF42" s="532">
        <f>'[7]EIA_Output QBtu'!AH43/TbtuToQBtu</f>
        <v>610.07100000000003</v>
      </c>
      <c r="AG42" s="532">
        <f>'[7]EIA_Output QBtu'!AI43/TbtuToQBtu</f>
        <v>628.62300000000005</v>
      </c>
      <c r="AH42" s="532">
        <f>'[7]EIA_Output QBtu'!AJ43/TbtuToQBtu</f>
        <v>602.32499999999993</v>
      </c>
      <c r="AI42" s="532">
        <f>'[7]EIA_Output QBtu'!AK43/TbtuToQBtu</f>
        <v>495.16800000000001</v>
      </c>
      <c r="AJ42" s="532">
        <f>'[7]EIA_Output QBtu'!AL43/TbtuToQBtu</f>
        <v>514.91899999999998</v>
      </c>
      <c r="AK42" s="532">
        <f>'[7]EIA_Output QBtu'!AM43/TbtuToQBtu</f>
        <v>484.69799999999998</v>
      </c>
      <c r="AL42" s="57">
        <f t="shared" si="6"/>
        <v>-5.8690784375795037E-2</v>
      </c>
      <c r="AM42"/>
      <c r="AN42"/>
      <c r="AO42"/>
      <c r="AP42"/>
    </row>
    <row r="43" spans="1:44" s="145" customFormat="1" ht="12.95">
      <c r="A43" s="1"/>
      <c r="B43" s="456">
        <f>B42+1</f>
        <v>39</v>
      </c>
      <c r="C43" s="1"/>
      <c r="D43" s="6" t="s">
        <v>1618</v>
      </c>
      <c r="E43" s="532">
        <f>'[7]EIA_Output QBtu'!G44/TbtuToQBtu</f>
        <v>1473.21</v>
      </c>
      <c r="F43" s="532">
        <f>'[7]EIA_Output QBtu'!H44/TbtuToQBtu</f>
        <v>1426.5540000000001</v>
      </c>
      <c r="G43" s="532">
        <f>'[7]EIA_Output QBtu'!I44/TbtuToQBtu</f>
        <v>1446.96</v>
      </c>
      <c r="H43" s="532">
        <f>'[7]EIA_Output QBtu'!J44/TbtuToQBtu</f>
        <v>1430.19</v>
      </c>
      <c r="I43" s="532">
        <f>'[7]EIA_Output QBtu'!K44/TbtuToQBtu</f>
        <v>1439.4059999999999</v>
      </c>
      <c r="J43" s="532">
        <f>'[7]EIA_Output QBtu'!L44/TbtuToQBtu</f>
        <v>1417.452</v>
      </c>
      <c r="K43" s="532">
        <f>'[7]EIA_Output QBtu'!M44/TbtuToQBtu</f>
        <v>1437.09</v>
      </c>
      <c r="L43" s="532">
        <f>'[7]EIA_Output QBtu'!N44/TbtuToQBtu</f>
        <v>1447.1039999999998</v>
      </c>
      <c r="M43" s="532">
        <f>'[7]EIA_Output QBtu'!O44/TbtuToQBtu</f>
        <v>1437.2339999999999</v>
      </c>
      <c r="N43" s="532">
        <f>'[7]EIA_Output QBtu'!P44/TbtuToQBtu</f>
        <v>1437.12</v>
      </c>
      <c r="O43" s="532">
        <f>'[7]EIA_Output QBtu'!Q44/TbtuToQBtu</f>
        <v>1448.19</v>
      </c>
      <c r="P43" s="532">
        <f>'[7]EIA_Output QBtu'!R44/TbtuToQBtu</f>
        <v>1466.5920000000001</v>
      </c>
      <c r="Q43" s="532">
        <f>'[7]EIA_Output QBtu'!S44/TbtuToQBtu</f>
        <v>1461.1020000000001</v>
      </c>
      <c r="R43" s="532">
        <f>'[7]EIA_Output QBtu'!T44/TbtuToQBtu</f>
        <v>1536.3059999999998</v>
      </c>
      <c r="S43" s="532">
        <f>'[7]EIA_Output QBtu'!U44/TbtuToQBtu</f>
        <v>1546.134</v>
      </c>
      <c r="T43" s="532">
        <f>'[7]EIA_Output QBtu'!V44/TbtuToQBtu</f>
        <v>1497.0840000000001</v>
      </c>
      <c r="U43" s="532">
        <f>'[7]EIA_Output QBtu'!W44/TbtuToQBtu</f>
        <v>1553.3579999999999</v>
      </c>
      <c r="V43" s="532">
        <f>'[7]EIA_Output QBtu'!X44/TbtuToQBtu</f>
        <v>1526.856</v>
      </c>
      <c r="W43" s="532">
        <f>'[7]EIA_Output QBtu'!Y44/TbtuToQBtu</f>
        <v>1470.3</v>
      </c>
      <c r="X43" s="532">
        <f>'[7]EIA_Output QBtu'!Z44/TbtuToQBtu</f>
        <v>1455.0179999999998</v>
      </c>
      <c r="Y43" s="532">
        <f>'[7]EIA_Output QBtu'!AA44/TbtuToQBtu</f>
        <v>1471.8119999999999</v>
      </c>
      <c r="Z43" s="532">
        <f>'[7]EIA_Output QBtu'!AB44/TbtuToQBtu</f>
        <v>1486.9739999999999</v>
      </c>
      <c r="AA43" s="532">
        <f>'[7]EIA_Output QBtu'!AC44/TbtuToQBtu</f>
        <v>1480.818</v>
      </c>
      <c r="AB43" s="532">
        <f>'[7]EIA_Output QBtu'!AD44/TbtuToQBtu</f>
        <v>1537.296</v>
      </c>
      <c r="AC43" s="532">
        <f>'[7]EIA_Output QBtu'!AE44/TbtuToQBtu</f>
        <v>1516.944</v>
      </c>
      <c r="AD43" s="532">
        <f>'[7]EIA_Output QBtu'!AF44/TbtuToQBtu</f>
        <v>1495.0259999999998</v>
      </c>
      <c r="AE43" s="532">
        <f>'[7]EIA_Output QBtu'!AG44/TbtuToQBtu</f>
        <v>1604.700167</v>
      </c>
      <c r="AF43" s="532">
        <f>'[7]EIA_Output QBtu'!AH44/TbtuToQBtu</f>
        <v>1582.8214069999999</v>
      </c>
      <c r="AG43" s="532">
        <f>'[7]EIA_Output QBtu'!AI44/TbtuToQBtu</f>
        <v>1612.156549</v>
      </c>
      <c r="AH43" s="532">
        <f>'[7]EIA_Output QBtu'!AJ44/TbtuToQBtu</f>
        <v>1533.4747440000001</v>
      </c>
      <c r="AI43" s="532">
        <f>'[7]EIA_Output QBtu'!AK44/TbtuToQBtu</f>
        <v>1404.786141</v>
      </c>
      <c r="AJ43" s="532">
        <f>'[7]EIA_Output QBtu'!AL44/TbtuToQBtu</f>
        <v>1476.2316089999997</v>
      </c>
      <c r="AK43" s="532">
        <f>'[7]EIA_Output QBtu'!AM44/TbtuToQBtu</f>
        <v>1517.449181</v>
      </c>
      <c r="AL43" s="57">
        <f t="shared" si="6"/>
        <v>2.7920803042498905E-2</v>
      </c>
      <c r="AM43"/>
      <c r="AN43"/>
      <c r="AO43"/>
      <c r="AP43"/>
    </row>
    <row r="44" spans="1:44" s="145" customFormat="1" ht="12.95">
      <c r="A44" s="1"/>
      <c r="B44" s="456">
        <f t="shared" si="0"/>
        <v>40</v>
      </c>
      <c r="C44" s="1"/>
      <c r="D44" s="6" t="s">
        <v>1619</v>
      </c>
      <c r="E44" s="532">
        <f>'[7]EIA_Output QBtu'!G45/TbtuToQBtu</f>
        <v>107.090688</v>
      </c>
      <c r="F44" s="532">
        <f>'[7]EIA_Output QBtu'!H45/TbtuToQBtu</f>
        <v>87.987967999999995</v>
      </c>
      <c r="G44" s="532">
        <f>'[7]EIA_Output QBtu'!I45/TbtuToQBtu</f>
        <v>104.5664</v>
      </c>
      <c r="H44" s="532">
        <f>'[7]EIA_Output QBtu'!J45/TbtuToQBtu</f>
        <v>104.582144</v>
      </c>
      <c r="I44" s="532">
        <f>'[7]EIA_Output QBtu'!K45/TbtuToQBtu</f>
        <v>81.050111999999999</v>
      </c>
      <c r="J44" s="532">
        <f>'[7]EIA_Output QBtu'!L45/TbtuToQBtu</f>
        <v>70.821759999999998</v>
      </c>
      <c r="K44" s="532">
        <f>'[7]EIA_Output QBtu'!M45/TbtuToQBtu</f>
        <v>74.542591999999999</v>
      </c>
      <c r="L44" s="532">
        <f>'[7]EIA_Output QBtu'!N45/TbtuToQBtu</f>
        <v>72.264960000000002</v>
      </c>
      <c r="M44" s="532">
        <f>'[7]EIA_Output QBtu'!O45/TbtuToQBtu</f>
        <v>107.274368</v>
      </c>
      <c r="N44" s="532">
        <f>'[7]EIA_Output QBtu'!P45/TbtuToQBtu</f>
        <v>145.39583999999999</v>
      </c>
      <c r="O44" s="532">
        <f>'[7]EIA_Output QBtu'!Q45/TbtuToQBtu</f>
        <v>97.376639999999995</v>
      </c>
      <c r="P44" s="532">
        <f>'[7]EIA_Output QBtu'!R45/TbtuToQBtu</f>
        <v>78.489087999999995</v>
      </c>
      <c r="Q44" s="532">
        <f>'[7]EIA_Output QBtu'!S45/TbtuToQBtu</f>
        <v>102.38848</v>
      </c>
      <c r="R44" s="532">
        <f>'[7]EIA_Output QBtu'!T45/TbtuToQBtu</f>
        <v>80.483328</v>
      </c>
      <c r="S44" s="532">
        <f>'[7]EIA_Output QBtu'!U45/TbtuToQBtu</f>
        <v>51.042048000000001</v>
      </c>
      <c r="T44" s="532">
        <f>'[7]EIA_Output QBtu'!V45/TbtuToQBtu</f>
        <v>62.512239487999999</v>
      </c>
      <c r="U44" s="532">
        <f>'[7]EIA_Output QBtu'!W45/TbtuToQBtu</f>
        <v>70.050487680000003</v>
      </c>
      <c r="V44" s="532">
        <f>'[7]EIA_Output QBtu'!X45/TbtuToQBtu</f>
        <v>78.037613055999998</v>
      </c>
      <c r="W44" s="532">
        <f>'[7]EIA_Output QBtu'!Y45/TbtuToQBtu</f>
        <v>84.885061759999999</v>
      </c>
      <c r="X44" s="532">
        <f>'[7]EIA_Output QBtu'!Z45/TbtuToQBtu</f>
        <v>46.170030464</v>
      </c>
      <c r="Y44" s="532">
        <f>'[7]EIA_Output QBtu'!AA45/TbtuToQBtu</f>
        <v>26.102455167999999</v>
      </c>
      <c r="Z44" s="532">
        <f>'[7]EIA_Output QBtu'!AB45/TbtuToQBtu</f>
        <v>22.614177792</v>
      </c>
      <c r="AA44" s="532">
        <f>'[7]EIA_Output QBtu'!AC45/TbtuToQBtu</f>
        <v>14.715166335999998</v>
      </c>
      <c r="AB44" s="532">
        <f>'[7]EIA_Output QBtu'!AD45/TbtuToQBtu</f>
        <v>100.016384</v>
      </c>
      <c r="AC44" s="532">
        <f>'[7]EIA_Output QBtu'!AE45/TbtuToQBtu</f>
        <v>106.11980800000001</v>
      </c>
      <c r="AD44" s="532">
        <f>'[7]EIA_Output QBtu'!AF45/TbtuToQBtu</f>
        <v>99.265919999999994</v>
      </c>
      <c r="AE44" s="532">
        <f>'[7]EIA_Output QBtu'!AG45/TbtuToQBtu</f>
        <v>93.577088000000003</v>
      </c>
      <c r="AF44" s="532">
        <f>'[7]EIA_Output QBtu'!AH45/TbtuToQBtu</f>
        <v>100.336512</v>
      </c>
      <c r="AG44" s="532">
        <f>'[7]EIA_Output QBtu'!AI45/TbtuToQBtu</f>
        <v>92.049919999999986</v>
      </c>
      <c r="AH44" s="532">
        <f>'[7]EIA_Output QBtu'!AJ45/TbtuToQBtu</f>
        <v>95.618560000000002</v>
      </c>
      <c r="AI44" s="532">
        <f>'[7]EIA_Output QBtu'!AK45/TbtuToQBtu</f>
        <v>86.550015999999985</v>
      </c>
      <c r="AJ44" s="532">
        <f>'[7]EIA_Output QBtu'!AL45/TbtuToQBtu</f>
        <v>81.228543999999999</v>
      </c>
      <c r="AK44" s="532">
        <f>'[7]EIA_Output QBtu'!AM45/TbtuToQBtu</f>
        <v>89.153024000000002</v>
      </c>
      <c r="AL44" s="57">
        <f t="shared" si="6"/>
        <v>9.7557824008269831E-2</v>
      </c>
      <c r="AM44"/>
      <c r="AN44"/>
      <c r="AO44"/>
      <c r="AP44"/>
    </row>
    <row r="45" spans="1:44" s="145" customFormat="1" ht="12.95">
      <c r="A45" s="1"/>
      <c r="B45" s="456">
        <f t="shared" si="0"/>
        <v>41</v>
      </c>
      <c r="C45" s="1"/>
      <c r="D45" s="6" t="s">
        <v>1620</v>
      </c>
      <c r="E45" s="532">
        <f>'[7]EIA_Output QBtu'!G46/TbtuToQBtu</f>
        <v>0</v>
      </c>
      <c r="F45" s="532">
        <f>'[7]EIA_Output QBtu'!H46/TbtuToQBtu</f>
        <v>0</v>
      </c>
      <c r="G45" s="532">
        <f>'[7]EIA_Output QBtu'!I46/TbtuToQBtu</f>
        <v>0</v>
      </c>
      <c r="H45" s="532">
        <f>'[7]EIA_Output QBtu'!J46/TbtuToQBtu</f>
        <v>0</v>
      </c>
      <c r="I45" s="532">
        <f>'[7]EIA_Output QBtu'!K46/TbtuToQBtu</f>
        <v>0</v>
      </c>
      <c r="J45" s="532">
        <f>'[7]EIA_Output QBtu'!L46/TbtuToQBtu</f>
        <v>0</v>
      </c>
      <c r="K45" s="532">
        <f>'[7]EIA_Output QBtu'!M46/TbtuToQBtu</f>
        <v>0</v>
      </c>
      <c r="L45" s="532">
        <f>'[7]EIA_Output QBtu'!N46/TbtuToQBtu</f>
        <v>0</v>
      </c>
      <c r="M45" s="532">
        <f>'[7]EIA_Output QBtu'!O46/TbtuToQBtu</f>
        <v>0</v>
      </c>
      <c r="N45" s="532">
        <f>'[7]EIA_Output QBtu'!P46/TbtuToQBtu</f>
        <v>0</v>
      </c>
      <c r="O45" s="532">
        <f>'[7]EIA_Output QBtu'!Q46/TbtuToQBtu</f>
        <v>0</v>
      </c>
      <c r="P45" s="532">
        <f>'[7]EIA_Output QBtu'!R46/TbtuToQBtu</f>
        <v>0</v>
      </c>
      <c r="Q45" s="532">
        <f>'[7]EIA_Output QBtu'!S46/TbtuToQBtu</f>
        <v>0</v>
      </c>
      <c r="R45" s="532">
        <f>'[7]EIA_Output QBtu'!T46/TbtuToQBtu</f>
        <v>0</v>
      </c>
      <c r="S45" s="532">
        <f>'[7]EIA_Output QBtu'!U46/TbtuToQBtu</f>
        <v>0</v>
      </c>
      <c r="T45" s="532">
        <f>'[7]EIA_Output QBtu'!V46/TbtuToQBtu</f>
        <v>0</v>
      </c>
      <c r="U45" s="532">
        <f>'[7]EIA_Output QBtu'!W46/TbtuToQBtu</f>
        <v>0</v>
      </c>
      <c r="V45" s="532">
        <f>'[7]EIA_Output QBtu'!X46/TbtuToQBtu</f>
        <v>0</v>
      </c>
      <c r="W45" s="532">
        <f>'[7]EIA_Output QBtu'!Y46/TbtuToQBtu</f>
        <v>0</v>
      </c>
      <c r="X45" s="532">
        <f>'[7]EIA_Output QBtu'!Z46/TbtuToQBtu</f>
        <v>0</v>
      </c>
      <c r="Y45" s="532">
        <f>'[7]EIA_Output QBtu'!AA46/TbtuToQBtu</f>
        <v>0</v>
      </c>
      <c r="Z45" s="532">
        <f>'[7]EIA_Output QBtu'!AB46/TbtuToQBtu</f>
        <v>0</v>
      </c>
      <c r="AA45" s="532">
        <f>'[7]EIA_Output QBtu'!AC46/TbtuToQBtu</f>
        <v>0</v>
      </c>
      <c r="AB45" s="532">
        <f>'[7]EIA_Output QBtu'!AD46/TbtuToQBtu</f>
        <v>0</v>
      </c>
      <c r="AC45" s="532">
        <f>'[7]EIA_Output QBtu'!AE46/TbtuToQBtu</f>
        <v>0</v>
      </c>
      <c r="AD45" s="532">
        <f>'[7]EIA_Output QBtu'!AF46/TbtuToQBtu</f>
        <v>0</v>
      </c>
      <c r="AE45" s="532">
        <f>'[7]EIA_Output QBtu'!AG46/TbtuToQBtu</f>
        <v>0</v>
      </c>
      <c r="AF45" s="532">
        <f>'[7]EIA_Output QBtu'!AH46/TbtuToQBtu</f>
        <v>0</v>
      </c>
      <c r="AG45" s="532">
        <f>'[7]EIA_Output QBtu'!AI46/TbtuToQBtu</f>
        <v>0</v>
      </c>
      <c r="AH45" s="532">
        <f>'[7]EIA_Output QBtu'!AJ46/TbtuToQBtu</f>
        <v>0</v>
      </c>
      <c r="AI45" s="532">
        <f>'[7]EIA_Output QBtu'!AK46/TbtuToQBtu</f>
        <v>0</v>
      </c>
      <c r="AJ45" s="532">
        <f>'[7]EIA_Output QBtu'!AL46/TbtuToQBtu</f>
        <v>0</v>
      </c>
      <c r="AK45" s="532">
        <f>'[7]EIA_Output QBtu'!AM46/TbtuToQBtu</f>
        <v>0</v>
      </c>
      <c r="AL45" s="57" t="str">
        <f t="shared" si="6"/>
        <v>NA</v>
      </c>
      <c r="AM45"/>
      <c r="AN45"/>
      <c r="AO45"/>
      <c r="AP45"/>
    </row>
    <row r="46" spans="1:44" s="145" customFormat="1" ht="12.95">
      <c r="A46" s="1"/>
      <c r="B46" s="456">
        <f t="shared" si="0"/>
        <v>42</v>
      </c>
      <c r="C46" s="1"/>
      <c r="D46" s="6" t="s">
        <v>1621</v>
      </c>
      <c r="E46" s="532">
        <f>'[7]EIA_Output QBtu'!G47/TbtuToQBtu</f>
        <v>33.299517999999999</v>
      </c>
      <c r="F46" s="532">
        <f>'[7]EIA_Output QBtu'!H47/TbtuToQBtu</f>
        <v>35.126728</v>
      </c>
      <c r="G46" s="532">
        <f>'[7]EIA_Output QBtu'!I47/TbtuToQBtu</f>
        <v>37.258473000000002</v>
      </c>
      <c r="H46" s="532">
        <f>'[7]EIA_Output QBtu'!J47/TbtuToQBtu</f>
        <v>40.026972999999998</v>
      </c>
      <c r="I46" s="532">
        <f>'[7]EIA_Output QBtu'!K47/TbtuToQBtu</f>
        <v>40.586210000000001</v>
      </c>
      <c r="J46" s="532">
        <f>'[7]EIA_Output QBtu'!L47/TbtuToQBtu</f>
        <v>40.591746999999998</v>
      </c>
      <c r="K46" s="532">
        <f>'[7]EIA_Output QBtu'!M47/TbtuToQBtu</f>
        <v>48.664693</v>
      </c>
      <c r="L46" s="532">
        <f>'[7]EIA_Output QBtu'!N47/TbtuToQBtu</f>
        <v>43.7423</v>
      </c>
      <c r="M46" s="532">
        <f>'[7]EIA_Output QBtu'!O47/TbtuToQBtu</f>
        <v>42.369123999999999</v>
      </c>
      <c r="N46" s="532">
        <f>'[7]EIA_Output QBtu'!P47/TbtuToQBtu</f>
        <v>37.435656999999999</v>
      </c>
      <c r="O46" s="532">
        <f>'[7]EIA_Output QBtu'!Q47/TbtuToQBtu</f>
        <v>33.083575000000003</v>
      </c>
      <c r="P46" s="532">
        <f>'[7]EIA_Output QBtu'!R47/TbtuToQBtu</f>
        <v>36.333793999999997</v>
      </c>
      <c r="Q46" s="532">
        <f>'[7]EIA_Output QBtu'!S47/TbtuToQBtu</f>
        <v>32.169969999999999</v>
      </c>
      <c r="R46" s="532">
        <f>'[7]EIA_Output QBtu'!T47/TbtuToQBtu</f>
        <v>31.045959</v>
      </c>
      <c r="S46" s="532">
        <f>'[7]EIA_Output QBtu'!U47/TbtuToQBtu</f>
        <v>30.769109</v>
      </c>
      <c r="T46" s="532">
        <f>'[7]EIA_Output QBtu'!V47/TbtuToQBtu</f>
        <v>31.367453831000002</v>
      </c>
      <c r="U46" s="532">
        <f>'[7]EIA_Output QBtu'!W47/TbtuToQBtu</f>
        <v>26.145730610999998</v>
      </c>
      <c r="V46" s="532">
        <f>'[7]EIA_Output QBtu'!X47/TbtuToQBtu</f>
        <v>21.886576082000001</v>
      </c>
      <c r="W46" s="532">
        <f>'[7]EIA_Output QBtu'!Y47/TbtuToQBtu</f>
        <v>19.142239549999999</v>
      </c>
      <c r="X46" s="532">
        <f>'[7]EIA_Output QBtu'!Z47/TbtuToQBtu</f>
        <v>12.222667260999998</v>
      </c>
      <c r="Y46" s="532">
        <f>'[7]EIA_Output QBtu'!AA47/TbtuToQBtu</f>
        <v>17.082724715000001</v>
      </c>
      <c r="Z46" s="532">
        <f>'[7]EIA_Output QBtu'!AB47/TbtuToQBtu</f>
        <v>15.074953145</v>
      </c>
      <c r="AA46" s="532">
        <f>'[7]EIA_Output QBtu'!AC47/TbtuToQBtu</f>
        <v>15.291095477000001</v>
      </c>
      <c r="AB46" s="532">
        <f>'[7]EIA_Output QBtu'!AD47/TbtuToQBtu</f>
        <v>16.488781799000002</v>
      </c>
      <c r="AC46" s="532">
        <f>'[7]EIA_Output QBtu'!AE47/TbtuToQBtu</f>
        <v>14.783479928</v>
      </c>
      <c r="AD46" s="532">
        <f>'[7]EIA_Output QBtu'!AF47/TbtuToQBtu</f>
        <v>12.357388007999999</v>
      </c>
      <c r="AE46" s="532">
        <f>'[7]EIA_Output QBtu'!AG47/TbtuToQBtu</f>
        <v>12.84910683</v>
      </c>
      <c r="AF46" s="532">
        <f>'[7]EIA_Output QBtu'!AH47/TbtuToQBtu</f>
        <v>10.161640824999997</v>
      </c>
      <c r="AG46" s="532">
        <f>'[7]EIA_Output QBtu'!AI47/TbtuToQBtu</f>
        <v>12.411722589</v>
      </c>
      <c r="AH46" s="532">
        <f>'[7]EIA_Output QBtu'!AJ47/TbtuToQBtu</f>
        <v>10.423690423999998</v>
      </c>
      <c r="AI46" s="532">
        <f>'[7]EIA_Output QBtu'!AK47/TbtuToQBtu</f>
        <v>9.2053898509999996</v>
      </c>
      <c r="AJ46" s="532">
        <f>'[7]EIA_Output QBtu'!AL47/TbtuToQBtu</f>
        <v>11.791190998999999</v>
      </c>
      <c r="AK46" s="532">
        <f>'[7]EIA_Output QBtu'!AM47/TbtuToQBtu</f>
        <v>13.038350416</v>
      </c>
      <c r="AL46" s="57">
        <f t="shared" si="6"/>
        <v>0.10577043634572378</v>
      </c>
      <c r="AM46"/>
      <c r="AN46"/>
      <c r="AO46"/>
      <c r="AP46"/>
    </row>
    <row r="47" spans="1:44" ht="12.95">
      <c r="A47" s="1"/>
      <c r="B47" s="456">
        <f t="shared" si="0"/>
        <v>43</v>
      </c>
      <c r="C47" s="458" t="s">
        <v>1445</v>
      </c>
      <c r="D47" s="4"/>
      <c r="E47" s="462">
        <f>SUM(E48:E56)</f>
        <v>22245.487667015866</v>
      </c>
      <c r="F47" s="462">
        <f>SUM(F48:F56)</f>
        <v>21743.140806419928</v>
      </c>
      <c r="G47" s="462">
        <f t="shared" ref="G47:L47" si="39">SUM(G48:G56)</f>
        <v>22336.023169549855</v>
      </c>
      <c r="H47" s="462">
        <f t="shared" si="39"/>
        <v>22681.951841792681</v>
      </c>
      <c r="I47" s="462">
        <f t="shared" si="39"/>
        <v>23376.559025152605</v>
      </c>
      <c r="J47" s="462">
        <f t="shared" si="39"/>
        <v>23773.976469330817</v>
      </c>
      <c r="K47" s="462">
        <f t="shared" si="39"/>
        <v>24396.284175957229</v>
      </c>
      <c r="L47" s="462">
        <f t="shared" si="39"/>
        <v>24731.585802663329</v>
      </c>
      <c r="M47" s="462">
        <f t="shared" ref="M47:V47" si="40">SUM(M48:M56)</f>
        <v>25244.655594583295</v>
      </c>
      <c r="N47" s="462">
        <f t="shared" si="40"/>
        <v>26113.18807500296</v>
      </c>
      <c r="O47" s="462">
        <f t="shared" si="40"/>
        <v>26558.685909046995</v>
      </c>
      <c r="P47" s="462">
        <f t="shared" si="40"/>
        <v>26142.707080207096</v>
      </c>
      <c r="Q47" s="462">
        <f t="shared" si="40"/>
        <v>26701.596939669711</v>
      </c>
      <c r="R47" s="462">
        <f t="shared" si="40"/>
        <v>26641.94978761809</v>
      </c>
      <c r="S47" s="462">
        <f t="shared" si="40"/>
        <v>27367.185205455229</v>
      </c>
      <c r="T47" s="462">
        <f t="shared" si="40"/>
        <v>27707.387122542666</v>
      </c>
      <c r="U47" s="462">
        <f t="shared" si="40"/>
        <v>27603.752618791885</v>
      </c>
      <c r="V47" s="462">
        <f t="shared" si="40"/>
        <v>27595.36431409897</v>
      </c>
      <c r="W47" s="462">
        <f t="shared" ref="W47:AC47" si="41">SUM(W48:W56)</f>
        <v>26355.068614098807</v>
      </c>
      <c r="X47" s="462">
        <f t="shared" si="41"/>
        <v>25206.475977828424</v>
      </c>
      <c r="Y47" s="462">
        <f t="shared" si="41"/>
        <v>25516.564646000759</v>
      </c>
      <c r="Z47" s="462">
        <f t="shared" si="41"/>
        <v>25090.502441877394</v>
      </c>
      <c r="AA47" s="462">
        <f t="shared" si="41"/>
        <v>24883.262677241859</v>
      </c>
      <c r="AB47" s="462">
        <f t="shared" si="41"/>
        <v>25021.530793397236</v>
      </c>
      <c r="AC47" s="462">
        <f t="shared" si="41"/>
        <v>25603.865218706476</v>
      </c>
      <c r="AD47" s="462">
        <f>SUM(AD48:AD56)</f>
        <v>25873.008519914703</v>
      </c>
      <c r="AE47" s="462">
        <f>SUM(AE48:AE56)</f>
        <v>26491.301184236345</v>
      </c>
      <c r="AF47" s="462">
        <f>SUM(AF48:AF56)</f>
        <v>26831.809748585176</v>
      </c>
      <c r="AG47" s="462">
        <f t="shared" ref="AG47:AH47" si="42">SUM(AG48:AG56)</f>
        <v>27360.779745964061</v>
      </c>
      <c r="AH47" s="462">
        <f t="shared" si="42"/>
        <v>27328.831917618383</v>
      </c>
      <c r="AI47" s="462">
        <f>SUM(AI48:AI56)</f>
        <v>23278.751498516569</v>
      </c>
      <c r="AJ47" s="462">
        <f>SUM(AJ48:AJ56)</f>
        <v>25976.456358102576</v>
      </c>
      <c r="AK47" s="462">
        <f>SUM(AK48:AK56)</f>
        <v>26604.699580575718</v>
      </c>
      <c r="AL47" s="57">
        <f t="shared" si="6"/>
        <v>2.4185101070461457E-2</v>
      </c>
      <c r="AM47"/>
      <c r="AN47"/>
      <c r="AO47"/>
      <c r="AP47"/>
      <c r="AQ47"/>
      <c r="AR47"/>
    </row>
    <row r="48" spans="1:44" s="145" customFormat="1" ht="12.95">
      <c r="A48" s="1"/>
      <c r="B48" s="456">
        <f t="shared" si="0"/>
        <v>44</v>
      </c>
      <c r="C48" s="1"/>
      <c r="D48" s="45" t="s">
        <v>1435</v>
      </c>
      <c r="E48" s="532">
        <v>0</v>
      </c>
      <c r="F48" s="532">
        <v>0</v>
      </c>
      <c r="G48" s="532">
        <v>0</v>
      </c>
      <c r="H48" s="532">
        <v>0</v>
      </c>
      <c r="I48" s="532">
        <v>0</v>
      </c>
      <c r="J48" s="532">
        <v>0</v>
      </c>
      <c r="K48" s="532">
        <v>0</v>
      </c>
      <c r="L48" s="532">
        <v>0</v>
      </c>
      <c r="M48" s="532">
        <v>0</v>
      </c>
      <c r="N48" s="532">
        <v>0</v>
      </c>
      <c r="O48" s="532">
        <v>0</v>
      </c>
      <c r="P48" s="532">
        <v>0</v>
      </c>
      <c r="Q48" s="532">
        <v>0</v>
      </c>
      <c r="R48" s="532">
        <v>0</v>
      </c>
      <c r="S48" s="532">
        <v>0</v>
      </c>
      <c r="T48" s="532">
        <v>0</v>
      </c>
      <c r="U48" s="532">
        <v>0</v>
      </c>
      <c r="V48" s="532">
        <v>0</v>
      </c>
      <c r="W48" s="532">
        <v>0</v>
      </c>
      <c r="X48" s="532">
        <v>0</v>
      </c>
      <c r="Y48" s="532">
        <v>0</v>
      </c>
      <c r="Z48" s="532">
        <v>0</v>
      </c>
      <c r="AA48" s="532">
        <v>0</v>
      </c>
      <c r="AB48" s="532">
        <v>0</v>
      </c>
      <c r="AC48" s="532">
        <v>0</v>
      </c>
      <c r="AD48" s="532">
        <v>0</v>
      </c>
      <c r="AE48" s="532">
        <v>0</v>
      </c>
      <c r="AF48" s="532">
        <v>0</v>
      </c>
      <c r="AG48" s="532">
        <v>0</v>
      </c>
      <c r="AH48" s="532">
        <v>0</v>
      </c>
      <c r="AI48" s="532">
        <v>0</v>
      </c>
      <c r="AJ48" s="532">
        <v>0</v>
      </c>
      <c r="AK48" s="532">
        <v>0</v>
      </c>
      <c r="AL48" s="57" t="str">
        <f t="shared" si="6"/>
        <v>NA</v>
      </c>
      <c r="AM48"/>
      <c r="AN48"/>
      <c r="AO48"/>
      <c r="AP48"/>
    </row>
    <row r="49" spans="1:44" s="145" customFormat="1" ht="12.95">
      <c r="A49" s="1"/>
      <c r="B49" s="456">
        <f t="shared" si="0"/>
        <v>45</v>
      </c>
      <c r="C49" s="1"/>
      <c r="D49" s="45" t="s">
        <v>1439</v>
      </c>
      <c r="E49" s="532">
        <f>'[7]EIA_Output QBtu'!G50/TbtuToQBtu</f>
        <v>679.22799999999995</v>
      </c>
      <c r="F49" s="532">
        <f>'[7]EIA_Output QBtu'!H50/TbtuToQBtu</f>
        <v>620.32399999999996</v>
      </c>
      <c r="G49" s="532">
        <f>'[7]EIA_Output QBtu'!I50/TbtuToQBtu</f>
        <v>608.10599999999999</v>
      </c>
      <c r="H49" s="532">
        <f>'[7]EIA_Output QBtu'!J50/TbtuToQBtu</f>
        <v>644.101</v>
      </c>
      <c r="I49" s="532">
        <f>'[7]EIA_Output QBtu'!K50/TbtuToQBtu</f>
        <v>708.53800000000001</v>
      </c>
      <c r="J49" s="532">
        <f>'[7]EIA_Output QBtu'!L50/TbtuToQBtu</f>
        <v>723.952</v>
      </c>
      <c r="K49" s="532">
        <f>'[7]EIA_Output QBtu'!M50/TbtuToQBtu</f>
        <v>736.88599999999997</v>
      </c>
      <c r="L49" s="532">
        <f>'[7]EIA_Output QBtu'!N50/TbtuToQBtu</f>
        <v>780.31200000000001</v>
      </c>
      <c r="M49" s="532">
        <f>'[7]EIA_Output QBtu'!O50/TbtuToQBtu</f>
        <v>666.09699999999998</v>
      </c>
      <c r="N49" s="532">
        <f>'[7]EIA_Output QBtu'!P50/TbtuToQBtu</f>
        <v>675.33500000000004</v>
      </c>
      <c r="O49" s="532">
        <f>'[7]EIA_Output QBtu'!Q50/TbtuToQBtu</f>
        <v>671.99099999999999</v>
      </c>
      <c r="P49" s="532">
        <f>'[7]EIA_Output QBtu'!R50/TbtuToQBtu</f>
        <v>658.04600000000005</v>
      </c>
      <c r="Q49" s="532">
        <f>'[7]EIA_Output QBtu'!S50/TbtuToQBtu</f>
        <v>698.91600000000005</v>
      </c>
      <c r="R49" s="532">
        <f>'[7]EIA_Output QBtu'!T50/TbtuToQBtu</f>
        <v>627.44600000000003</v>
      </c>
      <c r="S49" s="532">
        <f>'[7]EIA_Output QBtu'!U50/TbtuToQBtu</f>
        <v>601.95500000000004</v>
      </c>
      <c r="T49" s="532">
        <f>'[7]EIA_Output QBtu'!V50/TbtuToQBtu</f>
        <v>623.90300000000002</v>
      </c>
      <c r="U49" s="532">
        <f>'[7]EIA_Output QBtu'!W50/TbtuToQBtu</f>
        <v>624.97500000000002</v>
      </c>
      <c r="V49" s="532">
        <f>'[7]EIA_Output QBtu'!X50/TbtuToQBtu</f>
        <v>663.46199999999999</v>
      </c>
      <c r="W49" s="532">
        <f>'[7]EIA_Output QBtu'!Y50/TbtuToQBtu</f>
        <v>692.13400000000001</v>
      </c>
      <c r="X49" s="532">
        <f>'[7]EIA_Output QBtu'!Z50/TbtuToQBtu</f>
        <v>714.87199999999996</v>
      </c>
      <c r="Y49" s="532">
        <f>'[7]EIA_Output QBtu'!AA50/TbtuToQBtu</f>
        <v>718.952</v>
      </c>
      <c r="Z49" s="532">
        <f>'[7]EIA_Output QBtu'!AB50/TbtuToQBtu</f>
        <v>733.548</v>
      </c>
      <c r="AA49" s="532">
        <f>'[7]EIA_Output QBtu'!AC50/TbtuToQBtu</f>
        <v>779.779</v>
      </c>
      <c r="AB49" s="532">
        <f>'[7]EIA_Output QBtu'!AD50/TbtuToQBtu</f>
        <v>887.27299999999991</v>
      </c>
      <c r="AC49" s="532">
        <f>'[7]EIA_Output QBtu'!AE50/TbtuToQBtu</f>
        <v>759.702</v>
      </c>
      <c r="AD49" s="532">
        <f>'[7]EIA_Output QBtu'!AF50/TbtuToQBtu</f>
        <v>744.84100000000001</v>
      </c>
      <c r="AE49" s="532">
        <f>'[7]EIA_Output QBtu'!AG50/TbtuToQBtu</f>
        <v>757.18200000000002</v>
      </c>
      <c r="AF49" s="532">
        <f>'[7]EIA_Output QBtu'!AH50/TbtuToQBtu</f>
        <v>798.56399999999996</v>
      </c>
      <c r="AG49" s="532">
        <f>'[7]EIA_Output QBtu'!AI50/TbtuToQBtu</f>
        <v>962.17200000000003</v>
      </c>
      <c r="AH49" s="532">
        <f>'[7]EIA_Output QBtu'!AJ50/TbtuToQBtu</f>
        <v>1114.1110000000001</v>
      </c>
      <c r="AI49" s="532">
        <f>'[7]EIA_Output QBtu'!AK50/TbtuToQBtu</f>
        <v>1108.6599999999999</v>
      </c>
      <c r="AJ49" s="532">
        <f>'[7]EIA_Output QBtu'!AL50/TbtuToQBtu</f>
        <v>1232.2249999999999</v>
      </c>
      <c r="AK49" s="532">
        <f>'[7]EIA_Output QBtu'!AM50/TbtuToQBtu</f>
        <v>1325.87</v>
      </c>
      <c r="AL49" s="57">
        <f t="shared" si="6"/>
        <v>7.5996672685589073E-2</v>
      </c>
      <c r="AM49"/>
      <c r="AN49"/>
      <c r="AO49"/>
      <c r="AP49"/>
    </row>
    <row r="50" spans="1:44" s="145" customFormat="1" ht="12.95">
      <c r="A50" s="1"/>
      <c r="B50" s="456">
        <f t="shared" si="0"/>
        <v>46</v>
      </c>
      <c r="C50" s="1"/>
      <c r="D50" s="45" t="s">
        <v>1622</v>
      </c>
      <c r="E50" s="532">
        <f>'[7]EIA_Output QBtu'!G51/TbtuToQBtu</f>
        <v>44.978000000000002</v>
      </c>
      <c r="F50" s="532">
        <f>'[7]EIA_Output QBtu'!H51/TbtuToQBtu</f>
        <v>41.722000000000001</v>
      </c>
      <c r="G50" s="532">
        <f>'[7]EIA_Output QBtu'!I51/TbtuToQBtu</f>
        <v>41.055</v>
      </c>
      <c r="H50" s="532">
        <f>'[7]EIA_Output QBtu'!J51/TbtuToQBtu</f>
        <v>38.395000000000003</v>
      </c>
      <c r="I50" s="532">
        <f>'[7]EIA_Output QBtu'!K51/TbtuToQBtu</f>
        <v>38.137999999999998</v>
      </c>
      <c r="J50" s="532">
        <f>'[7]EIA_Output QBtu'!L51/TbtuToQBtu</f>
        <v>39.581000000000003</v>
      </c>
      <c r="K50" s="532">
        <f>'[7]EIA_Output QBtu'!M51/TbtuToQBtu</f>
        <v>37.354999999999997</v>
      </c>
      <c r="L50" s="532">
        <f>'[7]EIA_Output QBtu'!N51/TbtuToQBtu</f>
        <v>39.697000000000003</v>
      </c>
      <c r="M50" s="532">
        <f>'[7]EIA_Output QBtu'!O51/TbtuToQBtu</f>
        <v>35.497999999999998</v>
      </c>
      <c r="N50" s="532">
        <f>'[7]EIA_Output QBtu'!P51/TbtuToQBtu</f>
        <v>39.171999999999997</v>
      </c>
      <c r="O50" s="532">
        <f>'[7]EIA_Output QBtu'!Q51/TbtuToQBtu</f>
        <v>36.284999999999997</v>
      </c>
      <c r="P50" s="532">
        <f>'[7]EIA_Output QBtu'!R51/TbtuToQBtu</f>
        <v>34.936999999999998</v>
      </c>
      <c r="Q50" s="532">
        <f>'[7]EIA_Output QBtu'!S51/TbtuToQBtu</f>
        <v>33.731000000000002</v>
      </c>
      <c r="R50" s="532">
        <f>'[7]EIA_Output QBtu'!T51/TbtuToQBtu</f>
        <v>30.222000000000001</v>
      </c>
      <c r="S50" s="532">
        <f>'[7]EIA_Output QBtu'!U51/TbtuToQBtu</f>
        <v>31.242000000000001</v>
      </c>
      <c r="T50" s="532">
        <f>'[7]EIA_Output QBtu'!V51/TbtuToQBtu</f>
        <v>35.366</v>
      </c>
      <c r="U50" s="532">
        <f>'[7]EIA_Output QBtu'!W51/TbtuToQBtu</f>
        <v>33.448</v>
      </c>
      <c r="V50" s="532">
        <f>'[7]EIA_Output QBtu'!X51/TbtuToQBtu</f>
        <v>31.59</v>
      </c>
      <c r="W50" s="532">
        <f>'[7]EIA_Output QBtu'!Y51/TbtuToQBtu</f>
        <v>28.283999999999999</v>
      </c>
      <c r="X50" s="532">
        <f>'[7]EIA_Output QBtu'!Z51/TbtuToQBtu</f>
        <v>26.557999999999996</v>
      </c>
      <c r="Y50" s="532">
        <f>'[7]EIA_Output QBtu'!AA51/TbtuToQBtu</f>
        <v>27.047000000000001</v>
      </c>
      <c r="Z50" s="532">
        <f>'[7]EIA_Output QBtu'!AB51/TbtuToQBtu</f>
        <v>27.056999999999999</v>
      </c>
      <c r="AA50" s="532">
        <f>'[7]EIA_Output QBtu'!AC51/TbtuToQBtu</f>
        <v>25.114000000000001</v>
      </c>
      <c r="AB50" s="532">
        <f>'[7]EIA_Output QBtu'!AD51/TbtuToQBtu</f>
        <v>22.358000000000001</v>
      </c>
      <c r="AC50" s="532">
        <f>'[7]EIA_Output QBtu'!AE51/TbtuToQBtu</f>
        <v>21.695999999999998</v>
      </c>
      <c r="AD50" s="532">
        <f>'[7]EIA_Output QBtu'!AF51/TbtuToQBtu</f>
        <v>21.140999999999995</v>
      </c>
      <c r="AE50" s="532">
        <f>'[7]EIA_Output QBtu'!AG51/TbtuToQBtu</f>
        <v>20.465</v>
      </c>
      <c r="AF50" s="532">
        <f>'[7]EIA_Output QBtu'!AH51/TbtuToQBtu</f>
        <v>20.949000000000002</v>
      </c>
      <c r="AG50" s="532">
        <f>'[7]EIA_Output QBtu'!AI51/TbtuToQBtu</f>
        <v>22.393000000000001</v>
      </c>
      <c r="AH50" s="532">
        <f>'[7]EIA_Output QBtu'!AJ51/TbtuToQBtu</f>
        <v>23.387</v>
      </c>
      <c r="AI50" s="532">
        <f>'[7]EIA_Output QBtu'!AK51/TbtuToQBtu</f>
        <v>20.202000000000002</v>
      </c>
      <c r="AJ50" s="532">
        <f>'[7]EIA_Output QBtu'!AL51/TbtuToQBtu</f>
        <v>21.55</v>
      </c>
      <c r="AK50" s="532">
        <f>'[7]EIA_Output QBtu'!AM51/TbtuToQBtu</f>
        <v>22.306999999999995</v>
      </c>
      <c r="AL50" s="57">
        <f t="shared" si="6"/>
        <v>3.512761020881644E-2</v>
      </c>
      <c r="AM50"/>
      <c r="AN50"/>
      <c r="AO50"/>
      <c r="AP50"/>
    </row>
    <row r="51" spans="1:44" s="145" customFormat="1" ht="12.95">
      <c r="A51" s="1"/>
      <c r="B51" s="456">
        <f t="shared" si="0"/>
        <v>47</v>
      </c>
      <c r="C51" s="1"/>
      <c r="D51" s="45" t="s">
        <v>1598</v>
      </c>
      <c r="E51" s="641">
        <f>[8]Summary!B$10</f>
        <v>3712.8010494047617</v>
      </c>
      <c r="F51" s="641">
        <f>[8]Summary!C$10</f>
        <v>3598.9672351190479</v>
      </c>
      <c r="G51" s="641">
        <f>[8]Summary!D$10</f>
        <v>3811.6465839285711</v>
      </c>
      <c r="H51" s="641">
        <f>[8]Summary!E$10</f>
        <v>4036.036401785715</v>
      </c>
      <c r="I51" s="641">
        <f>[8]Summary!F$10</f>
        <v>4308.1451744047627</v>
      </c>
      <c r="J51" s="641">
        <f>[8]Summary!G$10</f>
        <v>4508.9989410714297</v>
      </c>
      <c r="K51" s="641">
        <f>[8]Summary!H$10</f>
        <v>4713.094042857143</v>
      </c>
      <c r="L51" s="641">
        <f>[8]Summary!I$10</f>
        <v>4927.6624946428565</v>
      </c>
      <c r="M51" s="641">
        <f>[8]Summary!J$10</f>
        <v>5113.9790029761907</v>
      </c>
      <c r="N51" s="641">
        <f>[8]Summary!K$10</f>
        <v>5364.8889363095241</v>
      </c>
      <c r="O51" s="641">
        <f>[8]Summary!L$10</f>
        <v>5528.261324458158</v>
      </c>
      <c r="P51" s="641">
        <f>[8]Summary!M$10</f>
        <v>5489.3510178571441</v>
      </c>
      <c r="Q51" s="641">
        <f>[8]Summary!N$10</f>
        <v>5678.4138750000002</v>
      </c>
      <c r="R51" s="641">
        <f>[8]Summary!O$10</f>
        <v>5814.7696357142859</v>
      </c>
      <c r="S51" s="641">
        <f>[8]Summary!P$10</f>
        <v>6061.2517369047628</v>
      </c>
      <c r="T51" s="641">
        <f>[8]Summary!Q$10</f>
        <v>6320.699455952381</v>
      </c>
      <c r="U51" s="641">
        <f>[8]Summary!R$10</f>
        <v>6477.9353452380956</v>
      </c>
      <c r="V51" s="641">
        <f>[8]Summary!S$10</f>
        <v>6551.0562928571426</v>
      </c>
      <c r="W51" s="641">
        <f>[8]Summary!T$10</f>
        <v>6229.1028145244054</v>
      </c>
      <c r="X51" s="641">
        <f>[8]Summary!U$10</f>
        <v>5605.7221304398809</v>
      </c>
      <c r="Y51" s="641">
        <f>[8]Summary!V$10</f>
        <v>5857.5844457255953</v>
      </c>
      <c r="Z51" s="641">
        <f>[8]Summary!W$10</f>
        <v>5875.2594188077364</v>
      </c>
      <c r="AA51" s="641">
        <f>[8]Summary!X$10</f>
        <v>5843.1484955148835</v>
      </c>
      <c r="AB51" s="641">
        <f>[8]Summary!Y$10</f>
        <v>5870.6860832964303</v>
      </c>
      <c r="AC51" s="641">
        <f>[8]Summary!Z$10</f>
        <v>6073.8520259787183</v>
      </c>
      <c r="AD51" s="641">
        <f>[8]Summary!AA$10</f>
        <v>6268.1546686932488</v>
      </c>
      <c r="AE51" s="641">
        <f>[8]Summary!AB$10</f>
        <v>6221.6073754624076</v>
      </c>
      <c r="AF51" s="641">
        <f>[8]Summary!AC$10</f>
        <v>6409.1572999197597</v>
      </c>
      <c r="AG51" s="641">
        <f>[8]Summary!AD$10</f>
        <v>6562.291516890692</v>
      </c>
      <c r="AH51" s="641">
        <f>[8]Summary!AE$10</f>
        <v>6529.2837587821996</v>
      </c>
      <c r="AI51" s="641">
        <f>[8]Summary!AF$10</f>
        <v>6140.774506620648</v>
      </c>
      <c r="AJ51" s="641">
        <f>[8]Summary!AG$10</f>
        <v>6584.0781120626216</v>
      </c>
      <c r="AK51" s="641">
        <f>[8]Summary!AH$10</f>
        <v>6582.6595535556016</v>
      </c>
      <c r="AL51" s="57">
        <f t="shared" si="6"/>
        <v>-2.154528671859202E-4</v>
      </c>
      <c r="AM51"/>
      <c r="AN51"/>
      <c r="AO51"/>
      <c r="AP51"/>
    </row>
    <row r="52" spans="1:44" s="145" customFormat="1" ht="12.95">
      <c r="A52" s="1"/>
      <c r="B52" s="456">
        <f t="shared" si="0"/>
        <v>48</v>
      </c>
      <c r="C52" s="1"/>
      <c r="D52" s="45" t="s">
        <v>1623</v>
      </c>
      <c r="E52" s="532">
        <f>'[7]EIA_Output QBtu'!G53/TbtuToQBtu</f>
        <v>3129.4879999999998</v>
      </c>
      <c r="F52" s="532">
        <f>'[7]EIA_Output QBtu'!H53/TbtuToQBtu</f>
        <v>3025.0039999999999</v>
      </c>
      <c r="G52" s="532">
        <f>'[7]EIA_Output QBtu'!I53/TbtuToQBtu</f>
        <v>3001.3290000000002</v>
      </c>
      <c r="H52" s="532">
        <f>'[7]EIA_Output QBtu'!J53/TbtuToQBtu</f>
        <v>3028.0059999999999</v>
      </c>
      <c r="I52" s="532">
        <f>'[7]EIA_Output QBtu'!K53/TbtuToQBtu</f>
        <v>3154.4989999999998</v>
      </c>
      <c r="J52" s="532">
        <f>'[7]EIA_Output QBtu'!L53/TbtuToQBtu</f>
        <v>3132.1959999999999</v>
      </c>
      <c r="K52" s="532">
        <f>'[7]EIA_Output QBtu'!M53/TbtuToQBtu</f>
        <v>3274.2370000000001</v>
      </c>
      <c r="L52" s="532">
        <f>'[7]EIA_Output QBtu'!N53/TbtuToQBtu</f>
        <v>3308.1669999999999</v>
      </c>
      <c r="M52" s="532">
        <f>'[7]EIA_Output QBtu'!O53/TbtuToQBtu</f>
        <v>3356.7829999999999</v>
      </c>
      <c r="N52" s="532">
        <f>'[7]EIA_Output QBtu'!P53/TbtuToQBtu</f>
        <v>3461.7829999999999</v>
      </c>
      <c r="O52" s="532">
        <f>'[7]EIA_Output QBtu'!Q53/TbtuToQBtu</f>
        <v>3580.3499999999995</v>
      </c>
      <c r="P52" s="532">
        <f>'[7]EIA_Output QBtu'!R53/TbtuToQBtu</f>
        <v>3425.9859999999999</v>
      </c>
      <c r="Q52" s="532">
        <f>'[7]EIA_Output QBtu'!S53/TbtuToQBtu</f>
        <v>3340.3180000000002</v>
      </c>
      <c r="R52" s="532">
        <f>'[7]EIA_Output QBtu'!T53/TbtuToQBtu</f>
        <v>3265.4569999999999</v>
      </c>
      <c r="S52" s="532">
        <f>'[7]EIA_Output QBtu'!U53/TbtuToQBtu</f>
        <v>3382.5299999999997</v>
      </c>
      <c r="T52" s="532">
        <f>'[7]EIA_Output QBtu'!V53/TbtuToQBtu</f>
        <v>3474.7539999999999</v>
      </c>
      <c r="U52" s="532">
        <f>'[7]EIA_Output QBtu'!W53/TbtuToQBtu</f>
        <v>3379.3809999999999</v>
      </c>
      <c r="V52" s="532">
        <f>'[7]EIA_Output QBtu'!X53/TbtuToQBtu</f>
        <v>3357.6089999999999</v>
      </c>
      <c r="W52" s="532">
        <f>'[7]EIA_Output QBtu'!Y53/TbtuToQBtu</f>
        <v>3192.8389999999995</v>
      </c>
      <c r="X52" s="532">
        <f>'[7]EIA_Output QBtu'!Z53/TbtuToQBtu</f>
        <v>2883.277</v>
      </c>
      <c r="Y52" s="532">
        <f>'[7]EIA_Output QBtu'!AA53/TbtuToQBtu</f>
        <v>2962.8689999999997</v>
      </c>
      <c r="Z52" s="532">
        <f>'[7]EIA_Output QBtu'!AB53/TbtuToQBtu</f>
        <v>2949.8180000000002</v>
      </c>
      <c r="AA52" s="532">
        <f>'[7]EIA_Output QBtu'!AC53/TbtuToQBtu</f>
        <v>2901.4340000000002</v>
      </c>
      <c r="AB52" s="532">
        <f>'[7]EIA_Output QBtu'!AD53/TbtuToQBtu</f>
        <v>2968.5590000000002</v>
      </c>
      <c r="AC52" s="532">
        <f>'[7]EIA_Output QBtu'!AE53/TbtuToQBtu</f>
        <v>3042.0889999999999</v>
      </c>
      <c r="AD52" s="532">
        <f>'[7]EIA_Output QBtu'!AF53/TbtuToQBtu</f>
        <v>3204.165</v>
      </c>
      <c r="AE52" s="532">
        <f>'[7]EIA_Output QBtu'!AG53/TbtuToQBtu</f>
        <v>3349.8769999999995</v>
      </c>
      <c r="AF52" s="532">
        <f>'[7]EIA_Output QBtu'!AH53/TbtuToQBtu</f>
        <v>3481.3459999999995</v>
      </c>
      <c r="AG52" s="532">
        <f>'[7]EIA_Output QBtu'!AI53/TbtuToQBtu</f>
        <v>3532.7570000000001</v>
      </c>
      <c r="AH52" s="532">
        <f>'[7]EIA_Output QBtu'!AJ53/TbtuToQBtu</f>
        <v>3608.0210000000002</v>
      </c>
      <c r="AI52" s="532">
        <f>'[7]EIA_Output QBtu'!AK53/TbtuToQBtu</f>
        <v>2233.8429999999998</v>
      </c>
      <c r="AJ52" s="532">
        <f>'[7]EIA_Output QBtu'!AL53/TbtuToQBtu</f>
        <v>2835.0430000000001</v>
      </c>
      <c r="AK52" s="532">
        <f>'[7]EIA_Output QBtu'!AM53/TbtuToQBtu</f>
        <v>3227.8989999999999</v>
      </c>
      <c r="AL52" s="57">
        <f t="shared" si="6"/>
        <v>0.13857144318445955</v>
      </c>
      <c r="AM52"/>
      <c r="AN52"/>
      <c r="AO52"/>
      <c r="AP52"/>
    </row>
    <row r="53" spans="1:44" s="145" customFormat="1" ht="12.95">
      <c r="A53" s="1"/>
      <c r="B53" s="456">
        <f t="shared" si="0"/>
        <v>49</v>
      </c>
      <c r="C53" s="1"/>
      <c r="D53" s="45" t="s">
        <v>1624</v>
      </c>
      <c r="E53" s="532">
        <f>'[7]EIA_Output QBtu'!G54/TbtuToQBtu</f>
        <v>22.914999999999999</v>
      </c>
      <c r="F53" s="532">
        <f>'[7]EIA_Output QBtu'!H54/TbtuToQBtu</f>
        <v>21.158999999999995</v>
      </c>
      <c r="G53" s="532">
        <f>'[7]EIA_Output QBtu'!I54/TbtuToQBtu</f>
        <v>19.437000000000001</v>
      </c>
      <c r="H53" s="532">
        <f>'[7]EIA_Output QBtu'!J54/TbtuToQBtu</f>
        <v>20.27</v>
      </c>
      <c r="I53" s="532">
        <f>'[7]EIA_Output QBtu'!K54/TbtuToQBtu</f>
        <v>34.045999999999999</v>
      </c>
      <c r="J53" s="532">
        <f>'[7]EIA_Output QBtu'!L54/TbtuToQBtu</f>
        <v>17.753</v>
      </c>
      <c r="K53" s="532">
        <f>'[7]EIA_Output QBtu'!M54/TbtuToQBtu</f>
        <v>15.655999999999999</v>
      </c>
      <c r="L53" s="532">
        <f>'[7]EIA_Output QBtu'!N54/TbtuToQBtu</f>
        <v>14.241</v>
      </c>
      <c r="M53" s="532">
        <f>'[7]EIA_Output QBtu'!O54/TbtuToQBtu</f>
        <v>17.667000000000002</v>
      </c>
      <c r="N53" s="532">
        <f>'[7]EIA_Output QBtu'!P54/TbtuToQBtu</f>
        <v>14.29</v>
      </c>
      <c r="O53" s="532">
        <f>'[7]EIA_Output QBtu'!Q54/TbtuToQBtu</f>
        <v>11.898999999999999</v>
      </c>
      <c r="P53" s="532">
        <f>'[7]EIA_Output QBtu'!R54/TbtuToQBtu</f>
        <v>13.738</v>
      </c>
      <c r="Q53" s="532">
        <f>'[7]EIA_Output QBtu'!S54/TbtuToQBtu</f>
        <v>14.3</v>
      </c>
      <c r="R53" s="532">
        <f>'[7]EIA_Output QBtu'!T54/TbtuToQBtu</f>
        <v>17.893999999999995</v>
      </c>
      <c r="S53" s="532">
        <f>'[7]EIA_Output QBtu'!U54/TbtuToQBtu</f>
        <v>19.129000000000001</v>
      </c>
      <c r="T53" s="532">
        <f>'[7]EIA_Output QBtu'!V54/TbtuToQBtu</f>
        <v>28.234999999999999</v>
      </c>
      <c r="U53" s="532">
        <f>'[7]EIA_Output QBtu'!W54/TbtuToQBtu</f>
        <v>27.501999999999999</v>
      </c>
      <c r="V53" s="532">
        <f>'[7]EIA_Output QBtu'!X54/TbtuToQBtu</f>
        <v>21.972999999999999</v>
      </c>
      <c r="W53" s="532">
        <f>'[7]EIA_Output QBtu'!Y54/TbtuToQBtu</f>
        <v>40.197000000000003</v>
      </c>
      <c r="X53" s="532">
        <f>'[7]EIA_Output QBtu'!Z54/TbtuToQBtu</f>
        <v>28.07</v>
      </c>
      <c r="Y53" s="532">
        <f>'[7]EIA_Output QBtu'!AA54/TbtuToQBtu</f>
        <v>4.5739999999999998</v>
      </c>
      <c r="Z53" s="532">
        <f>'[7]EIA_Output QBtu'!AB54/TbtuToQBtu</f>
        <v>4.5999999999999996</v>
      </c>
      <c r="AA53" s="532">
        <f>'[7]EIA_Output QBtu'!AC54/TbtuToQBtu</f>
        <v>4.5199999999999996</v>
      </c>
      <c r="AB53" s="532">
        <f>'[7]EIA_Output QBtu'!AD54/TbtuToQBtu</f>
        <v>6.0919999999999996</v>
      </c>
      <c r="AC53" s="532">
        <f>'[7]EIA_Output QBtu'!AE54/TbtuToQBtu</f>
        <v>7.6210000000000004</v>
      </c>
      <c r="AD53" s="532">
        <f>'[7]EIA_Output QBtu'!AF54/TbtuToQBtu</f>
        <v>9.9939999999999998</v>
      </c>
      <c r="AE53" s="532">
        <f>'[7]EIA_Output QBtu'!AG54/TbtuToQBtu</f>
        <v>11.819000000000001</v>
      </c>
      <c r="AF53" s="532">
        <f>'[7]EIA_Output QBtu'!AH54/TbtuToQBtu</f>
        <v>12.394</v>
      </c>
      <c r="AG53" s="532">
        <f>'[7]EIA_Output QBtu'!AI54/TbtuToQBtu</f>
        <v>12.614999999999998</v>
      </c>
      <c r="AH53" s="532">
        <f>'[7]EIA_Output QBtu'!AJ54/TbtuToQBtu</f>
        <v>12.491</v>
      </c>
      <c r="AI53" s="532">
        <f>'[7]EIA_Output QBtu'!AK54/TbtuToQBtu</f>
        <v>8.6449999999999996</v>
      </c>
      <c r="AJ53" s="532">
        <f>'[7]EIA_Output QBtu'!AL54/TbtuToQBtu</f>
        <v>9.7620000000000005</v>
      </c>
      <c r="AK53" s="532">
        <f>'[7]EIA_Output QBtu'!AM54/TbtuToQBtu</f>
        <v>9.8190000000000008</v>
      </c>
      <c r="AL53" s="57">
        <f t="shared" si="6"/>
        <v>5.8389674247080903E-3</v>
      </c>
      <c r="AM53"/>
      <c r="AN53"/>
      <c r="AO53"/>
      <c r="AP53"/>
    </row>
    <row r="54" spans="1:44" s="145" customFormat="1" ht="12.95">
      <c r="A54" s="1"/>
      <c r="B54" s="456">
        <f t="shared" si="0"/>
        <v>50</v>
      </c>
      <c r="C54" s="1"/>
      <c r="D54" s="45" t="s">
        <v>1610</v>
      </c>
      <c r="E54" s="532">
        <f>'[7]EIA_Output QBtu'!G55/TbtuToQBtu</f>
        <v>176</v>
      </c>
      <c r="F54" s="532">
        <f>'[7]EIA_Output QBtu'!H55/TbtuToQBtu</f>
        <v>157.44999999999999</v>
      </c>
      <c r="G54" s="532">
        <f>'[7]EIA_Output QBtu'!I55/TbtuToQBtu</f>
        <v>160.52699999999996</v>
      </c>
      <c r="H54" s="532">
        <f>'[7]EIA_Output QBtu'!J55/TbtuToQBtu</f>
        <v>163.458</v>
      </c>
      <c r="I54" s="532">
        <f>'[7]EIA_Output QBtu'!K55/TbtuToQBtu</f>
        <v>170.846</v>
      </c>
      <c r="J54" s="532">
        <f>'[7]EIA_Output QBtu'!L55/TbtuToQBtu</f>
        <v>167.91300000000001</v>
      </c>
      <c r="K54" s="532">
        <f>'[7]EIA_Output QBtu'!M55/TbtuToQBtu</f>
        <v>162.95699999999999</v>
      </c>
      <c r="L54" s="532">
        <f>'[7]EIA_Output QBtu'!N55/TbtuToQBtu</f>
        <v>172.14599999999999</v>
      </c>
      <c r="M54" s="532">
        <f>'[7]EIA_Output QBtu'!O55/TbtuToQBtu</f>
        <v>180.21199999999999</v>
      </c>
      <c r="N54" s="532">
        <f>'[7]EIA_Output QBtu'!P55/TbtuToQBtu</f>
        <v>182.09700000000001</v>
      </c>
      <c r="O54" s="532">
        <f>'[7]EIA_Output QBtu'!Q55/TbtuToQBtu</f>
        <v>179.36600000000001</v>
      </c>
      <c r="P54" s="532">
        <f>'[7]EIA_Output QBtu'!R55/TbtuToQBtu</f>
        <v>164.33899999999997</v>
      </c>
      <c r="Q54" s="532">
        <f>'[7]EIA_Output QBtu'!S55/TbtuToQBtu</f>
        <v>162.392</v>
      </c>
      <c r="R54" s="532">
        <f>'[7]EIA_Output QBtu'!T55/TbtuToQBtu</f>
        <v>150.13399999999999</v>
      </c>
      <c r="S54" s="532">
        <f>'[7]EIA_Output QBtu'!U55/TbtuToQBtu</f>
        <v>152.102</v>
      </c>
      <c r="T54" s="532">
        <f>'[7]EIA_Output QBtu'!V55/TbtuToQBtu</f>
        <v>151.30699999999999</v>
      </c>
      <c r="U54" s="532">
        <f>'[7]EIA_Output QBtu'!W55/TbtuToQBtu</f>
        <v>147.41399999999999</v>
      </c>
      <c r="V54" s="532">
        <f>'[7]EIA_Output QBtu'!X55/TbtuToQBtu</f>
        <v>152.23099999999999</v>
      </c>
      <c r="W54" s="532">
        <f>'[7]EIA_Output QBtu'!Y55/TbtuToQBtu</f>
        <v>141.33000000000001</v>
      </c>
      <c r="X54" s="532">
        <f>'[7]EIA_Output QBtu'!Z55/TbtuToQBtu</f>
        <v>127.06500000000001</v>
      </c>
      <c r="Y54" s="532">
        <f>'[7]EIA_Output QBtu'!AA55/TbtuToQBtu</f>
        <v>154.773</v>
      </c>
      <c r="Z54" s="532">
        <f>'[7]EIA_Output QBtu'!AB55/TbtuToQBtu</f>
        <v>148.37200000000001</v>
      </c>
      <c r="AA54" s="532">
        <f>'[7]EIA_Output QBtu'!AC55/TbtuToQBtu</f>
        <v>135.40799999999999</v>
      </c>
      <c r="AB54" s="532">
        <f>'[7]EIA_Output QBtu'!AD55/TbtuToQBtu</f>
        <v>143.36099999999999</v>
      </c>
      <c r="AC54" s="532">
        <f>'[7]EIA_Output QBtu'!AE55/TbtuToQBtu</f>
        <v>149.36099999999999</v>
      </c>
      <c r="AD54" s="532">
        <f>'[7]EIA_Output QBtu'!AF55/TbtuToQBtu</f>
        <v>162.81100000000001</v>
      </c>
      <c r="AE54" s="532">
        <f>'[7]EIA_Output QBtu'!AG55/TbtuToQBtu</f>
        <v>154.351</v>
      </c>
      <c r="AF54" s="532">
        <f>'[7]EIA_Output QBtu'!AH55/TbtuToQBtu</f>
        <v>141.983</v>
      </c>
      <c r="AG54" s="532">
        <f>'[7]EIA_Output QBtu'!AI55/TbtuToQBtu</f>
        <v>136.98599999999999</v>
      </c>
      <c r="AH54" s="532">
        <f>'[7]EIA_Output QBtu'!AJ55/TbtuToQBtu</f>
        <v>131.32900000000001</v>
      </c>
      <c r="AI54" s="532">
        <f>'[7]EIA_Output QBtu'!AK55/TbtuToQBtu</f>
        <v>115.61499999999999</v>
      </c>
      <c r="AJ54" s="532">
        <f>'[7]EIA_Output QBtu'!AL55/TbtuToQBtu</f>
        <v>119.03799999999998</v>
      </c>
      <c r="AK54" s="532">
        <f>'[7]EIA_Output QBtu'!AM55/TbtuToQBtu</f>
        <v>125.386</v>
      </c>
      <c r="AL54" s="57">
        <f t="shared" si="6"/>
        <v>5.3327508862716227E-2</v>
      </c>
      <c r="AM54"/>
      <c r="AN54"/>
      <c r="AO54"/>
      <c r="AP54"/>
    </row>
    <row r="55" spans="1:44" ht="12.95">
      <c r="A55" s="1"/>
      <c r="B55" s="456">
        <f t="shared" si="0"/>
        <v>51</v>
      </c>
      <c r="C55" s="1"/>
      <c r="D55" s="45" t="s">
        <v>1601</v>
      </c>
      <c r="E55" s="641">
        <f>[8]Summary!B$33*10^3</f>
        <v>13464.072617611104</v>
      </c>
      <c r="F55" s="641">
        <f>[8]Summary!C$33*10^3</f>
        <v>13252.593571300882</v>
      </c>
      <c r="G55" s="641">
        <f>[8]Summary!D$33*10^3</f>
        <v>13623.953585621284</v>
      </c>
      <c r="H55" s="641">
        <f>[8]Summary!E$33*10^3</f>
        <v>13850.228440006968</v>
      </c>
      <c r="I55" s="641">
        <f>[8]Summary!F$33*10^3</f>
        <v>14079.756850747843</v>
      </c>
      <c r="J55" s="641">
        <f>[8]Summary!G$33*10^3</f>
        <v>14273.068528259388</v>
      </c>
      <c r="K55" s="641">
        <f>[8]Summary!H$33*10^3</f>
        <v>14604.797133100084</v>
      </c>
      <c r="L55" s="641">
        <f>[8]Summary!I$33*10^3</f>
        <v>14777.650308020475</v>
      </c>
      <c r="M55" s="641">
        <f>[8]Summary!J$33*10^3</f>
        <v>15200.709591607108</v>
      </c>
      <c r="N55" s="641">
        <f>[8]Summary!K$33*10^3</f>
        <v>15710.173138693437</v>
      </c>
      <c r="O55" s="641">
        <f>[8]Summary!L$33*10^3</f>
        <v>15662.993584588839</v>
      </c>
      <c r="P55" s="641">
        <f>[8]Summary!M$33*10^3</f>
        <v>15770.776062349951</v>
      </c>
      <c r="Q55" s="641">
        <f>[8]Summary!N$33*10^3</f>
        <v>16096.71506466971</v>
      </c>
      <c r="R55" s="641">
        <f>[8]Summary!O$33*10^3</f>
        <v>16165.098151903805</v>
      </c>
      <c r="S55" s="641">
        <f>[8]Summary!P$33*10^3</f>
        <v>16379.467468550463</v>
      </c>
      <c r="T55" s="641">
        <f>[8]Summary!Q$33*10^3</f>
        <v>16235.680666590284</v>
      </c>
      <c r="U55" s="641">
        <f>[8]Summary!R$33*10^3</f>
        <v>16007.419273553787</v>
      </c>
      <c r="V55" s="641">
        <f>[8]Summary!S$33*10^3</f>
        <v>15823.800021241826</v>
      </c>
      <c r="W55" s="641">
        <f>[8]Summary!T$33*10^3</f>
        <v>15105.259799574404</v>
      </c>
      <c r="X55" s="641">
        <f>[8]Summary!U$33*10^3</f>
        <v>15030.395847388543</v>
      </c>
      <c r="Y55" s="641">
        <f>[8]Summary!V$33*10^3</f>
        <v>14898.785200275166</v>
      </c>
      <c r="Z55" s="641">
        <f>[8]Summary!W$33*10^3</f>
        <v>14575.527023069657</v>
      </c>
      <c r="AA55" s="641">
        <f>[8]Summary!X$33*10^3</f>
        <v>14523.338181726976</v>
      </c>
      <c r="AB55" s="641">
        <f>[8]Summary!Y$33*10^3</f>
        <v>14542.048710100808</v>
      </c>
      <c r="AC55" s="641">
        <f>[8]Summary!Z$33*10^3</f>
        <v>15103.007192727755</v>
      </c>
      <c r="AD55" s="641">
        <f>[8]Summary!AA$33*10^3</f>
        <v>14998.501851221452</v>
      </c>
      <c r="AE55" s="641">
        <f>[8]Summary!AB$33*10^3</f>
        <v>15352.875808773939</v>
      </c>
      <c r="AF55" s="641">
        <f>[8]Summary!AC$33*10^3</f>
        <v>15302.831448665418</v>
      </c>
      <c r="AG55" s="641">
        <f>[8]Summary!AD$33*10^3</f>
        <v>15527.534229073368</v>
      </c>
      <c r="AH55" s="641">
        <f>[8]Summary!AE$33*10^3</f>
        <v>15381.106158836184</v>
      </c>
      <c r="AI55" s="641">
        <f>[8]Summary!AF$33*10^3</f>
        <v>13259.550991895921</v>
      </c>
      <c r="AJ55" s="641">
        <f>[8]Summary!AG$33*10^3</f>
        <v>14559.903246039956</v>
      </c>
      <c r="AK55" s="641">
        <f>[8]Summary!AH$33*10^3</f>
        <v>14680.707027020117</v>
      </c>
      <c r="AL55" s="57">
        <f t="shared" si="6"/>
        <v>8.2970181146648329E-3</v>
      </c>
      <c r="AM55"/>
      <c r="AN55"/>
      <c r="AO55"/>
      <c r="AP55"/>
      <c r="AQ55"/>
      <c r="AR55"/>
    </row>
    <row r="56" spans="1:44" s="145" customFormat="1" ht="12.95">
      <c r="A56" s="1"/>
      <c r="B56" s="456">
        <f>B55+1</f>
        <v>52</v>
      </c>
      <c r="C56" s="1"/>
      <c r="D56" s="45" t="s">
        <v>1602</v>
      </c>
      <c r="E56" s="532">
        <f>'[7]EIA_Output QBtu'!G57/TbtuToQBtu</f>
        <v>1016.005</v>
      </c>
      <c r="F56" s="532">
        <f>'[7]EIA_Output QBtu'!H57/TbtuToQBtu</f>
        <v>1025.921</v>
      </c>
      <c r="G56" s="532">
        <f>'[7]EIA_Output QBtu'!I57/TbtuToQBtu</f>
        <v>1069.9689999999998</v>
      </c>
      <c r="H56" s="532">
        <f>'[7]EIA_Output QBtu'!J57/TbtuToQBtu</f>
        <v>901.45699999999988</v>
      </c>
      <c r="I56" s="532">
        <f>'[7]EIA_Output QBtu'!K57/TbtuToQBtu</f>
        <v>882.58999999999992</v>
      </c>
      <c r="J56" s="532">
        <f>'[7]EIA_Output QBtu'!L57/TbtuToQBtu</f>
        <v>910.51400000000001</v>
      </c>
      <c r="K56" s="532">
        <f>'[7]EIA_Output QBtu'!M57/TbtuToQBtu</f>
        <v>851.30200000000002</v>
      </c>
      <c r="L56" s="532">
        <f>'[7]EIA_Output QBtu'!N57/TbtuToQBtu</f>
        <v>711.71</v>
      </c>
      <c r="M56" s="532">
        <f>'[7]EIA_Output QBtu'!O57/TbtuToQBtu</f>
        <v>673.71</v>
      </c>
      <c r="N56" s="532">
        <f>'[7]EIA_Output QBtu'!P57/TbtuToQBtu</f>
        <v>665.44899999999996</v>
      </c>
      <c r="O56" s="532">
        <f>'[7]EIA_Output QBtu'!Q57/TbtuToQBtu</f>
        <v>887.54</v>
      </c>
      <c r="P56" s="532">
        <f>'[7]EIA_Output QBtu'!R57/TbtuToQBtu</f>
        <v>585.53399999999999</v>
      </c>
      <c r="Q56" s="532">
        <f>'[7]EIA_Output QBtu'!S57/TbtuToQBtu</f>
        <v>676.81100000000004</v>
      </c>
      <c r="R56" s="532">
        <f>'[7]EIA_Output QBtu'!T57/TbtuToQBtu</f>
        <v>570.92899999999997</v>
      </c>
      <c r="S56" s="532">
        <f>'[7]EIA_Output QBtu'!U57/TbtuToQBtu</f>
        <v>739.50800000000004</v>
      </c>
      <c r="T56" s="532">
        <f>'[7]EIA_Output QBtu'!V57/TbtuToQBtu</f>
        <v>837.44200000000001</v>
      </c>
      <c r="U56" s="532">
        <f>'[7]EIA_Output QBtu'!W57/TbtuToQBtu</f>
        <v>905.678</v>
      </c>
      <c r="V56" s="532">
        <f>'[7]EIA_Output QBtu'!X57/TbtuToQBtu</f>
        <v>993.64300000000003</v>
      </c>
      <c r="W56" s="532">
        <f>'[7]EIA_Output QBtu'!Y57/TbtuToQBtu</f>
        <v>925.92200000000003</v>
      </c>
      <c r="X56" s="532">
        <f>'[7]EIA_Output QBtu'!Z57/TbtuToQBtu</f>
        <v>790.51599999999996</v>
      </c>
      <c r="Y56" s="532">
        <f>'[7]EIA_Output QBtu'!AA57/TbtuToQBtu</f>
        <v>891.98</v>
      </c>
      <c r="Z56" s="532">
        <f>'[7]EIA_Output QBtu'!AB57/TbtuToQBtu</f>
        <v>776.32100000000003</v>
      </c>
      <c r="AA56" s="532">
        <f>'[7]EIA_Output QBtu'!AC57/TbtuToQBtu</f>
        <v>670.52099999999996</v>
      </c>
      <c r="AB56" s="532">
        <f>'[7]EIA_Output QBtu'!AD57/TbtuToQBtu</f>
        <v>581.15300000000002</v>
      </c>
      <c r="AC56" s="532">
        <f>'[7]EIA_Output QBtu'!AE57/TbtuToQBtu</f>
        <v>446.53699999999998</v>
      </c>
      <c r="AD56" s="532">
        <f>'[7]EIA_Output QBtu'!AF57/TbtuToQBtu</f>
        <v>463.4</v>
      </c>
      <c r="AE56" s="532">
        <f>'[7]EIA_Output QBtu'!AG57/TbtuToQBtu</f>
        <v>623.12400000000002</v>
      </c>
      <c r="AF56" s="532">
        <f>'[7]EIA_Output QBtu'!AH57/TbtuToQBtu</f>
        <v>664.58499999999992</v>
      </c>
      <c r="AG56" s="532">
        <f>'[7]EIA_Output QBtu'!AI57/TbtuToQBtu</f>
        <v>604.03099999999995</v>
      </c>
      <c r="AH56" s="532">
        <f>'[7]EIA_Output QBtu'!AJ57/TbtuToQBtu</f>
        <v>529.10299999999995</v>
      </c>
      <c r="AI56" s="532">
        <f>'[7]EIA_Output QBtu'!AK57/TbtuToQBtu</f>
        <v>391.46100000000001</v>
      </c>
      <c r="AJ56" s="532">
        <f>'[7]EIA_Output QBtu'!AL57/TbtuToQBtu</f>
        <v>614.85699999999997</v>
      </c>
      <c r="AK56" s="532">
        <f>'[7]EIA_Output QBtu'!AM57/TbtuToQBtu</f>
        <v>630.05200000000002</v>
      </c>
      <c r="AL56" s="57">
        <f t="shared" si="6"/>
        <v>2.4713063362700679E-2</v>
      </c>
      <c r="AM56"/>
      <c r="AN56"/>
      <c r="AO56"/>
      <c r="AP56"/>
    </row>
    <row r="57" spans="1:44" ht="12.95">
      <c r="A57" s="1"/>
      <c r="B57" s="456">
        <f t="shared" ref="B57:B82" si="43">B56+1</f>
        <v>53</v>
      </c>
      <c r="C57" s="458" t="s">
        <v>1474</v>
      </c>
      <c r="D57" s="4"/>
      <c r="E57" s="462">
        <f t="shared" ref="E57:R57" si="44">SUM(E58:E64)</f>
        <v>20858.922999999995</v>
      </c>
      <c r="F57" s="462">
        <f t="shared" si="44"/>
        <v>20825.329000000002</v>
      </c>
      <c r="G57" s="462">
        <f t="shared" si="44"/>
        <v>20967.804</v>
      </c>
      <c r="H57" s="462">
        <f t="shared" si="44"/>
        <v>21857.217000000001</v>
      </c>
      <c r="I57" s="462">
        <f t="shared" si="44"/>
        <v>22296.853999999999</v>
      </c>
      <c r="J57" s="462">
        <f t="shared" si="44"/>
        <v>22522.761000000002</v>
      </c>
      <c r="K57" s="462">
        <f t="shared" si="44"/>
        <v>23108.737999999998</v>
      </c>
      <c r="L57" s="462">
        <f t="shared" si="44"/>
        <v>23956.755999999998</v>
      </c>
      <c r="M57" s="462">
        <f t="shared" si="44"/>
        <v>25196.677</v>
      </c>
      <c r="N57" s="462">
        <f t="shared" si="44"/>
        <v>25392.841</v>
      </c>
      <c r="O57" s="462">
        <f t="shared" si="44"/>
        <v>26657.685999999994</v>
      </c>
      <c r="P57" s="462">
        <f t="shared" si="44"/>
        <v>26348.149999999998</v>
      </c>
      <c r="Q57" s="462">
        <f t="shared" si="44"/>
        <v>26510.776999999998</v>
      </c>
      <c r="R57" s="462">
        <f t="shared" si="44"/>
        <v>26635.811000000002</v>
      </c>
      <c r="S57" s="462">
        <f t="shared" ref="S57:Y57" si="45">SUM(S58:S64)</f>
        <v>27100.967000000004</v>
      </c>
      <c r="T57" s="462">
        <f t="shared" si="45"/>
        <v>27973.853000000003</v>
      </c>
      <c r="U57" s="462">
        <f t="shared" si="45"/>
        <v>27473.98</v>
      </c>
      <c r="V57" s="462">
        <f t="shared" si="45"/>
        <v>28460.787000000004</v>
      </c>
      <c r="W57" s="462">
        <f t="shared" si="45"/>
        <v>27801.215</v>
      </c>
      <c r="X57" s="462">
        <f t="shared" si="45"/>
        <v>25630.093000000001</v>
      </c>
      <c r="Y57" s="462">
        <f t="shared" si="45"/>
        <v>27031.422000000002</v>
      </c>
      <c r="Z57" s="462">
        <f t="shared" ref="Z57:AE57" si="46">SUM(Z58:Z64)</f>
        <v>26042.419999999995</v>
      </c>
      <c r="AA57" s="462">
        <f t="shared" si="46"/>
        <v>25322.245999999999</v>
      </c>
      <c r="AB57" s="462">
        <f t="shared" si="46"/>
        <v>25081.975999999999</v>
      </c>
      <c r="AC57" s="462">
        <f t="shared" si="46"/>
        <v>25084.55</v>
      </c>
      <c r="AD57" s="462">
        <f t="shared" si="46"/>
        <v>24340.673999999999</v>
      </c>
      <c r="AE57" s="462">
        <f t="shared" si="46"/>
        <v>23541.563999999998</v>
      </c>
      <c r="AF57" s="462">
        <f>SUM(AF58:AF64)</f>
        <v>22395.162</v>
      </c>
      <c r="AG57" s="462">
        <f t="shared" ref="AG57:AH57" si="47">SUM(AG58:AG64)</f>
        <v>23234.814999999999</v>
      </c>
      <c r="AH57" s="462">
        <f t="shared" si="47"/>
        <v>22028.247000000003</v>
      </c>
      <c r="AI57" s="462">
        <f t="shared" ref="AI57:AJ57" si="48">SUM(AI58:AI64)</f>
        <v>20413.447</v>
      </c>
      <c r="AJ57" s="462">
        <f t="shared" si="48"/>
        <v>21285.270999999997</v>
      </c>
      <c r="AK57" s="462">
        <f t="shared" ref="AK57" si="49">SUM(AK58:AK64)</f>
        <v>21588.542999999998</v>
      </c>
      <c r="AL57" s="57">
        <f t="shared" si="6"/>
        <v>1.4247974573591329E-2</v>
      </c>
      <c r="AM57"/>
      <c r="AN57"/>
      <c r="AO57"/>
      <c r="AP57"/>
      <c r="AQ57"/>
      <c r="AR57"/>
    </row>
    <row r="58" spans="1:44" s="145" customFormat="1" ht="12.95">
      <c r="A58" s="1"/>
      <c r="B58" s="456">
        <f t="shared" si="43"/>
        <v>54</v>
      </c>
      <c r="C58" s="1"/>
      <c r="D58" s="45" t="s">
        <v>1435</v>
      </c>
      <c r="E58" s="532">
        <f>'[7]EIA_Output QBtu'!G59/TbtuToQBtu</f>
        <v>16260.951999999999</v>
      </c>
      <c r="F58" s="532">
        <f>'[7]EIA_Output QBtu'!H59/TbtuToQBtu</f>
        <v>16249.708999999999</v>
      </c>
      <c r="G58" s="532">
        <f>'[7]EIA_Output QBtu'!I59/TbtuToQBtu</f>
        <v>16465.595000000001</v>
      </c>
      <c r="H58" s="532">
        <f>'[7]EIA_Output QBtu'!J59/TbtuToQBtu</f>
        <v>17195.927</v>
      </c>
      <c r="I58" s="532">
        <f>'[7]EIA_Output QBtu'!K59/TbtuToQBtu</f>
        <v>17260.875</v>
      </c>
      <c r="J58" s="532">
        <f>'[7]EIA_Output QBtu'!L59/TbtuToQBtu</f>
        <v>17466.285</v>
      </c>
      <c r="K58" s="532">
        <f>'[7]EIA_Output QBtu'!M59/TbtuToQBtu</f>
        <v>18429.026999999998</v>
      </c>
      <c r="L58" s="532">
        <f>'[7]EIA_Output QBtu'!N59/TbtuToQBtu</f>
        <v>18904.537999999997</v>
      </c>
      <c r="M58" s="532">
        <f>'[7]EIA_Output QBtu'!O59/TbtuToQBtu</f>
        <v>19215.682000000001</v>
      </c>
      <c r="N58" s="532">
        <f>'[7]EIA_Output QBtu'!P59/TbtuToQBtu</f>
        <v>19279.487000000001</v>
      </c>
      <c r="O58" s="532">
        <f>'[7]EIA_Output QBtu'!Q59/TbtuToQBtu</f>
        <v>20220.170999999995</v>
      </c>
      <c r="P58" s="532">
        <f>'[7]EIA_Output QBtu'!R59/TbtuToQBtu</f>
        <v>19613.672999999999</v>
      </c>
      <c r="Q58" s="532">
        <f>'[7]EIA_Output QBtu'!S59/TbtuToQBtu</f>
        <v>19782.780999999999</v>
      </c>
      <c r="R58" s="532">
        <f>'[7]EIA_Output QBtu'!T59/TbtuToQBtu</f>
        <v>20184.742999999999</v>
      </c>
      <c r="S58" s="532">
        <f>'[7]EIA_Output QBtu'!U59/TbtuToQBtu</f>
        <v>20305.035</v>
      </c>
      <c r="T58" s="532">
        <f>'[7]EIA_Output QBtu'!V59/TbtuToQBtu</f>
        <v>20737.241000000002</v>
      </c>
      <c r="U58" s="532">
        <f>'[7]EIA_Output QBtu'!W59/TbtuToQBtu</f>
        <v>20461.883000000002</v>
      </c>
      <c r="V58" s="532">
        <f>'[7]EIA_Output QBtu'!X59/TbtuToQBtu</f>
        <v>20807.722000000002</v>
      </c>
      <c r="W58" s="532">
        <f>'[7]EIA_Output QBtu'!Y59/TbtuToQBtu</f>
        <v>20512.955000000002</v>
      </c>
      <c r="X58" s="532">
        <f>'[7]EIA_Output QBtu'!Z59/TbtuToQBtu</f>
        <v>18225.331999999999</v>
      </c>
      <c r="Y58" s="532">
        <f>'[7]EIA_Output QBtu'!AA59/TbtuToQBtu</f>
        <v>19133.455000000002</v>
      </c>
      <c r="Z58" s="532">
        <f>'[7]EIA_Output QBtu'!AB59/TbtuToQBtu</f>
        <v>18035.174999999999</v>
      </c>
      <c r="AA58" s="532">
        <f>'[7]EIA_Output QBtu'!AC59/TbtuToQBtu</f>
        <v>15821.247999999998</v>
      </c>
      <c r="AB58" s="532">
        <f>'[7]EIA_Output QBtu'!AD59/TbtuToQBtu</f>
        <v>16450.559000000001</v>
      </c>
      <c r="AC58" s="532">
        <f>'[7]EIA_Output QBtu'!AE59/TbtuToQBtu</f>
        <v>16427.400000000001</v>
      </c>
      <c r="AD58" s="532">
        <f>'[7]EIA_Output QBtu'!AF59/TbtuToQBtu</f>
        <v>14138.249999999998</v>
      </c>
      <c r="AE58" s="532">
        <f>'[7]EIA_Output QBtu'!AG59/TbtuToQBtu</f>
        <v>12996.353999999999</v>
      </c>
      <c r="AF58" s="532">
        <f>'[7]EIA_Output QBtu'!AH59/TbtuToQBtu</f>
        <v>12622.233</v>
      </c>
      <c r="AG58" s="532">
        <f>'[7]EIA_Output QBtu'!AI59/TbtuToQBtu</f>
        <v>12052.957</v>
      </c>
      <c r="AH58" s="532">
        <f>'[7]EIA_Output QBtu'!AJ59/TbtuToQBtu</f>
        <v>10181.262000000001</v>
      </c>
      <c r="AI58" s="532">
        <f>'[7]EIA_Output QBtu'!AK59/TbtuToQBtu</f>
        <v>8229.2829999999994</v>
      </c>
      <c r="AJ58" s="532">
        <f>'[7]EIA_Output QBtu'!AL59/TbtuToQBtu</f>
        <v>9497.6719999999987</v>
      </c>
      <c r="AK58" s="532">
        <f>'[7]EIA_Output QBtu'!AM59/TbtuToQBtu</f>
        <v>8885.491</v>
      </c>
      <c r="AL58" s="57">
        <f t="shared" si="6"/>
        <v>-6.4455900351159612E-2</v>
      </c>
      <c r="AM58"/>
      <c r="AN58"/>
      <c r="AO58"/>
      <c r="AP58"/>
    </row>
    <row r="59" spans="1:44" s="145" customFormat="1" ht="12.95">
      <c r="A59" s="1"/>
      <c r="B59" s="456">
        <f t="shared" si="43"/>
        <v>55</v>
      </c>
      <c r="C59" s="1"/>
      <c r="D59" s="45" t="s">
        <v>1439</v>
      </c>
      <c r="E59" s="532">
        <f>'[7]EIA_Output QBtu'!G60/TbtuToQBtu</f>
        <v>3308.538</v>
      </c>
      <c r="F59" s="532">
        <f>'[7]EIA_Output QBtu'!H60/TbtuToQBtu</f>
        <v>3377.3589999999999</v>
      </c>
      <c r="G59" s="532">
        <f>'[7]EIA_Output QBtu'!I60/TbtuToQBtu</f>
        <v>3511.502</v>
      </c>
      <c r="H59" s="532">
        <f>'[7]EIA_Output QBtu'!J60/TbtuToQBtu</f>
        <v>3537.5010000000002</v>
      </c>
      <c r="I59" s="532">
        <f>'[7]EIA_Output QBtu'!K60/TbtuToQBtu</f>
        <v>3977.299</v>
      </c>
      <c r="J59" s="532">
        <f>'[7]EIA_Output QBtu'!L60/TbtuToQBtu</f>
        <v>4301.9709999999995</v>
      </c>
      <c r="K59" s="532">
        <f>'[7]EIA_Output QBtu'!M60/TbtuToQBtu</f>
        <v>3862.4490000000001</v>
      </c>
      <c r="L59" s="532">
        <f>'[7]EIA_Output QBtu'!N60/TbtuToQBtu</f>
        <v>4125.5119999999997</v>
      </c>
      <c r="M59" s="532">
        <f>'[7]EIA_Output QBtu'!O60/TbtuToQBtu</f>
        <v>4674.8999999999996</v>
      </c>
      <c r="N59" s="532">
        <f>'[7]EIA_Output QBtu'!P60/TbtuToQBtu</f>
        <v>4902.1480000000001</v>
      </c>
      <c r="O59" s="532">
        <f>'[7]EIA_Output QBtu'!Q60/TbtuToQBtu</f>
        <v>5293.375</v>
      </c>
      <c r="P59" s="532">
        <f>'[7]EIA_Output QBtu'!R60/TbtuToQBtu</f>
        <v>5458.1009999999997</v>
      </c>
      <c r="Q59" s="532">
        <f>'[7]EIA_Output QBtu'!S60/TbtuToQBtu</f>
        <v>5766.8119999999999</v>
      </c>
      <c r="R59" s="532">
        <f>'[7]EIA_Output QBtu'!T60/TbtuToQBtu</f>
        <v>5246.2489999999998</v>
      </c>
      <c r="S59" s="532">
        <f>'[7]EIA_Output QBtu'!U60/TbtuToQBtu</f>
        <v>5594.9350000000004</v>
      </c>
      <c r="T59" s="532">
        <f>'[7]EIA_Output QBtu'!V60/TbtuToQBtu</f>
        <v>6014.5479999999998</v>
      </c>
      <c r="U59" s="532">
        <f>'[7]EIA_Output QBtu'!W60/TbtuToQBtu</f>
        <v>6375.1390000000001</v>
      </c>
      <c r="V59" s="532">
        <f>'[7]EIA_Output QBtu'!X60/TbtuToQBtu</f>
        <v>7005.2340000000004</v>
      </c>
      <c r="W59" s="532">
        <f>'[7]EIA_Output QBtu'!Y60/TbtuToQBtu</f>
        <v>6828.924</v>
      </c>
      <c r="X59" s="532">
        <f>'[7]EIA_Output QBtu'!Z60/TbtuToQBtu</f>
        <v>7022.39</v>
      </c>
      <c r="Y59" s="532">
        <f>'[7]EIA_Output QBtu'!AA60/TbtuToQBtu</f>
        <v>7527.6409999999996</v>
      </c>
      <c r="Z59" s="532">
        <f>'[7]EIA_Output QBtu'!AB60/TbtuToQBtu</f>
        <v>7712.2049999999999</v>
      </c>
      <c r="AA59" s="532">
        <f>'[7]EIA_Output QBtu'!AC60/TbtuToQBtu</f>
        <v>9286.7929999999997</v>
      </c>
      <c r="AB59" s="532">
        <f>'[7]EIA_Output QBtu'!AD60/TbtuToQBtu</f>
        <v>8376.2540000000008</v>
      </c>
      <c r="AC59" s="532">
        <f>'[7]EIA_Output QBtu'!AE60/TbtuToQBtu</f>
        <v>8361.6810000000005</v>
      </c>
      <c r="AD59" s="532">
        <f>'[7]EIA_Output QBtu'!AF60/TbtuToQBtu</f>
        <v>9926.4590000000007</v>
      </c>
      <c r="AE59" s="532">
        <f>'[7]EIA_Output QBtu'!AG60/TbtuToQBtu</f>
        <v>10301.311</v>
      </c>
      <c r="AF59" s="532">
        <f>'[7]EIA_Output QBtu'!AH60/TbtuToQBtu</f>
        <v>9555.2070000000003</v>
      </c>
      <c r="AG59" s="532">
        <f>'[7]EIA_Output QBtu'!AI60/TbtuToQBtu</f>
        <v>10921.508</v>
      </c>
      <c r="AH59" s="532">
        <f>'[7]EIA_Output QBtu'!AJ60/TbtuToQBtu</f>
        <v>11658.398999999999</v>
      </c>
      <c r="AI59" s="532">
        <f>'[7]EIA_Output QBtu'!AK60/TbtuToQBtu</f>
        <v>11999.767</v>
      </c>
      <c r="AJ59" s="532">
        <f>'[7]EIA_Output QBtu'!AL60/TbtuToQBtu</f>
        <v>11582.584999999999</v>
      </c>
      <c r="AK59" s="532">
        <f>'[7]EIA_Output QBtu'!AM60/TbtuToQBtu</f>
        <v>12459.189</v>
      </c>
      <c r="AL59" s="57">
        <f t="shared" si="6"/>
        <v>7.5682932609603237E-2</v>
      </c>
      <c r="AM59"/>
      <c r="AN59"/>
      <c r="AO59"/>
      <c r="AP59"/>
    </row>
    <row r="60" spans="1:44" s="145" customFormat="1" ht="12.95">
      <c r="A60" s="1"/>
      <c r="B60" s="456">
        <f t="shared" si="43"/>
        <v>56</v>
      </c>
      <c r="C60" s="1"/>
      <c r="D60" s="45" t="s">
        <v>1625</v>
      </c>
      <c r="E60" s="532">
        <f>'[7]EIA_Output QBtu'!G61/TbtuToQBtu</f>
        <v>96.504000000000005</v>
      </c>
      <c r="F60" s="532">
        <f>'[7]EIA_Output QBtu'!H61/TbtuToQBtu</f>
        <v>83.64</v>
      </c>
      <c r="G60" s="532">
        <f>'[7]EIA_Output QBtu'!I61/TbtuToQBtu</f>
        <v>73.530999999999992</v>
      </c>
      <c r="H60" s="532">
        <f>'[7]EIA_Output QBtu'!J61/TbtuToQBtu</f>
        <v>86.495999999999981</v>
      </c>
      <c r="I60" s="532">
        <f>'[7]EIA_Output QBtu'!K61/TbtuToQBtu</f>
        <v>119.96299999999999</v>
      </c>
      <c r="J60" s="532">
        <f>'[7]EIA_Output QBtu'!L61/TbtuToQBtu</f>
        <v>107.976</v>
      </c>
      <c r="K60" s="532">
        <f>'[7]EIA_Output QBtu'!M61/TbtuToQBtu</f>
        <v>109.3</v>
      </c>
      <c r="L60" s="532">
        <f>'[7]EIA_Output QBtu'!N61/TbtuToQBtu</f>
        <v>110.514</v>
      </c>
      <c r="M60" s="532">
        <f>'[7]EIA_Output QBtu'!O61/TbtuToQBtu</f>
        <v>135.58099999999999</v>
      </c>
      <c r="N60" s="532">
        <f>'[7]EIA_Output QBtu'!P61/TbtuToQBtu</f>
        <v>139.99199999999996</v>
      </c>
      <c r="O60" s="532">
        <f>'[7]EIA_Output QBtu'!Q61/TbtuToQBtu</f>
        <v>174.66499999999999</v>
      </c>
      <c r="P60" s="532">
        <f>'[7]EIA_Output QBtu'!R61/TbtuToQBtu</f>
        <v>170.34700000000001</v>
      </c>
      <c r="Q60" s="532">
        <f>'[7]EIA_Output QBtu'!S61/TbtuToQBtu</f>
        <v>127.29799999999999</v>
      </c>
      <c r="R60" s="532">
        <f>'[7]EIA_Output QBtu'!T61/TbtuToQBtu</f>
        <v>160.78899999999999</v>
      </c>
      <c r="S60" s="532">
        <f>'[7]EIA_Output QBtu'!U61/TbtuToQBtu</f>
        <v>111.164</v>
      </c>
      <c r="T60" s="532">
        <f>'[7]EIA_Output QBtu'!V61/TbtuToQBtu</f>
        <v>114.47</v>
      </c>
      <c r="U60" s="532">
        <f>'[7]EIA_Output QBtu'!W61/TbtuToQBtu</f>
        <v>73.388000000000005</v>
      </c>
      <c r="V60" s="532">
        <f>'[7]EIA_Output QBtu'!X61/TbtuToQBtu</f>
        <v>88.65</v>
      </c>
      <c r="W60" s="532">
        <f>'[7]EIA_Output QBtu'!Y61/TbtuToQBtu</f>
        <v>72.524000000000001</v>
      </c>
      <c r="X60" s="532">
        <f>'[7]EIA_Output QBtu'!Z61/TbtuToQBtu</f>
        <v>69.573999999999998</v>
      </c>
      <c r="Y60" s="532">
        <f>'[7]EIA_Output QBtu'!AA61/TbtuToQBtu</f>
        <v>79.679000000000002</v>
      </c>
      <c r="Z60" s="532">
        <f>'[7]EIA_Output QBtu'!AB61/TbtuToQBtu</f>
        <v>63.655000000000001</v>
      </c>
      <c r="AA60" s="532">
        <f>'[7]EIA_Output QBtu'!AC61/TbtuToQBtu</f>
        <v>52.430999999999997</v>
      </c>
      <c r="AB60" s="532">
        <f>'[7]EIA_Output QBtu'!AD61/TbtuToQBtu</f>
        <v>55.42</v>
      </c>
      <c r="AC60" s="532">
        <f>'[7]EIA_Output QBtu'!AE61/TbtuToQBtu</f>
        <v>82.176000000000002</v>
      </c>
      <c r="AD60" s="532">
        <f>'[7]EIA_Output QBtu'!AF61/TbtuToQBtu</f>
        <v>70.388000000000005</v>
      </c>
      <c r="AE60" s="532">
        <f>'[7]EIA_Output QBtu'!AG61/TbtuToQBtu</f>
        <v>54.902000000000001</v>
      </c>
      <c r="AF60" s="532">
        <f>'[7]EIA_Output QBtu'!AH61/TbtuToQBtu</f>
        <v>54.725999999999999</v>
      </c>
      <c r="AG60" s="532">
        <f>'[7]EIA_Output QBtu'!AI61/TbtuToQBtu</f>
        <v>80.617000000000004</v>
      </c>
      <c r="AH60" s="532">
        <f>'[7]EIA_Output QBtu'!AJ61/TbtuToQBtu</f>
        <v>53.878999999999998</v>
      </c>
      <c r="AI60" s="532">
        <f>'[7]EIA_Output QBtu'!AK61/TbtuToQBtu</f>
        <v>44.274000000000001</v>
      </c>
      <c r="AJ60" s="532">
        <f>'[7]EIA_Output QBtu'!AL61/TbtuToQBtu</f>
        <v>59.770999999999994</v>
      </c>
      <c r="AK60" s="532">
        <f>'[7]EIA_Output QBtu'!AM61/TbtuToQBtu</f>
        <v>83.448999999999998</v>
      </c>
      <c r="AL60" s="57">
        <f t="shared" si="6"/>
        <v>0.39614528784862235</v>
      </c>
      <c r="AM60"/>
      <c r="AN60"/>
      <c r="AO60"/>
      <c r="AP60"/>
      <c r="AQ60" s="292"/>
    </row>
    <row r="61" spans="1:44" s="145" customFormat="1" ht="12.95">
      <c r="A61" s="1"/>
      <c r="B61" s="456">
        <f t="shared" si="43"/>
        <v>57</v>
      </c>
      <c r="C61" s="1"/>
      <c r="D61" s="45" t="s">
        <v>1626</v>
      </c>
      <c r="E61" s="532">
        <f>'[7]EIA_Output QBtu'!G62/TbtuToQBtu</f>
        <v>1162.5619999999999</v>
      </c>
      <c r="F61" s="532">
        <f>'[7]EIA_Output QBtu'!H62/TbtuToQBtu</f>
        <v>1085.2919999999999</v>
      </c>
      <c r="G61" s="532">
        <f>'[7]EIA_Output QBtu'!I62/TbtuToQBtu</f>
        <v>872.17</v>
      </c>
      <c r="H61" s="532">
        <f>'[7]EIA_Output QBtu'!J62/TbtuToQBtu</f>
        <v>958.64499999999998</v>
      </c>
      <c r="I61" s="532">
        <f>'[7]EIA_Output QBtu'!K62/TbtuToQBtu</f>
        <v>869</v>
      </c>
      <c r="J61" s="532">
        <f>'[7]EIA_Output QBtu'!L62/TbtuToQBtu</f>
        <v>565.97299999999996</v>
      </c>
      <c r="K61" s="532">
        <f>'[7]EIA_Output QBtu'!M62/TbtuToQBtu</f>
        <v>628.39099999999996</v>
      </c>
      <c r="L61" s="532">
        <f>'[7]EIA_Output QBtu'!N62/TbtuToQBtu</f>
        <v>714.63400000000001</v>
      </c>
      <c r="M61" s="532">
        <f>'[7]EIA_Output QBtu'!O62/TbtuToQBtu</f>
        <v>1046.96</v>
      </c>
      <c r="N61" s="532">
        <f>'[7]EIA_Output QBtu'!P62/TbtuToQBtu</f>
        <v>958.72299999999996</v>
      </c>
      <c r="O61" s="532">
        <f>'[7]EIA_Output QBtu'!Q62/TbtuToQBtu</f>
        <v>870.83399999999995</v>
      </c>
      <c r="P61" s="532">
        <f>'[7]EIA_Output QBtu'!R62/TbtuToQBtu</f>
        <v>1002.8029999999999</v>
      </c>
      <c r="Q61" s="532">
        <f>'[7]EIA_Output QBtu'!S62/TbtuToQBtu</f>
        <v>658.71</v>
      </c>
      <c r="R61" s="532">
        <f>'[7]EIA_Output QBtu'!T62/TbtuToQBtu</f>
        <v>869.36300000000006</v>
      </c>
      <c r="S61" s="532">
        <f>'[7]EIA_Output QBtu'!U62/TbtuToQBtu</f>
        <v>879.02200000000005</v>
      </c>
      <c r="T61" s="532">
        <f>'[7]EIA_Output QBtu'!V62/TbtuToQBtu</f>
        <v>876.46199999999999</v>
      </c>
      <c r="U61" s="532">
        <f>'[7]EIA_Output QBtu'!W62/TbtuToQBtu</f>
        <v>360.52699999999999</v>
      </c>
      <c r="V61" s="532">
        <f>'[7]EIA_Output QBtu'!X62/TbtuToQBtu</f>
        <v>396.62400000000002</v>
      </c>
      <c r="W61" s="532">
        <f>'[7]EIA_Output QBtu'!Y62/TbtuToQBtu</f>
        <v>240.42099999999999</v>
      </c>
      <c r="X61" s="532">
        <f>'[7]EIA_Output QBtu'!Z62/TbtuToQBtu</f>
        <v>180.95500000000001</v>
      </c>
      <c r="Y61" s="532">
        <f>'[7]EIA_Output QBtu'!AA62/TbtuToQBtu</f>
        <v>154.05199999999999</v>
      </c>
      <c r="Z61" s="532">
        <f>'[7]EIA_Output QBtu'!AB62/TbtuToQBtu</f>
        <v>93.064999999999998</v>
      </c>
      <c r="AA61" s="532">
        <f>'[7]EIA_Output QBtu'!AC62/TbtuToQBtu</f>
        <v>76.72</v>
      </c>
      <c r="AB61" s="532">
        <f>'[7]EIA_Output QBtu'!AD62/TbtuToQBtu</f>
        <v>77.22499999999998</v>
      </c>
      <c r="AC61" s="532">
        <f>'[7]EIA_Output QBtu'!AE62/TbtuToQBtu</f>
        <v>95.138000000000005</v>
      </c>
      <c r="AD61" s="532">
        <f>'[7]EIA_Output QBtu'!AF62/TbtuToQBtu</f>
        <v>93.861000000000004</v>
      </c>
      <c r="AE61" s="532">
        <f>'[7]EIA_Output QBtu'!AG62/TbtuToQBtu</f>
        <v>70.680000000000007</v>
      </c>
      <c r="AF61" s="532">
        <f>'[7]EIA_Output QBtu'!AH62/TbtuToQBtu</f>
        <v>65.787999999999997</v>
      </c>
      <c r="AG61" s="532">
        <f>'[7]EIA_Output QBtu'!AI62/TbtuToQBtu</f>
        <v>78.251000000000005</v>
      </c>
      <c r="AH61" s="532">
        <f>'[7]EIA_Output QBtu'!AJ62/TbtuToQBtu</f>
        <v>58.793999999999997</v>
      </c>
      <c r="AI61" s="532">
        <f>'[7]EIA_Output QBtu'!AK62/TbtuToQBtu</f>
        <v>52.695999999999998</v>
      </c>
      <c r="AJ61" s="532">
        <f>'[7]EIA_Output QBtu'!AL62/TbtuToQBtu</f>
        <v>57.302999999999997</v>
      </c>
      <c r="AK61" s="532">
        <f>'[7]EIA_Output QBtu'!AM62/TbtuToQBtu</f>
        <v>75.635999999999996</v>
      </c>
      <c r="AL61" s="57">
        <f t="shared" si="6"/>
        <v>0.31993089367048844</v>
      </c>
      <c r="AM61"/>
      <c r="AN61"/>
      <c r="AO61"/>
      <c r="AP61"/>
    </row>
    <row r="62" spans="1:44" ht="12.95">
      <c r="A62" s="1"/>
      <c r="B62" s="456">
        <f t="shared" si="43"/>
        <v>58</v>
      </c>
      <c r="C62" s="1"/>
      <c r="D62" s="45" t="s">
        <v>1603</v>
      </c>
      <c r="E62" s="464"/>
      <c r="F62" s="464"/>
      <c r="G62" s="464"/>
      <c r="H62" s="464"/>
      <c r="I62" s="464"/>
      <c r="J62" s="464"/>
      <c r="K62" s="464"/>
      <c r="L62" s="464"/>
      <c r="M62" s="464"/>
      <c r="N62" s="464"/>
      <c r="O62" s="464"/>
      <c r="P62" s="464"/>
      <c r="Q62" s="464"/>
      <c r="R62" s="464"/>
      <c r="S62" s="464"/>
      <c r="T62" s="464"/>
      <c r="U62" s="464"/>
      <c r="V62" s="464"/>
      <c r="W62" s="464"/>
      <c r="X62" s="464"/>
      <c r="Y62" s="464"/>
      <c r="Z62" s="464"/>
      <c r="AA62" s="464"/>
      <c r="AB62" s="464"/>
      <c r="AC62" s="464"/>
      <c r="AD62" s="464"/>
      <c r="AE62" s="464"/>
      <c r="AF62" s="464"/>
      <c r="AG62" s="464"/>
      <c r="AH62" s="464"/>
      <c r="AI62" s="464"/>
      <c r="AJ62" s="464"/>
      <c r="AK62" s="464"/>
      <c r="AL62" s="57"/>
      <c r="AM62" s="43"/>
      <c r="AN62"/>
      <c r="AO62"/>
      <c r="AP62"/>
      <c r="AQ62"/>
      <c r="AR62"/>
    </row>
    <row r="63" spans="1:44" s="145" customFormat="1" ht="12.95">
      <c r="A63" s="1"/>
      <c r="B63" s="456">
        <f t="shared" si="43"/>
        <v>59</v>
      </c>
      <c r="C63" s="1"/>
      <c r="D63" s="6" t="s">
        <v>1604</v>
      </c>
      <c r="E63" s="532">
        <f>'[7]EIA_Output QBtu'!G63/TbtuToQBtu</f>
        <v>30.367000000000001</v>
      </c>
      <c r="F63" s="532">
        <f>'[7]EIA_Output QBtu'!H63/TbtuToQBtu</f>
        <v>29.329000000000001</v>
      </c>
      <c r="G63" s="532">
        <f>'[7]EIA_Output QBtu'!I63/TbtuToQBtu</f>
        <v>45.005999999999993</v>
      </c>
      <c r="H63" s="532">
        <f>'[7]EIA_Output QBtu'!J63/TbtuToQBtu</f>
        <v>78.647999999999996</v>
      </c>
      <c r="I63" s="532">
        <f>'[7]EIA_Output QBtu'!K63/TbtuToQBtu</f>
        <v>69.716999999999999</v>
      </c>
      <c r="J63" s="532">
        <f>'[7]EIA_Output QBtu'!L63/TbtuToQBtu</f>
        <v>80.555999999999997</v>
      </c>
      <c r="K63" s="532">
        <f>'[7]EIA_Output QBtu'!M63/TbtuToQBtu</f>
        <v>79.570999999999998</v>
      </c>
      <c r="L63" s="532">
        <f>'[7]EIA_Output QBtu'!N63/TbtuToQBtu</f>
        <v>101.55800000000001</v>
      </c>
      <c r="M63" s="532">
        <f>'[7]EIA_Output QBtu'!O63/TbtuToQBtu</f>
        <v>123.55399999999999</v>
      </c>
      <c r="N63" s="532">
        <f>'[7]EIA_Output QBtu'!P63/TbtuToQBtu</f>
        <v>112.49099999999999</v>
      </c>
      <c r="O63" s="532">
        <f>'[7]EIA_Output QBtu'!Q63/TbtuToQBtu</f>
        <v>98.641000000000005</v>
      </c>
      <c r="P63" s="532">
        <f>'[7]EIA_Output QBtu'!R63/TbtuToQBtu</f>
        <v>103.226</v>
      </c>
      <c r="Q63" s="532">
        <f>'[7]EIA_Output QBtu'!S63/TbtuToQBtu</f>
        <v>175.17599999999999</v>
      </c>
      <c r="R63" s="532">
        <f>'[7]EIA_Output QBtu'!T63/TbtuToQBtu</f>
        <v>174.66699999999997</v>
      </c>
      <c r="S63" s="532">
        <f>'[7]EIA_Output QBtu'!U63/TbtuToQBtu</f>
        <v>210.81100000000001</v>
      </c>
      <c r="T63" s="532">
        <f>'[7]EIA_Output QBtu'!V63/TbtuToQBtu</f>
        <v>231.13200000000001</v>
      </c>
      <c r="U63" s="532">
        <f>'[7]EIA_Output QBtu'!W63/TbtuToQBtu</f>
        <v>203.04300000000001</v>
      </c>
      <c r="V63" s="532">
        <f>'[7]EIA_Output QBtu'!X63/TbtuToQBtu</f>
        <v>162.55699999999999</v>
      </c>
      <c r="W63" s="532">
        <f>'[7]EIA_Output QBtu'!Y63/TbtuToQBtu</f>
        <v>146.39099999999999</v>
      </c>
      <c r="X63" s="532">
        <f>'[7]EIA_Output QBtu'!Z63/TbtuToQBtu</f>
        <v>131.84200000000001</v>
      </c>
      <c r="Y63" s="532">
        <f>'[7]EIA_Output QBtu'!AA63/TbtuToQBtu</f>
        <v>136.595</v>
      </c>
      <c r="Z63" s="532">
        <f>'[7]EIA_Output QBtu'!AB63/TbtuToQBtu</f>
        <v>138.32</v>
      </c>
      <c r="AA63" s="532">
        <f>'[7]EIA_Output QBtu'!AC63/TbtuToQBtu</f>
        <v>85.054000000000002</v>
      </c>
      <c r="AB63" s="532">
        <f>'[7]EIA_Output QBtu'!AD63/TbtuToQBtu</f>
        <v>122.518</v>
      </c>
      <c r="AC63" s="532">
        <f>'[7]EIA_Output QBtu'!AE63/TbtuToQBtu</f>
        <v>118.15499999999999</v>
      </c>
      <c r="AD63" s="532">
        <f>'[7]EIA_Output QBtu'!AF63/TbtuToQBtu</f>
        <v>111.71599999999999</v>
      </c>
      <c r="AE63" s="532">
        <f>'[7]EIA_Output QBtu'!AG63/TbtuToQBtu</f>
        <v>118.31699999999999</v>
      </c>
      <c r="AF63" s="532">
        <f>'[7]EIA_Output QBtu'!AH63/TbtuToQBtu</f>
        <v>97.207999999999998</v>
      </c>
      <c r="AG63" s="532">
        <f>'[7]EIA_Output QBtu'!AI63/TbtuToQBtu</f>
        <v>101.482</v>
      </c>
      <c r="AH63" s="532">
        <f>'[7]EIA_Output QBtu'!AJ63/TbtuToQBtu</f>
        <v>75.912999999999997</v>
      </c>
      <c r="AI63" s="532">
        <f>'[7]EIA_Output QBtu'!AK63/TbtuToQBtu</f>
        <v>87.427000000000007</v>
      </c>
      <c r="AJ63" s="532">
        <f>'[7]EIA_Output QBtu'!AL63/TbtuToQBtu</f>
        <v>87.94</v>
      </c>
      <c r="AK63" s="532">
        <f>'[7]EIA_Output QBtu'!AM63/TbtuToQBtu</f>
        <v>84.778000000000006</v>
      </c>
      <c r="AL63" s="57">
        <f t="shared" si="6"/>
        <v>-3.5956333863998088E-2</v>
      </c>
    </row>
    <row r="64" spans="1:44" s="2" customFormat="1" ht="12.95">
      <c r="A64" s="1"/>
      <c r="B64" s="456">
        <f t="shared" si="43"/>
        <v>60</v>
      </c>
      <c r="C64" s="138"/>
      <c r="D64" s="7" t="s">
        <v>1627</v>
      </c>
      <c r="E64" s="627" t="s">
        <v>106</v>
      </c>
      <c r="F64" s="627" t="s">
        <v>106</v>
      </c>
      <c r="G64" s="627" t="s">
        <v>106</v>
      </c>
      <c r="H64" s="627" t="s">
        <v>106</v>
      </c>
      <c r="I64" s="627" t="s">
        <v>106</v>
      </c>
      <c r="J64" s="627" t="s">
        <v>106</v>
      </c>
      <c r="K64" s="627" t="s">
        <v>106</v>
      </c>
      <c r="L64" s="627" t="s">
        <v>106</v>
      </c>
      <c r="M64" s="627" t="s">
        <v>106</v>
      </c>
      <c r="N64" s="627" t="s">
        <v>106</v>
      </c>
      <c r="O64" s="627" t="s">
        <v>106</v>
      </c>
      <c r="P64" s="627" t="s">
        <v>106</v>
      </c>
      <c r="Q64" s="627" t="s">
        <v>106</v>
      </c>
      <c r="R64" s="627" t="s">
        <v>106</v>
      </c>
      <c r="S64" s="627" t="s">
        <v>106</v>
      </c>
      <c r="T64" s="627" t="s">
        <v>106</v>
      </c>
      <c r="U64" s="532" t="s">
        <v>106</v>
      </c>
      <c r="V64" s="627" t="s">
        <v>106</v>
      </c>
      <c r="W64" s="627" t="s">
        <v>106</v>
      </c>
      <c r="X64" s="627" t="s">
        <v>106</v>
      </c>
      <c r="Y64" s="627" t="s">
        <v>106</v>
      </c>
      <c r="Z64" s="627" t="s">
        <v>106</v>
      </c>
      <c r="AA64" s="627" t="s">
        <v>106</v>
      </c>
      <c r="AB64" s="627" t="s">
        <v>106</v>
      </c>
      <c r="AC64" s="627" t="s">
        <v>106</v>
      </c>
      <c r="AD64" s="627" t="s">
        <v>106</v>
      </c>
      <c r="AE64" s="627" t="s">
        <v>106</v>
      </c>
      <c r="AF64" s="627" t="s">
        <v>106</v>
      </c>
      <c r="AG64" s="627" t="s">
        <v>106</v>
      </c>
      <c r="AH64" s="627" t="s">
        <v>106</v>
      </c>
      <c r="AI64" s="627" t="s">
        <v>106</v>
      </c>
      <c r="AJ64" s="627" t="s">
        <v>106</v>
      </c>
      <c r="AK64" s="627" t="s">
        <v>106</v>
      </c>
      <c r="AL64" s="57" t="str">
        <f t="shared" si="6"/>
        <v>NA</v>
      </c>
      <c r="AM64" s="43"/>
      <c r="AN64"/>
      <c r="AO64"/>
      <c r="AP64"/>
      <c r="AQ64"/>
      <c r="AR64"/>
    </row>
    <row r="65" spans="1:44" ht="12.95">
      <c r="A65" s="1"/>
      <c r="B65" s="456">
        <f t="shared" si="43"/>
        <v>61</v>
      </c>
      <c r="C65" s="1"/>
      <c r="D65" s="1"/>
      <c r="E65" s="466"/>
      <c r="F65" s="466"/>
      <c r="G65" s="466"/>
      <c r="H65" s="466"/>
      <c r="I65" s="466"/>
      <c r="J65" s="466"/>
      <c r="K65" s="466"/>
      <c r="L65" s="466"/>
      <c r="M65" s="466"/>
      <c r="N65" s="466"/>
      <c r="O65" s="466"/>
      <c r="P65" s="466"/>
      <c r="Q65" s="466"/>
      <c r="R65" s="466"/>
      <c r="S65" s="466"/>
      <c r="T65" s="466"/>
      <c r="U65" s="642"/>
      <c r="V65" s="642"/>
      <c r="W65" s="466"/>
      <c r="X65" s="466"/>
      <c r="Y65" s="466"/>
      <c r="Z65" s="466"/>
      <c r="AA65" s="466"/>
      <c r="AB65" s="466"/>
      <c r="AC65" s="466"/>
      <c r="AD65" s="466"/>
      <c r="AE65" s="466"/>
      <c r="AF65" s="466"/>
      <c r="AG65" s="466"/>
      <c r="AH65" s="466"/>
      <c r="AI65" s="466"/>
      <c r="AJ65" s="466"/>
      <c r="AK65" s="466"/>
      <c r="AL65" s="57"/>
      <c r="AM65" s="43"/>
      <c r="AN65"/>
      <c r="AO65"/>
      <c r="AP65"/>
      <c r="AQ65"/>
      <c r="AR65"/>
    </row>
    <row r="66" spans="1:44" ht="12.95">
      <c r="A66" s="1"/>
      <c r="B66" s="456">
        <f t="shared" si="43"/>
        <v>62</v>
      </c>
      <c r="C66" s="469" t="s">
        <v>1628</v>
      </c>
      <c r="D66" s="136"/>
      <c r="E66" s="470"/>
      <c r="F66" s="470"/>
      <c r="G66" s="470"/>
      <c r="H66" s="470"/>
      <c r="I66" s="470"/>
      <c r="J66" s="470"/>
      <c r="K66" s="470"/>
      <c r="L66" s="470"/>
      <c r="M66" s="470"/>
      <c r="N66" s="470"/>
      <c r="O66" s="470"/>
      <c r="P66" s="470"/>
      <c r="Q66" s="470"/>
      <c r="R66" s="470"/>
      <c r="S66" s="470"/>
      <c r="T66" s="470"/>
      <c r="U66" s="466"/>
      <c r="V66" s="466"/>
      <c r="W66" s="470"/>
      <c r="X66" s="470"/>
      <c r="Y66" s="470"/>
      <c r="Z66" s="470"/>
      <c r="AA66" s="470"/>
      <c r="AB66" s="470"/>
      <c r="AC66" s="470"/>
      <c r="AD66" s="470"/>
      <c r="AE66" s="470"/>
      <c r="AF66" s="470"/>
      <c r="AG66" s="470"/>
      <c r="AH66" s="470"/>
      <c r="AI66" s="470"/>
      <c r="AJ66" s="470"/>
      <c r="AK66" s="470"/>
      <c r="AL66" s="57"/>
      <c r="AM66" s="43"/>
      <c r="AN66"/>
      <c r="AO66"/>
      <c r="AP66" s="87"/>
      <c r="AQ66"/>
      <c r="AR66"/>
    </row>
    <row r="67" spans="1:44" ht="12.95">
      <c r="A67" s="1"/>
      <c r="B67" s="456">
        <f t="shared" si="43"/>
        <v>63</v>
      </c>
      <c r="C67" s="45" t="s">
        <v>1629</v>
      </c>
      <c r="D67" s="1"/>
      <c r="E67" s="466"/>
      <c r="F67" s="466"/>
      <c r="G67" s="466"/>
      <c r="H67" s="466"/>
      <c r="I67" s="466"/>
      <c r="J67" s="466"/>
      <c r="K67" s="466"/>
      <c r="L67" s="466"/>
      <c r="M67" s="466"/>
      <c r="N67" s="466"/>
      <c r="O67" s="466"/>
      <c r="P67" s="466"/>
      <c r="Q67" s="466"/>
      <c r="R67" s="466"/>
      <c r="S67" s="466"/>
      <c r="T67" s="466"/>
      <c r="U67" s="466"/>
      <c r="V67" s="466"/>
      <c r="W67" s="466"/>
      <c r="X67" s="466"/>
      <c r="Y67" s="466"/>
      <c r="Z67" s="466"/>
      <c r="AA67" s="466"/>
      <c r="AB67" s="466"/>
      <c r="AC67" s="466"/>
      <c r="AD67" s="466"/>
      <c r="AE67" s="466"/>
      <c r="AF67" s="466"/>
      <c r="AG67" s="466"/>
      <c r="AH67" s="466"/>
      <c r="AI67" s="466"/>
      <c r="AJ67" s="466"/>
      <c r="AK67" s="466"/>
      <c r="AL67" s="57"/>
      <c r="AM67" s="43"/>
      <c r="AN67"/>
      <c r="AO67"/>
      <c r="AP67"/>
      <c r="AQ67"/>
      <c r="AR67"/>
    </row>
    <row r="68" spans="1:44" ht="12.95">
      <c r="A68" s="1"/>
      <c r="B68" s="456">
        <f t="shared" si="43"/>
        <v>64</v>
      </c>
      <c r="C68" s="45"/>
      <c r="D68" s="1"/>
      <c r="E68" s="466"/>
      <c r="F68" s="466"/>
      <c r="G68" s="466"/>
      <c r="H68" s="466"/>
      <c r="I68" s="466"/>
      <c r="J68" s="466"/>
      <c r="K68" s="466"/>
      <c r="L68" s="466"/>
      <c r="M68" s="466"/>
      <c r="N68" s="466"/>
      <c r="O68" s="466"/>
      <c r="P68" s="466"/>
      <c r="Q68" s="466"/>
      <c r="R68" s="466"/>
      <c r="S68" s="466"/>
      <c r="T68" s="466"/>
      <c r="U68" s="466"/>
      <c r="V68" s="466"/>
      <c r="W68" s="466"/>
      <c r="X68" s="466"/>
      <c r="Y68" s="466"/>
      <c r="Z68" s="466"/>
      <c r="AA68" s="466"/>
      <c r="AB68" s="466"/>
      <c r="AC68" s="466"/>
      <c r="AD68" s="466"/>
      <c r="AE68" s="466"/>
      <c r="AF68" s="466"/>
      <c r="AG68" s="466"/>
      <c r="AH68" s="466"/>
      <c r="AI68" s="466"/>
      <c r="AJ68" s="466"/>
      <c r="AK68" s="466"/>
      <c r="AL68" s="57"/>
      <c r="AM68" s="43"/>
      <c r="AN68"/>
      <c r="AO68"/>
      <c r="AP68"/>
      <c r="AQ68"/>
      <c r="AR68"/>
    </row>
    <row r="69" spans="1:44" ht="12.95">
      <c r="A69" s="1"/>
      <c r="B69" s="456">
        <f t="shared" si="43"/>
        <v>65</v>
      </c>
      <c r="C69" s="1"/>
      <c r="D69" s="45" t="s">
        <v>1493</v>
      </c>
      <c r="E69" s="643">
        <f>'[9]Marine Emissions'!D40</f>
        <v>715.70055592900007</v>
      </c>
      <c r="F69" s="643">
        <f>'[9]Marine Emissions'!E40</f>
        <v>801.50766322200002</v>
      </c>
      <c r="G69" s="643">
        <f>'[9]Marine Emissions'!F40</f>
        <v>669.84178850199987</v>
      </c>
      <c r="H69" s="643">
        <f>'[9]Marine Emissions'!G40</f>
        <v>533.93118914900003</v>
      </c>
      <c r="I69" s="643">
        <f>'[9]Marine Emissions'!H40</f>
        <v>524.47212730800004</v>
      </c>
      <c r="J69" s="643">
        <f>'[9]Marine Emissions'!I40</f>
        <v>523.21106827400001</v>
      </c>
      <c r="K69" s="643">
        <f>'[9]Marine Emissions'!J40</f>
        <v>536.39262509299999</v>
      </c>
      <c r="L69" s="643">
        <f>'[9]Marine Emissions'!K40</f>
        <v>575.2013833389999</v>
      </c>
      <c r="M69" s="643">
        <f>'[9]Marine Emissions'!L40</f>
        <v>594.80495348299996</v>
      </c>
      <c r="N69" s="643">
        <f>'[9]Marine Emissions'!M40</f>
        <v>489.72961205199994</v>
      </c>
      <c r="O69" s="643">
        <f>'[9]Marine Emissions'!N40</f>
        <v>444.07453713799998</v>
      </c>
      <c r="P69" s="643">
        <f>'[9]Marine Emissions'!O40</f>
        <v>426.03679463999998</v>
      </c>
      <c r="Q69" s="643">
        <f>'[9]Marine Emissions'!P40</f>
        <v>448.92601071049995</v>
      </c>
      <c r="R69" s="643">
        <f>'[9]Marine Emissions'!Q40</f>
        <v>471.81522678099998</v>
      </c>
      <c r="S69" s="643">
        <f>'[9]Marine Emissions'!R40</f>
        <v>553.10206909199985</v>
      </c>
      <c r="T69" s="643">
        <f>'[9]Marine Emissions'!S40</f>
        <v>581.00483759499991</v>
      </c>
      <c r="U69" s="643">
        <f>'[9]Marine Emissions'!T40</f>
        <v>599.36729735599988</v>
      </c>
      <c r="V69" s="643">
        <f>'[9]Marine Emissions'!U40</f>
        <v>607.53837294199991</v>
      </c>
      <c r="W69" s="643">
        <f>'[9]Marine Emissions'!V40</f>
        <v>654.61012900100002</v>
      </c>
      <c r="X69" s="643">
        <f>'[9]Marine Emissions'!W40</f>
        <v>604.77958704599996</v>
      </c>
      <c r="Y69" s="643">
        <f>'[9]Marine Emissions'!X40</f>
        <v>619.80747230299994</v>
      </c>
      <c r="Z69" s="643">
        <f>'[9]Marine Emissions'!Y40</f>
        <v>518.37060009499999</v>
      </c>
      <c r="AA69" s="643">
        <f>'[9]Marine Emissions'!Z40</f>
        <v>459.45652509599995</v>
      </c>
      <c r="AB69" s="643">
        <f>'[9]Marine Emissions'!AA40</f>
        <v>379.79377073972995</v>
      </c>
      <c r="AC69" s="643">
        <f>'[9]Marine Emissions'!AB40</f>
        <v>369.176946595</v>
      </c>
      <c r="AD69" s="643">
        <f>'[9]Marine Emissions'!AC40</f>
        <v>406.84953077499995</v>
      </c>
      <c r="AE69" s="643">
        <f>'[9]Marine Emissions'!AD40</f>
        <v>450.68101104299996</v>
      </c>
      <c r="AF69" s="643">
        <f>'[9]Marine Emissions'!AE40</f>
        <v>445.32404695299994</v>
      </c>
      <c r="AG69" s="643">
        <f>'[9]Marine Emissions'!AF40</f>
        <v>417.56628810500001</v>
      </c>
      <c r="AH69" s="643">
        <f>'[9]Marine Emissions'!AG40</f>
        <v>336.22633963073997</v>
      </c>
      <c r="AI69" s="643">
        <f>'[9]Marine Emissions'!AH40</f>
        <v>293.98832453499995</v>
      </c>
      <c r="AJ69" s="643">
        <f>'[9]Marine Emissions'!AI40</f>
        <v>292.29712153499997</v>
      </c>
      <c r="AK69" s="643">
        <f>'[9]Marine Emissions'!AJ40</f>
        <v>325.17659121999998</v>
      </c>
      <c r="AL69" s="57">
        <f t="shared" ref="AL69:AL71" si="50">IFERROR((AK69-AJ69)/AJ69, "NA")</f>
        <v>0.11248646415788593</v>
      </c>
      <c r="AM69" s="43"/>
      <c r="AN69"/>
      <c r="AO69"/>
      <c r="AP69"/>
      <c r="AQ69"/>
      <c r="AR69"/>
    </row>
    <row r="70" spans="1:44" ht="12.95">
      <c r="A70" s="1"/>
      <c r="B70" s="456">
        <f t="shared" si="43"/>
        <v>66</v>
      </c>
      <c r="C70" s="1"/>
      <c r="D70" s="45" t="s">
        <v>1630</v>
      </c>
      <c r="E70" s="643">
        <f>'[9]Marine Emissions'!D41</f>
        <v>157.99296592261908</v>
      </c>
      <c r="F70" s="643">
        <f>'[9]Marine Emissions'!E41</f>
        <v>149.30996711904763</v>
      </c>
      <c r="G70" s="643">
        <f>'[9]Marine Emissions'!F41</f>
        <v>145.93635013333335</v>
      </c>
      <c r="H70" s="643">
        <f>'[9]Marine Emissions'!G41</f>
        <v>146.63490493690477</v>
      </c>
      <c r="I70" s="643">
        <f>'[9]Marine Emissions'!H41</f>
        <v>121.18688681309524</v>
      </c>
      <c r="J70" s="643">
        <f>'[9]Marine Emissions'!I41</f>
        <v>125.73552141190476</v>
      </c>
      <c r="K70" s="643">
        <f>'[9]Marine Emissions'!J41</f>
        <v>114.13606579817262</v>
      </c>
      <c r="L70" s="643">
        <f>'[9]Marine Emissions'!K41</f>
        <v>125.50521382260119</v>
      </c>
      <c r="M70" s="643">
        <f>'[9]Marine Emissions'!L41</f>
        <v>158.80061981404765</v>
      </c>
      <c r="N70" s="643">
        <f>'[9]Marine Emissions'!M41</f>
        <v>113.58632542480953</v>
      </c>
      <c r="O70" s="643">
        <f>'[9]Marine Emissions'!N41</f>
        <v>85.858733881526433</v>
      </c>
      <c r="P70" s="643">
        <f>'[9]Marine Emissions'!O41</f>
        <v>72.397487179080514</v>
      </c>
      <c r="Q70" s="643">
        <f>'[9]Marine Emissions'!P41</f>
        <v>82.553591993078072</v>
      </c>
      <c r="R70" s="643">
        <f>'[9]Marine Emissions'!Q41</f>
        <v>103.89016370482545</v>
      </c>
      <c r="S70" s="643">
        <f>'[9]Marine Emissions'!R41</f>
        <v>143.56371847427505</v>
      </c>
      <c r="T70" s="643">
        <f>'[9]Marine Emissions'!S41</f>
        <v>126.88802077883335</v>
      </c>
      <c r="U70" s="643">
        <f>'[9]Marine Emissions'!T41</f>
        <v>119.3104984527381</v>
      </c>
      <c r="V70" s="643">
        <f>'[9]Marine Emissions'!U41</f>
        <v>111.33230301900001</v>
      </c>
      <c r="W70" s="643">
        <f>'[9]Marine Emissions'!V41</f>
        <v>122.22402446130357</v>
      </c>
      <c r="X70" s="643">
        <f>'[9]Marine Emissions'!W41</f>
        <v>111.01643203936906</v>
      </c>
      <c r="Y70" s="643">
        <f>'[9]Marine Emissions'!X41</f>
        <v>128.2033434235893</v>
      </c>
      <c r="Z70" s="643">
        <f>'[9]Marine Emissions'!Y41</f>
        <v>107.41368474261905</v>
      </c>
      <c r="AA70" s="643">
        <f>'[9]Marine Emissions'!Z41</f>
        <v>91.666193134638803</v>
      </c>
      <c r="AB70" s="643">
        <f>'[9]Marine Emissions'!AA41</f>
        <v>75.44056699365828</v>
      </c>
      <c r="AC70" s="643">
        <f>'[9]Marine Emissions'!AB41</f>
        <v>82.047052513449216</v>
      </c>
      <c r="AD70" s="643">
        <f>'[9]Marine Emissions'!AC41</f>
        <v>113.50034480709412</v>
      </c>
      <c r="AE70" s="643">
        <f>'[9]Marine Emissions'!AD41</f>
        <v>117.52308765543356</v>
      </c>
      <c r="AF70" s="643">
        <f>'[9]Marine Emissions'!AE41</f>
        <v>121.30000998407694</v>
      </c>
      <c r="AG70" s="643">
        <f>'[9]Marine Emissions'!AF41</f>
        <v>134.44842939592129</v>
      </c>
      <c r="AH70" s="643">
        <f>'[9]Marine Emissions'!AG41</f>
        <v>136.25532563870291</v>
      </c>
      <c r="AI70" s="643">
        <f>'[9]Marine Emissions'!AH41</f>
        <v>104.9583132795492</v>
      </c>
      <c r="AJ70" s="643">
        <f>'[9]Marine Emissions'!AI41</f>
        <v>100.08479845833058</v>
      </c>
      <c r="AK70" s="643">
        <f>'[9]Marine Emissions'!AJ41</f>
        <v>96.810063081760362</v>
      </c>
      <c r="AL70" s="57">
        <f t="shared" si="50"/>
        <v>-3.271960804251034E-2</v>
      </c>
      <c r="AM70" s="43"/>
      <c r="AN70"/>
      <c r="AO70"/>
      <c r="AP70"/>
      <c r="AQ70"/>
      <c r="AR70"/>
    </row>
    <row r="71" spans="1:44" ht="12.95">
      <c r="A71" s="1"/>
      <c r="B71" s="456">
        <f t="shared" si="43"/>
        <v>67</v>
      </c>
      <c r="C71" s="98"/>
      <c r="D71" s="472" t="s">
        <v>1492</v>
      </c>
      <c r="E71" s="644">
        <f>'[9]Aviation Emissions'!D9</f>
        <v>541.82069611021325</v>
      </c>
      <c r="F71" s="644">
        <f>'[9]Aviation Emissions'!E9</f>
        <v>653.83474818058585</v>
      </c>
      <c r="G71" s="644">
        <f>'[9]Aviation Emissions'!F9</f>
        <v>659.49550556120562</v>
      </c>
      <c r="H71" s="644">
        <f>'[9]Aviation Emissions'!G9</f>
        <v>661.52276025554227</v>
      </c>
      <c r="I71" s="644">
        <f>'[9]Aviation Emissions'!H9</f>
        <v>682.46745276342131</v>
      </c>
      <c r="J71" s="644">
        <f>'[9]Aviation Emissions'!I9</f>
        <v>705.05567371155803</v>
      </c>
      <c r="K71" s="644">
        <f>'[9]Aviation Emissions'!J9</f>
        <v>719.8022298769738</v>
      </c>
      <c r="L71" s="644">
        <f>'[9]Aviation Emissions'!K9</f>
        <v>755.82884678099151</v>
      </c>
      <c r="M71" s="644">
        <f>'[9]Aviation Emissions'!L9</f>
        <v>750.24196992392456</v>
      </c>
      <c r="N71" s="644">
        <f>'[9]Aviation Emissions'!M9</f>
        <v>798.34012176602073</v>
      </c>
      <c r="O71" s="644">
        <f>'[9]Aviation Emissions'!N9</f>
        <v>881.45014880742485</v>
      </c>
      <c r="P71" s="644">
        <f>'[9]Aviation Emissions'!O9</f>
        <v>801.17289306002192</v>
      </c>
      <c r="Q71" s="644">
        <f>'[9]Aviation Emissions'!P9</f>
        <v>776.20775422890858</v>
      </c>
      <c r="R71" s="644">
        <f>'[9]Aviation Emissions'!Q9</f>
        <v>784.31912822478034</v>
      </c>
      <c r="S71" s="644">
        <f>'[9]Aviation Emissions'!R9</f>
        <v>799.1259685693858</v>
      </c>
      <c r="T71" s="644">
        <f>'[9]Aviation Emissions'!S9</f>
        <v>854.39812796000024</v>
      </c>
      <c r="U71" s="644">
        <f>'[9]Aviation Emissions'!T9</f>
        <v>856.69363534447564</v>
      </c>
      <c r="V71" s="644">
        <f>'[9]Aviation Emissions'!U9</f>
        <v>873.82720853348292</v>
      </c>
      <c r="W71" s="644">
        <f>'[9]Aviation Emissions'!V9</f>
        <v>797.87819334561755</v>
      </c>
      <c r="X71" s="644">
        <f>'[9]Aviation Emissions'!W9</f>
        <v>750.11662055458169</v>
      </c>
      <c r="Y71" s="644">
        <f>'[9]Aviation Emissions'!X9</f>
        <v>866.4359203494854</v>
      </c>
      <c r="Z71" s="644">
        <f>'[9]Aviation Emissions'!Y9</f>
        <v>920.81140713384332</v>
      </c>
      <c r="AA71" s="644">
        <f>'[9]Aviation Emissions'!Z9</f>
        <v>917.17514185690175</v>
      </c>
      <c r="AB71" s="644">
        <f>'[9]Aviation Emissions'!AA9</f>
        <v>932.49186776158558</v>
      </c>
      <c r="AC71" s="644">
        <f>'[9]Aviation Emissions'!AB9</f>
        <v>988.79048924126096</v>
      </c>
      <c r="AD71" s="644">
        <f>'[9]Aviation Emissions'!AC9</f>
        <v>1023.2524866426733</v>
      </c>
      <c r="AE71" s="644">
        <f>'[9]Aviation Emissions'!AD9</f>
        <v>1052.0845621630212</v>
      </c>
      <c r="AF71" s="644">
        <f>'[9]Aviation Emissions'!AE9</f>
        <v>1104.1889361689159</v>
      </c>
      <c r="AG71" s="644">
        <f>'[9]Aviation Emissions'!AF9</f>
        <v>1147.6629896579316</v>
      </c>
      <c r="AH71" s="644">
        <f>'[9]Aviation Emissions'!AG9</f>
        <v>1112.0356750483818</v>
      </c>
      <c r="AI71" s="644">
        <f>'[9]Aviation Emissions'!AH9</f>
        <v>563.66616431474301</v>
      </c>
      <c r="AJ71" s="644">
        <f>'[9]Aviation Emissions'!AI9</f>
        <v>721.46880886175848</v>
      </c>
      <c r="AK71" s="644">
        <f>'[9]Aviation Emissions'!AJ9</f>
        <v>908.76435987107743</v>
      </c>
      <c r="AL71" s="57">
        <f t="shared" si="50"/>
        <v>0.25960311618295739</v>
      </c>
      <c r="AM71" s="43"/>
      <c r="AN71"/>
      <c r="AO71"/>
      <c r="AP71"/>
      <c r="AQ71"/>
      <c r="AR71"/>
    </row>
    <row r="72" spans="1:44" ht="12.95">
      <c r="A72" s="1"/>
      <c r="B72" s="456">
        <f t="shared" si="43"/>
        <v>68</v>
      </c>
      <c r="C72" s="1"/>
      <c r="D72" s="1"/>
      <c r="E72" s="466"/>
      <c r="F72" s="466"/>
      <c r="G72" s="466"/>
      <c r="H72" s="466"/>
      <c r="I72" s="466"/>
      <c r="J72" s="466"/>
      <c r="K72" s="466"/>
      <c r="L72" s="466"/>
      <c r="M72" s="466"/>
      <c r="N72" s="466"/>
      <c r="O72" s="466"/>
      <c r="P72" s="618"/>
      <c r="Q72" s="618"/>
      <c r="R72" s="618"/>
      <c r="S72" s="618"/>
      <c r="T72" s="618"/>
      <c r="U72" s="618"/>
      <c r="V72" s="618"/>
      <c r="W72" s="618"/>
      <c r="X72" s="618"/>
      <c r="Y72" s="618"/>
      <c r="Z72" s="618"/>
      <c r="AA72" s="618"/>
      <c r="AB72" s="618"/>
      <c r="AC72" s="618"/>
      <c r="AD72" s="462"/>
      <c r="AE72" s="462"/>
      <c r="AF72" s="462"/>
      <c r="AG72" s="462"/>
      <c r="AH72" s="462"/>
      <c r="AI72" s="462"/>
      <c r="AJ72" s="462"/>
      <c r="AK72" s="462"/>
      <c r="AL72" s="57"/>
      <c r="AM72" s="43"/>
      <c r="AN72"/>
      <c r="AO72"/>
      <c r="AP72"/>
      <c r="AQ72"/>
      <c r="AR72"/>
    </row>
    <row r="73" spans="1:44" ht="12.95">
      <c r="A73" s="1"/>
      <c r="B73" s="456">
        <f t="shared" si="43"/>
        <v>69</v>
      </c>
      <c r="C73" s="469" t="s">
        <v>1631</v>
      </c>
      <c r="D73" s="136"/>
      <c r="E73" s="470"/>
      <c r="F73" s="470"/>
      <c r="G73" s="470"/>
      <c r="H73" s="470"/>
      <c r="I73" s="470"/>
      <c r="J73" s="470"/>
      <c r="K73" s="470"/>
      <c r="L73" s="470"/>
      <c r="M73" s="470"/>
      <c r="N73" s="470"/>
      <c r="O73" s="470"/>
      <c r="P73" s="466"/>
      <c r="Q73" s="466"/>
      <c r="R73" s="466"/>
      <c r="S73" s="466"/>
      <c r="T73" s="466"/>
      <c r="U73" s="466"/>
      <c r="V73" s="466"/>
      <c r="W73" s="466"/>
      <c r="X73" s="466"/>
      <c r="Y73" s="466"/>
      <c r="Z73" s="466"/>
      <c r="AA73" s="466"/>
      <c r="AB73" s="466"/>
      <c r="AC73" s="466"/>
      <c r="AD73" s="466"/>
      <c r="AE73" s="466"/>
      <c r="AF73" s="466"/>
      <c r="AG73" s="466"/>
      <c r="AH73" s="466"/>
      <c r="AI73" s="466"/>
      <c r="AJ73" s="466"/>
      <c r="AK73" s="466"/>
      <c r="AL73" s="57"/>
      <c r="AM73" s="43"/>
      <c r="AN73"/>
      <c r="AO73"/>
      <c r="AP73"/>
      <c r="AQ73"/>
      <c r="AR73"/>
    </row>
    <row r="74" spans="1:44" ht="12.95">
      <c r="A74" s="1"/>
      <c r="B74" s="456">
        <f t="shared" si="43"/>
        <v>70</v>
      </c>
      <c r="C74" s="1" t="s">
        <v>1632</v>
      </c>
      <c r="D74" s="43"/>
      <c r="E74" s="466"/>
      <c r="F74" s="466"/>
      <c r="G74" s="466"/>
      <c r="H74" s="466"/>
      <c r="I74" s="466"/>
      <c r="J74" s="466"/>
      <c r="K74" s="466"/>
      <c r="L74" s="466"/>
      <c r="M74" s="466"/>
      <c r="N74" s="466"/>
      <c r="O74" s="466"/>
      <c r="P74" s="466"/>
      <c r="Q74" s="466"/>
      <c r="R74" s="466"/>
      <c r="S74" s="466"/>
      <c r="T74" s="466"/>
      <c r="U74" s="466"/>
      <c r="V74" s="466"/>
      <c r="W74" s="466"/>
      <c r="X74" s="466"/>
      <c r="Y74" s="466"/>
      <c r="Z74" s="466"/>
      <c r="AA74" s="466"/>
      <c r="AB74" s="466"/>
      <c r="AC74" s="466"/>
      <c r="AD74" s="466"/>
      <c r="AE74" s="466"/>
      <c r="AF74" s="466"/>
      <c r="AG74" s="466"/>
      <c r="AH74" s="466"/>
      <c r="AI74" s="466"/>
      <c r="AJ74" s="466"/>
      <c r="AK74" s="466"/>
      <c r="AL74" s="57"/>
      <c r="AM74" s="43"/>
      <c r="AN74"/>
      <c r="AO74"/>
      <c r="AP74"/>
      <c r="AQ74"/>
      <c r="AR74"/>
    </row>
    <row r="75" spans="1:44" ht="12.95">
      <c r="A75" s="1"/>
      <c r="B75" s="456">
        <f t="shared" si="43"/>
        <v>71</v>
      </c>
      <c r="C75" s="45"/>
      <c r="D75" s="6"/>
      <c r="E75" s="466"/>
      <c r="F75" s="466"/>
      <c r="G75" s="466"/>
      <c r="H75" s="466"/>
      <c r="I75" s="466"/>
      <c r="J75" s="466"/>
      <c r="K75" s="466"/>
      <c r="L75" s="466"/>
      <c r="M75" s="466"/>
      <c r="N75" s="466"/>
      <c r="O75" s="466"/>
      <c r="P75" s="466"/>
      <c r="Q75" s="466"/>
      <c r="R75" s="466"/>
      <c r="S75" s="466"/>
      <c r="T75" s="466"/>
      <c r="U75" s="466"/>
      <c r="V75" s="466"/>
      <c r="W75" s="466"/>
      <c r="X75" s="466"/>
      <c r="Y75" s="466"/>
      <c r="Z75" s="466"/>
      <c r="AA75" s="466"/>
      <c r="AB75" s="466"/>
      <c r="AC75" s="466"/>
      <c r="AD75" s="466"/>
      <c r="AE75" s="466"/>
      <c r="AF75" s="466"/>
      <c r="AG75" s="466"/>
      <c r="AH75" s="466"/>
      <c r="AI75" s="466"/>
      <c r="AJ75" s="466"/>
      <c r="AK75" s="466"/>
      <c r="AL75" s="57"/>
      <c r="AM75" s="43"/>
      <c r="AN75"/>
      <c r="AO75"/>
      <c r="AP75"/>
      <c r="AQ75"/>
      <c r="AR75"/>
    </row>
    <row r="76" spans="1:44" ht="12.95">
      <c r="A76" s="1"/>
      <c r="B76" s="456">
        <f t="shared" si="43"/>
        <v>72</v>
      </c>
      <c r="C76" s="1" t="s">
        <v>1633</v>
      </c>
      <c r="D76" s="45" t="s">
        <v>1434</v>
      </c>
      <c r="E76" s="464">
        <f>E126</f>
        <v>924.01869900000008</v>
      </c>
      <c r="F76" s="464">
        <f t="shared" ref="F76:AF76" si="51">F126</f>
        <v>955.41734999999994</v>
      </c>
      <c r="G76" s="464">
        <f t="shared" si="51"/>
        <v>935.93878799999993</v>
      </c>
      <c r="H76" s="464">
        <f t="shared" si="51"/>
        <v>994.78081799999995</v>
      </c>
      <c r="I76" s="464">
        <f t="shared" si="51"/>
        <v>1008.4816820000001</v>
      </c>
      <c r="J76" s="464">
        <f t="shared" si="51"/>
        <v>1042.501471</v>
      </c>
      <c r="K76" s="464">
        <f t="shared" si="51"/>
        <v>1082.5117500000001</v>
      </c>
      <c r="L76" s="464">
        <f t="shared" si="51"/>
        <v>1075.880095</v>
      </c>
      <c r="M76" s="464">
        <f t="shared" si="51"/>
        <v>1130.1091200000001</v>
      </c>
      <c r="N76" s="464">
        <f t="shared" si="51"/>
        <v>1144.9230680000001</v>
      </c>
      <c r="O76" s="464">
        <f t="shared" si="51"/>
        <v>1192.4464909999999</v>
      </c>
      <c r="P76" s="464">
        <f t="shared" si="51"/>
        <v>1201.6065930000002</v>
      </c>
      <c r="Q76" s="464">
        <f t="shared" si="51"/>
        <v>1265.1798690000001</v>
      </c>
      <c r="R76" s="464">
        <f t="shared" si="51"/>
        <v>1275.8239099999998</v>
      </c>
      <c r="S76" s="464">
        <f t="shared" si="51"/>
        <v>1291.9815779999999</v>
      </c>
      <c r="T76" s="464">
        <f t="shared" si="51"/>
        <v>1359.2271070000002</v>
      </c>
      <c r="U76" s="464">
        <f t="shared" si="51"/>
        <v>1351.5200360000001</v>
      </c>
      <c r="V76" s="464">
        <f t="shared" si="51"/>
        <v>1392.240996</v>
      </c>
      <c r="W76" s="464">
        <f t="shared" si="51"/>
        <v>1380.6617450000001</v>
      </c>
      <c r="X76" s="464">
        <f t="shared" si="51"/>
        <v>1364.758153</v>
      </c>
      <c r="Y76" s="464">
        <f t="shared" si="51"/>
        <v>1445.6833948661408</v>
      </c>
      <c r="Z76" s="464">
        <f t="shared" si="51"/>
        <v>1422.721892969158</v>
      </c>
      <c r="AA76" s="464">
        <f t="shared" si="51"/>
        <v>1374.3365857484939</v>
      </c>
      <c r="AB76" s="464">
        <f t="shared" si="51"/>
        <v>1394.426687369496</v>
      </c>
      <c r="AC76" s="464">
        <f t="shared" si="51"/>
        <v>1406.5648320264895</v>
      </c>
      <c r="AD76" s="464">
        <f t="shared" si="51"/>
        <v>1403.1594936096537</v>
      </c>
      <c r="AE76" s="464">
        <f t="shared" si="51"/>
        <v>1409.7279324305819</v>
      </c>
      <c r="AF76" s="464">
        <f t="shared" si="51"/>
        <v>1376.855802943903</v>
      </c>
      <c r="AG76" s="464">
        <f t="shared" ref="AG76:AH76" si="52">AG126</f>
        <v>1466.3607810678025</v>
      </c>
      <c r="AH76" s="464">
        <f t="shared" si="52"/>
        <v>1436.7105606658743</v>
      </c>
      <c r="AI76" s="464">
        <f t="shared" ref="AI76:AJ76" si="53">AI126</f>
        <v>1460.8411683519457</v>
      </c>
      <c r="AJ76" s="464">
        <f t="shared" si="53"/>
        <v>1464.9154607128403</v>
      </c>
      <c r="AK76" s="464">
        <f t="shared" ref="AK76" si="54">AK126</f>
        <v>1501.0014174763287</v>
      </c>
      <c r="AL76" s="57">
        <f t="shared" ref="AL76:AL79" si="55">IFERROR((AK76-AJ76)/AJ76, "NA")</f>
        <v>2.4633473897482574E-2</v>
      </c>
      <c r="AM76" s="43"/>
      <c r="AN76"/>
      <c r="AO76"/>
      <c r="AP76"/>
      <c r="AQ76"/>
      <c r="AR76"/>
    </row>
    <row r="77" spans="1:44" ht="12.95">
      <c r="A77" s="1"/>
      <c r="B77" s="456">
        <f t="shared" si="43"/>
        <v>73</v>
      </c>
      <c r="C77" s="1" t="s">
        <v>1634</v>
      </c>
      <c r="D77" s="45" t="s">
        <v>1441</v>
      </c>
      <c r="E77" s="464">
        <f>E129</f>
        <v>838.26310599999999</v>
      </c>
      <c r="F77" s="464">
        <f t="shared" ref="F77:AF77" si="56">F129</f>
        <v>855.24385600000005</v>
      </c>
      <c r="G77" s="464">
        <f t="shared" si="56"/>
        <v>850.00692200000003</v>
      </c>
      <c r="H77" s="464">
        <f t="shared" si="56"/>
        <v>884.74634000000003</v>
      </c>
      <c r="I77" s="464">
        <f t="shared" si="56"/>
        <v>913.10569099999998</v>
      </c>
      <c r="J77" s="464">
        <f t="shared" si="56"/>
        <v>953.11724800000002</v>
      </c>
      <c r="K77" s="464">
        <f t="shared" si="56"/>
        <v>980.06111899999996</v>
      </c>
      <c r="L77" s="464">
        <f t="shared" si="56"/>
        <v>1026.6261050000001</v>
      </c>
      <c r="M77" s="464">
        <f t="shared" si="56"/>
        <v>1077.956919</v>
      </c>
      <c r="N77" s="464">
        <f t="shared" si="56"/>
        <v>1103.8212100000001</v>
      </c>
      <c r="O77" s="464">
        <f t="shared" si="56"/>
        <v>1159.34664</v>
      </c>
      <c r="P77" s="464">
        <f t="shared" si="56"/>
        <v>1190.5178759999999</v>
      </c>
      <c r="Q77" s="464">
        <f t="shared" si="56"/>
        <v>1204.5313130000002</v>
      </c>
      <c r="R77" s="464">
        <f t="shared" si="56"/>
        <v>1198.727601</v>
      </c>
      <c r="S77" s="464">
        <f t="shared" si="56"/>
        <v>1230.4247309999998</v>
      </c>
      <c r="T77" s="464">
        <f t="shared" si="56"/>
        <v>1275.0790200000001</v>
      </c>
      <c r="U77" s="464">
        <f t="shared" si="56"/>
        <v>1299.7436950000001</v>
      </c>
      <c r="V77" s="464">
        <f t="shared" si="56"/>
        <v>1336.315196</v>
      </c>
      <c r="W77" s="464">
        <f t="shared" si="56"/>
        <v>1336.1334850000001</v>
      </c>
      <c r="X77" s="464">
        <f t="shared" si="56"/>
        <v>1306.8525239999999</v>
      </c>
      <c r="Y77" s="464">
        <f t="shared" si="56"/>
        <v>1330.1949507999072</v>
      </c>
      <c r="Z77" s="464">
        <f t="shared" si="56"/>
        <v>1328.0434625239691</v>
      </c>
      <c r="AA77" s="464">
        <f t="shared" si="56"/>
        <v>1327.069762661499</v>
      </c>
      <c r="AB77" s="464">
        <f t="shared" si="56"/>
        <v>1337.0107578887346</v>
      </c>
      <c r="AC77" s="464">
        <f t="shared" si="56"/>
        <v>1352.0447078870275</v>
      </c>
      <c r="AD77" s="464">
        <f t="shared" si="56"/>
        <v>1360.5861731075861</v>
      </c>
      <c r="AE77" s="464">
        <f t="shared" si="56"/>
        <v>1366.9566411936321</v>
      </c>
      <c r="AF77" s="464">
        <f t="shared" si="56"/>
        <v>1352.5714694606888</v>
      </c>
      <c r="AG77" s="464">
        <f t="shared" ref="AG77:AH77" si="57">AG129</f>
        <v>1381.2726783060828</v>
      </c>
      <c r="AH77" s="464">
        <f t="shared" si="57"/>
        <v>1360.2450817645661</v>
      </c>
      <c r="AI77" s="464">
        <f t="shared" ref="AI77:AJ77" si="58">AI129</f>
        <v>1286.7753692974022</v>
      </c>
      <c r="AJ77" s="464">
        <f t="shared" si="58"/>
        <v>1327.4563060081482</v>
      </c>
      <c r="AK77" s="464">
        <f t="shared" ref="AK77" si="59">AK129</f>
        <v>1389.4201522017052</v>
      </c>
      <c r="AL77" s="57">
        <f t="shared" si="55"/>
        <v>4.667863334793379E-2</v>
      </c>
      <c r="AM77" s="43"/>
      <c r="AN77"/>
      <c r="AO77"/>
      <c r="AP77"/>
      <c r="AQ77"/>
      <c r="AR77"/>
    </row>
    <row r="78" spans="1:44" ht="12.95">
      <c r="A78" s="726" t="s">
        <v>1635</v>
      </c>
      <c r="B78" s="456">
        <f t="shared" si="43"/>
        <v>74</v>
      </c>
      <c r="C78" s="1" t="s">
        <v>1636</v>
      </c>
      <c r="D78" s="45" t="s">
        <v>1443</v>
      </c>
      <c r="E78" s="532">
        <f>(INDEX('[10]Table 7.6'!$B$13:$H$100,MATCH(E$5,'[10]Table 7.6'!$A$13:$A$100,0),MATCH($A78,'[10]Table 7.6'!$B$11:$H$11,0))+INDEX('[10]Table 7.6'!$B$13:$H$100,MATCH(E$5,'[10]Table 7.6'!$A$13:$A$100,0),MATCH($C78,'[10]Table 7.6'!$B$11:$H$11,0)))*Factors!$J$61</f>
        <v>1070.0506350000001</v>
      </c>
      <c r="F78" s="532">
        <f>(INDEX('[10]Table 7.6'!$B$13:$H$100,MATCH(F$5,'[10]Table 7.6'!$A$13:$A$100,0),MATCH($A78,'[10]Table 7.6'!$B$11:$H$11,0))+INDEX('[10]Table 7.6'!$B$13:$H$100,MATCH(F$5,'[10]Table 7.6'!$A$13:$A$100,0),MATCH($C78,'[10]Table 7.6'!$B$11:$H$11,0)))*Factors!$J$61</f>
        <v>1070.6405699999998</v>
      </c>
      <c r="G78" s="532">
        <f>(INDEX('[10]Table 7.6'!$B$13:$H$100,MATCH(G$5,'[10]Table 7.6'!$A$13:$A$100,0),MATCH($A78,'[10]Table 7.6'!$B$11:$H$11,0))+INDEX('[10]Table 7.6'!$B$13:$H$100,MATCH(G$5,'[10]Table 7.6'!$A$13:$A$100,0),MATCH($C78,'[10]Table 7.6'!$B$11:$H$11,0)))*Factors!$J$61</f>
        <v>1106.5552339999999</v>
      </c>
      <c r="H78" s="532">
        <f>(INDEX('[10]Table 7.6'!$B$13:$H$100,MATCH(H$5,'[10]Table 7.6'!$A$13:$A$100,0),MATCH($A78,'[10]Table 7.6'!$B$11:$H$11,0))+INDEX('[10]Table 7.6'!$B$13:$H$100,MATCH(H$5,'[10]Table 7.6'!$A$13:$A$100,0),MATCH($C78,'[10]Table 7.6'!$B$11:$H$11,0)))*Factors!$J$61</f>
        <v>1116.4021270000001</v>
      </c>
      <c r="I78" s="532">
        <f>(INDEX('[10]Table 7.6'!$B$13:$H$100,MATCH(I$5,'[10]Table 7.6'!$A$13:$A$100,0),MATCH($A78,'[10]Table 7.6'!$B$11:$H$11,0))+INDEX('[10]Table 7.6'!$B$13:$H$100,MATCH(I$5,'[10]Table 7.6'!$A$13:$A$100,0),MATCH($C78,'[10]Table 7.6'!$B$11:$H$11,0)))*Factors!$J$61</f>
        <v>1154.3065789999998</v>
      </c>
      <c r="J78" s="532">
        <f>(INDEX('[10]Table 7.6'!$B$13:$H$100,MATCH(J$5,'[10]Table 7.6'!$A$13:$A$100,0),MATCH($A78,'[10]Table 7.6'!$B$11:$H$11,0))+INDEX('[10]Table 7.6'!$B$13:$H$100,MATCH(J$5,'[10]Table 7.6'!$A$13:$A$100,0),MATCH($C78,'[10]Table 7.6'!$B$11:$H$11,0)))*Factors!$J$61</f>
        <v>1163.3698899999999</v>
      </c>
      <c r="K78" s="532">
        <f>(INDEX('[10]Table 7.6'!$B$13:$H$100,MATCH(K$5,'[10]Table 7.6'!$A$13:$A$100,0),MATCH($A78,'[10]Table 7.6'!$B$11:$H$11,0))+INDEX('[10]Table 7.6'!$B$13:$H$100,MATCH(K$5,'[10]Table 7.6'!$A$13:$A$100,0),MATCH($C78,'[10]Table 7.6'!$B$11:$H$11,0)))*Factors!$J$61</f>
        <v>1186.2693940000001</v>
      </c>
      <c r="L78" s="532">
        <f>(INDEX('[10]Table 7.6'!$B$13:$H$100,MATCH(L$5,'[10]Table 7.6'!$A$13:$A$100,0),MATCH($A78,'[10]Table 7.6'!$B$11:$H$11,0))+INDEX('[10]Table 7.6'!$B$13:$H$100,MATCH(L$5,'[10]Table 7.6'!$A$13:$A$100,0),MATCH($C78,'[10]Table 7.6'!$B$11:$H$11,0)))*Factors!$J$61</f>
        <v>1194.43579</v>
      </c>
      <c r="M78" s="532">
        <f>(INDEX('[10]Table 7.6'!$B$13:$H$100,MATCH(M$5,'[10]Table 7.6'!$A$13:$A$100,0),MATCH($A78,'[10]Table 7.6'!$B$11:$H$11,0))+INDEX('[10]Table 7.6'!$B$13:$H$100,MATCH(M$5,'[10]Table 7.6'!$A$13:$A$100,0),MATCH($C78,'[10]Table 7.6'!$B$11:$H$11,0)))*Factors!$J$61</f>
        <v>1212.0689980000002</v>
      </c>
      <c r="N78" s="532">
        <f>(INDEX('[10]Table 7.6'!$B$13:$H$100,MATCH(N$5,'[10]Table 7.6'!$A$13:$A$100,0),MATCH($A78,'[10]Table 7.6'!$B$11:$H$11,0))+INDEX('[10]Table 7.6'!$B$13:$H$100,MATCH(N$5,'[10]Table 7.6'!$A$13:$A$100,0),MATCH($C78,'[10]Table 7.6'!$B$11:$H$11,0)))*Factors!$J$61</f>
        <v>1229.8458929999999</v>
      </c>
      <c r="O78" s="532">
        <f>(INDEX('[10]Table 7.6'!$B$13:$H$100,MATCH(O$5,'[10]Table 7.6'!$A$13:$A$100,0),MATCH($A78,'[10]Table 7.6'!$B$11:$H$11,0))+INDEX('[10]Table 7.6'!$B$13:$H$100,MATCH(O$5,'[10]Table 7.6'!$A$13:$A$100,0),MATCH($C78,'[10]Table 7.6'!$B$11:$H$11,0)))*Factors!$J$61</f>
        <v>1235.1819030000001</v>
      </c>
      <c r="P78" s="532">
        <f>(INDEX('[10]Table 7.6'!$B$13:$H$100,MATCH(P$5,'[10]Table 7.6'!$A$13:$A$100,0),MATCH($A78,'[10]Table 7.6'!$B$11:$H$11,0))+INDEX('[10]Table 7.6'!$B$13:$H$100,MATCH(P$5,'[10]Table 7.6'!$A$13:$A$100,0),MATCH($C78,'[10]Table 7.6'!$B$11:$H$11,0)))*Factors!$J$61</f>
        <v>1159.2579250000001</v>
      </c>
      <c r="Q78" s="532">
        <f>(INDEX('[10]Table 7.6'!$B$13:$H$100,MATCH(Q$5,'[10]Table 7.6'!$A$13:$A$100,0),MATCH($A78,'[10]Table 7.6'!$B$11:$H$11,0))+INDEX('[10]Table 7.6'!$B$13:$H$100,MATCH(Q$5,'[10]Table 7.6'!$A$13:$A$100,0),MATCH($C78,'[10]Table 7.6'!$B$11:$H$11,0)))*Factors!$J$61</f>
        <v>1156.4219270000001</v>
      </c>
      <c r="R78" s="532">
        <f>(INDEX('[10]Table 7.6'!$B$13:$H$100,MATCH(R$5,'[10]Table 7.6'!$A$13:$A$100,0),MATCH($A78,'[10]Table 7.6'!$B$11:$H$11,0))+INDEX('[10]Table 7.6'!$B$13:$H$100,MATCH(R$5,'[10]Table 7.6'!$A$13:$A$100,0),MATCH($C78,'[10]Table 7.6'!$B$11:$H$11,0)))*Factors!$J$61</f>
        <v>1180.6677730000001</v>
      </c>
      <c r="S78" s="532">
        <f>(INDEX('[10]Table 7.6'!$B$13:$H$100,MATCH(S$5,'[10]Table 7.6'!$A$13:$A$100,0),MATCH($A78,'[10]Table 7.6'!$B$11:$H$11,0))+INDEX('[10]Table 7.6'!$B$13:$H$100,MATCH(S$5,'[10]Table 7.6'!$A$13:$A$100,0),MATCH($C78,'[10]Table 7.6'!$B$11:$H$11,0)))*Factors!$J$61</f>
        <v>1186.319534</v>
      </c>
      <c r="T78" s="532">
        <f>(INDEX('[10]Table 7.6'!$B$13:$H$100,MATCH(T$5,'[10]Table 7.6'!$A$13:$A$100,0),MATCH($A78,'[10]Table 7.6'!$B$11:$H$11,0))+INDEX('[10]Table 7.6'!$B$13:$H$100,MATCH(T$5,'[10]Table 7.6'!$A$13:$A$100,0),MATCH($C78,'[10]Table 7.6'!$B$11:$H$11,0)))*Factors!$J$61</f>
        <v>1169.1715959999999</v>
      </c>
      <c r="U78" s="532">
        <f>(INDEX('[10]Table 7.6'!$B$13:$H$100,MATCH(U$5,'[10]Table 7.6'!$A$13:$A$100,0),MATCH($A78,'[10]Table 7.6'!$B$11:$H$11,0))+INDEX('[10]Table 7.6'!$B$13:$H$100,MATCH(U$5,'[10]Table 7.6'!$A$13:$A$100,0),MATCH($C78,'[10]Table 7.6'!$B$11:$H$11,0)))*Factors!$J$61</f>
        <v>1158.2241780000002</v>
      </c>
      <c r="V78" s="532">
        <f>(INDEX('[10]Table 7.6'!$B$13:$H$100,MATCH(V$5,'[10]Table 7.6'!$A$13:$A$100,0),MATCH($A78,'[10]Table 7.6'!$B$11:$H$11,0))+INDEX('[10]Table 7.6'!$B$13:$H$100,MATCH(V$5,'[10]Table 7.6'!$A$13:$A$100,0),MATCH($C78,'[10]Table 7.6'!$B$11:$H$11,0)))*Factors!$J$61</f>
        <v>1153.5021100000001</v>
      </c>
      <c r="W78" s="532">
        <f>(INDEX('[10]Table 7.6'!$B$13:$H$100,MATCH(W$5,'[10]Table 7.6'!$A$13:$A$100,0),MATCH($A78,'[10]Table 7.6'!$B$11:$H$11,0))+INDEX('[10]Table 7.6'!$B$13:$H$100,MATCH(W$5,'[10]Table 7.6'!$A$13:$A$100,0),MATCH($C78,'[10]Table 7.6'!$B$11:$H$11,0)))*Factors!$J$61</f>
        <v>1141.712863</v>
      </c>
      <c r="X78" s="532">
        <f>(INDEX('[10]Table 7.6'!$B$13:$H$100,MATCH(X$5,'[10]Table 7.6'!$A$13:$A$100,0),MATCH($A78,'[10]Table 7.6'!$B$11:$H$11,0))+INDEX('[10]Table 7.6'!$B$13:$H$100,MATCH(X$5,'[10]Table 7.6'!$A$13:$A$100,0),MATCH($C78,'[10]Table 7.6'!$B$11:$H$11,0)))*Factors!$J$61</f>
        <v>1044.3544260000001</v>
      </c>
      <c r="Y78" s="532">
        <f>(INDEX('[10]Table 7.6'!$B$13:$H$100,MATCH(Y$5,'[10]Table 7.6'!$A$13:$A$100,0),MATCH($A78,'[10]Table 7.6'!$B$11:$H$11,0))+INDEX('[10]Table 7.6'!$B$13:$H$100,MATCH(Y$5,'[10]Table 7.6'!$A$13:$A$100,0),MATCH($C78,'[10]Table 7.6'!$B$11:$H$11,0)))*Factors!$J$61</f>
        <v>1103.1314380000001</v>
      </c>
      <c r="Z78" s="532">
        <f>(INDEX('[10]Table 7.6'!$B$13:$H$100,MATCH(Z$5,'[10]Table 7.6'!$A$13:$A$100,0),MATCH($A78,'[10]Table 7.6'!$B$11:$H$11,0))+INDEX('[10]Table 7.6'!$B$13:$H$100,MATCH(Z$5,'[10]Table 7.6'!$A$13:$A$100,0),MATCH($C78,'[10]Table 7.6'!$B$11:$H$11,0)))*Factors!$J$61</f>
        <v>1124.0696010000001</v>
      </c>
      <c r="AA78" s="532">
        <f>(INDEX('[10]Table 7.6'!$B$13:$H$100,MATCH(AA$5,'[10]Table 7.6'!$A$13:$A$100,0),MATCH($A78,'[10]Table 7.6'!$B$11:$H$11,0))+INDEX('[10]Table 7.6'!$B$13:$H$100,MATCH(AA$5,'[10]Table 7.6'!$A$13:$A$100,0),MATCH($C78,'[10]Table 7.6'!$B$11:$H$11,0)))*Factors!$J$61</f>
        <v>1123.3703640000001</v>
      </c>
      <c r="AB78" s="532">
        <f>(INDEX('[10]Table 7.6'!$B$13:$H$100,MATCH(AB$5,'[10]Table 7.6'!$A$13:$A$100,0),MATCH($A78,'[10]Table 7.6'!$B$11:$H$11,0))+INDEX('[10]Table 7.6'!$B$13:$H$100,MATCH(AB$5,'[10]Table 7.6'!$A$13:$A$100,0),MATCH($C78,'[10]Table 7.6'!$B$11:$H$11,0)))*Factors!$J$61</f>
        <v>1128.813811</v>
      </c>
      <c r="AC78" s="532">
        <f>(INDEX('[10]Table 7.6'!$B$13:$H$100,MATCH(AC$5,'[10]Table 7.6'!$A$13:$A$100,0),MATCH($A78,'[10]Table 7.6'!$B$11:$H$11,0))+INDEX('[10]Table 7.6'!$B$13:$H$100,MATCH(AC$5,'[10]Table 7.6'!$A$13:$A$100,0),MATCH($C78,'[10]Table 7.6'!$B$11:$H$11,0)))*Factors!$J$61</f>
        <v>1136.150022</v>
      </c>
      <c r="AD78" s="532">
        <f>(INDEX('[10]Table 7.6'!$B$13:$H$100,MATCH(AD$5,'[10]Table 7.6'!$A$13:$A$100,0),MATCH($A78,'[10]Table 7.6'!$B$11:$H$11,0))+INDEX('[10]Table 7.6'!$B$13:$H$100,MATCH(AD$5,'[10]Table 7.6'!$A$13:$A$100,0),MATCH($C78,'[10]Table 7.6'!$B$11:$H$11,0)))*Factors!$J$61</f>
        <v>1127.6752509999999</v>
      </c>
      <c r="AE78" s="532">
        <f>(INDEX('[10]Table 7.6'!$B$13:$H$100,MATCH(AE$5,'[10]Table 7.6'!$A$13:$A$100,0),MATCH($A78,'[10]Table 7.6'!$B$11:$H$11,0))+INDEX('[10]Table 7.6'!$B$13:$H$100,MATCH(AE$5,'[10]Table 7.6'!$A$13:$A$100,0),MATCH($C78,'[10]Table 7.6'!$B$11:$H$11,0)))*Factors!$J$61</f>
        <v>1116.55188</v>
      </c>
      <c r="AF78" s="532">
        <f>(INDEX('[10]Table 7.6'!$B$13:$H$100,MATCH(AF$5,'[10]Table 7.6'!$A$13:$A$100,0),MATCH($A78,'[10]Table 7.6'!$B$11:$H$11,0))+INDEX('[10]Table 7.6'!$B$13:$H$100,MATCH(AF$5,'[10]Table 7.6'!$A$13:$A$100,0),MATCH($C78,'[10]Table 7.6'!$B$11:$H$11,0)))*Factors!$J$61</f>
        <v>1125.2573340000001</v>
      </c>
      <c r="AG78" s="532">
        <f>(INDEX('[10]Table 7.6'!$B$13:$H$100,MATCH(AG$5,'[10]Table 7.6'!$A$13:$A$100,0),MATCH($A78,'[10]Table 7.6'!$B$11:$H$11,0))+INDEX('[10]Table 7.6'!$B$13:$H$100,MATCH(AG$5,'[10]Table 7.6'!$A$13:$A$100,0),MATCH($C78,'[10]Table 7.6'!$B$11:$H$11,0)))*Factors!$J$61</f>
        <v>1144.5762849999999</v>
      </c>
      <c r="AH78" s="532">
        <f>(INDEX('[10]Table 7.6'!$B$13:$H$100,MATCH(AH$5,'[10]Table 7.6'!$A$13:$A$100,0),MATCH($A78,'[10]Table 7.6'!$B$11:$H$11,0))+INDEX('[10]Table 7.6'!$B$13:$H$100,MATCH(AH$5,'[10]Table 7.6'!$A$13:$A$100,0),MATCH($C78,'[10]Table 7.6'!$B$11:$H$11,0)))*Factors!$J$61</f>
        <v>1145.6231869999999</v>
      </c>
      <c r="AI78" s="532">
        <f>(INDEX('[10]Table 7.6'!$B$13:$H$100,MATCH(AI$5,'[10]Table 7.6'!$A$13:$A$100,0),MATCH($A78,'[10]Table 7.6'!$B$11:$H$11,0))+INDEX('[10]Table 7.6'!$B$13:$H$100,MATCH(AI$5,'[10]Table 7.6'!$A$13:$A$100,0),MATCH($C78,'[10]Table 7.6'!$B$11:$H$11,0)))*Factors!$J$61</f>
        <v>1097.784568</v>
      </c>
      <c r="AJ78" s="532">
        <f>(INDEX('[10]Table 7.6'!$B$13:$H$100,MATCH(AJ$5,'[10]Table 7.6'!$A$13:$A$100,0),MATCH($A78,'[10]Table 7.6'!$B$11:$H$11,0))+INDEX('[10]Table 7.6'!$B$13:$H$100,MATCH(AJ$5,'[10]Table 7.6'!$A$13:$A$100,0),MATCH($C78,'[10]Table 7.6'!$B$11:$H$11,0)))*Factors!$J$61</f>
        <v>1139.3133160000002</v>
      </c>
      <c r="AK78" s="532">
        <f>(INDEX('[10]Table 7.6'!$B$13:$H$100,MATCH(AK$5,'[10]Table 7.6'!$A$13:$A$100,0),MATCH($A78,'[10]Table 7.6'!$B$11:$H$11,0))+INDEX('[10]Table 7.6'!$B$13:$H$100,MATCH(AK$5,'[10]Table 7.6'!$A$13:$A$100,0),MATCH($C78,'[10]Table 7.6'!$B$11:$H$11,0)))*Factors!$J$61</f>
        <v>1163.7761580000001</v>
      </c>
      <c r="AL78" s="57">
        <f t="shared" si="55"/>
        <v>2.14715668257843E-2</v>
      </c>
      <c r="AM78" s="43"/>
      <c r="AN78"/>
      <c r="AO78"/>
      <c r="AP78"/>
      <c r="AQ78"/>
      <c r="AR78"/>
    </row>
    <row r="79" spans="1:44" ht="12.95">
      <c r="A79" s="1"/>
      <c r="B79" s="456">
        <f t="shared" si="43"/>
        <v>75</v>
      </c>
      <c r="C79" s="1" t="s">
        <v>1637</v>
      </c>
      <c r="D79" s="45" t="s">
        <v>1445</v>
      </c>
      <c r="E79" s="532">
        <f>'[11]Main calcs'!C$40/10^9</f>
        <v>4.7511650000000012</v>
      </c>
      <c r="F79" s="532">
        <f>'[11]Main calcs'!D$40/10^9</f>
        <v>4.7584430000000006</v>
      </c>
      <c r="G79" s="532">
        <f>'[11]Main calcs'!E$40/10^9</f>
        <v>4.7057460000000004</v>
      </c>
      <c r="H79" s="532">
        <f>'[11]Main calcs'!F$40/10^9</f>
        <v>4.7709320000000011</v>
      </c>
      <c r="I79" s="532">
        <f>'[11]Main calcs'!G$40/10^9</f>
        <v>4.9942460000000004</v>
      </c>
      <c r="J79" s="532">
        <f>'[11]Main calcs'!H$40/10^9</f>
        <v>4.9745200000000009</v>
      </c>
      <c r="K79" s="532">
        <f>'[11]Main calcs'!I$40/10^9</f>
        <v>4.9227780000000001</v>
      </c>
      <c r="L79" s="532">
        <f>'[11]Main calcs'!J$40/10^9</f>
        <v>4.9073330000000004</v>
      </c>
      <c r="M79" s="532">
        <f>'[11]Main calcs'!K$40/10^9</f>
        <v>4.9615980000000013</v>
      </c>
      <c r="N79" s="532">
        <f>'[11]Main calcs'!L$40/10^9</f>
        <v>5.1261939999999999</v>
      </c>
      <c r="O79" s="532">
        <f>'[11]Main calcs'!M$40/10^9</f>
        <v>5.3817430000000002</v>
      </c>
      <c r="P79" s="532">
        <f>'[11]Main calcs'!N$40/10^9</f>
        <v>5.7243250000000012</v>
      </c>
      <c r="Q79" s="532">
        <f>'[11]Main calcs'!O$40/10^9</f>
        <v>5.5171979999999996</v>
      </c>
      <c r="R79" s="532">
        <f>'[11]Main calcs'!P$40/10^9</f>
        <v>6.8097279999999989</v>
      </c>
      <c r="S79" s="532">
        <f>'[11]Main calcs'!Q$40/10^9</f>
        <v>7.223641999999999</v>
      </c>
      <c r="T79" s="532">
        <f>'[11]Main calcs'!R$40/10^9</f>
        <v>7.5063209999999998</v>
      </c>
      <c r="U79" s="532">
        <f>'[11]Main calcs'!S$40/10^9</f>
        <v>7.3575429999999997</v>
      </c>
      <c r="V79" s="532">
        <f>'[11]Main calcs'!T$40/10^9</f>
        <v>8.1725950000000012</v>
      </c>
      <c r="W79" s="532">
        <f>'[11]Main calcs'!U$40/10^9</f>
        <v>7.6532109999999998</v>
      </c>
      <c r="X79" s="532">
        <f>'[11]Main calcs'!V$40/10^9</f>
        <v>7.767989</v>
      </c>
      <c r="Y79" s="532">
        <f>'[11]Main calcs'!W$40/10^9</f>
        <v>7.7418333339517735</v>
      </c>
      <c r="Z79" s="532">
        <f>'[11]Main calcs'!X$40/10^9</f>
        <v>7.7652605068729059</v>
      </c>
      <c r="AA79" s="532">
        <f>'[11]Main calcs'!Y$40/10^9</f>
        <v>7.5295835900072872</v>
      </c>
      <c r="AB79" s="532">
        <f>'[11]Main calcs'!Z$40/10^9</f>
        <v>8.078501741769287</v>
      </c>
      <c r="AC79" s="532">
        <f>'[11]Main calcs'!AA$40/10^9</f>
        <v>8.5145890864831077</v>
      </c>
      <c r="AD79" s="532">
        <f>'[11]Main calcs'!AB$40/10^9</f>
        <v>8.7389912827603418</v>
      </c>
      <c r="AE79" s="532">
        <f>'[11]Main calcs'!AC$40/10^9</f>
        <v>9.0618753757858599</v>
      </c>
      <c r="AF79" s="532">
        <f>'[11]Main calcs'!AD$40/10^9</f>
        <v>9.6307565954084442</v>
      </c>
      <c r="AG79" s="532">
        <f>'[11]Main calcs'!AE$40/10^9</f>
        <v>10.879248626114531</v>
      </c>
      <c r="AH79" s="532">
        <f>'[11]Main calcs'!AF$40/10^9</f>
        <v>11.84197156955978</v>
      </c>
      <c r="AI79" s="532">
        <f>'[11]Main calcs'!AG$40/10^9</f>
        <v>10.97591535065229</v>
      </c>
      <c r="AJ79" s="532">
        <f>'[11]Main calcs'!AH$40/10^9</f>
        <v>12.888996279011291</v>
      </c>
      <c r="AK79" s="532">
        <f>'[11]Main calcs'!AI$40/10^9</f>
        <v>16.174275502940858</v>
      </c>
      <c r="AL79" s="57">
        <f t="shared" si="55"/>
        <v>0.25489022983732135</v>
      </c>
      <c r="AM79" s="43"/>
      <c r="AN79"/>
      <c r="AO79"/>
      <c r="AP79"/>
      <c r="AQ79"/>
      <c r="AR79"/>
    </row>
    <row r="80" spans="1:44" ht="12.95">
      <c r="A80" s="1"/>
      <c r="B80" s="456">
        <f t="shared" si="43"/>
        <v>76</v>
      </c>
      <c r="C80" s="136"/>
      <c r="D80" s="136"/>
      <c r="E80" s="474"/>
      <c r="F80" s="474"/>
      <c r="G80" s="474"/>
      <c r="H80" s="474"/>
      <c r="I80" s="474"/>
      <c r="J80" s="474"/>
      <c r="K80" s="475"/>
      <c r="L80" s="475"/>
      <c r="M80" s="475"/>
      <c r="N80" s="475"/>
      <c r="O80" s="475"/>
      <c r="P80" s="475"/>
      <c r="Q80" s="475"/>
      <c r="R80" s="475"/>
      <c r="S80" s="475"/>
      <c r="T80" s="475"/>
      <c r="U80" s="475"/>
      <c r="V80" s="475"/>
      <c r="W80" s="475"/>
      <c r="X80" s="475"/>
      <c r="Y80" s="475"/>
      <c r="Z80" s="475"/>
      <c r="AA80" s="475"/>
      <c r="AB80" s="475"/>
      <c r="AC80" s="475"/>
      <c r="AD80" s="475"/>
      <c r="AE80" s="475"/>
      <c r="AF80" s="475"/>
      <c r="AG80" s="475"/>
      <c r="AH80" s="475"/>
      <c r="AI80" s="475"/>
      <c r="AJ80" s="475"/>
      <c r="AK80" s="475"/>
      <c r="AL80" s="57"/>
      <c r="AM80" s="43"/>
      <c r="AN80"/>
      <c r="AO80"/>
      <c r="AP80"/>
      <c r="AQ80"/>
      <c r="AR80"/>
    </row>
    <row r="81" spans="1:44" ht="12.95">
      <c r="A81" s="1"/>
      <c r="B81" s="456">
        <f t="shared" si="43"/>
        <v>77</v>
      </c>
      <c r="C81" s="477" t="s">
        <v>1638</v>
      </c>
      <c r="D81" s="136"/>
      <c r="E81" s="474"/>
      <c r="F81" s="474"/>
      <c r="G81" s="474"/>
      <c r="H81" s="474"/>
      <c r="I81" s="474"/>
      <c r="J81" s="474"/>
      <c r="K81" s="475"/>
      <c r="L81" s="475"/>
      <c r="M81" s="475"/>
      <c r="N81" s="475"/>
      <c r="O81" s="475"/>
      <c r="P81" s="475"/>
      <c r="Q81" s="475"/>
      <c r="R81" s="475"/>
      <c r="S81" s="475"/>
      <c r="T81" s="475"/>
      <c r="U81" s="475"/>
      <c r="V81" s="475"/>
      <c r="W81" s="475"/>
      <c r="X81" s="475"/>
      <c r="Y81" s="475"/>
      <c r="Z81" s="475"/>
      <c r="AA81" s="475"/>
      <c r="AB81" s="475"/>
      <c r="AC81" s="475"/>
      <c r="AD81" s="475"/>
      <c r="AE81" s="475"/>
      <c r="AF81" s="475"/>
      <c r="AG81" s="475"/>
      <c r="AH81" s="475"/>
      <c r="AI81" s="475"/>
      <c r="AJ81" s="475"/>
      <c r="AK81" s="475"/>
      <c r="AL81" s="57"/>
      <c r="AM81" s="43"/>
      <c r="AN81"/>
      <c r="AO81"/>
      <c r="AP81"/>
      <c r="AQ81"/>
      <c r="AR81"/>
    </row>
    <row r="82" spans="1:44" ht="12.95">
      <c r="A82" s="1"/>
      <c r="B82" s="456">
        <f t="shared" si="43"/>
        <v>78</v>
      </c>
      <c r="C82" s="98"/>
      <c r="D82" s="98" t="s">
        <v>1639</v>
      </c>
      <c r="E82" s="627">
        <f>INDEX(Geothermal!$C$6:$AK$10,MATCH("Total",Geothermal!$C$6:$C$10,0),MATCH(E$5,Geothermal!$C$6:$AK$6,0))/Factors!$J$61*Factors!$J$55/BBtuToBtu*BBtuToTBtu</f>
        <v>52.661732914724006</v>
      </c>
      <c r="F82" s="627">
        <f>INDEX(Geothermal!$C$6:$AK$10,MATCH("Total",Geothermal!$C$6:$C$10,0),MATCH(F$5,Geothermal!$C$6:$AK$6,0))/Factors!$J$61*Factors!$J$55/BBtuToBtu*BBtuToTBtu</f>
        <v>54.477508511167997</v>
      </c>
      <c r="G82" s="627">
        <f>INDEX(Geothermal!$C$6:$AK$10,MATCH("Total",Geothermal!$C$6:$C$10,0),MATCH(G$5,Geothermal!$C$6:$AK$6,0))/Factors!$J$61*Factors!$J$55/BBtuToBtu*BBtuToTBtu</f>
        <v>55.062727838455992</v>
      </c>
      <c r="H82" s="627">
        <f>INDEX(Geothermal!$C$6:$AK$10,MATCH("Total",Geothermal!$C$6:$C$10,0),MATCH(H$5,Geothermal!$C$6:$AK$6,0))/Factors!$J$61*Factors!$J$55/BBtuToBtu*BBtuToTBtu</f>
        <v>57.282584905960007</v>
      </c>
      <c r="I82" s="627">
        <f>INDEX(Geothermal!$C$6:$AK$10,MATCH("Total",Geothermal!$C$6:$C$10,0),MATCH(I$5,Geothermal!$C$6:$AK$6,0))/Factors!$J$61*Factors!$J$55/BBtuToBtu*BBtuToTBtu</f>
        <v>53.006967277171995</v>
      </c>
      <c r="J82" s="627">
        <f>INDEX(Geothermal!$C$6:$AK$10,MATCH("Total",Geothermal!$C$6:$C$10,0),MATCH(J$5,Geothermal!$C$6:$AK$6,0))/Factors!$J$61*Factors!$J$55/BBtuToBtu*BBtuToTBtu</f>
        <v>45.646614975556005</v>
      </c>
      <c r="K82" s="627">
        <f>INDEX(Geothermal!$C$6:$AK$10,MATCH("Total",Geothermal!$C$6:$C$10,0),MATCH(K$5,Geothermal!$C$6:$AK$6,0))/Factors!$J$61*Factors!$J$55/BBtuToBtu*BBtuToTBtu</f>
        <v>48.889469098303998</v>
      </c>
      <c r="L82" s="627">
        <f>INDEX(Geothermal!$C$6:$AK$10,MATCH("Total",Geothermal!$C$6:$C$10,0),MATCH(L$5,Geothermal!$C$6:$AK$6,0))/Factors!$J$61*Factors!$J$55/BBtuToBtu*BBtuToTBtu</f>
        <v>50.245459942111999</v>
      </c>
      <c r="M82" s="627">
        <f>INDEX(Geothermal!$C$6:$AK$10,MATCH("Total",Geothermal!$C$6:$C$10,0),MATCH(M$5,Geothermal!$C$6:$AK$6,0))/Factors!$J$61*Factors!$J$55/BBtuToBtu*BBtuToTBtu</f>
        <v>50.408609775284006</v>
      </c>
      <c r="N82" s="627">
        <f>INDEX(Geothermal!$C$6:$AK$10,MATCH("Total",Geothermal!$C$6:$C$10,0),MATCH(N$5,Geothermal!$C$6:$AK$6,0))/Factors!$J$61*Factors!$J$55/BBtuToBtu*BBtuToTBtu</f>
        <v>50.589768356</v>
      </c>
      <c r="O82" s="627">
        <f>INDEX(Geothermal!$C$6:$AK$10,MATCH("Total",Geothermal!$C$6:$C$10,0),MATCH(O$5,Geothermal!$C$6:$AK$6,0))/Factors!$J$61*Factors!$J$55/BBtuToBtu*BBtuToTBtu</f>
        <v>48.085855096000003</v>
      </c>
      <c r="P82" s="627">
        <f>INDEX(Geothermal!$C$6:$AK$10,MATCH("Total",Geothermal!$C$6:$C$10,0),MATCH(P$5,Geothermal!$C$6:$AK$6,0))/Factors!$J$61*Factors!$J$55/BBtuToBtu*BBtuToTBtu</f>
        <v>46.88259662838</v>
      </c>
      <c r="Q82" s="627">
        <f>INDEX(Geothermal!$C$6:$AK$10,MATCH("Total",Geothermal!$C$6:$C$10,0),MATCH(Q$5,Geothermal!$C$6:$AK$6,0))/Factors!$J$61*Factors!$J$55/BBtuToBtu*BBtuToTBtu</f>
        <v>49.444349348091997</v>
      </c>
      <c r="R82" s="627">
        <f>INDEX(Geothermal!$C$6:$AK$10,MATCH("Total",Geothermal!$C$6:$C$10,0),MATCH(R$5,Geothermal!$C$6:$AK$6,0))/Factors!$J$61*Factors!$J$55/BBtuToBtu*BBtuToTBtu</f>
        <v>49.215476496139992</v>
      </c>
      <c r="S82" s="627">
        <f>INDEX(Geothermal!$C$6:$AK$10,MATCH("Total",Geothermal!$C$6:$C$10,0),MATCH(S$5,Geothermal!$C$6:$AK$6,0))/Factors!$J$61*Factors!$J$55/BBtuToBtu*BBtuToTBtu</f>
        <v>50.535045130479993</v>
      </c>
      <c r="T82" s="627">
        <f>INDEX(Geothermal!$C$6:$AK$10,MATCH("Total",Geothermal!$C$6:$C$10,0),MATCH(T$5,Geothermal!$C$6:$AK$6,0))/Factors!$J$61*Factors!$J$55/BBtuToBtu*BBtuToTBtu</f>
        <v>50.128234625812006</v>
      </c>
      <c r="U82" s="627">
        <f>INDEX(Geothermal!$C$6:$AK$10,MATCH("Total",Geothermal!$C$6:$C$10,0),MATCH(U$5,Geothermal!$C$6:$AK$6,0))/Factors!$J$61*Factors!$J$55/BBtuToBtu*BBtuToTBtu</f>
        <v>49.706114951411998</v>
      </c>
      <c r="V82" s="627">
        <f>INDEX(Geothermal!$C$6:$AK$10,MATCH("Total",Geothermal!$C$6:$C$10,0),MATCH(V$5,Geothermal!$C$6:$AK$6,0))/Factors!$J$61*Factors!$J$55/BBtuToBtu*BBtuToTBtu</f>
        <v>49.942170728703992</v>
      </c>
      <c r="W82" s="627">
        <f>INDEX(Geothermal!$C$6:$AK$10,MATCH("Total",Geothermal!$C$6:$C$10,0),MATCH(W$5,Geothermal!$C$6:$AK$6,0))/Factors!$J$61*Factors!$J$55/BBtuToBtu*BBtuToTBtu</f>
        <v>50.634000022720002</v>
      </c>
      <c r="X82" s="627">
        <f>INDEX(Geothermal!$C$6:$AK$10,MATCH("Total",Geothermal!$C$6:$C$10,0),MATCH(X$5,Geothermal!$C$6:$AK$6,0))/Factors!$J$61*Factors!$J$55/BBtuToBtu*BBtuToTBtu</f>
        <v>51.209541096000002</v>
      </c>
      <c r="Y82" s="627">
        <f>INDEX(Geothermal!$C$6:$AK$10,MATCH("Total",Geothermal!$C$6:$C$10,0),MATCH(Y$5,Geothermal!$C$6:$AK$6,0))/Factors!$J$61*Factors!$J$55/BBtuToBtu*BBtuToTBtu</f>
        <v>51.927955165439997</v>
      </c>
      <c r="Z82" s="627">
        <f>INDEX(Geothermal!$C$6:$AK$10,MATCH("Total",Geothermal!$C$6:$C$10,0),MATCH(Z$5,Geothermal!$C$6:$AK$6,0))/Factors!$J$61*Factors!$J$55/BBtuToBtu*BBtuToTBtu</f>
        <v>52.258424015999999</v>
      </c>
      <c r="AA82" s="627">
        <f>INDEX(Geothermal!$C$6:$AK$10,MATCH("Total",Geothermal!$C$6:$C$10,0),MATCH(AA$5,Geothermal!$C$6:$AK$6,0))/Factors!$J$61*Factors!$J$55/BBtuToBtu*BBtuToTBtu</f>
        <v>53.098996235912004</v>
      </c>
      <c r="AB82" s="627">
        <f>INDEX(Geothermal!$C$6:$AK$10,MATCH("Total",Geothermal!$C$6:$C$10,0),MATCH(AB$5,Geothermal!$C$6:$AK$6,0))/Factors!$J$61*Factors!$J$55/BBtuToBtu*BBtuToTBtu</f>
        <v>53.823187960959999</v>
      </c>
      <c r="AC82" s="627">
        <f>INDEX(Geothermal!$C$6:$AK$10,MATCH("Total",Geothermal!$C$6:$C$10,0),MATCH(AC$5,Geothermal!$C$6:$AK$6,0))/Factors!$J$61*Factors!$J$55/BBtuToBtu*BBtuToTBtu</f>
        <v>54.172122691999995</v>
      </c>
      <c r="AD82" s="627">
        <f>INDEX(Geothermal!$C$6:$AK$10,MATCH("Total",Geothermal!$C$6:$C$10,0),MATCH(AD$5,Geothermal!$C$6:$AK$6,0))/Factors!$J$61*Factors!$J$55/BBtuToBtu*BBtuToTBtu</f>
        <v>54.3107659</v>
      </c>
      <c r="AE82" s="627">
        <f>INDEX(Geothermal!$C$6:$AK$10,MATCH("Total",Geothermal!$C$6:$C$10,0),MATCH(AE$5,Geothermal!$C$6:$AK$6,0))/Factors!$J$61*Factors!$J$55/BBtuToBtu*BBtuToTBtu</f>
        <v>53.997653484000004</v>
      </c>
      <c r="AF82" s="627">
        <f>INDEX(Geothermal!$C$6:$AK$10,MATCH("Total",Geothermal!$C$6:$C$10,0),MATCH(AF$5,Geothermal!$C$6:$AK$6,0))/Factors!$J$61*Factors!$J$55/BBtuToBtu*BBtuToTBtu</f>
        <v>54.342153655700002</v>
      </c>
      <c r="AG82" s="627">
        <f>INDEX(Geothermal!$C$6:$AK$10,MATCH("Total",Geothermal!$C$6:$C$10,0),MATCH(AG$5,Geothermal!$C$6:$AK$6,0))/Factors!$J$61*Factors!$J$55/BBtuToBtu*BBtuToTBtu</f>
        <v>54.479861208000003</v>
      </c>
      <c r="AH82" s="627">
        <f>INDEX(Geothermal!$C$6:$AK$10,MATCH("Total",Geothermal!$C$6:$C$10,0),MATCH(AH$5,Geothermal!$C$6:$AK$6,0))/Factors!$J$61*Factors!$J$55/BBtuToBtu*BBtuToTBtu</f>
        <v>52.792910404000004</v>
      </c>
      <c r="AI82" s="627">
        <f>INDEX(Geothermal!$C$6:$AK$10,MATCH("Total",Geothermal!$C$6:$C$10,0),MATCH(AI$5,Geothermal!$C$6:$AK$6,0))/Factors!$J$61*Factors!$J$55/BBtuToBtu*BBtuToTBtu</f>
        <v>54.215646163999999</v>
      </c>
      <c r="AJ82" s="627">
        <f>INDEX(Geothermal!$C$6:$AK$10,MATCH("Total",Geothermal!$C$6:$C$10,0),MATCH(AJ$5,Geothermal!$C$6:$AK$6,0))/Factors!$J$61*Factors!$J$55/BBtuToBtu*BBtuToTBtu</f>
        <v>54.505905003999999</v>
      </c>
      <c r="AK82" s="627">
        <f>INDEX(Geothermal!$C$6:$AK$10,MATCH("Total",Geothermal!$C$6:$C$10,0),MATCH(AK$5,Geothermal!$C$6:$AK$6,0))/Factors!$J$61*Factors!$J$55/BBtuToBtu*BBtuToTBtu</f>
        <v>54.888601747999999</v>
      </c>
      <c r="AL82" s="57">
        <f t="shared" ref="AL82" si="60">IFERROR((AK82-AJ82)/AJ82, "NA")</f>
        <v>7.0211978678624935E-3</v>
      </c>
      <c r="AM82" s="43"/>
      <c r="AN82"/>
      <c r="AO82"/>
      <c r="AP82"/>
      <c r="AQ82"/>
      <c r="AR82"/>
    </row>
    <row r="83" spans="1:44" ht="12.95">
      <c r="A83" s="1"/>
      <c r="B83" s="456"/>
      <c r="C83" s="1"/>
      <c r="D83" s="1" t="s">
        <v>1482</v>
      </c>
      <c r="E83" s="287"/>
      <c r="F83" s="287"/>
      <c r="G83" s="287"/>
      <c r="H83" s="287"/>
      <c r="I83" s="466"/>
      <c r="J83" s="466"/>
      <c r="K83" s="466"/>
      <c r="L83" s="466"/>
      <c r="M83" s="466"/>
      <c r="N83" s="1"/>
      <c r="O83" s="1"/>
      <c r="P83" s="1"/>
      <c r="Q83" s="1"/>
      <c r="R83" s="1"/>
      <c r="S83" s="1"/>
      <c r="T83" s="1"/>
      <c r="U83" s="1"/>
      <c r="V83" s="1"/>
      <c r="W83" s="1"/>
      <c r="X83" s="1"/>
      <c r="Y83" s="1"/>
      <c r="Z83" s="1"/>
      <c r="AA83" s="1"/>
      <c r="AB83" s="1"/>
      <c r="AC83" s="1"/>
      <c r="AD83" s="1"/>
      <c r="AE83" s="1"/>
      <c r="AF83" s="1"/>
      <c r="AG83" s="1"/>
      <c r="AH83" s="1"/>
      <c r="AI83" s="1"/>
      <c r="AJ83" s="1"/>
      <c r="AK83" s="1"/>
      <c r="AL83" s="57"/>
      <c r="AM83" s="43"/>
      <c r="AN83"/>
      <c r="AO83"/>
      <c r="AP83"/>
      <c r="AQ83"/>
      <c r="AR83"/>
    </row>
    <row r="84" spans="1:44" ht="12.95">
      <c r="A84" s="1"/>
      <c r="B84" s="456"/>
      <c r="C84" s="1"/>
      <c r="D84" s="1"/>
      <c r="E84" s="287"/>
      <c r="F84" s="287"/>
      <c r="G84" s="287"/>
      <c r="H84" s="287"/>
      <c r="I84" s="466"/>
      <c r="J84" s="466"/>
      <c r="K84" s="466"/>
      <c r="L84" s="466"/>
      <c r="M84" s="466"/>
      <c r="N84" s="1"/>
      <c r="O84" s="1"/>
      <c r="P84" s="1"/>
      <c r="Q84" s="1"/>
      <c r="R84" s="1"/>
      <c r="S84" s="1"/>
      <c r="T84" s="1"/>
      <c r="U84" s="1"/>
      <c r="V84" s="1"/>
      <c r="W84" s="1"/>
      <c r="X84" s="1"/>
      <c r="Y84" s="1"/>
      <c r="Z84" s="1"/>
      <c r="AA84" s="1"/>
      <c r="AB84" s="1"/>
      <c r="AC84" s="1"/>
      <c r="AD84" s="1"/>
      <c r="AE84" s="1"/>
      <c r="AF84" s="1"/>
      <c r="AG84" s="1"/>
      <c r="AH84" s="1"/>
      <c r="AI84" s="1"/>
      <c r="AJ84" s="1"/>
      <c r="AK84" s="1"/>
      <c r="AL84" s="57"/>
      <c r="AM84" s="43"/>
      <c r="AN84"/>
      <c r="AO84"/>
      <c r="AP84"/>
      <c r="AQ84"/>
      <c r="AR84"/>
    </row>
    <row r="85" spans="1:44" ht="12.95">
      <c r="A85" s="43"/>
      <c r="B85" s="1142"/>
      <c r="C85" s="43"/>
      <c r="D85" s="43"/>
      <c r="E85" s="290"/>
      <c r="F85" s="290"/>
      <c r="G85" s="290"/>
      <c r="H85" s="290"/>
      <c r="I85" s="289"/>
      <c r="J85" s="289"/>
      <c r="K85" s="289"/>
      <c r="L85" s="289"/>
      <c r="M85" s="289"/>
      <c r="N85"/>
      <c r="O85"/>
      <c r="P85"/>
      <c r="Q85"/>
      <c r="R85"/>
      <c r="S85"/>
      <c r="T85"/>
      <c r="U85"/>
      <c r="V85"/>
      <c r="W85"/>
      <c r="X85"/>
      <c r="Y85"/>
      <c r="Z85"/>
      <c r="AA85"/>
      <c r="AB85" s="43"/>
      <c r="AC85" s="43"/>
      <c r="AD85"/>
      <c r="AE85" s="342"/>
      <c r="AF85" s="342"/>
      <c r="AG85" s="342"/>
      <c r="AH85" s="342"/>
      <c r="AI85" s="342"/>
      <c r="AJ85" s="342"/>
      <c r="AK85" s="342"/>
      <c r="AL85" s="57"/>
      <c r="AM85" s="43"/>
      <c r="AN85"/>
      <c r="AO85"/>
      <c r="AP85"/>
      <c r="AQ85"/>
      <c r="AR85"/>
    </row>
    <row r="86" spans="1:44" ht="12.95">
      <c r="A86" s="43"/>
      <c r="B86" s="978"/>
      <c r="C86" s="98"/>
      <c r="D86" s="98"/>
      <c r="E86" s="620"/>
      <c r="F86" s="620"/>
      <c r="G86" s="620"/>
      <c r="H86" s="620"/>
      <c r="I86" s="618"/>
      <c r="J86" s="618"/>
      <c r="K86" s="618"/>
      <c r="L86" s="618"/>
      <c r="M86" s="618"/>
      <c r="N86" s="98"/>
      <c r="O86" s="98"/>
      <c r="P86" s="98"/>
      <c r="Q86" s="98"/>
      <c r="R86" s="98"/>
      <c r="S86" s="98"/>
      <c r="T86" s="98"/>
      <c r="U86" s="98"/>
      <c r="V86" s="98"/>
      <c r="W86" s="98"/>
      <c r="X86" s="98"/>
      <c r="Y86" s="98"/>
      <c r="Z86" s="98"/>
      <c r="AA86" s="98"/>
      <c r="AB86" s="98"/>
      <c r="AC86" s="98"/>
      <c r="AD86" s="98"/>
      <c r="AE86" s="647"/>
      <c r="AF86" s="647"/>
      <c r="AG86" s="647"/>
      <c r="AH86" s="647"/>
      <c r="AI86" s="647"/>
      <c r="AJ86" s="647"/>
      <c r="AK86" s="647"/>
      <c r="AL86" s="57"/>
      <c r="AM86" s="1"/>
      <c r="AN86"/>
      <c r="AO86"/>
      <c r="AP86"/>
      <c r="AQ86"/>
      <c r="AR86"/>
    </row>
    <row r="87" spans="1:44" ht="12.95">
      <c r="A87" s="43"/>
      <c r="B87" s="977" t="s">
        <v>1640</v>
      </c>
      <c r="C87" s="5"/>
      <c r="D87" s="5"/>
      <c r="E87" s="112"/>
      <c r="F87" s="287"/>
      <c r="G87" s="287"/>
      <c r="H87" s="287"/>
      <c r="I87" s="466"/>
      <c r="J87" s="466"/>
      <c r="K87" s="466"/>
      <c r="L87" s="466"/>
      <c r="M87" s="466"/>
      <c r="N87" s="1"/>
      <c r="O87" s="1"/>
      <c r="P87" s="1"/>
      <c r="Q87" s="1"/>
      <c r="R87" s="1"/>
      <c r="S87" s="1"/>
      <c r="T87" s="1"/>
      <c r="U87" s="1"/>
      <c r="V87" s="1"/>
      <c r="W87" s="1"/>
      <c r="X87" s="1"/>
      <c r="Y87" s="1"/>
      <c r="Z87" s="1"/>
      <c r="AA87" s="1"/>
      <c r="AB87" s="1"/>
      <c r="AC87" s="1"/>
      <c r="AD87" s="1"/>
      <c r="AE87" s="650"/>
      <c r="AF87" s="650"/>
      <c r="AG87" s="650"/>
      <c r="AH87" s="650"/>
      <c r="AI87" s="650"/>
      <c r="AJ87" s="650"/>
      <c r="AK87" s="650"/>
      <c r="AL87" s="57"/>
      <c r="AM87" s="1"/>
      <c r="AN87"/>
      <c r="AO87"/>
      <c r="AP87"/>
      <c r="AQ87"/>
      <c r="AR87"/>
    </row>
    <row r="88" spans="1:44" ht="13.5" thickBot="1">
      <c r="A88" s="43"/>
      <c r="B88" s="456"/>
      <c r="C88" s="1"/>
      <c r="D88" s="651" t="s">
        <v>1641</v>
      </c>
      <c r="E88" s="287"/>
      <c r="F88" s="287"/>
      <c r="G88" s="287"/>
      <c r="H88" s="287"/>
      <c r="I88" s="287"/>
      <c r="J88" s="287"/>
      <c r="K88" s="287"/>
      <c r="L88" s="287"/>
      <c r="M88" s="287"/>
      <c r="N88" s="287"/>
      <c r="O88" s="287"/>
      <c r="P88" s="287"/>
      <c r="Q88" s="287"/>
      <c r="R88" s="287"/>
      <c r="S88" s="287"/>
      <c r="T88" s="287"/>
      <c r="U88" s="287"/>
      <c r="V88" s="287"/>
      <c r="W88" s="287"/>
      <c r="X88" s="287"/>
      <c r="Y88" s="287"/>
      <c r="Z88" s="287"/>
      <c r="AA88" s="287"/>
      <c r="AB88" s="287"/>
      <c r="AC88" s="287"/>
      <c r="AD88" s="287"/>
      <c r="AE88" s="652"/>
      <c r="AF88" s="287"/>
      <c r="AG88" s="287"/>
      <c r="AH88" s="287"/>
      <c r="AI88" s="287"/>
      <c r="AJ88" s="287"/>
      <c r="AK88" s="287"/>
      <c r="AL88" s="57"/>
      <c r="AM88" s="1"/>
      <c r="AN88"/>
      <c r="AO88"/>
      <c r="AP88"/>
      <c r="AQ88"/>
      <c r="AR88"/>
    </row>
    <row r="89" spans="1:44" s="43" customFormat="1" ht="12.95">
      <c r="B89" s="456"/>
      <c r="C89" s="1"/>
      <c r="D89" s="657" t="s">
        <v>1642</v>
      </c>
      <c r="E89" s="653">
        <f>IF(E90-E91&lt;0,0,E90-E91)</f>
        <v>0</v>
      </c>
      <c r="F89" s="653">
        <f t="shared" ref="F89:V89" si="61">IF(F90-F91&lt;0,0,F90-F91)</f>
        <v>0</v>
      </c>
      <c r="G89" s="653">
        <f t="shared" si="61"/>
        <v>0</v>
      </c>
      <c r="H89" s="653">
        <f t="shared" si="61"/>
        <v>0.99005191520268454</v>
      </c>
      <c r="I89" s="653">
        <f t="shared" si="61"/>
        <v>8.9173041849727497</v>
      </c>
      <c r="J89" s="653">
        <f t="shared" si="61"/>
        <v>37.763361390527734</v>
      </c>
      <c r="K89" s="653">
        <f t="shared" si="61"/>
        <v>24.077376524524198</v>
      </c>
      <c r="L89" s="653">
        <f t="shared" si="61"/>
        <v>0</v>
      </c>
      <c r="M89" s="653">
        <f t="shared" si="61"/>
        <v>10.911311877562298</v>
      </c>
      <c r="N89" s="653">
        <f t="shared" si="61"/>
        <v>40.077270031991247</v>
      </c>
      <c r="O89" s="653">
        <f t="shared" si="61"/>
        <v>53.543709066435099</v>
      </c>
      <c r="P89" s="653">
        <f t="shared" si="61"/>
        <v>24.764394990510937</v>
      </c>
      <c r="Q89" s="653">
        <f t="shared" si="61"/>
        <v>40.297952859316297</v>
      </c>
      <c r="R89" s="653">
        <f t="shared" si="61"/>
        <v>51.888657662241599</v>
      </c>
      <c r="S89" s="653">
        <f t="shared" si="61"/>
        <v>167.7675714419388</v>
      </c>
      <c r="T89" s="653">
        <f t="shared" si="61"/>
        <v>80.441129905107346</v>
      </c>
      <c r="U89" s="653">
        <f t="shared" si="61"/>
        <v>62.874654862045077</v>
      </c>
      <c r="V89" s="653">
        <f t="shared" si="61"/>
        <v>2.3203149182869538</v>
      </c>
      <c r="W89" s="653">
        <f t="shared" ref="W89:AB89" si="62">IF(W90-W91&lt;0,0,W90-W91)</f>
        <v>29.160207416902495</v>
      </c>
      <c r="X89" s="653">
        <f t="shared" si="62"/>
        <v>6.3849143400174171</v>
      </c>
      <c r="Y89" s="653">
        <f t="shared" si="62"/>
        <v>64.75700410595033</v>
      </c>
      <c r="Z89" s="653">
        <f t="shared" si="62"/>
        <v>60.841185085936445</v>
      </c>
      <c r="AA89" s="653">
        <f t="shared" si="62"/>
        <v>132.48279136693179</v>
      </c>
      <c r="AB89" s="653">
        <f t="shared" si="62"/>
        <v>119.90639149360095</v>
      </c>
      <c r="AC89" s="653">
        <f>IF(AC90-AC91&lt;0,0,AC90-AC91)</f>
        <v>49.106364978524198</v>
      </c>
      <c r="AD89" s="653">
        <f>IF(AD90-AD91&lt;0,0,AD90-AD91)</f>
        <v>122.35139828043901</v>
      </c>
      <c r="AE89" s="653">
        <f>IF(AE90-AE91&lt;0,0,AE90-AE91)</f>
        <v>89.635253981130802</v>
      </c>
      <c r="AF89" s="653">
        <f>IF(AF90-AF91&lt;0,0,AF90-AF91)</f>
        <v>113.00308641767964</v>
      </c>
      <c r="AG89" s="653">
        <f t="shared" ref="AG89:AH89" si="63">IF(AG90-AG91&lt;0,0,AG90-AG91)</f>
        <v>124.67753407088412</v>
      </c>
      <c r="AH89" s="653">
        <f t="shared" si="63"/>
        <v>112.83747864130271</v>
      </c>
      <c r="AI89" s="653">
        <f t="shared" ref="AI89:AJ89" si="64">IF(AI90-AI91&lt;0,0,AI90-AI91)</f>
        <v>79.875589997130135</v>
      </c>
      <c r="AJ89" s="653">
        <f t="shared" si="64"/>
        <v>77.879517773454495</v>
      </c>
      <c r="AK89" s="653">
        <f t="shared" ref="AK89" si="65">IF(AK90-AK91&lt;0,0,AK90-AK91)</f>
        <v>32.653210448454558</v>
      </c>
      <c r="AL89" s="57">
        <f t="shared" ref="AL89:AL106" si="66">IFERROR((AK89-AJ89)/AJ89, "NA")</f>
        <v>-0.58072146076404552</v>
      </c>
      <c r="AM89" s="1"/>
    </row>
    <row r="90" spans="1:44" s="145" customFormat="1" ht="12.95">
      <c r="A90" s="43"/>
      <c r="B90" s="456"/>
      <c r="C90" s="1"/>
      <c r="D90" s="658" t="s">
        <v>1643</v>
      </c>
      <c r="E90" s="532">
        <f>'[7]EIA_Output QBtu'!G24/TbtuToQBtu</f>
        <v>1041.8621770950001</v>
      </c>
      <c r="F90" s="532">
        <f>'[7]EIA_Output QBtu'!H24/TbtuToQBtu</f>
        <v>907.24501151100003</v>
      </c>
      <c r="G90" s="532">
        <f>'[7]EIA_Output QBtu'!I24/TbtuToQBtu</f>
        <v>867.38425930799997</v>
      </c>
      <c r="H90" s="532">
        <f>'[7]EIA_Output QBtu'!J24/TbtuToQBtu</f>
        <v>839.45237999999995</v>
      </c>
      <c r="I90" s="532">
        <f>'[7]EIA_Output QBtu'!K24/TbtuToQBtu</f>
        <v>850.64247880000005</v>
      </c>
      <c r="J90" s="532">
        <f>'[7]EIA_Output QBtu'!L24/TbtuToQBtu</f>
        <v>884.7063776</v>
      </c>
      <c r="K90" s="532">
        <f>'[7]EIA_Output QBtu'!M24/TbtuToQBtu</f>
        <v>849.71436800000004</v>
      </c>
      <c r="L90" s="532">
        <f>'[7]EIA_Output QBtu'!N24/TbtuToQBtu</f>
        <v>809.44042679999995</v>
      </c>
      <c r="M90" s="532">
        <f>'[7]EIA_Output QBtu'!O24/TbtuToQBtu</f>
        <v>773.09996765400001</v>
      </c>
      <c r="N90" s="532">
        <f>'[7]EIA_Output QBtu'!P24/TbtuToQBtu</f>
        <v>770.88660717599998</v>
      </c>
      <c r="O90" s="532">
        <f>'[7]EIA_Output QBtu'!Q24/TbtuToQBtu</f>
        <v>793.68861100200002</v>
      </c>
      <c r="P90" s="532">
        <f>'[7]EIA_Output QBtu'!R24/TbtuToQBtu</f>
        <v>715.13648795400002</v>
      </c>
      <c r="Q90" s="532">
        <f>'[7]EIA_Output QBtu'!S24/TbtuToQBtu</f>
        <v>648.78589062000003</v>
      </c>
      <c r="R90" s="532">
        <f>'[7]EIA_Output QBtu'!T24/TbtuToQBtu</f>
        <v>664.99182867499997</v>
      </c>
      <c r="S90" s="532">
        <f>'[7]EIA_Output QBtu'!U24/TbtuToQBtu</f>
        <v>649.17594319199998</v>
      </c>
      <c r="T90" s="532">
        <f>'[7]EIA_Output QBtu'!V24/TbtuToQBtu</f>
        <v>615.82671110399997</v>
      </c>
      <c r="U90" s="532">
        <f>'[7]EIA_Output QBtu'!W24/TbtuToQBtu</f>
        <v>603.10818086400002</v>
      </c>
      <c r="V90" s="532">
        <f>'[7]EIA_Output QBtu'!X24/TbtuToQBtu</f>
        <v>598.07516203700004</v>
      </c>
      <c r="W90" s="532">
        <f>'[7]EIA_Output QBtu'!Y24/TbtuToQBtu</f>
        <v>580.01318123700003</v>
      </c>
      <c r="X90" s="532">
        <f>'[7]EIA_Output QBtu'!Z24/TbtuToQBtu</f>
        <v>403.60101982200001</v>
      </c>
      <c r="Y90" s="532">
        <f>'[7]EIA_Output QBtu'!AA24/TbtuToQBtu</f>
        <v>554.61816313500003</v>
      </c>
      <c r="Z90" s="532">
        <f>'[7]EIA_Output QBtu'!AB24/TbtuToQBtu</f>
        <v>563.69003090399997</v>
      </c>
      <c r="AA90" s="532">
        <f>'[7]EIA_Output QBtu'!AC24/TbtuToQBtu</f>
        <v>594.23628859200005</v>
      </c>
      <c r="AB90" s="532">
        <f>'[7]EIA_Output QBtu'!AD24/TbtuToQBtu</f>
        <v>616.41030884999998</v>
      </c>
      <c r="AC90" s="532">
        <f>'[7]EIA_Output QBtu'!AE24/TbtuToQBtu</f>
        <v>606.05963883000004</v>
      </c>
      <c r="AD90" s="532">
        <f>'[7]EIA_Output QBtu'!AF24/TbtuToQBtu</f>
        <v>562.20173282200005</v>
      </c>
      <c r="AE90" s="532">
        <f>'[7]EIA_Output QBtu'!AG24/TbtuToQBtu</f>
        <v>471.59452646400001</v>
      </c>
      <c r="AF90" s="532">
        <f>'[7]EIA_Output QBtu'!AH24/TbtuToQBtu</f>
        <v>502.85741119899996</v>
      </c>
      <c r="AG90" s="532">
        <f>'[7]EIA_Output QBtu'!AI24/TbtuToQBtu</f>
        <v>524.573510016</v>
      </c>
      <c r="AH90" s="532">
        <f>'[7]EIA_Output QBtu'!AJ24/TbtuToQBtu</f>
        <v>514.36450309500003</v>
      </c>
      <c r="AI90" s="532">
        <f>'[7]EIA_Output QBtu'!AK24/TbtuToQBtu</f>
        <v>413.91523633200001</v>
      </c>
      <c r="AJ90" s="532">
        <f>'[7]EIA_Output QBtu'!AL24/TbtuToQBtu</f>
        <v>504.19558158199993</v>
      </c>
      <c r="AK90" s="532">
        <f>'[7]EIA_Output QBtu'!AM24/TbtuToQBtu</f>
        <v>458.969274257</v>
      </c>
      <c r="AL90" s="57">
        <f t="shared" si="66"/>
        <v>-8.9699927919032252E-2</v>
      </c>
      <c r="AM90" s="75"/>
    </row>
    <row r="91" spans="1:44" s="43" customFormat="1" ht="13.5" thickBot="1">
      <c r="B91" s="456"/>
      <c r="C91" s="1"/>
      <c r="D91" s="658" t="s">
        <v>1644</v>
      </c>
      <c r="E91" s="464">
        <f>Corrections!C37</f>
        <v>1044.7647202336889</v>
      </c>
      <c r="F91" s="464">
        <f>Corrections!D37</f>
        <v>932.22358615298174</v>
      </c>
      <c r="G91" s="464">
        <f>Corrections!E37</f>
        <v>887.16476440660347</v>
      </c>
      <c r="H91" s="464">
        <f>Corrections!F37</f>
        <v>838.46232808479726</v>
      </c>
      <c r="I91" s="464">
        <f>Corrections!G37</f>
        <v>841.7251746150273</v>
      </c>
      <c r="J91" s="464">
        <f>Corrections!H37</f>
        <v>846.94301620947226</v>
      </c>
      <c r="K91" s="464">
        <f>Corrections!I37</f>
        <v>825.63699147547584</v>
      </c>
      <c r="L91" s="464">
        <f>Corrections!J37</f>
        <v>836.8151535665578</v>
      </c>
      <c r="M91" s="464">
        <f>Corrections!K37</f>
        <v>762.18865577643771</v>
      </c>
      <c r="N91" s="464">
        <f>Corrections!L37</f>
        <v>730.80933714400874</v>
      </c>
      <c r="O91" s="464">
        <f>Corrections!M37</f>
        <v>740.14490193556492</v>
      </c>
      <c r="P91" s="464">
        <f>Corrections!N37</f>
        <v>690.37209296348908</v>
      </c>
      <c r="Q91" s="464">
        <f>Corrections!O37</f>
        <v>608.48793776068374</v>
      </c>
      <c r="R91" s="464">
        <f>Corrections!P37</f>
        <v>613.10317101275837</v>
      </c>
      <c r="S91" s="464">
        <f>Corrections!Q37</f>
        <v>481.40837175006118</v>
      </c>
      <c r="T91" s="464">
        <f>Corrections!R37</f>
        <v>535.38558119889262</v>
      </c>
      <c r="U91" s="464">
        <f>Corrections!S37</f>
        <v>540.23352600195494</v>
      </c>
      <c r="V91" s="522">
        <f>Corrections!T37</f>
        <v>595.75484711871309</v>
      </c>
      <c r="W91" s="464">
        <f>Corrections!U37</f>
        <v>550.85297382009753</v>
      </c>
      <c r="X91" s="522">
        <f>Corrections!V37</f>
        <v>397.21610548198259</v>
      </c>
      <c r="Y91" s="464">
        <f>Corrections!W37</f>
        <v>489.8611590290497</v>
      </c>
      <c r="Z91" s="464">
        <f>Corrections!X37</f>
        <v>502.84884581806352</v>
      </c>
      <c r="AA91" s="464">
        <f>Corrections!Y37</f>
        <v>461.75349722506826</v>
      </c>
      <c r="AB91" s="464">
        <f>Corrections!Z37</f>
        <v>496.50391735639903</v>
      </c>
      <c r="AC91" s="464">
        <f>Corrections!AA37</f>
        <v>556.95327385147584</v>
      </c>
      <c r="AD91" s="464">
        <f>Corrections!AB37</f>
        <v>439.85033454156104</v>
      </c>
      <c r="AE91" s="464">
        <f>Corrections!AC37</f>
        <v>381.95927248286921</v>
      </c>
      <c r="AF91" s="464">
        <f>Corrections!AD37</f>
        <v>389.85432478132032</v>
      </c>
      <c r="AG91" s="464">
        <f>Corrections!AE37</f>
        <v>399.89597594511588</v>
      </c>
      <c r="AH91" s="464">
        <f>Corrections!AF37</f>
        <v>401.52702445369732</v>
      </c>
      <c r="AI91" s="464">
        <f>Corrections!AG37</f>
        <v>334.03964633486987</v>
      </c>
      <c r="AJ91" s="464">
        <f>Corrections!AH37</f>
        <v>426.31606380854544</v>
      </c>
      <c r="AK91" s="464">
        <f>Corrections!AI37</f>
        <v>426.31606380854544</v>
      </c>
      <c r="AL91" s="57">
        <f t="shared" si="66"/>
        <v>0</v>
      </c>
      <c r="AM91" s="1"/>
    </row>
    <row r="92" spans="1:44" ht="12.95">
      <c r="A92" s="43"/>
      <c r="B92" s="456"/>
      <c r="C92" s="1"/>
      <c r="D92" s="657" t="s">
        <v>1645</v>
      </c>
      <c r="E92" s="653">
        <f>E93-SUM(E94:E96)</f>
        <v>1675.7347203839388</v>
      </c>
      <c r="F92" s="653">
        <f t="shared" ref="F92:V92" si="67">F93-SUM(F94:F96)</f>
        <v>1637.9614923049921</v>
      </c>
      <c r="G92" s="653">
        <f t="shared" si="67"/>
        <v>1593.917282619431</v>
      </c>
      <c r="H92" s="653">
        <f t="shared" si="67"/>
        <v>1624.3396754684288</v>
      </c>
      <c r="I92" s="653">
        <f t="shared" si="67"/>
        <v>1634.8925389714975</v>
      </c>
      <c r="J92" s="653">
        <f t="shared" si="67"/>
        <v>1567.4781209075222</v>
      </c>
      <c r="K92" s="653">
        <f t="shared" si="67"/>
        <v>1494.7242355127896</v>
      </c>
      <c r="L92" s="653">
        <f t="shared" si="67"/>
        <v>1495.8628301923181</v>
      </c>
      <c r="M92" s="653">
        <f t="shared" si="67"/>
        <v>1509.0267803156944</v>
      </c>
      <c r="N92" s="653">
        <f t="shared" si="67"/>
        <v>1410.9423098814409</v>
      </c>
      <c r="O92" s="653">
        <f t="shared" si="67"/>
        <v>1373.0396629488955</v>
      </c>
      <c r="P92" s="653">
        <f t="shared" si="67"/>
        <v>1394.4674561439858</v>
      </c>
      <c r="Q92" s="653">
        <f t="shared" si="67"/>
        <v>1281.5317296614955</v>
      </c>
      <c r="R92" s="653">
        <f t="shared" si="67"/>
        <v>1286.5192046338382</v>
      </c>
      <c r="S92" s="653">
        <f t="shared" si="67"/>
        <v>1296.7766969326126</v>
      </c>
      <c r="T92" s="653">
        <f t="shared" si="67"/>
        <v>1256.9706905805051</v>
      </c>
      <c r="U92" s="653">
        <f t="shared" si="67"/>
        <v>1231.2367210256693</v>
      </c>
      <c r="V92" s="653">
        <f t="shared" si="67"/>
        <v>1181.4423382020925</v>
      </c>
      <c r="W92" s="653">
        <f t="shared" ref="W92:AC92" si="68">W93-SUM(W94:W96)</f>
        <v>1131.8139958152751</v>
      </c>
      <c r="X92" s="653">
        <f t="shared" si="68"/>
        <v>929.15008901689714</v>
      </c>
      <c r="Y92" s="653">
        <f t="shared" si="68"/>
        <v>1002.5429293960416</v>
      </c>
      <c r="Z92" s="653">
        <f t="shared" si="68"/>
        <v>915.26496846007797</v>
      </c>
      <c r="AA92" s="653">
        <f t="shared" si="68"/>
        <v>832.10274485896161</v>
      </c>
      <c r="AB92" s="653">
        <f t="shared" si="68"/>
        <v>846.30289486580898</v>
      </c>
      <c r="AC92" s="653">
        <f t="shared" si="68"/>
        <v>842.4821076950725</v>
      </c>
      <c r="AD92" s="653">
        <f>AD93-SUM(AD94:AD96)</f>
        <v>743.33844453675852</v>
      </c>
      <c r="AE92" s="653">
        <f>AE93-SUM(AE94:AE96)</f>
        <v>671.02536717335965</v>
      </c>
      <c r="AF92" s="653">
        <f>AF93-SUM(AF94:AF96)</f>
        <v>623.53070618559082</v>
      </c>
      <c r="AG92" s="653">
        <f t="shared" ref="AG92:AH92" si="69">AG93-SUM(AG94:AG96)</f>
        <v>578.51304461159691</v>
      </c>
      <c r="AH92" s="653">
        <f t="shared" si="69"/>
        <v>526.85958320822817</v>
      </c>
      <c r="AI92" s="653">
        <f t="shared" ref="AI92:AJ92" si="70">AI93-SUM(AI94:AI96)</f>
        <v>457.93940465970707</v>
      </c>
      <c r="AJ92" s="653">
        <f t="shared" si="70"/>
        <v>459.13064043692577</v>
      </c>
      <c r="AK92" s="653">
        <f t="shared" ref="AK92" si="71">AK93-SUM(AK94:AK96)</f>
        <v>455.15068990892576</v>
      </c>
      <c r="AL92" s="57">
        <f t="shared" si="66"/>
        <v>-8.6684489717622614E-3</v>
      </c>
      <c r="AM92" s="1"/>
      <c r="AN92"/>
      <c r="AO92"/>
      <c r="AP92"/>
      <c r="AQ92"/>
      <c r="AR92"/>
    </row>
    <row r="93" spans="1:44" ht="12.95">
      <c r="A93" s="43"/>
      <c r="B93" s="456"/>
      <c r="C93" s="1"/>
      <c r="D93" s="658" t="s">
        <v>1646</v>
      </c>
      <c r="E93" s="532">
        <f>'[7]EIA_Output QBtu'!G25/TbtuToQBtu</f>
        <v>1714.1461336360001</v>
      </c>
      <c r="F93" s="532">
        <f>'[7]EIA_Output QBtu'!H25/TbtuToQBtu</f>
        <v>1693.5948625599999</v>
      </c>
      <c r="G93" s="532">
        <f>'[7]EIA_Output QBtu'!I25/TbtuToQBtu</f>
        <v>1647.43719225</v>
      </c>
      <c r="H93" s="532">
        <f>'[7]EIA_Output QBtu'!J25/TbtuToQBtu</f>
        <v>1656.835671754</v>
      </c>
      <c r="I93" s="532">
        <f>'[7]EIA_Output QBtu'!K25/TbtuToQBtu</f>
        <v>1659.0433529879999</v>
      </c>
      <c r="J93" s="532">
        <f>'[7]EIA_Output QBtu'!L25/TbtuToQBtu</f>
        <v>1603.5608717499997</v>
      </c>
      <c r="K93" s="532">
        <f>'[7]EIA_Output QBtu'!M25/TbtuToQBtu</f>
        <v>1584.6800398</v>
      </c>
      <c r="L93" s="532">
        <f>'[7]EIA_Output QBtu'!N25/TbtuToQBtu</f>
        <v>1585.6231745519999</v>
      </c>
      <c r="M93" s="532">
        <f>'[7]EIA_Output QBtu'!O25/TbtuToQBtu</f>
        <v>1562.1585711519999</v>
      </c>
      <c r="N93" s="532">
        <f>'[7]EIA_Output QBtu'!P25/TbtuToQBtu</f>
        <v>1455.8963003280001</v>
      </c>
      <c r="O93" s="532">
        <f>'[7]EIA_Output QBtu'!Q25/TbtuToQBtu</f>
        <v>1462.8096731539999</v>
      </c>
      <c r="P93" s="532">
        <f>'[7]EIA_Output QBtu'!R25/TbtuToQBtu</f>
        <v>1476.5013149819999</v>
      </c>
      <c r="Q93" s="532">
        <f>'[7]EIA_Output QBtu'!S25/TbtuToQBtu</f>
        <v>1370.571715734</v>
      </c>
      <c r="R93" s="532">
        <f>'[7]EIA_Output QBtu'!T25/TbtuToQBtu</f>
        <v>1376.4200118000001</v>
      </c>
      <c r="S93" s="532">
        <f>'[7]EIA_Output QBtu'!U25/TbtuToQBtu</f>
        <v>1397.700796437</v>
      </c>
      <c r="T93" s="532">
        <f>'[7]EIA_Output QBtu'!V25/TbtuToQBtu</f>
        <v>1338.2154634159999</v>
      </c>
      <c r="U93" s="532">
        <f>'[7]EIA_Output QBtu'!W25/TbtuToQBtu</f>
        <v>1311.3576441</v>
      </c>
      <c r="V93" s="532">
        <f>'[7]EIA_Output QBtu'!X25/TbtuToQBtu</f>
        <v>1266.536894262</v>
      </c>
      <c r="W93" s="532">
        <f>'[7]EIA_Output QBtu'!Y25/TbtuToQBtu</f>
        <v>1213.178327136</v>
      </c>
      <c r="X93" s="532">
        <f>'[7]EIA_Output QBtu'!Z25/TbtuToQBtu</f>
        <v>988.89824620800005</v>
      </c>
      <c r="Y93" s="532">
        <f>'[7]EIA_Output QBtu'!AA25/TbtuToQBtu</f>
        <v>1076.7576632999999</v>
      </c>
      <c r="Z93" s="532">
        <f>'[7]EIA_Output QBtu'!AB25/TbtuToQBtu</f>
        <v>997.25100390399996</v>
      </c>
      <c r="AA93" s="532">
        <f>'[7]EIA_Output QBtu'!AC25/TbtuToQBtu</f>
        <v>918.82329631799996</v>
      </c>
      <c r="AB93" s="532">
        <f>'[7]EIA_Output QBtu'!AD25/TbtuToQBtu</f>
        <v>929.98666079999998</v>
      </c>
      <c r="AC93" s="532">
        <f>'[7]EIA_Output QBtu'!AE25/TbtuToQBtu</f>
        <v>924.41491012500001</v>
      </c>
      <c r="AD93" s="532">
        <f>'[7]EIA_Output QBtu'!AF25/TbtuToQBtu</f>
        <v>817.5568090139999</v>
      </c>
      <c r="AE93" s="532">
        <f>'[7]EIA_Output QBtu'!AG25/TbtuToQBtu</f>
        <v>733.74121028499997</v>
      </c>
      <c r="AF93" s="532">
        <f>'[7]EIA_Output QBtu'!AH25/TbtuToQBtu</f>
        <v>691.95408765000002</v>
      </c>
      <c r="AG93" s="532">
        <f>'[7]EIA_Output QBtu'!AI25/TbtuToQBtu</f>
        <v>654.94342691999998</v>
      </c>
      <c r="AH93" s="532">
        <f>'[7]EIA_Output QBtu'!AJ25/TbtuToQBtu</f>
        <v>602.88323471699994</v>
      </c>
      <c r="AI93" s="532">
        <f>'[7]EIA_Output QBtu'!AK25/TbtuToQBtu</f>
        <v>524.09622705000004</v>
      </c>
      <c r="AJ93" s="532">
        <f>'[7]EIA_Output QBtu'!AL25/TbtuToQBtu</f>
        <v>531.84841090800001</v>
      </c>
      <c r="AK93" s="532">
        <f>'[7]EIA_Output QBtu'!AM25/TbtuToQBtu</f>
        <v>527.86846037999999</v>
      </c>
      <c r="AL93" s="57">
        <f t="shared" si="66"/>
        <v>-7.4832423043348639E-3</v>
      </c>
      <c r="AM93" s="1"/>
      <c r="AN93"/>
      <c r="AO93"/>
      <c r="AP93"/>
      <c r="AQ93"/>
      <c r="AR93"/>
    </row>
    <row r="94" spans="1:44" ht="12.95">
      <c r="A94" s="43"/>
      <c r="B94" s="456"/>
      <c r="C94" s="1"/>
      <c r="D94" s="658" t="s">
        <v>1647</v>
      </c>
      <c r="E94" s="464">
        <f>Corrections!C15</f>
        <v>0</v>
      </c>
      <c r="F94" s="464">
        <f>Corrections!D15</f>
        <v>0</v>
      </c>
      <c r="G94" s="464">
        <f>Corrections!E15</f>
        <v>0</v>
      </c>
      <c r="H94" s="464">
        <f>Corrections!F15</f>
        <v>0</v>
      </c>
      <c r="I94" s="464">
        <f>Corrections!G15</f>
        <v>0</v>
      </c>
      <c r="J94" s="464">
        <f>Corrections!H15</f>
        <v>0</v>
      </c>
      <c r="K94" s="464">
        <f>Corrections!I15</f>
        <v>0</v>
      </c>
      <c r="L94" s="464">
        <f>Corrections!J15</f>
        <v>0</v>
      </c>
      <c r="M94" s="464">
        <f>Corrections!K15</f>
        <v>0</v>
      </c>
      <c r="N94" s="464">
        <f>Corrections!L15</f>
        <v>0</v>
      </c>
      <c r="O94" s="464">
        <f>Corrections!M15</f>
        <v>17.747978702425556</v>
      </c>
      <c r="P94" s="464">
        <f>Corrections!N15</f>
        <v>19.719976336028392</v>
      </c>
      <c r="Q94" s="464">
        <f>Corrections!O15</f>
        <v>19.719976336028392</v>
      </c>
      <c r="R94" s="464">
        <f>Corrections!P15</f>
        <v>19.719976336028392</v>
      </c>
      <c r="S94" s="464">
        <f>Corrections!Q15</f>
        <v>19.719976336028392</v>
      </c>
      <c r="T94" s="464">
        <f>Corrections!R15</f>
        <v>19.719976336028392</v>
      </c>
      <c r="U94" s="464">
        <f>Corrections!S15</f>
        <v>19.719976336028399</v>
      </c>
      <c r="V94" s="464">
        <f>Corrections!T15</f>
        <v>19.719976336028395</v>
      </c>
      <c r="W94" s="464">
        <f>Corrections!U15</f>
        <v>19.719976336028395</v>
      </c>
      <c r="X94" s="464">
        <f>Corrections!V15</f>
        <v>19.719976336028395</v>
      </c>
      <c r="Y94" s="464">
        <f>Corrections!W15</f>
        <v>19.719976336028392</v>
      </c>
      <c r="Z94" s="464">
        <f>Corrections!X15</f>
        <v>19.719976336028395</v>
      </c>
      <c r="AA94" s="464">
        <f>Corrections!Y15</f>
        <v>19.719976336028395</v>
      </c>
      <c r="AB94" s="464">
        <f>Corrections!Z15</f>
        <v>19.719976336028395</v>
      </c>
      <c r="AC94" s="464">
        <f>Corrections!AA15</f>
        <v>23.946937093275487</v>
      </c>
      <c r="AD94" s="464">
        <f>Corrections!AB15</f>
        <v>19.819253697495558</v>
      </c>
      <c r="AE94" s="464">
        <f>Corrections!AC15</f>
        <v>16.446709327548803</v>
      </c>
      <c r="AF94" s="464">
        <f>Corrections!AD15</f>
        <v>17.611025241569706</v>
      </c>
      <c r="AG94" s="464">
        <f>Corrections!AE15</f>
        <v>15.001232597120884</v>
      </c>
      <c r="AH94" s="464">
        <f>Corrections!AF15</f>
        <v>17.081318290278052</v>
      </c>
      <c r="AI94" s="464">
        <f>Corrections!AG15</f>
        <v>15.711728002366396</v>
      </c>
      <c r="AJ94" s="464">
        <f>Corrections!AH15</f>
        <v>16.420069019917172</v>
      </c>
      <c r="AK94" s="464">
        <f>Corrections!AI15</f>
        <v>16.420069019917172</v>
      </c>
      <c r="AL94" s="57">
        <f t="shared" si="66"/>
        <v>0</v>
      </c>
      <c r="AM94" s="1"/>
      <c r="AN94"/>
      <c r="AO94"/>
      <c r="AP94"/>
      <c r="AQ94"/>
      <c r="AR94"/>
    </row>
    <row r="95" spans="1:44" ht="26.1">
      <c r="A95" s="43"/>
      <c r="B95" s="456"/>
      <c r="C95" s="1"/>
      <c r="D95" s="659" t="s">
        <v>1648</v>
      </c>
      <c r="E95" s="464">
        <f>IF(E90-E91&gt;0,0,E91-E90)</f>
        <v>2.9025431386887703</v>
      </c>
      <c r="F95" s="464">
        <f t="shared" ref="F95:S95" si="72">IF(F90-F91&gt;0,0,F91-F90)</f>
        <v>24.978574641981709</v>
      </c>
      <c r="G95" s="464">
        <f t="shared" si="72"/>
        <v>19.780505098603498</v>
      </c>
      <c r="H95" s="464">
        <f t="shared" si="72"/>
        <v>0</v>
      </c>
      <c r="I95" s="464">
        <f t="shared" si="72"/>
        <v>0</v>
      </c>
      <c r="J95" s="464">
        <f t="shared" si="72"/>
        <v>0</v>
      </c>
      <c r="K95" s="464">
        <f t="shared" si="72"/>
        <v>0</v>
      </c>
      <c r="L95" s="464">
        <f t="shared" si="72"/>
        <v>27.374726766557842</v>
      </c>
      <c r="M95" s="464">
        <f t="shared" si="72"/>
        <v>0</v>
      </c>
      <c r="N95" s="464">
        <f t="shared" si="72"/>
        <v>0</v>
      </c>
      <c r="O95" s="464">
        <f t="shared" si="72"/>
        <v>0</v>
      </c>
      <c r="P95" s="464">
        <f t="shared" si="72"/>
        <v>0</v>
      </c>
      <c r="Q95" s="464">
        <f t="shared" si="72"/>
        <v>0</v>
      </c>
      <c r="R95" s="464">
        <f t="shared" si="72"/>
        <v>0</v>
      </c>
      <c r="S95" s="464">
        <f t="shared" si="72"/>
        <v>0</v>
      </c>
      <c r="T95" s="464">
        <f t="shared" ref="T95:Y95" si="73">IF(T90-T91&gt;0,0,T91-T90)</f>
        <v>0</v>
      </c>
      <c r="U95" s="464">
        <f t="shared" si="73"/>
        <v>0</v>
      </c>
      <c r="V95" s="464">
        <f t="shared" si="73"/>
        <v>0</v>
      </c>
      <c r="W95" s="464">
        <f t="shared" si="73"/>
        <v>0</v>
      </c>
      <c r="X95" s="464">
        <f t="shared" si="73"/>
        <v>0</v>
      </c>
      <c r="Y95" s="464">
        <f t="shared" si="73"/>
        <v>0</v>
      </c>
      <c r="Z95" s="464">
        <f t="shared" ref="Z95:AE95" si="74">IF(Z90-Z91&gt;0,0,Z91-Z90)</f>
        <v>0</v>
      </c>
      <c r="AA95" s="464">
        <f t="shared" si="74"/>
        <v>0</v>
      </c>
      <c r="AB95" s="464">
        <f t="shared" si="74"/>
        <v>0</v>
      </c>
      <c r="AC95" s="464">
        <f t="shared" si="74"/>
        <v>0</v>
      </c>
      <c r="AD95" s="464">
        <f t="shared" si="74"/>
        <v>0</v>
      </c>
      <c r="AE95" s="464">
        <f t="shared" si="74"/>
        <v>0</v>
      </c>
      <c r="AF95" s="464">
        <f>IF(AF90-AF91&gt;0,0,AF91-AF90)</f>
        <v>0</v>
      </c>
      <c r="AG95" s="464">
        <f t="shared" ref="AG95:AH95" si="75">IF(AG90-AG91&gt;0,0,AG91-AG90)</f>
        <v>0</v>
      </c>
      <c r="AH95" s="464">
        <f t="shared" si="75"/>
        <v>0</v>
      </c>
      <c r="AI95" s="464">
        <f t="shared" ref="AI95:AJ95" si="76">IF(AI90-AI91&gt;0,0,AI91-AI90)</f>
        <v>0</v>
      </c>
      <c r="AJ95" s="464">
        <f t="shared" si="76"/>
        <v>0</v>
      </c>
      <c r="AK95" s="464">
        <f t="shared" ref="AK95" si="77">IF(AK90-AK91&gt;0,0,AK91-AK90)</f>
        <v>0</v>
      </c>
      <c r="AL95" s="57" t="str">
        <f t="shared" si="66"/>
        <v>NA</v>
      </c>
      <c r="AM95" s="1"/>
      <c r="AN95"/>
      <c r="AO95"/>
      <c r="AP95"/>
      <c r="AQ95"/>
      <c r="AR95"/>
    </row>
    <row r="96" spans="1:44" ht="13.5" thickBot="1">
      <c r="A96" s="43"/>
      <c r="B96" s="456"/>
      <c r="C96" s="1"/>
      <c r="D96" s="660" t="s">
        <v>1649</v>
      </c>
      <c r="E96" s="522">
        <f>Corrections!C60</f>
        <v>35.508870113372502</v>
      </c>
      <c r="F96" s="522">
        <f>Corrections!D60</f>
        <v>30.654795613025964</v>
      </c>
      <c r="G96" s="522">
        <f>Corrections!E60</f>
        <v>33.739404531965391</v>
      </c>
      <c r="H96" s="522">
        <f>Corrections!F60</f>
        <v>32.495996285571202</v>
      </c>
      <c r="I96" s="522">
        <f>Corrections!G60</f>
        <v>24.150814016502515</v>
      </c>
      <c r="J96" s="522">
        <f>Corrections!H60</f>
        <v>36.082750842477516</v>
      </c>
      <c r="K96" s="522">
        <f>Corrections!I60</f>
        <v>89.955804287210356</v>
      </c>
      <c r="L96" s="522">
        <f>Corrections!J60</f>
        <v>62.385617593123825</v>
      </c>
      <c r="M96" s="522">
        <f>Corrections!K60</f>
        <v>53.131790836305527</v>
      </c>
      <c r="N96" s="522">
        <f>Corrections!L60</f>
        <v>44.953990446559132</v>
      </c>
      <c r="O96" s="522">
        <f>Corrections!M60</f>
        <v>72.022031502678786</v>
      </c>
      <c r="P96" s="522">
        <f>Corrections!N60</f>
        <v>62.313882501985688</v>
      </c>
      <c r="Q96" s="522">
        <f>Corrections!O60</f>
        <v>69.320009736476038</v>
      </c>
      <c r="R96" s="522">
        <f>Corrections!P60</f>
        <v>70.180830830133544</v>
      </c>
      <c r="S96" s="522">
        <f>Corrections!Q60</f>
        <v>81.204123168358947</v>
      </c>
      <c r="T96" s="522">
        <f>Corrections!R60</f>
        <v>61.524796499466305</v>
      </c>
      <c r="U96" s="522">
        <f>Corrections!S60</f>
        <v>60.400946738302331</v>
      </c>
      <c r="V96" s="522">
        <f>Corrections!T60</f>
        <v>65.37457972387908</v>
      </c>
      <c r="W96" s="522">
        <f>Corrections!U60</f>
        <v>61.644354984696513</v>
      </c>
      <c r="X96" s="522">
        <f>Corrections!V60</f>
        <v>40.028180855074467</v>
      </c>
      <c r="Y96" s="522">
        <f>Corrections!W60</f>
        <v>54.494757567929931</v>
      </c>
      <c r="Z96" s="522">
        <f>Corrections!X60</f>
        <v>62.266059107893611</v>
      </c>
      <c r="AA96" s="522">
        <f>Corrections!Y60</f>
        <v>67.000575123009938</v>
      </c>
      <c r="AB96" s="522">
        <f>Corrections!Z60</f>
        <v>63.963789598162599</v>
      </c>
      <c r="AC96" s="522">
        <f>Corrections!AA60</f>
        <v>57.985865336652076</v>
      </c>
      <c r="AD96" s="522">
        <f>Corrections!AB60</f>
        <v>54.399110779745762</v>
      </c>
      <c r="AE96" s="522">
        <f>Corrections!AC60</f>
        <v>46.269133784091451</v>
      </c>
      <c r="AF96" s="522">
        <f>Corrections!AD60</f>
        <v>50.812356222839448</v>
      </c>
      <c r="AG96" s="522">
        <f>Corrections!AE60</f>
        <v>61.429149711282136</v>
      </c>
      <c r="AH96" s="522">
        <f>Corrections!AF60</f>
        <v>58.942333218493758</v>
      </c>
      <c r="AI96" s="522">
        <f>Corrections!AG60</f>
        <v>50.445094387926574</v>
      </c>
      <c r="AJ96" s="522">
        <f>Corrections!AH60</f>
        <v>56.297701451157046</v>
      </c>
      <c r="AK96" s="522">
        <f>Corrections!AI60</f>
        <v>56.297701451157046</v>
      </c>
      <c r="AL96" s="57">
        <f t="shared" si="66"/>
        <v>0</v>
      </c>
      <c r="AM96" s="1"/>
      <c r="AN96"/>
      <c r="AO96"/>
      <c r="AP96"/>
      <c r="AQ96"/>
      <c r="AR96"/>
    </row>
    <row r="97" spans="1:44" ht="12.95">
      <c r="A97" s="43"/>
      <c r="B97" s="456"/>
      <c r="C97" s="1"/>
      <c r="D97" s="657" t="s">
        <v>1650</v>
      </c>
      <c r="E97" s="653">
        <f>E98-SUM(E99:E103)</f>
        <v>7993.1381541127721</v>
      </c>
      <c r="F97" s="653">
        <f t="shared" ref="F97:AH97" si="78">F98-SUM(F99:F103)</f>
        <v>8106.186538507146</v>
      </c>
      <c r="G97" s="653">
        <f t="shared" si="78"/>
        <v>8420.583142909436</v>
      </c>
      <c r="H97" s="653">
        <f t="shared" si="78"/>
        <v>8576.5936056149731</v>
      </c>
      <c r="I97" s="653">
        <f t="shared" si="78"/>
        <v>8619.798576906609</v>
      </c>
      <c r="J97" s="653">
        <f t="shared" si="78"/>
        <v>9071.5290918915325</v>
      </c>
      <c r="K97" s="653">
        <f t="shared" si="78"/>
        <v>9386.3660914836473</v>
      </c>
      <c r="L97" s="653">
        <f t="shared" si="78"/>
        <v>9416.5082266472109</v>
      </c>
      <c r="M97" s="653">
        <f t="shared" si="78"/>
        <v>9227.0733414263941</v>
      </c>
      <c r="N97" s="653">
        <f t="shared" si="78"/>
        <v>8817.2157531256053</v>
      </c>
      <c r="O97" s="653">
        <f t="shared" si="78"/>
        <v>9038.2946285140843</v>
      </c>
      <c r="P97" s="653">
        <f t="shared" si="78"/>
        <v>8325.4690296393874</v>
      </c>
      <c r="Q97" s="653">
        <f t="shared" si="78"/>
        <v>8448.5696850214154</v>
      </c>
      <c r="R97" s="653">
        <f t="shared" si="78"/>
        <v>8174.946676384684</v>
      </c>
      <c r="S97" s="653">
        <f t="shared" si="78"/>
        <v>8204.2447102981805</v>
      </c>
      <c r="T97" s="653">
        <f t="shared" si="78"/>
        <v>7585.0517920141347</v>
      </c>
      <c r="U97" s="653">
        <f t="shared" si="78"/>
        <v>7541.4583065914294</v>
      </c>
      <c r="V97" s="653">
        <f t="shared" si="78"/>
        <v>7738.8395001602103</v>
      </c>
      <c r="W97" s="653">
        <f t="shared" si="78"/>
        <v>7790.0732111808638</v>
      </c>
      <c r="X97" s="653">
        <f t="shared" si="78"/>
        <v>7344.627521184957</v>
      </c>
      <c r="Y97" s="653">
        <f t="shared" si="78"/>
        <v>7979.88483813116</v>
      </c>
      <c r="Z97" s="653">
        <f t="shared" si="78"/>
        <v>8172.0100719061047</v>
      </c>
      <c r="AA97" s="653">
        <f t="shared" si="78"/>
        <v>8495.7543983742817</v>
      </c>
      <c r="AB97" s="653">
        <f t="shared" si="78"/>
        <v>8828.5197285528957</v>
      </c>
      <c r="AC97" s="653">
        <f t="shared" si="78"/>
        <v>9127.5053889729134</v>
      </c>
      <c r="AD97" s="653">
        <f t="shared" si="78"/>
        <v>9119.932101192273</v>
      </c>
      <c r="AE97" s="653">
        <f t="shared" si="78"/>
        <v>9302.0557908767769</v>
      </c>
      <c r="AF97" s="653">
        <f t="shared" si="78"/>
        <v>9477.6281353869836</v>
      </c>
      <c r="AG97" s="653">
        <f t="shared" si="78"/>
        <v>10056.058622156899</v>
      </c>
      <c r="AH97" s="653">
        <f t="shared" si="78"/>
        <v>10213.711603697042</v>
      </c>
      <c r="AI97" s="653">
        <f t="shared" ref="AI97:AJ97" si="79">AI98-SUM(AI99:AI103)</f>
        <v>9987.9689956998172</v>
      </c>
      <c r="AJ97" s="653">
        <f t="shared" si="79"/>
        <v>10204.388517767327</v>
      </c>
      <c r="AK97" s="653">
        <f t="shared" ref="AK97" si="80">AK98-SUM(AK99:AK103)</f>
        <v>10394.368517767327</v>
      </c>
      <c r="AL97" s="57">
        <f t="shared" si="66"/>
        <v>1.8617480084104666E-2</v>
      </c>
      <c r="AM97" s="1"/>
      <c r="AN97"/>
      <c r="AO97"/>
      <c r="AP97"/>
      <c r="AQ97"/>
      <c r="AR97"/>
    </row>
    <row r="98" spans="1:44" s="145" customFormat="1" ht="12.95">
      <c r="A98" s="43"/>
      <c r="B98" s="456"/>
      <c r="C98" s="1"/>
      <c r="D98" s="658" t="s">
        <v>1651</v>
      </c>
      <c r="E98" s="1052">
        <f>'[7]EIA_Output QBtu'!G27/TbtuToQBtu</f>
        <v>8442.8610000000008</v>
      </c>
      <c r="F98" s="532">
        <f>'[7]EIA_Output QBtu'!H27/TbtuToQBtu</f>
        <v>8572.3179999999993</v>
      </c>
      <c r="G98" s="532">
        <f>'[7]EIA_Output QBtu'!I27/TbtuToQBtu</f>
        <v>8917.7970000000005</v>
      </c>
      <c r="H98" s="532">
        <f>'[7]EIA_Output QBtu'!J27/TbtuToQBtu</f>
        <v>9061.6630000000005</v>
      </c>
      <c r="I98" s="532">
        <f>'[7]EIA_Output QBtu'!K27/TbtuToQBtu</f>
        <v>9126.0460000000003</v>
      </c>
      <c r="J98" s="532">
        <f>'[7]EIA_Output QBtu'!L27/TbtuToQBtu</f>
        <v>9591.8250000000007</v>
      </c>
      <c r="K98" s="532">
        <f>'[7]EIA_Output QBtu'!M27/TbtuToQBtu</f>
        <v>9900.5669999999991</v>
      </c>
      <c r="L98" s="532">
        <f>'[7]EIA_Output QBtu'!N27/TbtuToQBtu</f>
        <v>9932.9359999999997</v>
      </c>
      <c r="M98" s="532">
        <f>'[7]EIA_Output QBtu'!O27/TbtuToQBtu</f>
        <v>9763.3649999999998</v>
      </c>
      <c r="N98" s="532">
        <f>'[7]EIA_Output QBtu'!P27/TbtuToQBtu</f>
        <v>9375.3029999999999</v>
      </c>
      <c r="O98" s="532">
        <f>'[7]EIA_Output QBtu'!Q27/TbtuToQBtu</f>
        <v>9499.7929999999997</v>
      </c>
      <c r="P98" s="532">
        <f>'[7]EIA_Output QBtu'!R27/TbtuToQBtu</f>
        <v>8676.3420000000006</v>
      </c>
      <c r="Q98" s="532">
        <f>'[7]EIA_Output QBtu'!S27/TbtuToQBtu</f>
        <v>8831.57</v>
      </c>
      <c r="R98" s="532">
        <f>'[7]EIA_Output QBtu'!T27/TbtuToQBtu</f>
        <v>8488.3389999999999</v>
      </c>
      <c r="S98" s="532">
        <f>'[7]EIA_Output QBtu'!U27/TbtuToQBtu</f>
        <v>8549.8320000000003</v>
      </c>
      <c r="T98" s="532">
        <f>'[7]EIA_Output QBtu'!V27/TbtuToQBtu</f>
        <v>7907.3440000000001</v>
      </c>
      <c r="U98" s="532">
        <f>'[7]EIA_Output QBtu'!W27/TbtuToQBtu</f>
        <v>7861.0249999999996</v>
      </c>
      <c r="V98" s="532">
        <f>'[7]EIA_Output QBtu'!X27/TbtuToQBtu</f>
        <v>8073.57</v>
      </c>
      <c r="W98" s="532">
        <f>'[7]EIA_Output QBtu'!Y27/TbtuToQBtu</f>
        <v>8083.4049999999988</v>
      </c>
      <c r="X98" s="532">
        <f>'[7]EIA_Output QBtu'!Z27/TbtuToQBtu</f>
        <v>7608.9719999999998</v>
      </c>
      <c r="Y98" s="532">
        <f>'[7]EIA_Output QBtu'!AA27/TbtuToQBtu</f>
        <v>8277.9850000000006</v>
      </c>
      <c r="Z98" s="532">
        <f>'[7]EIA_Output QBtu'!AB27/TbtuToQBtu</f>
        <v>8480.5329999999994</v>
      </c>
      <c r="AA98" s="532">
        <f>'[7]EIA_Output QBtu'!AC27/TbtuToQBtu</f>
        <v>8818.6110000000008</v>
      </c>
      <c r="AB98" s="532">
        <f>'[7]EIA_Output QBtu'!AD27/TbtuToQBtu</f>
        <v>9140.4549999999999</v>
      </c>
      <c r="AC98" s="532">
        <f>'[7]EIA_Output QBtu'!AE27/TbtuToQBtu</f>
        <v>9441.0519999999997</v>
      </c>
      <c r="AD98" s="532">
        <f>'[7]EIA_Output QBtu'!AF27/TbtuToQBtu</f>
        <v>9425.6810000000005</v>
      </c>
      <c r="AE98" s="532">
        <f>'[7]EIA_Output QBtu'!AG27/TbtuToQBtu</f>
        <v>9617.4590000000007</v>
      </c>
      <c r="AF98" s="532">
        <f>'[7]EIA_Output QBtu'!AH27/TbtuToQBtu</f>
        <v>9864.3469999999998</v>
      </c>
      <c r="AG98" s="532">
        <f>'[7]EIA_Output QBtu'!AI27/TbtuToQBtu</f>
        <v>10473.767</v>
      </c>
      <c r="AH98" s="532">
        <f>'[7]EIA_Output QBtu'!AJ27/TbtuToQBtu</f>
        <v>10630.355</v>
      </c>
      <c r="AI98" s="532">
        <f>'[7]EIA_Output QBtu'!AK27/TbtuToQBtu</f>
        <v>10410.388000000001</v>
      </c>
      <c r="AJ98" s="532">
        <f>'[7]EIA_Output QBtu'!AL27/TbtuToQBtu</f>
        <v>10603.391</v>
      </c>
      <c r="AK98" s="532">
        <f>'[7]EIA_Output QBtu'!AM27/TbtuToQBtu</f>
        <v>10793.370999999999</v>
      </c>
      <c r="AL98" s="57">
        <f t="shared" si="66"/>
        <v>1.7916909788576085E-2</v>
      </c>
      <c r="AM98" s="75"/>
    </row>
    <row r="99" spans="1:44" s="145" customFormat="1" ht="12.95">
      <c r="A99" s="43"/>
      <c r="B99" s="456"/>
      <c r="C99" s="1"/>
      <c r="D99" s="658" t="s">
        <v>1652</v>
      </c>
      <c r="E99" s="464">
        <v>0</v>
      </c>
      <c r="F99" s="464">
        <v>0</v>
      </c>
      <c r="G99" s="464">
        <v>0</v>
      </c>
      <c r="H99" s="464">
        <v>0</v>
      </c>
      <c r="I99" s="464">
        <v>0</v>
      </c>
      <c r="J99" s="464">
        <v>0</v>
      </c>
      <c r="K99" s="464">
        <v>0</v>
      </c>
      <c r="L99" s="464">
        <v>0</v>
      </c>
      <c r="M99" s="464">
        <v>0</v>
      </c>
      <c r="N99" s="464">
        <v>0</v>
      </c>
      <c r="O99" s="464">
        <v>0</v>
      </c>
      <c r="P99" s="464">
        <v>0</v>
      </c>
      <c r="Q99" s="464">
        <v>0</v>
      </c>
      <c r="R99" s="464">
        <v>0</v>
      </c>
      <c r="S99" s="464">
        <v>0</v>
      </c>
      <c r="T99" s="464">
        <v>0</v>
      </c>
      <c r="U99" s="464">
        <v>0</v>
      </c>
      <c r="V99" s="464">
        <v>0</v>
      </c>
      <c r="W99" s="464">
        <v>0</v>
      </c>
      <c r="X99" s="464">
        <v>0</v>
      </c>
      <c r="Y99" s="464">
        <v>0</v>
      </c>
      <c r="Z99" s="464">
        <v>0</v>
      </c>
      <c r="AA99" s="464">
        <v>0</v>
      </c>
      <c r="AB99" s="464">
        <v>0</v>
      </c>
      <c r="AC99" s="464">
        <v>0</v>
      </c>
      <c r="AD99" s="464">
        <v>0</v>
      </c>
      <c r="AE99" s="464">
        <v>0</v>
      </c>
      <c r="AF99" s="464">
        <v>0</v>
      </c>
      <c r="AG99" s="464">
        <v>0</v>
      </c>
      <c r="AH99" s="464">
        <v>0</v>
      </c>
      <c r="AI99" s="464">
        <v>0</v>
      </c>
      <c r="AJ99" s="464">
        <v>0</v>
      </c>
      <c r="AK99" s="464">
        <v>0</v>
      </c>
      <c r="AL99" s="57" t="str">
        <f t="shared" si="66"/>
        <v>NA</v>
      </c>
      <c r="AM99" s="75"/>
    </row>
    <row r="100" spans="1:44" s="145" customFormat="1" ht="12.95">
      <c r="A100" s="43"/>
      <c r="B100" s="456"/>
      <c r="C100" s="1"/>
      <c r="D100" s="658" t="s">
        <v>1653</v>
      </c>
      <c r="E100" s="464">
        <v>0</v>
      </c>
      <c r="F100" s="464">
        <v>0</v>
      </c>
      <c r="G100" s="464">
        <v>0</v>
      </c>
      <c r="H100" s="464">
        <v>0</v>
      </c>
      <c r="I100" s="464">
        <v>0</v>
      </c>
      <c r="J100" s="464">
        <v>0</v>
      </c>
      <c r="K100" s="464">
        <v>0</v>
      </c>
      <c r="L100" s="464">
        <v>0</v>
      </c>
      <c r="M100" s="464">
        <v>0</v>
      </c>
      <c r="N100" s="464">
        <v>0</v>
      </c>
      <c r="O100" s="464">
        <v>0</v>
      </c>
      <c r="P100" s="464">
        <v>0</v>
      </c>
      <c r="Q100" s="464">
        <v>0</v>
      </c>
      <c r="R100" s="464">
        <v>0</v>
      </c>
      <c r="S100" s="464">
        <v>0</v>
      </c>
      <c r="T100" s="464">
        <v>0</v>
      </c>
      <c r="U100" s="464">
        <v>0</v>
      </c>
      <c r="V100" s="464">
        <v>0</v>
      </c>
      <c r="W100" s="464">
        <v>0</v>
      </c>
      <c r="X100" s="464">
        <v>0</v>
      </c>
      <c r="Y100" s="464">
        <v>0</v>
      </c>
      <c r="Z100" s="464">
        <v>0</v>
      </c>
      <c r="AA100" s="464">
        <v>0</v>
      </c>
      <c r="AB100" s="464">
        <v>0</v>
      </c>
      <c r="AC100" s="464">
        <v>0</v>
      </c>
      <c r="AD100" s="464">
        <v>0</v>
      </c>
      <c r="AE100" s="464">
        <v>0</v>
      </c>
      <c r="AF100" s="464">
        <v>0</v>
      </c>
      <c r="AG100" s="464">
        <v>0</v>
      </c>
      <c r="AH100" s="464">
        <v>0</v>
      </c>
      <c r="AI100" s="464">
        <v>0</v>
      </c>
      <c r="AJ100" s="464">
        <v>0</v>
      </c>
      <c r="AK100" s="464">
        <v>0</v>
      </c>
      <c r="AL100" s="57" t="str">
        <f t="shared" si="66"/>
        <v>NA</v>
      </c>
      <c r="AM100" s="75"/>
    </row>
    <row r="101" spans="1:44" ht="12.95">
      <c r="A101" s="43"/>
      <c r="B101" s="456"/>
      <c r="C101" s="1"/>
      <c r="D101" s="658" t="s">
        <v>1654</v>
      </c>
      <c r="E101" s="464">
        <f>Corrections!C21</f>
        <v>0</v>
      </c>
      <c r="F101" s="464">
        <f>Corrections!D21</f>
        <v>0</v>
      </c>
      <c r="G101" s="464">
        <f>Corrections!E21</f>
        <v>0</v>
      </c>
      <c r="H101" s="464">
        <f>Corrections!F21</f>
        <v>0</v>
      </c>
      <c r="I101" s="464">
        <f>Corrections!G21</f>
        <v>0</v>
      </c>
      <c r="J101" s="464">
        <f>Corrections!H21</f>
        <v>0</v>
      </c>
      <c r="K101" s="464">
        <f>Corrections!I21</f>
        <v>0</v>
      </c>
      <c r="L101" s="464">
        <f>Corrections!J21</f>
        <v>0</v>
      </c>
      <c r="M101" s="464">
        <f>Corrections!K21</f>
        <v>0</v>
      </c>
      <c r="N101" s="464">
        <f>Corrections!L21</f>
        <v>0</v>
      </c>
      <c r="O101" s="464">
        <f>Corrections!M21</f>
        <v>0</v>
      </c>
      <c r="P101" s="464">
        <f>Corrections!N21</f>
        <v>0</v>
      </c>
      <c r="Q101" s="464">
        <f>Corrections!O21</f>
        <v>0</v>
      </c>
      <c r="R101" s="464">
        <f>Corrections!P21</f>
        <v>0</v>
      </c>
      <c r="S101" s="464">
        <f>Corrections!Q21</f>
        <v>0</v>
      </c>
      <c r="T101" s="464">
        <f>Corrections!R21</f>
        <v>0</v>
      </c>
      <c r="U101" s="464">
        <f>Corrections!S21</f>
        <v>0</v>
      </c>
      <c r="V101" s="464">
        <f>Corrections!T21</f>
        <v>0</v>
      </c>
      <c r="W101" s="464">
        <f>Corrections!U21</f>
        <v>0</v>
      </c>
      <c r="X101" s="464">
        <f>Corrections!V21</f>
        <v>0</v>
      </c>
      <c r="Y101" s="464">
        <f>Corrections!W21</f>
        <v>0</v>
      </c>
      <c r="Z101" s="464">
        <f>Corrections!X21</f>
        <v>0</v>
      </c>
      <c r="AA101" s="464">
        <f>Corrections!Y21</f>
        <v>0</v>
      </c>
      <c r="AB101" s="464">
        <f>Corrections!Z21</f>
        <v>0</v>
      </c>
      <c r="AC101" s="464">
        <f>Corrections!AA21</f>
        <v>0</v>
      </c>
      <c r="AD101" s="464">
        <f>Corrections!AB21</f>
        <v>0</v>
      </c>
      <c r="AE101" s="464">
        <f>Corrections!AC21</f>
        <v>0</v>
      </c>
      <c r="AF101" s="464">
        <f>Corrections!AD21</f>
        <v>0</v>
      </c>
      <c r="AG101" s="464">
        <f>Corrections!AE21</f>
        <v>0</v>
      </c>
      <c r="AH101" s="464">
        <f>Corrections!AF21</f>
        <v>0</v>
      </c>
      <c r="AI101" s="464">
        <f>Corrections!AG21</f>
        <v>0</v>
      </c>
      <c r="AJ101" s="464">
        <f>Corrections!AH21</f>
        <v>0</v>
      </c>
      <c r="AK101" s="464">
        <f>Corrections!AI21</f>
        <v>0</v>
      </c>
      <c r="AL101" s="57" t="str">
        <f t="shared" si="66"/>
        <v>NA</v>
      </c>
      <c r="AM101" s="1"/>
      <c r="AN101"/>
      <c r="AO101"/>
      <c r="AP101"/>
      <c r="AQ101"/>
      <c r="AR101"/>
    </row>
    <row r="102" spans="1:44" ht="12.95">
      <c r="A102" s="43"/>
      <c r="B102" s="456"/>
      <c r="C102" s="1"/>
      <c r="D102" s="658" t="s">
        <v>1655</v>
      </c>
      <c r="E102" s="464">
        <f>Corrections!C26</f>
        <v>374.83531288722821</v>
      </c>
      <c r="F102" s="464">
        <f>Corrections!D26</f>
        <v>378.86265149285344</v>
      </c>
      <c r="G102" s="464">
        <f>Corrections!E26</f>
        <v>395.52298709056464</v>
      </c>
      <c r="H102" s="464">
        <f>Corrections!F26</f>
        <v>378.33123038502708</v>
      </c>
      <c r="I102" s="464">
        <f>Corrections!G26</f>
        <v>393.54367109339199</v>
      </c>
      <c r="J102" s="464">
        <f>Corrections!H26</f>
        <v>382.53488810846778</v>
      </c>
      <c r="K102" s="464">
        <f>Corrections!I26</f>
        <v>393.96499451635157</v>
      </c>
      <c r="L102" s="464">
        <f>Corrections!J26</f>
        <v>393.26160335278962</v>
      </c>
      <c r="M102" s="464">
        <f>Corrections!K26</f>
        <v>408.0775295736056</v>
      </c>
      <c r="N102" s="464">
        <f>Corrections!L26</f>
        <v>381.45557087439443</v>
      </c>
      <c r="O102" s="464">
        <f>Corrections!M26</f>
        <v>346.8644214859155</v>
      </c>
      <c r="P102" s="464">
        <f>Corrections!N26</f>
        <v>264.48087836061399</v>
      </c>
      <c r="Q102" s="464">
        <f>Corrections!O26</f>
        <v>298.3124429785849</v>
      </c>
      <c r="R102" s="464">
        <f>Corrections!P26</f>
        <v>242.13650361531592</v>
      </c>
      <c r="S102" s="464">
        <f>Corrections!Q26</f>
        <v>258.25006570181955</v>
      </c>
      <c r="T102" s="464">
        <f>Corrections!R26</f>
        <v>237.14810798586524</v>
      </c>
      <c r="U102" s="464">
        <f>Corrections!S26</f>
        <v>233.71018940857064</v>
      </c>
      <c r="V102" s="464">
        <f>Corrections!T26</f>
        <v>244.87005383978945</v>
      </c>
      <c r="W102" s="464">
        <f>Corrections!U26</f>
        <v>224.20544581913478</v>
      </c>
      <c r="X102" s="464">
        <f>Corrections!V26</f>
        <v>217.29492881504237</v>
      </c>
      <c r="Y102" s="464">
        <f>Corrections!W26</f>
        <v>235.36468686884066</v>
      </c>
      <c r="Z102" s="464">
        <f>Corrections!X26</f>
        <v>238.44438809389447</v>
      </c>
      <c r="AA102" s="464">
        <f>Corrections!Y26</f>
        <v>244.13045762571915</v>
      </c>
      <c r="AB102" s="464">
        <f>Corrections!Z26</f>
        <v>247.67280044710373</v>
      </c>
      <c r="AC102" s="464">
        <f>Corrections!AA26</f>
        <v>251.2189710270863</v>
      </c>
      <c r="AD102" s="464">
        <f>Corrections!AB26</f>
        <v>249.35372780772784</v>
      </c>
      <c r="AE102" s="464">
        <f>Corrections!AC26</f>
        <v>269.37285312322354</v>
      </c>
      <c r="AF102" s="464">
        <f>Corrections!AD26</f>
        <v>336.62826461301654</v>
      </c>
      <c r="AG102" s="464">
        <f>Corrections!AE26</f>
        <v>364.83611784310114</v>
      </c>
      <c r="AH102" s="464">
        <f>Corrections!AF26</f>
        <v>365.53435230295742</v>
      </c>
      <c r="AI102" s="464">
        <f>Corrections!AG26</f>
        <v>378.72007701898383</v>
      </c>
      <c r="AJ102" s="464">
        <f>Corrections!AH26</f>
        <v>350.23363381117628</v>
      </c>
      <c r="AK102" s="464">
        <f>Corrections!AI26</f>
        <v>350.23363381117628</v>
      </c>
      <c r="AL102" s="57">
        <f t="shared" si="66"/>
        <v>0</v>
      </c>
      <c r="AM102" s="1"/>
      <c r="AN102"/>
      <c r="AO102"/>
      <c r="AP102"/>
      <c r="AQ102"/>
      <c r="AR102"/>
    </row>
    <row r="103" spans="1:44" ht="13.5" thickBot="1">
      <c r="A103" s="43"/>
      <c r="B103" s="456"/>
      <c r="C103" s="1"/>
      <c r="D103" s="661" t="s">
        <v>1649</v>
      </c>
      <c r="E103" s="522">
        <f>Corrections!C58</f>
        <v>74.887533000000005</v>
      </c>
      <c r="F103" s="522">
        <f>Corrections!D58</f>
        <v>87.268810000000002</v>
      </c>
      <c r="G103" s="522">
        <f>Corrections!E58</f>
        <v>101.69087</v>
      </c>
      <c r="H103" s="522">
        <f>Corrections!F58</f>
        <v>106.738164</v>
      </c>
      <c r="I103" s="522">
        <f>Corrections!G58</f>
        <v>112.70375199999999</v>
      </c>
      <c r="J103" s="522">
        <f>Corrections!H58</f>
        <v>137.76102</v>
      </c>
      <c r="K103" s="522">
        <f>Corrections!I58</f>
        <v>120.23591399999999</v>
      </c>
      <c r="L103" s="522">
        <f>Corrections!J58</f>
        <v>123.16616999999999</v>
      </c>
      <c r="M103" s="522">
        <f>Corrections!K58</f>
        <v>128.21412900000001</v>
      </c>
      <c r="N103" s="522">
        <f>Corrections!L58</f>
        <v>176.631676</v>
      </c>
      <c r="O103" s="522">
        <f>Corrections!M58</f>
        <v>114.63395</v>
      </c>
      <c r="P103" s="522">
        <f>Corrections!N58</f>
        <v>86.392092000000005</v>
      </c>
      <c r="Q103" s="522">
        <f>Corrections!O58</f>
        <v>84.687871999999999</v>
      </c>
      <c r="R103" s="522">
        <f>Corrections!P58</f>
        <v>71.25582</v>
      </c>
      <c r="S103" s="522">
        <f>Corrections!Q58</f>
        <v>87.337224000000006</v>
      </c>
      <c r="T103" s="522">
        <f>Corrections!R58</f>
        <v>85.144099999999995</v>
      </c>
      <c r="U103" s="522">
        <f>Corrections!S58</f>
        <v>85.856504000000001</v>
      </c>
      <c r="V103" s="522">
        <f>Corrections!T58</f>
        <v>89.860445999999996</v>
      </c>
      <c r="W103" s="522">
        <f>Corrections!U58</f>
        <v>69.126343000000006</v>
      </c>
      <c r="X103" s="522">
        <f>Corrections!V58</f>
        <v>47.049550000000004</v>
      </c>
      <c r="Y103" s="522">
        <f>Corrections!W58</f>
        <v>62.735475000000001</v>
      </c>
      <c r="Z103" s="522">
        <f>Corrections!X58</f>
        <v>70.078540000000004</v>
      </c>
      <c r="AA103" s="522">
        <f>Corrections!Y58</f>
        <v>78.726144000000005</v>
      </c>
      <c r="AB103" s="522">
        <f>Corrections!Z58</f>
        <v>64.262471000000005</v>
      </c>
      <c r="AC103" s="522">
        <f>Corrections!AA58</f>
        <v>62.327640000000002</v>
      </c>
      <c r="AD103" s="522">
        <f>Corrections!AB58</f>
        <v>56.395170999999998</v>
      </c>
      <c r="AE103" s="522">
        <f>Corrections!AC58</f>
        <v>46.030355999999998</v>
      </c>
      <c r="AF103" s="522">
        <f>Corrections!AD58</f>
        <v>50.090600000000002</v>
      </c>
      <c r="AG103" s="522">
        <f>Corrections!AE58</f>
        <v>52.872259999999997</v>
      </c>
      <c r="AH103" s="522">
        <f>Corrections!AF58</f>
        <v>51.109043999999997</v>
      </c>
      <c r="AI103" s="522">
        <f>Corrections!AG58</f>
        <v>43.698927281200028</v>
      </c>
      <c r="AJ103" s="522">
        <f>Corrections!AH58</f>
        <v>48.768848421495434</v>
      </c>
      <c r="AK103" s="522">
        <f>Corrections!AI58</f>
        <v>48.768848421495434</v>
      </c>
      <c r="AL103" s="57">
        <f t="shared" si="66"/>
        <v>0</v>
      </c>
      <c r="AM103" s="1"/>
      <c r="AN103"/>
      <c r="AO103"/>
      <c r="AP103"/>
      <c r="AQ103"/>
      <c r="AR103"/>
    </row>
    <row r="104" spans="1:44" s="145" customFormat="1" ht="12.95">
      <c r="A104" s="43"/>
      <c r="B104" s="456"/>
      <c r="C104" s="1"/>
      <c r="D104" s="657" t="s">
        <v>1656</v>
      </c>
      <c r="E104" s="653">
        <f>IF(E105-E106&lt;0,0,E105-E106)</f>
        <v>364.14793428817552</v>
      </c>
      <c r="F104" s="653">
        <f t="shared" ref="F104:AC104" si="81">IF(F105-F106&lt;0,0,F105-F106)</f>
        <v>270.89068600000002</v>
      </c>
      <c r="G104" s="653">
        <f t="shared" si="81"/>
        <v>328.05710599999998</v>
      </c>
      <c r="H104" s="653">
        <f t="shared" si="81"/>
        <v>391.19952599999999</v>
      </c>
      <c r="I104" s="653">
        <f t="shared" si="81"/>
        <v>368.358946</v>
      </c>
      <c r="J104" s="653">
        <f t="shared" si="81"/>
        <v>284.66320949999999</v>
      </c>
      <c r="K104" s="653">
        <f t="shared" si="81"/>
        <v>281.661473</v>
      </c>
      <c r="L104" s="653">
        <f t="shared" si="81"/>
        <v>235.56173650000002</v>
      </c>
      <c r="M104" s="653">
        <f t="shared" si="81"/>
        <v>173.25800000000001</v>
      </c>
      <c r="N104" s="653">
        <f t="shared" si="81"/>
        <v>154.0335</v>
      </c>
      <c r="O104" s="653">
        <f t="shared" si="81"/>
        <v>190.34200000000001</v>
      </c>
      <c r="P104" s="653">
        <f t="shared" si="81"/>
        <v>156.09950000000001</v>
      </c>
      <c r="Q104" s="653">
        <f t="shared" si="81"/>
        <v>146.09800000000001</v>
      </c>
      <c r="R104" s="653">
        <f t="shared" si="81"/>
        <v>171.71474999999998</v>
      </c>
      <c r="S104" s="653">
        <f t="shared" si="81"/>
        <v>195.26749999999996</v>
      </c>
      <c r="T104" s="653">
        <f t="shared" si="81"/>
        <v>223.23224999999999</v>
      </c>
      <c r="U104" s="653">
        <f t="shared" si="81"/>
        <v>176.39400000000001</v>
      </c>
      <c r="V104" s="653">
        <f t="shared" si="81"/>
        <v>122.51024999999997</v>
      </c>
      <c r="W104" s="653">
        <f t="shared" si="81"/>
        <v>115.7595</v>
      </c>
      <c r="X104" s="653">
        <f t="shared" si="81"/>
        <v>43.692750000000004</v>
      </c>
      <c r="Y104" s="653">
        <f t="shared" si="81"/>
        <v>25.895999999999972</v>
      </c>
      <c r="Z104" s="653">
        <f t="shared" si="81"/>
        <v>50.0505</v>
      </c>
      <c r="AA104" s="653">
        <f t="shared" si="81"/>
        <v>0</v>
      </c>
      <c r="AB104" s="653">
        <f t="shared" si="81"/>
        <v>0</v>
      </c>
      <c r="AC104" s="653">
        <f t="shared" si="81"/>
        <v>0</v>
      </c>
      <c r="AD104" s="653">
        <f>IF(AD105-AD106&lt;0,0,AD105-AD106)</f>
        <v>0</v>
      </c>
      <c r="AE104" s="653">
        <f>IF(AE105-AE106&lt;0,0,AE105-AE106)</f>
        <v>2.1189999999999927</v>
      </c>
      <c r="AF104" s="653">
        <f>IF(AF105-AF106&lt;0,0,AF105-AF106)</f>
        <v>2.7844999999999942</v>
      </c>
      <c r="AG104" s="653">
        <f t="shared" ref="AG104:AH104" si="82">IF(AG105-AG106&lt;0,0,AG105-AG106)</f>
        <v>0</v>
      </c>
      <c r="AH104" s="653">
        <f t="shared" si="82"/>
        <v>0</v>
      </c>
      <c r="AI104" s="653">
        <f t="shared" ref="AI104:AJ104" si="83">IF(AI105-AI106&lt;0,0,AI105-AI106)</f>
        <v>0</v>
      </c>
      <c r="AJ104" s="653">
        <f t="shared" si="83"/>
        <v>1.8320000000000007</v>
      </c>
      <c r="AK104" s="653">
        <f t="shared" ref="AK104" si="84">IF(AK105-AK106&lt;0,0,AK105-AK106)</f>
        <v>2.9649999999999963</v>
      </c>
      <c r="AL104" s="57">
        <f t="shared" si="66"/>
        <v>0.61844978165938602</v>
      </c>
      <c r="AM104" s="75"/>
    </row>
    <row r="105" spans="1:44" s="145" customFormat="1" ht="12.95">
      <c r="A105" s="43"/>
      <c r="B105" s="456"/>
      <c r="C105" s="1"/>
      <c r="D105" s="662" t="s">
        <v>1657</v>
      </c>
      <c r="E105" s="532">
        <f>'[7]EIA_Output QBtu'!G34/TbtuToQBtu</f>
        <v>411.44499999999999</v>
      </c>
      <c r="F105" s="532">
        <f>'[7]EIA_Output QBtu'!H34/TbtuToQBtu</f>
        <v>333.899</v>
      </c>
      <c r="G105" s="532">
        <f>'[7]EIA_Output QBtu'!I34/TbtuToQBtu</f>
        <v>386.916</v>
      </c>
      <c r="H105" s="532">
        <f>'[7]EIA_Output QBtu'!J34/TbtuToQBtu</f>
        <v>445.90899999999999</v>
      </c>
      <c r="I105" s="532">
        <f>'[7]EIA_Output QBtu'!K34/TbtuToQBtu</f>
        <v>418.91899999999998</v>
      </c>
      <c r="J105" s="532">
        <f>'[7]EIA_Output QBtu'!L34/TbtuToQBtu</f>
        <v>336.72899999999998</v>
      </c>
      <c r="K105" s="532">
        <f>'[7]EIA_Output QBtu'!M34/TbtuToQBtu</f>
        <v>335.233</v>
      </c>
      <c r="L105" s="532">
        <f>'[7]EIA_Output QBtu'!N34/TbtuToQBtu</f>
        <v>290.63900000000001</v>
      </c>
      <c r="M105" s="532">
        <f>'[7]EIA_Output QBtu'!O34/TbtuToQBtu</f>
        <v>229.84100000000001</v>
      </c>
      <c r="N105" s="532">
        <f>'[7]EIA_Output QBtu'!P34/TbtuToQBtu</f>
        <v>207.47300000000001</v>
      </c>
      <c r="O105" s="532">
        <f>'[7]EIA_Output QBtu'!Q34/TbtuToQBtu</f>
        <v>240.63800000000001</v>
      </c>
      <c r="P105" s="532">
        <f>'[7]EIA_Output QBtu'!R34/TbtuToQBtu</f>
        <v>203.25200000000001</v>
      </c>
      <c r="Q105" s="532">
        <f>'[7]EIA_Output QBtu'!S34/TbtuToQBtu</f>
        <v>190.107</v>
      </c>
      <c r="R105" s="532">
        <f>'[7]EIA_Output QBtu'!T34/TbtuToQBtu</f>
        <v>220.43899999999999</v>
      </c>
      <c r="S105" s="532">
        <f>'[7]EIA_Output QBtu'!U34/TbtuToQBtu</f>
        <v>248.70699999999997</v>
      </c>
      <c r="T105" s="532">
        <f>'[7]EIA_Output QBtu'!V34/TbtuToQBtu</f>
        <v>281.387</v>
      </c>
      <c r="U105" s="532">
        <f>'[7]EIA_Output QBtu'!W34/TbtuToQBtu</f>
        <v>239.26400000000001</v>
      </c>
      <c r="V105" s="532">
        <f>'[7]EIA_Output QBtu'!X34/TbtuToQBtu</f>
        <v>193.23899999999998</v>
      </c>
      <c r="W105" s="532">
        <f>'[7]EIA_Output QBtu'!Y34/TbtuToQBtu</f>
        <v>194.34700000000001</v>
      </c>
      <c r="X105" s="532">
        <f>'[7]EIA_Output QBtu'!Z34/TbtuToQBtu</f>
        <v>130.13900000000001</v>
      </c>
      <c r="Y105" s="532">
        <f>'[7]EIA_Output QBtu'!AA34/TbtuToQBtu</f>
        <v>120.20099999999998</v>
      </c>
      <c r="Z105" s="532">
        <f>'[7]EIA_Output QBtu'!AB34/TbtuToQBtu</f>
        <v>134.92500000000001</v>
      </c>
      <c r="AA105" s="532">
        <f>'[7]EIA_Output QBtu'!AC34/TbtuToQBtu</f>
        <v>69.885000000000005</v>
      </c>
      <c r="AB105" s="532">
        <f>'[7]EIA_Output QBtu'!AD34/TbtuToQBtu</f>
        <v>48.225000000000001</v>
      </c>
      <c r="AC105" s="532">
        <f>'[7]EIA_Output QBtu'!AE34/TbtuToQBtu</f>
        <v>40.579000000000001</v>
      </c>
      <c r="AD105" s="532">
        <f>'[7]EIA_Output QBtu'!AF34/TbtuToQBtu</f>
        <v>33.856000000000002</v>
      </c>
      <c r="AE105" s="532">
        <f>'[7]EIA_Output QBtu'!AG34/TbtuToQBtu</f>
        <v>52.414999999999992</v>
      </c>
      <c r="AF105" s="532">
        <f>'[7]EIA_Output QBtu'!AH34/TbtuToQBtu</f>
        <v>49.936999999999998</v>
      </c>
      <c r="AG105" s="532">
        <f>'[7]EIA_Output QBtu'!AI34/TbtuToQBtu</f>
        <v>43.34</v>
      </c>
      <c r="AH105" s="532">
        <f>'[7]EIA_Output QBtu'!AJ34/TbtuToQBtu</f>
        <v>40.9</v>
      </c>
      <c r="AI105" s="532">
        <f>'[7]EIA_Output QBtu'!AK34/TbtuToQBtu</f>
        <v>31.972000000000001</v>
      </c>
      <c r="AJ105" s="532">
        <f>'[7]EIA_Output QBtu'!AL34/TbtuToQBtu</f>
        <v>45.841000000000001</v>
      </c>
      <c r="AK105" s="532">
        <f>'[7]EIA_Output QBtu'!AM34/TbtuToQBtu</f>
        <v>46.973999999999997</v>
      </c>
      <c r="AL105" s="57">
        <f t="shared" si="66"/>
        <v>2.4715865709735729E-2</v>
      </c>
      <c r="AM105" s="75"/>
    </row>
    <row r="106" spans="1:44" s="145" customFormat="1" ht="13.5" thickBot="1">
      <c r="A106" s="43"/>
      <c r="B106" s="456"/>
      <c r="C106" s="1"/>
      <c r="D106" s="663" t="s">
        <v>1658</v>
      </c>
      <c r="E106" s="522">
        <f>Corrections!C53</f>
        <v>47.297065711824445</v>
      </c>
      <c r="F106" s="522">
        <f>Corrections!D53</f>
        <v>63.008313999999999</v>
      </c>
      <c r="G106" s="522">
        <f>Corrections!E53</f>
        <v>58.858893999999999</v>
      </c>
      <c r="H106" s="522">
        <f>Corrections!F53</f>
        <v>54.709474</v>
      </c>
      <c r="I106" s="522">
        <f>Corrections!G53</f>
        <v>50.560053999999994</v>
      </c>
      <c r="J106" s="522">
        <f>Corrections!H53</f>
        <v>52.065790499999991</v>
      </c>
      <c r="K106" s="522">
        <f>Corrections!I53</f>
        <v>53.571526999999996</v>
      </c>
      <c r="L106" s="522">
        <f>Corrections!J53</f>
        <v>55.077263499999994</v>
      </c>
      <c r="M106" s="522">
        <f>Corrections!K53</f>
        <v>56.582999999999998</v>
      </c>
      <c r="N106" s="522">
        <f>Corrections!L53</f>
        <v>53.439500000000002</v>
      </c>
      <c r="O106" s="522">
        <f>Corrections!M53</f>
        <v>50.295999999999999</v>
      </c>
      <c r="P106" s="522">
        <f>Corrections!N53</f>
        <v>47.152500000000003</v>
      </c>
      <c r="Q106" s="522">
        <f>Corrections!O53</f>
        <v>44.009</v>
      </c>
      <c r="R106" s="522">
        <f>Corrections!P53</f>
        <v>48.724249999999998</v>
      </c>
      <c r="S106" s="522">
        <f>Corrections!Q53</f>
        <v>53.439500000000002</v>
      </c>
      <c r="T106" s="522">
        <f>Corrections!R53</f>
        <v>58.15475</v>
      </c>
      <c r="U106" s="522">
        <f>Corrections!S53</f>
        <v>62.87</v>
      </c>
      <c r="V106" s="522">
        <f>Corrections!T53</f>
        <v>70.728750000000005</v>
      </c>
      <c r="W106" s="522">
        <f>Corrections!U53</f>
        <v>78.587500000000006</v>
      </c>
      <c r="X106" s="522">
        <f>Corrections!V53</f>
        <v>86.446250000000006</v>
      </c>
      <c r="Y106" s="522">
        <f>Corrections!W53</f>
        <v>94.305000000000007</v>
      </c>
      <c r="Z106" s="522">
        <f>Corrections!X53</f>
        <v>84.874500000000012</v>
      </c>
      <c r="AA106" s="522">
        <f>Corrections!Y53</f>
        <v>75.444000000000003</v>
      </c>
      <c r="AB106" s="522">
        <f>Corrections!Z53</f>
        <v>66.013500000000008</v>
      </c>
      <c r="AC106" s="522">
        <f>Corrections!AA53</f>
        <v>56.582999999999998</v>
      </c>
      <c r="AD106" s="522">
        <f>Corrections!AB53</f>
        <v>53.439500000000002</v>
      </c>
      <c r="AE106" s="522">
        <f>Corrections!AC53</f>
        <v>50.295999999999999</v>
      </c>
      <c r="AF106" s="522">
        <f>Corrections!AD53</f>
        <v>47.152500000000003</v>
      </c>
      <c r="AG106" s="522">
        <f>Corrections!AE53</f>
        <v>44.009</v>
      </c>
      <c r="AH106" s="522">
        <f>Corrections!AF53</f>
        <v>44.009</v>
      </c>
      <c r="AI106" s="522">
        <f>Corrections!AG53</f>
        <v>44.009</v>
      </c>
      <c r="AJ106" s="522">
        <f>Corrections!AH53</f>
        <v>44.009</v>
      </c>
      <c r="AK106" s="522">
        <f>Corrections!AI53</f>
        <v>44.009</v>
      </c>
      <c r="AL106" s="57">
        <f t="shared" si="66"/>
        <v>0</v>
      </c>
      <c r="AM106" s="75"/>
    </row>
    <row r="107" spans="1:44" s="145" customFormat="1" ht="13.5" thickBot="1">
      <c r="A107" s="43"/>
      <c r="B107" s="456"/>
      <c r="C107" s="1"/>
      <c r="D107" s="458" t="s">
        <v>1659</v>
      </c>
      <c r="E107" s="464"/>
      <c r="F107" s="464"/>
      <c r="G107" s="464"/>
      <c r="H107" s="464"/>
      <c r="I107" s="464"/>
      <c r="J107" s="464"/>
      <c r="K107" s="464"/>
      <c r="L107" s="464"/>
      <c r="M107" s="464"/>
      <c r="N107" s="464"/>
      <c r="O107" s="464"/>
      <c r="P107" s="464"/>
      <c r="Q107" s="464"/>
      <c r="R107" s="464"/>
      <c r="S107" s="464"/>
      <c r="T107" s="464"/>
      <c r="U107" s="654"/>
      <c r="V107" s="654"/>
      <c r="W107" s="654"/>
      <c r="X107" s="654"/>
      <c r="Y107" s="464"/>
      <c r="Z107" s="464"/>
      <c r="AA107" s="464"/>
      <c r="AB107" s="464"/>
      <c r="AC107" s="464"/>
      <c r="AD107" s="464"/>
      <c r="AE107" s="464"/>
      <c r="AF107" s="464"/>
      <c r="AG107" s="464"/>
      <c r="AH107" s="464"/>
      <c r="AI107" s="464"/>
      <c r="AJ107" s="464"/>
      <c r="AK107" s="464"/>
      <c r="AL107" s="57"/>
      <c r="AM107" s="75"/>
    </row>
    <row r="108" spans="1:44" ht="12.95">
      <c r="A108" s="43"/>
      <c r="B108" s="456"/>
      <c r="C108" s="1"/>
      <c r="D108" s="657" t="s">
        <v>1660</v>
      </c>
      <c r="E108" s="653">
        <f>E109+E110</f>
        <v>13574.282568208118</v>
      </c>
      <c r="F108" s="653">
        <f t="shared" ref="F108:AF108" si="85">F109+F110</f>
        <v>13500.57098877737</v>
      </c>
      <c r="G108" s="653">
        <f t="shared" si="85"/>
        <v>13697.544291501712</v>
      </c>
      <c r="H108" s="653">
        <f>H109+H110</f>
        <v>13932.580685611681</v>
      </c>
      <c r="I108" s="653">
        <f t="shared" si="85"/>
        <v>14141.603962852994</v>
      </c>
      <c r="J108" s="653">
        <f t="shared" si="85"/>
        <v>14461.004716828676</v>
      </c>
      <c r="K108" s="653">
        <f t="shared" si="85"/>
        <v>14740.101863815333</v>
      </c>
      <c r="L108" s="653">
        <f t="shared" si="85"/>
        <v>14871.630460769971</v>
      </c>
      <c r="M108" s="653">
        <f>M109+M110</f>
        <v>15320.102414796915</v>
      </c>
      <c r="N108" s="653">
        <f>N109+N110</f>
        <v>15707.0282751374</v>
      </c>
      <c r="O108" s="653">
        <f t="shared" si="85"/>
        <v>15794.266285936159</v>
      </c>
      <c r="P108" s="653">
        <f t="shared" si="85"/>
        <v>15868.411640863436</v>
      </c>
      <c r="Q108" s="653">
        <f t="shared" si="85"/>
        <v>16264.221231225971</v>
      </c>
      <c r="R108" s="653">
        <f t="shared" si="85"/>
        <v>16331.190557888969</v>
      </c>
      <c r="S108" s="653">
        <f t="shared" si="85"/>
        <v>16606.910201008344</v>
      </c>
      <c r="T108" s="653">
        <f t="shared" si="85"/>
        <v>16621.722608779855</v>
      </c>
      <c r="U108" s="653">
        <f t="shared" si="85"/>
        <v>16635.958195986212</v>
      </c>
      <c r="V108" s="653">
        <f t="shared" si="85"/>
        <v>16494.826659756789</v>
      </c>
      <c r="W108" s="653">
        <f t="shared" si="85"/>
        <v>15703.603013924343</v>
      </c>
      <c r="X108" s="653">
        <f t="shared" si="85"/>
        <v>15530.841999999997</v>
      </c>
      <c r="Y108" s="653">
        <f t="shared" si="85"/>
        <v>15278.812</v>
      </c>
      <c r="Z108" s="653">
        <f t="shared" si="85"/>
        <v>14831.718000000001</v>
      </c>
      <c r="AA108" s="653">
        <f t="shared" si="85"/>
        <v>14749.918</v>
      </c>
      <c r="AB108" s="653">
        <f t="shared" si="85"/>
        <v>14958.057000000001</v>
      </c>
      <c r="AC108" s="653">
        <f t="shared" si="85"/>
        <v>15115.327000000001</v>
      </c>
      <c r="AD108" s="653">
        <f t="shared" si="85"/>
        <v>15197.739000000001</v>
      </c>
      <c r="AE108" s="653">
        <f t="shared" si="85"/>
        <v>15458.085000000001</v>
      </c>
      <c r="AF108" s="653">
        <f t="shared" si="85"/>
        <v>15420.721000000001</v>
      </c>
      <c r="AG108" s="653">
        <f t="shared" ref="AG108:AH108" si="86">AG109+AG110</f>
        <v>15421.023999999999</v>
      </c>
      <c r="AH108" s="653">
        <f t="shared" si="86"/>
        <v>15369.018000000002</v>
      </c>
      <c r="AI108" s="653">
        <f t="shared" ref="AI108:AJ108" si="87">AI109+AI110</f>
        <v>13238.507</v>
      </c>
      <c r="AJ108" s="653">
        <f t="shared" si="87"/>
        <v>14501.171999999999</v>
      </c>
      <c r="AK108" s="653">
        <f t="shared" ref="AK108" si="88">AK109+AK110</f>
        <v>14480.385</v>
      </c>
      <c r="AL108" s="57">
        <f t="shared" ref="AL108:AL109" si="89">IFERROR((AK108-AJ108)/AJ108, "NA")</f>
        <v>-1.4334703429487248E-3</v>
      </c>
      <c r="AM108" s="1"/>
      <c r="AN108"/>
      <c r="AO108"/>
      <c r="AP108"/>
      <c r="AQ108"/>
      <c r="AR108"/>
    </row>
    <row r="109" spans="1:44" s="145" customFormat="1" ht="12.95">
      <c r="A109" s="43"/>
      <c r="B109" s="456"/>
      <c r="C109" s="1"/>
      <c r="D109" s="662" t="s">
        <v>1661</v>
      </c>
      <c r="E109" s="532">
        <f>'[7]EIA_Output QBtu'!G56/TbtuToQBtu</f>
        <v>13514.99</v>
      </c>
      <c r="F109" s="532">
        <f>'[7]EIA_Output QBtu'!H56/TbtuToQBtu</f>
        <v>13432.467000000001</v>
      </c>
      <c r="G109" s="532">
        <f>'[7]EIA_Output QBtu'!I56/TbtuToQBtu</f>
        <v>13618.953000000001</v>
      </c>
      <c r="H109" s="532">
        <f>'[7]EIA_Output QBtu'!J56/TbtuToQBtu</f>
        <v>13932.580685611681</v>
      </c>
      <c r="I109" s="532">
        <f>'[7]EIA_Output QBtu'!K56/TbtuToQBtu</f>
        <v>14141.603962852994</v>
      </c>
      <c r="J109" s="532">
        <f>'[7]EIA_Output QBtu'!L56/TbtuToQBtu</f>
        <v>14461.004716828676</v>
      </c>
      <c r="K109" s="532">
        <f>'[7]EIA_Output QBtu'!M56/TbtuToQBtu</f>
        <v>14740.101863815333</v>
      </c>
      <c r="L109" s="532">
        <f>'[7]EIA_Output QBtu'!N56/TbtuToQBtu</f>
        <v>14871.630460769971</v>
      </c>
      <c r="M109" s="532">
        <f>'[7]EIA_Output QBtu'!O56/TbtuToQBtu</f>
        <v>15320.102414796915</v>
      </c>
      <c r="N109" s="532">
        <f>'[7]EIA_Output QBtu'!P56/TbtuToQBtu</f>
        <v>15707.0282751374</v>
      </c>
      <c r="O109" s="532">
        <f>'[7]EIA_Output QBtu'!Q56/TbtuToQBtu</f>
        <v>15794.266285936159</v>
      </c>
      <c r="P109" s="532">
        <f>'[7]EIA_Output QBtu'!R56/TbtuToQBtu</f>
        <v>15868.411640863436</v>
      </c>
      <c r="Q109" s="532">
        <f>'[7]EIA_Output QBtu'!S56/TbtuToQBtu</f>
        <v>16264.221231225971</v>
      </c>
      <c r="R109" s="532">
        <f>'[7]EIA_Output QBtu'!T56/TbtuToQBtu</f>
        <v>16331.190557888969</v>
      </c>
      <c r="S109" s="532">
        <f>'[7]EIA_Output QBtu'!U56/TbtuToQBtu</f>
        <v>16606.910201008344</v>
      </c>
      <c r="T109" s="532">
        <f>'[7]EIA_Output QBtu'!V56/TbtuToQBtu</f>
        <v>16621.722608779855</v>
      </c>
      <c r="U109" s="532">
        <f>'[7]EIA_Output QBtu'!W56/TbtuToQBtu</f>
        <v>16635.958195986212</v>
      </c>
      <c r="V109" s="532">
        <f>'[7]EIA_Output QBtu'!X56/TbtuToQBtu</f>
        <v>16494.826659756789</v>
      </c>
      <c r="W109" s="532">
        <f>'[7]EIA_Output QBtu'!Y56/TbtuToQBtu</f>
        <v>15703.603013924343</v>
      </c>
      <c r="X109" s="532">
        <f>'[7]EIA_Output QBtu'!Z56/TbtuToQBtu</f>
        <v>15530.841999999997</v>
      </c>
      <c r="Y109" s="532">
        <f>'[7]EIA_Output QBtu'!AA56/TbtuToQBtu</f>
        <v>15278.812</v>
      </c>
      <c r="Z109" s="532">
        <f>'[7]EIA_Output QBtu'!AB56/TbtuToQBtu</f>
        <v>14831.718000000001</v>
      </c>
      <c r="AA109" s="532">
        <f>'[7]EIA_Output QBtu'!AC56/TbtuToQBtu</f>
        <v>14749.918</v>
      </c>
      <c r="AB109" s="532">
        <f>'[7]EIA_Output QBtu'!AD56/TbtuToQBtu</f>
        <v>14958.057000000001</v>
      </c>
      <c r="AC109" s="532">
        <f>'[7]EIA_Output QBtu'!AE56/TbtuToQBtu</f>
        <v>15115.327000000001</v>
      </c>
      <c r="AD109" s="532">
        <f>'[7]EIA_Output QBtu'!AF56/TbtuToQBtu</f>
        <v>15197.739000000001</v>
      </c>
      <c r="AE109" s="532">
        <f>'[7]EIA_Output QBtu'!AG56/TbtuToQBtu</f>
        <v>15458.085000000001</v>
      </c>
      <c r="AF109" s="532">
        <f>'[7]EIA_Output QBtu'!AH56/TbtuToQBtu</f>
        <v>15420.721000000001</v>
      </c>
      <c r="AG109" s="532">
        <f>'[7]EIA_Output QBtu'!AI56/TbtuToQBtu</f>
        <v>15421.023999999999</v>
      </c>
      <c r="AH109" s="532">
        <f>'[7]EIA_Output QBtu'!AJ56/TbtuToQBtu</f>
        <v>15369.018000000002</v>
      </c>
      <c r="AI109" s="532">
        <f>'[7]EIA_Output QBtu'!AK56/TbtuToQBtu</f>
        <v>13238.507</v>
      </c>
      <c r="AJ109" s="532">
        <f>'[7]EIA_Output QBtu'!AL56/TbtuToQBtu</f>
        <v>14501.171999999999</v>
      </c>
      <c r="AK109" s="532">
        <f>'[7]EIA_Output QBtu'!AM56/TbtuToQBtu</f>
        <v>14480.385</v>
      </c>
      <c r="AL109" s="57">
        <f t="shared" si="89"/>
        <v>-1.4334703429487248E-3</v>
      </c>
      <c r="AM109" s="75"/>
    </row>
    <row r="110" spans="1:44" ht="13.5" thickBot="1">
      <c r="A110" s="43"/>
      <c r="B110" s="456"/>
      <c r="C110" s="1"/>
      <c r="D110" s="663" t="s">
        <v>1662</v>
      </c>
      <c r="E110" s="522">
        <f>Corrections!C8</f>
        <v>59.292568208118979</v>
      </c>
      <c r="F110" s="522">
        <f>Corrections!D8</f>
        <v>68.103988777369921</v>
      </c>
      <c r="G110" s="522">
        <f>Corrections!E8</f>
        <v>78.591291501711424</v>
      </c>
      <c r="H110" s="522"/>
      <c r="I110" s="522"/>
      <c r="J110" s="522"/>
      <c r="K110" s="522"/>
      <c r="L110" s="522"/>
      <c r="M110" s="522"/>
      <c r="N110" s="522"/>
      <c r="O110" s="522"/>
      <c r="P110" s="522"/>
      <c r="Q110" s="522"/>
      <c r="R110" s="522"/>
      <c r="S110" s="522"/>
      <c r="T110" s="522"/>
      <c r="U110" s="522"/>
      <c r="V110" s="522"/>
      <c r="W110" s="522"/>
      <c r="X110" s="522"/>
      <c r="Y110" s="522"/>
      <c r="Z110" s="522"/>
      <c r="AA110" s="522"/>
      <c r="AB110" s="522"/>
      <c r="AC110" s="522"/>
      <c r="AD110" s="522"/>
      <c r="AE110" s="522"/>
      <c r="AF110" s="522"/>
      <c r="AG110" s="522"/>
      <c r="AH110" s="522"/>
      <c r="AI110" s="522"/>
      <c r="AJ110" s="522"/>
      <c r="AK110" s="522"/>
      <c r="AL110" s="57"/>
      <c r="AM110" s="1"/>
      <c r="AN110"/>
      <c r="AO110"/>
      <c r="AP110"/>
      <c r="AQ110"/>
      <c r="AR110"/>
    </row>
    <row r="111" spans="1:44" ht="13.5" thickBot="1">
      <c r="A111" s="43"/>
      <c r="B111" s="456"/>
      <c r="C111" s="1"/>
      <c r="D111" s="458" t="s">
        <v>1663</v>
      </c>
      <c r="E111" s="464"/>
      <c r="F111" s="464"/>
      <c r="G111" s="464"/>
      <c r="H111" s="464"/>
      <c r="I111" s="464"/>
      <c r="J111" s="464"/>
      <c r="K111" s="464"/>
      <c r="L111" s="464"/>
      <c r="M111" s="46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57"/>
      <c r="AM111" s="1"/>
      <c r="AN111"/>
      <c r="AO111"/>
      <c r="AP111"/>
      <c r="AQ111"/>
      <c r="AR111"/>
    </row>
    <row r="112" spans="1:44" ht="12.95">
      <c r="A112" s="43"/>
      <c r="B112" s="456"/>
      <c r="C112" s="1"/>
      <c r="D112" s="657" t="s">
        <v>1660</v>
      </c>
      <c r="E112" s="653">
        <f>E113+E114</f>
        <v>185.91429600590578</v>
      </c>
      <c r="F112" s="653">
        <f t="shared" ref="F112:AF112" si="90">F113+F114</f>
        <v>194.70375539108969</v>
      </c>
      <c r="G112" s="653">
        <f t="shared" si="90"/>
        <v>195.05882594187352</v>
      </c>
      <c r="H112" s="653">
        <f t="shared" si="90"/>
        <v>177.04579271139008</v>
      </c>
      <c r="I112" s="653">
        <f t="shared" si="90"/>
        <v>190.39786800525917</v>
      </c>
      <c r="J112" s="653">
        <f t="shared" si="90"/>
        <v>198.10710994656262</v>
      </c>
      <c r="K112" s="653">
        <f t="shared" si="90"/>
        <v>198.6109440219121</v>
      </c>
      <c r="L112" s="653">
        <f t="shared" si="90"/>
        <v>210.04407857297315</v>
      </c>
      <c r="M112" s="653">
        <f t="shared" si="90"/>
        <v>197.604907120353</v>
      </c>
      <c r="N112" s="653">
        <f t="shared" si="90"/>
        <v>150.24884622895564</v>
      </c>
      <c r="O112" s="653">
        <f t="shared" si="90"/>
        <v>148.65199207083398</v>
      </c>
      <c r="P112" s="653">
        <f t="shared" si="90"/>
        <v>291.87223269601344</v>
      </c>
      <c r="Q112" s="653">
        <f t="shared" si="90"/>
        <v>305.23906833905966</v>
      </c>
      <c r="R112" s="653">
        <f t="shared" si="90"/>
        <v>318.91511637470978</v>
      </c>
      <c r="S112" s="653">
        <f t="shared" si="90"/>
        <v>364.51484808932554</v>
      </c>
      <c r="T112" s="653">
        <f t="shared" si="90"/>
        <v>347.37681033506647</v>
      </c>
      <c r="U112" s="653">
        <f t="shared" si="90"/>
        <v>364.13512572342307</v>
      </c>
      <c r="V112" s="653">
        <f t="shared" si="90"/>
        <v>291.45995503479281</v>
      </c>
      <c r="W112" s="653">
        <f t="shared" si="90"/>
        <v>232.58317664310408</v>
      </c>
      <c r="X112" s="653">
        <f t="shared" si="90"/>
        <v>224.67700000000002</v>
      </c>
      <c r="Y112" s="653">
        <f t="shared" si="90"/>
        <v>242.96499999999997</v>
      </c>
      <c r="Z112" s="653">
        <f t="shared" si="90"/>
        <v>237.54599999999996</v>
      </c>
      <c r="AA112" s="653">
        <f t="shared" si="90"/>
        <v>235.64100000000002</v>
      </c>
      <c r="AB112" s="653">
        <f t="shared" si="90"/>
        <v>245.01400000000001</v>
      </c>
      <c r="AC112" s="653">
        <f t="shared" si="90"/>
        <v>195.83899999999997</v>
      </c>
      <c r="AD112" s="653">
        <f t="shared" si="90"/>
        <v>240.31800000000004</v>
      </c>
      <c r="AE112" s="653">
        <f t="shared" si="90"/>
        <v>243.95599999999999</v>
      </c>
      <c r="AF112" s="653">
        <f t="shared" si="90"/>
        <v>245.88299999999998</v>
      </c>
      <c r="AG112" s="653">
        <f t="shared" ref="AG112:AH112" si="91">AG113+AG114</f>
        <v>250.69499999999994</v>
      </c>
      <c r="AH112" s="653">
        <f t="shared" si="91"/>
        <v>247.81700000000004</v>
      </c>
      <c r="AI112" s="653">
        <f t="shared" ref="AI112:AJ112" si="92">AI113+AI114</f>
        <v>250.11600000000001</v>
      </c>
      <c r="AJ112" s="653">
        <f t="shared" si="92"/>
        <v>245.47299999999998</v>
      </c>
      <c r="AK112" s="653">
        <f t="shared" ref="AK112" si="93">AK113+AK114</f>
        <v>245.12099999999998</v>
      </c>
      <c r="AL112" s="57">
        <f t="shared" ref="AL112:AL113" si="94">IFERROR((AK112-AJ112)/AJ112, "NA")</f>
        <v>-1.4339662610552031E-3</v>
      </c>
      <c r="AM112" s="1"/>
      <c r="AN112"/>
      <c r="AO112"/>
      <c r="AP112"/>
      <c r="AQ112"/>
      <c r="AR112"/>
    </row>
    <row r="113" spans="2:44" ht="12.95">
      <c r="B113" s="456"/>
      <c r="C113" s="1"/>
      <c r="D113" s="662" t="s">
        <v>1661</v>
      </c>
      <c r="E113" s="532">
        <f>'[7]EIA_Output QBtu'!G33/TbtuToQBtu</f>
        <v>184.38499999999999</v>
      </c>
      <c r="F113" s="532">
        <f>'[7]EIA_Output QBtu'!H33/TbtuToQBtu</f>
        <v>192.31700000000001</v>
      </c>
      <c r="G113" s="532">
        <f>'[7]EIA_Output QBtu'!I33/TbtuToQBtu</f>
        <v>193.10900000000001</v>
      </c>
      <c r="H113" s="532">
        <f>'[7]EIA_Output QBtu'!J33/TbtuToQBtu</f>
        <v>177.04579271139008</v>
      </c>
      <c r="I113" s="532">
        <f>'[7]EIA_Output QBtu'!K33/TbtuToQBtu</f>
        <v>190.39786800525917</v>
      </c>
      <c r="J113" s="532">
        <f>'[7]EIA_Output QBtu'!L33/TbtuToQBtu</f>
        <v>198.10710994656262</v>
      </c>
      <c r="K113" s="532">
        <f>'[7]EIA_Output QBtu'!M33/TbtuToQBtu</f>
        <v>198.6109440219121</v>
      </c>
      <c r="L113" s="532">
        <f>'[7]EIA_Output QBtu'!N33/TbtuToQBtu</f>
        <v>210.04407857297315</v>
      </c>
      <c r="M113" s="532">
        <f>'[7]EIA_Output QBtu'!O33/TbtuToQBtu</f>
        <v>197.604907120353</v>
      </c>
      <c r="N113" s="532">
        <f>'[7]EIA_Output QBtu'!P33/TbtuToQBtu</f>
        <v>150.24884622895564</v>
      </c>
      <c r="O113" s="532">
        <f>'[7]EIA_Output QBtu'!Q33/TbtuToQBtu</f>
        <v>148.65199207083398</v>
      </c>
      <c r="P113" s="532">
        <f>'[7]EIA_Output QBtu'!R33/TbtuToQBtu</f>
        <v>291.87223269601344</v>
      </c>
      <c r="Q113" s="532">
        <f>'[7]EIA_Output QBtu'!S33/TbtuToQBtu</f>
        <v>305.23906833905966</v>
      </c>
      <c r="R113" s="532">
        <f>'[7]EIA_Output QBtu'!T33/TbtuToQBtu</f>
        <v>318.91511637470978</v>
      </c>
      <c r="S113" s="532">
        <f>'[7]EIA_Output QBtu'!U33/TbtuToQBtu</f>
        <v>364.51484808932554</v>
      </c>
      <c r="T113" s="532">
        <f>'[7]EIA_Output QBtu'!V33/TbtuToQBtu</f>
        <v>347.37681033506647</v>
      </c>
      <c r="U113" s="532">
        <f>'[7]EIA_Output QBtu'!W33/TbtuToQBtu</f>
        <v>364.13512572342307</v>
      </c>
      <c r="V113" s="532">
        <f>'[7]EIA_Output QBtu'!X33/TbtuToQBtu</f>
        <v>291.45995503479281</v>
      </c>
      <c r="W113" s="532">
        <f>'[7]EIA_Output QBtu'!Y33/TbtuToQBtu</f>
        <v>232.58317664310408</v>
      </c>
      <c r="X113" s="532">
        <f>'[7]EIA_Output QBtu'!Z33/TbtuToQBtu</f>
        <v>224.67700000000002</v>
      </c>
      <c r="Y113" s="532">
        <f>'[7]EIA_Output QBtu'!AA33/TbtuToQBtu</f>
        <v>242.96499999999997</v>
      </c>
      <c r="Z113" s="532">
        <f>'[7]EIA_Output QBtu'!AB33/TbtuToQBtu</f>
        <v>237.54599999999996</v>
      </c>
      <c r="AA113" s="532">
        <f>'[7]EIA_Output QBtu'!AC33/TbtuToQBtu</f>
        <v>235.64100000000002</v>
      </c>
      <c r="AB113" s="532">
        <f>'[7]EIA_Output QBtu'!AD33/TbtuToQBtu</f>
        <v>245.01400000000001</v>
      </c>
      <c r="AC113" s="532">
        <f>'[7]EIA_Output QBtu'!AE33/TbtuToQBtu</f>
        <v>195.83899999999997</v>
      </c>
      <c r="AD113" s="532">
        <f>'[7]EIA_Output QBtu'!AF33/TbtuToQBtu</f>
        <v>240.31800000000004</v>
      </c>
      <c r="AE113" s="532">
        <f>'[7]EIA_Output QBtu'!AG33/TbtuToQBtu</f>
        <v>243.95599999999999</v>
      </c>
      <c r="AF113" s="532">
        <f>'[7]EIA_Output QBtu'!AH33/TbtuToQBtu</f>
        <v>245.88299999999998</v>
      </c>
      <c r="AG113" s="532">
        <f>'[7]EIA_Output QBtu'!AI33/TbtuToQBtu</f>
        <v>250.69499999999994</v>
      </c>
      <c r="AH113" s="532">
        <f>'[7]EIA_Output QBtu'!AJ33/TbtuToQBtu</f>
        <v>247.81700000000004</v>
      </c>
      <c r="AI113" s="532">
        <f>'[7]EIA_Output QBtu'!AK33/TbtuToQBtu</f>
        <v>250.11600000000001</v>
      </c>
      <c r="AJ113" s="532">
        <f>'[7]EIA_Output QBtu'!AL33/TbtuToQBtu</f>
        <v>245.47299999999998</v>
      </c>
      <c r="AK113" s="532">
        <f>'[7]EIA_Output QBtu'!AM33/TbtuToQBtu</f>
        <v>245.12099999999998</v>
      </c>
      <c r="AL113" s="57">
        <f t="shared" si="94"/>
        <v>-1.4339662610552031E-3</v>
      </c>
      <c r="AM113" s="1"/>
      <c r="AN113"/>
      <c r="AO113"/>
      <c r="AP113"/>
      <c r="AQ113"/>
      <c r="AR113"/>
    </row>
    <row r="114" spans="2:44" ht="13.5" thickBot="1">
      <c r="B114" s="456"/>
      <c r="C114" s="1"/>
      <c r="D114" s="663" t="s">
        <v>1662</v>
      </c>
      <c r="E114" s="522">
        <f>Corrections!C9</f>
        <v>1.5292960059058021</v>
      </c>
      <c r="F114" s="522">
        <f>Corrections!D9</f>
        <v>2.3867553910896904</v>
      </c>
      <c r="G114" s="522">
        <f>Corrections!E9</f>
        <v>1.9498259418735089</v>
      </c>
      <c r="H114" s="522"/>
      <c r="I114" s="522"/>
      <c r="J114" s="522"/>
      <c r="K114" s="522"/>
      <c r="L114" s="522"/>
      <c r="M114" s="522"/>
      <c r="N114" s="522"/>
      <c r="O114" s="522"/>
      <c r="P114" s="522"/>
      <c r="Q114" s="522"/>
      <c r="R114" s="522"/>
      <c r="S114" s="522"/>
      <c r="T114" s="522"/>
      <c r="U114" s="522"/>
      <c r="V114" s="522"/>
      <c r="W114" s="522"/>
      <c r="X114" s="522"/>
      <c r="Y114" s="522"/>
      <c r="Z114" s="522"/>
      <c r="AA114" s="522"/>
      <c r="AB114" s="522"/>
      <c r="AC114" s="522"/>
      <c r="AD114" s="522"/>
      <c r="AE114" s="522"/>
      <c r="AF114" s="522"/>
      <c r="AG114" s="522"/>
      <c r="AH114" s="522"/>
      <c r="AI114" s="522"/>
      <c r="AJ114" s="522"/>
      <c r="AK114" s="522"/>
      <c r="AL114" s="57"/>
      <c r="AM114" s="1"/>
      <c r="AN114"/>
      <c r="AO114"/>
      <c r="AP114"/>
      <c r="AQ114"/>
      <c r="AR114"/>
    </row>
    <row r="115" spans="2:44" ht="13.5" thickBot="1">
      <c r="B115" s="456"/>
      <c r="C115" s="1"/>
      <c r="D115" s="458" t="s">
        <v>1664</v>
      </c>
      <c r="E115" s="464"/>
      <c r="F115" s="464"/>
      <c r="G115" s="464"/>
      <c r="H115" s="464"/>
      <c r="I115" s="464"/>
      <c r="J115" s="464"/>
      <c r="K115" s="464"/>
      <c r="L115" s="464"/>
      <c r="M115" s="46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57"/>
      <c r="AM115" s="1"/>
      <c r="AN115"/>
      <c r="AO115"/>
      <c r="AP115"/>
      <c r="AQ115"/>
      <c r="AR115"/>
    </row>
    <row r="116" spans="2:44" ht="12.95">
      <c r="B116" s="456"/>
      <c r="C116" s="1"/>
      <c r="D116" s="657" t="s">
        <v>1660</v>
      </c>
      <c r="E116" s="653">
        <f>E117+E118</f>
        <v>111.6161357859752</v>
      </c>
      <c r="F116" s="653">
        <f t="shared" ref="F116:AF116" si="95">F117+F118</f>
        <v>85.676255831540388</v>
      </c>
      <c r="G116" s="653">
        <f t="shared" si="95"/>
        <v>79.919882556415075</v>
      </c>
      <c r="H116" s="653">
        <f t="shared" si="95"/>
        <v>29.176463196927415</v>
      </c>
      <c r="I116" s="653">
        <f t="shared" si="95"/>
        <v>24.939340561744736</v>
      </c>
      <c r="J116" s="653">
        <f t="shared" si="95"/>
        <v>17.920836724761557</v>
      </c>
      <c r="K116" s="653">
        <f t="shared" si="95"/>
        <v>26.362539002754506</v>
      </c>
      <c r="L116" s="653">
        <f t="shared" si="95"/>
        <v>42.370030377055478</v>
      </c>
      <c r="M116" s="653">
        <f t="shared" si="95"/>
        <v>38.61318942273185</v>
      </c>
      <c r="N116" s="653">
        <f t="shared" si="95"/>
        <v>28.151271813645288</v>
      </c>
      <c r="O116" s="653">
        <f t="shared" si="95"/>
        <v>44.073913053005924</v>
      </c>
      <c r="P116" s="653">
        <f t="shared" si="95"/>
        <v>37.031276280550429</v>
      </c>
      <c r="Q116" s="653">
        <f t="shared" si="95"/>
        <v>44.566582114968881</v>
      </c>
      <c r="R116" s="653">
        <f t="shared" si="95"/>
        <v>58.956839896320879</v>
      </c>
      <c r="S116" s="653">
        <f t="shared" si="95"/>
        <v>43.771724142328104</v>
      </c>
      <c r="T116" s="653">
        <f t="shared" si="95"/>
        <v>44.624756465080345</v>
      </c>
      <c r="U116" s="653">
        <f t="shared" si="95"/>
        <v>47.093751610365629</v>
      </c>
      <c r="V116" s="653">
        <f t="shared" si="95"/>
        <v>58.264768348416823</v>
      </c>
      <c r="W116" s="653">
        <f t="shared" si="95"/>
        <v>42.567808292554766</v>
      </c>
      <c r="X116" s="653">
        <f t="shared" si="95"/>
        <v>49.014000000000003</v>
      </c>
      <c r="Y116" s="653">
        <f t="shared" si="95"/>
        <v>48.513999999999996</v>
      </c>
      <c r="Z116" s="653">
        <f t="shared" si="95"/>
        <v>41.138999999999996</v>
      </c>
      <c r="AA116" s="653">
        <f t="shared" si="95"/>
        <v>36.048000000000002</v>
      </c>
      <c r="AB116" s="653">
        <f t="shared" si="95"/>
        <v>37.211000000000006</v>
      </c>
      <c r="AC116" s="653">
        <f t="shared" si="95"/>
        <v>50.192999999999991</v>
      </c>
      <c r="AD116" s="653">
        <f t="shared" si="95"/>
        <v>350.37399999999997</v>
      </c>
      <c r="AE116" s="653">
        <f t="shared" si="95"/>
        <v>348.887</v>
      </c>
      <c r="AF116" s="653">
        <f t="shared" si="95"/>
        <v>335.62100000000004</v>
      </c>
      <c r="AG116" s="653">
        <f t="shared" ref="AG116:AH116" si="96">AG117+AG118</f>
        <v>340.92100000000005</v>
      </c>
      <c r="AH116" s="653">
        <f t="shared" si="96"/>
        <v>343.12099999999992</v>
      </c>
      <c r="AI116" s="653">
        <f t="shared" ref="AI116:AJ116" si="97">AI117+AI118</f>
        <v>345.09699999999998</v>
      </c>
      <c r="AJ116" s="653">
        <f t="shared" si="97"/>
        <v>347.94100000000003</v>
      </c>
      <c r="AK116" s="653">
        <f t="shared" ref="AK116" si="98">AK117+AK118</f>
        <v>347.44200000000001</v>
      </c>
      <c r="AL116" s="57">
        <f t="shared" ref="AL116:AL117" si="99">IFERROR((AK116-AJ116)/AJ116, "NA")</f>
        <v>-1.4341511922999117E-3</v>
      </c>
      <c r="AM116" s="1"/>
      <c r="AN116"/>
      <c r="AO116"/>
      <c r="AP116"/>
      <c r="AQ116"/>
      <c r="AR116"/>
    </row>
    <row r="117" spans="2:44" ht="12.95">
      <c r="B117" s="456"/>
      <c r="C117" s="1"/>
      <c r="D117" s="662" t="s">
        <v>1661</v>
      </c>
      <c r="E117" s="532">
        <f>'[7]EIA_Output QBtu'!G19/TbtuToQBtu</f>
        <v>110.69799999999999</v>
      </c>
      <c r="F117" s="532">
        <f>'[7]EIA_Output QBtu'!H19/TbtuToQBtu</f>
        <v>84.626000000000005</v>
      </c>
      <c r="G117" s="532">
        <f>'[7]EIA_Output QBtu'!I19/TbtuToQBtu</f>
        <v>79.121000000000009</v>
      </c>
      <c r="H117" s="532">
        <f>'[7]EIA_Output QBtu'!J19/TbtuToQBtu</f>
        <v>29.176463196927415</v>
      </c>
      <c r="I117" s="532">
        <f>'[7]EIA_Output QBtu'!K19/TbtuToQBtu</f>
        <v>24.939340561744736</v>
      </c>
      <c r="J117" s="532">
        <f>'[7]EIA_Output QBtu'!L19/TbtuToQBtu</f>
        <v>17.920836724761557</v>
      </c>
      <c r="K117" s="532">
        <f>'[7]EIA_Output QBtu'!M19/TbtuToQBtu</f>
        <v>26.362539002754506</v>
      </c>
      <c r="L117" s="532">
        <f>'[7]EIA_Output QBtu'!N19/TbtuToQBtu</f>
        <v>42.370030377055478</v>
      </c>
      <c r="M117" s="532">
        <f>'[7]EIA_Output QBtu'!O19/TbtuToQBtu</f>
        <v>38.61318942273185</v>
      </c>
      <c r="N117" s="532">
        <f>'[7]EIA_Output QBtu'!P19/TbtuToQBtu</f>
        <v>28.151271813645288</v>
      </c>
      <c r="O117" s="532">
        <f>'[7]EIA_Output QBtu'!Q19/TbtuToQBtu</f>
        <v>44.073913053005924</v>
      </c>
      <c r="P117" s="532">
        <f>'[7]EIA_Output QBtu'!R19/TbtuToQBtu</f>
        <v>37.031276280550429</v>
      </c>
      <c r="Q117" s="532">
        <f>'[7]EIA_Output QBtu'!S19/TbtuToQBtu</f>
        <v>44.566582114968881</v>
      </c>
      <c r="R117" s="532">
        <f>'[7]EIA_Output QBtu'!T19/TbtuToQBtu</f>
        <v>58.956839896320879</v>
      </c>
      <c r="S117" s="532">
        <f>'[7]EIA_Output QBtu'!U19/TbtuToQBtu</f>
        <v>43.771724142328104</v>
      </c>
      <c r="T117" s="532">
        <f>'[7]EIA_Output QBtu'!V19/TbtuToQBtu</f>
        <v>44.624756465080345</v>
      </c>
      <c r="U117" s="532">
        <f>'[7]EIA_Output QBtu'!W19/TbtuToQBtu</f>
        <v>47.093751610365629</v>
      </c>
      <c r="V117" s="532">
        <f>'[7]EIA_Output QBtu'!X19/TbtuToQBtu</f>
        <v>58.264768348416823</v>
      </c>
      <c r="W117" s="532">
        <f>'[7]EIA_Output QBtu'!Y19/TbtuToQBtu</f>
        <v>42.567808292554766</v>
      </c>
      <c r="X117" s="532">
        <f>'[7]EIA_Output QBtu'!Z19/TbtuToQBtu</f>
        <v>49.014000000000003</v>
      </c>
      <c r="Y117" s="532">
        <f>'[7]EIA_Output QBtu'!AA19/TbtuToQBtu</f>
        <v>48.513999999999996</v>
      </c>
      <c r="Z117" s="532">
        <f>'[7]EIA_Output QBtu'!AB19/TbtuToQBtu</f>
        <v>41.138999999999996</v>
      </c>
      <c r="AA117" s="532">
        <f>'[7]EIA_Output QBtu'!AC19/TbtuToQBtu</f>
        <v>36.048000000000002</v>
      </c>
      <c r="AB117" s="532">
        <f>'[7]EIA_Output QBtu'!AD19/TbtuToQBtu</f>
        <v>37.211000000000006</v>
      </c>
      <c r="AC117" s="532">
        <f>'[7]EIA_Output QBtu'!AE19/TbtuToQBtu</f>
        <v>50.192999999999991</v>
      </c>
      <c r="AD117" s="532">
        <f>'[7]EIA_Output QBtu'!AF19/TbtuToQBtu</f>
        <v>350.37399999999997</v>
      </c>
      <c r="AE117" s="532">
        <f>'[7]EIA_Output QBtu'!AG19/TbtuToQBtu</f>
        <v>348.887</v>
      </c>
      <c r="AF117" s="532">
        <f>'[7]EIA_Output QBtu'!AH19/TbtuToQBtu</f>
        <v>335.62100000000004</v>
      </c>
      <c r="AG117" s="532">
        <f>'[7]EIA_Output QBtu'!AI19/TbtuToQBtu</f>
        <v>340.92100000000005</v>
      </c>
      <c r="AH117" s="532">
        <f>'[7]EIA_Output QBtu'!AJ19/TbtuToQBtu</f>
        <v>343.12099999999992</v>
      </c>
      <c r="AI117" s="532">
        <f>'[7]EIA_Output QBtu'!AK19/TbtuToQBtu</f>
        <v>345.09699999999998</v>
      </c>
      <c r="AJ117" s="532">
        <f>'[7]EIA_Output QBtu'!AL19/TbtuToQBtu</f>
        <v>347.94100000000003</v>
      </c>
      <c r="AK117" s="532">
        <f>'[7]EIA_Output QBtu'!AM19/TbtuToQBtu</f>
        <v>347.44200000000001</v>
      </c>
      <c r="AL117" s="57">
        <f t="shared" si="99"/>
        <v>-1.4341511922999117E-3</v>
      </c>
      <c r="AM117" s="1"/>
      <c r="AN117"/>
      <c r="AO117"/>
      <c r="AP117"/>
      <c r="AQ117"/>
      <c r="AR117"/>
    </row>
    <row r="118" spans="2:44" ht="13.5" thickBot="1">
      <c r="B118" s="456"/>
      <c r="C118" s="1"/>
      <c r="D118" s="663" t="s">
        <v>1662</v>
      </c>
      <c r="E118" s="522">
        <f>Corrections!C10</f>
        <v>0.91813578597521628</v>
      </c>
      <c r="F118" s="522">
        <f>Corrections!D10</f>
        <v>1.05025583154038</v>
      </c>
      <c r="G118" s="522">
        <f>Corrections!E10</f>
        <v>0.79888255641506034</v>
      </c>
      <c r="H118" s="522"/>
      <c r="I118" s="522"/>
      <c r="J118" s="522"/>
      <c r="K118" s="522"/>
      <c r="L118" s="522"/>
      <c r="M118" s="522"/>
      <c r="N118" s="522"/>
      <c r="O118" s="522"/>
      <c r="P118" s="522"/>
      <c r="Q118" s="522"/>
      <c r="R118" s="522"/>
      <c r="S118" s="522"/>
      <c r="T118" s="522"/>
      <c r="U118" s="522"/>
      <c r="V118" s="522"/>
      <c r="W118" s="522"/>
      <c r="X118" s="522"/>
      <c r="Y118" s="522"/>
      <c r="Z118" s="522"/>
      <c r="AA118" s="522"/>
      <c r="AB118" s="522"/>
      <c r="AC118" s="522"/>
      <c r="AD118" s="522"/>
      <c r="AE118" s="522"/>
      <c r="AF118" s="522"/>
      <c r="AG118" s="522"/>
      <c r="AH118" s="522"/>
      <c r="AI118" s="522"/>
      <c r="AJ118" s="522"/>
      <c r="AK118" s="522"/>
      <c r="AL118" s="57"/>
      <c r="AM118" s="1"/>
      <c r="AN118"/>
      <c r="AO118"/>
      <c r="AP118"/>
      <c r="AQ118"/>
      <c r="AR118"/>
    </row>
    <row r="119" spans="2:44" ht="12.95">
      <c r="B119" s="456"/>
      <c r="C119" s="1"/>
      <c r="D119" s="1"/>
      <c r="E119" s="287"/>
      <c r="F119" s="287"/>
      <c r="G119" s="287"/>
      <c r="H119" s="287"/>
      <c r="I119" s="466"/>
      <c r="J119" s="466"/>
      <c r="K119" s="466"/>
      <c r="L119" s="466"/>
      <c r="M119" s="466"/>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57"/>
      <c r="AM119" s="1"/>
      <c r="AN119"/>
      <c r="AO119"/>
      <c r="AP119"/>
      <c r="AQ119"/>
      <c r="AR119"/>
    </row>
    <row r="120" spans="2:44" ht="13.5" thickBot="1">
      <c r="B120" s="456"/>
      <c r="C120" s="1"/>
      <c r="D120" s="5" t="s">
        <v>1665</v>
      </c>
      <c r="E120" s="287"/>
      <c r="F120" s="287"/>
      <c r="G120" s="287"/>
      <c r="H120" s="287"/>
      <c r="I120" s="466"/>
      <c r="J120" s="466"/>
      <c r="K120" s="466"/>
      <c r="L120" s="466"/>
      <c r="M120" s="466"/>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57"/>
      <c r="AM120" s="1"/>
      <c r="AN120"/>
      <c r="AO120"/>
      <c r="AP120"/>
      <c r="AQ120"/>
      <c r="AR120"/>
    </row>
    <row r="121" spans="2:44" ht="12.95">
      <c r="B121" s="456"/>
      <c r="C121" s="1"/>
      <c r="D121" s="657" t="s">
        <v>1666</v>
      </c>
      <c r="E121" s="653">
        <f>E122-E123</f>
        <v>1105.5138515995866</v>
      </c>
      <c r="F121" s="653">
        <f t="shared" ref="F121:V121" si="100">F122-F123</f>
        <v>1057.8854839105218</v>
      </c>
      <c r="G121" s="653">
        <f t="shared" si="100"/>
        <v>1035.5408471397625</v>
      </c>
      <c r="H121" s="653">
        <f t="shared" si="100"/>
        <v>996.98227062933768</v>
      </c>
      <c r="I121" s="653">
        <f t="shared" si="100"/>
        <v>980.17125226567896</v>
      </c>
      <c r="J121" s="653">
        <f t="shared" si="100"/>
        <v>972.1698277772573</v>
      </c>
      <c r="K121" s="653">
        <f t="shared" si="100"/>
        <v>1053.1641975430043</v>
      </c>
      <c r="L121" s="653">
        <f t="shared" si="100"/>
        <v>1061.1738389024224</v>
      </c>
      <c r="M121" s="653">
        <f t="shared" si="100"/>
        <v>1035.789643791959</v>
      </c>
      <c r="N121" s="653">
        <f t="shared" si="100"/>
        <v>991.33075760126269</v>
      </c>
      <c r="O121" s="653">
        <f t="shared" si="100"/>
        <v>1011.7034372899376</v>
      </c>
      <c r="P121" s="653">
        <f t="shared" si="100"/>
        <v>1188.8289219438229</v>
      </c>
      <c r="Q121" s="653">
        <f t="shared" si="100"/>
        <v>1055.160164237968</v>
      </c>
      <c r="R121" s="653">
        <f t="shared" si="100"/>
        <v>1062.583227681426</v>
      </c>
      <c r="S121" s="653">
        <f t="shared" si="100"/>
        <v>1144.8322706353722</v>
      </c>
      <c r="T121" s="653">
        <f t="shared" si="100"/>
        <v>1129.7462881474539</v>
      </c>
      <c r="U121" s="653">
        <f t="shared" si="100"/>
        <v>1181.4984888363504</v>
      </c>
      <c r="V121" s="653">
        <f t="shared" si="100"/>
        <v>1145.8559764498209</v>
      </c>
      <c r="W121" s="653">
        <f t="shared" ref="W121:AB121" si="101">W122-W123</f>
        <v>1081.9934001671768</v>
      </c>
      <c r="X121" s="653">
        <f t="shared" si="101"/>
        <v>1001.0325444753072</v>
      </c>
      <c r="Y121" s="653">
        <f t="shared" si="101"/>
        <v>1107.2281179715806</v>
      </c>
      <c r="Z121" s="653">
        <f t="shared" si="101"/>
        <v>1238.9677608672785</v>
      </c>
      <c r="AA121" s="653">
        <f t="shared" si="101"/>
        <v>1134.9496101202799</v>
      </c>
      <c r="AB121" s="653">
        <f t="shared" si="101"/>
        <v>1149.935917145192</v>
      </c>
      <c r="AC121" s="653">
        <f>AC122-AC123</f>
        <v>1285.7768692017291</v>
      </c>
      <c r="AD121" s="653">
        <f>AD122-AD123</f>
        <v>1032.6750796294348</v>
      </c>
      <c r="AE121" s="653">
        <f>AE122-AE123</f>
        <v>960.84723178693844</v>
      </c>
      <c r="AF121" s="653">
        <f>AF122-AF123</f>
        <v>931.93896845806046</v>
      </c>
      <c r="AG121" s="653">
        <f t="shared" ref="AG121:AH121" si="102">AG122-AG123</f>
        <v>1087.9623230467391</v>
      </c>
      <c r="AH121" s="653">
        <f t="shared" si="102"/>
        <v>1078.9566172655975</v>
      </c>
      <c r="AI121" s="653">
        <f t="shared" ref="AI121:AJ121" si="103">AI122-AI123</f>
        <v>935.64714171799005</v>
      </c>
      <c r="AJ121" s="653">
        <f t="shared" si="103"/>
        <v>953.91960015831023</v>
      </c>
      <c r="AK121" s="653">
        <f t="shared" ref="AK121" si="104">AK122-AK123</f>
        <v>1008.9336111554181</v>
      </c>
      <c r="AL121" s="57">
        <f t="shared" ref="AL121:AL123" si="105">IFERROR((AK121-AJ121)/AJ121, "NA")</f>
        <v>5.7671538553121154E-2</v>
      </c>
      <c r="AM121" s="1"/>
      <c r="AN121"/>
      <c r="AO121"/>
      <c r="AP121"/>
      <c r="AQ121"/>
      <c r="AR121"/>
    </row>
    <row r="122" spans="2:44" ht="12.95">
      <c r="B122" s="456"/>
      <c r="C122" s="1"/>
      <c r="D122" s="662" t="s">
        <v>1667</v>
      </c>
      <c r="E122" s="641">
        <f>[8]Summary!B$9</f>
        <v>1128.1754593376818</v>
      </c>
      <c r="F122" s="641">
        <f>[8]Summary!C$9</f>
        <v>1078.6351047438552</v>
      </c>
      <c r="G122" s="641">
        <f>[8]Summary!D$9</f>
        <v>1052.5402774969054</v>
      </c>
      <c r="H122" s="641">
        <f>[8]Summary!E$9</f>
        <v>1013.0051813436233</v>
      </c>
      <c r="I122" s="641">
        <f>[8]Summary!F$9</f>
        <v>988.7910040513932</v>
      </c>
      <c r="J122" s="641">
        <f>[8]Summary!G$9</f>
        <v>987.17558253916206</v>
      </c>
      <c r="K122" s="641">
        <f>[8]Summary!H$9</f>
        <v>1072.6481290906233</v>
      </c>
      <c r="L122" s="641">
        <f>[8]Summary!I$9</f>
        <v>1078.2446948548034</v>
      </c>
      <c r="M122" s="641">
        <f>[8]Summary!J$9</f>
        <v>1055.8275051014828</v>
      </c>
      <c r="N122" s="641">
        <f>[8]Summary!K$9</f>
        <v>1007.3661504584055</v>
      </c>
      <c r="O122" s="641">
        <f>[8]Summary!L$9</f>
        <v>1028.4740283613662</v>
      </c>
      <c r="P122" s="641">
        <f>[8]Summary!M$9</f>
        <v>1200.7142796819182</v>
      </c>
      <c r="Q122" s="641">
        <f>[8]Summary!N$9</f>
        <v>1062.0713880474918</v>
      </c>
      <c r="R122" s="641">
        <f>[8]Summary!O$9</f>
        <v>1064.7068562528545</v>
      </c>
      <c r="S122" s="641">
        <f>[8]Summary!P$9</f>
        <v>1147.960850397277</v>
      </c>
      <c r="T122" s="641">
        <f>[8]Summary!Q$9</f>
        <v>1131.988913147454</v>
      </c>
      <c r="U122" s="641">
        <f>[8]Summary!R$9</f>
        <v>1193.6619209792075</v>
      </c>
      <c r="V122" s="641">
        <f>[8]Summary!S$9</f>
        <v>1157.5750443069637</v>
      </c>
      <c r="W122" s="641">
        <f>[8]Summary!T$9</f>
        <v>1089.6979335005101</v>
      </c>
      <c r="X122" s="641">
        <f>[8]Summary!U$9</f>
        <v>1004.2472510229262</v>
      </c>
      <c r="Y122" s="641">
        <f>[8]Summary!V$9</f>
        <v>1111.0427995191997</v>
      </c>
      <c r="Z122" s="641">
        <f>[8]Summary!W$9</f>
        <v>1241.9326858672785</v>
      </c>
      <c r="AA122" s="641">
        <f>[8]Summary!X$9</f>
        <v>1137.6180148821848</v>
      </c>
      <c r="AB122" s="641">
        <f>[8]Summary!Y$9</f>
        <v>1152.3585623832871</v>
      </c>
      <c r="AC122" s="641">
        <f>[8]Summary!Z$9</f>
        <v>1288.0893942017292</v>
      </c>
      <c r="AD122" s="641">
        <f>[8]Summary!AA$9</f>
        <v>1033.9685070103872</v>
      </c>
      <c r="AE122" s="641">
        <f>[8]Summary!AB$9</f>
        <v>961.69657226312893</v>
      </c>
      <c r="AF122" s="641">
        <f>[8]Summary!AC$9</f>
        <v>932.54254941044144</v>
      </c>
      <c r="AG122" s="641">
        <f>[8]Summary!AD$9</f>
        <v>1088.4290164991201</v>
      </c>
      <c r="AH122" s="641">
        <f>[8]Summary!AE$9</f>
        <v>1079.2785178608356</v>
      </c>
      <c r="AI122" s="641">
        <f>[8]Summary!AF$9</f>
        <v>935.92263651135227</v>
      </c>
      <c r="AJ122" s="641">
        <f>[8]Summary!AG$9</f>
        <v>954.22705767853574</v>
      </c>
      <c r="AK122" s="641">
        <f>[8]Summary!AH$9</f>
        <v>1009.2410686756436</v>
      </c>
      <c r="AL122" s="57">
        <f t="shared" si="105"/>
        <v>5.7652956447228794E-2</v>
      </c>
      <c r="AM122" s="1"/>
      <c r="AN122"/>
      <c r="AO122"/>
      <c r="AP122"/>
      <c r="AQ122"/>
      <c r="AR122"/>
    </row>
    <row r="123" spans="2:44" ht="13.5" thickBot="1">
      <c r="B123" s="456"/>
      <c r="C123" s="1"/>
      <c r="D123" s="663" t="s">
        <v>1649</v>
      </c>
      <c r="E123" s="522">
        <f>Corrections!C59</f>
        <v>22.661607738095238</v>
      </c>
      <c r="F123" s="522">
        <f>Corrections!D59</f>
        <v>20.749620833333331</v>
      </c>
      <c r="G123" s="522">
        <f>Corrections!E59</f>
        <v>16.99943035714286</v>
      </c>
      <c r="H123" s="522">
        <f>Corrections!F59</f>
        <v>16.022910714285718</v>
      </c>
      <c r="I123" s="522">
        <f>Corrections!G59</f>
        <v>8.6197517857142856</v>
      </c>
      <c r="J123" s="522">
        <f>Corrections!H59</f>
        <v>15.005754761904761</v>
      </c>
      <c r="K123" s="522">
        <f>Corrections!I59</f>
        <v>19.483931547619047</v>
      </c>
      <c r="L123" s="522">
        <f>Corrections!J59</f>
        <v>17.070855952380953</v>
      </c>
      <c r="M123" s="522">
        <f>Corrections!K59</f>
        <v>20.037861309523809</v>
      </c>
      <c r="N123" s="522">
        <f>Corrections!L59</f>
        <v>16.035392857142856</v>
      </c>
      <c r="O123" s="522">
        <f>Corrections!M59</f>
        <v>16.770591071428573</v>
      </c>
      <c r="P123" s="522">
        <f>Corrections!N59</f>
        <v>11.885357738095239</v>
      </c>
      <c r="Q123" s="522">
        <f>Corrections!O59</f>
        <v>6.9112238095238085</v>
      </c>
      <c r="R123" s="522">
        <f>Corrections!P59</f>
        <v>2.1236285714285712</v>
      </c>
      <c r="S123" s="522">
        <f>Corrections!Q59</f>
        <v>3.1285797619047622</v>
      </c>
      <c r="T123" s="522">
        <f>Corrections!R59</f>
        <v>2.2426249999999999</v>
      </c>
      <c r="U123" s="522">
        <f>Corrections!S59</f>
        <v>12.163432142857143</v>
      </c>
      <c r="V123" s="522">
        <f>Corrections!T59</f>
        <v>11.719067857142859</v>
      </c>
      <c r="W123" s="522">
        <f>Corrections!U59</f>
        <v>7.7045333333333339</v>
      </c>
      <c r="X123" s="522">
        <f>Corrections!V59</f>
        <v>3.2147065476190479</v>
      </c>
      <c r="Y123" s="522">
        <f>Corrections!W59</f>
        <v>3.8146815476190481</v>
      </c>
      <c r="Z123" s="522">
        <f>Corrections!X59</f>
        <v>2.964925</v>
      </c>
      <c r="AA123" s="522">
        <f>Corrections!Y59</f>
        <v>2.6684047619047617</v>
      </c>
      <c r="AB123" s="522">
        <f>Corrections!Z59</f>
        <v>2.4226452380952384</v>
      </c>
      <c r="AC123" s="522">
        <f>Corrections!AA59</f>
        <v>2.3125249999999999</v>
      </c>
      <c r="AD123" s="522">
        <f>Corrections!AB59</f>
        <v>1.2934273809523809</v>
      </c>
      <c r="AE123" s="522">
        <f>Corrections!AC59</f>
        <v>0.84934047619047615</v>
      </c>
      <c r="AF123" s="522">
        <f>Corrections!AD59</f>
        <v>0.60358095238095244</v>
      </c>
      <c r="AG123" s="522">
        <f>Corrections!AE59</f>
        <v>0.46669345238095239</v>
      </c>
      <c r="AH123" s="522">
        <f>Corrections!AF59</f>
        <v>0.32190059523809522</v>
      </c>
      <c r="AI123" s="522">
        <f>Corrections!AG59</f>
        <v>0.27549479336220994</v>
      </c>
      <c r="AJ123" s="522">
        <f>Corrections!AH59</f>
        <v>0.30745752022551404</v>
      </c>
      <c r="AK123" s="522">
        <f>Corrections!AI59</f>
        <v>0.30745752022551404</v>
      </c>
      <c r="AL123" s="57">
        <f t="shared" si="105"/>
        <v>0</v>
      </c>
      <c r="AM123" s="1"/>
      <c r="AN123"/>
      <c r="AO123"/>
      <c r="AP123"/>
      <c r="AQ123"/>
      <c r="AR123"/>
    </row>
    <row r="124" spans="2:44" ht="12.95">
      <c r="B124" s="456"/>
      <c r="C124" s="1"/>
      <c r="D124" s="1"/>
      <c r="E124" s="287"/>
      <c r="F124" s="287"/>
      <c r="G124" s="287"/>
      <c r="H124" s="287"/>
      <c r="I124" s="466"/>
      <c r="J124" s="466"/>
      <c r="K124" s="466"/>
      <c r="L124" s="468"/>
      <c r="M124" s="468"/>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57"/>
      <c r="AM124" s="1"/>
      <c r="AN124"/>
      <c r="AO124"/>
      <c r="AP124"/>
      <c r="AQ124"/>
      <c r="AR124"/>
    </row>
    <row r="125" spans="2:44" ht="13.5" thickBot="1">
      <c r="B125" s="456"/>
      <c r="C125" s="1"/>
      <c r="D125" s="5" t="s">
        <v>1668</v>
      </c>
      <c r="E125" s="287"/>
      <c r="F125" s="287"/>
      <c r="G125" s="287"/>
      <c r="H125" s="287"/>
      <c r="I125" s="466"/>
      <c r="J125" s="466"/>
      <c r="K125" s="466"/>
      <c r="L125" s="468"/>
      <c r="M125" s="468"/>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57"/>
      <c r="AM125" s="1"/>
      <c r="AN125"/>
      <c r="AO125"/>
      <c r="AP125"/>
      <c r="AQ125"/>
      <c r="AR125"/>
    </row>
    <row r="126" spans="2:44" ht="12.95">
      <c r="B126" s="456"/>
      <c r="C126" s="1"/>
      <c r="D126" s="657" t="s">
        <v>1669</v>
      </c>
      <c r="E126" s="653">
        <f>E127-E128</f>
        <v>924.01869900000008</v>
      </c>
      <c r="F126" s="653">
        <f t="shared" ref="F126:AF126" si="106">F127-F128</f>
        <v>955.41734999999994</v>
      </c>
      <c r="G126" s="653">
        <f t="shared" si="106"/>
        <v>935.93878799999993</v>
      </c>
      <c r="H126" s="653">
        <f t="shared" si="106"/>
        <v>994.78081799999995</v>
      </c>
      <c r="I126" s="653">
        <f t="shared" si="106"/>
        <v>1008.4816820000001</v>
      </c>
      <c r="J126" s="653">
        <f t="shared" si="106"/>
        <v>1042.501471</v>
      </c>
      <c r="K126" s="653">
        <f t="shared" si="106"/>
        <v>1082.5117500000001</v>
      </c>
      <c r="L126" s="653">
        <f t="shared" si="106"/>
        <v>1075.880095</v>
      </c>
      <c r="M126" s="653">
        <f t="shared" si="106"/>
        <v>1130.1091200000001</v>
      </c>
      <c r="N126" s="653">
        <f t="shared" si="106"/>
        <v>1144.9230680000001</v>
      </c>
      <c r="O126" s="653">
        <f t="shared" si="106"/>
        <v>1192.4464909999999</v>
      </c>
      <c r="P126" s="653">
        <f t="shared" si="106"/>
        <v>1201.6065930000002</v>
      </c>
      <c r="Q126" s="653">
        <f t="shared" si="106"/>
        <v>1265.1798690000001</v>
      </c>
      <c r="R126" s="653">
        <f t="shared" si="106"/>
        <v>1275.8239099999998</v>
      </c>
      <c r="S126" s="653">
        <f t="shared" si="106"/>
        <v>1291.9815779999999</v>
      </c>
      <c r="T126" s="653">
        <f t="shared" si="106"/>
        <v>1359.2271070000002</v>
      </c>
      <c r="U126" s="653">
        <f t="shared" si="106"/>
        <v>1351.5200360000001</v>
      </c>
      <c r="V126" s="653">
        <f t="shared" si="106"/>
        <v>1392.240996</v>
      </c>
      <c r="W126" s="653">
        <f t="shared" si="106"/>
        <v>1380.6617450000001</v>
      </c>
      <c r="X126" s="653">
        <f t="shared" si="106"/>
        <v>1364.758153</v>
      </c>
      <c r="Y126" s="653">
        <f t="shared" si="106"/>
        <v>1445.6833948661408</v>
      </c>
      <c r="Z126" s="653">
        <f t="shared" si="106"/>
        <v>1422.721892969158</v>
      </c>
      <c r="AA126" s="653">
        <f t="shared" si="106"/>
        <v>1374.3365857484939</v>
      </c>
      <c r="AB126" s="653">
        <f t="shared" si="106"/>
        <v>1394.426687369496</v>
      </c>
      <c r="AC126" s="653">
        <f t="shared" si="106"/>
        <v>1406.5648320264895</v>
      </c>
      <c r="AD126" s="653">
        <f t="shared" si="106"/>
        <v>1403.1594936096537</v>
      </c>
      <c r="AE126" s="653">
        <f t="shared" si="106"/>
        <v>1409.7279324305819</v>
      </c>
      <c r="AF126" s="653">
        <f t="shared" si="106"/>
        <v>1376.855802943903</v>
      </c>
      <c r="AG126" s="653">
        <f t="shared" ref="AG126:AH126" si="107">AG127-AG128</f>
        <v>1466.3607810678025</v>
      </c>
      <c r="AH126" s="653">
        <f t="shared" si="107"/>
        <v>1436.7105606658743</v>
      </c>
      <c r="AI126" s="653">
        <f t="shared" ref="AI126:AJ126" si="108">AI127-AI128</f>
        <v>1460.8411683519457</v>
      </c>
      <c r="AJ126" s="653">
        <f t="shared" si="108"/>
        <v>1464.9154607128403</v>
      </c>
      <c r="AK126" s="653">
        <f t="shared" ref="AK126" si="109">AK127-AK128</f>
        <v>1501.0014174763287</v>
      </c>
      <c r="AL126" s="57">
        <f t="shared" ref="AL126:AL131" si="110">IFERROR((AK126-AJ126)/AJ126, "NA")</f>
        <v>2.4633473897482574E-2</v>
      </c>
      <c r="AM126" s="1"/>
      <c r="AN126"/>
      <c r="AO126"/>
      <c r="AP126"/>
      <c r="AQ126"/>
      <c r="AR126"/>
    </row>
    <row r="127" spans="2:44" ht="12.95">
      <c r="B127" s="456"/>
      <c r="C127" s="1"/>
      <c r="D127" s="662" t="s">
        <v>1670</v>
      </c>
      <c r="E127" s="532">
        <f>INDEX('[10]Table 7.6'!$B$13:$H$100,MATCH(E$5,'[10]Table 7.6'!$A$13:$A$100,0),MATCH($C76,'[10]Table 7.6'!$B$11:$H$11,0))*Factors!$J$61</f>
        <v>924.01869900000008</v>
      </c>
      <c r="F127" s="532">
        <f>INDEX('[10]Table 7.6'!$B$13:$H$100,MATCH(F$5,'[10]Table 7.6'!$A$13:$A$100,0),MATCH($C76,'[10]Table 7.6'!$B$11:$H$11,0))*Factors!$J$61</f>
        <v>955.41734999999994</v>
      </c>
      <c r="G127" s="532">
        <f>INDEX('[10]Table 7.6'!$B$13:$H$100,MATCH(G$5,'[10]Table 7.6'!$A$13:$A$100,0),MATCH($C76,'[10]Table 7.6'!$B$11:$H$11,0))*Factors!$J$61</f>
        <v>935.93878799999993</v>
      </c>
      <c r="H127" s="532">
        <f>INDEX('[10]Table 7.6'!$B$13:$H$100,MATCH(H$5,'[10]Table 7.6'!$A$13:$A$100,0),MATCH($C76,'[10]Table 7.6'!$B$11:$H$11,0))*Factors!$J$61</f>
        <v>994.78081799999995</v>
      </c>
      <c r="I127" s="532">
        <f>INDEX('[10]Table 7.6'!$B$13:$H$100,MATCH(I$5,'[10]Table 7.6'!$A$13:$A$100,0),MATCH($C76,'[10]Table 7.6'!$B$11:$H$11,0))*Factors!$J$61</f>
        <v>1008.4816820000001</v>
      </c>
      <c r="J127" s="532">
        <f>INDEX('[10]Table 7.6'!$B$13:$H$100,MATCH(J$5,'[10]Table 7.6'!$A$13:$A$100,0),MATCH($C76,'[10]Table 7.6'!$B$11:$H$11,0))*Factors!$J$61</f>
        <v>1042.501471</v>
      </c>
      <c r="K127" s="532">
        <f>INDEX('[10]Table 7.6'!$B$13:$H$100,MATCH(K$5,'[10]Table 7.6'!$A$13:$A$100,0),MATCH($C76,'[10]Table 7.6'!$B$11:$H$11,0))*Factors!$J$61</f>
        <v>1082.5117500000001</v>
      </c>
      <c r="L127" s="532">
        <f>INDEX('[10]Table 7.6'!$B$13:$H$100,MATCH(L$5,'[10]Table 7.6'!$A$13:$A$100,0),MATCH($C76,'[10]Table 7.6'!$B$11:$H$11,0))*Factors!$J$61</f>
        <v>1075.880095</v>
      </c>
      <c r="M127" s="532">
        <f>INDEX('[10]Table 7.6'!$B$13:$H$100,MATCH(M$5,'[10]Table 7.6'!$A$13:$A$100,0),MATCH($C76,'[10]Table 7.6'!$B$11:$H$11,0))*Factors!$J$61</f>
        <v>1130.1091200000001</v>
      </c>
      <c r="N127" s="532">
        <f>INDEX('[10]Table 7.6'!$B$13:$H$100,MATCH(N$5,'[10]Table 7.6'!$A$13:$A$100,0),MATCH($C76,'[10]Table 7.6'!$B$11:$H$11,0))*Factors!$J$61</f>
        <v>1144.9230680000001</v>
      </c>
      <c r="O127" s="532">
        <f>INDEX('[10]Table 7.6'!$B$13:$H$100,MATCH(O$5,'[10]Table 7.6'!$A$13:$A$100,0),MATCH($C76,'[10]Table 7.6'!$B$11:$H$11,0))*Factors!$J$61</f>
        <v>1192.4464909999999</v>
      </c>
      <c r="P127" s="532">
        <f>INDEX('[10]Table 7.6'!$B$13:$H$100,MATCH(P$5,'[10]Table 7.6'!$A$13:$A$100,0),MATCH($C76,'[10]Table 7.6'!$B$11:$H$11,0))*Factors!$J$61</f>
        <v>1201.6065930000002</v>
      </c>
      <c r="Q127" s="532">
        <f>INDEX('[10]Table 7.6'!$B$13:$H$100,MATCH(Q$5,'[10]Table 7.6'!$A$13:$A$100,0),MATCH($C76,'[10]Table 7.6'!$B$11:$H$11,0))*Factors!$J$61</f>
        <v>1265.1798690000001</v>
      </c>
      <c r="R127" s="532">
        <f>INDEX('[10]Table 7.6'!$B$13:$H$100,MATCH(R$5,'[10]Table 7.6'!$A$13:$A$100,0),MATCH($C76,'[10]Table 7.6'!$B$11:$H$11,0))*Factors!$J$61</f>
        <v>1275.8239099999998</v>
      </c>
      <c r="S127" s="532">
        <f>INDEX('[10]Table 7.6'!$B$13:$H$100,MATCH(S$5,'[10]Table 7.6'!$A$13:$A$100,0),MATCH($C76,'[10]Table 7.6'!$B$11:$H$11,0))*Factors!$J$61</f>
        <v>1291.9815779999999</v>
      </c>
      <c r="T127" s="532">
        <f>INDEX('[10]Table 7.6'!$B$13:$H$100,MATCH(T$5,'[10]Table 7.6'!$A$13:$A$100,0),MATCH($C76,'[10]Table 7.6'!$B$11:$H$11,0))*Factors!$J$61</f>
        <v>1359.2271070000002</v>
      </c>
      <c r="U127" s="532">
        <f>INDEX('[10]Table 7.6'!$B$13:$H$100,MATCH(U$5,'[10]Table 7.6'!$A$13:$A$100,0),MATCH($C76,'[10]Table 7.6'!$B$11:$H$11,0))*Factors!$J$61</f>
        <v>1351.5200360000001</v>
      </c>
      <c r="V127" s="532">
        <f>INDEX('[10]Table 7.6'!$B$13:$H$100,MATCH(V$5,'[10]Table 7.6'!$A$13:$A$100,0),MATCH($C76,'[10]Table 7.6'!$B$11:$H$11,0))*Factors!$J$61</f>
        <v>1392.240996</v>
      </c>
      <c r="W127" s="532">
        <f>INDEX('[10]Table 7.6'!$B$13:$H$100,MATCH(W$5,'[10]Table 7.6'!$A$13:$A$100,0),MATCH($C76,'[10]Table 7.6'!$B$11:$H$11,0))*Factors!$J$61</f>
        <v>1380.6617450000001</v>
      </c>
      <c r="X127" s="532">
        <f>INDEX('[10]Table 7.6'!$B$13:$H$100,MATCH(X$5,'[10]Table 7.6'!$A$13:$A$100,0),MATCH($C76,'[10]Table 7.6'!$B$11:$H$11,0))*Factors!$J$61</f>
        <v>1364.758153</v>
      </c>
      <c r="Y127" s="532">
        <f>INDEX('[10]Table 7.6'!$B$13:$H$100,MATCH(Y$5,'[10]Table 7.6'!$A$13:$A$100,0),MATCH($C76,'[10]Table 7.6'!$B$11:$H$11,0))*Factors!$J$61</f>
        <v>1445.7084029999999</v>
      </c>
      <c r="Z127" s="532">
        <f>INDEX('[10]Table 7.6'!$B$13:$H$100,MATCH(Z$5,'[10]Table 7.6'!$A$13:$A$100,0),MATCH($C76,'[10]Table 7.6'!$B$11:$H$11,0))*Factors!$J$61</f>
        <v>1422.801093</v>
      </c>
      <c r="AA127" s="532">
        <f>INDEX('[10]Table 7.6'!$B$13:$H$100,MATCH(AA$5,'[10]Table 7.6'!$A$13:$A$100,0),MATCH($C76,'[10]Table 7.6'!$B$11:$H$11,0))*Factors!$J$61</f>
        <v>1374.5147080000002</v>
      </c>
      <c r="AB127" s="532">
        <f>INDEX('[10]Table 7.6'!$B$13:$H$100,MATCH(AB$5,'[10]Table 7.6'!$A$13:$A$100,0),MATCH($C76,'[10]Table 7.6'!$B$11:$H$11,0))*Factors!$J$61</f>
        <v>1394.8121289999999</v>
      </c>
      <c r="AC127" s="532">
        <f>INDEX('[10]Table 7.6'!$B$13:$H$100,MATCH(AC$5,'[10]Table 7.6'!$A$13:$A$100,0),MATCH($C76,'[10]Table 7.6'!$B$11:$H$11,0))*Factors!$J$61</f>
        <v>1407.2083110000001</v>
      </c>
      <c r="AD127" s="532">
        <f>INDEX('[10]Table 7.6'!$B$13:$H$100,MATCH(AD$5,'[10]Table 7.6'!$A$13:$A$100,0),MATCH($C76,'[10]Table 7.6'!$B$11:$H$11,0))*Factors!$J$61</f>
        <v>1404.096499</v>
      </c>
      <c r="AE127" s="532">
        <f>INDEX('[10]Table 7.6'!$B$13:$H$100,MATCH(AE$5,'[10]Table 7.6'!$A$13:$A$100,0),MATCH($C76,'[10]Table 7.6'!$B$11:$H$11,0))*Factors!$J$61</f>
        <v>1411.0581529999999</v>
      </c>
      <c r="AF127" s="532">
        <f>INDEX('[10]Table 7.6'!$B$13:$H$100,MATCH(AF$5,'[10]Table 7.6'!$A$13:$A$100,0),MATCH($C76,'[10]Table 7.6'!$B$11:$H$11,0))*Factors!$J$61</f>
        <v>1378.6477420000001</v>
      </c>
      <c r="AG127" s="532">
        <f>INDEX('[10]Table 7.6'!$B$13:$H$100,MATCH(AG$5,'[10]Table 7.6'!$A$13:$A$100,0),MATCH($C76,'[10]Table 7.6'!$B$11:$H$11,0))*Factors!$J$61</f>
        <v>1469.0930589999998</v>
      </c>
      <c r="AH127" s="532">
        <f>INDEX('[10]Table 7.6'!$B$13:$H$100,MATCH(AH$5,'[10]Table 7.6'!$A$13:$A$100,0),MATCH($C76,'[10]Table 7.6'!$B$11:$H$11,0))*Factors!$J$61</f>
        <v>1440.2889090000001</v>
      </c>
      <c r="AI127" s="532">
        <f>INDEX('[10]Table 7.6'!$B$13:$H$100,MATCH(AI$5,'[10]Table 7.6'!$A$13:$A$100,0),MATCH($C76,'[10]Table 7.6'!$B$11:$H$11,0))*Factors!$J$61</f>
        <v>1464.6050460000001</v>
      </c>
      <c r="AJ127" s="532">
        <f>INDEX('[10]Table 7.6'!$B$13:$H$100,MATCH(AJ$5,'[10]Table 7.6'!$A$13:$A$100,0),MATCH($C76,'[10]Table 7.6'!$B$11:$H$11,0))*Factors!$J$61</f>
        <v>1470.4868819999999</v>
      </c>
      <c r="AK127" s="532">
        <f>INDEX('[10]Table 7.6'!$B$13:$H$100,MATCH(AK$5,'[10]Table 7.6'!$A$13:$A$100,0),MATCH($C76,'[10]Table 7.6'!$B$11:$H$11,0))*Factors!$J$61</f>
        <v>1509.233162</v>
      </c>
      <c r="AL127" s="57">
        <f t="shared" si="110"/>
        <v>2.6349286399142507E-2</v>
      </c>
      <c r="AM127" s="1"/>
      <c r="AN127"/>
      <c r="AO127"/>
      <c r="AP127"/>
      <c r="AQ127"/>
      <c r="AR127"/>
    </row>
    <row r="128" spans="2:44" ht="12.95">
      <c r="B128" s="456"/>
      <c r="C128" s="1"/>
      <c r="D128" s="662" t="s">
        <v>1671</v>
      </c>
      <c r="E128" s="532">
        <v>0</v>
      </c>
      <c r="F128" s="532">
        <v>0</v>
      </c>
      <c r="G128" s="532">
        <v>0</v>
      </c>
      <c r="H128" s="532">
        <v>0</v>
      </c>
      <c r="I128" s="532">
        <v>0</v>
      </c>
      <c r="J128" s="532">
        <v>0</v>
      </c>
      <c r="K128" s="532">
        <v>0</v>
      </c>
      <c r="L128" s="532">
        <v>0</v>
      </c>
      <c r="M128" s="532">
        <v>0</v>
      </c>
      <c r="N128" s="532">
        <v>0</v>
      </c>
      <c r="O128" s="532">
        <v>0</v>
      </c>
      <c r="P128" s="532">
        <v>0</v>
      </c>
      <c r="Q128" s="532">
        <v>0</v>
      </c>
      <c r="R128" s="532">
        <v>0</v>
      </c>
      <c r="S128" s="532">
        <v>0</v>
      </c>
      <c r="T128" s="532">
        <v>0</v>
      </c>
      <c r="U128" s="532">
        <v>0</v>
      </c>
      <c r="V128" s="532">
        <v>0</v>
      </c>
      <c r="W128" s="532">
        <v>0</v>
      </c>
      <c r="X128" s="532">
        <v>0</v>
      </c>
      <c r="Y128" s="532">
        <f>'[12]Output to CO2FFC'!B6/10^9</f>
        <v>2.5008133859007842E-2</v>
      </c>
      <c r="Z128" s="532">
        <f>'[12]Output to CO2FFC'!C6/10^9</f>
        <v>7.9200030841970359E-2</v>
      </c>
      <c r="AA128" s="532">
        <f>'[12]Output to CO2FFC'!D6/10^9</f>
        <v>0.17812225150619385</v>
      </c>
      <c r="AB128" s="532">
        <f>'[12]Output to CO2FFC'!E6/10^9</f>
        <v>0.38544163050389324</v>
      </c>
      <c r="AC128" s="532">
        <f>'[12]Output to CO2FFC'!F6/10^9</f>
        <v>0.6434789735106422</v>
      </c>
      <c r="AD128" s="532">
        <f>'[12]Output to CO2FFC'!G6/10^9</f>
        <v>0.93700539034629116</v>
      </c>
      <c r="AE128" s="532">
        <f>'[12]Output to CO2FFC'!H6/10^9</f>
        <v>1.3302205694179818</v>
      </c>
      <c r="AF128" s="532">
        <f>'[12]Output to CO2FFC'!I6/10^9</f>
        <v>1.7919390560971764</v>
      </c>
      <c r="AG128" s="532">
        <f>'[12]Output to CO2FFC'!J6/10^9</f>
        <v>2.7322779321973516</v>
      </c>
      <c r="AH128" s="532">
        <f>'[12]Output to CO2FFC'!K6/10^9</f>
        <v>3.578348334125812</v>
      </c>
      <c r="AI128" s="532">
        <f>'[12]Output to CO2FFC'!L6/10^9</f>
        <v>3.7638776480544478</v>
      </c>
      <c r="AJ128" s="532">
        <f>'[12]Output to CO2FFC'!M6/10^9</f>
        <v>5.5714212871595965</v>
      </c>
      <c r="AK128" s="532">
        <f>'[12]Output to CO2FFC'!N6/10^9</f>
        <v>8.2317445236712725</v>
      </c>
      <c r="AL128" s="57">
        <f t="shared" si="110"/>
        <v>0.47749453853775131</v>
      </c>
      <c r="AM128" s="1"/>
      <c r="AN128"/>
      <c r="AO128"/>
      <c r="AP128"/>
      <c r="AQ128"/>
      <c r="AR128"/>
    </row>
    <row r="129" spans="1:44" ht="12.95">
      <c r="A129" s="43"/>
      <c r="B129" s="456"/>
      <c r="C129" s="1"/>
      <c r="D129" s="722" t="s">
        <v>1672</v>
      </c>
      <c r="E129" s="464">
        <f>E130-E131</f>
        <v>838.26310599999999</v>
      </c>
      <c r="F129" s="464">
        <f t="shared" ref="F129:AF129" si="111">F130-F131</f>
        <v>855.24385600000005</v>
      </c>
      <c r="G129" s="464">
        <f t="shared" si="111"/>
        <v>850.00692200000003</v>
      </c>
      <c r="H129" s="464">
        <f t="shared" si="111"/>
        <v>884.74634000000003</v>
      </c>
      <c r="I129" s="464">
        <f t="shared" si="111"/>
        <v>913.10569099999998</v>
      </c>
      <c r="J129" s="464">
        <f t="shared" si="111"/>
        <v>953.11724800000002</v>
      </c>
      <c r="K129" s="464">
        <f t="shared" si="111"/>
        <v>980.06111899999996</v>
      </c>
      <c r="L129" s="464">
        <f t="shared" si="111"/>
        <v>1026.6261050000001</v>
      </c>
      <c r="M129" s="464">
        <f t="shared" si="111"/>
        <v>1077.956919</v>
      </c>
      <c r="N129" s="464">
        <f t="shared" si="111"/>
        <v>1103.8212100000001</v>
      </c>
      <c r="O129" s="464">
        <f t="shared" si="111"/>
        <v>1159.34664</v>
      </c>
      <c r="P129" s="464">
        <f t="shared" si="111"/>
        <v>1190.5178759999999</v>
      </c>
      <c r="Q129" s="464">
        <f t="shared" si="111"/>
        <v>1204.5313130000002</v>
      </c>
      <c r="R129" s="464">
        <f t="shared" si="111"/>
        <v>1198.727601</v>
      </c>
      <c r="S129" s="464">
        <f t="shared" si="111"/>
        <v>1230.4247309999998</v>
      </c>
      <c r="T129" s="464">
        <f t="shared" si="111"/>
        <v>1275.0790200000001</v>
      </c>
      <c r="U129" s="464">
        <f t="shared" si="111"/>
        <v>1299.7436950000001</v>
      </c>
      <c r="V129" s="464">
        <f t="shared" si="111"/>
        <v>1336.315196</v>
      </c>
      <c r="W129" s="464">
        <f t="shared" si="111"/>
        <v>1336.1334850000001</v>
      </c>
      <c r="X129" s="464">
        <f t="shared" si="111"/>
        <v>1306.8525239999999</v>
      </c>
      <c r="Y129" s="464">
        <f t="shared" si="111"/>
        <v>1330.1949507999072</v>
      </c>
      <c r="Z129" s="464">
        <f t="shared" si="111"/>
        <v>1328.0434625239691</v>
      </c>
      <c r="AA129" s="464">
        <f t="shared" si="111"/>
        <v>1327.069762661499</v>
      </c>
      <c r="AB129" s="464">
        <f t="shared" si="111"/>
        <v>1337.0107578887346</v>
      </c>
      <c r="AC129" s="464">
        <f t="shared" si="111"/>
        <v>1352.0447078870275</v>
      </c>
      <c r="AD129" s="464">
        <f t="shared" si="111"/>
        <v>1360.5861731075861</v>
      </c>
      <c r="AE129" s="464">
        <f t="shared" si="111"/>
        <v>1366.9566411936321</v>
      </c>
      <c r="AF129" s="464">
        <f t="shared" si="111"/>
        <v>1352.5714694606888</v>
      </c>
      <c r="AG129" s="464">
        <f t="shared" ref="AG129:AH129" si="112">AG130-AG131</f>
        <v>1381.2726783060828</v>
      </c>
      <c r="AH129" s="464">
        <f t="shared" si="112"/>
        <v>1360.2450817645661</v>
      </c>
      <c r="AI129" s="464">
        <f t="shared" ref="AI129:AJ129" si="113">AI130-AI131</f>
        <v>1286.7753692974022</v>
      </c>
      <c r="AJ129" s="464">
        <f t="shared" si="113"/>
        <v>1327.4563060081482</v>
      </c>
      <c r="AK129" s="464">
        <f t="shared" ref="AK129" si="114">AK130-AK131</f>
        <v>1389.4201522017052</v>
      </c>
      <c r="AL129" s="57">
        <f t="shared" si="110"/>
        <v>4.667863334793379E-2</v>
      </c>
      <c r="AM129" s="1"/>
      <c r="AN129"/>
      <c r="AO129"/>
      <c r="AP129"/>
      <c r="AQ129"/>
      <c r="AR129"/>
    </row>
    <row r="130" spans="1:44" ht="12.95">
      <c r="A130" s="43"/>
      <c r="B130" s="456"/>
      <c r="C130" s="1"/>
      <c r="D130" s="662" t="s">
        <v>1673</v>
      </c>
      <c r="E130" s="532">
        <f>INDEX('[10]Table 7.6'!$B$13:$H$100,MATCH(E$5,'[10]Table 7.6'!$A$13:$A$100,0),MATCH($C77,'[10]Table 7.6'!$B$11:$H$11,0))*Factors!$J$61</f>
        <v>838.26310599999999</v>
      </c>
      <c r="F130" s="532">
        <f>INDEX('[10]Table 7.6'!$B$13:$H$100,MATCH(F$5,'[10]Table 7.6'!$A$13:$A$100,0),MATCH($C77,'[10]Table 7.6'!$B$11:$H$11,0))*Factors!$J$61</f>
        <v>855.24385600000005</v>
      </c>
      <c r="G130" s="532">
        <f>INDEX('[10]Table 7.6'!$B$13:$H$100,MATCH(G$5,'[10]Table 7.6'!$A$13:$A$100,0),MATCH($C77,'[10]Table 7.6'!$B$11:$H$11,0))*Factors!$J$61</f>
        <v>850.00692200000003</v>
      </c>
      <c r="H130" s="532">
        <f>INDEX('[10]Table 7.6'!$B$13:$H$100,MATCH(H$5,'[10]Table 7.6'!$A$13:$A$100,0),MATCH($C77,'[10]Table 7.6'!$B$11:$H$11,0))*Factors!$J$61</f>
        <v>884.74634000000003</v>
      </c>
      <c r="I130" s="532">
        <f>INDEX('[10]Table 7.6'!$B$13:$H$100,MATCH(I$5,'[10]Table 7.6'!$A$13:$A$100,0),MATCH($C77,'[10]Table 7.6'!$B$11:$H$11,0))*Factors!$J$61</f>
        <v>913.10569099999998</v>
      </c>
      <c r="J130" s="532">
        <f>INDEX('[10]Table 7.6'!$B$13:$H$100,MATCH(J$5,'[10]Table 7.6'!$A$13:$A$100,0),MATCH($C77,'[10]Table 7.6'!$B$11:$H$11,0))*Factors!$J$61</f>
        <v>953.11724800000002</v>
      </c>
      <c r="K130" s="532">
        <f>INDEX('[10]Table 7.6'!$B$13:$H$100,MATCH(K$5,'[10]Table 7.6'!$A$13:$A$100,0),MATCH($C77,'[10]Table 7.6'!$B$11:$H$11,0))*Factors!$J$61</f>
        <v>980.06111899999996</v>
      </c>
      <c r="L130" s="532">
        <f>INDEX('[10]Table 7.6'!$B$13:$H$100,MATCH(L$5,'[10]Table 7.6'!$A$13:$A$100,0),MATCH($C77,'[10]Table 7.6'!$B$11:$H$11,0))*Factors!$J$61</f>
        <v>1026.6261050000001</v>
      </c>
      <c r="M130" s="532">
        <f>INDEX('[10]Table 7.6'!$B$13:$H$100,MATCH(M$5,'[10]Table 7.6'!$A$13:$A$100,0),MATCH($C77,'[10]Table 7.6'!$B$11:$H$11,0))*Factors!$J$61</f>
        <v>1077.956919</v>
      </c>
      <c r="N130" s="532">
        <f>INDEX('[10]Table 7.6'!$B$13:$H$100,MATCH(N$5,'[10]Table 7.6'!$A$13:$A$100,0),MATCH($C77,'[10]Table 7.6'!$B$11:$H$11,0))*Factors!$J$61</f>
        <v>1103.8212100000001</v>
      </c>
      <c r="O130" s="532">
        <f>INDEX('[10]Table 7.6'!$B$13:$H$100,MATCH(O$5,'[10]Table 7.6'!$A$13:$A$100,0),MATCH($C77,'[10]Table 7.6'!$B$11:$H$11,0))*Factors!$J$61</f>
        <v>1159.34664</v>
      </c>
      <c r="P130" s="532">
        <f>INDEX('[10]Table 7.6'!$B$13:$H$100,MATCH(P$5,'[10]Table 7.6'!$A$13:$A$100,0),MATCH($C77,'[10]Table 7.6'!$B$11:$H$11,0))*Factors!$J$61</f>
        <v>1190.5178759999999</v>
      </c>
      <c r="Q130" s="532">
        <f>INDEX('[10]Table 7.6'!$B$13:$H$100,MATCH(Q$5,'[10]Table 7.6'!$A$13:$A$100,0),MATCH($C77,'[10]Table 7.6'!$B$11:$H$11,0))*Factors!$J$61</f>
        <v>1204.5313130000002</v>
      </c>
      <c r="R130" s="532">
        <f>INDEX('[10]Table 7.6'!$B$13:$H$100,MATCH(R$5,'[10]Table 7.6'!$A$13:$A$100,0),MATCH($C77,'[10]Table 7.6'!$B$11:$H$11,0))*Factors!$J$61</f>
        <v>1198.727601</v>
      </c>
      <c r="S130" s="532">
        <f>INDEX('[10]Table 7.6'!$B$13:$H$100,MATCH(S$5,'[10]Table 7.6'!$A$13:$A$100,0),MATCH($C77,'[10]Table 7.6'!$B$11:$H$11,0))*Factors!$J$61</f>
        <v>1230.4247309999998</v>
      </c>
      <c r="T130" s="532">
        <f>INDEX('[10]Table 7.6'!$B$13:$H$100,MATCH(T$5,'[10]Table 7.6'!$A$13:$A$100,0),MATCH($C77,'[10]Table 7.6'!$B$11:$H$11,0))*Factors!$J$61</f>
        <v>1275.0790200000001</v>
      </c>
      <c r="U130" s="532">
        <f>INDEX('[10]Table 7.6'!$B$13:$H$100,MATCH(U$5,'[10]Table 7.6'!$A$13:$A$100,0),MATCH($C77,'[10]Table 7.6'!$B$11:$H$11,0))*Factors!$J$61</f>
        <v>1299.7436950000001</v>
      </c>
      <c r="V130" s="532">
        <f>INDEX('[10]Table 7.6'!$B$13:$H$100,MATCH(V$5,'[10]Table 7.6'!$A$13:$A$100,0),MATCH($C77,'[10]Table 7.6'!$B$11:$H$11,0))*Factors!$J$61</f>
        <v>1336.315196</v>
      </c>
      <c r="W130" s="532">
        <f>INDEX('[10]Table 7.6'!$B$13:$H$100,MATCH(W$5,'[10]Table 7.6'!$A$13:$A$100,0),MATCH($C77,'[10]Table 7.6'!$B$11:$H$11,0))*Factors!$J$61</f>
        <v>1336.1334850000001</v>
      </c>
      <c r="X130" s="532">
        <f>INDEX('[10]Table 7.6'!$B$13:$H$100,MATCH(X$5,'[10]Table 7.6'!$A$13:$A$100,0),MATCH($C77,'[10]Table 7.6'!$B$11:$H$11,0))*Factors!$J$61</f>
        <v>1306.8525239999999</v>
      </c>
      <c r="Y130" s="532">
        <f>INDEX('[10]Table 7.6'!$B$13:$H$100,MATCH(Y$5,'[10]Table 7.6'!$A$13:$A$100,0),MATCH($C77,'[10]Table 7.6'!$B$11:$H$11,0))*Factors!$J$61</f>
        <v>1330.1993640000001</v>
      </c>
      <c r="Z130" s="532">
        <f>INDEX('[10]Table 7.6'!$B$13:$H$100,MATCH(Z$5,'[10]Table 7.6'!$A$13:$A$100,0),MATCH($C77,'[10]Table 7.6'!$B$11:$H$11,0))*Factors!$J$61</f>
        <v>1328.0574389999999</v>
      </c>
      <c r="AA130" s="532">
        <f>INDEX('[10]Table 7.6'!$B$13:$H$100,MATCH(AA$5,'[10]Table 7.6'!$A$13:$A$100,0),MATCH($C77,'[10]Table 7.6'!$B$11:$H$11,0))*Factors!$J$61</f>
        <v>1327.1011960000001</v>
      </c>
      <c r="AB130" s="532">
        <f>INDEX('[10]Table 7.6'!$B$13:$H$100,MATCH(AB$5,'[10]Table 7.6'!$A$13:$A$100,0),MATCH($C77,'[10]Table 7.6'!$B$11:$H$11,0))*Factors!$J$61</f>
        <v>1337.0787769999999</v>
      </c>
      <c r="AC130" s="532">
        <f>INDEX('[10]Table 7.6'!$B$13:$H$100,MATCH(AC$5,'[10]Table 7.6'!$A$13:$A$100,0),MATCH($C77,'[10]Table 7.6'!$B$11:$H$11,0))*Factors!$J$61</f>
        <v>1352.158263</v>
      </c>
      <c r="AD130" s="532">
        <f>INDEX('[10]Table 7.6'!$B$13:$H$100,MATCH(AD$5,'[10]Table 7.6'!$A$13:$A$100,0),MATCH($C77,'[10]Table 7.6'!$B$11:$H$11,0))*Factors!$J$61</f>
        <v>1360.7515270000001</v>
      </c>
      <c r="AE130" s="532">
        <f>INDEX('[10]Table 7.6'!$B$13:$H$100,MATCH(AE$5,'[10]Table 7.6'!$A$13:$A$100,0),MATCH($C77,'[10]Table 7.6'!$B$11:$H$11,0))*Factors!$J$61</f>
        <v>1367.191386</v>
      </c>
      <c r="AF130" s="532">
        <f>INDEX('[10]Table 7.6'!$B$13:$H$100,MATCH(AF$5,'[10]Table 7.6'!$A$13:$A$100,0),MATCH($C77,'[10]Table 7.6'!$B$11:$H$11,0))*Factors!$J$61</f>
        <v>1352.887694</v>
      </c>
      <c r="AG130" s="532">
        <f>INDEX('[10]Table 7.6'!$B$13:$H$100,MATCH(AG$5,'[10]Table 7.6'!$A$13:$A$100,0),MATCH($C77,'[10]Table 7.6'!$B$11:$H$11,0))*Factors!$J$61</f>
        <v>1381.7548449999999</v>
      </c>
      <c r="AH130" s="532">
        <f>INDEX('[10]Table 7.6'!$B$13:$H$100,MATCH(AH$5,'[10]Table 7.6'!$A$13:$A$100,0),MATCH($C77,'[10]Table 7.6'!$B$11:$H$11,0))*Factors!$J$61</f>
        <v>1360.8765550000001</v>
      </c>
      <c r="AI130" s="532">
        <f>INDEX('[10]Table 7.6'!$B$13:$H$100,MATCH(AI$5,'[10]Table 7.6'!$A$13:$A$100,0),MATCH($C77,'[10]Table 7.6'!$B$11:$H$11,0))*Factors!$J$61</f>
        <v>1287.4395830000001</v>
      </c>
      <c r="AJ130" s="532">
        <f>INDEX('[10]Table 7.6'!$B$13:$H$100,MATCH(AJ$5,'[10]Table 7.6'!$A$13:$A$100,0),MATCH($C77,'[10]Table 7.6'!$B$11:$H$11,0))*Factors!$J$61</f>
        <v>1328.439498</v>
      </c>
      <c r="AK130" s="532">
        <f>INDEX('[10]Table 7.6'!$B$13:$H$100,MATCH(AK$5,'[10]Table 7.6'!$A$13:$A$100,0),MATCH($C77,'[10]Table 7.6'!$B$11:$H$11,0))*Factors!$J$61</f>
        <v>1390.8728130000002</v>
      </c>
      <c r="AL130" s="57">
        <f t="shared" si="110"/>
        <v>4.6997484713451526E-2</v>
      </c>
      <c r="AM130" s="1"/>
      <c r="AN130"/>
      <c r="AO130"/>
      <c r="AP130"/>
      <c r="AQ130"/>
      <c r="AR130"/>
    </row>
    <row r="131" spans="1:44" ht="13.5" thickBot="1">
      <c r="A131" s="43"/>
      <c r="B131" s="456"/>
      <c r="C131" s="1"/>
      <c r="D131" s="663" t="s">
        <v>1674</v>
      </c>
      <c r="E131" s="723">
        <v>0</v>
      </c>
      <c r="F131" s="723">
        <v>0</v>
      </c>
      <c r="G131" s="723">
        <v>0</v>
      </c>
      <c r="H131" s="723">
        <v>0</v>
      </c>
      <c r="I131" s="723">
        <v>0</v>
      </c>
      <c r="J131" s="723">
        <v>0</v>
      </c>
      <c r="K131" s="723">
        <v>0</v>
      </c>
      <c r="L131" s="723">
        <v>0</v>
      </c>
      <c r="M131" s="723">
        <v>0</v>
      </c>
      <c r="N131" s="723">
        <v>0</v>
      </c>
      <c r="O131" s="723">
        <v>0</v>
      </c>
      <c r="P131" s="723">
        <v>0</v>
      </c>
      <c r="Q131" s="723">
        <v>0</v>
      </c>
      <c r="R131" s="723">
        <v>0</v>
      </c>
      <c r="S131" s="723">
        <v>0</v>
      </c>
      <c r="T131" s="723">
        <v>0</v>
      </c>
      <c r="U131" s="723">
        <v>0</v>
      </c>
      <c r="V131" s="723">
        <v>0</v>
      </c>
      <c r="W131" s="723">
        <v>0</v>
      </c>
      <c r="X131" s="723">
        <v>0</v>
      </c>
      <c r="Y131" s="723">
        <f>'[12]Output to CO2FFC'!B7/10^9</f>
        <v>4.4132000927660899E-3</v>
      </c>
      <c r="Z131" s="723">
        <f>'[12]Output to CO2FFC'!C7/10^9</f>
        <v>1.3976476030935945E-2</v>
      </c>
      <c r="AA131" s="723">
        <f>'[12]Output to CO2FFC'!D7/10^9</f>
        <v>3.1433338501093033E-2</v>
      </c>
      <c r="AB131" s="723">
        <f>'[12]Output to CO2FFC'!E7/10^9</f>
        <v>6.8019111265392923E-2</v>
      </c>
      <c r="AC131" s="723">
        <f>'[12]Output to CO2FFC'!F7/10^9</f>
        <v>0.11355511297246627</v>
      </c>
      <c r="AD131" s="723">
        <f>'[12]Output to CO2FFC'!G7/10^9</f>
        <v>0.16535389241405138</v>
      </c>
      <c r="AE131" s="723">
        <f>'[12]Output to CO2FFC'!H7/10^9</f>
        <v>0.23474480636787914</v>
      </c>
      <c r="AF131" s="723">
        <f>'[12]Output to CO2FFC'!I7/10^9</f>
        <v>0.31622453931126643</v>
      </c>
      <c r="AG131" s="723">
        <f>'[12]Output to CO2FFC'!J7/10^9</f>
        <v>0.48216669391717965</v>
      </c>
      <c r="AH131" s="723">
        <f>'[12]Output to CO2FFC'!K7/10^9</f>
        <v>0.63147323543396683</v>
      </c>
      <c r="AI131" s="723">
        <f>'[12]Output to CO2FFC'!L7/10^9</f>
        <v>0.66421370259784362</v>
      </c>
      <c r="AJ131" s="723">
        <f>'[12]Output to CO2FFC'!M7/10^9</f>
        <v>0.98319199185169348</v>
      </c>
      <c r="AK131" s="723">
        <f>'[12]Output to CO2FFC'!N7/10^9</f>
        <v>1.4526607982949304</v>
      </c>
      <c r="AL131" s="57">
        <f t="shared" si="110"/>
        <v>0.47749453853775137</v>
      </c>
      <c r="AM131" s="1"/>
      <c r="AN131"/>
      <c r="AO131"/>
      <c r="AP131"/>
      <c r="AQ131"/>
      <c r="AR131"/>
    </row>
    <row r="132" spans="1:44" ht="12.95">
      <c r="A132" s="43"/>
      <c r="B132" s="456"/>
      <c r="C132" s="1"/>
      <c r="D132" s="43"/>
      <c r="E132" s="287"/>
      <c r="F132" s="466"/>
      <c r="G132" s="466"/>
      <c r="H132" s="655"/>
      <c r="I132" s="656"/>
      <c r="J132" s="656"/>
      <c r="K132" s="58"/>
      <c r="L132" s="58"/>
      <c r="M132" s="58"/>
      <c r="N132" s="58"/>
      <c r="O132" s="58"/>
      <c r="P132" s="58"/>
      <c r="Q132" s="58"/>
      <c r="R132" s="58"/>
      <c r="S132" s="58"/>
      <c r="T132" s="58"/>
      <c r="U132" s="58"/>
      <c r="V132" s="58"/>
      <c r="W132" s="58"/>
      <c r="X132" s="58"/>
      <c r="Y132" s="58"/>
      <c r="Z132" s="58"/>
      <c r="AA132" s="1"/>
      <c r="AB132" s="1"/>
      <c r="AC132" s="1"/>
      <c r="AD132" s="1"/>
      <c r="AE132" s="1"/>
      <c r="AF132" s="1"/>
      <c r="AG132" s="1"/>
      <c r="AH132" s="1"/>
      <c r="AI132" s="1"/>
      <c r="AJ132" s="1"/>
      <c r="AK132" s="1"/>
      <c r="AL132" s="1"/>
      <c r="AM132" s="1"/>
      <c r="AN132"/>
      <c r="AO132"/>
      <c r="AP132"/>
      <c r="AQ132"/>
      <c r="AR132"/>
    </row>
    <row r="133" spans="1:44" ht="12.95">
      <c r="A133" s="43"/>
      <c r="B133" s="978"/>
      <c r="C133" s="98"/>
      <c r="D133" s="98"/>
      <c r="E133" s="620"/>
      <c r="F133" s="620"/>
      <c r="G133" s="620"/>
      <c r="H133" s="620"/>
      <c r="I133" s="618"/>
      <c r="J133" s="618"/>
      <c r="K133" s="618"/>
      <c r="L133" s="618"/>
      <c r="M133" s="618"/>
      <c r="N133" s="98"/>
      <c r="O133" s="98"/>
      <c r="P133" s="98"/>
      <c r="Q133" s="98"/>
      <c r="R133" s="98"/>
      <c r="S133" s="98"/>
      <c r="T133" s="98"/>
      <c r="U133" s="98"/>
      <c r="V133" s="98"/>
      <c r="W133" s="98"/>
      <c r="X133" s="98"/>
      <c r="Y133" s="98"/>
      <c r="Z133" s="98"/>
      <c r="AA133" s="98"/>
      <c r="AB133" s="98"/>
      <c r="AC133" s="98"/>
      <c r="AD133" s="98"/>
      <c r="AE133" s="647"/>
      <c r="AF133" s="647"/>
      <c r="AG133" s="647"/>
      <c r="AH133" s="647"/>
      <c r="AI133" s="647"/>
      <c r="AJ133" s="647"/>
      <c r="AK133" s="647"/>
      <c r="AL133" s="1"/>
      <c r="AM133" s="1"/>
      <c r="AN133"/>
      <c r="AO133"/>
      <c r="AP133"/>
      <c r="AQ133"/>
      <c r="AR133"/>
    </row>
    <row r="134" spans="1:44" ht="13.5" thickBot="1">
      <c r="A134" s="43"/>
      <c r="B134" s="977" t="s">
        <v>1675</v>
      </c>
      <c r="C134" s="5"/>
      <c r="D134" s="5"/>
      <c r="E134" s="112"/>
      <c r="F134" s="287"/>
      <c r="G134" s="287"/>
      <c r="H134" s="287"/>
      <c r="I134" s="466"/>
      <c r="J134" s="466"/>
      <c r="K134" s="466"/>
      <c r="L134" s="466"/>
      <c r="M134" s="466"/>
      <c r="N134" s="1"/>
      <c r="O134" s="1"/>
      <c r="P134" s="1"/>
      <c r="Q134" s="1"/>
      <c r="R134" s="1"/>
      <c r="S134" s="1"/>
      <c r="T134" s="1"/>
      <c r="U134" s="1"/>
      <c r="V134" s="1"/>
      <c r="W134" s="1"/>
      <c r="X134" s="1"/>
      <c r="Y134" s="1"/>
      <c r="Z134" s="1"/>
      <c r="AA134" s="1"/>
      <c r="AB134" s="1"/>
      <c r="AC134" s="1"/>
      <c r="AD134" s="1"/>
      <c r="AE134" s="650"/>
      <c r="AF134" s="650"/>
      <c r="AG134" s="650"/>
      <c r="AH134" s="650"/>
      <c r="AI134" s="650"/>
      <c r="AJ134" s="650"/>
      <c r="AK134" s="650"/>
      <c r="AL134" s="57"/>
      <c r="AM134" s="1"/>
      <c r="AN134"/>
      <c r="AO134"/>
      <c r="AP134"/>
      <c r="AQ134"/>
      <c r="AR134"/>
    </row>
    <row r="135" spans="1:44" ht="12.95">
      <c r="A135" s="43"/>
      <c r="B135" s="456"/>
      <c r="C135" s="1"/>
      <c r="D135" s="657" t="s">
        <v>1676</v>
      </c>
      <c r="E135" s="1112">
        <f>E30</f>
        <v>1529.3263026540001</v>
      </c>
      <c r="F135" s="1112">
        <f t="shared" ref="F135:AK135" si="115">F30</f>
        <v>1662.5429146240001</v>
      </c>
      <c r="G135" s="1112">
        <f t="shared" si="115"/>
        <v>1774.584744773</v>
      </c>
      <c r="H135" s="1112">
        <f t="shared" si="115"/>
        <v>1703.870114736</v>
      </c>
      <c r="I135" s="1112">
        <f t="shared" si="115"/>
        <v>1911.1828129390001</v>
      </c>
      <c r="J135" s="1112">
        <f t="shared" si="115"/>
        <v>1929.459552923</v>
      </c>
      <c r="K135" s="1112">
        <f t="shared" si="115"/>
        <v>1987.1319279320001</v>
      </c>
      <c r="L135" s="1112">
        <f t="shared" si="115"/>
        <v>2035.4176398889997</v>
      </c>
      <c r="M135" s="1112">
        <f t="shared" si="115"/>
        <v>1953.9419755939998</v>
      </c>
      <c r="N135" s="1112">
        <f t="shared" si="115"/>
        <v>2145.6808347430001</v>
      </c>
      <c r="O135" s="1112">
        <f t="shared" si="115"/>
        <v>2153.0463699279999</v>
      </c>
      <c r="P135" s="1112">
        <f t="shared" si="115"/>
        <v>1947.4696663549998</v>
      </c>
      <c r="Q135" s="1112">
        <f t="shared" si="115"/>
        <v>2088.4931587649999</v>
      </c>
      <c r="R135" s="1112">
        <f t="shared" si="115"/>
        <v>1963.4302249479999</v>
      </c>
      <c r="S135" s="1112">
        <f t="shared" si="115"/>
        <v>2068.8134216240001</v>
      </c>
      <c r="T135" s="1112">
        <f t="shared" si="115"/>
        <v>1941.3347836830001</v>
      </c>
      <c r="U135" s="1112">
        <f t="shared" si="115"/>
        <v>2030.245257243</v>
      </c>
      <c r="V135" s="1112">
        <f t="shared" si="115"/>
        <v>2026.8967288409997</v>
      </c>
      <c r="W135" s="1112">
        <f t="shared" si="115"/>
        <v>1750.339128134</v>
      </c>
      <c r="X135" s="1112">
        <f t="shared" si="115"/>
        <v>1863.969982933</v>
      </c>
      <c r="Y135" s="1112">
        <f t="shared" si="115"/>
        <v>2050.6972163320002</v>
      </c>
      <c r="Z135" s="1112">
        <f t="shared" si="115"/>
        <v>2116.6836242680001</v>
      </c>
      <c r="AA135" s="1112">
        <f t="shared" si="115"/>
        <v>2266.378065633</v>
      </c>
      <c r="AB135" s="1112">
        <f t="shared" si="115"/>
        <v>2450.0035188239999</v>
      </c>
      <c r="AC135" s="1112">
        <f t="shared" si="115"/>
        <v>2320.2033153940001</v>
      </c>
      <c r="AD135" s="1112">
        <f t="shared" si="115"/>
        <v>2456.6038462259999</v>
      </c>
      <c r="AE135" s="1112">
        <f t="shared" si="115"/>
        <v>2479.8433615969998</v>
      </c>
      <c r="AF135" s="1112">
        <f t="shared" si="115"/>
        <v>2500.057941171</v>
      </c>
      <c r="AG135" s="1112">
        <f t="shared" si="115"/>
        <v>2799.8231436239998</v>
      </c>
      <c r="AH135" s="1112">
        <f t="shared" si="115"/>
        <v>2804.2537543660001</v>
      </c>
      <c r="AI135" s="1112">
        <f t="shared" si="115"/>
        <v>2897.3225185609999</v>
      </c>
      <c r="AJ135" s="1112">
        <f t="shared" si="115"/>
        <v>3083.4958338380002</v>
      </c>
      <c r="AK135" s="1112">
        <f t="shared" si="115"/>
        <v>3242.383802931</v>
      </c>
      <c r="AL135" s="57">
        <f t="shared" ref="AL135:AL143" si="116">IFERROR((AK135-AJ135)/AJ135, "NA")</f>
        <v>5.1528517518777822E-2</v>
      </c>
      <c r="AM135" s="1"/>
      <c r="AN135"/>
      <c r="AO135"/>
      <c r="AP135"/>
      <c r="AQ135"/>
      <c r="AR135"/>
    </row>
    <row r="136" spans="1:44" ht="12.95">
      <c r="A136" s="43"/>
      <c r="B136" s="1142"/>
      <c r="C136" s="43"/>
      <c r="D136" s="662" t="s">
        <v>1677</v>
      </c>
      <c r="E136" s="532">
        <f>'[7]EIA_Output QBtu'!G77/TbtuToQBtu</f>
        <v>0</v>
      </c>
      <c r="F136" s="532">
        <f>'[7]EIA_Output QBtu'!H77/TbtuToQBtu</f>
        <v>0</v>
      </c>
      <c r="G136" s="532">
        <f>'[7]EIA_Output QBtu'!I77/TbtuToQBtu</f>
        <v>0</v>
      </c>
      <c r="H136" s="532">
        <f>'[7]EIA_Output QBtu'!J77/TbtuToQBtu</f>
        <v>0</v>
      </c>
      <c r="I136" s="532">
        <f>'[7]EIA_Output QBtu'!K77/TbtuToQBtu</f>
        <v>0</v>
      </c>
      <c r="J136" s="532">
        <f>'[7]EIA_Output QBtu'!L77/TbtuToQBtu</f>
        <v>0</v>
      </c>
      <c r="K136" s="532">
        <f>'[7]EIA_Output QBtu'!M77/TbtuToQBtu</f>
        <v>0</v>
      </c>
      <c r="L136" s="532">
        <f>'[7]EIA_Output QBtu'!N77/TbtuToQBtu</f>
        <v>0</v>
      </c>
      <c r="M136" s="532">
        <f>'[7]EIA_Output QBtu'!O77/TbtuToQBtu</f>
        <v>0</v>
      </c>
      <c r="N136" s="532">
        <f>'[7]EIA_Output QBtu'!P77/TbtuToQBtu</f>
        <v>0</v>
      </c>
      <c r="O136" s="532">
        <f>'[7]EIA_Output QBtu'!Q77/TbtuToQBtu</f>
        <v>0</v>
      </c>
      <c r="P136" s="532">
        <f>'[7]EIA_Output QBtu'!R77/TbtuToQBtu</f>
        <v>0</v>
      </c>
      <c r="Q136" s="532">
        <f>'[7]EIA_Output QBtu'!S77/TbtuToQBtu</f>
        <v>0</v>
      </c>
      <c r="R136" s="532">
        <f>'[7]EIA_Output QBtu'!T77/TbtuToQBtu</f>
        <v>0</v>
      </c>
      <c r="S136" s="532">
        <f>'[7]EIA_Output QBtu'!U77/TbtuToQBtu</f>
        <v>0</v>
      </c>
      <c r="T136" s="532">
        <f>'[7]EIA_Output QBtu'!V77/TbtuToQBtu</f>
        <v>0</v>
      </c>
      <c r="U136" s="532">
        <f>'[7]EIA_Output QBtu'!W77/TbtuToQBtu</f>
        <v>0</v>
      </c>
      <c r="V136" s="532">
        <f>'[7]EIA_Output QBtu'!X77/TbtuToQBtu</f>
        <v>0</v>
      </c>
      <c r="W136" s="532">
        <f>'[7]EIA_Output QBtu'!Y77/TbtuToQBtu</f>
        <v>0</v>
      </c>
      <c r="X136" s="532">
        <f>'[7]EIA_Output QBtu'!Z77/TbtuToQBtu</f>
        <v>0</v>
      </c>
      <c r="Y136" s="532">
        <f>'[7]EIA_Output QBtu'!AA77/TbtuToQBtu</f>
        <v>164.72879862299999</v>
      </c>
      <c r="Z136" s="532">
        <f>'[7]EIA_Output QBtu'!AB77/TbtuToQBtu</f>
        <v>107.13786426</v>
      </c>
      <c r="AA136" s="532">
        <f>'[7]EIA_Output QBtu'!AC77/TbtuToQBtu</f>
        <v>122.273780679</v>
      </c>
      <c r="AB136" s="532">
        <f>'[7]EIA_Output QBtu'!AD77/TbtuToQBtu</f>
        <v>187.55948702399999</v>
      </c>
      <c r="AC136" s="532">
        <f>'[7]EIA_Output QBtu'!AE77/TbtuToQBtu</f>
        <v>186.10896295200001</v>
      </c>
      <c r="AD136" s="532">
        <f>'[7]EIA_Output QBtu'!AF77/TbtuToQBtu</f>
        <v>203.87813095499999</v>
      </c>
      <c r="AE136" s="532">
        <f>'[7]EIA_Output QBtu'!AG77/TbtuToQBtu</f>
        <v>133.08885270900001</v>
      </c>
      <c r="AF136" s="532">
        <f>'[7]EIA_Output QBtu'!AH77/TbtuToQBtu</f>
        <v>61.002428346000002</v>
      </c>
      <c r="AG136" s="532">
        <f>'[7]EIA_Output QBtu'!AI77/TbtuToQBtu</f>
        <v>55.329468155999997</v>
      </c>
      <c r="AH136" s="532">
        <f>'[7]EIA_Output QBtu'!AJ77/TbtuToQBtu</f>
        <v>80.243702595000002</v>
      </c>
      <c r="AI136" s="532">
        <f>'[7]EIA_Output QBtu'!AK77/TbtuToQBtu</f>
        <v>-17.074028727000002</v>
      </c>
      <c r="AJ136" s="532">
        <f>'[7]EIA_Output QBtu'!AL77/TbtuToQBtu</f>
        <v>36.160540767000001</v>
      </c>
      <c r="AK136" s="532">
        <f>'[7]EIA_Output QBtu'!AM77/TbtuToQBtu</f>
        <v>77.393719493999996</v>
      </c>
      <c r="AL136" s="57">
        <f t="shared" si="116"/>
        <v>1.1402810315444527</v>
      </c>
      <c r="AM136"/>
      <c r="AN136"/>
      <c r="AO136"/>
      <c r="AP136"/>
      <c r="AQ136"/>
      <c r="AR136"/>
    </row>
    <row r="137" spans="1:44" ht="12.95">
      <c r="A137" s="43"/>
      <c r="B137" s="1142"/>
      <c r="C137" s="43"/>
      <c r="D137" s="662" t="s">
        <v>1678</v>
      </c>
      <c r="E137" s="532">
        <f>'[7]EIA_Output QBtu'!G78/TbtuToQBtu</f>
        <v>0</v>
      </c>
      <c r="F137" s="532">
        <f>'[7]EIA_Output QBtu'!H78/TbtuToQBtu</f>
        <v>0</v>
      </c>
      <c r="G137" s="532">
        <f>'[7]EIA_Output QBtu'!I78/TbtuToQBtu</f>
        <v>0</v>
      </c>
      <c r="H137" s="532">
        <f>'[7]EIA_Output QBtu'!J78/TbtuToQBtu</f>
        <v>0</v>
      </c>
      <c r="I137" s="532">
        <f>'[7]EIA_Output QBtu'!K78/TbtuToQBtu</f>
        <v>0</v>
      </c>
      <c r="J137" s="532">
        <f>'[7]EIA_Output QBtu'!L78/TbtuToQBtu</f>
        <v>0</v>
      </c>
      <c r="K137" s="532">
        <f>'[7]EIA_Output QBtu'!M78/TbtuToQBtu</f>
        <v>0</v>
      </c>
      <c r="L137" s="532">
        <f>'[7]EIA_Output QBtu'!N78/TbtuToQBtu</f>
        <v>0</v>
      </c>
      <c r="M137" s="532">
        <f>'[7]EIA_Output QBtu'!O78/TbtuToQBtu</f>
        <v>0</v>
      </c>
      <c r="N137" s="532">
        <f>'[7]EIA_Output QBtu'!P78/TbtuToQBtu</f>
        <v>0</v>
      </c>
      <c r="O137" s="532">
        <f>'[7]EIA_Output QBtu'!Q78/TbtuToQBtu</f>
        <v>0</v>
      </c>
      <c r="P137" s="532">
        <f>'[7]EIA_Output QBtu'!R78/TbtuToQBtu</f>
        <v>0</v>
      </c>
      <c r="Q137" s="532">
        <f>'[7]EIA_Output QBtu'!S78/TbtuToQBtu</f>
        <v>0</v>
      </c>
      <c r="R137" s="532">
        <f>'[7]EIA_Output QBtu'!T78/TbtuToQBtu</f>
        <v>0</v>
      </c>
      <c r="S137" s="532">
        <f>'[7]EIA_Output QBtu'!U78/TbtuToQBtu</f>
        <v>0</v>
      </c>
      <c r="T137" s="532">
        <f>'[7]EIA_Output QBtu'!V78/TbtuToQBtu</f>
        <v>0</v>
      </c>
      <c r="U137" s="532">
        <f>'[7]EIA_Output QBtu'!W78/TbtuToQBtu</f>
        <v>0</v>
      </c>
      <c r="V137" s="532">
        <f>'[7]EIA_Output QBtu'!X78/TbtuToQBtu</f>
        <v>0</v>
      </c>
      <c r="W137" s="532">
        <f>'[7]EIA_Output QBtu'!Y78/TbtuToQBtu</f>
        <v>0</v>
      </c>
      <c r="X137" s="532">
        <f>'[7]EIA_Output QBtu'!Z78/TbtuToQBtu</f>
        <v>0</v>
      </c>
      <c r="Y137" s="532">
        <f>'[7]EIA_Output QBtu'!AA78/TbtuToQBtu</f>
        <v>6.6355320000000004</v>
      </c>
      <c r="Z137" s="532">
        <f>'[7]EIA_Output QBtu'!AB78/TbtuToQBtu</f>
        <v>0.88853099999999985</v>
      </c>
      <c r="AA137" s="532">
        <f>'[7]EIA_Output QBtu'!AC78/TbtuToQBtu</f>
        <v>0.625911</v>
      </c>
      <c r="AB137" s="532">
        <f>'[7]EIA_Output QBtu'!AD78/TbtuToQBtu</f>
        <v>-5.563167</v>
      </c>
      <c r="AC137" s="532">
        <f>'[7]EIA_Output QBtu'!AE78/TbtuToQBtu</f>
        <v>2.4861360000000001</v>
      </c>
      <c r="AD137" s="532">
        <f>'[7]EIA_Output QBtu'!AF78/TbtuToQBtu</f>
        <v>-8.6095590000000009</v>
      </c>
      <c r="AE137" s="532">
        <f>'[7]EIA_Output QBtu'!AG78/TbtuToQBtu</f>
        <v>-3.8473830000000002</v>
      </c>
      <c r="AF137" s="532">
        <f>'[7]EIA_Output QBtu'!AH78/TbtuToQBtu</f>
        <v>5.2567769999999996</v>
      </c>
      <c r="AG137" s="532">
        <f>'[7]EIA_Output QBtu'!AI78/TbtuToQBtu</f>
        <v>13.546815</v>
      </c>
      <c r="AH137" s="532">
        <f>'[7]EIA_Output QBtu'!AJ78/TbtuToQBtu</f>
        <v>2.6262000000000001E-2</v>
      </c>
      <c r="AI137" s="532">
        <f>'[7]EIA_Output QBtu'!AK78/TbtuToQBtu</f>
        <v>-5.694477</v>
      </c>
      <c r="AJ137" s="532">
        <f>'[7]EIA_Output QBtu'!AL78/TbtuToQBtu</f>
        <v>-4.4601629999999997</v>
      </c>
      <c r="AK137" s="532">
        <f>'[7]EIA_Output QBtu'!AM78/TbtuToQBtu</f>
        <v>-3.9830700000000001</v>
      </c>
      <c r="AL137" s="57">
        <f t="shared" si="116"/>
        <v>-0.1069676153091265</v>
      </c>
      <c r="AM137"/>
      <c r="AN137"/>
      <c r="AO137"/>
      <c r="AP137"/>
      <c r="AQ137"/>
      <c r="AR137"/>
    </row>
    <row r="138" spans="1:44" ht="12.95">
      <c r="A138" s="43"/>
      <c r="B138" s="1142"/>
      <c r="C138" s="43"/>
      <c r="D138" s="662" t="s">
        <v>1679</v>
      </c>
      <c r="E138" s="532">
        <f>'[7]EIA_Output QBtu'!G79/TbtuToQBtu</f>
        <v>0</v>
      </c>
      <c r="F138" s="532">
        <f>'[7]EIA_Output QBtu'!H79/TbtuToQBtu</f>
        <v>0</v>
      </c>
      <c r="G138" s="532">
        <f>'[7]EIA_Output QBtu'!I79/TbtuToQBtu</f>
        <v>0</v>
      </c>
      <c r="H138" s="532">
        <f>'[7]EIA_Output QBtu'!J79/TbtuToQBtu</f>
        <v>0</v>
      </c>
      <c r="I138" s="532">
        <f>'[7]EIA_Output QBtu'!K79/TbtuToQBtu</f>
        <v>0</v>
      </c>
      <c r="J138" s="532">
        <f>'[7]EIA_Output QBtu'!L79/TbtuToQBtu</f>
        <v>0</v>
      </c>
      <c r="K138" s="532">
        <f>'[7]EIA_Output QBtu'!M79/TbtuToQBtu</f>
        <v>0</v>
      </c>
      <c r="L138" s="532">
        <f>'[7]EIA_Output QBtu'!N79/TbtuToQBtu</f>
        <v>0</v>
      </c>
      <c r="M138" s="532">
        <f>'[7]EIA_Output QBtu'!O79/TbtuToQBtu</f>
        <v>0</v>
      </c>
      <c r="N138" s="532">
        <f>'[7]EIA_Output QBtu'!P79/TbtuToQBtu</f>
        <v>0</v>
      </c>
      <c r="O138" s="532">
        <f>'[7]EIA_Output QBtu'!Q79/TbtuToQBtu</f>
        <v>0</v>
      </c>
      <c r="P138" s="532">
        <f>'[7]EIA_Output QBtu'!R79/TbtuToQBtu</f>
        <v>0</v>
      </c>
      <c r="Q138" s="532">
        <f>'[7]EIA_Output QBtu'!S79/TbtuToQBtu</f>
        <v>0</v>
      </c>
      <c r="R138" s="532">
        <f>'[7]EIA_Output QBtu'!T79/TbtuToQBtu</f>
        <v>0</v>
      </c>
      <c r="S138" s="532">
        <f>'[7]EIA_Output QBtu'!U79/TbtuToQBtu</f>
        <v>0</v>
      </c>
      <c r="T138" s="532">
        <f>'[7]EIA_Output QBtu'!V79/TbtuToQBtu</f>
        <v>0</v>
      </c>
      <c r="U138" s="532">
        <f>'[7]EIA_Output QBtu'!W79/TbtuToQBtu</f>
        <v>0</v>
      </c>
      <c r="V138" s="532">
        <f>'[7]EIA_Output QBtu'!X79/TbtuToQBtu</f>
        <v>0</v>
      </c>
      <c r="W138" s="532">
        <f>'[7]EIA_Output QBtu'!Y79/TbtuToQBtu</f>
        <v>0</v>
      </c>
      <c r="X138" s="532">
        <f>'[7]EIA_Output QBtu'!Z79/TbtuToQBtu</f>
        <v>0</v>
      </c>
      <c r="Y138" s="532">
        <f>'[7]EIA_Output QBtu'!AA79/TbtuToQBtu</f>
        <v>887.84935800000005</v>
      </c>
      <c r="Z138" s="532">
        <f>'[7]EIA_Output QBtu'!AB79/TbtuToQBtu</f>
        <v>963.46346800000003</v>
      </c>
      <c r="AA138" s="532">
        <f>'[7]EIA_Output QBtu'!AC79/TbtuToQBtu</f>
        <v>967.43202599999995</v>
      </c>
      <c r="AB138" s="532">
        <f>'[7]EIA_Output QBtu'!AD79/TbtuToQBtu</f>
        <v>1010.788383</v>
      </c>
      <c r="AC138" s="532">
        <f>'[7]EIA_Output QBtu'!AE79/TbtuToQBtu</f>
        <v>1057.815517</v>
      </c>
      <c r="AD138" s="532">
        <f>'[7]EIA_Output QBtu'!AF79/TbtuToQBtu</f>
        <v>1091.0278390000001</v>
      </c>
      <c r="AE138" s="532">
        <f>'[7]EIA_Output QBtu'!AG79/TbtuToQBtu</f>
        <v>1150.498770663</v>
      </c>
      <c r="AF138" s="532">
        <f>'[7]EIA_Output QBtu'!AH79/TbtuToQBtu</f>
        <v>1259.906192875</v>
      </c>
      <c r="AG138" s="532">
        <f>'[7]EIA_Output QBtu'!AI79/TbtuToQBtu</f>
        <v>1502.629100115</v>
      </c>
      <c r="AH138" s="532">
        <f>'[7]EIA_Output QBtu'!AJ79/TbtuToQBtu</f>
        <v>1560.9240194680001</v>
      </c>
      <c r="AI138" s="532">
        <f>'[7]EIA_Output QBtu'!AK79/TbtuToQBtu</f>
        <v>1749.7703955599998</v>
      </c>
      <c r="AJ138" s="532">
        <f>'[7]EIA_Output QBtu'!AL79/TbtuToQBtu</f>
        <v>1835.4242086730001</v>
      </c>
      <c r="AK138" s="532">
        <f>'[7]EIA_Output QBtu'!AM79/TbtuToQBtu</f>
        <v>2051.2375514179998</v>
      </c>
      <c r="AL138" s="57">
        <f t="shared" si="116"/>
        <v>0.11758226884292403</v>
      </c>
      <c r="AM138"/>
      <c r="AN138"/>
      <c r="AO138"/>
      <c r="AP138"/>
      <c r="AQ138"/>
      <c r="AR138"/>
    </row>
    <row r="139" spans="1:44" ht="12.95">
      <c r="A139" s="43"/>
      <c r="B139" s="1142"/>
      <c r="C139" s="43"/>
      <c r="D139" s="662" t="s">
        <v>1680</v>
      </c>
      <c r="E139" s="532">
        <f>'[7]EIA_Output QBtu'!G80/TbtuToQBtu</f>
        <v>0</v>
      </c>
      <c r="F139" s="532">
        <f>'[7]EIA_Output QBtu'!H80/TbtuToQBtu</f>
        <v>0</v>
      </c>
      <c r="G139" s="532">
        <f>'[7]EIA_Output QBtu'!I80/TbtuToQBtu</f>
        <v>0</v>
      </c>
      <c r="H139" s="532">
        <f>'[7]EIA_Output QBtu'!J80/TbtuToQBtu</f>
        <v>0</v>
      </c>
      <c r="I139" s="532">
        <f>'[7]EIA_Output QBtu'!K80/TbtuToQBtu</f>
        <v>0</v>
      </c>
      <c r="J139" s="532">
        <f>'[7]EIA_Output QBtu'!L80/TbtuToQBtu</f>
        <v>0</v>
      </c>
      <c r="K139" s="532">
        <f>'[7]EIA_Output QBtu'!M80/TbtuToQBtu</f>
        <v>0</v>
      </c>
      <c r="L139" s="532">
        <f>'[7]EIA_Output QBtu'!N80/TbtuToQBtu</f>
        <v>0</v>
      </c>
      <c r="M139" s="532">
        <f>'[7]EIA_Output QBtu'!O80/TbtuToQBtu</f>
        <v>0</v>
      </c>
      <c r="N139" s="532">
        <f>'[7]EIA_Output QBtu'!P80/TbtuToQBtu</f>
        <v>0</v>
      </c>
      <c r="O139" s="532">
        <f>'[7]EIA_Output QBtu'!Q80/TbtuToQBtu</f>
        <v>0</v>
      </c>
      <c r="P139" s="532">
        <f>'[7]EIA_Output QBtu'!R80/TbtuToQBtu</f>
        <v>0</v>
      </c>
      <c r="Q139" s="532">
        <f>'[7]EIA_Output QBtu'!S80/TbtuToQBtu</f>
        <v>0</v>
      </c>
      <c r="R139" s="532">
        <f>'[7]EIA_Output QBtu'!T80/TbtuToQBtu</f>
        <v>0</v>
      </c>
      <c r="S139" s="532">
        <f>'[7]EIA_Output QBtu'!U80/TbtuToQBtu</f>
        <v>0</v>
      </c>
      <c r="T139" s="532">
        <f>'[7]EIA_Output QBtu'!V80/TbtuToQBtu</f>
        <v>0</v>
      </c>
      <c r="U139" s="532">
        <f>'[7]EIA_Output QBtu'!W80/TbtuToQBtu</f>
        <v>0</v>
      </c>
      <c r="V139" s="532">
        <f>'[7]EIA_Output QBtu'!X80/TbtuToQBtu</f>
        <v>0</v>
      </c>
      <c r="W139" s="532">
        <f>'[7]EIA_Output QBtu'!Y80/TbtuToQBtu</f>
        <v>0</v>
      </c>
      <c r="X139" s="532">
        <f>'[7]EIA_Output QBtu'!Z80/TbtuToQBtu</f>
        <v>0</v>
      </c>
      <c r="Y139" s="532">
        <f>'[7]EIA_Output QBtu'!AA80/TbtuToQBtu</f>
        <v>5.2690679999999999</v>
      </c>
      <c r="Z139" s="532">
        <f>'[7]EIA_Output QBtu'!AB80/TbtuToQBtu</f>
        <v>5.2666320000000004</v>
      </c>
      <c r="AA139" s="532">
        <f>'[7]EIA_Output QBtu'!AC80/TbtuToQBtu</f>
        <v>4.5723719999999997</v>
      </c>
      <c r="AB139" s="532">
        <f>'[7]EIA_Output QBtu'!AD80/TbtuToQBtu</f>
        <v>0.75516000000000005</v>
      </c>
      <c r="AC139" s="532">
        <f>'[7]EIA_Output QBtu'!AE80/TbtuToQBtu</f>
        <v>0.95004</v>
      </c>
      <c r="AD139" s="532">
        <f>'[7]EIA_Output QBtu'!AF80/TbtuToQBtu</f>
        <v>0.8160599999999999</v>
      </c>
      <c r="AE139" s="532">
        <f>'[7]EIA_Output QBtu'!AG80/TbtuToQBtu</f>
        <v>0.64554</v>
      </c>
      <c r="AF139" s="532">
        <f>'[7]EIA_Output QBtu'!AH80/TbtuToQBtu</f>
        <v>0.65771999999999997</v>
      </c>
      <c r="AG139" s="532">
        <f>'[7]EIA_Output QBtu'!AI80/TbtuToQBtu</f>
        <v>0.21923999999999999</v>
      </c>
      <c r="AH139" s="532">
        <f>'[7]EIA_Output QBtu'!AJ80/TbtuToQBtu</f>
        <v>0.30937199999999998</v>
      </c>
      <c r="AI139" s="532">
        <f>'[7]EIA_Output QBtu'!AK80/TbtuToQBtu</f>
        <v>0.55053600000000003</v>
      </c>
      <c r="AJ139" s="532">
        <f>'[7]EIA_Output QBtu'!AL80/TbtuToQBtu</f>
        <v>0.67477200000000004</v>
      </c>
      <c r="AK139" s="532">
        <f>'[7]EIA_Output QBtu'!AM80/TbtuToQBtu</f>
        <v>0.70156799999999997</v>
      </c>
      <c r="AL139" s="57">
        <f t="shared" si="116"/>
        <v>3.971119133573997E-2</v>
      </c>
      <c r="AM139"/>
      <c r="AN139"/>
      <c r="AO139"/>
      <c r="AP139"/>
      <c r="AQ139"/>
      <c r="AR139"/>
    </row>
    <row r="140" spans="1:44" ht="12.95">
      <c r="A140" s="43"/>
      <c r="B140" s="1142"/>
      <c r="C140" s="43"/>
      <c r="D140" s="662" t="s">
        <v>1681</v>
      </c>
      <c r="E140" s="532">
        <f>'[7]EIA_Output QBtu'!G81/TbtuToQBtu</f>
        <v>0</v>
      </c>
      <c r="F140" s="532">
        <f>'[7]EIA_Output QBtu'!H81/TbtuToQBtu</f>
        <v>0</v>
      </c>
      <c r="G140" s="532">
        <f>'[7]EIA_Output QBtu'!I81/TbtuToQBtu</f>
        <v>0</v>
      </c>
      <c r="H140" s="532">
        <f>'[7]EIA_Output QBtu'!J81/TbtuToQBtu</f>
        <v>0</v>
      </c>
      <c r="I140" s="532">
        <f>'[7]EIA_Output QBtu'!K81/TbtuToQBtu</f>
        <v>0</v>
      </c>
      <c r="J140" s="532">
        <f>'[7]EIA_Output QBtu'!L81/TbtuToQBtu</f>
        <v>0</v>
      </c>
      <c r="K140" s="532">
        <f>'[7]EIA_Output QBtu'!M81/TbtuToQBtu</f>
        <v>0</v>
      </c>
      <c r="L140" s="532">
        <f>'[7]EIA_Output QBtu'!N81/TbtuToQBtu</f>
        <v>0</v>
      </c>
      <c r="M140" s="532">
        <f>'[7]EIA_Output QBtu'!O81/TbtuToQBtu</f>
        <v>0</v>
      </c>
      <c r="N140" s="532">
        <f>'[7]EIA_Output QBtu'!P81/TbtuToQBtu</f>
        <v>0</v>
      </c>
      <c r="O140" s="532">
        <f>'[7]EIA_Output QBtu'!Q81/TbtuToQBtu</f>
        <v>0</v>
      </c>
      <c r="P140" s="532">
        <f>'[7]EIA_Output QBtu'!R81/TbtuToQBtu</f>
        <v>0</v>
      </c>
      <c r="Q140" s="532">
        <f>'[7]EIA_Output QBtu'!S81/TbtuToQBtu</f>
        <v>0</v>
      </c>
      <c r="R140" s="532">
        <f>'[7]EIA_Output QBtu'!T81/TbtuToQBtu</f>
        <v>0</v>
      </c>
      <c r="S140" s="532">
        <f>'[7]EIA_Output QBtu'!U81/TbtuToQBtu</f>
        <v>0</v>
      </c>
      <c r="T140" s="532">
        <f>'[7]EIA_Output QBtu'!V81/TbtuToQBtu</f>
        <v>0</v>
      </c>
      <c r="U140" s="532">
        <f>'[7]EIA_Output QBtu'!W81/TbtuToQBtu</f>
        <v>0</v>
      </c>
      <c r="V140" s="532">
        <f>'[7]EIA_Output QBtu'!X81/TbtuToQBtu</f>
        <v>0</v>
      </c>
      <c r="W140" s="532">
        <f>'[7]EIA_Output QBtu'!Y81/TbtuToQBtu</f>
        <v>0</v>
      </c>
      <c r="X140" s="532">
        <f>'[7]EIA_Output QBtu'!Z81/TbtuToQBtu</f>
        <v>0</v>
      </c>
      <c r="Y140" s="532">
        <f>'[7]EIA_Output QBtu'!AA81/TbtuToQBtu</f>
        <v>37.960724999999996</v>
      </c>
      <c r="Z140" s="532">
        <f>'[7]EIA_Output QBtu'!AB81/TbtuToQBtu</f>
        <v>48.978746999999998</v>
      </c>
      <c r="AA140" s="532">
        <f>'[7]EIA_Output QBtu'!AC81/TbtuToQBtu</f>
        <v>61.427354999999991</v>
      </c>
      <c r="AB140" s="532">
        <f>'[7]EIA_Output QBtu'!AD81/TbtuToQBtu</f>
        <v>91.867046000000002</v>
      </c>
      <c r="AC140" s="532">
        <f>'[7]EIA_Output QBtu'!AE81/TbtuToQBtu</f>
        <v>95.828346999999994</v>
      </c>
      <c r="AD140" s="532">
        <f>'[7]EIA_Output QBtu'!AF81/TbtuToQBtu</f>
        <v>148.72919610700001</v>
      </c>
      <c r="AE140" s="532">
        <f>'[7]EIA_Output QBtu'!AG81/TbtuToQBtu</f>
        <v>196.20398728699999</v>
      </c>
      <c r="AF140" s="532">
        <f>'[7]EIA_Output QBtu'!AH81/TbtuToQBtu</f>
        <v>213.28621732799999</v>
      </c>
      <c r="AG140" s="532">
        <f>'[7]EIA_Output QBtu'!AI81/TbtuToQBtu</f>
        <v>243.72898701599999</v>
      </c>
      <c r="AH140" s="532">
        <f>'[7]EIA_Output QBtu'!AJ81/TbtuToQBtu</f>
        <v>285.88016612199999</v>
      </c>
      <c r="AI140" s="532">
        <f>'[7]EIA_Output QBtu'!AK81/TbtuToQBtu</f>
        <v>326.88298205500001</v>
      </c>
      <c r="AJ140" s="532">
        <f>'[7]EIA_Output QBtu'!AL81/TbtuToQBtu</f>
        <v>337.87281900099998</v>
      </c>
      <c r="AK140" s="532">
        <f>'[7]EIA_Output QBtu'!AM81/TbtuToQBtu</f>
        <v>275.69075459200002</v>
      </c>
      <c r="AL140" s="57">
        <f t="shared" si="116"/>
        <v>-0.18403985438324333</v>
      </c>
      <c r="AM140"/>
      <c r="AN140"/>
      <c r="AO140"/>
      <c r="AP140"/>
      <c r="AQ140"/>
      <c r="AR140"/>
    </row>
    <row r="141" spans="1:44" ht="12.95">
      <c r="A141" s="43"/>
      <c r="B141" s="1142"/>
      <c r="C141" s="43"/>
      <c r="D141" s="662" t="s">
        <v>1682</v>
      </c>
      <c r="E141" s="532">
        <f>'[7]EIA_Output QBtu'!G82/TbtuToQBtu</f>
        <v>0</v>
      </c>
      <c r="F141" s="532">
        <f>'[7]EIA_Output QBtu'!H82/TbtuToQBtu</f>
        <v>0</v>
      </c>
      <c r="G141" s="532">
        <f>'[7]EIA_Output QBtu'!I82/TbtuToQBtu</f>
        <v>0</v>
      </c>
      <c r="H141" s="532">
        <f>'[7]EIA_Output QBtu'!J82/TbtuToQBtu</f>
        <v>0</v>
      </c>
      <c r="I141" s="532">
        <f>'[7]EIA_Output QBtu'!K82/TbtuToQBtu</f>
        <v>0</v>
      </c>
      <c r="J141" s="532">
        <f>'[7]EIA_Output QBtu'!L82/TbtuToQBtu</f>
        <v>0</v>
      </c>
      <c r="K141" s="532">
        <f>'[7]EIA_Output QBtu'!M82/TbtuToQBtu</f>
        <v>0</v>
      </c>
      <c r="L141" s="532">
        <f>'[7]EIA_Output QBtu'!N82/TbtuToQBtu</f>
        <v>0</v>
      </c>
      <c r="M141" s="532">
        <f>'[7]EIA_Output QBtu'!O82/TbtuToQBtu</f>
        <v>0</v>
      </c>
      <c r="N141" s="532">
        <f>'[7]EIA_Output QBtu'!P82/TbtuToQBtu</f>
        <v>0</v>
      </c>
      <c r="O141" s="532">
        <f>'[7]EIA_Output QBtu'!Q82/TbtuToQBtu</f>
        <v>0</v>
      </c>
      <c r="P141" s="532">
        <f>'[7]EIA_Output QBtu'!R82/TbtuToQBtu</f>
        <v>0</v>
      </c>
      <c r="Q141" s="532">
        <f>'[7]EIA_Output QBtu'!S82/TbtuToQBtu</f>
        <v>0</v>
      </c>
      <c r="R141" s="532">
        <f>'[7]EIA_Output QBtu'!T82/TbtuToQBtu</f>
        <v>0</v>
      </c>
      <c r="S141" s="532">
        <f>'[7]EIA_Output QBtu'!U82/TbtuToQBtu</f>
        <v>0</v>
      </c>
      <c r="T141" s="532">
        <f>'[7]EIA_Output QBtu'!V82/TbtuToQBtu</f>
        <v>0</v>
      </c>
      <c r="U141" s="532">
        <f>'[7]EIA_Output QBtu'!W82/TbtuToQBtu</f>
        <v>0</v>
      </c>
      <c r="V141" s="532">
        <f>'[7]EIA_Output QBtu'!X82/TbtuToQBtu</f>
        <v>0</v>
      </c>
      <c r="W141" s="532">
        <f>'[7]EIA_Output QBtu'!Y82/TbtuToQBtu</f>
        <v>0</v>
      </c>
      <c r="X141" s="532">
        <f>'[7]EIA_Output QBtu'!Z82/TbtuToQBtu</f>
        <v>0</v>
      </c>
      <c r="Y141" s="532">
        <f>'[7]EIA_Output QBtu'!AA82/TbtuToQBtu</f>
        <v>1.1932699999999998</v>
      </c>
      <c r="Z141" s="532">
        <f>'[7]EIA_Output QBtu'!AB82/TbtuToQBtu</f>
        <v>2.9918849999999999</v>
      </c>
      <c r="AA141" s="532">
        <f>'[7]EIA_Output QBtu'!AC82/TbtuToQBtu</f>
        <v>0.86229</v>
      </c>
      <c r="AB141" s="532">
        <f>'[7]EIA_Output QBtu'!AD82/TbtuToQBtu</f>
        <v>-0.74034999999999995</v>
      </c>
      <c r="AC141" s="532">
        <f>'[7]EIA_Output QBtu'!AE82/TbtuToQBtu</f>
        <v>-1.101815</v>
      </c>
      <c r="AD141" s="532">
        <f>'[7]EIA_Output QBtu'!AF82/TbtuToQBtu</f>
        <v>-1.2237549999999999</v>
      </c>
      <c r="AE141" s="532">
        <f>'[7]EIA_Output QBtu'!AG82/TbtuToQBtu</f>
        <v>0.77519000000000005</v>
      </c>
      <c r="AF141" s="532">
        <f>'[7]EIA_Output QBtu'!AH82/TbtuToQBtu</f>
        <v>1.2194</v>
      </c>
      <c r="AG141" s="532">
        <f>'[7]EIA_Output QBtu'!AI82/TbtuToQBtu</f>
        <v>-0.8361599999999999</v>
      </c>
      <c r="AH141" s="532">
        <f>'[7]EIA_Output QBtu'!AJ82/TbtuToQBtu</f>
        <v>0.108875</v>
      </c>
      <c r="AI141" s="532">
        <f>'[7]EIA_Output QBtu'!AK82/TbtuToQBtu</f>
        <v>-0.31356000000000001</v>
      </c>
      <c r="AJ141" s="532">
        <f>'[7]EIA_Output QBtu'!AL82/TbtuToQBtu</f>
        <v>-0.60970000000000002</v>
      </c>
      <c r="AK141" s="532">
        <f>'[7]EIA_Output QBtu'!AM82/TbtuToQBtu</f>
        <v>1.22811</v>
      </c>
      <c r="AL141" s="57">
        <f t="shared" si="116"/>
        <v>-3.0142857142857147</v>
      </c>
      <c r="AM141" s="43"/>
      <c r="AN141" s="43"/>
      <c r="AO141" s="43"/>
      <c r="AP141" s="43"/>
      <c r="AQ141" s="43"/>
      <c r="AR141" s="43"/>
    </row>
    <row r="142" spans="1:44" ht="12.95">
      <c r="A142" s="43"/>
      <c r="B142" s="1142"/>
      <c r="C142" s="43"/>
      <c r="D142" s="662" t="s">
        <v>1683</v>
      </c>
      <c r="E142" s="532">
        <f>'[7]EIA_Output QBtu'!G83/TbtuToQBtu</f>
        <v>660.11485965300005</v>
      </c>
      <c r="F142" s="532">
        <f>'[7]EIA_Output QBtu'!H83/TbtuToQBtu</f>
        <v>693.05155562499999</v>
      </c>
      <c r="G142" s="532">
        <f>'[7]EIA_Output QBtu'!I83/TbtuToQBtu</f>
        <v>763.75796777100004</v>
      </c>
      <c r="H142" s="532">
        <f>'[7]EIA_Output QBtu'!J83/TbtuToQBtu</f>
        <v>703.675276736</v>
      </c>
      <c r="I142" s="532">
        <f>'[7]EIA_Output QBtu'!K83/TbtuToQBtu</f>
        <v>791.79577193899991</v>
      </c>
      <c r="J142" s="532">
        <f>'[7]EIA_Output QBtu'!L83/TbtuToQBtu</f>
        <v>793.67546892300004</v>
      </c>
      <c r="K142" s="532">
        <f>'[7]EIA_Output QBtu'!M83/TbtuToQBtu</f>
        <v>767.83965493200003</v>
      </c>
      <c r="L142" s="532">
        <f>'[7]EIA_Output QBtu'!N83/TbtuToQBtu</f>
        <v>762.48008788899983</v>
      </c>
      <c r="M142" s="532">
        <f>'[7]EIA_Output QBtu'!O83/TbtuToQBtu</f>
        <v>743.16578359300001</v>
      </c>
      <c r="N142" s="532">
        <f>'[7]EIA_Output QBtu'!P83/TbtuToQBtu</f>
        <v>773.99313674400003</v>
      </c>
      <c r="O142" s="532">
        <f>'[7]EIA_Output QBtu'!Q83/TbtuToQBtu</f>
        <v>702.76099492699996</v>
      </c>
      <c r="P142" s="532">
        <f>'[7]EIA_Output QBtu'!R83/TbtuToQBtu</f>
        <v>623.00255335500003</v>
      </c>
      <c r="Q142" s="532">
        <f>'[7]EIA_Output QBtu'!S83/TbtuToQBtu</f>
        <v>729.81515376499988</v>
      </c>
      <c r="R142" s="532">
        <f>'[7]EIA_Output QBtu'!T83/TbtuToQBtu</f>
        <v>649.49683994700001</v>
      </c>
      <c r="S142" s="532">
        <f>'[7]EIA_Output QBtu'!U83/TbtuToQBtu</f>
        <v>751.73346462400002</v>
      </c>
      <c r="T142" s="532">
        <f>'[7]EIA_Output QBtu'!V83/TbtuToQBtu</f>
        <v>708.78074616599997</v>
      </c>
      <c r="U142" s="532">
        <f>'[7]EIA_Output QBtu'!W83/TbtuToQBtu</f>
        <v>730.97631237400003</v>
      </c>
      <c r="V142" s="532">
        <f>'[7]EIA_Output QBtu'!X83/TbtuToQBtu</f>
        <v>750.79367336099983</v>
      </c>
      <c r="W142" s="532">
        <f>'[7]EIA_Output QBtu'!Y83/TbtuToQBtu</f>
        <v>546.94389855300005</v>
      </c>
      <c r="X142" s="532">
        <f>'[7]EIA_Output QBtu'!Z83/TbtuToQBtu</f>
        <v>537.02415846199995</v>
      </c>
      <c r="Y142" s="532">
        <f>'[7]EIA_Output QBtu'!AA83/TbtuToQBtu</f>
        <v>519.52315970899997</v>
      </c>
      <c r="Z142" s="532">
        <f>'[7]EIA_Output QBtu'!AB83/TbtuToQBtu</f>
        <v>553.97639200799995</v>
      </c>
      <c r="AA142" s="532">
        <f>'[7]EIA_Output QBtu'!AC83/TbtuToQBtu</f>
        <v>676.73439095399999</v>
      </c>
      <c r="AB142" s="532">
        <f>'[7]EIA_Output QBtu'!AD83/TbtuToQBtu</f>
        <v>736.74886479999998</v>
      </c>
      <c r="AC142" s="532">
        <f>'[7]EIA_Output QBtu'!AE83/TbtuToQBtu</f>
        <v>561.59677744199996</v>
      </c>
      <c r="AD142" s="532">
        <f>'[7]EIA_Output QBtu'!AF83/TbtuToQBtu</f>
        <v>608.63429416400004</v>
      </c>
      <c r="AE142" s="532">
        <f>'[7]EIA_Output QBtu'!AG83/TbtuToQBtu</f>
        <v>579.37819393799998</v>
      </c>
      <c r="AF142" s="532">
        <f>'[7]EIA_Output QBtu'!AH83/TbtuToQBtu</f>
        <v>526.73179562200005</v>
      </c>
      <c r="AG142" s="532">
        <f>'[7]EIA_Output QBtu'!AI83/TbtuToQBtu</f>
        <v>549.58037333699997</v>
      </c>
      <c r="AH142" s="532">
        <f>'[7]EIA_Output QBtu'!AJ83/TbtuToQBtu</f>
        <v>458.96495218099994</v>
      </c>
      <c r="AI142" s="532">
        <f>'[7]EIA_Output QBtu'!AK83/TbtuToQBtu</f>
        <v>453.649040673</v>
      </c>
      <c r="AJ142" s="532">
        <f>'[7]EIA_Output QBtu'!AL83/TbtuToQBtu</f>
        <v>450.99192639699999</v>
      </c>
      <c r="AK142" s="532">
        <f>'[7]EIA_Output QBtu'!AM83/TbtuToQBtu</f>
        <v>453.62003442700001</v>
      </c>
      <c r="AL142" s="57">
        <f t="shared" si="116"/>
        <v>5.8273948516021669E-3</v>
      </c>
      <c r="AM142" s="43"/>
      <c r="AN142" s="43"/>
      <c r="AO142" s="43"/>
      <c r="AP142" s="43"/>
      <c r="AQ142" s="43"/>
      <c r="AR142" s="43"/>
    </row>
    <row r="143" spans="1:44" ht="13.5" thickBot="1">
      <c r="A143" s="43"/>
      <c r="B143" s="1142"/>
      <c r="C143" s="43"/>
      <c r="D143" s="663" t="s">
        <v>1684</v>
      </c>
      <c r="E143" s="723">
        <f>'[7]EIA_Output QBtu'!G84/TbtuToQBtu</f>
        <v>147.23331999999999</v>
      </c>
      <c r="F143" s="723">
        <f>'[7]EIA_Output QBtu'!H84/TbtuToQBtu</f>
        <v>174.573035</v>
      </c>
      <c r="G143" s="723">
        <f>'[7]EIA_Output QBtu'!I84/TbtuToQBtu</f>
        <v>190.79125000100001</v>
      </c>
      <c r="H143" s="723">
        <f>'[7]EIA_Output QBtu'!J84/TbtuToQBtu</f>
        <v>186.72998499999997</v>
      </c>
      <c r="I143" s="723">
        <f>'[7]EIA_Output QBtu'!K84/TbtuToQBtu</f>
        <v>199.26276499900001</v>
      </c>
      <c r="J143" s="723">
        <f>'[7]EIA_Output QBtu'!L84/TbtuToQBtu</f>
        <v>219.97943500100001</v>
      </c>
      <c r="K143" s="723">
        <f>'[7]EIA_Output QBtu'!M84/TbtuToQBtu</f>
        <v>220.68507500000001</v>
      </c>
      <c r="L143" s="723">
        <f>'[7]EIA_Output QBtu'!N84/TbtuToQBtu</f>
        <v>287.16863499900001</v>
      </c>
      <c r="M143" s="723">
        <f>'[7]EIA_Output QBtu'!O84/TbtuToQBtu</f>
        <v>266.37142999999998</v>
      </c>
      <c r="N143" s="723">
        <f>'[7]EIA_Output QBtu'!P84/TbtuToQBtu</f>
        <v>291.206889999</v>
      </c>
      <c r="O143" s="723">
        <f>'[7]EIA_Output QBtu'!Q84/TbtuToQBtu</f>
        <v>314.54669999999999</v>
      </c>
      <c r="P143" s="723">
        <f>'[7]EIA_Output QBtu'!R84/TbtuToQBtu</f>
        <v>293.96425499999998</v>
      </c>
      <c r="Q143" s="723">
        <f>'[7]EIA_Output QBtu'!S84/TbtuToQBtu</f>
        <v>326.14757500000002</v>
      </c>
      <c r="R143" s="723">
        <f>'[7]EIA_Output QBtu'!T84/TbtuToQBtu</f>
        <v>332.72076499999997</v>
      </c>
      <c r="S143" s="723">
        <f>'[7]EIA_Output QBtu'!U84/TbtuToQBtu</f>
        <v>357.67127499999992</v>
      </c>
      <c r="T143" s="723">
        <f>'[7]EIA_Output QBtu'!V84/TbtuToQBtu</f>
        <v>340.77426500000001</v>
      </c>
      <c r="U143" s="723">
        <f>'[7]EIA_Output QBtu'!W84/TbtuToQBtu</f>
        <v>374.65649000000002</v>
      </c>
      <c r="V143" s="723">
        <f>'[7]EIA_Output QBtu'!X84/TbtuToQBtu</f>
        <v>352.06833999999998</v>
      </c>
      <c r="W143" s="723">
        <f>'[7]EIA_Output QBtu'!Y84/TbtuToQBtu</f>
        <v>323.31734499999999</v>
      </c>
      <c r="X143" s="723">
        <f>'[7]EIA_Output QBtu'!Z84/TbtuToQBtu</f>
        <v>373.86647999999997</v>
      </c>
      <c r="Y143" s="723">
        <f>'[7]EIA_Output QBtu'!AA84/TbtuToQBtu</f>
        <v>427.53730499999995</v>
      </c>
      <c r="Z143" s="723">
        <f>'[7]EIA_Output QBtu'!AB84/TbtuToQBtu</f>
        <v>433.98010499999998</v>
      </c>
      <c r="AA143" s="723">
        <f>'[7]EIA_Output QBtu'!AC84/TbtuToQBtu</f>
        <v>432.44994000000003</v>
      </c>
      <c r="AB143" s="723">
        <f>'[7]EIA_Output QBtu'!AD84/TbtuToQBtu</f>
        <v>428.58809500000001</v>
      </c>
      <c r="AC143" s="723">
        <f>'[7]EIA_Output QBtu'!AE84/TbtuToQBtu</f>
        <v>416.51934999999997</v>
      </c>
      <c r="AD143" s="723">
        <f>'[7]EIA_Output QBtu'!AF84/TbtuToQBtu</f>
        <v>413.35163999999997</v>
      </c>
      <c r="AE143" s="723">
        <f>'[7]EIA_Output QBtu'!AG84/TbtuToQBtu</f>
        <v>423.10020999999995</v>
      </c>
      <c r="AF143" s="723">
        <f>'[7]EIA_Output QBtu'!AH84/TbtuToQBtu</f>
        <v>431.99741</v>
      </c>
      <c r="AG143" s="723">
        <f>'[7]EIA_Output QBtu'!AI84/TbtuToQBtu</f>
        <v>435.62531999999999</v>
      </c>
      <c r="AH143" s="723">
        <f>'[7]EIA_Output QBtu'!AJ84/TbtuToQBtu</f>
        <v>417.79640499999999</v>
      </c>
      <c r="AI143" s="723">
        <f>'[7]EIA_Output QBtu'!AK84/TbtuToQBtu</f>
        <v>389.55162999999999</v>
      </c>
      <c r="AJ143" s="723">
        <f>'[7]EIA_Output QBtu'!AL84/TbtuToQBtu</f>
        <v>427.44143000000003</v>
      </c>
      <c r="AK143" s="723">
        <f>'[7]EIA_Output QBtu'!AM84/TbtuToQBtu</f>
        <v>386.495135</v>
      </c>
      <c r="AL143" s="57">
        <f t="shared" si="116"/>
        <v>-9.5793931346336778E-2</v>
      </c>
      <c r="AM143" s="43"/>
      <c r="AN143" s="43"/>
      <c r="AO143" s="43"/>
      <c r="AP143" s="43"/>
      <c r="AQ143" s="43"/>
      <c r="AR143" s="43"/>
    </row>
  </sheetData>
  <phoneticPr fontId="10" type="noConversion"/>
  <printOptions gridLines="1" gridLinesSet="0"/>
  <pageMargins left="0.5" right="0.5" top="0.5" bottom="0.75" header="0.27" footer="0.21"/>
  <pageSetup scale="87" fitToHeight="13" orientation="landscape" horizontalDpi="4294967292" r:id="rId1"/>
  <headerFooter alignWithMargins="0">
    <oddHeader>&amp;L&amp;12GREENHOUSE GAS INVENTORY:  ENERGY</oddHeader>
    <oddFooter>&amp;LPage &amp;P of &amp;N&amp;C&amp;F  &amp;A&amp;R&amp;D  &amp;T</oddFooter>
  </headerFooter>
  <rowBreaks count="1" manualBreakCount="1">
    <brk id="71" min="1" max="14"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B1:BG157"/>
  <sheetViews>
    <sheetView workbookViewId="0">
      <selection activeCell="J34" sqref="J34"/>
    </sheetView>
  </sheetViews>
  <sheetFormatPr defaultColWidth="9" defaultRowHeight="12.95"/>
  <cols>
    <col min="1" max="1" width="9" style="1"/>
    <col min="2" max="2" width="27" style="1" customWidth="1"/>
    <col min="3" max="3" width="11.6640625" style="1" bestFit="1" customWidth="1"/>
    <col min="4" max="4" width="11" style="1" customWidth="1"/>
    <col min="5" max="15" width="8" style="1" bestFit="1" customWidth="1"/>
    <col min="16" max="18" width="7" style="1" customWidth="1"/>
    <col min="19" max="16384" width="9" style="1"/>
  </cols>
  <sheetData>
    <row r="1" spans="2:35">
      <c r="B1" s="5" t="s">
        <v>1685</v>
      </c>
    </row>
    <row r="2" spans="2:35" ht="10.5" customHeight="1">
      <c r="B2" s="1123" t="s">
        <v>1686</v>
      </c>
    </row>
    <row r="3" spans="2:35" ht="10.5" customHeight="1">
      <c r="B3" s="1123"/>
    </row>
    <row r="4" spans="2:35" ht="10.5" customHeight="1">
      <c r="B4" s="1123"/>
    </row>
    <row r="5" spans="2:35" ht="17.45">
      <c r="B5" s="1121" t="s">
        <v>1687</v>
      </c>
    </row>
    <row r="6" spans="2:35">
      <c r="B6" s="557" t="s">
        <v>1688</v>
      </c>
      <c r="C6" s="75"/>
      <c r="D6" s="75"/>
      <c r="E6" s="75"/>
      <c r="F6" s="75"/>
      <c r="G6" s="75"/>
      <c r="H6" s="75"/>
      <c r="I6" s="75"/>
    </row>
    <row r="7" spans="2:35">
      <c r="B7" s="633" t="s">
        <v>1596</v>
      </c>
      <c r="C7" s="621">
        <v>1990</v>
      </c>
      <c r="D7" s="621">
        <v>1991</v>
      </c>
      <c r="E7" s="621">
        <v>1992</v>
      </c>
      <c r="F7" s="621">
        <v>1993</v>
      </c>
      <c r="G7" s="621">
        <v>1994</v>
      </c>
      <c r="H7" s="621">
        <v>1995</v>
      </c>
      <c r="I7" s="621">
        <v>1996</v>
      </c>
      <c r="J7" s="621">
        <v>1997</v>
      </c>
      <c r="K7" s="621">
        <v>1998</v>
      </c>
      <c r="L7" s="621">
        <v>1999</v>
      </c>
      <c r="M7" s="621">
        <v>2000</v>
      </c>
      <c r="N7" s="621">
        <v>2001</v>
      </c>
      <c r="O7" s="621">
        <v>2002</v>
      </c>
      <c r="P7" s="621">
        <v>2003</v>
      </c>
      <c r="Q7" s="621">
        <v>2004</v>
      </c>
      <c r="R7" s="621">
        <v>2005</v>
      </c>
      <c r="S7" s="621">
        <v>2006</v>
      </c>
      <c r="T7" s="621">
        <v>2007</v>
      </c>
      <c r="U7" s="621">
        <v>2008</v>
      </c>
      <c r="V7" s="621">
        <v>2009</v>
      </c>
      <c r="W7" s="621">
        <v>2010</v>
      </c>
      <c r="X7" s="621">
        <v>2011</v>
      </c>
      <c r="Y7" s="621">
        <v>2012</v>
      </c>
      <c r="Z7" s="621">
        <v>2013</v>
      </c>
      <c r="AA7" s="621">
        <v>2014</v>
      </c>
      <c r="AB7" s="621">
        <v>2015</v>
      </c>
      <c r="AC7" s="621">
        <v>2016</v>
      </c>
      <c r="AD7" s="621">
        <v>2017</v>
      </c>
      <c r="AE7" s="621">
        <v>2018</v>
      </c>
      <c r="AF7" s="621">
        <v>2019</v>
      </c>
      <c r="AG7" s="621">
        <v>2020</v>
      </c>
      <c r="AH7" s="621">
        <v>2021</v>
      </c>
      <c r="AI7" s="621">
        <v>2022</v>
      </c>
    </row>
    <row r="8" spans="2:35">
      <c r="B8" s="622" t="s">
        <v>1445</v>
      </c>
      <c r="C8" s="623">
        <f>[13]Ethanol!B14*TbtuToQBtu</f>
        <v>59.292568208118979</v>
      </c>
      <c r="D8" s="623">
        <f>[13]Ethanol!C14*TbtuToQBtu</f>
        <v>68.103988777369921</v>
      </c>
      <c r="E8" s="623">
        <f>[13]Ethanol!D14*TbtuToQBtu</f>
        <v>78.591291501711424</v>
      </c>
      <c r="F8" s="623">
        <f>[13]Ethanol!E14*TbtuToQBtu</f>
        <v>91.737080276773597</v>
      </c>
      <c r="G8" s="623">
        <f>[13]Ethanol!F14*TbtuToQBtu</f>
        <v>102.86819559326631</v>
      </c>
      <c r="H8" s="623">
        <f>[13]Ethanol!G14*TbtuToQBtu</f>
        <v>109.43931636217866</v>
      </c>
      <c r="I8" s="623">
        <f>[13]Ethanol!H14*TbtuToQBtu</f>
        <v>78.803378262521903</v>
      </c>
      <c r="J8" s="623">
        <f>[13]Ethanol!I14*TbtuToQBtu</f>
        <v>99.915740825134094</v>
      </c>
      <c r="K8" s="623">
        <f>[13]Ethanol!J14*TbtuToQBtu</f>
        <v>110.45003235696942</v>
      </c>
      <c r="L8" s="623">
        <f>[13]Ethanol!K14*TbtuToQBtu</f>
        <v>116.27377463725651</v>
      </c>
      <c r="M8" s="623">
        <f>[13]Ethanol!L14*TbtuToQBtu</f>
        <v>132.00657596851812</v>
      </c>
      <c r="N8" s="623">
        <f>[13]Ethanol!M14*TbtuToQBtu</f>
        <v>138.12739529642127</v>
      </c>
      <c r="O8" s="623">
        <f>[13]Ethanol!N14*TbtuToQBtu</f>
        <v>163.74011497220897</v>
      </c>
      <c r="P8" s="623">
        <f>[13]Ethanol!O14*TbtuToQBtu</f>
        <v>222.88903423434519</v>
      </c>
      <c r="Q8" s="623">
        <f>[13]Ethanol!P14*TbtuToQBtu</f>
        <v>278.83587961199629</v>
      </c>
      <c r="R8" s="623">
        <f>[13]Ethanol!Q14*TbtuToQBtu</f>
        <v>315.76705017769331</v>
      </c>
      <c r="S8" s="623">
        <f>[13]Ethanol!R14*TbtuToQBtu</f>
        <v>419.59886500495992</v>
      </c>
      <c r="T8" s="623">
        <f>[13]Ethanol!S14*TbtuToQBtu</f>
        <v>527.24813217258725</v>
      </c>
      <c r="U8" s="623">
        <f>[13]Ethanol!T14*TbtuToQBtu</f>
        <v>745.73380966143191</v>
      </c>
      <c r="V8" s="623">
        <f>[13]Ethanol!U14*TbtuToQBtu</f>
        <v>854.64492307927401</v>
      </c>
      <c r="W8" s="623">
        <f>[13]Ethanol!V14*TbtuToQBtu</f>
        <v>1003.5575337472352</v>
      </c>
      <c r="X8" s="623">
        <f>[13]Ethanol!W14*TbtuToQBtu</f>
        <v>1015.0464775511798</v>
      </c>
      <c r="Y8" s="623">
        <f>[13]Ethanol!X14*TbtuToQBtu</f>
        <v>1016.8477355386466</v>
      </c>
      <c r="Z8" s="623">
        <f>[13]Ethanol!Y14*TbtuToQBtu</f>
        <v>1030.163949979275</v>
      </c>
      <c r="AA8" s="623">
        <f>[13]Ethanol!Z14*TbtuToQBtu</f>
        <v>1081.0686275646119</v>
      </c>
      <c r="AB8" s="623">
        <f>[13]Ethanol!AA14*TbtuToQBtu</f>
        <v>1083.7098559272808</v>
      </c>
      <c r="AC8" s="623">
        <f>[13]Ethanol!AB14*TbtuToQBtu</f>
        <v>1123.3780422164582</v>
      </c>
      <c r="AD8" s="623">
        <f>[13]Ethanol!AC14*TbtuToQBtu</f>
        <v>1134.5977276855428</v>
      </c>
      <c r="AE8" s="623">
        <f>[13]Ethanol!AD14*TbtuToQBtu</f>
        <v>1148.2220033933766</v>
      </c>
      <c r="AF8" s="623">
        <f>[13]Ethanol!AE14*TbtuToQBtu</f>
        <v>1150.2042903482761</v>
      </c>
      <c r="AG8" s="623">
        <f>[13]Ethanol!AF14*TbtuToQBtu</f>
        <v>994.56499983933315</v>
      </c>
      <c r="AH8" s="623">
        <f>[13]Ethanol!AG14*TbtuToQBtu</f>
        <v>1101.6685259577537</v>
      </c>
      <c r="AI8" s="623">
        <f>[13]Ethanol!AH14*TbtuToQBtu</f>
        <v>1119.7574075858381</v>
      </c>
    </row>
    <row r="9" spans="2:35">
      <c r="B9" s="287" t="s">
        <v>1443</v>
      </c>
      <c r="C9" s="503">
        <f>[13]Ethanol!B15*TbtuToQBtu</f>
        <v>1.5292960059058021</v>
      </c>
      <c r="D9" s="503">
        <f>[13]Ethanol!C15*TbtuToQBtu</f>
        <v>2.3867553910896904</v>
      </c>
      <c r="E9" s="503">
        <f>[13]Ethanol!D15*TbtuToQBtu</f>
        <v>1.9498259418735089</v>
      </c>
      <c r="F9" s="503">
        <f>[13]Ethanol!E15*TbtuToQBtu</f>
        <v>2.8405691869017047</v>
      </c>
      <c r="G9" s="503">
        <f>[13]Ethanol!F15*TbtuToQBtu</f>
        <v>3.1553012342937135</v>
      </c>
      <c r="H9" s="503">
        <f>[13]Ethanol!G15*TbtuToQBtu</f>
        <v>4.3388831492071445</v>
      </c>
      <c r="I9" s="503">
        <f>[13]Ethanol!H15*TbtuToQBtu</f>
        <v>2.7266879564605668</v>
      </c>
      <c r="J9" s="503">
        <f>[13]Ethanol!I15*TbtuToQBtu</f>
        <v>3.1457469547458574</v>
      </c>
      <c r="K9" s="503">
        <f>[13]Ethanol!J15*TbtuToQBtu</f>
        <v>3.4574471716035142</v>
      </c>
      <c r="L9" s="503">
        <f>[13]Ethanol!K15*TbtuToQBtu</f>
        <v>2.408077587374259</v>
      </c>
      <c r="M9" s="503">
        <f>[13]Ethanol!L15*TbtuToQBtu</f>
        <v>3.4913844678314434</v>
      </c>
      <c r="N9" s="503">
        <f>[13]Ethanol!M15*TbtuToQBtu</f>
        <v>4.9815113457806639</v>
      </c>
      <c r="O9" s="503">
        <f>[13]Ethanol!N15*TbtuToQBtu</f>
        <v>6.5015829612620211</v>
      </c>
      <c r="P9" s="503">
        <f>[13]Ethanol!O15*TbtuToQBtu</f>
        <v>8.8387947114935237</v>
      </c>
      <c r="Q9" s="503">
        <f>[13]Ethanol!P15*TbtuToQBtu</f>
        <v>12.938399106580322</v>
      </c>
      <c r="R9" s="503">
        <f>[13]Ethanol!Q15*TbtuToQBtu</f>
        <v>17.174540059612085</v>
      </c>
      <c r="S9" s="503">
        <f>[13]Ethanol!R15*TbtuToQBtu</f>
        <v>29.239615025568451</v>
      </c>
      <c r="T9" s="503">
        <f>[13]Ethanol!S15*TbtuToQBtu</f>
        <v>34.462531641674801</v>
      </c>
      <c r="U9" s="503">
        <f>[13]Ethanol!T15*TbtuToQBtu</f>
        <v>45.552594026063041</v>
      </c>
      <c r="V9" s="503">
        <f>[13]Ethanol!U15*TbtuToQBtu</f>
        <v>45.156970429709368</v>
      </c>
      <c r="W9" s="503">
        <f>[13]Ethanol!V15*TbtuToQBtu</f>
        <v>48.063352361195548</v>
      </c>
      <c r="X9" s="503">
        <f>[13]Ethanol!W15*TbtuToQBtu</f>
        <v>42.268289037155675</v>
      </c>
      <c r="Y9" s="503">
        <f>[13]Ethanol!X15*TbtuToQBtu</f>
        <v>40.763336205509631</v>
      </c>
      <c r="Z9" s="503">
        <f>[13]Ethanol!Y15*TbtuToQBtu</f>
        <v>53.531957941938757</v>
      </c>
      <c r="AA9" s="503">
        <f>[13]Ethanol!Z15*TbtuToQBtu</f>
        <v>24.054336855936388</v>
      </c>
      <c r="AB9" s="503">
        <f>[13]Ethanol!AA15*TbtuToQBtu</f>
        <v>28.212102418291263</v>
      </c>
      <c r="AC9" s="503">
        <f>[13]Ethanol!AB15*TbtuToQBtu</f>
        <v>26.131173320190701</v>
      </c>
      <c r="AD9" s="503">
        <f>[13]Ethanol!AC15*TbtuToQBtu</f>
        <v>27.284670083124695</v>
      </c>
      <c r="AE9" s="503">
        <f>[13]Ethanol!AD15*TbtuToQBtu</f>
        <v>20.51310741243449</v>
      </c>
      <c r="AF9" s="503">
        <f>[13]Ethanol!AE15*TbtuToQBtu</f>
        <v>23.515154273488882</v>
      </c>
      <c r="AG9" s="503">
        <f>[13]Ethanol!AF15*TbtuToQBtu</f>
        <v>23.102871790312395</v>
      </c>
      <c r="AH9" s="503">
        <f>[13]Ethanol!AG15*TbtuToQBtu</f>
        <v>22.041749991834653</v>
      </c>
      <c r="AI9" s="503">
        <f>[13]Ethanol!AH15*TbtuToQBtu</f>
        <v>17.755454026682493</v>
      </c>
    </row>
    <row r="10" spans="2:35">
      <c r="B10" s="620" t="s">
        <v>1441</v>
      </c>
      <c r="C10" s="624">
        <f>[13]Ethanol!B16*TbtuToQBtu</f>
        <v>0.91813578597521628</v>
      </c>
      <c r="D10" s="624">
        <f>[13]Ethanol!C16*TbtuToQBtu</f>
        <v>1.05025583154038</v>
      </c>
      <c r="E10" s="624">
        <f>[13]Ethanol!D16*TbtuToQBtu</f>
        <v>0.79888255641506034</v>
      </c>
      <c r="F10" s="624">
        <f>[13]Ethanol!E16*TbtuToQBtu</f>
        <v>0.4683505363246861</v>
      </c>
      <c r="G10" s="624">
        <f>[13]Ethanol!F16*TbtuToQBtu</f>
        <v>0.41350317243999257</v>
      </c>
      <c r="H10" s="624">
        <f>[13]Ethanol!G16*TbtuToQBtu</f>
        <v>0.39280048861418587</v>
      </c>
      <c r="I10" s="624">
        <f>[13]Ethanol!H16*TbtuToQBtu</f>
        <v>0.3619337810175296</v>
      </c>
      <c r="J10" s="624">
        <f>[13]Ethanol!I16*TbtuToQBtu</f>
        <v>0.63451222012004449</v>
      </c>
      <c r="K10" s="624">
        <f>[13]Ethanol!J16*TbtuToQBtu</f>
        <v>0.67552047142709204</v>
      </c>
      <c r="L10" s="624">
        <f>[13]Ethanol!K16*TbtuToQBtu</f>
        <v>0.4511477753692269</v>
      </c>
      <c r="M10" s="624">
        <f>[13]Ethanol!L16*TbtuToQBtu</f>
        <v>1.0350395636504546</v>
      </c>
      <c r="N10" s="624">
        <f>[13]Ethanol!M16*TbtuToQBtu</f>
        <v>0.63209335779806408</v>
      </c>
      <c r="O10" s="624">
        <f>[13]Ethanol!N16*TbtuToQBtu</f>
        <v>0.94930206652900317</v>
      </c>
      <c r="P10" s="624">
        <f>[13]Ethanol!O16*TbtuToQBtu</f>
        <v>1.634171054161317</v>
      </c>
      <c r="Q10" s="624">
        <f>[13]Ethanol!P16*TbtuToQBtu</f>
        <v>1.5537212814234171</v>
      </c>
      <c r="R10" s="624">
        <f>[13]Ethanol!Q16*TbtuToQBtu</f>
        <v>2.2064097626946273</v>
      </c>
      <c r="S10" s="624">
        <f>[13]Ethanol!R16*TbtuToQBtu</f>
        <v>3.7825199694716138</v>
      </c>
      <c r="T10" s="624">
        <f>[13]Ethanol!S16*TbtuToQBtu</f>
        <v>6.8863361857380614</v>
      </c>
      <c r="U10" s="624">
        <f>[13]Ethanol!T16*TbtuToQBtu</f>
        <v>8.3325963125051032</v>
      </c>
      <c r="V10" s="624">
        <f>[13]Ethanol!U16*TbtuToQBtu</f>
        <v>9.8511064910166883</v>
      </c>
      <c r="W10" s="624">
        <f>[13]Ethanol!V16*TbtuToQBtu</f>
        <v>9.5971138915692737</v>
      </c>
      <c r="X10" s="624">
        <f>[13]Ethanol!W16*TbtuToQBtu</f>
        <v>7.320233411664411</v>
      </c>
      <c r="Y10" s="624">
        <f>[13]Ethanol!X16*TbtuToQBtu</f>
        <v>6.2359282558440654</v>
      </c>
      <c r="Z10" s="624">
        <f>[13]Ethanol!Y16*TbtuToQBtu</f>
        <v>8.1300920787863351</v>
      </c>
      <c r="AA10" s="624">
        <f>[13]Ethanol!Z16*TbtuToQBtu</f>
        <v>6.1650355794517333</v>
      </c>
      <c r="AB10" s="624">
        <f>[13]Ethanol!AA16*TbtuToQBtu</f>
        <v>41.132041654427702</v>
      </c>
      <c r="AC10" s="624">
        <f>[13]Ethanol!AB16*TbtuToQBtu</f>
        <v>37.370784463351029</v>
      </c>
      <c r="AD10" s="624">
        <f>[13]Ethanol!AC16*TbtuToQBtu</f>
        <v>37.242602231332306</v>
      </c>
      <c r="AE10" s="624">
        <f>[13]Ethanol!AD16*TbtuToQBtu</f>
        <v>27.895889194189088</v>
      </c>
      <c r="AF10" s="624">
        <f>[13]Ethanol!AE16*TbtuToQBtu</f>
        <v>32.558555378235127</v>
      </c>
      <c r="AG10" s="624">
        <f>[13]Ethanol!AF16*TbtuToQBtu</f>
        <v>31.876128370354355</v>
      </c>
      <c r="AH10" s="624">
        <f>[13]Ethanol!AG16*TbtuToQBtu</f>
        <v>31.242724050411745</v>
      </c>
      <c r="AI10" s="624">
        <f>[13]Ethanol!AH16*TbtuToQBtu</f>
        <v>25.167138387479163</v>
      </c>
    </row>
    <row r="11" spans="2:35">
      <c r="B11" s="625"/>
    </row>
    <row r="12" spans="2:35" ht="17.45">
      <c r="B12" s="1121" t="s">
        <v>1689</v>
      </c>
    </row>
    <row r="13" spans="2:35">
      <c r="B13" s="1" t="s">
        <v>1690</v>
      </c>
    </row>
    <row r="14" spans="2:35">
      <c r="B14" s="633" t="s">
        <v>1596</v>
      </c>
      <c r="C14" s="460">
        <v>1990</v>
      </c>
      <c r="D14" s="460">
        <v>1991</v>
      </c>
      <c r="E14" s="460">
        <v>1992</v>
      </c>
      <c r="F14" s="460">
        <v>1993</v>
      </c>
      <c r="G14" s="460">
        <v>1994</v>
      </c>
      <c r="H14" s="460">
        <v>1995</v>
      </c>
      <c r="I14" s="460">
        <v>1996</v>
      </c>
      <c r="J14" s="460">
        <v>1997</v>
      </c>
      <c r="K14" s="460">
        <v>1998</v>
      </c>
      <c r="L14" s="460">
        <v>1999</v>
      </c>
      <c r="M14" s="460">
        <v>2000</v>
      </c>
      <c r="N14" s="460">
        <v>2001</v>
      </c>
      <c r="O14" s="621">
        <v>2002</v>
      </c>
      <c r="P14" s="621">
        <v>2003</v>
      </c>
      <c r="Q14" s="621">
        <v>2004</v>
      </c>
      <c r="R14" s="621">
        <v>2005</v>
      </c>
      <c r="S14" s="621">
        <v>2006</v>
      </c>
      <c r="T14" s="621">
        <v>2007</v>
      </c>
      <c r="U14" s="621">
        <v>2008</v>
      </c>
      <c r="V14" s="621">
        <v>2009</v>
      </c>
      <c r="W14" s="621">
        <v>2010</v>
      </c>
      <c r="X14" s="621">
        <v>2011</v>
      </c>
      <c r="Y14" s="621">
        <v>2012</v>
      </c>
      <c r="Z14" s="621">
        <v>2013</v>
      </c>
      <c r="AA14" s="621">
        <v>2014</v>
      </c>
      <c r="AB14" s="621">
        <v>2015</v>
      </c>
      <c r="AC14" s="621">
        <v>2016</v>
      </c>
      <c r="AD14" s="621">
        <v>2017</v>
      </c>
      <c r="AE14" s="621">
        <v>2018</v>
      </c>
      <c r="AF14" s="621">
        <v>2019</v>
      </c>
      <c r="AG14" s="460">
        <v>2020</v>
      </c>
      <c r="AH14" s="621">
        <v>2021</v>
      </c>
      <c r="AI14" s="460">
        <v>2022</v>
      </c>
    </row>
    <row r="15" spans="2:35">
      <c r="B15" s="622" t="s">
        <v>1691</v>
      </c>
      <c r="C15" s="626">
        <f>'[14]CO2FFC Adjustments'!D4</f>
        <v>0</v>
      </c>
      <c r="D15" s="626">
        <f>'[14]CO2FFC Adjustments'!E4</f>
        <v>0</v>
      </c>
      <c r="E15" s="626">
        <f>'[14]CO2FFC Adjustments'!F4</f>
        <v>0</v>
      </c>
      <c r="F15" s="626">
        <f>'[14]CO2FFC Adjustments'!G4</f>
        <v>0</v>
      </c>
      <c r="G15" s="626">
        <f>'[14]CO2FFC Adjustments'!H4</f>
        <v>0</v>
      </c>
      <c r="H15" s="626">
        <f>'[14]CO2FFC Adjustments'!I4</f>
        <v>0</v>
      </c>
      <c r="I15" s="626">
        <f>'[14]CO2FFC Adjustments'!J4</f>
        <v>0</v>
      </c>
      <c r="J15" s="626">
        <f>'[14]CO2FFC Adjustments'!K4</f>
        <v>0</v>
      </c>
      <c r="K15" s="626">
        <f>'[14]CO2FFC Adjustments'!L4</f>
        <v>0</v>
      </c>
      <c r="L15" s="626">
        <f>'[14]CO2FFC Adjustments'!M4</f>
        <v>0</v>
      </c>
      <c r="M15" s="626">
        <f>'[14]CO2FFC Adjustments'!N4</f>
        <v>17.747978702425556</v>
      </c>
      <c r="N15" s="626">
        <f>'[14]CO2FFC Adjustments'!O4</f>
        <v>19.719976336028392</v>
      </c>
      <c r="O15" s="626">
        <f>'[14]CO2FFC Adjustments'!P4</f>
        <v>19.719976336028392</v>
      </c>
      <c r="P15" s="626">
        <f>'[14]CO2FFC Adjustments'!Q4</f>
        <v>19.719976336028392</v>
      </c>
      <c r="Q15" s="626">
        <f>'[14]CO2FFC Adjustments'!R4</f>
        <v>19.719976336028392</v>
      </c>
      <c r="R15" s="626">
        <f>'[14]CO2FFC Adjustments'!S4</f>
        <v>19.719976336028392</v>
      </c>
      <c r="S15" s="626">
        <f>'[14]CO2FFC Adjustments'!T4</f>
        <v>19.719976336028399</v>
      </c>
      <c r="T15" s="626">
        <f>'[14]CO2FFC Adjustments'!U4</f>
        <v>19.719976336028395</v>
      </c>
      <c r="U15" s="626">
        <f>'[14]CO2FFC Adjustments'!V4</f>
        <v>19.719976336028395</v>
      </c>
      <c r="V15" s="626">
        <f>'[14]CO2FFC Adjustments'!W4</f>
        <v>19.719976336028395</v>
      </c>
      <c r="W15" s="626">
        <f>'[14]CO2FFC Adjustments'!X4</f>
        <v>19.719976336028392</v>
      </c>
      <c r="X15" s="626">
        <f>'[14]CO2FFC Adjustments'!Y4</f>
        <v>19.719976336028395</v>
      </c>
      <c r="Y15" s="626">
        <f>'[14]CO2FFC Adjustments'!Z4</f>
        <v>19.719976336028395</v>
      </c>
      <c r="Z15" s="626">
        <f>'[14]CO2FFC Adjustments'!AA4</f>
        <v>19.719976336028395</v>
      </c>
      <c r="AA15" s="626">
        <f>'[14]CO2FFC Adjustments'!AB4</f>
        <v>23.946937093275487</v>
      </c>
      <c r="AB15" s="626">
        <f>'[14]CO2FFC Adjustments'!AC4</f>
        <v>19.819253697495558</v>
      </c>
      <c r="AC15" s="626">
        <f>'[14]CO2FFC Adjustments'!AD4</f>
        <v>16.446709327548803</v>
      </c>
      <c r="AD15" s="626">
        <f>'[14]CO2FFC Adjustments'!AE4</f>
        <v>17.611025241569706</v>
      </c>
      <c r="AE15" s="626">
        <f>'[14]CO2FFC Adjustments'!AF4</f>
        <v>15.001232597120884</v>
      </c>
      <c r="AF15" s="626">
        <f>'[14]CO2FFC Adjustments'!AG4</f>
        <v>17.081318290278052</v>
      </c>
      <c r="AG15" s="626">
        <f>'[14]CO2FFC Adjustments'!AH4</f>
        <v>15.711728002366396</v>
      </c>
      <c r="AH15" s="626">
        <f>'[14]CO2FFC Adjustments'!AI4</f>
        <v>16.420069019917172</v>
      </c>
      <c r="AI15" s="626">
        <f>'[14]CO2FFC Adjustments'!AJ4</f>
        <v>16.420069019917172</v>
      </c>
    </row>
    <row r="16" spans="2:35">
      <c r="B16" s="620" t="s">
        <v>1692</v>
      </c>
      <c r="C16" s="627">
        <f>'[15]CO2FFC Adj'!C16</f>
        <v>7.610742236648556</v>
      </c>
      <c r="D16" s="627">
        <f>'[15]CO2FFC Adj'!D16</f>
        <v>7.8497011520169808</v>
      </c>
      <c r="E16" s="627">
        <f>'[15]CO2FFC Adj'!E16</f>
        <v>8.8232125744641685</v>
      </c>
      <c r="F16" s="627">
        <f>'[15]CO2FFC Adj'!F16</f>
        <v>9.2565522462834089</v>
      </c>
      <c r="G16" s="627">
        <f>'[15]CO2FFC Adj'!G16</f>
        <v>10.135953402448999</v>
      </c>
      <c r="H16" s="627">
        <f>'[15]CO2FFC Adj'!H16</f>
        <v>10.473082705547876</v>
      </c>
      <c r="I16" s="627">
        <f>'[15]CO2FFC Adj'!I16</f>
        <v>10.62258759673575</v>
      </c>
      <c r="J16" s="627">
        <f>'[15]CO2FFC Adj'!J16</f>
        <v>10.361514324729033</v>
      </c>
      <c r="K16" s="627">
        <f>'[15]CO2FFC Adj'!K16</f>
        <v>9.669458452587806</v>
      </c>
      <c r="L16" s="627">
        <f>'[15]CO2FFC Adj'!L16</f>
        <v>10.28914950870919</v>
      </c>
      <c r="M16" s="627">
        <f>'[15]CO2FFC Adj'!M16</f>
        <v>11.506242966610891</v>
      </c>
      <c r="N16" s="627">
        <f>'[15]CO2FFC Adj'!N16</f>
        <v>10.527041935244348</v>
      </c>
      <c r="O16" s="627">
        <f>'[15]CO2FFC Adj'!O16</f>
        <v>11.265650724274195</v>
      </c>
      <c r="P16" s="627">
        <f>'[15]CO2FFC Adj'!P16</f>
        <v>11.146202513710181</v>
      </c>
      <c r="Q16" s="627">
        <f>'[15]CO2FFC Adj'!Q16</f>
        <v>11.142983074743613</v>
      </c>
      <c r="R16" s="627">
        <f>'[15]CO2FFC Adj'!R16</f>
        <v>11.036504396603048</v>
      </c>
      <c r="S16" s="627">
        <f>'[15]CO2FFC Adj'!S16</f>
        <v>11.020231805481213</v>
      </c>
      <c r="T16" s="627">
        <f>'[15]CO2FFC Adj'!T16</f>
        <v>11.028963986917233</v>
      </c>
      <c r="U16" s="627">
        <f>'[15]CO2FFC Adj'!U16</f>
        <v>11.02919773917794</v>
      </c>
      <c r="V16" s="627">
        <f>'[15]CO2FFC Adj'!V16</f>
        <v>11.007552100023295</v>
      </c>
      <c r="W16" s="627">
        <f>'[15]CO2FFC Adj'!W16</f>
        <v>9.5527659077247407</v>
      </c>
      <c r="X16" s="627">
        <f>'[15]CO2FFC Adj'!X16</f>
        <v>9.5455336165308484</v>
      </c>
      <c r="Y16" s="627">
        <f>'[15]CO2FFC Adj'!Y16</f>
        <v>9.5258951694052083</v>
      </c>
      <c r="Z16" s="627">
        <f>'[15]CO2FFC Adj'!Z16</f>
        <v>9.529551072727271</v>
      </c>
      <c r="AA16" s="627">
        <f>'[15]CO2FFC Adj'!AA16</f>
        <v>9.5221588939794586</v>
      </c>
      <c r="AB16" s="627">
        <f>'[15]CO2FFC Adj'!AB16</f>
        <v>9.5007240748646513</v>
      </c>
      <c r="AC16" s="627">
        <f>'[15]CO2FFC Adj'!AC16</f>
        <v>9.4896221748660459</v>
      </c>
      <c r="AD16" s="627">
        <f>'[15]CO2FFC Adj'!AD16</f>
        <v>9.4806373686218848</v>
      </c>
      <c r="AE16" s="627">
        <f>'[15]CO2FFC Adj'!AE16</f>
        <v>9.4728649587449354</v>
      </c>
      <c r="AF16" s="627">
        <f>'[15]CO2FFC Adj'!AF16</f>
        <v>9.4764377365449537</v>
      </c>
      <c r="AG16" s="627">
        <f>'[15]CO2FFC Adj'!AG16</f>
        <v>9.4556176457652974</v>
      </c>
      <c r="AH16" s="627">
        <f>'[15]CO2FFC Adj'!AH16</f>
        <v>9.4672439396515937</v>
      </c>
      <c r="AI16" s="1081">
        <f>AH16</f>
        <v>9.4672439396515937</v>
      </c>
    </row>
    <row r="18" spans="2:35" ht="17.45">
      <c r="B18" s="636" t="s">
        <v>1693</v>
      </c>
      <c r="C18" s="628"/>
      <c r="D18" s="628"/>
    </row>
    <row r="19" spans="2:35">
      <c r="B19" s="557" t="s">
        <v>1694</v>
      </c>
    </row>
    <row r="20" spans="2:35">
      <c r="B20" s="633" t="s">
        <v>1596</v>
      </c>
      <c r="C20" s="460">
        <v>1990</v>
      </c>
      <c r="D20" s="460">
        <v>1991</v>
      </c>
      <c r="E20" s="460">
        <v>1992</v>
      </c>
      <c r="F20" s="460">
        <v>1993</v>
      </c>
      <c r="G20" s="460">
        <v>1994</v>
      </c>
      <c r="H20" s="460">
        <v>1995</v>
      </c>
      <c r="I20" s="460">
        <v>1996</v>
      </c>
      <c r="J20" s="460">
        <v>1997</v>
      </c>
      <c r="K20" s="460">
        <v>1998</v>
      </c>
      <c r="L20" s="460">
        <v>1999</v>
      </c>
      <c r="M20" s="460">
        <v>2000</v>
      </c>
      <c r="N20" s="460">
        <v>2001</v>
      </c>
      <c r="O20" s="460">
        <v>2002</v>
      </c>
      <c r="P20" s="460">
        <v>2003</v>
      </c>
      <c r="Q20" s="460">
        <v>2004</v>
      </c>
      <c r="R20" s="460">
        <v>2005</v>
      </c>
      <c r="S20" s="460">
        <v>2006</v>
      </c>
      <c r="T20" s="460">
        <v>2007</v>
      </c>
      <c r="U20" s="460">
        <v>2008</v>
      </c>
      <c r="V20" s="460">
        <v>2009</v>
      </c>
      <c r="W20" s="460">
        <v>2010</v>
      </c>
      <c r="X20" s="460">
        <v>2011</v>
      </c>
      <c r="Y20" s="460">
        <v>2012</v>
      </c>
      <c r="Z20" s="460">
        <v>2013</v>
      </c>
      <c r="AA20" s="460">
        <v>2014</v>
      </c>
      <c r="AB20" s="460">
        <v>2015</v>
      </c>
      <c r="AC20" s="460">
        <v>2016</v>
      </c>
      <c r="AD20" s="460">
        <v>2017</v>
      </c>
      <c r="AE20" s="460">
        <v>2018</v>
      </c>
      <c r="AF20" s="460">
        <v>2019</v>
      </c>
      <c r="AG20" s="460">
        <v>2020</v>
      </c>
      <c r="AH20" s="460">
        <v>2021</v>
      </c>
      <c r="AI20" s="460">
        <v>2022</v>
      </c>
    </row>
    <row r="21" spans="2:35">
      <c r="B21" s="629"/>
      <c r="C21" s="630">
        <v>0</v>
      </c>
      <c r="D21" s="630">
        <v>0</v>
      </c>
      <c r="E21" s="630">
        <v>0</v>
      </c>
      <c r="F21" s="630">
        <v>0</v>
      </c>
      <c r="G21" s="630">
        <v>0</v>
      </c>
      <c r="H21" s="630">
        <v>0</v>
      </c>
      <c r="I21" s="630">
        <v>0</v>
      </c>
      <c r="J21" s="630">
        <v>0</v>
      </c>
      <c r="K21" s="630">
        <v>0</v>
      </c>
      <c r="L21" s="630">
        <v>0</v>
      </c>
      <c r="M21" s="630">
        <v>0</v>
      </c>
      <c r="N21" s="630">
        <v>0</v>
      </c>
      <c r="O21" s="630">
        <v>0</v>
      </c>
      <c r="P21" s="630">
        <v>0</v>
      </c>
      <c r="Q21" s="630">
        <v>0</v>
      </c>
      <c r="R21" s="630">
        <v>0</v>
      </c>
      <c r="S21" s="630">
        <v>0</v>
      </c>
      <c r="T21" s="630">
        <v>0</v>
      </c>
      <c r="U21" s="630">
        <v>0</v>
      </c>
      <c r="V21" s="630">
        <v>0</v>
      </c>
      <c r="W21" s="630">
        <v>0</v>
      </c>
      <c r="X21" s="630">
        <v>0</v>
      </c>
      <c r="Y21" s="630">
        <v>0</v>
      </c>
      <c r="Z21" s="630">
        <v>0</v>
      </c>
      <c r="AA21" s="630">
        <v>0</v>
      </c>
      <c r="AB21" s="630">
        <v>0</v>
      </c>
      <c r="AC21" s="630">
        <v>0</v>
      </c>
      <c r="AD21" s="630">
        <v>0</v>
      </c>
      <c r="AE21" s="630">
        <v>0</v>
      </c>
      <c r="AF21" s="630">
        <v>0</v>
      </c>
      <c r="AG21" s="630">
        <v>0</v>
      </c>
      <c r="AH21" s="630">
        <v>0</v>
      </c>
      <c r="AI21" s="630">
        <v>0</v>
      </c>
    </row>
    <row r="23" spans="2:35" ht="17.45">
      <c r="B23" s="1121" t="s">
        <v>1695</v>
      </c>
    </row>
    <row r="24" spans="2:35">
      <c r="B24" s="45" t="s">
        <v>1696</v>
      </c>
    </row>
    <row r="25" spans="2:35">
      <c r="B25" s="633" t="s">
        <v>1596</v>
      </c>
      <c r="C25" s="460">
        <v>1990</v>
      </c>
      <c r="D25" s="460">
        <v>1991</v>
      </c>
      <c r="E25" s="460">
        <v>1992</v>
      </c>
      <c r="F25" s="460">
        <v>1993</v>
      </c>
      <c r="G25" s="460">
        <v>1994</v>
      </c>
      <c r="H25" s="460">
        <v>1995</v>
      </c>
      <c r="I25" s="460">
        <v>1996</v>
      </c>
      <c r="J25" s="460">
        <v>1997</v>
      </c>
      <c r="K25" s="460">
        <v>1998</v>
      </c>
      <c r="L25" s="460">
        <v>1999</v>
      </c>
      <c r="M25" s="460">
        <v>2000</v>
      </c>
      <c r="N25" s="460">
        <v>2001</v>
      </c>
      <c r="O25" s="460">
        <v>2002</v>
      </c>
      <c r="P25" s="460">
        <v>2003</v>
      </c>
      <c r="Q25" s="460">
        <v>2004</v>
      </c>
      <c r="R25" s="460">
        <v>2005</v>
      </c>
      <c r="S25" s="460">
        <v>2006</v>
      </c>
      <c r="T25" s="460">
        <v>2007</v>
      </c>
      <c r="U25" s="460">
        <v>2008</v>
      </c>
      <c r="V25" s="460">
        <v>2009</v>
      </c>
      <c r="W25" s="460">
        <v>2010</v>
      </c>
      <c r="X25" s="460">
        <v>2011</v>
      </c>
      <c r="Y25" s="460">
        <v>2012</v>
      </c>
      <c r="Z25" s="460">
        <v>2013</v>
      </c>
      <c r="AA25" s="460">
        <v>2014</v>
      </c>
      <c r="AB25" s="460">
        <v>2015</v>
      </c>
      <c r="AC25" s="460">
        <v>2016</v>
      </c>
      <c r="AD25" s="460">
        <v>2017</v>
      </c>
      <c r="AE25" s="460">
        <v>2018</v>
      </c>
      <c r="AF25" s="460">
        <v>2019</v>
      </c>
      <c r="AG25" s="460">
        <v>2020</v>
      </c>
      <c r="AH25" s="460">
        <v>2021</v>
      </c>
      <c r="AI25" s="460">
        <v>2022</v>
      </c>
    </row>
    <row r="26" spans="2:35">
      <c r="B26" s="629"/>
      <c r="C26" s="1053">
        <f>'[15]CO2FFC Adj'!C6</f>
        <v>374.83531288722821</v>
      </c>
      <c r="D26" s="627">
        <f>'[15]CO2FFC Adj'!D6</f>
        <v>378.86265149285344</v>
      </c>
      <c r="E26" s="627">
        <f>'[15]CO2FFC Adj'!E6</f>
        <v>395.52298709056464</v>
      </c>
      <c r="F26" s="627">
        <f>'[15]CO2FFC Adj'!F6</f>
        <v>378.33123038502708</v>
      </c>
      <c r="G26" s="627">
        <f>'[15]CO2FFC Adj'!G6</f>
        <v>393.54367109339199</v>
      </c>
      <c r="H26" s="627">
        <f>'[15]CO2FFC Adj'!H6</f>
        <v>382.53488810846778</v>
      </c>
      <c r="I26" s="627">
        <f>'[15]CO2FFC Adj'!I6</f>
        <v>393.96499451635157</v>
      </c>
      <c r="J26" s="627">
        <f>'[15]CO2FFC Adj'!J6</f>
        <v>393.26160335278962</v>
      </c>
      <c r="K26" s="627">
        <f>'[15]CO2FFC Adj'!K6</f>
        <v>408.0775295736056</v>
      </c>
      <c r="L26" s="627">
        <f>'[15]CO2FFC Adj'!L6</f>
        <v>381.45557087439443</v>
      </c>
      <c r="M26" s="627">
        <f>'[15]CO2FFC Adj'!M6</f>
        <v>346.8644214859155</v>
      </c>
      <c r="N26" s="627">
        <f>'[15]CO2FFC Adj'!N6</f>
        <v>264.48087836061399</v>
      </c>
      <c r="O26" s="627">
        <f>'[15]CO2FFC Adj'!O6</f>
        <v>298.3124429785849</v>
      </c>
      <c r="P26" s="627">
        <f>'[15]CO2FFC Adj'!P6</f>
        <v>242.13650361531592</v>
      </c>
      <c r="Q26" s="627">
        <f>'[15]CO2FFC Adj'!Q6</f>
        <v>258.25006570181955</v>
      </c>
      <c r="R26" s="627">
        <f>'[15]CO2FFC Adj'!R6</f>
        <v>237.14810798586524</v>
      </c>
      <c r="S26" s="627">
        <f>'[15]CO2FFC Adj'!S6</f>
        <v>233.71018940857064</v>
      </c>
      <c r="T26" s="627">
        <f>'[15]CO2FFC Adj'!T6</f>
        <v>244.87005383978945</v>
      </c>
      <c r="U26" s="627">
        <f>'[15]CO2FFC Adj'!U6</f>
        <v>224.20544581913478</v>
      </c>
      <c r="V26" s="627">
        <f>'[15]CO2FFC Adj'!V6</f>
        <v>217.29492881504237</v>
      </c>
      <c r="W26" s="627">
        <f>'[15]CO2FFC Adj'!W6</f>
        <v>235.36468686884066</v>
      </c>
      <c r="X26" s="627">
        <f>'[15]CO2FFC Adj'!X6</f>
        <v>238.44438809389447</v>
      </c>
      <c r="Y26" s="627">
        <f>'[15]CO2FFC Adj'!Y6</f>
        <v>244.13045762571915</v>
      </c>
      <c r="Z26" s="627">
        <f>'[15]CO2FFC Adj'!Z6</f>
        <v>247.67280044710373</v>
      </c>
      <c r="AA26" s="627">
        <f>'[15]CO2FFC Adj'!AA6</f>
        <v>251.2189710270863</v>
      </c>
      <c r="AB26" s="627">
        <f>'[15]CO2FFC Adj'!AB6</f>
        <v>249.35372780772784</v>
      </c>
      <c r="AC26" s="627">
        <f>'[15]CO2FFC Adj'!AC6</f>
        <v>269.37285312322354</v>
      </c>
      <c r="AD26" s="627">
        <f>'[15]CO2FFC Adj'!AD6</f>
        <v>336.62826461301654</v>
      </c>
      <c r="AE26" s="627">
        <f>'[15]CO2FFC Adj'!AE6</f>
        <v>364.83611784310114</v>
      </c>
      <c r="AF26" s="627">
        <f>'[15]CO2FFC Adj'!AF6</f>
        <v>365.53435230295742</v>
      </c>
      <c r="AG26" s="627">
        <f>'[15]CO2FFC Adj'!AG6</f>
        <v>378.72007701898383</v>
      </c>
      <c r="AH26" s="627">
        <f>'[15]CO2FFC Adj'!AH6</f>
        <v>350.23363381117628</v>
      </c>
      <c r="AI26" s="1081">
        <f>AH26</f>
        <v>350.23363381117628</v>
      </c>
    </row>
    <row r="27" spans="2:35">
      <c r="B27" s="631"/>
      <c r="C27" s="464"/>
      <c r="D27" s="464"/>
      <c r="E27" s="464"/>
      <c r="F27" s="464"/>
      <c r="G27" s="464"/>
      <c r="H27" s="464"/>
      <c r="I27" s="464"/>
      <c r="J27" s="464"/>
      <c r="K27" s="464"/>
      <c r="L27" s="464"/>
      <c r="M27" s="464"/>
      <c r="N27" s="464"/>
      <c r="O27" s="464"/>
      <c r="P27" s="464"/>
      <c r="Q27" s="464"/>
      <c r="R27" s="464"/>
      <c r="U27" s="464"/>
      <c r="V27" s="464"/>
      <c r="W27" s="464"/>
      <c r="X27" s="464"/>
    </row>
    <row r="28" spans="2:35" ht="17.45">
      <c r="B28" s="1121" t="s">
        <v>1697</v>
      </c>
    </row>
    <row r="29" spans="2:35">
      <c r="B29" s="1" t="s">
        <v>1698</v>
      </c>
    </row>
    <row r="30" spans="2:35">
      <c r="B30" s="633" t="s">
        <v>1596</v>
      </c>
      <c r="C30" s="621">
        <v>1990</v>
      </c>
      <c r="D30" s="621">
        <v>1991</v>
      </c>
      <c r="E30" s="621">
        <v>1992</v>
      </c>
      <c r="F30" s="621">
        <v>1993</v>
      </c>
      <c r="G30" s="621">
        <v>1994</v>
      </c>
      <c r="H30" s="621">
        <v>1995</v>
      </c>
      <c r="I30" s="621">
        <v>1996</v>
      </c>
      <c r="J30" s="621">
        <v>1997</v>
      </c>
      <c r="K30" s="621">
        <v>1998</v>
      </c>
      <c r="L30" s="621">
        <v>1999</v>
      </c>
      <c r="M30" s="621">
        <v>2000</v>
      </c>
      <c r="N30" s="621">
        <v>2001</v>
      </c>
      <c r="O30" s="621">
        <v>2002</v>
      </c>
      <c r="P30" s="621">
        <v>2003</v>
      </c>
      <c r="Q30" s="621">
        <v>2004</v>
      </c>
      <c r="R30" s="621">
        <v>2005</v>
      </c>
      <c r="S30" s="621">
        <v>2006</v>
      </c>
      <c r="T30" s="621">
        <v>2007</v>
      </c>
      <c r="U30" s="621">
        <v>2008</v>
      </c>
      <c r="V30" s="621">
        <v>2009</v>
      </c>
      <c r="W30" s="621">
        <v>2010</v>
      </c>
      <c r="X30" s="621">
        <v>2011</v>
      </c>
      <c r="Y30" s="621">
        <v>2012</v>
      </c>
      <c r="Z30" s="621">
        <v>2013</v>
      </c>
      <c r="AA30" s="621">
        <v>2014</v>
      </c>
      <c r="AB30" s="621">
        <v>2015</v>
      </c>
      <c r="AC30" s="621">
        <v>2016</v>
      </c>
      <c r="AD30" s="621">
        <v>2017</v>
      </c>
      <c r="AE30" s="621">
        <v>2018</v>
      </c>
      <c r="AF30" s="621">
        <v>2019</v>
      </c>
      <c r="AG30" s="621">
        <v>2020</v>
      </c>
      <c r="AH30" s="621">
        <v>2021</v>
      </c>
      <c r="AI30" s="621">
        <v>2022</v>
      </c>
    </row>
    <row r="31" spans="2:35">
      <c r="B31" s="631" t="s">
        <v>1652</v>
      </c>
      <c r="C31" s="632">
        <f>'[14]CO2FFC Adjustments'!D5</f>
        <v>1.9103000000000001</v>
      </c>
      <c r="D31" s="632">
        <f>'[14]CO2FFC Adjustments'!E5</f>
        <v>1.5012000000000001</v>
      </c>
      <c r="E31" s="632">
        <f>'[14]CO2FFC Adjustments'!F5</f>
        <v>1.4692000000000001</v>
      </c>
      <c r="F31" s="632">
        <f>'[14]CO2FFC Adjustments'!G5</f>
        <v>1.2794000000000001</v>
      </c>
      <c r="G31" s="632">
        <f>'[14]CO2FFC Adjustments'!H5</f>
        <v>1.3687</v>
      </c>
      <c r="H31" s="632">
        <f>'[14]CO2FFC Adjustments'!I5</f>
        <v>2.1377999999999999</v>
      </c>
      <c r="I31" s="632">
        <f>'[14]CO2FFC Adjustments'!J5</f>
        <v>2.1848000000000001</v>
      </c>
      <c r="J31" s="632">
        <f>'[14]CO2FFC Adjustments'!K5</f>
        <v>2.2238000000000002</v>
      </c>
      <c r="K31" s="632">
        <f>'[14]CO2FFC Adjustments'!L5</f>
        <v>2.1966999999999999</v>
      </c>
      <c r="L31" s="632">
        <f>'[14]CO2FFC Adjustments'!M5</f>
        <v>2.0895999999999999</v>
      </c>
      <c r="M31" s="632">
        <f>'[14]CO2FFC Adjustments'!N5</f>
        <v>1.2422</v>
      </c>
      <c r="N31" s="632">
        <f>'[14]CO2FFC Adjustments'!O5</f>
        <v>0.40539999999999998</v>
      </c>
      <c r="O31" s="632">
        <f>'[14]CO2FFC Adjustments'!P5</f>
        <v>0</v>
      </c>
      <c r="P31" s="632">
        <f>'[14]CO2FFC Adjustments'!Q5</f>
        <v>0</v>
      </c>
      <c r="Q31" s="632">
        <f>'[14]CO2FFC Adjustments'!R5</f>
        <v>0</v>
      </c>
      <c r="R31" s="632">
        <f>'[14]CO2FFC Adjustments'!S5</f>
        <v>0</v>
      </c>
      <c r="S31" s="632">
        <f>'[14]CO2FFC Adjustments'!T5</f>
        <v>0</v>
      </c>
      <c r="T31" s="632">
        <f>'[14]CO2FFC Adjustments'!U5</f>
        <v>0</v>
      </c>
      <c r="U31" s="632">
        <f>'[14]CO2FFC Adjustments'!V5</f>
        <v>0</v>
      </c>
      <c r="V31" s="632">
        <f>'[14]CO2FFC Adjustments'!W5</f>
        <v>0</v>
      </c>
      <c r="W31" s="632">
        <f>'[14]CO2FFC Adjustments'!X5</f>
        <v>0</v>
      </c>
      <c r="X31" s="632">
        <f>'[14]CO2FFC Adjustments'!Y5</f>
        <v>0</v>
      </c>
      <c r="Y31" s="632">
        <f>'[14]CO2FFC Adjustments'!Z5</f>
        <v>0</v>
      </c>
      <c r="Z31" s="632">
        <f>'[14]CO2FFC Adjustments'!AA5</f>
        <v>0</v>
      </c>
      <c r="AA31" s="632">
        <f>'[14]CO2FFC Adjustments'!AB5</f>
        <v>0</v>
      </c>
      <c r="AB31" s="632">
        <f>'[14]CO2FFC Adjustments'!AC5</f>
        <v>0</v>
      </c>
      <c r="AC31" s="632">
        <f>'[14]CO2FFC Adjustments'!AD5</f>
        <v>0</v>
      </c>
      <c r="AD31" s="632">
        <f>'[14]CO2FFC Adjustments'!AE5</f>
        <v>0</v>
      </c>
      <c r="AE31" s="632">
        <f>'[14]CO2FFC Adjustments'!AF5</f>
        <v>0</v>
      </c>
      <c r="AF31" s="632">
        <f>'[14]CO2FFC Adjustments'!AG5</f>
        <v>0</v>
      </c>
      <c r="AG31" s="632">
        <f>'[14]CO2FFC Adjustments'!AH5</f>
        <v>0</v>
      </c>
      <c r="AH31" s="632">
        <f>'[14]CO2FFC Adjustments'!AI5</f>
        <v>0</v>
      </c>
      <c r="AI31" s="632">
        <f>'[14]CO2FFC Adjustments'!AJ5</f>
        <v>0</v>
      </c>
    </row>
    <row r="32" spans="2:35">
      <c r="B32" s="629" t="s">
        <v>1653</v>
      </c>
      <c r="C32" s="632">
        <f>'[14]CO2FFC Adjustments'!D6</f>
        <v>1.1259999999999999</v>
      </c>
      <c r="D32" s="632">
        <f>'[14]CO2FFC Adjustments'!E6</f>
        <v>1.1205000000000001</v>
      </c>
      <c r="E32" s="632">
        <f>'[14]CO2FFC Adjustments'!F6</f>
        <v>1.335</v>
      </c>
      <c r="F32" s="632">
        <f>'[14]CO2FFC Adjustments'!G6</f>
        <v>1.3354999999999999</v>
      </c>
      <c r="G32" s="632">
        <f>'[14]CO2FFC Adjustments'!H6</f>
        <v>1.0740000000000001</v>
      </c>
      <c r="H32" s="632">
        <f>'[14]CO2FFC Adjustments'!I6</f>
        <v>1.3029999999999999</v>
      </c>
      <c r="I32" s="632">
        <f>'[14]CO2FFC Adjustments'!J6</f>
        <v>1.3274999999999999</v>
      </c>
      <c r="J32" s="632">
        <f>'[14]CO2FFC Adjustments'!K6</f>
        <v>1.4770000000000001</v>
      </c>
      <c r="K32" s="632">
        <f>'[14]CO2FFC Adjustments'!L6</f>
        <v>1.2164999999999999</v>
      </c>
      <c r="L32" s="632">
        <f>'[14]CO2FFC Adjustments'!M6</f>
        <v>2.7210000000000001</v>
      </c>
      <c r="M32" s="632">
        <f>'[14]CO2FFC Adjustments'!N6</f>
        <v>2.7905000000000002</v>
      </c>
      <c r="N32" s="632">
        <f>'[14]CO2FFC Adjustments'!O6</f>
        <v>2.6095000000000002</v>
      </c>
      <c r="O32" s="632">
        <f>'[14]CO2FFC Adjustments'!P6</f>
        <v>0.84350000000000003</v>
      </c>
      <c r="P32" s="632">
        <f>'[14]CO2FFC Adjustments'!Q6</f>
        <v>1.137</v>
      </c>
      <c r="Q32" s="632">
        <f>'[14]CO2FFC Adjustments'!R6</f>
        <v>1.333</v>
      </c>
      <c r="R32" s="632">
        <f>'[14]CO2FFC Adjustments'!S6</f>
        <v>1.1964999999999999</v>
      </c>
      <c r="S32" s="632">
        <f>'[14]CO2FFC Adjustments'!T6</f>
        <v>0.90749999999999997</v>
      </c>
      <c r="T32" s="632">
        <f>'[14]CO2FFC Adjustments'!U6</f>
        <v>0.46650000000000003</v>
      </c>
      <c r="U32" s="632">
        <f>'[14]CO2FFC Adjustments'!V6</f>
        <v>0.2445</v>
      </c>
      <c r="V32" s="632">
        <f>'[14]CO2FFC Adjustments'!W6</f>
        <v>0.22700000000000001</v>
      </c>
      <c r="W32" s="632">
        <f>'[14]CO2FFC Adjustments'!X6</f>
        <v>0.22850000000000001</v>
      </c>
      <c r="X32" s="632">
        <f>'[14]CO2FFC Adjustments'!Y6</f>
        <v>0.19600000000000001</v>
      </c>
      <c r="Y32" s="632">
        <f>'[14]CO2FFC Adjustments'!Z6</f>
        <v>6.9500000000000006E-2</v>
      </c>
      <c r="Z32" s="632">
        <f>'[14]CO2FFC Adjustments'!AA6</f>
        <v>0.1275</v>
      </c>
      <c r="AA32" s="632">
        <f>'[14]CO2FFC Adjustments'!AB6</f>
        <v>0.26500000000000001</v>
      </c>
      <c r="AB32" s="632">
        <f>'[14]CO2FFC Adjustments'!AC6</f>
        <v>0.23150000000000001</v>
      </c>
      <c r="AC32" s="632">
        <f>'[14]CO2FFC Adjustments'!AD6</f>
        <v>0.14949999999999999</v>
      </c>
      <c r="AD32" s="632">
        <f>'[14]CO2FFC Adjustments'!AE6</f>
        <v>0</v>
      </c>
      <c r="AE32" s="632">
        <f>'[14]CO2FFC Adjustments'!AF6</f>
        <v>0</v>
      </c>
      <c r="AF32" s="632">
        <f>'[14]CO2FFC Adjustments'!AG6</f>
        <v>0</v>
      </c>
      <c r="AG32" s="632">
        <f>'[14]CO2FFC Adjustments'!AH6</f>
        <v>0</v>
      </c>
      <c r="AH32" s="632">
        <f>'[14]CO2FFC Adjustments'!AI6</f>
        <v>0</v>
      </c>
      <c r="AI32" s="632">
        <f>'[14]CO2FFC Adjustments'!AJ6</f>
        <v>0</v>
      </c>
    </row>
    <row r="33" spans="2:35">
      <c r="B33" s="631"/>
      <c r="C33" s="464"/>
      <c r="D33" s="464"/>
      <c r="E33" s="464"/>
      <c r="F33" s="464"/>
      <c r="G33" s="464"/>
      <c r="H33" s="464"/>
      <c r="I33" s="464"/>
      <c r="J33" s="464"/>
      <c r="K33" s="464"/>
      <c r="L33" s="464"/>
      <c r="M33" s="464"/>
      <c r="N33" s="464"/>
      <c r="O33" s="464"/>
      <c r="P33" s="464"/>
      <c r="Q33" s="464"/>
      <c r="R33" s="464"/>
      <c r="U33" s="464"/>
      <c r="V33" s="464"/>
      <c r="W33" s="464"/>
    </row>
    <row r="34" spans="2:35" ht="17.45">
      <c r="B34" s="1121" t="s">
        <v>1699</v>
      </c>
    </row>
    <row r="35" spans="2:35">
      <c r="B35" s="45" t="s">
        <v>1700</v>
      </c>
    </row>
    <row r="36" spans="2:35">
      <c r="B36" s="633" t="s">
        <v>1596</v>
      </c>
      <c r="C36" s="460">
        <v>1990</v>
      </c>
      <c r="D36" s="460">
        <v>1991</v>
      </c>
      <c r="E36" s="460">
        <v>1992</v>
      </c>
      <c r="F36" s="460">
        <v>1993</v>
      </c>
      <c r="G36" s="460">
        <v>1994</v>
      </c>
      <c r="H36" s="460">
        <v>1995</v>
      </c>
      <c r="I36" s="460">
        <v>1996</v>
      </c>
      <c r="J36" s="460">
        <v>1997</v>
      </c>
      <c r="K36" s="460">
        <v>1998</v>
      </c>
      <c r="L36" s="460">
        <v>1999</v>
      </c>
      <c r="M36" s="460">
        <v>2000</v>
      </c>
      <c r="N36" s="460">
        <v>2001</v>
      </c>
      <c r="O36" s="460">
        <v>2002</v>
      </c>
      <c r="P36" s="460">
        <v>2003</v>
      </c>
      <c r="Q36" s="460">
        <v>2004</v>
      </c>
      <c r="R36" s="460">
        <v>2005</v>
      </c>
      <c r="S36" s="460">
        <v>2006</v>
      </c>
      <c r="T36" s="460">
        <v>2007</v>
      </c>
      <c r="U36" s="460">
        <v>2008</v>
      </c>
      <c r="V36" s="460">
        <v>2009</v>
      </c>
      <c r="W36" s="460">
        <v>2010</v>
      </c>
      <c r="X36" s="460">
        <v>2011</v>
      </c>
      <c r="Y36" s="460">
        <v>2012</v>
      </c>
      <c r="Z36" s="460">
        <v>2013</v>
      </c>
      <c r="AA36" s="460">
        <v>2014</v>
      </c>
      <c r="AB36" s="460">
        <v>2015</v>
      </c>
      <c r="AC36" s="460">
        <v>2016</v>
      </c>
      <c r="AD36" s="460">
        <v>2017</v>
      </c>
      <c r="AE36" s="460">
        <v>2018</v>
      </c>
      <c r="AF36" s="460">
        <v>2019</v>
      </c>
      <c r="AG36" s="460">
        <v>2020</v>
      </c>
      <c r="AH36" s="460">
        <v>2021</v>
      </c>
      <c r="AI36" s="460">
        <v>2022</v>
      </c>
    </row>
    <row r="37" spans="2:35">
      <c r="B37" s="287" t="s">
        <v>1605</v>
      </c>
      <c r="C37" s="532">
        <f>'[16]CO2FFC Adj'!C7</f>
        <v>1044.7647202336889</v>
      </c>
      <c r="D37" s="532">
        <f>'[16]CO2FFC Adj'!D7</f>
        <v>932.22358615298174</v>
      </c>
      <c r="E37" s="532">
        <f>'[16]CO2FFC Adj'!E7</f>
        <v>887.16476440660347</v>
      </c>
      <c r="F37" s="532">
        <f>'[16]CO2FFC Adj'!F7</f>
        <v>838.46232808479726</v>
      </c>
      <c r="G37" s="532">
        <f>'[16]CO2FFC Adj'!G7</f>
        <v>841.7251746150273</v>
      </c>
      <c r="H37" s="532">
        <f>'[16]CO2FFC Adj'!H7</f>
        <v>846.94301620947226</v>
      </c>
      <c r="I37" s="532">
        <f>'[16]CO2FFC Adj'!I7</f>
        <v>825.63699147547584</v>
      </c>
      <c r="J37" s="532">
        <f>'[16]CO2FFC Adj'!J7</f>
        <v>836.8151535665578</v>
      </c>
      <c r="K37" s="532">
        <f>'[16]CO2FFC Adj'!K7</f>
        <v>762.18865577643771</v>
      </c>
      <c r="L37" s="532">
        <f>'[16]CO2FFC Adj'!L7</f>
        <v>730.80933714400874</v>
      </c>
      <c r="M37" s="532">
        <f>'[16]CO2FFC Adj'!M7</f>
        <v>740.14490193556492</v>
      </c>
      <c r="N37" s="532">
        <f>'[16]CO2FFC Adj'!N7</f>
        <v>690.37209296348908</v>
      </c>
      <c r="O37" s="532">
        <f>'[16]CO2FFC Adj'!O7</f>
        <v>608.48793776068374</v>
      </c>
      <c r="P37" s="532">
        <f>'[16]CO2FFC Adj'!P7</f>
        <v>613.10317101275837</v>
      </c>
      <c r="Q37" s="532">
        <f>'[16]CO2FFC Adj'!Q7</f>
        <v>481.40837175006118</v>
      </c>
      <c r="R37" s="532">
        <f>'[16]CO2FFC Adj'!R7</f>
        <v>535.38558119889262</v>
      </c>
      <c r="S37" s="532">
        <f>'[16]CO2FFC Adj'!S7</f>
        <v>540.23352600195494</v>
      </c>
      <c r="T37" s="532">
        <f>'[16]CO2FFC Adj'!T7</f>
        <v>595.75484711871309</v>
      </c>
      <c r="U37" s="532">
        <f>'[16]CO2FFC Adj'!U7</f>
        <v>550.85297382009753</v>
      </c>
      <c r="V37" s="532">
        <f>'[16]CO2FFC Adj'!V7</f>
        <v>397.21610548198259</v>
      </c>
      <c r="W37" s="532">
        <f>'[16]CO2FFC Adj'!W7</f>
        <v>489.8611590290497</v>
      </c>
      <c r="X37" s="532">
        <f>'[16]CO2FFC Adj'!X7</f>
        <v>502.84884581806352</v>
      </c>
      <c r="Y37" s="532">
        <f>'[16]CO2FFC Adj'!Y7</f>
        <v>461.75349722506826</v>
      </c>
      <c r="Z37" s="532">
        <f>'[16]CO2FFC Adj'!Z7</f>
        <v>496.50391735639903</v>
      </c>
      <c r="AA37" s="532">
        <f>'[16]CO2FFC Adj'!AA7</f>
        <v>556.95327385147584</v>
      </c>
      <c r="AB37" s="532">
        <f>'[16]CO2FFC Adj'!AB7</f>
        <v>439.85033454156104</v>
      </c>
      <c r="AC37" s="532">
        <f>'[16]CO2FFC Adj'!AC7</f>
        <v>381.95927248286921</v>
      </c>
      <c r="AD37" s="532">
        <f>'[16]CO2FFC Adj'!AD7</f>
        <v>389.85432478132032</v>
      </c>
      <c r="AE37" s="532">
        <f>'[16]CO2FFC Adj'!AE7</f>
        <v>399.89597594511588</v>
      </c>
      <c r="AF37" s="532">
        <f>'[16]CO2FFC Adj'!AF7</f>
        <v>401.52702445369732</v>
      </c>
      <c r="AG37" s="532">
        <f>'[16]CO2FFC Adj'!AG7</f>
        <v>334.03964633486987</v>
      </c>
      <c r="AH37" s="532">
        <f>'[16]CO2FFC Adj'!AH7</f>
        <v>426.31606380854544</v>
      </c>
      <c r="AI37" s="1082">
        <f>AH37</f>
        <v>426.31606380854544</v>
      </c>
    </row>
    <row r="38" spans="2:35">
      <c r="B38" s="620" t="s">
        <v>1701</v>
      </c>
      <c r="C38" s="627">
        <f>'[16]CO2FFC Adj'!C8</f>
        <v>-2.8999972336889108</v>
      </c>
      <c r="D38" s="627">
        <f>'[16]CO2FFC Adj'!D8</f>
        <v>-24.978574641981705</v>
      </c>
      <c r="E38" s="627">
        <f>'[16]CO2FFC Adj'!E8</f>
        <v>-19.780505098603523</v>
      </c>
      <c r="F38" s="627">
        <f>'[16]CO2FFC Adj'!F8</f>
        <v>0.99002511520280623</v>
      </c>
      <c r="G38" s="627">
        <f>'[16]CO2FFC Adj'!G8</f>
        <v>8.9173041849727195</v>
      </c>
      <c r="H38" s="627">
        <f>'[16]CO2FFC Adj'!H8</f>
        <v>37.763388190527749</v>
      </c>
      <c r="I38" s="627">
        <f>'[16]CO2FFC Adj'!I8</f>
        <v>24.077403324524216</v>
      </c>
      <c r="J38" s="627">
        <f>'[16]CO2FFC Adj'!J8</f>
        <v>-27.374699966557738</v>
      </c>
      <c r="K38" s="627">
        <f>'[16]CO2FFC Adj'!K8</f>
        <v>10.911284451562233</v>
      </c>
      <c r="L38" s="627">
        <f>'[16]CO2FFC Adj'!L8</f>
        <v>40.077270031991205</v>
      </c>
      <c r="M38" s="627">
        <f>'[16]CO2FFC Adj'!M8</f>
        <v>53.543709066435099</v>
      </c>
      <c r="N38" s="627">
        <f>'[16]CO2FFC Adj'!N8</f>
        <v>24.764422416510882</v>
      </c>
      <c r="O38" s="627">
        <f>'[16]CO2FFC Adj'!O8</f>
        <v>40.301518239316287</v>
      </c>
      <c r="P38" s="627">
        <f>'[16]CO2FFC Adj'!P8</f>
        <v>51.898228987241602</v>
      </c>
      <c r="Q38" s="627">
        <f>'[16]CO2FFC Adj'!Q8</f>
        <v>167.76504824993879</v>
      </c>
      <c r="R38" s="627">
        <f>'[16]CO2FFC Adj'!R8</f>
        <v>80.441235021107474</v>
      </c>
      <c r="S38" s="627">
        <f>'[16]CO2FFC Adj'!S8</f>
        <v>62.874549778045008</v>
      </c>
      <c r="T38" s="627">
        <f>'[16]CO2FFC Adj'!T8</f>
        <v>2.3083878812868801</v>
      </c>
      <c r="U38" s="627">
        <f>'[16]CO2FFC Adj'!U8</f>
        <v>29.168696179902494</v>
      </c>
      <c r="V38" s="627">
        <f>'[16]CO2FFC Adj'!V8</f>
        <v>6.3787785180173797</v>
      </c>
      <c r="W38" s="627">
        <f>'[16]CO2FFC Adj'!W8</f>
        <v>64.752980970950304</v>
      </c>
      <c r="X38" s="627">
        <f>'[16]CO2FFC Adj'!X8</f>
        <v>60.843920181936483</v>
      </c>
      <c r="Y38" s="627">
        <f>'[16]CO2FFC Adj'!Y8</f>
        <v>132.47213877493178</v>
      </c>
      <c r="Z38" s="627">
        <f>'[16]CO2FFC Adj'!Z8</f>
        <v>119.90725264360094</v>
      </c>
      <c r="AA38" s="627">
        <f>'[16]CO2FFC Adj'!AA8</f>
        <v>49.116752148524199</v>
      </c>
      <c r="AB38" s="627">
        <f>'[16]CO2FFC Adj'!AB8</f>
        <v>122.34007345843902</v>
      </c>
      <c r="AC38" s="627">
        <f>'[16]CO2FFC Adj'!AC8</f>
        <v>89.643607517130832</v>
      </c>
      <c r="AD38" s="627">
        <f>'[16]CO2FFC Adj'!AD8</f>
        <v>113.0127492186796</v>
      </c>
      <c r="AE38" s="627">
        <f>'[16]CO2FFC Adj'!AE8</f>
        <v>124.68892005488409</v>
      </c>
      <c r="AF38" s="627">
        <f>'[16]CO2FFC Adj'!AF8</f>
        <v>111.61917154630268</v>
      </c>
      <c r="AG38" s="627">
        <f>'[16]CO2FFC Adj'!AG8</f>
        <v>79.887191665130089</v>
      </c>
      <c r="AH38" s="627">
        <f>'[16]CO2FFC Adj'!AH8</f>
        <v>77.890210191454543</v>
      </c>
      <c r="AI38" s="1081">
        <f>AH38</f>
        <v>77.890210191454543</v>
      </c>
    </row>
    <row r="39" spans="2:35">
      <c r="V39" s="781"/>
    </row>
    <row r="40" spans="2:35" ht="23.1">
      <c r="B40" s="1121" t="s">
        <v>1702</v>
      </c>
      <c r="V40" s="782"/>
    </row>
    <row r="41" spans="2:35">
      <c r="B41" s="45" t="s">
        <v>1703</v>
      </c>
      <c r="V41" s="783"/>
    </row>
    <row r="42" spans="2:35">
      <c r="B42" s="633" t="s">
        <v>1596</v>
      </c>
      <c r="C42" s="621">
        <v>1990</v>
      </c>
      <c r="D42" s="621">
        <v>1991</v>
      </c>
      <c r="E42" s="621">
        <v>1992</v>
      </c>
      <c r="F42" s="621">
        <v>1993</v>
      </c>
      <c r="G42" s="621">
        <v>1994</v>
      </c>
      <c r="H42" s="621">
        <v>1995</v>
      </c>
      <c r="I42" s="621">
        <v>1996</v>
      </c>
      <c r="J42" s="621">
        <v>1997</v>
      </c>
      <c r="K42" s="621">
        <v>1998</v>
      </c>
      <c r="L42" s="621">
        <v>1999</v>
      </c>
      <c r="M42" s="621">
        <v>2000</v>
      </c>
      <c r="N42" s="621">
        <v>2001</v>
      </c>
      <c r="O42" s="621">
        <v>2002</v>
      </c>
      <c r="P42" s="621">
        <v>2003</v>
      </c>
      <c r="Q42" s="621">
        <v>2004</v>
      </c>
      <c r="R42" s="621">
        <v>2005</v>
      </c>
      <c r="S42" s="621">
        <v>2006</v>
      </c>
      <c r="T42" s="621">
        <v>2007</v>
      </c>
      <c r="U42" s="621">
        <v>2008</v>
      </c>
      <c r="V42" s="621">
        <v>2009</v>
      </c>
      <c r="W42" s="621">
        <v>2010</v>
      </c>
      <c r="X42" s="621">
        <v>2011</v>
      </c>
      <c r="Y42" s="621">
        <v>2012</v>
      </c>
      <c r="Z42" s="621">
        <v>2013</v>
      </c>
      <c r="AA42" s="621">
        <v>2014</v>
      </c>
      <c r="AB42" s="621">
        <v>2015</v>
      </c>
      <c r="AC42" s="621">
        <v>2016</v>
      </c>
      <c r="AD42" s="621">
        <v>2017</v>
      </c>
      <c r="AE42" s="621">
        <v>2018</v>
      </c>
      <c r="AF42" s="460">
        <v>2019</v>
      </c>
      <c r="AG42" s="460">
        <v>2020</v>
      </c>
      <c r="AH42" s="621">
        <v>2021</v>
      </c>
      <c r="AI42" s="460">
        <v>2022</v>
      </c>
    </row>
    <row r="43" spans="2:35">
      <c r="B43" s="45" t="s">
        <v>1704</v>
      </c>
      <c r="C43" s="632">
        <f>'[17]CO2 FFC Adj. and CRF'!C6</f>
        <v>59.465693686434179</v>
      </c>
      <c r="D43" s="632">
        <f>'[17]CO2 FFC Adj. and CRF'!D6</f>
        <v>60.456581875687085</v>
      </c>
      <c r="E43" s="632">
        <f>'[17]CO2 FFC Adj. and CRF'!E6</f>
        <v>59.228676971664903</v>
      </c>
      <c r="F43" s="632">
        <f>'[17]CO2 FFC Adj. and CRF'!F6</f>
        <v>54.065296536276939</v>
      </c>
      <c r="G43" s="632">
        <f>'[17]CO2 FFC Adj. and CRF'!G6</f>
        <v>48.216048834143123</v>
      </c>
      <c r="H43" s="632">
        <f>'[17]CO2 FFC Adj. and CRF'!H6</f>
        <v>49.261191231223492</v>
      </c>
      <c r="I43" s="632">
        <f>'[17]CO2 FFC Adj. and CRF'!I6</f>
        <v>52.11219974842065</v>
      </c>
      <c r="J43" s="632">
        <f>'[17]CO2 FFC Adj. and CRF'!J6</f>
        <v>52.391803328683395</v>
      </c>
      <c r="K43" s="632">
        <f>'[17]CO2 FFC Adj. and CRF'!K6</f>
        <v>53.890398195186783</v>
      </c>
      <c r="L43" s="632">
        <f>'[17]CO2 FFC Adj. and CRF'!L6</f>
        <v>54.71665247342802</v>
      </c>
      <c r="M43" s="632">
        <f>'[17]CO2 FFC Adj. and CRF'!M6</f>
        <v>52.973727343323716</v>
      </c>
      <c r="N43" s="632">
        <f>'[17]CO2 FFC Adj. and CRF'!N6</f>
        <v>38.140835206635273</v>
      </c>
      <c r="O43" s="632">
        <f>'[17]CO2 FFC Adj. and CRF'!O6</f>
        <v>39.090189560060708</v>
      </c>
      <c r="P43" s="632">
        <f>'[17]CO2 FFC Adj. and CRF'!P6</f>
        <v>39.184301244549061</v>
      </c>
      <c r="Q43" s="632">
        <f>'[17]CO2 FFC Adj. and CRF'!Q6</f>
        <v>36.831442693718742</v>
      </c>
      <c r="R43" s="632">
        <f>'[17]CO2 FFC Adj. and CRF'!R6</f>
        <v>36.055054280499277</v>
      </c>
      <c r="S43" s="632">
        <f>'[17]CO2 FFC Adj. and CRF'!S6</f>
        <v>33.087223730993216</v>
      </c>
      <c r="T43" s="632">
        <f>'[17]CO2 FFC Adj. and CRF'!T6</f>
        <v>37.002023060455528</v>
      </c>
      <c r="U43" s="632">
        <f>'[17]CO2 FFC Adj. and CRF'!U6</f>
        <v>38.968700813935143</v>
      </c>
      <c r="V43" s="632">
        <f>'[17]CO2 FFC Adj. and CRF'!V6</f>
        <v>26.196116263402068</v>
      </c>
      <c r="W43" s="632">
        <f>'[17]CO2 FFC Adj. and CRF'!W6</f>
        <v>23.694226864697239</v>
      </c>
      <c r="X43" s="632">
        <f>'[17]CO2 FFC Adj. and CRF'!X6</f>
        <v>28.655080789946144</v>
      </c>
      <c r="Y43" s="632">
        <f>'[17]CO2 FFC Adj. and CRF'!Y6</f>
        <v>29.936046134595504</v>
      </c>
      <c r="Z43" s="632">
        <f>'[17]CO2 FFC Adj. and CRF'!Z6</f>
        <v>28.337092432403026</v>
      </c>
      <c r="AA43" s="632">
        <f>'[17]CO2 FFC Adj. and CRF'!AA6</f>
        <v>24.659837876067673</v>
      </c>
      <c r="AB43" s="632">
        <f>'[17]CO2 FFC Adj. and CRF'!AB6</f>
        <v>24.085523964963819</v>
      </c>
      <c r="AC43" s="632">
        <f>'[17]CO2 FFC Adj. and CRF'!AC6</f>
        <v>11.608348620858495</v>
      </c>
      <c r="AD43" s="632">
        <f>'[17]CO2 FFC Adj. and CRF'!AD6</f>
        <v>10.49097132908982</v>
      </c>
      <c r="AE43" s="632">
        <f>'[17]CO2 FFC Adj. and CRF'!AE6</f>
        <v>12.664803873565093</v>
      </c>
      <c r="AF43" s="632">
        <f>'[17]CO2 FFC Adj. and CRF'!AF6</f>
        <v>16.366676024155378</v>
      </c>
      <c r="AG43" s="632">
        <f>'[17]CO2 FFC Adj. and CRF'!AG6</f>
        <v>15.218694956748811</v>
      </c>
      <c r="AH43" s="632">
        <f>'[17]CO2 FFC Adj. and CRF'!AH6</f>
        <v>13.411210271475978</v>
      </c>
      <c r="AI43" s="632">
        <f>'[17]CO2 FFC Adj. and CRF'!AI6</f>
        <v>12.589899570208365</v>
      </c>
    </row>
    <row r="44" spans="2:35">
      <c r="B44" s="45" t="s">
        <v>1705</v>
      </c>
      <c r="C44" s="532">
        <f>'[16]CO2FFC Adj'!C6</f>
        <v>21.087809230781787</v>
      </c>
      <c r="D44" s="532">
        <f>'[16]CO2FFC Adj'!D6</f>
        <v>18.908988416435449</v>
      </c>
      <c r="E44" s="532">
        <f>'[16]CO2FFC Adj'!E6</f>
        <v>19.18297034160274</v>
      </c>
      <c r="F44" s="532">
        <f>'[16]CO2FFC Adj'!F6</f>
        <v>18.664221635792391</v>
      </c>
      <c r="G44" s="532">
        <f>'[16]CO2FFC Adj'!G6</f>
        <v>19.802614166802677</v>
      </c>
      <c r="H44" s="532">
        <f>'[16]CO2FFC Adj'!H6</f>
        <v>19.951880447200914</v>
      </c>
      <c r="I44" s="532">
        <f>'[16]CO2FFC Adj'!I6</f>
        <v>20.904946956095962</v>
      </c>
      <c r="J44" s="532">
        <f>'[16]CO2FFC Adj'!J6</f>
        <v>21.811269136608448</v>
      </c>
      <c r="K44" s="532">
        <f>'[16]CO2FFC Adj'!K6</f>
        <v>21.732668842826826</v>
      </c>
      <c r="L44" s="532">
        <f>'[16]CO2FFC Adj'!L6</f>
        <v>21.414087644850657</v>
      </c>
      <c r="M44" s="532">
        <f>'[16]CO2FFC Adj'!M6</f>
        <v>18.547530112616286</v>
      </c>
      <c r="N44" s="532">
        <f>'[16]CO2FFC Adj'!N6</f>
        <v>14.294004569936344</v>
      </c>
      <c r="O44" s="532">
        <f>'[16]CO2FFC Adj'!O6</f>
        <v>13.224805451281211</v>
      </c>
      <c r="P44" s="532">
        <f>'[16]CO2FFC Adj'!P6</f>
        <v>12.78436094336543</v>
      </c>
      <c r="Q44" s="532">
        <f>'[16]CO2FFC Adj'!Q6</f>
        <v>13.908393912191935</v>
      </c>
      <c r="R44" s="532">
        <f>'[16]CO2FFC Adj'!R6</f>
        <v>13.640901827974536</v>
      </c>
      <c r="S44" s="532">
        <f>'[16]CO2FFC Adj'!S6</f>
        <v>14.747674147217232</v>
      </c>
      <c r="T44" s="532">
        <f>'[16]CO2FFC Adj'!T6</f>
        <v>15.214289701322015</v>
      </c>
      <c r="U44" s="532">
        <f>'[16]CO2FFC Adj'!U6</f>
        <v>15.666175779337355</v>
      </c>
      <c r="V44" s="532">
        <f>'[16]CO2FFC Adj'!V6</f>
        <v>14.398898948098577</v>
      </c>
      <c r="W44" s="532">
        <f>'[16]CO2FFC Adj'!W6</f>
        <v>16.292936836951196</v>
      </c>
      <c r="X44" s="532">
        <f>'[16]CO2FFC Adj'!X6</f>
        <v>17.002950139478887</v>
      </c>
      <c r="Y44" s="532">
        <f>'[16]CO2FFC Adj'!Y6</f>
        <v>18.647191471648274</v>
      </c>
      <c r="Z44" s="532">
        <f>'[16]CO2FFC Adj'!Z6</f>
        <v>17.488748714892569</v>
      </c>
      <c r="AA44" s="532">
        <f>'[16]CO2FFC Adj'!AA6</f>
        <v>19.656157743661307</v>
      </c>
      <c r="AB44" s="532">
        <f>'[16]CO2FFC Adj'!AB6</f>
        <v>19.207728289433291</v>
      </c>
      <c r="AC44" s="532">
        <f>'[16]CO2FFC Adj'!AC6</f>
        <v>17.600856078449571</v>
      </c>
      <c r="AD44" s="532">
        <f>'[16]CO2FFC Adj'!AD6</f>
        <v>19.357204774175965</v>
      </c>
      <c r="AE44" s="532">
        <f>'[16]CO2FFC Adj'!AE6</f>
        <v>20.216694561446324</v>
      </c>
      <c r="AF44" s="532">
        <f>'[16]CO2FFC Adj'!AF6</f>
        <v>15.657661776794843</v>
      </c>
      <c r="AG44" s="532">
        <f>'[16]CO2FFC Adj'!AG6</f>
        <v>13.490252748026107</v>
      </c>
      <c r="AH44" s="532">
        <f>'[16]CO2FFC Adj'!AH6</f>
        <v>15.358708807309499</v>
      </c>
      <c r="AI44" s="1082">
        <f>AH44</f>
        <v>15.358708807309499</v>
      </c>
    </row>
    <row r="45" spans="2:35">
      <c r="B45" s="45" t="s">
        <v>1706</v>
      </c>
      <c r="C45" s="532">
        <f>'[15]CO2FFC Adj'!C10</f>
        <v>11.704751645721123</v>
      </c>
      <c r="D45" s="532">
        <f>'[15]CO2FFC Adj'!D10</f>
        <v>11.860177357053477</v>
      </c>
      <c r="E45" s="532">
        <f>'[15]CO2FFC Adj'!E10</f>
        <v>13.629639301452583</v>
      </c>
      <c r="F45" s="532">
        <f>'[15]CO2FFC Adj'!F10</f>
        <v>13.868755780425438</v>
      </c>
      <c r="G45" s="532">
        <f>'[15]CO2FFC Adj'!G10</f>
        <v>14.944779935803274</v>
      </c>
      <c r="H45" s="532">
        <f>'[15]CO2FFC Adj'!H10</f>
        <v>14.944779935803274</v>
      </c>
      <c r="I45" s="532">
        <f>'[15]CO2FFC Adj'!I10</f>
        <v>14.822781732245696</v>
      </c>
      <c r="J45" s="532">
        <f>'[15]CO2FFC Adj'!J10</f>
        <v>16.425735901904311</v>
      </c>
      <c r="K45" s="532">
        <f>'[15]CO2FFC Adj'!K10</f>
        <v>16.277086211277105</v>
      </c>
      <c r="L45" s="532">
        <f>'[15]CO2FFC Adj'!L10</f>
        <v>16.578858319155533</v>
      </c>
      <c r="M45" s="532">
        <f>'[15]CO2FFC Adj'!M10</f>
        <v>17.157294695568119</v>
      </c>
      <c r="N45" s="532">
        <f>'[15]CO2FFC Adj'!N10</f>
        <v>16.616271270301937</v>
      </c>
      <c r="O45" s="532">
        <f>'[15]CO2FFC Adj'!O10</f>
        <v>17.863538060749097</v>
      </c>
      <c r="P45" s="532">
        <f>'[15]CO2FFC Adj'!P10</f>
        <v>18.009773900264204</v>
      </c>
      <c r="Q45" s="532">
        <f>'[15]CO2FFC Adj'!Q10</f>
        <v>20.208258527827645</v>
      </c>
      <c r="R45" s="532">
        <f>'[15]CO2FFC Adj'!R10</f>
        <v>17.190141994450787</v>
      </c>
      <c r="S45" s="532">
        <f>'[15]CO2FFC Adj'!S10</f>
        <v>17.977476742288225</v>
      </c>
      <c r="T45" s="532">
        <f>'[15]CO2FFC Adj'!T10</f>
        <v>18.896033948098577</v>
      </c>
      <c r="U45" s="532">
        <f>'[15]CO2FFC Adj'!U10</f>
        <v>17.715031826342418</v>
      </c>
      <c r="V45" s="532">
        <f>'[15]CO2FFC Adj'!V10</f>
        <v>16.140362330667532</v>
      </c>
      <c r="W45" s="532">
        <f>'[15]CO2FFC Adj'!W10</f>
        <v>17.321364452423694</v>
      </c>
      <c r="X45" s="532">
        <f>'[15]CO2FFC Adj'!X10</f>
        <v>16.927697078504977</v>
      </c>
      <c r="Y45" s="532">
        <f>'[15]CO2FFC Adj'!Y10</f>
        <v>14.959360208911372</v>
      </c>
      <c r="Z45" s="532">
        <f>'[15]CO2FFC Adj'!Z10</f>
        <v>16.796474620532067</v>
      </c>
      <c r="AA45" s="532">
        <f>'[15]CO2FFC Adj'!AA10</f>
        <v>16.534029704586253</v>
      </c>
      <c r="AB45" s="532">
        <f>'[15]CO2FFC Adj'!AB10</f>
        <v>16.009139872694629</v>
      </c>
      <c r="AC45" s="532">
        <f>'[15]CO2FFC Adj'!AC10</f>
        <v>16.271584788640443</v>
      </c>
      <c r="AD45" s="532">
        <f>'[15]CO2FFC Adj'!AD10</f>
        <v>16.534029704586253</v>
      </c>
      <c r="AE45" s="532">
        <f>'[15]CO2FFC Adj'!AE10</f>
        <v>15.090582666884281</v>
      </c>
      <c r="AF45" s="532">
        <f>'[15]CO2FFC Adj'!AF10</f>
        <v>13.122245797290677</v>
      </c>
      <c r="AG45" s="532">
        <f>'[15]CO2FFC Adj'!AG10</f>
        <v>13.122245797290677</v>
      </c>
      <c r="AH45" s="532">
        <f>'[15]CO2FFC Adj'!AH10</f>
        <v>14.434470377019746</v>
      </c>
      <c r="AI45" s="1082">
        <f>AH45</f>
        <v>14.434470377019746</v>
      </c>
    </row>
    <row r="46" spans="2:35">
      <c r="B46" s="45" t="s">
        <v>1707</v>
      </c>
      <c r="C46" s="532">
        <f>'[15]CO2FFC Adj'!C15</f>
        <v>0</v>
      </c>
      <c r="D46" s="532">
        <f>'[15]CO2FFC Adj'!D15</f>
        <v>0</v>
      </c>
      <c r="E46" s="532">
        <f>'[15]CO2FFC Adj'!E15</f>
        <v>0</v>
      </c>
      <c r="F46" s="532">
        <f>'[15]CO2FFC Adj'!F15</f>
        <v>0</v>
      </c>
      <c r="G46" s="532">
        <f>'[15]CO2FFC Adj'!G15</f>
        <v>0</v>
      </c>
      <c r="H46" s="532">
        <f>'[15]CO2FFC Adj'!H15</f>
        <v>0</v>
      </c>
      <c r="I46" s="532">
        <f>'[15]CO2FFC Adj'!I15</f>
        <v>0</v>
      </c>
      <c r="J46" s="532">
        <f>'[15]CO2FFC Adj'!J15</f>
        <v>0</v>
      </c>
      <c r="K46" s="532">
        <f>'[15]CO2FFC Adj'!K15</f>
        <v>0</v>
      </c>
      <c r="L46" s="532">
        <f>'[15]CO2FFC Adj'!L15</f>
        <v>0</v>
      </c>
      <c r="M46" s="532">
        <f>'[15]CO2FFC Adj'!M15</f>
        <v>0.48778084189659754</v>
      </c>
      <c r="N46" s="532">
        <f>'[15]CO2FFC Adj'!N15</f>
        <v>7.9450064700688579</v>
      </c>
      <c r="O46" s="532">
        <f>'[15]CO2FFC Adj'!O15</f>
        <v>9.6551356842567486</v>
      </c>
      <c r="P46" s="532">
        <f>'[15]CO2FFC Adj'!P15</f>
        <v>12.226439265201773</v>
      </c>
      <c r="Q46" s="532">
        <f>'[15]CO2FFC Adj'!Q15</f>
        <v>11.182774934631407</v>
      </c>
      <c r="R46" s="532">
        <f>'[15]CO2FFC Adj'!R15</f>
        <v>14.944122260639388</v>
      </c>
      <c r="S46" s="532">
        <f>'[15]CO2FFC Adj'!S15</f>
        <v>13.141465</v>
      </c>
      <c r="T46" s="532">
        <f>'[15]CO2FFC Adj'!T15</f>
        <v>13.485004</v>
      </c>
      <c r="U46" s="532">
        <f>'[15]CO2FFC Adj'!U15</f>
        <v>13.538923999999996</v>
      </c>
      <c r="V46" s="532">
        <f>'[15]CO2FFC Adj'!V15</f>
        <v>14.546097499999995</v>
      </c>
      <c r="W46" s="532">
        <f>'[15]CO2FFC Adj'!W15</f>
        <v>10.594746531744736</v>
      </c>
      <c r="X46" s="532">
        <f>'[15]CO2FFC Adj'!X15</f>
        <v>13.259766933246285</v>
      </c>
      <c r="Y46" s="532">
        <f>'[15]CO2FFC Adj'!Y15</f>
        <v>12.452471682715844</v>
      </c>
      <c r="Z46" s="532">
        <f>'[15]CO2FFC Adj'!Z15</f>
        <v>12.844409662151133</v>
      </c>
      <c r="AA46" s="532">
        <f>'[15]CO2FFC Adj'!AA15</f>
        <v>13.017765301126163</v>
      </c>
      <c r="AB46" s="532">
        <f>'[15]CO2FFC Adj'!AB15</f>
        <v>12.032582340460257</v>
      </c>
      <c r="AC46" s="532">
        <f>'[15]CO2FFC Adj'!AC15</f>
        <v>13.345058593112448</v>
      </c>
      <c r="AD46" s="532">
        <f>'[15]CO2FFC Adj'!AD15</f>
        <v>12.631559001142483</v>
      </c>
      <c r="AE46" s="532">
        <f>'[15]CO2FFC Adj'!AE15</f>
        <v>11.847160110984166</v>
      </c>
      <c r="AF46" s="532">
        <f>'[15]CO2FFC Adj'!AF15</f>
        <v>13.968908764485064</v>
      </c>
      <c r="AG46" s="532">
        <f>'[15]CO2FFC Adj'!AG15</f>
        <v>13.737223763669006</v>
      </c>
      <c r="AH46" s="532">
        <f>'[15]CO2FFC Adj'!AH15</f>
        <v>13.496839889015828</v>
      </c>
      <c r="AI46" s="1082">
        <f>AH46</f>
        <v>13.496839889015828</v>
      </c>
    </row>
    <row r="47" spans="2:35">
      <c r="B47" s="472" t="s">
        <v>1708</v>
      </c>
      <c r="C47" s="627">
        <f>'[15]CO2FFC Adj'!C14</f>
        <v>1.6880055492084214</v>
      </c>
      <c r="D47" s="627">
        <f>'[15]CO2FFC Adj'!D14</f>
        <v>1.0128033295250527</v>
      </c>
      <c r="E47" s="627">
        <f>'[15]CO2FFC Adj'!E14</f>
        <v>1.1686192263750608</v>
      </c>
      <c r="F47" s="627">
        <f>'[15]CO2FFC Adj'!F14</f>
        <v>0.9089260649583808</v>
      </c>
      <c r="G47" s="627">
        <f>'[15]CO2FFC Adj'!G14</f>
        <v>1.1686192263750608</v>
      </c>
      <c r="H47" s="627">
        <f>'[15]CO2FFC Adj'!H14</f>
        <v>0.93489538110004888</v>
      </c>
      <c r="I47" s="627">
        <f>'[15]CO2FFC Adj'!I14</f>
        <v>1.090711277950057</v>
      </c>
      <c r="J47" s="627">
        <f>'[15]CO2FFC Adj'!J14</f>
        <v>0.96086469724171686</v>
      </c>
      <c r="K47" s="627">
        <f>'[15]CO2FFC Adj'!K14</f>
        <v>0.98683401338338483</v>
      </c>
      <c r="L47" s="627">
        <f>'[15]CO2FFC Adj'!L14</f>
        <v>0.85698743267504474</v>
      </c>
      <c r="M47" s="627">
        <f>'[15]CO2FFC Adj'!M14</f>
        <v>0.83101811653337676</v>
      </c>
      <c r="N47" s="627">
        <f>'[15]CO2FFC Adj'!N14</f>
        <v>0.83101811653337676</v>
      </c>
      <c r="O47" s="627">
        <f>'[15]CO2FFC Adj'!O14</f>
        <v>0.7790794842500407</v>
      </c>
      <c r="P47" s="627">
        <f>'[15]CO2FFC Adj'!P14</f>
        <v>0.9089260649583808</v>
      </c>
      <c r="Q47" s="627">
        <f>'[15]CO2FFC Adj'!Q14</f>
        <v>0.9089260649583808</v>
      </c>
      <c r="R47" s="627">
        <f>'[15]CO2FFC Adj'!R14</f>
        <v>0.9089260649583808</v>
      </c>
      <c r="S47" s="627">
        <f>'[15]CO2FFC Adj'!S14</f>
        <v>0.9089260649583808</v>
      </c>
      <c r="T47" s="627">
        <f>'[15]CO2FFC Adj'!T14</f>
        <v>0.9089260649583808</v>
      </c>
      <c r="U47" s="627">
        <f>'[15]CO2FFC Adj'!U14</f>
        <v>0.9089260649583808</v>
      </c>
      <c r="V47" s="627">
        <f>'[15]CO2FFC Adj'!V14</f>
        <v>0.9089260649583808</v>
      </c>
      <c r="W47" s="627">
        <f>'[15]CO2FFC Adj'!W14</f>
        <v>0.9089260649583808</v>
      </c>
      <c r="X47" s="627">
        <f>'[15]CO2FFC Adj'!X14</f>
        <v>0.9089260649583808</v>
      </c>
      <c r="Y47" s="627">
        <f>'[15]CO2FFC Adj'!Y14</f>
        <v>0.9089260649583808</v>
      </c>
      <c r="Z47" s="627">
        <f>'[15]CO2FFC Adj'!Z14</f>
        <v>0.9089260649583808</v>
      </c>
      <c r="AA47" s="627">
        <f>'[15]CO2FFC Adj'!AA14</f>
        <v>0.9089260649583808</v>
      </c>
      <c r="AB47" s="627">
        <f>'[15]CO2FFC Adj'!AB14</f>
        <v>0.9089260649583808</v>
      </c>
      <c r="AC47" s="627">
        <f>'[15]CO2FFC Adj'!AC14</f>
        <v>0.9089260649583808</v>
      </c>
      <c r="AD47" s="627">
        <f>'[15]CO2FFC Adj'!AD14</f>
        <v>0.9089260649583808</v>
      </c>
      <c r="AE47" s="627">
        <f>'[15]CO2FFC Adj'!AE14</f>
        <v>0.9089260649583808</v>
      </c>
      <c r="AF47" s="627">
        <f>'[15]CO2FFC Adj'!AF14</f>
        <v>0.9089260649583808</v>
      </c>
      <c r="AG47" s="627">
        <f>'[15]CO2FFC Adj'!AG14</f>
        <v>0.9089260649583808</v>
      </c>
      <c r="AH47" s="627">
        <f>'[15]CO2FFC Adj'!AH14</f>
        <v>0.9089260649583808</v>
      </c>
      <c r="AI47" s="1081">
        <f>AH47</f>
        <v>0.9089260649583808</v>
      </c>
    </row>
    <row r="48" spans="2:35">
      <c r="V48" s="788"/>
    </row>
    <row r="49" spans="2:59" ht="17.45">
      <c r="B49" s="1121" t="s">
        <v>1709</v>
      </c>
      <c r="V49" s="789" t="s">
        <v>1710</v>
      </c>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row>
    <row r="50" spans="2:59">
      <c r="B50" s="45" t="s">
        <v>1711</v>
      </c>
      <c r="V50" s="789" t="s">
        <v>1712</v>
      </c>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row>
    <row r="51" spans="2:59">
      <c r="B51" s="633" t="s">
        <v>1596</v>
      </c>
      <c r="C51" s="621">
        <v>1990</v>
      </c>
      <c r="D51" s="621">
        <v>1991</v>
      </c>
      <c r="E51" s="621">
        <v>1992</v>
      </c>
      <c r="F51" s="621">
        <v>1993</v>
      </c>
      <c r="G51" s="621">
        <v>1994</v>
      </c>
      <c r="H51" s="621">
        <v>1995</v>
      </c>
      <c r="I51" s="621">
        <v>1996</v>
      </c>
      <c r="J51" s="621">
        <v>1997</v>
      </c>
      <c r="K51" s="621">
        <v>1998</v>
      </c>
      <c r="L51" s="621">
        <v>1999</v>
      </c>
      <c r="M51" s="621">
        <v>2000</v>
      </c>
      <c r="N51" s="621">
        <v>2001</v>
      </c>
      <c r="O51" s="621">
        <v>2002</v>
      </c>
      <c r="P51" s="621">
        <v>2003</v>
      </c>
      <c r="Q51" s="621">
        <v>2004</v>
      </c>
      <c r="R51" s="621">
        <v>2005</v>
      </c>
      <c r="S51" s="621">
        <v>2006</v>
      </c>
      <c r="T51" s="621">
        <v>2007</v>
      </c>
      <c r="U51" s="621">
        <v>2008</v>
      </c>
      <c r="V51" s="621">
        <v>2009</v>
      </c>
      <c r="W51" s="621">
        <v>2010</v>
      </c>
      <c r="X51" s="621">
        <v>2011</v>
      </c>
      <c r="Y51" s="621">
        <v>2012</v>
      </c>
      <c r="Z51" s="621">
        <v>2013</v>
      </c>
      <c r="AA51" s="621">
        <v>2014</v>
      </c>
      <c r="AB51" s="621">
        <v>2015</v>
      </c>
      <c r="AC51" s="621">
        <v>2016</v>
      </c>
      <c r="AD51" s="621">
        <v>2017</v>
      </c>
      <c r="AE51" s="621">
        <v>2018</v>
      </c>
      <c r="AF51" s="621">
        <v>2019</v>
      </c>
      <c r="AG51" s="460">
        <v>2020</v>
      </c>
      <c r="AH51" s="621">
        <v>2021</v>
      </c>
      <c r="AI51" s="460">
        <v>2022</v>
      </c>
    </row>
    <row r="52" spans="2:59">
      <c r="B52" s="634" t="s">
        <v>1616</v>
      </c>
      <c r="C52" s="632">
        <f>'[15]CO2FFC Adj'!C12</f>
        <v>48.858205832242675</v>
      </c>
      <c r="D52" s="632">
        <f>'[15]CO2FFC Adj'!D12</f>
        <v>34.613650421211219</v>
      </c>
      <c r="E52" s="632">
        <f>'[15]CO2FFC Adj'!E12</f>
        <v>98.177967493684832</v>
      </c>
      <c r="F52" s="632">
        <f>'[15]CO2FFC Adj'!F12</f>
        <v>123.22357497362509</v>
      </c>
      <c r="G52" s="632">
        <f>'[15]CO2FFC Adj'!G12</f>
        <v>154.92662950003921</v>
      </c>
      <c r="H52" s="632">
        <f>'[15]CO2FFC Adj'!H12</f>
        <v>165.78503132198421</v>
      </c>
      <c r="I52" s="632">
        <f>'[15]CO2FFC Adj'!I12</f>
        <v>174.33407023751806</v>
      </c>
      <c r="J52" s="632">
        <f>'[15]CO2FFC Adj'!J12</f>
        <v>177.93660662936884</v>
      </c>
      <c r="K52" s="632">
        <f>'[15]CO2FFC Adj'!K12</f>
        <v>176.26082060300257</v>
      </c>
      <c r="L52" s="632">
        <f>'[15]CO2FFC Adj'!L12</f>
        <v>149.50818456295076</v>
      </c>
      <c r="M52" s="632">
        <f>'[15]CO2FFC Adj'!M12</f>
        <v>166.90302832190559</v>
      </c>
      <c r="N52" s="632">
        <f>'[15]CO2FFC Adj'!N12</f>
        <v>151.08517065127944</v>
      </c>
      <c r="O52" s="632">
        <f>'[15]CO2FFC Adj'!O12</f>
        <v>178.04491085508096</v>
      </c>
      <c r="P52" s="632">
        <f>'[15]CO2FFC Adj'!P12</f>
        <v>177.04284323307354</v>
      </c>
      <c r="Q52" s="632">
        <f>'[15]CO2FFC Adj'!Q12</f>
        <v>194.01441724107099</v>
      </c>
      <c r="R52" s="632">
        <f>'[15]CO2FFC Adj'!R12</f>
        <v>190.67179510023971</v>
      </c>
      <c r="S52" s="632">
        <f>'[15]CO2FFC Adj'!S12</f>
        <v>204.84682511085339</v>
      </c>
      <c r="T52" s="632">
        <f>'[15]CO2FFC Adj'!T12</f>
        <v>50.757322373433453</v>
      </c>
      <c r="U52" s="632">
        <f>'[15]CO2FFC Adj'!U12</f>
        <v>36.23462067851267</v>
      </c>
      <c r="V52" s="632">
        <f>'[15]CO2FFC Adj'!V12</f>
        <v>14.726988874663448</v>
      </c>
      <c r="W52" s="632">
        <f>'[15]CO2FFC Adj'!W12</f>
        <v>5.7420342703733809</v>
      </c>
      <c r="X52" s="632">
        <f>'[15]CO2FFC Adj'!X12</f>
        <v>7.2213336304576501</v>
      </c>
      <c r="Y52" s="632">
        <f>'[15]CO2FFC Adj'!Y12</f>
        <v>7.2213336304576501</v>
      </c>
      <c r="Z52" s="632">
        <f>'[15]CO2FFC Adj'!Z12</f>
        <v>7.2213336304576501</v>
      </c>
      <c r="AA52" s="632">
        <f>'[15]CO2FFC Adj'!AA12</f>
        <v>7.2213336304576501</v>
      </c>
      <c r="AB52" s="632">
        <f>'[15]CO2FFC Adj'!AB12</f>
        <v>7.2213336304576501</v>
      </c>
      <c r="AC52" s="632">
        <f>'[15]CO2FFC Adj'!AC12</f>
        <v>7.2213336304576501</v>
      </c>
      <c r="AD52" s="632">
        <f>'[15]CO2FFC Adj'!AD12</f>
        <v>7.2213336304576501</v>
      </c>
      <c r="AE52" s="632">
        <f>'[15]CO2FFC Adj'!AE12</f>
        <v>7.2213336304576501</v>
      </c>
      <c r="AF52" s="632">
        <f>'[15]CO2FFC Adj'!AF12</f>
        <v>7.2213336304576501</v>
      </c>
      <c r="AG52" s="632">
        <f>'[15]CO2FFC Adj'!AG12</f>
        <v>7.2213336304576501</v>
      </c>
      <c r="AH52" s="632">
        <f>'[15]CO2FFC Adj'!AH12</f>
        <v>7.2213336304576501</v>
      </c>
      <c r="AI52" s="1083">
        <f>AH52</f>
        <v>7.2213336304576501</v>
      </c>
    </row>
    <row r="53" spans="2:59">
      <c r="B53" s="98" t="s">
        <v>1602</v>
      </c>
      <c r="C53" s="627">
        <f>'[7]Non-Energy Use'!E$21</f>
        <v>47.297065711824445</v>
      </c>
      <c r="D53" s="627">
        <f>'[7]Non-Energy Use'!F$21</f>
        <v>63.008313999999999</v>
      </c>
      <c r="E53" s="627">
        <f>'[7]Non-Energy Use'!G$21</f>
        <v>58.858893999999999</v>
      </c>
      <c r="F53" s="627">
        <f>'[7]Non-Energy Use'!H$21</f>
        <v>54.709474</v>
      </c>
      <c r="G53" s="627">
        <f>'[7]Non-Energy Use'!I$21</f>
        <v>50.560053999999994</v>
      </c>
      <c r="H53" s="627">
        <f>'[7]Non-Energy Use'!J$21</f>
        <v>52.065790499999991</v>
      </c>
      <c r="I53" s="627">
        <f>'[7]Non-Energy Use'!K$21</f>
        <v>53.571526999999996</v>
      </c>
      <c r="J53" s="627">
        <f>'[7]Non-Energy Use'!L$21</f>
        <v>55.077263499999994</v>
      </c>
      <c r="K53" s="627">
        <f>'[7]Non-Energy Use'!M$21</f>
        <v>56.582999999999998</v>
      </c>
      <c r="L53" s="627">
        <f>'[7]Non-Energy Use'!N$21</f>
        <v>53.439500000000002</v>
      </c>
      <c r="M53" s="627">
        <f>'[7]Non-Energy Use'!O$21</f>
        <v>50.295999999999999</v>
      </c>
      <c r="N53" s="627">
        <f>'[7]Non-Energy Use'!P$21</f>
        <v>47.152500000000003</v>
      </c>
      <c r="O53" s="627">
        <f>'[7]Non-Energy Use'!Q$21</f>
        <v>44.009</v>
      </c>
      <c r="P53" s="627">
        <f>'[7]Non-Energy Use'!R$21</f>
        <v>48.724249999999998</v>
      </c>
      <c r="Q53" s="627">
        <f>'[7]Non-Energy Use'!S$21</f>
        <v>53.439500000000002</v>
      </c>
      <c r="R53" s="627">
        <f>'[7]Non-Energy Use'!T$21</f>
        <v>58.15475</v>
      </c>
      <c r="S53" s="627">
        <f>'[7]Non-Energy Use'!U$21</f>
        <v>62.87</v>
      </c>
      <c r="T53" s="627">
        <f>'[7]Non-Energy Use'!V$21</f>
        <v>70.728750000000005</v>
      </c>
      <c r="U53" s="627">
        <f>'[7]Non-Energy Use'!W$21</f>
        <v>78.587500000000006</v>
      </c>
      <c r="V53" s="627">
        <f>'[7]Non-Energy Use'!X$21</f>
        <v>86.446250000000006</v>
      </c>
      <c r="W53" s="627">
        <f>'[7]Non-Energy Use'!Y$21</f>
        <v>94.305000000000007</v>
      </c>
      <c r="X53" s="627">
        <f>'[7]Non-Energy Use'!Z$21</f>
        <v>84.874500000000012</v>
      </c>
      <c r="Y53" s="627">
        <f>'[7]Non-Energy Use'!AA$21</f>
        <v>75.444000000000003</v>
      </c>
      <c r="Z53" s="627">
        <f>'[7]Non-Energy Use'!AB$21</f>
        <v>66.013500000000008</v>
      </c>
      <c r="AA53" s="627">
        <f>'[7]Non-Energy Use'!AC$21</f>
        <v>56.582999999999998</v>
      </c>
      <c r="AB53" s="627">
        <f>'[7]Non-Energy Use'!AD$21</f>
        <v>53.439500000000002</v>
      </c>
      <c r="AC53" s="627">
        <f>'[7]Non-Energy Use'!AE$21</f>
        <v>50.295999999999999</v>
      </c>
      <c r="AD53" s="627">
        <f>'[7]Non-Energy Use'!AF$21</f>
        <v>47.152500000000003</v>
      </c>
      <c r="AE53" s="627">
        <f>'[7]Non-Energy Use'!AG$21</f>
        <v>44.009</v>
      </c>
      <c r="AF53" s="627">
        <f>'[7]Non-Energy Use'!AH$21</f>
        <v>44.009</v>
      </c>
      <c r="AG53" s="627">
        <f>'[7]Non-Energy Use'!AI$21</f>
        <v>44.009</v>
      </c>
      <c r="AH53" s="627">
        <f>'[7]Non-Energy Use'!AJ$21</f>
        <v>44.009</v>
      </c>
      <c r="AI53" s="627">
        <f>'[7]Non-Energy Use'!AK$21</f>
        <v>44.009</v>
      </c>
    </row>
    <row r="54" spans="2:59">
      <c r="C54" s="398"/>
      <c r="D54" s="398"/>
      <c r="E54" s="398"/>
      <c r="F54" s="398"/>
      <c r="G54" s="398"/>
      <c r="H54" s="398"/>
      <c r="I54" s="398"/>
      <c r="J54" s="398"/>
      <c r="K54" s="398"/>
      <c r="L54" s="398"/>
      <c r="M54" s="398"/>
      <c r="N54" s="398"/>
      <c r="O54" s="398"/>
      <c r="P54" s="398"/>
      <c r="Q54" s="398"/>
      <c r="R54" s="398"/>
      <c r="S54" s="398"/>
      <c r="T54" s="398"/>
      <c r="U54" s="398"/>
      <c r="V54" s="787"/>
      <c r="W54" s="398"/>
    </row>
    <row r="55" spans="2:59" ht="17.45">
      <c r="B55" s="1121" t="s">
        <v>1713</v>
      </c>
      <c r="V55" s="788"/>
    </row>
    <row r="56" spans="2:59">
      <c r="B56" s="45" t="s">
        <v>1700</v>
      </c>
      <c r="V56" s="789" t="s">
        <v>1710</v>
      </c>
    </row>
    <row r="57" spans="2:59">
      <c r="B57" s="633" t="s">
        <v>1596</v>
      </c>
      <c r="C57" s="460">
        <v>1990</v>
      </c>
      <c r="D57" s="460">
        <v>1991</v>
      </c>
      <c r="E57" s="460">
        <v>1992</v>
      </c>
      <c r="F57" s="460">
        <v>1993</v>
      </c>
      <c r="G57" s="460">
        <v>1994</v>
      </c>
      <c r="H57" s="460">
        <v>1995</v>
      </c>
      <c r="I57" s="460">
        <v>1996</v>
      </c>
      <c r="J57" s="460">
        <v>1997</v>
      </c>
      <c r="K57" s="460">
        <v>1998</v>
      </c>
      <c r="L57" s="460">
        <v>1999</v>
      </c>
      <c r="M57" s="460">
        <v>2000</v>
      </c>
      <c r="N57" s="460">
        <v>2001</v>
      </c>
      <c r="O57" s="460">
        <v>2002</v>
      </c>
      <c r="P57" s="460">
        <v>2003</v>
      </c>
      <c r="Q57" s="460">
        <v>2004</v>
      </c>
      <c r="R57" s="460">
        <v>2005</v>
      </c>
      <c r="S57" s="460">
        <v>2006</v>
      </c>
      <c r="T57" s="460">
        <v>2007</v>
      </c>
      <c r="U57" s="460">
        <v>2008</v>
      </c>
      <c r="V57" s="460">
        <v>2009</v>
      </c>
      <c r="W57" s="460">
        <v>2010</v>
      </c>
      <c r="X57" s="460">
        <v>2011</v>
      </c>
      <c r="Y57" s="460">
        <v>2012</v>
      </c>
      <c r="Z57" s="460">
        <v>2013</v>
      </c>
      <c r="AA57" s="460">
        <v>2014</v>
      </c>
      <c r="AB57" s="621">
        <v>2015</v>
      </c>
      <c r="AC57" s="621">
        <v>2016</v>
      </c>
      <c r="AD57" s="621">
        <v>2017</v>
      </c>
      <c r="AE57" s="621">
        <v>2018</v>
      </c>
      <c r="AF57" s="460">
        <v>2019</v>
      </c>
      <c r="AG57" s="460">
        <v>2020</v>
      </c>
      <c r="AH57" s="621">
        <v>2021</v>
      </c>
      <c r="AI57" s="460">
        <v>2022</v>
      </c>
    </row>
    <row r="58" spans="2:59">
      <c r="B58" s="634" t="s">
        <v>1439</v>
      </c>
      <c r="C58" s="1051">
        <f>'[16]CO2FFC Adj'!C9</f>
        <v>74.887533000000005</v>
      </c>
      <c r="D58" s="632">
        <f>'[16]CO2FFC Adj'!D9</f>
        <v>87.268810000000002</v>
      </c>
      <c r="E58" s="632">
        <f>'[16]CO2FFC Adj'!E9</f>
        <v>101.69087</v>
      </c>
      <c r="F58" s="632">
        <f>'[16]CO2FFC Adj'!F9</f>
        <v>106.738164</v>
      </c>
      <c r="G58" s="632">
        <f>'[16]CO2FFC Adj'!G9</f>
        <v>112.70375199999999</v>
      </c>
      <c r="H58" s="632">
        <f>'[16]CO2FFC Adj'!H9</f>
        <v>137.76102</v>
      </c>
      <c r="I58" s="632">
        <f>'[16]CO2FFC Adj'!I9</f>
        <v>120.23591399999999</v>
      </c>
      <c r="J58" s="632">
        <f>'[16]CO2FFC Adj'!J9</f>
        <v>123.16616999999999</v>
      </c>
      <c r="K58" s="632">
        <f>'[16]CO2FFC Adj'!K9</f>
        <v>128.21412900000001</v>
      </c>
      <c r="L58" s="632">
        <f>'[16]CO2FFC Adj'!L9</f>
        <v>176.631676</v>
      </c>
      <c r="M58" s="632">
        <f>'[16]CO2FFC Adj'!M9</f>
        <v>114.63395</v>
      </c>
      <c r="N58" s="632">
        <f>'[16]CO2FFC Adj'!N9</f>
        <v>86.392092000000005</v>
      </c>
      <c r="O58" s="632">
        <f>'[16]CO2FFC Adj'!O9</f>
        <v>84.687871999999999</v>
      </c>
      <c r="P58" s="632">
        <f>'[16]CO2FFC Adj'!P9</f>
        <v>71.25582</v>
      </c>
      <c r="Q58" s="632">
        <f>'[16]CO2FFC Adj'!Q9</f>
        <v>87.337224000000006</v>
      </c>
      <c r="R58" s="632">
        <f>'[16]CO2FFC Adj'!R9</f>
        <v>85.144099999999995</v>
      </c>
      <c r="S58" s="632">
        <f>'[16]CO2FFC Adj'!S9</f>
        <v>85.856504000000001</v>
      </c>
      <c r="T58" s="632">
        <f>'[16]CO2FFC Adj'!T9</f>
        <v>89.860445999999996</v>
      </c>
      <c r="U58" s="632">
        <f>'[16]CO2FFC Adj'!U9</f>
        <v>69.126343000000006</v>
      </c>
      <c r="V58" s="632">
        <f>'[16]CO2FFC Adj'!V9</f>
        <v>47.049550000000004</v>
      </c>
      <c r="W58" s="632">
        <f>'[16]CO2FFC Adj'!W9</f>
        <v>62.735475000000001</v>
      </c>
      <c r="X58" s="632">
        <f>'[16]CO2FFC Adj'!X9</f>
        <v>70.078540000000004</v>
      </c>
      <c r="Y58" s="632">
        <f>'[16]CO2FFC Adj'!Y9</f>
        <v>78.726144000000005</v>
      </c>
      <c r="Z58" s="632">
        <f>'[16]CO2FFC Adj'!Z9</f>
        <v>64.262471000000005</v>
      </c>
      <c r="AA58" s="632">
        <f>'[16]CO2FFC Adj'!AA9</f>
        <v>62.327640000000002</v>
      </c>
      <c r="AB58" s="632">
        <f>'[16]CO2FFC Adj'!AB9</f>
        <v>56.395170999999998</v>
      </c>
      <c r="AC58" s="632">
        <f>'[16]CO2FFC Adj'!AC9</f>
        <v>46.030355999999998</v>
      </c>
      <c r="AD58" s="632">
        <f>'[16]CO2FFC Adj'!AD9</f>
        <v>50.090600000000002</v>
      </c>
      <c r="AE58" s="632">
        <f>'[16]CO2FFC Adj'!AE9</f>
        <v>52.872259999999997</v>
      </c>
      <c r="AF58" s="632">
        <f>'[16]CO2FFC Adj'!AF9</f>
        <v>51.109043999999997</v>
      </c>
      <c r="AG58" s="632">
        <f>'[16]CO2FFC Adj'!AG9</f>
        <v>43.698927281200028</v>
      </c>
      <c r="AH58" s="632">
        <f>'[16]CO2FFC Adj'!AH9</f>
        <v>48.768848421495434</v>
      </c>
      <c r="AI58" s="1083">
        <f>AH58</f>
        <v>48.768848421495434</v>
      </c>
    </row>
    <row r="59" spans="2:59">
      <c r="B59" s="45" t="s">
        <v>1598</v>
      </c>
      <c r="C59" s="532">
        <f>'[16]CO2FFC Adj'!C10</f>
        <v>22.661607738095238</v>
      </c>
      <c r="D59" s="532">
        <f>'[16]CO2FFC Adj'!D10</f>
        <v>20.749620833333331</v>
      </c>
      <c r="E59" s="532">
        <f>'[16]CO2FFC Adj'!E10</f>
        <v>16.99943035714286</v>
      </c>
      <c r="F59" s="532">
        <f>'[16]CO2FFC Adj'!F10</f>
        <v>16.022910714285718</v>
      </c>
      <c r="G59" s="532">
        <f>'[16]CO2FFC Adj'!G10</f>
        <v>8.6197517857142856</v>
      </c>
      <c r="H59" s="532">
        <f>'[16]CO2FFC Adj'!H10</f>
        <v>15.005754761904761</v>
      </c>
      <c r="I59" s="532">
        <f>'[16]CO2FFC Adj'!I10</f>
        <v>19.483931547619047</v>
      </c>
      <c r="J59" s="532">
        <f>'[16]CO2FFC Adj'!J10</f>
        <v>17.070855952380953</v>
      </c>
      <c r="K59" s="532">
        <f>'[16]CO2FFC Adj'!K10</f>
        <v>20.037861309523809</v>
      </c>
      <c r="L59" s="532">
        <f>'[16]CO2FFC Adj'!L10</f>
        <v>16.035392857142856</v>
      </c>
      <c r="M59" s="532">
        <f>'[16]CO2FFC Adj'!M10</f>
        <v>16.770591071428573</v>
      </c>
      <c r="N59" s="532">
        <f>'[16]CO2FFC Adj'!N10</f>
        <v>11.885357738095239</v>
      </c>
      <c r="O59" s="532">
        <f>'[16]CO2FFC Adj'!O10</f>
        <v>6.9112238095238085</v>
      </c>
      <c r="P59" s="532">
        <f>'[16]CO2FFC Adj'!P10</f>
        <v>2.1236285714285712</v>
      </c>
      <c r="Q59" s="532">
        <f>'[16]CO2FFC Adj'!Q10</f>
        <v>3.1285797619047622</v>
      </c>
      <c r="R59" s="532">
        <f>'[16]CO2FFC Adj'!R10</f>
        <v>2.2426249999999999</v>
      </c>
      <c r="S59" s="532">
        <f>'[16]CO2FFC Adj'!S10</f>
        <v>12.163432142857143</v>
      </c>
      <c r="T59" s="532">
        <f>'[16]CO2FFC Adj'!T10</f>
        <v>11.719067857142859</v>
      </c>
      <c r="U59" s="532">
        <f>'[16]CO2FFC Adj'!U10</f>
        <v>7.7045333333333339</v>
      </c>
      <c r="V59" s="532">
        <f>'[16]CO2FFC Adj'!V10</f>
        <v>3.2147065476190479</v>
      </c>
      <c r="W59" s="532">
        <f>'[16]CO2FFC Adj'!W10</f>
        <v>3.8146815476190481</v>
      </c>
      <c r="X59" s="532">
        <f>'[16]CO2FFC Adj'!X10</f>
        <v>2.964925</v>
      </c>
      <c r="Y59" s="532">
        <f>'[16]CO2FFC Adj'!Y10</f>
        <v>2.6684047619047617</v>
      </c>
      <c r="Z59" s="532">
        <f>'[16]CO2FFC Adj'!Z10</f>
        <v>2.4226452380952384</v>
      </c>
      <c r="AA59" s="532">
        <f>'[16]CO2FFC Adj'!AA10</f>
        <v>2.3125249999999999</v>
      </c>
      <c r="AB59" s="532">
        <f>'[16]CO2FFC Adj'!AB10</f>
        <v>1.2934273809523809</v>
      </c>
      <c r="AC59" s="532">
        <f>'[16]CO2FFC Adj'!AC10</f>
        <v>0.84934047619047615</v>
      </c>
      <c r="AD59" s="532">
        <f>'[16]CO2FFC Adj'!AD10</f>
        <v>0.60358095238095244</v>
      </c>
      <c r="AE59" s="532">
        <f>'[16]CO2FFC Adj'!AE10</f>
        <v>0.46669345238095239</v>
      </c>
      <c r="AF59" s="532">
        <f>'[16]CO2FFC Adj'!AF10</f>
        <v>0.32190059523809522</v>
      </c>
      <c r="AG59" s="532">
        <f>'[16]CO2FFC Adj'!AG10</f>
        <v>0.27549479336220994</v>
      </c>
      <c r="AH59" s="532">
        <f>'[16]CO2FFC Adj'!AH10</f>
        <v>0.30745752022551404</v>
      </c>
      <c r="AI59" s="1082">
        <f>AH59</f>
        <v>0.30745752022551404</v>
      </c>
    </row>
    <row r="60" spans="2:59">
      <c r="B60" s="472" t="s">
        <v>1435</v>
      </c>
      <c r="C60" s="627">
        <f>'[16]CO2FFC Adj'!C11</f>
        <v>35.508870113372502</v>
      </c>
      <c r="D60" s="627">
        <f>'[16]CO2FFC Adj'!D11</f>
        <v>30.654795613025964</v>
      </c>
      <c r="E60" s="627">
        <f>'[16]CO2FFC Adj'!E11</f>
        <v>33.739404531965391</v>
      </c>
      <c r="F60" s="627">
        <f>'[16]CO2FFC Adj'!F11</f>
        <v>32.495996285571202</v>
      </c>
      <c r="G60" s="627">
        <f>'[16]CO2FFC Adj'!G11</f>
        <v>24.150814016502515</v>
      </c>
      <c r="H60" s="627">
        <f>'[16]CO2FFC Adj'!H11</f>
        <v>36.082750842477516</v>
      </c>
      <c r="I60" s="627">
        <f>'[16]CO2FFC Adj'!I11</f>
        <v>89.955804287210356</v>
      </c>
      <c r="J60" s="627">
        <f>'[16]CO2FFC Adj'!J11</f>
        <v>62.385617593123825</v>
      </c>
      <c r="K60" s="627">
        <f>'[16]CO2FFC Adj'!K11</f>
        <v>53.131790836305527</v>
      </c>
      <c r="L60" s="627">
        <f>'[16]CO2FFC Adj'!L11</f>
        <v>44.953990446559132</v>
      </c>
      <c r="M60" s="627">
        <f>'[16]CO2FFC Adj'!M11</f>
        <v>72.022031502678786</v>
      </c>
      <c r="N60" s="627">
        <f>'[16]CO2FFC Adj'!N11</f>
        <v>62.313882501985688</v>
      </c>
      <c r="O60" s="627">
        <f>'[16]CO2FFC Adj'!O11</f>
        <v>69.320009736476038</v>
      </c>
      <c r="P60" s="627">
        <f>'[16]CO2FFC Adj'!P11</f>
        <v>70.180830830133544</v>
      </c>
      <c r="Q60" s="627">
        <f>'[16]CO2FFC Adj'!Q11</f>
        <v>81.204123168358947</v>
      </c>
      <c r="R60" s="627">
        <f>'[16]CO2FFC Adj'!R11</f>
        <v>61.524796499466305</v>
      </c>
      <c r="S60" s="627">
        <f>'[16]CO2FFC Adj'!S11</f>
        <v>60.400946738302331</v>
      </c>
      <c r="T60" s="627">
        <f>'[16]CO2FFC Adj'!T11</f>
        <v>65.37457972387908</v>
      </c>
      <c r="U60" s="627">
        <f>'[16]CO2FFC Adj'!U11</f>
        <v>61.644354984696513</v>
      </c>
      <c r="V60" s="627">
        <f>'[16]CO2FFC Adj'!V11</f>
        <v>40.028180855074467</v>
      </c>
      <c r="W60" s="627">
        <f>'[16]CO2FFC Adj'!W11</f>
        <v>54.494757567929931</v>
      </c>
      <c r="X60" s="627">
        <f>'[16]CO2FFC Adj'!X11</f>
        <v>62.266059107893611</v>
      </c>
      <c r="Y60" s="627">
        <f>'[16]CO2FFC Adj'!Y11</f>
        <v>67.000575123009938</v>
      </c>
      <c r="Z60" s="627">
        <f>'[16]CO2FFC Adj'!Z11</f>
        <v>63.963789598162599</v>
      </c>
      <c r="AA60" s="627">
        <f>'[16]CO2FFC Adj'!AA11</f>
        <v>57.985865336652076</v>
      </c>
      <c r="AB60" s="627">
        <f>'[16]CO2FFC Adj'!AB11</f>
        <v>54.399110779745762</v>
      </c>
      <c r="AC60" s="627">
        <f>'[16]CO2FFC Adj'!AC11</f>
        <v>46.269133784091451</v>
      </c>
      <c r="AD60" s="627">
        <f>'[16]CO2FFC Adj'!AD11</f>
        <v>50.812356222839448</v>
      </c>
      <c r="AE60" s="627">
        <f>'[16]CO2FFC Adj'!AE11</f>
        <v>61.429149711282136</v>
      </c>
      <c r="AF60" s="627">
        <f>'[16]CO2FFC Adj'!AF11</f>
        <v>58.942333218493758</v>
      </c>
      <c r="AG60" s="627">
        <f>'[16]CO2FFC Adj'!AG11</f>
        <v>50.445094387926574</v>
      </c>
      <c r="AH60" s="627">
        <f>'[16]CO2FFC Adj'!AH11</f>
        <v>56.297701451157046</v>
      </c>
      <c r="AI60" s="1081">
        <f>AH60</f>
        <v>56.297701451157046</v>
      </c>
    </row>
    <row r="61" spans="2:59">
      <c r="C61" s="635"/>
      <c r="D61" s="635"/>
      <c r="E61" s="635"/>
      <c r="F61" s="635"/>
      <c r="G61" s="635"/>
      <c r="H61" s="635"/>
      <c r="I61" s="635"/>
      <c r="J61" s="635"/>
      <c r="K61" s="635"/>
      <c r="L61" s="635"/>
      <c r="M61" s="635"/>
      <c r="N61" s="635"/>
      <c r="O61" s="635"/>
      <c r="P61" s="635"/>
      <c r="Q61" s="635"/>
      <c r="R61" s="635"/>
      <c r="V61" s="786"/>
    </row>
    <row r="62" spans="2:59">
      <c r="C62" s="635"/>
      <c r="D62" s="635"/>
      <c r="E62" s="635"/>
      <c r="F62" s="635"/>
      <c r="G62" s="635"/>
      <c r="H62" s="635"/>
      <c r="I62" s="635"/>
      <c r="J62" s="635"/>
      <c r="K62" s="635"/>
      <c r="L62" s="635"/>
      <c r="M62" s="635"/>
      <c r="N62" s="635"/>
      <c r="O62" s="635"/>
      <c r="P62" s="635"/>
      <c r="Q62" s="635"/>
      <c r="R62" s="635"/>
      <c r="V62" s="787"/>
    </row>
    <row r="63" spans="2:59">
      <c r="V63" s="788"/>
    </row>
    <row r="64" spans="2:59">
      <c r="V64" s="789"/>
    </row>
    <row r="65" spans="22:22">
      <c r="V65" s="789"/>
    </row>
    <row r="66" spans="22:22">
      <c r="V66" s="789"/>
    </row>
    <row r="67" spans="22:22">
      <c r="V67" s="784"/>
    </row>
    <row r="68" spans="22:22">
      <c r="V68" s="785"/>
    </row>
    <row r="69" spans="22:22">
      <c r="V69" s="786"/>
    </row>
    <row r="70" spans="22:22">
      <c r="V70" s="787"/>
    </row>
    <row r="71" spans="22:22">
      <c r="V71" s="788"/>
    </row>
    <row r="72" spans="22:22">
      <c r="V72" s="789"/>
    </row>
    <row r="73" spans="22:22">
      <c r="V73" s="789"/>
    </row>
    <row r="74" spans="22:22">
      <c r="V74" s="789"/>
    </row>
    <row r="75" spans="22:22">
      <c r="V75" s="784"/>
    </row>
    <row r="76" spans="22:22">
      <c r="V76" s="786">
        <v>43782</v>
      </c>
    </row>
    <row r="77" spans="22:22">
      <c r="V77" s="787"/>
    </row>
    <row r="78" spans="22:22">
      <c r="V78" s="788"/>
    </row>
    <row r="79" spans="22:22">
      <c r="V79" s="789"/>
    </row>
    <row r="80" spans="22:22">
      <c r="V80" s="789"/>
    </row>
    <row r="81" spans="22:22">
      <c r="V81" s="789"/>
    </row>
    <row r="82" spans="22:22" ht="23.1">
      <c r="V82" s="782"/>
    </row>
    <row r="83" spans="22:22">
      <c r="V83" s="783"/>
    </row>
    <row r="84" spans="22:22">
      <c r="V84" s="784"/>
    </row>
    <row r="85" spans="22:22">
      <c r="V85" s="787"/>
    </row>
    <row r="86" spans="22:22">
      <c r="V86" s="787"/>
    </row>
    <row r="87" spans="22:22">
      <c r="V87" s="788"/>
    </row>
    <row r="88" spans="22:22">
      <c r="V88" s="788"/>
    </row>
    <row r="89" spans="22:22">
      <c r="V89" s="788"/>
    </row>
    <row r="90" spans="22:22">
      <c r="V90" s="788"/>
    </row>
    <row r="91" spans="22:22">
      <c r="V91" s="788"/>
    </row>
    <row r="92" spans="22:22">
      <c r="V92" s="788"/>
    </row>
    <row r="93" spans="22:22">
      <c r="V93" s="788"/>
    </row>
    <row r="94" spans="22:22">
      <c r="V94" s="788"/>
    </row>
    <row r="95" spans="22:22">
      <c r="V95" s="788"/>
    </row>
    <row r="96" spans="22:22">
      <c r="V96" s="788"/>
    </row>
    <row r="97" spans="22:22">
      <c r="V97" s="788"/>
    </row>
    <row r="98" spans="22:22">
      <c r="V98" s="788"/>
    </row>
    <row r="99" spans="22:22">
      <c r="V99" s="788"/>
    </row>
    <row r="100" spans="22:22">
      <c r="V100" s="788"/>
    </row>
    <row r="101" spans="22:22">
      <c r="V101" s="788"/>
    </row>
    <row r="102" spans="22:22">
      <c r="V102" s="788"/>
    </row>
    <row r="103" spans="22:22">
      <c r="V103" s="788"/>
    </row>
    <row r="104" spans="22:22">
      <c r="V104" s="788"/>
    </row>
    <row r="105" spans="22:22">
      <c r="V105" s="788"/>
    </row>
    <row r="106" spans="22:22">
      <c r="V106" s="788"/>
    </row>
    <row r="107" spans="22:22">
      <c r="V107" s="788"/>
    </row>
    <row r="108" spans="22:22">
      <c r="V108" s="788"/>
    </row>
    <row r="109" spans="22:22">
      <c r="V109" s="788"/>
    </row>
    <row r="110" spans="22:22">
      <c r="V110" s="788"/>
    </row>
    <row r="111" spans="22:22">
      <c r="V111" s="788"/>
    </row>
    <row r="112" spans="22:22">
      <c r="V112" s="788"/>
    </row>
    <row r="113" spans="22:22">
      <c r="V113" s="788"/>
    </row>
    <row r="114" spans="22:22">
      <c r="V114" s="788"/>
    </row>
    <row r="115" spans="22:22">
      <c r="V115" s="788"/>
    </row>
    <row r="116" spans="22:22">
      <c r="V116" s="788"/>
    </row>
    <row r="117" spans="22:22">
      <c r="V117" s="788"/>
    </row>
    <row r="118" spans="22:22">
      <c r="V118" s="788"/>
    </row>
    <row r="119" spans="22:22">
      <c r="V119" s="788"/>
    </row>
    <row r="120" spans="22:22">
      <c r="V120" s="788"/>
    </row>
    <row r="121" spans="22:22">
      <c r="V121" s="788"/>
    </row>
    <row r="122" spans="22:22">
      <c r="V122" s="788"/>
    </row>
    <row r="123" spans="22:22">
      <c r="V123" s="788"/>
    </row>
    <row r="124" spans="22:22">
      <c r="V124" s="788"/>
    </row>
    <row r="125" spans="22:22">
      <c r="V125" s="788"/>
    </row>
    <row r="126" spans="22:22">
      <c r="V126" s="788"/>
    </row>
    <row r="127" spans="22:22">
      <c r="V127" s="788"/>
    </row>
    <row r="128" spans="22:22">
      <c r="V128" s="788"/>
    </row>
    <row r="129" spans="22:22">
      <c r="V129" s="788"/>
    </row>
    <row r="130" spans="22:22">
      <c r="V130" s="788"/>
    </row>
    <row r="131" spans="22:22">
      <c r="V131" s="788"/>
    </row>
    <row r="132" spans="22:22">
      <c r="V132" s="788"/>
    </row>
    <row r="133" spans="22:22">
      <c r="V133" s="788"/>
    </row>
    <row r="134" spans="22:22">
      <c r="V134" s="788"/>
    </row>
    <row r="135" spans="22:22">
      <c r="V135" s="788"/>
    </row>
    <row r="136" spans="22:22">
      <c r="V136" s="788"/>
    </row>
    <row r="137" spans="22:22">
      <c r="V137" s="788"/>
    </row>
    <row r="138" spans="22:22">
      <c r="V138" s="788"/>
    </row>
    <row r="139" spans="22:22">
      <c r="V139" s="788"/>
    </row>
    <row r="140" spans="22:22">
      <c r="V140" s="788"/>
    </row>
    <row r="141" spans="22:22">
      <c r="V141" s="788"/>
    </row>
    <row r="142" spans="22:22">
      <c r="V142" s="788"/>
    </row>
    <row r="143" spans="22:22">
      <c r="V143" s="788"/>
    </row>
    <row r="144" spans="22:22">
      <c r="V144" s="788"/>
    </row>
    <row r="145" spans="22:22">
      <c r="V145" s="788"/>
    </row>
    <row r="146" spans="22:22">
      <c r="V146" s="788"/>
    </row>
    <row r="147" spans="22:22">
      <c r="V147" s="788"/>
    </row>
    <row r="148" spans="22:22">
      <c r="V148" s="788"/>
    </row>
    <row r="149" spans="22:22">
      <c r="V149" s="788"/>
    </row>
    <row r="150" spans="22:22">
      <c r="V150" s="788"/>
    </row>
    <row r="151" spans="22:22">
      <c r="V151" s="788"/>
    </row>
    <row r="152" spans="22:22">
      <c r="V152" s="788"/>
    </row>
    <row r="153" spans="22:22">
      <c r="V153" s="788"/>
    </row>
    <row r="154" spans="22:22">
      <c r="V154" s="788"/>
    </row>
    <row r="155" spans="22:22">
      <c r="V155" s="788"/>
    </row>
    <row r="156" spans="22:22">
      <c r="V156" s="788"/>
    </row>
    <row r="157" spans="22:22">
      <c r="V157" s="788"/>
    </row>
  </sheetData>
  <phoneticPr fontId="10" type="noConversion"/>
  <pageMargins left="0.5" right="0.5" top="0.5" bottom="0.75" header="0.27" footer="0.21"/>
  <pageSetup scale="87" orientation="landscape" r:id="rId1"/>
  <headerFooter alignWithMargins="0">
    <oddHeader>&amp;L&amp;12GREENHOUSE GAS INVENTORY:  ENERGY</oddHeader>
    <oddFooter>&amp;LPage &amp;P of &amp;N&amp;C&amp;F  &amp;A&amp;R&amp;D  &amp;T</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ransitionEvaluation="1" transitionEntry="1" codeName="Sheet15">
    <pageSetUpPr fitToPage="1"/>
  </sheetPr>
  <dimension ref="A1:AQ1177"/>
  <sheetViews>
    <sheetView topLeftCell="A25" workbookViewId="0">
      <selection activeCell="K61" sqref="K61"/>
    </sheetView>
  </sheetViews>
  <sheetFormatPr defaultColWidth="9.6640625" defaultRowHeight="10.5"/>
  <cols>
    <col min="1" max="1" width="8" customWidth="1"/>
    <col min="2" max="2" width="24.6640625" style="152" customWidth="1"/>
    <col min="3" max="8" width="8.6640625" style="152" customWidth="1"/>
    <col min="9" max="9" width="10" style="152" customWidth="1"/>
    <col min="10" max="11" width="9" style="152" customWidth="1"/>
    <col min="12" max="12" width="7" style="152" customWidth="1"/>
    <col min="13" max="13" width="9" style="152" customWidth="1"/>
    <col min="14" max="14" width="8.6640625" style="152" customWidth="1"/>
    <col min="15" max="15" width="7.6640625" style="152" bestFit="1" customWidth="1"/>
    <col min="16" max="16" width="9" style="152" customWidth="1"/>
    <col min="17" max="17" width="9.6640625" style="152" customWidth="1"/>
    <col min="18" max="18" width="9" style="152" customWidth="1"/>
    <col min="19" max="19" width="7" style="152" customWidth="1"/>
    <col min="20" max="20" width="9"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1990</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1717</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3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31.113999999999997</v>
      </c>
      <c r="D8" s="876">
        <f t="shared" si="4"/>
        <v>124.45599999999999</v>
      </c>
      <c r="E8" s="876">
        <f t="shared" si="4"/>
        <v>1675.7347203839388</v>
      </c>
      <c r="F8" s="876">
        <f t="shared" si="4"/>
        <v>0</v>
      </c>
      <c r="G8" s="876">
        <f t="shared" si="4"/>
        <v>16260.951999999999</v>
      </c>
      <c r="H8" s="876">
        <f t="shared" si="4"/>
        <v>5.4153140038999998</v>
      </c>
      <c r="I8" s="876">
        <f t="shared" ref="I8:I15" si="5">SUM(C8:H8)</f>
        <v>18097.672034387841</v>
      </c>
      <c r="J8" s="959"/>
      <c r="K8" s="960">
        <f>SUM(K9:K16)</f>
        <v>7.610742236648556</v>
      </c>
      <c r="L8" s="960">
        <f>SUM(L9:L16)</f>
        <v>0</v>
      </c>
      <c r="M8" s="960"/>
      <c r="N8" s="878">
        <f t="shared" ref="N8:S8" si="6">SUM(N9:N16)</f>
        <v>31.113999999999997</v>
      </c>
      <c r="O8" s="876">
        <f t="shared" si="6"/>
        <v>124.45599999999999</v>
      </c>
      <c r="P8" s="876">
        <f t="shared" si="6"/>
        <v>1668.1239781472902</v>
      </c>
      <c r="Q8" s="876">
        <f t="shared" si="6"/>
        <v>0</v>
      </c>
      <c r="R8" s="876">
        <f t="shared" si="6"/>
        <v>16260.951999999999</v>
      </c>
      <c r="S8" s="879">
        <f t="shared" si="6"/>
        <v>5.4153140038999998</v>
      </c>
      <c r="T8" s="876">
        <f t="shared" ref="T8:T43" si="7">SUM(N8:S8)</f>
        <v>18090.061292151189</v>
      </c>
      <c r="U8" s="880" t="s">
        <v>1731</v>
      </c>
      <c r="V8" s="876">
        <f>SUM(V9:V16)</f>
        <v>0.81482597783473965</v>
      </c>
      <c r="W8" s="876">
        <f>SUM(W9:W16)</f>
        <v>3.2593039113389586</v>
      </c>
      <c r="X8" s="876">
        <f>SUM(X9:X16)</f>
        <v>43.047011394139815</v>
      </c>
      <c r="Y8" s="876" t="s">
        <v>108</v>
      </c>
      <c r="Z8" s="876">
        <f>SUM(Z9:Z16)</f>
        <v>421.77650886450402</v>
      </c>
      <c r="AA8" s="876">
        <f>SUM(AA9:AA16)</f>
        <v>0.136140994058046</v>
      </c>
      <c r="AB8" s="876">
        <f t="shared" ref="AB8:AB13" si="8">SUM(V8:AA8)</f>
        <v>469.03379114187561</v>
      </c>
      <c r="AC8" s="881" t="s">
        <v>1731</v>
      </c>
      <c r="AD8" s="878">
        <f>SUM(AD9:AD16)</f>
        <v>0.81482597783473965</v>
      </c>
      <c r="AE8" s="876">
        <f>SUM(AE9:AE16)</f>
        <v>3.2593039113389586</v>
      </c>
      <c r="AF8" s="876">
        <f>SUM(AF9:AF16)</f>
        <v>43.047011394139815</v>
      </c>
      <c r="AG8" s="876" t="s">
        <v>108</v>
      </c>
      <c r="AH8" s="876">
        <f>SUM(AH9:AH16)</f>
        <v>421.77650886450402</v>
      </c>
      <c r="AI8" s="876">
        <f>SUM(AI9:AI16)</f>
        <v>0.136140994058046</v>
      </c>
      <c r="AJ8" s="876">
        <f t="shared" ref="AJ8:AJ42" si="9">SUM(AD8:AI8)</f>
        <v>469.03379114187561</v>
      </c>
      <c r="AK8" s="878">
        <f>SUM(AK9:AK16)</f>
        <v>2.9876952520607118</v>
      </c>
      <c r="AL8" s="876">
        <f t="shared" ref="AL8:AP8" si="10">SUM(AL9:AL16)</f>
        <v>11.950781008242847</v>
      </c>
      <c r="AM8" s="876">
        <f t="shared" si="10"/>
        <v>157.83904177851264</v>
      </c>
      <c r="AN8" s="876">
        <f t="shared" si="10"/>
        <v>0</v>
      </c>
      <c r="AO8" s="876">
        <f t="shared" si="10"/>
        <v>1546.5138658365147</v>
      </c>
      <c r="AP8" s="876">
        <f t="shared" si="10"/>
        <v>0.49918364487950195</v>
      </c>
      <c r="AQ8" s="882">
        <f t="shared" ref="AQ8:AQ14" si="11">SUM(AK8:AP8)</f>
        <v>1719.7905675202103</v>
      </c>
    </row>
    <row r="9" spans="1:43">
      <c r="A9" s="817"/>
      <c r="B9" s="860" t="s">
        <v>1732</v>
      </c>
      <c r="C9" s="883">
        <f>HLOOKUP($B$2,'Consumption Input'!$E$5:$AQ$82,'Consumption Input'!$B7)</f>
        <v>31.113999999999997</v>
      </c>
      <c r="D9" s="883"/>
      <c r="E9" s="883"/>
      <c r="F9" s="883"/>
      <c r="G9" s="883"/>
      <c r="H9" s="883"/>
      <c r="I9" s="883">
        <f t="shared" si="5"/>
        <v>31.113999999999997</v>
      </c>
      <c r="J9" s="961"/>
      <c r="K9" s="940"/>
      <c r="L9" s="940"/>
      <c r="M9" s="940"/>
      <c r="N9" s="885">
        <f>C9</f>
        <v>31.113999999999997</v>
      </c>
      <c r="O9" s="883">
        <f t="shared" ref="O9:O17" si="12">D9</f>
        <v>0</v>
      </c>
      <c r="P9" s="883">
        <f t="shared" ref="P9:P16" si="13">E9-K9</f>
        <v>0</v>
      </c>
      <c r="Q9" s="883">
        <f t="shared" ref="Q9:Q17" si="14">F9</f>
        <v>0</v>
      </c>
      <c r="R9" s="883">
        <f t="shared" ref="R9:R16" si="15">G9</f>
        <v>0</v>
      </c>
      <c r="S9" s="886">
        <f t="shared" ref="S9:S17" si="16">H9</f>
        <v>0</v>
      </c>
      <c r="T9" s="883">
        <f t="shared" si="7"/>
        <v>31.113999999999997</v>
      </c>
      <c r="U9" s="887">
        <f>HLOOKUP($B$2,Factors!$J$12:$Y$25,Factors!$H13)</f>
        <v>26.188403221531779</v>
      </c>
      <c r="V9" s="885">
        <f>N9*$U9*TbtuToQBtu</f>
        <v>0.81482597783473965</v>
      </c>
      <c r="W9" s="883">
        <f t="shared" ref="W9:W17" si="17">O9*$U9*TbtuToQBtu</f>
        <v>0</v>
      </c>
      <c r="X9" s="883">
        <f t="shared" ref="X9:X17" si="18">P9*$U9*TbtuToQBtu</f>
        <v>0</v>
      </c>
      <c r="Y9" s="883">
        <f t="shared" ref="Y9:Y17" si="19">Q9*$U9*TbtuToQBtu</f>
        <v>0</v>
      </c>
      <c r="Z9" s="883">
        <f t="shared" ref="Z9:Z17" si="20">R9*$U9*TbtuToQBtu</f>
        <v>0</v>
      </c>
      <c r="AA9" s="883">
        <f t="shared" ref="AA9:AA17" si="21">S9*$U9*TbtuToQBtu</f>
        <v>0</v>
      </c>
      <c r="AB9" s="883">
        <f t="shared" si="8"/>
        <v>0.81482597783473965</v>
      </c>
      <c r="AC9" s="888">
        <f>Factors!E10</f>
        <v>1</v>
      </c>
      <c r="AD9" s="885">
        <f>V9*$AC9</f>
        <v>0.81482597783473965</v>
      </c>
      <c r="AE9" s="883">
        <f t="shared" ref="AE9:AE17" si="22">W9*$AC9</f>
        <v>0</v>
      </c>
      <c r="AF9" s="883">
        <f t="shared" ref="AF9:AF17" si="23">X9*$AC9</f>
        <v>0</v>
      </c>
      <c r="AG9" s="883">
        <f t="shared" ref="AG9:AG17" si="24">Y9*$AC9</f>
        <v>0</v>
      </c>
      <c r="AH9" s="883">
        <f t="shared" ref="AH9:AI17" si="25">Z9*$AC9</f>
        <v>0</v>
      </c>
      <c r="AI9" s="883">
        <f t="shared" ref="AI9:AI16" si="26">AA9*$AC9</f>
        <v>0</v>
      </c>
      <c r="AJ9" s="889">
        <f t="shared" si="9"/>
        <v>0.81482597783473965</v>
      </c>
      <c r="AK9" s="885">
        <f>AD9*CtoCO2</f>
        <v>2.9876952520607118</v>
      </c>
      <c r="AL9" s="883">
        <f t="shared" ref="AL9:AL42" si="27">AE9*CtoCO2</f>
        <v>0</v>
      </c>
      <c r="AM9" s="883">
        <f t="shared" ref="AM9:AM42" si="28">AF9*CtoCO2</f>
        <v>0</v>
      </c>
      <c r="AN9" s="883">
        <f t="shared" ref="AN9:AN42" si="29">AG9*CtoCO2</f>
        <v>0</v>
      </c>
      <c r="AO9" s="883">
        <f t="shared" ref="AO9:AP41" si="30">AH9*CtoCO2</f>
        <v>0</v>
      </c>
      <c r="AP9" s="883">
        <f t="shared" ref="AP9:AP42" si="31">AI9*CtoCO2</f>
        <v>0</v>
      </c>
      <c r="AQ9" s="890">
        <f t="shared" si="11"/>
        <v>2.9876952520607118</v>
      </c>
    </row>
    <row r="10" spans="1:43">
      <c r="A10" s="817"/>
      <c r="B10" s="860" t="s">
        <v>1733</v>
      </c>
      <c r="C10" s="883"/>
      <c r="D10" s="883">
        <f>HLOOKUP($B$2,'Consumption Input'!$E$5:$AQ$82,'Consumption Input'!$B13)</f>
        <v>124.45599999999999</v>
      </c>
      <c r="E10" s="883"/>
      <c r="F10" s="883"/>
      <c r="G10" s="883"/>
      <c r="H10" s="883"/>
      <c r="I10" s="883">
        <f t="shared" si="5"/>
        <v>124.45599999999999</v>
      </c>
      <c r="J10" s="961"/>
      <c r="K10" s="940"/>
      <c r="L10" s="940"/>
      <c r="M10" s="940"/>
      <c r="N10" s="885">
        <f t="shared" ref="N10:N17" si="32">C10</f>
        <v>0</v>
      </c>
      <c r="O10" s="883">
        <f t="shared" si="12"/>
        <v>124.45599999999999</v>
      </c>
      <c r="P10" s="883">
        <f t="shared" si="13"/>
        <v>0</v>
      </c>
      <c r="Q10" s="883">
        <f t="shared" si="14"/>
        <v>0</v>
      </c>
      <c r="R10" s="883">
        <f t="shared" si="15"/>
        <v>0</v>
      </c>
      <c r="S10" s="886">
        <f t="shared" si="16"/>
        <v>0</v>
      </c>
      <c r="T10" s="883">
        <f t="shared" si="7"/>
        <v>124.45599999999999</v>
      </c>
      <c r="U10" s="887">
        <f>HLOOKUP($B$2,Factors!$J$12:$Y$25,Factors!$H14)</f>
        <v>26.188403221531779</v>
      </c>
      <c r="V10" s="885">
        <f t="shared" ref="V10:V17" si="33">N10*$U10*TbtuToQBtu</f>
        <v>0</v>
      </c>
      <c r="W10" s="883">
        <f t="shared" si="17"/>
        <v>3.2593039113389586</v>
      </c>
      <c r="X10" s="883">
        <f t="shared" si="18"/>
        <v>0</v>
      </c>
      <c r="Y10" s="883">
        <f t="shared" si="19"/>
        <v>0</v>
      </c>
      <c r="Z10" s="883">
        <f t="shared" si="20"/>
        <v>0</v>
      </c>
      <c r="AA10" s="883">
        <f t="shared" si="21"/>
        <v>0</v>
      </c>
      <c r="AB10" s="883">
        <f t="shared" si="8"/>
        <v>3.2593039113389586</v>
      </c>
      <c r="AC10" s="888">
        <f>Factors!E11</f>
        <v>1</v>
      </c>
      <c r="AD10" s="885">
        <f t="shared" ref="AD10:AD17" si="34">V10*$AC10</f>
        <v>0</v>
      </c>
      <c r="AE10" s="883">
        <f t="shared" si="22"/>
        <v>3.2593039113389586</v>
      </c>
      <c r="AF10" s="883">
        <f t="shared" si="23"/>
        <v>0</v>
      </c>
      <c r="AG10" s="883">
        <f t="shared" si="24"/>
        <v>0</v>
      </c>
      <c r="AH10" s="883">
        <f t="shared" si="25"/>
        <v>0</v>
      </c>
      <c r="AI10" s="883">
        <f t="shared" si="26"/>
        <v>0</v>
      </c>
      <c r="AJ10" s="889">
        <f t="shared" si="9"/>
        <v>3.2593039113389586</v>
      </c>
      <c r="AK10" s="885">
        <f t="shared" ref="AK10:AK42" si="35">AD10*CtoCO2</f>
        <v>0</v>
      </c>
      <c r="AL10" s="883">
        <f t="shared" si="27"/>
        <v>11.950781008242847</v>
      </c>
      <c r="AM10" s="883">
        <f t="shared" si="28"/>
        <v>0</v>
      </c>
      <c r="AN10" s="883">
        <f t="shared" si="29"/>
        <v>0</v>
      </c>
      <c r="AO10" s="883">
        <f t="shared" si="30"/>
        <v>0</v>
      </c>
      <c r="AP10" s="883">
        <f t="shared" si="31"/>
        <v>0</v>
      </c>
      <c r="AQ10" s="890">
        <f t="shared" si="11"/>
        <v>11.950781008242847</v>
      </c>
    </row>
    <row r="11" spans="1:43" s="244" customFormat="1" hidden="1">
      <c r="A11" s="861"/>
      <c r="B11" s="862" t="s">
        <v>1734</v>
      </c>
      <c r="C11" s="891"/>
      <c r="D11" s="891"/>
      <c r="E11" s="891">
        <f>HLOOKUP($B$2,'Consumption Input'!$E$5:$AQ$82,'Consumption Input'!$B23)</f>
        <v>0</v>
      </c>
      <c r="F11" s="891"/>
      <c r="G11" s="891"/>
      <c r="H11" s="891"/>
      <c r="I11" s="891">
        <f t="shared" si="5"/>
        <v>0</v>
      </c>
      <c r="J11" s="962"/>
      <c r="K11" s="963">
        <f>HLOOKUP($B$2,NEUConsumption,'Non-Energy Use'!$C$7)</f>
        <v>0</v>
      </c>
      <c r="L11" s="963"/>
      <c r="M11" s="963"/>
      <c r="N11" s="893">
        <f t="shared" si="32"/>
        <v>0</v>
      </c>
      <c r="O11" s="891">
        <f t="shared" si="12"/>
        <v>0</v>
      </c>
      <c r="P11" s="891">
        <f t="shared" si="13"/>
        <v>0</v>
      </c>
      <c r="Q11" s="891">
        <f t="shared" si="14"/>
        <v>0</v>
      </c>
      <c r="R11" s="891">
        <f t="shared" si="15"/>
        <v>0</v>
      </c>
      <c r="S11" s="894">
        <f t="shared" si="16"/>
        <v>0</v>
      </c>
      <c r="T11" s="891">
        <f t="shared" si="7"/>
        <v>0</v>
      </c>
      <c r="U11" s="1013">
        <f>HLOOKUP($B$2,Factors!$J$12:$BE$28,Factors!$H28,FALSE)</f>
        <v>25.532291814167994</v>
      </c>
      <c r="V11" s="893">
        <f t="shared" si="33"/>
        <v>0</v>
      </c>
      <c r="W11" s="891">
        <f t="shared" si="17"/>
        <v>0</v>
      </c>
      <c r="X11" s="891">
        <f t="shared" si="18"/>
        <v>0</v>
      </c>
      <c r="Y11" s="891">
        <f t="shared" si="19"/>
        <v>0</v>
      </c>
      <c r="Z11" s="891">
        <f t="shared" si="20"/>
        <v>0</v>
      </c>
      <c r="AA11" s="891">
        <f t="shared" si="21"/>
        <v>0</v>
      </c>
      <c r="AB11" s="891">
        <f t="shared" si="8"/>
        <v>0</v>
      </c>
      <c r="AC11" s="896">
        <f>Factors!E12</f>
        <v>1</v>
      </c>
      <c r="AD11" s="893">
        <f t="shared" si="34"/>
        <v>0</v>
      </c>
      <c r="AE11" s="891">
        <f t="shared" si="22"/>
        <v>0</v>
      </c>
      <c r="AF11" s="891">
        <f t="shared" si="23"/>
        <v>0</v>
      </c>
      <c r="AG11" s="891">
        <f t="shared" si="24"/>
        <v>0</v>
      </c>
      <c r="AH11" s="891">
        <f t="shared" si="25"/>
        <v>0</v>
      </c>
      <c r="AI11" s="891">
        <f t="shared" si="26"/>
        <v>0</v>
      </c>
      <c r="AJ11" s="897">
        <f t="shared" si="9"/>
        <v>0</v>
      </c>
      <c r="AK11" s="893">
        <f t="shared" si="35"/>
        <v>0</v>
      </c>
      <c r="AL11" s="891">
        <f t="shared" si="27"/>
        <v>0</v>
      </c>
      <c r="AM11" s="891">
        <f t="shared" si="28"/>
        <v>0</v>
      </c>
      <c r="AN11" s="891">
        <f t="shared" si="29"/>
        <v>0</v>
      </c>
      <c r="AO11" s="891">
        <f t="shared" si="30"/>
        <v>0</v>
      </c>
      <c r="AP11" s="891">
        <f t="shared" si="31"/>
        <v>0</v>
      </c>
      <c r="AQ11" s="898">
        <f t="shared" si="11"/>
        <v>0</v>
      </c>
    </row>
    <row r="12" spans="1:43">
      <c r="A12" s="817"/>
      <c r="B12" s="860" t="s">
        <v>1701</v>
      </c>
      <c r="C12" s="883"/>
      <c r="D12" s="883"/>
      <c r="E12" s="883">
        <f>HLOOKUP($B$2,'Consumption Input'!$E$5:$AQ$82,'Consumption Input'!$B24)</f>
        <v>1675.7347203839388</v>
      </c>
      <c r="F12" s="883"/>
      <c r="G12" s="883"/>
      <c r="H12" s="883"/>
      <c r="I12" s="883">
        <f t="shared" si="5"/>
        <v>1675.7347203839388</v>
      </c>
      <c r="J12" s="961"/>
      <c r="K12" s="940">
        <f>HLOOKUP($B$2,NEUConsumption,'Non-Energy Use'!$C$8)</f>
        <v>7.610742236648556</v>
      </c>
      <c r="L12" s="940"/>
      <c r="M12" s="940"/>
      <c r="N12" s="885">
        <f t="shared" si="32"/>
        <v>0</v>
      </c>
      <c r="O12" s="883">
        <f t="shared" si="12"/>
        <v>0</v>
      </c>
      <c r="P12" s="883">
        <f t="shared" si="13"/>
        <v>1668.1239781472902</v>
      </c>
      <c r="Q12" s="883">
        <f t="shared" si="14"/>
        <v>0</v>
      </c>
      <c r="R12" s="883">
        <f t="shared" si="15"/>
        <v>0</v>
      </c>
      <c r="S12" s="886">
        <f t="shared" si="16"/>
        <v>0</v>
      </c>
      <c r="T12" s="883">
        <f t="shared" si="7"/>
        <v>1668.1239781472902</v>
      </c>
      <c r="U12" s="887">
        <f>HLOOKUP($B$2,Factors!$J$12:$Y$25,Factors!$H15)</f>
        <v>25.805642720842716</v>
      </c>
      <c r="V12" s="885">
        <f t="shared" si="33"/>
        <v>0</v>
      </c>
      <c r="W12" s="883">
        <f t="shared" si="17"/>
        <v>0</v>
      </c>
      <c r="X12" s="883">
        <f t="shared" si="18"/>
        <v>43.047011394139815</v>
      </c>
      <c r="Y12" s="883">
        <f t="shared" si="19"/>
        <v>0</v>
      </c>
      <c r="Z12" s="883">
        <f t="shared" si="20"/>
        <v>0</v>
      </c>
      <c r="AA12" s="883">
        <f t="shared" si="21"/>
        <v>0</v>
      </c>
      <c r="AB12" s="883">
        <f t="shared" si="8"/>
        <v>43.047011394139815</v>
      </c>
      <c r="AC12" s="888">
        <f>Factors!E13</f>
        <v>1</v>
      </c>
      <c r="AD12" s="885">
        <f t="shared" si="34"/>
        <v>0</v>
      </c>
      <c r="AE12" s="883">
        <f t="shared" si="22"/>
        <v>0</v>
      </c>
      <c r="AF12" s="883">
        <f t="shared" si="23"/>
        <v>43.047011394139815</v>
      </c>
      <c r="AG12" s="883">
        <f t="shared" si="24"/>
        <v>0</v>
      </c>
      <c r="AH12" s="883">
        <f t="shared" si="25"/>
        <v>0</v>
      </c>
      <c r="AI12" s="883">
        <f t="shared" si="26"/>
        <v>0</v>
      </c>
      <c r="AJ12" s="889">
        <f t="shared" si="9"/>
        <v>43.047011394139815</v>
      </c>
      <c r="AK12" s="885">
        <f t="shared" si="35"/>
        <v>0</v>
      </c>
      <c r="AL12" s="883">
        <f t="shared" si="27"/>
        <v>0</v>
      </c>
      <c r="AM12" s="883">
        <f t="shared" si="28"/>
        <v>157.83904177851264</v>
      </c>
      <c r="AN12" s="883">
        <f t="shared" si="29"/>
        <v>0</v>
      </c>
      <c r="AO12" s="883">
        <f t="shared" si="30"/>
        <v>0</v>
      </c>
      <c r="AP12" s="883">
        <f t="shared" si="31"/>
        <v>0</v>
      </c>
      <c r="AQ12" s="890">
        <f t="shared" si="11"/>
        <v>157.83904177851264</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32"/>
        <v>0</v>
      </c>
      <c r="O13" s="891">
        <f t="shared" si="12"/>
        <v>0</v>
      </c>
      <c r="P13" s="891">
        <f t="shared" si="13"/>
        <v>0</v>
      </c>
      <c r="Q13" s="891">
        <f t="shared" si="14"/>
        <v>0</v>
      </c>
      <c r="R13" s="891">
        <f t="shared" si="15"/>
        <v>0</v>
      </c>
      <c r="S13" s="894">
        <f t="shared" si="16"/>
        <v>0</v>
      </c>
      <c r="T13" s="891">
        <f t="shared" si="7"/>
        <v>0</v>
      </c>
      <c r="U13" s="895">
        <f>Factors!D14</f>
        <v>27.85</v>
      </c>
      <c r="V13" s="893">
        <f t="shared" si="33"/>
        <v>0</v>
      </c>
      <c r="W13" s="891">
        <f t="shared" si="17"/>
        <v>0</v>
      </c>
      <c r="X13" s="891">
        <f t="shared" si="18"/>
        <v>0</v>
      </c>
      <c r="Y13" s="891">
        <f t="shared" si="19"/>
        <v>0</v>
      </c>
      <c r="Z13" s="891">
        <f t="shared" si="20"/>
        <v>0</v>
      </c>
      <c r="AA13" s="891">
        <f t="shared" si="21"/>
        <v>0</v>
      </c>
      <c r="AB13" s="891">
        <f t="shared" si="8"/>
        <v>0</v>
      </c>
      <c r="AC13" s="896">
        <f>Factors!E14</f>
        <v>1</v>
      </c>
      <c r="AD13" s="893">
        <f t="shared" si="34"/>
        <v>0</v>
      </c>
      <c r="AE13" s="891">
        <f t="shared" si="22"/>
        <v>0</v>
      </c>
      <c r="AF13" s="891">
        <f t="shared" si="23"/>
        <v>0</v>
      </c>
      <c r="AG13" s="891">
        <f t="shared" si="24"/>
        <v>0</v>
      </c>
      <c r="AH13" s="891">
        <f t="shared" si="25"/>
        <v>0</v>
      </c>
      <c r="AI13" s="891">
        <f t="shared" si="26"/>
        <v>0</v>
      </c>
      <c r="AJ13" s="897">
        <f t="shared" si="9"/>
        <v>0</v>
      </c>
      <c r="AK13" s="893">
        <f t="shared" si="35"/>
        <v>0</v>
      </c>
      <c r="AL13" s="891">
        <f t="shared" si="27"/>
        <v>0</v>
      </c>
      <c r="AM13" s="891">
        <f t="shared" si="28"/>
        <v>0</v>
      </c>
      <c r="AN13" s="891">
        <f t="shared" si="29"/>
        <v>0</v>
      </c>
      <c r="AO13" s="891">
        <f t="shared" si="30"/>
        <v>0</v>
      </c>
      <c r="AP13" s="891">
        <f t="shared" si="31"/>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32"/>
        <v>0</v>
      </c>
      <c r="O14" s="883">
        <f t="shared" si="12"/>
        <v>0</v>
      </c>
      <c r="P14" s="883">
        <f t="shared" si="13"/>
        <v>0</v>
      </c>
      <c r="Q14" s="883">
        <f t="shared" si="14"/>
        <v>0</v>
      </c>
      <c r="R14" s="883">
        <f t="shared" si="15"/>
        <v>0</v>
      </c>
      <c r="S14" s="886">
        <f t="shared" si="16"/>
        <v>0</v>
      </c>
      <c r="T14" s="883">
        <f t="shared" si="7"/>
        <v>0</v>
      </c>
      <c r="U14" s="887" t="str">
        <f>Factors!D15</f>
        <v>NC</v>
      </c>
      <c r="V14" s="885">
        <f t="shared" si="33"/>
        <v>0</v>
      </c>
      <c r="W14" s="883">
        <f t="shared" si="17"/>
        <v>0</v>
      </c>
      <c r="X14" s="883">
        <f t="shared" si="18"/>
        <v>0</v>
      </c>
      <c r="Y14" s="883">
        <f t="shared" si="19"/>
        <v>0</v>
      </c>
      <c r="Z14" s="883">
        <f t="shared" si="20"/>
        <v>0</v>
      </c>
      <c r="AA14" s="883">
        <f t="shared" si="21"/>
        <v>0</v>
      </c>
      <c r="AB14" s="883" t="s">
        <v>103</v>
      </c>
      <c r="AC14" s="888" t="str">
        <f>Factors!E15</f>
        <v>NC</v>
      </c>
      <c r="AD14" s="885">
        <f t="shared" si="34"/>
        <v>0</v>
      </c>
      <c r="AE14" s="883">
        <f t="shared" si="22"/>
        <v>0</v>
      </c>
      <c r="AF14" s="883">
        <f t="shared" si="23"/>
        <v>0</v>
      </c>
      <c r="AG14" s="883">
        <f t="shared" si="24"/>
        <v>0</v>
      </c>
      <c r="AH14" s="883">
        <f t="shared" si="25"/>
        <v>0</v>
      </c>
      <c r="AI14" s="883">
        <f t="shared" si="26"/>
        <v>0</v>
      </c>
      <c r="AJ14" s="889">
        <f t="shared" si="9"/>
        <v>0</v>
      </c>
      <c r="AK14" s="885">
        <f t="shared" si="35"/>
        <v>0</v>
      </c>
      <c r="AL14" s="883">
        <f t="shared" si="27"/>
        <v>0</v>
      </c>
      <c r="AM14" s="883">
        <f t="shared" si="28"/>
        <v>0</v>
      </c>
      <c r="AN14" s="883">
        <f t="shared" si="29"/>
        <v>0</v>
      </c>
      <c r="AO14" s="883">
        <f t="shared" si="30"/>
        <v>0</v>
      </c>
      <c r="AP14" s="883">
        <f t="shared" si="31"/>
        <v>0</v>
      </c>
      <c r="AQ14" s="890">
        <f t="shared" si="11"/>
        <v>0</v>
      </c>
    </row>
    <row r="15" spans="1:43">
      <c r="A15" s="817"/>
      <c r="B15" s="860" t="s">
        <v>1736</v>
      </c>
      <c r="C15" s="883"/>
      <c r="D15" s="883"/>
      <c r="E15" s="883"/>
      <c r="F15" s="883"/>
      <c r="G15" s="883">
        <f>HLOOKUP($B$2,'Consumption Input'!$E$5:$AQ$82,'Consumption Input'!$B58)</f>
        <v>16260.951999999999</v>
      </c>
      <c r="H15" s="883"/>
      <c r="I15" s="883">
        <f t="shared" si="5"/>
        <v>16260.951999999999</v>
      </c>
      <c r="J15" s="961"/>
      <c r="K15" s="940"/>
      <c r="L15" s="940"/>
      <c r="M15" s="940"/>
      <c r="N15" s="885">
        <f t="shared" si="32"/>
        <v>0</v>
      </c>
      <c r="O15" s="883">
        <f t="shared" si="12"/>
        <v>0</v>
      </c>
      <c r="P15" s="883">
        <f t="shared" si="13"/>
        <v>0</v>
      </c>
      <c r="Q15" s="883">
        <f t="shared" si="14"/>
        <v>0</v>
      </c>
      <c r="R15" s="883">
        <f t="shared" si="15"/>
        <v>16260.951999999999</v>
      </c>
      <c r="S15" s="886">
        <f t="shared" si="16"/>
        <v>0</v>
      </c>
      <c r="T15" s="883">
        <f t="shared" si="7"/>
        <v>16260.951999999999</v>
      </c>
      <c r="U15" s="887">
        <f>HLOOKUP($B$2,Factors!$J$12:$Y$25,Factors!$H16)</f>
        <v>25.937996057334406</v>
      </c>
      <c r="V15" s="885">
        <f t="shared" si="33"/>
        <v>0</v>
      </c>
      <c r="W15" s="883">
        <f t="shared" si="17"/>
        <v>0</v>
      </c>
      <c r="X15" s="883">
        <f t="shared" si="18"/>
        <v>0</v>
      </c>
      <c r="Y15" s="883">
        <f t="shared" si="19"/>
        <v>0</v>
      </c>
      <c r="Z15" s="883">
        <f t="shared" si="20"/>
        <v>421.77650886450402</v>
      </c>
      <c r="AA15" s="883">
        <f t="shared" si="21"/>
        <v>0</v>
      </c>
      <c r="AB15" s="883">
        <f t="shared" ref="AB15:AB43" si="36">SUM(V15:AA15)</f>
        <v>421.77650886450402</v>
      </c>
      <c r="AC15" s="888">
        <f>Factors!E16</f>
        <v>1</v>
      </c>
      <c r="AD15" s="885">
        <f t="shared" si="34"/>
        <v>0</v>
      </c>
      <c r="AE15" s="883">
        <f t="shared" si="22"/>
        <v>0</v>
      </c>
      <c r="AF15" s="883">
        <f t="shared" si="23"/>
        <v>0</v>
      </c>
      <c r="AG15" s="883">
        <f t="shared" si="24"/>
        <v>0</v>
      </c>
      <c r="AH15" s="883">
        <f t="shared" si="25"/>
        <v>421.77650886450402</v>
      </c>
      <c r="AI15" s="883">
        <f t="shared" si="26"/>
        <v>0</v>
      </c>
      <c r="AJ15" s="889">
        <f t="shared" si="9"/>
        <v>421.77650886450402</v>
      </c>
      <c r="AK15" s="885">
        <f t="shared" si="35"/>
        <v>0</v>
      </c>
      <c r="AL15" s="883">
        <f t="shared" si="27"/>
        <v>0</v>
      </c>
      <c r="AM15" s="883">
        <f t="shared" si="28"/>
        <v>0</v>
      </c>
      <c r="AN15" s="883">
        <f t="shared" si="29"/>
        <v>0</v>
      </c>
      <c r="AO15" s="883">
        <f t="shared" si="30"/>
        <v>1546.5138658365147</v>
      </c>
      <c r="AP15" s="883">
        <f t="shared" si="31"/>
        <v>0</v>
      </c>
      <c r="AQ15" s="890">
        <f t="shared" ref="AQ15:AQ42" si="37">SUM(AK15:AP15)</f>
        <v>1546.5138658365147</v>
      </c>
    </row>
    <row r="16" spans="1:43">
      <c r="A16" s="817"/>
      <c r="B16" s="860" t="s">
        <v>1737</v>
      </c>
      <c r="C16" s="883"/>
      <c r="D16" s="883"/>
      <c r="E16" s="883"/>
      <c r="F16" s="883"/>
      <c r="G16" s="883"/>
      <c r="H16" s="883">
        <f>HLOOKUP($B$2,'US Territories'!$D$28:$Z$38,'US Territories'!$B29)</f>
        <v>5.4153140038999998</v>
      </c>
      <c r="I16" s="883">
        <f t="shared" ref="I16:I41" si="38">SUM(C16:H16)</f>
        <v>5.4153140038999998</v>
      </c>
      <c r="J16" s="961"/>
      <c r="K16" s="940"/>
      <c r="L16" s="940"/>
      <c r="M16" s="940"/>
      <c r="N16" s="885">
        <f t="shared" si="32"/>
        <v>0</v>
      </c>
      <c r="O16" s="883">
        <f t="shared" si="12"/>
        <v>0</v>
      </c>
      <c r="P16" s="883">
        <f t="shared" si="13"/>
        <v>0</v>
      </c>
      <c r="Q16" s="883">
        <f t="shared" si="14"/>
        <v>0</v>
      </c>
      <c r="R16" s="883">
        <f t="shared" si="15"/>
        <v>0</v>
      </c>
      <c r="S16" s="886">
        <f t="shared" si="16"/>
        <v>5.4153140038999998</v>
      </c>
      <c r="T16" s="883">
        <f t="shared" si="7"/>
        <v>5.4153140038999998</v>
      </c>
      <c r="U16" s="887">
        <f>Factors!D17</f>
        <v>25.14</v>
      </c>
      <c r="V16" s="899">
        <f t="shared" si="33"/>
        <v>0</v>
      </c>
      <c r="W16" s="900">
        <f t="shared" si="17"/>
        <v>0</v>
      </c>
      <c r="X16" s="900">
        <f t="shared" si="18"/>
        <v>0</v>
      </c>
      <c r="Y16" s="900">
        <f t="shared" si="19"/>
        <v>0</v>
      </c>
      <c r="Z16" s="900">
        <f t="shared" si="20"/>
        <v>0</v>
      </c>
      <c r="AA16" s="900">
        <f t="shared" si="21"/>
        <v>0.136140994058046</v>
      </c>
      <c r="AB16" s="883">
        <f t="shared" si="36"/>
        <v>0.136140994058046</v>
      </c>
      <c r="AC16" s="888">
        <f>Factors!E17</f>
        <v>1</v>
      </c>
      <c r="AD16" s="899">
        <f t="shared" si="34"/>
        <v>0</v>
      </c>
      <c r="AE16" s="900">
        <f t="shared" si="22"/>
        <v>0</v>
      </c>
      <c r="AF16" s="900">
        <f t="shared" si="23"/>
        <v>0</v>
      </c>
      <c r="AG16" s="900">
        <f t="shared" si="24"/>
        <v>0</v>
      </c>
      <c r="AH16" s="900">
        <f t="shared" si="25"/>
        <v>0</v>
      </c>
      <c r="AI16" s="900">
        <f t="shared" si="26"/>
        <v>0.136140994058046</v>
      </c>
      <c r="AJ16" s="889">
        <f t="shared" si="9"/>
        <v>0.136140994058046</v>
      </c>
      <c r="AK16" s="885">
        <f t="shared" si="35"/>
        <v>0</v>
      </c>
      <c r="AL16" s="883">
        <f t="shared" si="27"/>
        <v>0</v>
      </c>
      <c r="AM16" s="883">
        <f t="shared" si="28"/>
        <v>0</v>
      </c>
      <c r="AN16" s="883">
        <f t="shared" si="29"/>
        <v>0</v>
      </c>
      <c r="AO16" s="883">
        <f t="shared" si="30"/>
        <v>0</v>
      </c>
      <c r="AP16" s="883">
        <f t="shared" si="31"/>
        <v>0.49918364487950195</v>
      </c>
      <c r="AQ16" s="890">
        <f t="shared" si="37"/>
        <v>0.49918364487950195</v>
      </c>
    </row>
    <row r="17" spans="1:43">
      <c r="A17" s="817"/>
      <c r="B17" s="863" t="s">
        <v>1439</v>
      </c>
      <c r="C17" s="901">
        <f>HLOOKUP($B$2,'Consumption Input'!$E$5:$AQ$82,'Consumption Input'!$B8)</f>
        <v>4486.5529999999999</v>
      </c>
      <c r="D17" s="901">
        <f>HLOOKUP($B$2,'Consumption Input'!$E$5:$AQ$82,'Consumption Input'!$B14)</f>
        <v>2679.5970000000002</v>
      </c>
      <c r="E17" s="901">
        <f>HLOOKUP($B$2,'Consumption Input'!$E$5:$AQ$82,'Consumption Input'!$B26)</f>
        <v>7993.1381541127721</v>
      </c>
      <c r="F17" s="901">
        <f>HLOOKUP($B$2,'Consumption Input'!$E$5:$AQ$82,'Consumption Input'!$B49)</f>
        <v>679.22799999999995</v>
      </c>
      <c r="G17" s="901">
        <f>HLOOKUP($B$2,'Consumption Input'!$E$5:$AQ$82,'Consumption Input'!$B59)</f>
        <v>3308.538</v>
      </c>
      <c r="H17" s="944">
        <f>HLOOKUP($B$2,'US Territories'!$D$28:$Z$38,'US Territories'!$B30)</f>
        <v>0</v>
      </c>
      <c r="I17" s="901">
        <f t="shared" si="38"/>
        <v>19147.054154112771</v>
      </c>
      <c r="J17" s="964"/>
      <c r="K17" s="965">
        <f>HLOOKUP($B$2,NEUConsumption,'Non-Energy Use'!$C$9)</f>
        <v>305.91000000000003</v>
      </c>
      <c r="L17" s="965"/>
      <c r="M17" s="965"/>
      <c r="N17" s="904">
        <f t="shared" si="32"/>
        <v>4486.5529999999999</v>
      </c>
      <c r="O17" s="901">
        <f t="shared" si="12"/>
        <v>2679.5970000000002</v>
      </c>
      <c r="P17" s="901">
        <f>E17-K17</f>
        <v>7687.2281541127722</v>
      </c>
      <c r="Q17" s="901">
        <f t="shared" si="14"/>
        <v>679.22799999999995</v>
      </c>
      <c r="R17" s="901">
        <f>G17</f>
        <v>3308.538</v>
      </c>
      <c r="S17" s="902">
        <f t="shared" si="16"/>
        <v>0</v>
      </c>
      <c r="T17" s="901">
        <f t="shared" si="7"/>
        <v>18841.144154112772</v>
      </c>
      <c r="U17" s="905">
        <f>HLOOKUP($B$2,Factors!$J$12:$AB$26,Factors!$H26,FALSE)</f>
        <v>14.455165742468415</v>
      </c>
      <c r="V17" s="901">
        <f t="shared" si="33"/>
        <v>64.853867227368895</v>
      </c>
      <c r="W17" s="901">
        <f t="shared" si="17"/>
        <v>38.734018758021143</v>
      </c>
      <c r="X17" s="901">
        <f t="shared" si="18"/>
        <v>111.12015706786966</v>
      </c>
      <c r="Y17" s="901">
        <f t="shared" si="19"/>
        <v>9.8183533169253359</v>
      </c>
      <c r="Z17" s="901">
        <f t="shared" si="20"/>
        <v>47.82546515525496</v>
      </c>
      <c r="AA17" s="901">
        <f t="shared" si="21"/>
        <v>0</v>
      </c>
      <c r="AB17" s="901">
        <f t="shared" si="36"/>
        <v>272.35186152543997</v>
      </c>
      <c r="AC17" s="906">
        <f>Factors!E19</f>
        <v>1</v>
      </c>
      <c r="AD17" s="904">
        <f t="shared" si="34"/>
        <v>64.853867227368895</v>
      </c>
      <c r="AE17" s="901">
        <f t="shared" si="22"/>
        <v>38.734018758021143</v>
      </c>
      <c r="AF17" s="901">
        <f t="shared" si="23"/>
        <v>111.12015706786966</v>
      </c>
      <c r="AG17" s="901">
        <f t="shared" si="24"/>
        <v>9.8183533169253359</v>
      </c>
      <c r="AH17" s="901">
        <f t="shared" si="25"/>
        <v>47.82546515525496</v>
      </c>
      <c r="AI17" s="901">
        <f t="shared" si="25"/>
        <v>0</v>
      </c>
      <c r="AJ17" s="901">
        <f t="shared" si="9"/>
        <v>272.35186152543997</v>
      </c>
      <c r="AK17" s="904">
        <f t="shared" si="35"/>
        <v>237.79751316701928</v>
      </c>
      <c r="AL17" s="901">
        <f t="shared" si="27"/>
        <v>142.02473544607753</v>
      </c>
      <c r="AM17" s="901">
        <f t="shared" si="28"/>
        <v>407.44057591552206</v>
      </c>
      <c r="AN17" s="901">
        <f t="shared" si="29"/>
        <v>36.000628828726228</v>
      </c>
      <c r="AO17" s="901">
        <f t="shared" si="30"/>
        <v>175.3600389026015</v>
      </c>
      <c r="AP17" s="901">
        <f t="shared" si="30"/>
        <v>0</v>
      </c>
      <c r="AQ17" s="907">
        <f t="shared" si="37"/>
        <v>998.62349225994672</v>
      </c>
    </row>
    <row r="18" spans="1:43">
      <c r="A18" s="817"/>
      <c r="B18" s="864" t="s">
        <v>1440</v>
      </c>
      <c r="C18" s="908">
        <f>SUM(C19:C41)</f>
        <v>1375.6675404395437</v>
      </c>
      <c r="D18" s="908">
        <f t="shared" ref="D18:H18" si="39">SUM(D19:D41)</f>
        <v>1022.4774584610708</v>
      </c>
      <c r="E18" s="908">
        <f t="shared" si="39"/>
        <v>8294.769296287599</v>
      </c>
      <c r="F18" s="908">
        <f t="shared" si="39"/>
        <v>21566.259667015867</v>
      </c>
      <c r="G18" s="908">
        <f t="shared" si="39"/>
        <v>1289.4329999999998</v>
      </c>
      <c r="H18" s="908">
        <f t="shared" si="39"/>
        <v>319.0512064538982</v>
      </c>
      <c r="I18" s="908">
        <f t="shared" si="38"/>
        <v>33867.658168657981</v>
      </c>
      <c r="J18" s="966">
        <f t="shared" ref="J18:S18" si="40">SUM(J19:J41)</f>
        <v>1415.5142179618324</v>
      </c>
      <c r="K18" s="967">
        <f t="shared" si="40"/>
        <v>4205.5627505345819</v>
      </c>
      <c r="L18" s="967">
        <f t="shared" si="40"/>
        <v>176</v>
      </c>
      <c r="M18" s="967">
        <f t="shared" si="40"/>
        <v>50.817426838388144</v>
      </c>
      <c r="N18" s="910">
        <f t="shared" si="40"/>
        <v>1375.6675404395437</v>
      </c>
      <c r="O18" s="908">
        <f t="shared" si="40"/>
        <v>1022.4774584610708</v>
      </c>
      <c r="P18" s="908">
        <f>SUM(P19:P41)</f>
        <v>4089.2065457530171</v>
      </c>
      <c r="Q18" s="908">
        <f t="shared" si="40"/>
        <v>19974.745449054033</v>
      </c>
      <c r="R18" s="908">
        <f>SUM(R19:R41)</f>
        <v>1289.4329999999998</v>
      </c>
      <c r="S18" s="911">
        <f t="shared" si="40"/>
        <v>268.23377961551012</v>
      </c>
      <c r="T18" s="889">
        <f t="shared" si="7"/>
        <v>28019.763773323179</v>
      </c>
      <c r="U18" s="912" t="s">
        <v>1731</v>
      </c>
      <c r="V18" s="908">
        <f t="shared" ref="V18:AA18" si="41">SUM(V19:V41)</f>
        <v>26.667930608398727</v>
      </c>
      <c r="W18" s="908">
        <f t="shared" si="41"/>
        <v>20.268275246729029</v>
      </c>
      <c r="X18" s="908">
        <f t="shared" si="41"/>
        <v>83.418646375050798</v>
      </c>
      <c r="Y18" s="908">
        <f t="shared" si="41"/>
        <v>390.80270871508026</v>
      </c>
      <c r="Z18" s="908">
        <f t="shared" si="41"/>
        <v>26.601406549199567</v>
      </c>
      <c r="AA18" s="908">
        <f t="shared" si="41"/>
        <v>5.3206254538821334</v>
      </c>
      <c r="AB18" s="908">
        <f t="shared" si="36"/>
        <v>553.07959294834052</v>
      </c>
      <c r="AC18" s="913" t="s">
        <v>1731</v>
      </c>
      <c r="AD18" s="910">
        <f t="shared" ref="AD18:AI18" si="42">SUM(AD19:AD41)</f>
        <v>26.667930608398727</v>
      </c>
      <c r="AE18" s="908">
        <f t="shared" si="42"/>
        <v>20.268275246729029</v>
      </c>
      <c r="AF18" s="908">
        <f>SUM(AF19:AF41)</f>
        <v>83.418646375050798</v>
      </c>
      <c r="AG18" s="908">
        <f t="shared" si="42"/>
        <v>390.80270871508026</v>
      </c>
      <c r="AH18" s="908">
        <f t="shared" si="42"/>
        <v>26.601406549199567</v>
      </c>
      <c r="AI18" s="908">
        <f t="shared" si="42"/>
        <v>5.3206254538821334</v>
      </c>
      <c r="AJ18" s="908">
        <f t="shared" si="9"/>
        <v>553.07959294834052</v>
      </c>
      <c r="AK18" s="914">
        <f t="shared" si="35"/>
        <v>97.78241223079533</v>
      </c>
      <c r="AL18" s="889">
        <f t="shared" si="27"/>
        <v>74.317009238006435</v>
      </c>
      <c r="AM18" s="889">
        <f t="shared" si="28"/>
        <v>305.86837004185293</v>
      </c>
      <c r="AN18" s="889">
        <f t="shared" si="29"/>
        <v>1432.9432652886276</v>
      </c>
      <c r="AO18" s="889">
        <f t="shared" si="30"/>
        <v>97.538490680398411</v>
      </c>
      <c r="AP18" s="889">
        <f t="shared" si="31"/>
        <v>19.508959997567821</v>
      </c>
      <c r="AQ18" s="915">
        <f t="shared" si="37"/>
        <v>2027.9585074772485</v>
      </c>
    </row>
    <row r="19" spans="1:43">
      <c r="A19" s="817"/>
      <c r="B19" s="860" t="s">
        <v>1608</v>
      </c>
      <c r="C19" s="883"/>
      <c r="D19" s="883"/>
      <c r="E19" s="883">
        <f>HLOOKUP($B$2,'Consumption Input'!$E$5:$AQ$82,'Consumption Input'!$B27)</f>
        <v>1170.193</v>
      </c>
      <c r="F19" s="883"/>
      <c r="G19" s="883"/>
      <c r="H19" s="883"/>
      <c r="I19" s="883">
        <f t="shared" si="38"/>
        <v>1170.193</v>
      </c>
      <c r="J19" s="961"/>
      <c r="K19" s="940">
        <f>HLOOKUP($B$2,NEUConsumption,'Non-Energy Use'!$C$10)</f>
        <v>1170.193</v>
      </c>
      <c r="L19" s="940"/>
      <c r="M19" s="940"/>
      <c r="N19" s="885">
        <f t="shared" ref="N19:N42" si="43">C19</f>
        <v>0</v>
      </c>
      <c r="O19" s="883">
        <f t="shared" ref="O19:O42" si="44">D19</f>
        <v>0</v>
      </c>
      <c r="P19" s="883">
        <f t="shared" ref="P19:P41" si="45">E19-K19</f>
        <v>0</v>
      </c>
      <c r="Q19" s="883">
        <f t="shared" ref="Q19:Q41" si="46">F19-J19-L19</f>
        <v>0</v>
      </c>
      <c r="R19" s="883">
        <f t="shared" ref="R19:R41"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6"/>
        <v>0</v>
      </c>
      <c r="AC19" s="888">
        <f>Factors!E24</f>
        <v>1</v>
      </c>
      <c r="AD19" s="885">
        <f t="shared" ref="AD19:AD41" si="55">V19*$AC19</f>
        <v>0</v>
      </c>
      <c r="AE19" s="883">
        <f t="shared" ref="AE19:AH42" si="56">W19*$AC19</f>
        <v>0</v>
      </c>
      <c r="AF19" s="883">
        <f t="shared" ref="AF19:AF42" si="57">X19*$AC19</f>
        <v>0</v>
      </c>
      <c r="AG19" s="883">
        <f t="shared" ref="AG19:AG42" si="58">Y19*$AC19</f>
        <v>0</v>
      </c>
      <c r="AH19" s="883">
        <f t="shared" ref="AH19:AH41" si="59">Z19*$AC19</f>
        <v>0</v>
      </c>
      <c r="AI19" s="883">
        <f t="shared" ref="AI19:AI42" si="60">AA19*$AC19</f>
        <v>0</v>
      </c>
      <c r="AJ19" s="889">
        <f t="shared" si="9"/>
        <v>0</v>
      </c>
      <c r="AK19" s="885">
        <f t="shared" si="35"/>
        <v>0</v>
      </c>
      <c r="AL19" s="883">
        <f t="shared" si="27"/>
        <v>0</v>
      </c>
      <c r="AM19" s="883">
        <f t="shared" si="28"/>
        <v>0</v>
      </c>
      <c r="AN19" s="883">
        <f t="shared" si="29"/>
        <v>0</v>
      </c>
      <c r="AO19" s="883">
        <f t="shared" si="30"/>
        <v>0</v>
      </c>
      <c r="AP19" s="883">
        <f t="shared" si="31"/>
        <v>0</v>
      </c>
      <c r="AQ19" s="890">
        <f t="shared" si="37"/>
        <v>0</v>
      </c>
    </row>
    <row r="20" spans="1:43">
      <c r="A20" s="817"/>
      <c r="B20" s="860" t="s">
        <v>1622</v>
      </c>
      <c r="C20" s="883"/>
      <c r="D20" s="883"/>
      <c r="E20" s="883"/>
      <c r="F20" s="883">
        <f>HLOOKUP($B$2,'Consumption Input'!$E$5:$AQ$82,'Consumption Input'!$B50)</f>
        <v>44.978000000000002</v>
      </c>
      <c r="G20" s="883"/>
      <c r="H20" s="883"/>
      <c r="I20" s="883">
        <f t="shared" si="38"/>
        <v>44.978000000000002</v>
      </c>
      <c r="J20" s="961"/>
      <c r="K20" s="940"/>
      <c r="L20" s="940"/>
      <c r="M20" s="940"/>
      <c r="N20" s="885">
        <f t="shared" si="43"/>
        <v>0</v>
      </c>
      <c r="O20" s="883">
        <f t="shared" si="44"/>
        <v>0</v>
      </c>
      <c r="P20" s="883">
        <f t="shared" si="45"/>
        <v>0</v>
      </c>
      <c r="Q20" s="883">
        <f t="shared" si="46"/>
        <v>44.978000000000002</v>
      </c>
      <c r="R20" s="883">
        <f>G20</f>
        <v>0</v>
      </c>
      <c r="S20" s="886">
        <f t="shared" si="48"/>
        <v>0</v>
      </c>
      <c r="T20" s="883">
        <f t="shared" si="7"/>
        <v>44.978000000000002</v>
      </c>
      <c r="U20" s="887">
        <f>Factors!D25</f>
        <v>18.855352254718337</v>
      </c>
      <c r="V20" s="885">
        <f t="shared" si="49"/>
        <v>0</v>
      </c>
      <c r="W20" s="883">
        <f t="shared" si="50"/>
        <v>0</v>
      </c>
      <c r="X20" s="883">
        <f t="shared" si="51"/>
        <v>0</v>
      </c>
      <c r="Y20" s="883">
        <f t="shared" si="52"/>
        <v>0.84807603371272133</v>
      </c>
      <c r="Z20" s="883">
        <f t="shared" si="53"/>
        <v>0</v>
      </c>
      <c r="AA20" s="883">
        <f t="shared" si="54"/>
        <v>0</v>
      </c>
      <c r="AB20" s="883">
        <f t="shared" si="36"/>
        <v>0.84807603371272133</v>
      </c>
      <c r="AC20" s="888">
        <f>Factors!E25</f>
        <v>1</v>
      </c>
      <c r="AD20" s="885">
        <f t="shared" si="55"/>
        <v>0</v>
      </c>
      <c r="AE20" s="883">
        <f t="shared" si="56"/>
        <v>0</v>
      </c>
      <c r="AF20" s="883">
        <f t="shared" si="57"/>
        <v>0</v>
      </c>
      <c r="AG20" s="883">
        <f t="shared" si="58"/>
        <v>0.84807603371272133</v>
      </c>
      <c r="AH20" s="883">
        <f t="shared" si="59"/>
        <v>0</v>
      </c>
      <c r="AI20" s="883">
        <f t="shared" si="60"/>
        <v>0</v>
      </c>
      <c r="AJ20" s="889">
        <f t="shared" si="9"/>
        <v>0.84807603371272133</v>
      </c>
      <c r="AK20" s="885">
        <f t="shared" si="35"/>
        <v>0</v>
      </c>
      <c r="AL20" s="883">
        <f t="shared" si="27"/>
        <v>0</v>
      </c>
      <c r="AM20" s="883">
        <f t="shared" si="28"/>
        <v>0</v>
      </c>
      <c r="AN20" s="883">
        <f t="shared" si="29"/>
        <v>3.1096121236133114</v>
      </c>
      <c r="AO20" s="883">
        <f t="shared" si="30"/>
        <v>0</v>
      </c>
      <c r="AP20" s="883">
        <f t="shared" si="31"/>
        <v>0</v>
      </c>
      <c r="AQ20" s="890">
        <f t="shared" si="37"/>
        <v>3.1096121236133114</v>
      </c>
    </row>
    <row r="21" spans="1:43">
      <c r="A21" s="817"/>
      <c r="B21" s="860" t="s">
        <v>1738</v>
      </c>
      <c r="C21" s="883">
        <f>HLOOKUP($B$2,'Consumption Input'!$E$5:$AQ$82,'Consumption Input'!$B9)</f>
        <v>959.16154043954384</v>
      </c>
      <c r="D21" s="883">
        <f>HLOOKUP($B$2,'Consumption Input'!$E$5:$AQ$82,'Consumption Input'!$B15)</f>
        <v>525.43995081801233</v>
      </c>
      <c r="E21" s="883">
        <f>HLOOKUP($B$2,'Consumption Input'!$E$5:$AQ$82,'Consumption Input'!$B28)</f>
        <v>1105.5138515995866</v>
      </c>
      <c r="F21" s="883">
        <f>HLOOKUP($B$2,'Consumption Input'!$E$5:$AQ$82,'Consumption Input'!$B51)</f>
        <v>3712.8010494047617</v>
      </c>
      <c r="G21" s="883">
        <f>HLOOKUP($B$2,'Consumption Input'!$E$5:$AQ$82,'Consumption Input'!$B60)</f>
        <v>96.504000000000005</v>
      </c>
      <c r="H21" s="883">
        <f>HLOOKUP($B$2,'US Territories'!$D$28:$Z$38,'US Territories'!$B31)</f>
        <v>56.385854976152864</v>
      </c>
      <c r="I21" s="883">
        <f t="shared" si="38"/>
        <v>6455.806247238057</v>
      </c>
      <c r="J21" s="961">
        <f>HLOOKUP($B$2,IBFConsumption,'International Bunker Fuels'!$B$10)</f>
        <v>157.99296592261908</v>
      </c>
      <c r="K21" s="940">
        <f>HLOOKUP($B$2,NEUConsumption,'Non-Energy Use'!$C$20)</f>
        <v>7.0441517976514909</v>
      </c>
      <c r="L21" s="940"/>
      <c r="M21" s="940"/>
      <c r="N21" s="885">
        <f t="shared" si="43"/>
        <v>959.16154043954384</v>
      </c>
      <c r="O21" s="883">
        <f t="shared" si="44"/>
        <v>525.43995081801233</v>
      </c>
      <c r="P21" s="883">
        <f t="shared" si="45"/>
        <v>1098.4696998019351</v>
      </c>
      <c r="Q21" s="883">
        <f t="shared" si="46"/>
        <v>3554.8080834821426</v>
      </c>
      <c r="R21" s="883">
        <f t="shared" si="47"/>
        <v>96.504000000000005</v>
      </c>
      <c r="S21" s="886">
        <f>H21-M21</f>
        <v>56.385854976152864</v>
      </c>
      <c r="T21" s="883">
        <f t="shared" si="7"/>
        <v>6290.7691295177865</v>
      </c>
      <c r="U21" s="887">
        <f>HLOOKUP($B$2,Factors!$J$12:$BE$27,Factors!$H27,FALSE)</f>
        <v>20.170000000000002</v>
      </c>
      <c r="V21" s="885">
        <f t="shared" si="49"/>
        <v>19.346288270665603</v>
      </c>
      <c r="W21" s="883">
        <f t="shared" si="50"/>
        <v>10.598123807999309</v>
      </c>
      <c r="X21" s="883">
        <f t="shared" si="51"/>
        <v>22.156133845005034</v>
      </c>
      <c r="Y21" s="883">
        <f t="shared" si="52"/>
        <v>71.700479043834832</v>
      </c>
      <c r="Z21" s="883">
        <f t="shared" si="53"/>
        <v>1.9464856800000003</v>
      </c>
      <c r="AA21" s="883">
        <f t="shared" si="54"/>
        <v>1.1373026948690033</v>
      </c>
      <c r="AB21" s="883">
        <f t="shared" si="36"/>
        <v>126.88481334237377</v>
      </c>
      <c r="AC21" s="888">
        <f>Factors!E26</f>
        <v>1</v>
      </c>
      <c r="AD21" s="885">
        <f t="shared" si="55"/>
        <v>19.346288270665603</v>
      </c>
      <c r="AE21" s="883">
        <f t="shared" si="56"/>
        <v>10.598123807999309</v>
      </c>
      <c r="AF21" s="883">
        <f t="shared" si="57"/>
        <v>22.156133845005034</v>
      </c>
      <c r="AG21" s="883">
        <f t="shared" si="58"/>
        <v>71.700479043834832</v>
      </c>
      <c r="AH21" s="883">
        <f t="shared" si="59"/>
        <v>1.9464856800000003</v>
      </c>
      <c r="AI21" s="883">
        <f>AA21*$AC21</f>
        <v>1.1373026948690033</v>
      </c>
      <c r="AJ21" s="889">
        <f t="shared" si="9"/>
        <v>126.88481334237377</v>
      </c>
      <c r="AK21" s="885">
        <f t="shared" si="35"/>
        <v>70.936390325773871</v>
      </c>
      <c r="AL21" s="883">
        <f t="shared" si="27"/>
        <v>38.859787295997464</v>
      </c>
      <c r="AM21" s="883">
        <f t="shared" si="28"/>
        <v>81.239157431685115</v>
      </c>
      <c r="AN21" s="883">
        <f t="shared" si="29"/>
        <v>262.90175649406103</v>
      </c>
      <c r="AO21" s="883">
        <f t="shared" si="30"/>
        <v>7.1371141600000012</v>
      </c>
      <c r="AP21" s="883">
        <f t="shared" si="31"/>
        <v>4.1701098811863453</v>
      </c>
      <c r="AQ21" s="890">
        <f t="shared" si="37"/>
        <v>465.24431558870384</v>
      </c>
    </row>
    <row r="22" spans="1:43">
      <c r="A22" s="817"/>
      <c r="B22" s="860" t="s">
        <v>1623</v>
      </c>
      <c r="C22" s="883"/>
      <c r="D22" s="883"/>
      <c r="E22" s="883"/>
      <c r="F22" s="883">
        <f>HLOOKUP($B$2,'Consumption Input'!$E$5:$AQ$82,'Consumption Input'!$B52)</f>
        <v>3129.4879999999998</v>
      </c>
      <c r="G22" s="883"/>
      <c r="H22" s="883">
        <f>HLOOKUP($B$2,'US Territories'!$D$28:$Z$38,'US Territories'!$B32)</f>
        <v>48.619870578905456</v>
      </c>
      <c r="I22" s="883">
        <f t="shared" si="38"/>
        <v>3178.1078705789055</v>
      </c>
      <c r="J22" s="961">
        <f>HLOOKUP($B$2,IBFConsumption,'International Bunker Fuels'!$B$8)</f>
        <v>541.82069611021325</v>
      </c>
      <c r="K22" s="940"/>
      <c r="L22" s="940"/>
      <c r="M22" s="940"/>
      <c r="N22" s="885">
        <f t="shared" si="43"/>
        <v>0</v>
      </c>
      <c r="O22" s="883">
        <f t="shared" si="44"/>
        <v>0</v>
      </c>
      <c r="P22" s="883">
        <f t="shared" si="45"/>
        <v>0</v>
      </c>
      <c r="Q22" s="883">
        <f t="shared" si="46"/>
        <v>2587.6673038897866</v>
      </c>
      <c r="R22" s="883">
        <f t="shared" si="47"/>
        <v>0</v>
      </c>
      <c r="S22" s="886">
        <f t="shared" si="48"/>
        <v>48.619870578905456</v>
      </c>
      <c r="T22" s="883">
        <f t="shared" si="7"/>
        <v>2636.2871744686922</v>
      </c>
      <c r="U22" s="887">
        <f>HLOOKUP($B$2,Factors!$J$12:$Y$25,Factors!$H21)</f>
        <v>19.399999999999999</v>
      </c>
      <c r="V22" s="885">
        <f t="shared" si="49"/>
        <v>0</v>
      </c>
      <c r="W22" s="883">
        <f t="shared" si="50"/>
        <v>0</v>
      </c>
      <c r="X22" s="883">
        <f t="shared" si="51"/>
        <v>0</v>
      </c>
      <c r="Y22" s="883">
        <f t="shared" si="52"/>
        <v>50.200745695461855</v>
      </c>
      <c r="Z22" s="883">
        <f t="shared" si="53"/>
        <v>0</v>
      </c>
      <c r="AA22" s="883">
        <f t="shared" si="54"/>
        <v>0.94322548923076577</v>
      </c>
      <c r="AB22" s="883">
        <f t="shared" si="36"/>
        <v>51.143971184692617</v>
      </c>
      <c r="AC22" s="888">
        <f>Factors!E27</f>
        <v>1</v>
      </c>
      <c r="AD22" s="885">
        <f t="shared" si="55"/>
        <v>0</v>
      </c>
      <c r="AE22" s="883">
        <f t="shared" si="56"/>
        <v>0</v>
      </c>
      <c r="AF22" s="883">
        <f t="shared" si="57"/>
        <v>0</v>
      </c>
      <c r="AG22" s="883">
        <f t="shared" si="58"/>
        <v>50.200745695461855</v>
      </c>
      <c r="AH22" s="883">
        <f t="shared" si="59"/>
        <v>0</v>
      </c>
      <c r="AI22" s="883">
        <f t="shared" si="60"/>
        <v>0.94322548923076577</v>
      </c>
      <c r="AJ22" s="889">
        <f t="shared" si="9"/>
        <v>51.143971184692617</v>
      </c>
      <c r="AK22" s="885">
        <f t="shared" si="35"/>
        <v>0</v>
      </c>
      <c r="AL22" s="883">
        <f t="shared" si="27"/>
        <v>0</v>
      </c>
      <c r="AM22" s="883">
        <f t="shared" si="28"/>
        <v>0</v>
      </c>
      <c r="AN22" s="883">
        <f t="shared" si="29"/>
        <v>184.06940088336012</v>
      </c>
      <c r="AO22" s="883">
        <f t="shared" si="30"/>
        <v>0</v>
      </c>
      <c r="AP22" s="883">
        <f t="shared" si="31"/>
        <v>3.4584934605128077</v>
      </c>
      <c r="AQ22" s="890">
        <f t="shared" si="37"/>
        <v>187.52789434387293</v>
      </c>
    </row>
    <row r="23" spans="1:43">
      <c r="A23" s="817"/>
      <c r="B23" s="860" t="s">
        <v>1599</v>
      </c>
      <c r="C23" s="883">
        <f>HLOOKUP($B$2,'Consumption Input'!$E$5:$AQ$82,'Consumption Input'!$B10)</f>
        <v>63.908999999999992</v>
      </c>
      <c r="D23" s="883">
        <f>HLOOKUP($B$2,'Consumption Input'!$E$5:$AQ$82,'Consumption Input'!$B16)</f>
        <v>11.834999999999999</v>
      </c>
      <c r="E23" s="883">
        <f>HLOOKUP($B$2,'Consumption Input'!$E$5:$AQ$82,'Consumption Input'!$B29)</f>
        <v>12.273999999999997</v>
      </c>
      <c r="F23" s="883"/>
      <c r="G23" s="883"/>
      <c r="H23" s="883">
        <f>HLOOKUP($B$2,'US Territories'!$D$28:$Z$38,'US Territories'!$B33)</f>
        <v>2.0258044494314511</v>
      </c>
      <c r="I23" s="883">
        <f t="shared" si="38"/>
        <v>90.043804449431434</v>
      </c>
      <c r="J23" s="961"/>
      <c r="K23" s="940"/>
      <c r="L23" s="940"/>
      <c r="M23" s="940"/>
      <c r="N23" s="885">
        <f t="shared" si="43"/>
        <v>63.908999999999992</v>
      </c>
      <c r="O23" s="883">
        <f t="shared" si="44"/>
        <v>11.834999999999999</v>
      </c>
      <c r="P23" s="883">
        <f t="shared" si="45"/>
        <v>12.273999999999997</v>
      </c>
      <c r="Q23" s="883">
        <f t="shared" si="46"/>
        <v>0</v>
      </c>
      <c r="R23" s="883">
        <f t="shared" si="47"/>
        <v>0</v>
      </c>
      <c r="S23" s="886">
        <f t="shared" si="48"/>
        <v>2.0258044494314511</v>
      </c>
      <c r="T23" s="883">
        <f t="shared" si="7"/>
        <v>90.043804449431434</v>
      </c>
      <c r="U23" s="887">
        <f>Factors!D28</f>
        <v>19.964104564962931</v>
      </c>
      <c r="V23" s="885">
        <f t="shared" si="49"/>
        <v>1.2758859586422158</v>
      </c>
      <c r="W23" s="883">
        <f t="shared" si="50"/>
        <v>0.23627517752633626</v>
      </c>
      <c r="X23" s="883">
        <f t="shared" si="51"/>
        <v>0.24503941943035498</v>
      </c>
      <c r="Y23" s="883">
        <f t="shared" si="52"/>
        <v>0</v>
      </c>
      <c r="Z23" s="883">
        <f t="shared" si="53"/>
        <v>0</v>
      </c>
      <c r="AA23" s="883">
        <f t="shared" si="54"/>
        <v>4.0443371856616651E-2</v>
      </c>
      <c r="AB23" s="883">
        <f t="shared" si="36"/>
        <v>1.7976439274555236</v>
      </c>
      <c r="AC23" s="888">
        <f>Factors!E28</f>
        <v>1</v>
      </c>
      <c r="AD23" s="885">
        <f t="shared" si="55"/>
        <v>1.2758859586422158</v>
      </c>
      <c r="AE23" s="883">
        <f t="shared" si="56"/>
        <v>0.23627517752633626</v>
      </c>
      <c r="AF23" s="883">
        <f t="shared" si="57"/>
        <v>0.24503941943035498</v>
      </c>
      <c r="AG23" s="883">
        <f t="shared" si="58"/>
        <v>0</v>
      </c>
      <c r="AH23" s="883">
        <f t="shared" si="59"/>
        <v>0</v>
      </c>
      <c r="AI23" s="883">
        <f t="shared" si="60"/>
        <v>4.0443371856616651E-2</v>
      </c>
      <c r="AJ23" s="889">
        <f t="shared" si="9"/>
        <v>1.7976439274555236</v>
      </c>
      <c r="AK23" s="885">
        <f t="shared" si="35"/>
        <v>4.6782485150214574</v>
      </c>
      <c r="AL23" s="883">
        <f t="shared" si="27"/>
        <v>0.86634231759656621</v>
      </c>
      <c r="AM23" s="883">
        <f t="shared" si="28"/>
        <v>0.89847787124463485</v>
      </c>
      <c r="AN23" s="883">
        <f t="shared" si="29"/>
        <v>0</v>
      </c>
      <c r="AO23" s="883">
        <f t="shared" si="30"/>
        <v>0</v>
      </c>
      <c r="AP23" s="883">
        <f t="shared" si="31"/>
        <v>0.14829236347426106</v>
      </c>
      <c r="AQ23" s="890">
        <f t="shared" si="37"/>
        <v>6.5913610673369201</v>
      </c>
    </row>
    <row r="24" spans="1:43">
      <c r="A24" s="817"/>
      <c r="B24" s="860" t="s">
        <v>1600</v>
      </c>
      <c r="C24" s="883">
        <f>HLOOKUP($B$2,'Consumption Input'!$E$5:$AQ$82,'Consumption Input'!$B11)</f>
        <v>352.59699999999998</v>
      </c>
      <c r="D24" s="883">
        <f>HLOOKUP($B$2,'Consumption Input'!$E$5:$AQ$82,'Consumption Input'!$B17)</f>
        <v>102.4</v>
      </c>
      <c r="E24"/>
      <c r="F24" s="883">
        <f>HLOOKUP($B$2,'Consumption Input'!$E$5:$AQ$82,'Consumption Input'!$B53)</f>
        <v>22.914999999999999</v>
      </c>
      <c r="G24" s="883"/>
      <c r="H24"/>
      <c r="I24" s="883">
        <f>SUM(C24:H24)</f>
        <v>477.91199999999998</v>
      </c>
      <c r="J24" s="884"/>
      <c r="K24"/>
      <c r="L24" s="883"/>
      <c r="M24" s="883"/>
      <c r="N24" s="885">
        <f>C24</f>
        <v>352.59699999999998</v>
      </c>
      <c r="O24" s="883">
        <f t="shared" si="44"/>
        <v>102.4</v>
      </c>
      <c r="P24"/>
      <c r="Q24" s="883">
        <f t="shared" si="46"/>
        <v>22.914999999999999</v>
      </c>
      <c r="R24" s="883">
        <f t="shared" si="47"/>
        <v>0</v>
      </c>
      <c r="S24" s="1007"/>
      <c r="T24" s="883">
        <f t="shared" si="7"/>
        <v>477.91199999999998</v>
      </c>
      <c r="U24" s="1005">
        <f>HLOOKUP($B$2,Factors!$J$12:$BE$25,Factors!$H17,FALSE)</f>
        <v>17.146363636363635</v>
      </c>
      <c r="V24" s="885">
        <f>N24*$U24*TbtuToQBtu</f>
        <v>6.0457563790909079</v>
      </c>
      <c r="W24" s="883">
        <f>O24*$U24*TbtuToQBtu</f>
        <v>1.7557876363636362</v>
      </c>
      <c r="X24"/>
      <c r="Y24" s="883">
        <f>Q24*$U24*TbtuToQBtu</f>
        <v>0.39290892272727268</v>
      </c>
      <c r="Z24" s="883">
        <f t="shared" ref="Z24" si="61">R24*$U24*TbtuToQBtu</f>
        <v>0</v>
      </c>
      <c r="AA24"/>
      <c r="AB24" s="883">
        <f>SUM(V24:AA24)</f>
        <v>8.1944529381818167</v>
      </c>
      <c r="AC24" s="888">
        <f>Factors!E30</f>
        <v>1</v>
      </c>
      <c r="AD24" s="885">
        <f>V24*$AC24</f>
        <v>6.0457563790909079</v>
      </c>
      <c r="AE24" s="883">
        <f t="shared" si="56"/>
        <v>1.7557876363636362</v>
      </c>
      <c r="AF24"/>
      <c r="AG24" s="883">
        <f t="shared" si="56"/>
        <v>0.39290892272727268</v>
      </c>
      <c r="AH24" s="883">
        <f t="shared" si="56"/>
        <v>0</v>
      </c>
      <c r="AI24"/>
      <c r="AJ24" s="889">
        <f t="shared" si="9"/>
        <v>8.1944529381818167</v>
      </c>
      <c r="AK24" s="885">
        <f>AD24*CtoCO2</f>
        <v>22.167773389999994</v>
      </c>
      <c r="AL24" s="883">
        <f t="shared" ref="AL24" si="62">AE24*CtoCO2</f>
        <v>6.4378879999999992</v>
      </c>
      <c r="AN24" s="883">
        <f t="shared" ref="AN24" si="63">AG24*CtoCO2</f>
        <v>1.4406660499999997</v>
      </c>
      <c r="AO24" s="883">
        <f t="shared" ref="AO24" si="64">AH24*CtoCO2</f>
        <v>0</v>
      </c>
      <c r="AQ24" s="890">
        <f t="shared" si="37"/>
        <v>30.046327439999995</v>
      </c>
    </row>
    <row r="25" spans="1:43">
      <c r="A25" s="817"/>
      <c r="B25" s="860" t="s">
        <v>1609</v>
      </c>
      <c r="C25" s="883"/>
      <c r="D25" s="883"/>
      <c r="E25" s="883">
        <f>HLOOKUP($B$2,'Consumption Input'!$E$5:$AQ$82,'Consumption Input'!$B30)</f>
        <v>1529.3263026540001</v>
      </c>
      <c r="F25" s="883"/>
      <c r="G25" s="883"/>
      <c r="H25" s="883">
        <f>HLOOKUP($B$2,'US Territories'!$D$28:$AO$38,'US Territories'!$B34)</f>
        <v>6.8796131310365478</v>
      </c>
      <c r="I25" s="883">
        <f>SUM(C25:H25)</f>
        <v>1536.2059157850367</v>
      </c>
      <c r="J25" s="884"/>
      <c r="K25" s="883">
        <f>HLOOKUP($B$2,NEUConsumption,'Non-Energy Use'!$C$11)</f>
        <v>1302.2437395617837</v>
      </c>
      <c r="L25" s="883"/>
      <c r="M25" s="883"/>
      <c r="N25" s="885"/>
      <c r="O25" s="883"/>
      <c r="P25" s="883">
        <f>E25-K25</f>
        <v>227.08256309221633</v>
      </c>
      <c r="Q25" s="883"/>
      <c r="R25" s="883"/>
      <c r="S25" s="886">
        <f>H25-M25</f>
        <v>6.8796131310365478</v>
      </c>
      <c r="T25" s="883">
        <f t="shared" si="7"/>
        <v>233.96217622325287</v>
      </c>
      <c r="U25" s="1005">
        <f>HLOOKUP($B$2,Factors!$J$12:$BE$25,Factors!$H18,FALSE)</f>
        <v>17.34597441530552</v>
      </c>
      <c r="V25" s="885"/>
      <c r="W25" s="883"/>
      <c r="X25" s="883">
        <f>P25*$U25*TbtuToQBtu</f>
        <v>3.9389683295595859</v>
      </c>
      <c r="Y25" s="883"/>
      <c r="Z25" s="883"/>
      <c r="AA25" s="883">
        <f>S25*$U25*TbtuToQBtu</f>
        <v>0.11933359335815986</v>
      </c>
      <c r="AB25" s="883">
        <f>SUM(V25:AA25)</f>
        <v>4.0583019229177459</v>
      </c>
      <c r="AC25" s="888">
        <f>Factors!E31</f>
        <v>1</v>
      </c>
      <c r="AD25" s="885"/>
      <c r="AE25" s="883"/>
      <c r="AF25" s="883">
        <f>X25*$AC25</f>
        <v>3.9389683295595859</v>
      </c>
      <c r="AG25" s="883"/>
      <c r="AH25" s="883"/>
      <c r="AI25" s="883">
        <f>AA25*$AC25</f>
        <v>0.11933359335815986</v>
      </c>
      <c r="AJ25" s="889">
        <f t="shared" si="9"/>
        <v>4.0583019229177459</v>
      </c>
      <c r="AK25" s="885"/>
      <c r="AL25" s="883"/>
      <c r="AM25" s="883">
        <f>AF25*CtoCO2</f>
        <v>14.442883875051814</v>
      </c>
      <c r="AN25" s="883"/>
      <c r="AO25" s="883"/>
      <c r="AP25" s="883">
        <f>AI25*CtoCO2</f>
        <v>0.43755650897991949</v>
      </c>
      <c r="AQ25" s="890">
        <f t="shared" si="37"/>
        <v>14.880440384031735</v>
      </c>
    </row>
    <row r="26" spans="1:43">
      <c r="A26" s="817"/>
      <c r="B26" s="860" t="s">
        <v>1610</v>
      </c>
      <c r="C26" s="883"/>
      <c r="D26" s="883"/>
      <c r="E26" s="883">
        <f>HLOOKUP($B$2,'Consumption Input'!$E$5:$AQ$82,'Consumption Input'!$B31)</f>
        <v>186.34299999999999</v>
      </c>
      <c r="F26" s="883">
        <f>HLOOKUP($B$2,'Consumption Input'!$E$5:$AQ$82,'Consumption Input'!$B54)</f>
        <v>176</v>
      </c>
      <c r="G26" s="883"/>
      <c r="H26" s="883">
        <f>HLOOKUP($B$2,'US Territories'!$D$28:$Z$38,'US Territories'!$B35)</f>
        <v>0.70887719999999999</v>
      </c>
      <c r="I26" s="883">
        <f t="shared" si="38"/>
        <v>363.05187719999998</v>
      </c>
      <c r="J26" s="961"/>
      <c r="K26" s="940">
        <f>HLOOKUP($B$2,NEUConsumption,'Non-Energy Use'!$C$12)</f>
        <v>186.34299999999999</v>
      </c>
      <c r="L26" s="940">
        <f>HLOOKUP($B$2,NEUConsumption,'Non-Energy Use'!$C$24)</f>
        <v>176</v>
      </c>
      <c r="M26" s="940">
        <f>HLOOKUP($B$2,NEUConsumption,'Non-Energy Use'!$C$26)</f>
        <v>0.70887719999999999</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6"/>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5"/>
        <v>0</v>
      </c>
      <c r="AL26" s="883">
        <f t="shared" si="27"/>
        <v>0</v>
      </c>
      <c r="AM26" s="883">
        <f t="shared" si="28"/>
        <v>0</v>
      </c>
      <c r="AN26" s="883">
        <f t="shared" si="29"/>
        <v>0</v>
      </c>
      <c r="AO26" s="883">
        <f t="shared" si="30"/>
        <v>0</v>
      </c>
      <c r="AP26" s="883">
        <f t="shared" si="31"/>
        <v>0</v>
      </c>
      <c r="AQ26" s="890">
        <f t="shared" si="37"/>
        <v>0</v>
      </c>
    </row>
    <row r="27" spans="1:43">
      <c r="A27" s="817"/>
      <c r="B27" s="860" t="s">
        <v>1601</v>
      </c>
      <c r="C27" s="883"/>
      <c r="D27" s="883">
        <f>HLOOKUP($B$2,'Consumption Input'!$E$5:$AQ$82,'Consumption Input'!$B18)</f>
        <v>152.96050764305841</v>
      </c>
      <c r="E27" s="883">
        <f>HLOOKUP($B$2,'Consumption Input'!$E$5:$AQ$82,'Consumption Input'!$B32)</f>
        <v>254.77987474583767</v>
      </c>
      <c r="F27" s="883">
        <f>HLOOKUP($B$2,'Consumption Input'!$E$5:$AQ$82,'Consumption Input'!$B55)</f>
        <v>13464.072617611104</v>
      </c>
      <c r="G27" s="883"/>
      <c r="H27" s="883">
        <f>HLOOKUP($B$2,'US Territories'!$D$28:$Z$38,'US Territories'!$B36)</f>
        <v>75.869122762092445</v>
      </c>
      <c r="I27" s="883">
        <f t="shared" si="38"/>
        <v>13947.682122762093</v>
      </c>
      <c r="J27" s="961"/>
      <c r="K27" s="940"/>
      <c r="L27" s="940"/>
      <c r="M27" s="940"/>
      <c r="N27" s="885">
        <f t="shared" si="43"/>
        <v>0</v>
      </c>
      <c r="O27" s="883">
        <f t="shared" si="44"/>
        <v>152.96050764305841</v>
      </c>
      <c r="P27" s="883">
        <f t="shared" si="45"/>
        <v>254.77987474583767</v>
      </c>
      <c r="Q27" s="883">
        <f t="shared" si="46"/>
        <v>13464.072617611104</v>
      </c>
      <c r="R27" s="883">
        <f t="shared" si="47"/>
        <v>0</v>
      </c>
      <c r="S27" s="886">
        <f t="shared" si="48"/>
        <v>75.869122762092445</v>
      </c>
      <c r="T27" s="883">
        <f t="shared" si="7"/>
        <v>13947.682122762093</v>
      </c>
      <c r="U27" s="887">
        <f>HLOOKUP($B$2,Factors!$J$12:$Y$25,Factors!$H20)</f>
        <v>19.422820377744564</v>
      </c>
      <c r="V27" s="885">
        <f t="shared" si="49"/>
        <v>0</v>
      </c>
      <c r="W27" s="883">
        <f t="shared" si="50"/>
        <v>2.9709244648397481</v>
      </c>
      <c r="X27" s="883">
        <f t="shared" si="51"/>
        <v>4.9485437430526638</v>
      </c>
      <c r="Y27" s="883">
        <f t="shared" si="52"/>
        <v>261.51026400476951</v>
      </c>
      <c r="Z27" s="883">
        <f t="shared" si="53"/>
        <v>0</v>
      </c>
      <c r="AA27" s="883">
        <f t="shared" si="54"/>
        <v>1.473592343625173</v>
      </c>
      <c r="AB27" s="883">
        <f t="shared" si="36"/>
        <v>270.90332455628709</v>
      </c>
      <c r="AC27" s="888">
        <f>Factors!E34</f>
        <v>1</v>
      </c>
      <c r="AD27" s="885">
        <f t="shared" si="55"/>
        <v>0</v>
      </c>
      <c r="AE27" s="883">
        <f t="shared" si="56"/>
        <v>2.9709244648397481</v>
      </c>
      <c r="AF27" s="883">
        <f t="shared" si="57"/>
        <v>4.9485437430526638</v>
      </c>
      <c r="AG27" s="883">
        <f>Y27*$AC44</f>
        <v>261.51026400476951</v>
      </c>
      <c r="AH27" s="883">
        <f t="shared" si="59"/>
        <v>0</v>
      </c>
      <c r="AI27" s="883">
        <f t="shared" si="60"/>
        <v>1.473592343625173</v>
      </c>
      <c r="AJ27" s="889">
        <f t="shared" si="9"/>
        <v>270.90332455628709</v>
      </c>
      <c r="AK27" s="885">
        <f t="shared" si="35"/>
        <v>0</v>
      </c>
      <c r="AL27" s="883">
        <f t="shared" si="27"/>
        <v>10.89338970441241</v>
      </c>
      <c r="AM27" s="883">
        <f t="shared" si="28"/>
        <v>18.144660391193099</v>
      </c>
      <c r="AN27" s="883">
        <f>AG27*CtoCO2</f>
        <v>958.87096801748817</v>
      </c>
      <c r="AO27" s="883">
        <f t="shared" si="30"/>
        <v>0</v>
      </c>
      <c r="AP27" s="883">
        <f t="shared" si="31"/>
        <v>5.4031719266256344</v>
      </c>
      <c r="AQ27" s="890">
        <f t="shared" si="37"/>
        <v>993.31219003971933</v>
      </c>
    </row>
    <row r="28" spans="1:43">
      <c r="A28" s="817"/>
      <c r="B28" s="860" t="s">
        <v>1602</v>
      </c>
      <c r="C28" s="883"/>
      <c r="D28" s="883">
        <f>HLOOKUP($B$2,'Consumption Input'!$E$5:$AQ$82,'Consumption Input'!$B19)</f>
        <v>229.84200000000001</v>
      </c>
      <c r="E28" s="883">
        <f>HLOOKUP($B$2,'Consumption Input'!$E$5:$AQ$82,'Consumption Input'!$B33)</f>
        <v>364.14793428817552</v>
      </c>
      <c r="F28" s="883">
        <f>HLOOKUP($B$2,'Consumption Input'!$E$5:$AQ$82,'Consumption Input'!$B56)</f>
        <v>1016.005</v>
      </c>
      <c r="G28" s="883">
        <f>HLOOKUP($B$2,'Consumption Input'!$E$5:$AQ$82,'Consumption Input'!$B61)</f>
        <v>1162.5619999999999</v>
      </c>
      <c r="H28" s="883">
        <f>HLOOKUP($B$2,'US Territories'!$D$28:$Z$38,'US Territories'!$B37)</f>
        <v>78.453513717891354</v>
      </c>
      <c r="I28" s="883">
        <f t="shared" si="38"/>
        <v>2851.0104480060668</v>
      </c>
      <c r="J28" s="961">
        <f>HLOOKUP($B$2,IBFConsumption,'International Bunker Fuels'!$B$9)</f>
        <v>715.70055592900007</v>
      </c>
      <c r="K28" s="940"/>
      <c r="L28" s="940"/>
      <c r="M28" s="940"/>
      <c r="N28" s="885">
        <f t="shared" si="43"/>
        <v>0</v>
      </c>
      <c r="O28" s="883">
        <f t="shared" si="44"/>
        <v>229.84200000000001</v>
      </c>
      <c r="P28" s="883">
        <f t="shared" si="45"/>
        <v>364.14793428817552</v>
      </c>
      <c r="Q28" s="883">
        <f t="shared" si="46"/>
        <v>300.30444407099992</v>
      </c>
      <c r="R28" s="883">
        <f t="shared" si="47"/>
        <v>1162.5619999999999</v>
      </c>
      <c r="S28" s="886">
        <f t="shared" si="48"/>
        <v>78.453513717891354</v>
      </c>
      <c r="T28" s="883">
        <f t="shared" si="7"/>
        <v>2135.3098920770667</v>
      </c>
      <c r="U28" s="887">
        <f>Factors!D36</f>
        <v>20.48</v>
      </c>
      <c r="V28" s="885">
        <f t="shared" si="49"/>
        <v>0</v>
      </c>
      <c r="W28" s="883">
        <f t="shared" si="50"/>
        <v>4.7071641600000005</v>
      </c>
      <c r="X28" s="883">
        <f t="shared" si="51"/>
        <v>7.4577496942218353</v>
      </c>
      <c r="Y28" s="883">
        <f t="shared" si="52"/>
        <v>6.1502350145740783</v>
      </c>
      <c r="Z28" s="883">
        <f t="shared" si="53"/>
        <v>23.809269759999999</v>
      </c>
      <c r="AA28" s="883">
        <f t="shared" si="54"/>
        <v>1.606727960942415</v>
      </c>
      <c r="AB28" s="883">
        <f t="shared" si="36"/>
        <v>43.73114658973833</v>
      </c>
      <c r="AC28" s="888">
        <f>Factors!E36</f>
        <v>1</v>
      </c>
      <c r="AD28" s="885">
        <f t="shared" si="55"/>
        <v>0</v>
      </c>
      <c r="AE28" s="883">
        <f t="shared" si="56"/>
        <v>4.7071641600000005</v>
      </c>
      <c r="AF28" s="883">
        <f t="shared" si="57"/>
        <v>7.4577496942218353</v>
      </c>
      <c r="AG28" s="883">
        <f t="shared" si="58"/>
        <v>6.1502350145740783</v>
      </c>
      <c r="AH28" s="883">
        <f t="shared" si="59"/>
        <v>23.809269759999999</v>
      </c>
      <c r="AI28" s="883">
        <f t="shared" si="60"/>
        <v>1.606727960942415</v>
      </c>
      <c r="AJ28" s="889">
        <f t="shared" si="9"/>
        <v>43.73114658973833</v>
      </c>
      <c r="AK28" s="885">
        <f t="shared" si="35"/>
        <v>0</v>
      </c>
      <c r="AL28" s="883">
        <f t="shared" si="27"/>
        <v>17.259601920000001</v>
      </c>
      <c r="AM28" s="883">
        <f t="shared" si="28"/>
        <v>27.345082212146728</v>
      </c>
      <c r="AN28" s="883">
        <f t="shared" si="29"/>
        <v>22.550861720104951</v>
      </c>
      <c r="AO28" s="883">
        <f t="shared" si="30"/>
        <v>87.300655786666667</v>
      </c>
      <c r="AP28" s="883">
        <f t="shared" si="31"/>
        <v>5.8913358567888547</v>
      </c>
      <c r="AQ28" s="890">
        <f t="shared" si="37"/>
        <v>160.3475374957072</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6"/>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35"/>
        <v>0</v>
      </c>
      <c r="AL29" s="883">
        <f t="shared" si="27"/>
        <v>0</v>
      </c>
      <c r="AM29" s="883">
        <f t="shared" si="28"/>
        <v>0</v>
      </c>
      <c r="AN29" s="883">
        <f t="shared" si="29"/>
        <v>0</v>
      </c>
      <c r="AO29" s="883">
        <f t="shared" si="30"/>
        <v>0</v>
      </c>
      <c r="AP29" s="883">
        <f t="shared" si="31"/>
        <v>0</v>
      </c>
      <c r="AQ29" s="890">
        <f t="shared" si="37"/>
        <v>0</v>
      </c>
    </row>
    <row r="30" spans="1:43">
      <c r="A30" s="817"/>
      <c r="B30" s="865" t="s">
        <v>1611</v>
      </c>
      <c r="C30" s="883"/>
      <c r="D30" s="883"/>
      <c r="E30" s="883">
        <f>HLOOKUP($B$2,'Consumption Input'!$E$5:$AQ$82,'Consumption Input'!$B35)</f>
        <v>0.23725599999999999</v>
      </c>
      <c r="F30" s="883"/>
      <c r="G30" s="883"/>
      <c r="H30" s="883"/>
      <c r="I30" s="883">
        <f t="shared" si="38"/>
        <v>0.23725599999999999</v>
      </c>
      <c r="J30" s="961"/>
      <c r="K30" s="940"/>
      <c r="L30" s="940"/>
      <c r="M30" s="940"/>
      <c r="N30" s="885">
        <f t="shared" si="43"/>
        <v>0</v>
      </c>
      <c r="O30" s="883">
        <f t="shared" si="44"/>
        <v>0</v>
      </c>
      <c r="P30" s="883">
        <f t="shared" si="45"/>
        <v>0.23725599999999999</v>
      </c>
      <c r="Q30" s="883">
        <f t="shared" si="46"/>
        <v>0</v>
      </c>
      <c r="R30" s="883">
        <f t="shared" si="47"/>
        <v>0</v>
      </c>
      <c r="S30" s="886">
        <f t="shared" si="48"/>
        <v>0</v>
      </c>
      <c r="T30" s="883">
        <f t="shared" si="7"/>
        <v>0.23725599999999999</v>
      </c>
      <c r="U30" s="887">
        <f>Factors!D39</f>
        <v>18.87</v>
      </c>
      <c r="V30" s="885">
        <f t="shared" si="49"/>
        <v>0</v>
      </c>
      <c r="W30" s="883">
        <f t="shared" si="50"/>
        <v>0</v>
      </c>
      <c r="X30" s="883">
        <f t="shared" si="51"/>
        <v>4.4770207200000006E-3</v>
      </c>
      <c r="Y30" s="883">
        <f t="shared" si="52"/>
        <v>0</v>
      </c>
      <c r="Z30" s="883">
        <f t="shared" si="53"/>
        <v>0</v>
      </c>
      <c r="AA30" s="883">
        <f t="shared" si="54"/>
        <v>0</v>
      </c>
      <c r="AB30" s="883">
        <f t="shared" si="36"/>
        <v>4.4770207200000006E-3</v>
      </c>
      <c r="AC30" s="888">
        <f>Factors!E39</f>
        <v>1</v>
      </c>
      <c r="AD30" s="885">
        <f t="shared" si="55"/>
        <v>0</v>
      </c>
      <c r="AE30" s="883">
        <f t="shared" si="56"/>
        <v>0</v>
      </c>
      <c r="AF30" s="883">
        <f t="shared" si="57"/>
        <v>4.4770207200000006E-3</v>
      </c>
      <c r="AG30" s="883">
        <f t="shared" si="58"/>
        <v>0</v>
      </c>
      <c r="AH30" s="883">
        <f t="shared" si="59"/>
        <v>0</v>
      </c>
      <c r="AI30" s="883">
        <f t="shared" si="60"/>
        <v>0</v>
      </c>
      <c r="AJ30" s="889">
        <f t="shared" si="9"/>
        <v>4.4770207200000006E-3</v>
      </c>
      <c r="AK30" s="885">
        <f t="shared" si="35"/>
        <v>0</v>
      </c>
      <c r="AL30" s="883">
        <f t="shared" si="27"/>
        <v>0</v>
      </c>
      <c r="AM30" s="883">
        <f t="shared" si="28"/>
        <v>1.6415742640000001E-2</v>
      </c>
      <c r="AN30" s="883">
        <f t="shared" si="29"/>
        <v>0</v>
      </c>
      <c r="AO30" s="883">
        <f t="shared" si="30"/>
        <v>0</v>
      </c>
      <c r="AP30" s="883">
        <f t="shared" si="31"/>
        <v>0</v>
      </c>
      <c r="AQ30" s="890">
        <f t="shared" si="37"/>
        <v>1.6415742640000001E-2</v>
      </c>
    </row>
    <row r="31" spans="1:43">
      <c r="A31" s="817"/>
      <c r="B31" s="865" t="s">
        <v>1612</v>
      </c>
      <c r="C31" s="883"/>
      <c r="D31" s="883"/>
      <c r="E31" s="883">
        <f>HLOOKUP($B$2,'Consumption Input'!$E$5:$AQ$82,'Consumption Input'!$B36)</f>
        <v>50.883400000000002</v>
      </c>
      <c r="F31" s="883"/>
      <c r="G31" s="883"/>
      <c r="H31" s="883"/>
      <c r="I31" s="883">
        <f t="shared" si="38"/>
        <v>50.883400000000002</v>
      </c>
      <c r="J31" s="961"/>
      <c r="K31" s="940"/>
      <c r="L31" s="940"/>
      <c r="M31" s="940"/>
      <c r="N31" s="885">
        <f t="shared" si="43"/>
        <v>0</v>
      </c>
      <c r="O31" s="883">
        <f t="shared" si="44"/>
        <v>0</v>
      </c>
      <c r="P31" s="883">
        <f t="shared" si="45"/>
        <v>50.883400000000002</v>
      </c>
      <c r="Q31" s="883">
        <f t="shared" si="46"/>
        <v>0</v>
      </c>
      <c r="R31" s="883">
        <f t="shared" si="47"/>
        <v>0</v>
      </c>
      <c r="S31" s="886">
        <f t="shared" si="48"/>
        <v>0</v>
      </c>
      <c r="T31" s="883">
        <f t="shared" si="7"/>
        <v>50.883400000000002</v>
      </c>
      <c r="U31" s="887">
        <f>HLOOKUP($B$2,Factors!$J$12:$Y$25,Factors!$H25)</f>
        <v>20.14625771551724</v>
      </c>
      <c r="V31" s="885">
        <f t="shared" si="49"/>
        <v>0</v>
      </c>
      <c r="W31" s="883">
        <f t="shared" si="50"/>
        <v>0</v>
      </c>
      <c r="X31" s="883">
        <f t="shared" si="51"/>
        <v>1.0251100898417502</v>
      </c>
      <c r="Y31" s="883">
        <f t="shared" si="52"/>
        <v>0</v>
      </c>
      <c r="Z31" s="883">
        <f t="shared" si="53"/>
        <v>0</v>
      </c>
      <c r="AA31" s="883">
        <f t="shared" si="54"/>
        <v>0</v>
      </c>
      <c r="AB31" s="883">
        <f t="shared" si="36"/>
        <v>1.0251100898417502</v>
      </c>
      <c r="AC31" s="888">
        <f>Factors!E40</f>
        <v>1</v>
      </c>
      <c r="AD31" s="885">
        <f t="shared" si="55"/>
        <v>0</v>
      </c>
      <c r="AE31" s="883">
        <f t="shared" si="56"/>
        <v>0</v>
      </c>
      <c r="AF31" s="883">
        <f t="shared" si="57"/>
        <v>1.0251100898417502</v>
      </c>
      <c r="AG31" s="883">
        <f t="shared" si="58"/>
        <v>0</v>
      </c>
      <c r="AH31" s="883">
        <f t="shared" si="59"/>
        <v>0</v>
      </c>
      <c r="AI31" s="883">
        <f t="shared" si="60"/>
        <v>0</v>
      </c>
      <c r="AJ31" s="889">
        <f t="shared" si="9"/>
        <v>1.0251100898417502</v>
      </c>
      <c r="AK31" s="885">
        <f t="shared" si="35"/>
        <v>0</v>
      </c>
      <c r="AL31" s="883">
        <f t="shared" si="27"/>
        <v>0</v>
      </c>
      <c r="AM31" s="883">
        <f t="shared" si="28"/>
        <v>3.7587369960864172</v>
      </c>
      <c r="AN31" s="883">
        <f t="shared" si="29"/>
        <v>0</v>
      </c>
      <c r="AO31" s="883">
        <f t="shared" si="30"/>
        <v>0</v>
      </c>
      <c r="AP31" s="883">
        <f t="shared" si="31"/>
        <v>0</v>
      </c>
      <c r="AQ31" s="890">
        <f t="shared" si="37"/>
        <v>3.7587369960864172</v>
      </c>
    </row>
    <row r="32" spans="1:43">
      <c r="A32" s="817"/>
      <c r="B32" s="865" t="s">
        <v>1613</v>
      </c>
      <c r="C32" s="883"/>
      <c r="D32" s="883"/>
      <c r="E32" s="883">
        <f>HLOOKUP($B$2,'Consumption Input'!$E$5:$AQ$82,'Consumption Input'!$B37)</f>
        <v>53.696165999999998</v>
      </c>
      <c r="F32" s="883"/>
      <c r="G32" s="883"/>
      <c r="H32" s="883"/>
      <c r="I32" s="883">
        <f t="shared" si="38"/>
        <v>53.696165999999998</v>
      </c>
      <c r="J32" s="961"/>
      <c r="K32" s="940"/>
      <c r="L32" s="940"/>
      <c r="M32" s="940"/>
      <c r="N32" s="885">
        <f t="shared" si="43"/>
        <v>0</v>
      </c>
      <c r="O32" s="883">
        <f t="shared" si="44"/>
        <v>0</v>
      </c>
      <c r="P32" s="883">
        <f t="shared" si="45"/>
        <v>53.696165999999998</v>
      </c>
      <c r="Q32" s="883">
        <f t="shared" si="46"/>
        <v>0</v>
      </c>
      <c r="R32" s="883">
        <f t="shared" si="47"/>
        <v>0</v>
      </c>
      <c r="S32" s="886">
        <f t="shared" si="48"/>
        <v>0</v>
      </c>
      <c r="T32" s="883">
        <f t="shared" si="7"/>
        <v>53.696165999999998</v>
      </c>
      <c r="U32" s="887">
        <f>HLOOKUP($B$2,Factors!$J$12:$Y$25,Factors!$H22)</f>
        <v>19.422820377744564</v>
      </c>
      <c r="V32" s="885">
        <f t="shared" si="49"/>
        <v>0</v>
      </c>
      <c r="W32" s="883">
        <f t="shared" si="50"/>
        <v>0</v>
      </c>
      <c r="X32" s="883">
        <f t="shared" si="51"/>
        <v>1.0429309871915549</v>
      </c>
      <c r="Y32" s="883">
        <f t="shared" si="52"/>
        <v>0</v>
      </c>
      <c r="Z32" s="883">
        <f t="shared" si="53"/>
        <v>0</v>
      </c>
      <c r="AA32" s="883">
        <f t="shared" si="54"/>
        <v>0</v>
      </c>
      <c r="AB32" s="883">
        <f t="shared" si="36"/>
        <v>1.0429309871915549</v>
      </c>
      <c r="AC32" s="888">
        <f>Factors!E41</f>
        <v>1</v>
      </c>
      <c r="AD32" s="885">
        <f t="shared" si="55"/>
        <v>0</v>
      </c>
      <c r="AE32" s="883">
        <f t="shared" si="56"/>
        <v>0</v>
      </c>
      <c r="AF32" s="883">
        <f t="shared" si="57"/>
        <v>1.0429309871915549</v>
      </c>
      <c r="AG32" s="883">
        <f t="shared" si="58"/>
        <v>0</v>
      </c>
      <c r="AH32" s="883">
        <f t="shared" si="59"/>
        <v>0</v>
      </c>
      <c r="AI32" s="883">
        <f t="shared" si="60"/>
        <v>0</v>
      </c>
      <c r="AJ32" s="889">
        <f t="shared" si="9"/>
        <v>1.0429309871915549</v>
      </c>
      <c r="AK32" s="885">
        <f t="shared" si="35"/>
        <v>0</v>
      </c>
      <c r="AL32" s="883">
        <f t="shared" si="27"/>
        <v>0</v>
      </c>
      <c r="AM32" s="883">
        <f t="shared" si="28"/>
        <v>3.8240802863690342</v>
      </c>
      <c r="AN32" s="883">
        <f t="shared" si="29"/>
        <v>0</v>
      </c>
      <c r="AO32" s="883">
        <f t="shared" si="30"/>
        <v>0</v>
      </c>
      <c r="AP32" s="883">
        <f t="shared" si="31"/>
        <v>0</v>
      </c>
      <c r="AQ32" s="890">
        <f t="shared" si="37"/>
        <v>3.8240802863690342</v>
      </c>
    </row>
    <row r="33" spans="1:43">
      <c r="A33" s="817"/>
      <c r="B33" s="865" t="s">
        <v>1739</v>
      </c>
      <c r="C33" s="883"/>
      <c r="D33" s="883"/>
      <c r="E33" s="883">
        <f>HLOOKUP($B$2,'Consumption Input'!$E$5:$AQ$82,'Consumption Input'!$B38)</f>
        <v>137.83467599999997</v>
      </c>
      <c r="F33" s="883"/>
      <c r="G33" s="883"/>
      <c r="H33" s="883">
        <f>HLOOKUP($B$2,'US Territories'!$D$28:$Z$38,'US Territories'!$B38)</f>
        <v>50.108549638388141</v>
      </c>
      <c r="I33" s="883">
        <f t="shared" si="38"/>
        <v>187.94322563838813</v>
      </c>
      <c r="J33" s="961"/>
      <c r="K33" s="940">
        <f>HLOOKUP($B$2,NEUConsumption,'Non-Energy Use'!C22)</f>
        <v>137.83467599999997</v>
      </c>
      <c r="L33" s="940"/>
      <c r="M33" s="940">
        <f>HLOOKUP($B$2,NEUConsumption,'Non-Energy Use'!$C$27)</f>
        <v>50.108549638388141</v>
      </c>
      <c r="N33" s="885">
        <f t="shared" si="43"/>
        <v>0</v>
      </c>
      <c r="O33" s="883">
        <f t="shared" si="44"/>
        <v>0</v>
      </c>
      <c r="P33" s="883">
        <f t="shared" si="45"/>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6"/>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5"/>
        <v>0</v>
      </c>
      <c r="AL33" s="883">
        <f t="shared" si="27"/>
        <v>0</v>
      </c>
      <c r="AM33" s="883">
        <f t="shared" si="28"/>
        <v>0</v>
      </c>
      <c r="AN33" s="883">
        <f t="shared" si="29"/>
        <v>0</v>
      </c>
      <c r="AO33" s="883">
        <f t="shared" si="30"/>
        <v>0</v>
      </c>
      <c r="AP33" s="883">
        <f t="shared" si="31"/>
        <v>0</v>
      </c>
      <c r="AQ33" s="890">
        <f t="shared" si="37"/>
        <v>0</v>
      </c>
    </row>
    <row r="34" spans="1:43">
      <c r="A34" s="817"/>
      <c r="B34" s="865" t="s">
        <v>1615</v>
      </c>
      <c r="C34" s="883"/>
      <c r="D34" s="883"/>
      <c r="E34" s="883">
        <f>HLOOKUP($B$2,'Consumption Input'!$E$5:$AQ$82,'Consumption Input'!$B39)</f>
        <v>347.800704</v>
      </c>
      <c r="F34" s="883"/>
      <c r="G34" s="883"/>
      <c r="H34" s="883"/>
      <c r="I34" s="883">
        <f t="shared" si="38"/>
        <v>347.800704</v>
      </c>
      <c r="J34" s="961"/>
      <c r="K34" s="940">
        <f>HLOOKUP($B$2,NEUConsumption,'Non-Energy Use'!C14)</f>
        <v>347.800704</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6"/>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5"/>
        <v>0</v>
      </c>
      <c r="AL34" s="883">
        <f t="shared" si="27"/>
        <v>0</v>
      </c>
      <c r="AM34" s="883">
        <f t="shared" si="28"/>
        <v>0</v>
      </c>
      <c r="AN34" s="883">
        <f t="shared" si="29"/>
        <v>0</v>
      </c>
      <c r="AO34" s="883">
        <f t="shared" si="30"/>
        <v>0</v>
      </c>
      <c r="AP34" s="883">
        <f t="shared" si="31"/>
        <v>0</v>
      </c>
      <c r="AQ34" s="890">
        <f t="shared" si="37"/>
        <v>0</v>
      </c>
    </row>
    <row r="35" spans="1:43">
      <c r="A35" s="817"/>
      <c r="B35" s="865" t="s">
        <v>1616</v>
      </c>
      <c r="C35" s="883"/>
      <c r="D35" s="883"/>
      <c r="E35" s="883">
        <f>HLOOKUP($B$2,'Consumption Input'!$E$5:$AQ$82,'Consumption Input'!$B40)</f>
        <v>753.92392500000005</v>
      </c>
      <c r="F35" s="883"/>
      <c r="G35" s="883"/>
      <c r="H35" s="883"/>
      <c r="I35" s="883">
        <f t="shared" si="38"/>
        <v>753.92392500000005</v>
      </c>
      <c r="J35" s="961"/>
      <c r="K35" s="940">
        <f>HLOOKUP($B$2,NEUConsumption,'Non-Energy Use'!$C$15)</f>
        <v>753.92392500000005</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6"/>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5"/>
        <v>0</v>
      </c>
      <c r="AL35" s="883">
        <f t="shared" si="27"/>
        <v>0</v>
      </c>
      <c r="AM35" s="883">
        <f t="shared" si="28"/>
        <v>0</v>
      </c>
      <c r="AN35" s="883">
        <f t="shared" si="29"/>
        <v>0</v>
      </c>
      <c r="AO35" s="883">
        <f t="shared" si="30"/>
        <v>0</v>
      </c>
      <c r="AP35" s="883">
        <f t="shared" si="31"/>
        <v>0</v>
      </c>
      <c r="AQ35" s="890">
        <f t="shared" si="37"/>
        <v>0</v>
      </c>
    </row>
    <row r="36" spans="1:43">
      <c r="A36" s="817"/>
      <c r="B36" s="865" t="s">
        <v>1617</v>
      </c>
      <c r="C36" s="883"/>
      <c r="D36" s="883"/>
      <c r="E36" s="883">
        <f>HLOOKUP($B$2,'Consumption Input'!$E$5:$AQ$82,'Consumption Input'!$B41)</f>
        <v>0</v>
      </c>
      <c r="F36" s="883"/>
      <c r="G36" s="883"/>
      <c r="H36" s="883"/>
      <c r="I36" s="883">
        <f t="shared" si="38"/>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6"/>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5"/>
        <v>0</v>
      </c>
      <c r="AL36" s="883">
        <f t="shared" si="27"/>
        <v>0</v>
      </c>
      <c r="AM36" s="883">
        <f t="shared" si="28"/>
        <v>0</v>
      </c>
      <c r="AN36" s="883">
        <f t="shared" si="29"/>
        <v>0</v>
      </c>
      <c r="AO36" s="883">
        <f t="shared" si="30"/>
        <v>0</v>
      </c>
      <c r="AP36" s="883">
        <f t="shared" si="31"/>
        <v>0</v>
      </c>
      <c r="AQ36" s="890">
        <f t="shared" si="37"/>
        <v>0</v>
      </c>
    </row>
    <row r="37" spans="1:43">
      <c r="A37" s="817"/>
      <c r="B37" s="865" t="s">
        <v>1604</v>
      </c>
      <c r="C37" s="883"/>
      <c r="D37" s="883">
        <f>HLOOKUP($B$2,'Consumption Input'!$E$5:$AQ$82,'Consumption Input'!$B21)</f>
        <v>0</v>
      </c>
      <c r="E37" s="883">
        <f>HLOOKUP($B$2,'Consumption Input'!$E$5:$AQ$82,'Consumption Input'!$B42)</f>
        <v>714.21500000000003</v>
      </c>
      <c r="F37" s="883"/>
      <c r="G37" s="883">
        <f>HLOOKUP($B$2,'Consumption Input'!$E$5:$AQ$82,'Consumption Input'!$B63)</f>
        <v>30.367000000000001</v>
      </c>
      <c r="H37" s="883"/>
      <c r="I37" s="883">
        <f t="shared" si="38"/>
        <v>744.58199999999999</v>
      </c>
      <c r="J37" s="961"/>
      <c r="K37" s="940">
        <f>HLOOKUP($B$2,NEUConsumption,'Non-Energy Use'!$C$17)</f>
        <v>123.06334817514723</v>
      </c>
      <c r="L37" s="940"/>
      <c r="M37" s="940"/>
      <c r="N37" s="885">
        <f t="shared" si="43"/>
        <v>0</v>
      </c>
      <c r="O37" s="883">
        <f t="shared" si="44"/>
        <v>0</v>
      </c>
      <c r="P37" s="883">
        <f t="shared" si="45"/>
        <v>591.15165182485282</v>
      </c>
      <c r="Q37" s="883">
        <f t="shared" si="46"/>
        <v>0</v>
      </c>
      <c r="R37" s="883">
        <f t="shared" si="47"/>
        <v>30.367000000000001</v>
      </c>
      <c r="S37" s="886">
        <f t="shared" si="48"/>
        <v>0</v>
      </c>
      <c r="T37" s="883">
        <f t="shared" si="7"/>
        <v>621.51865182485278</v>
      </c>
      <c r="U37" s="887">
        <f>Factors!D48</f>
        <v>27.84770010865628</v>
      </c>
      <c r="V37" s="885">
        <f t="shared" si="49"/>
        <v>0</v>
      </c>
      <c r="W37" s="883">
        <f t="shared" si="50"/>
        <v>0</v>
      </c>
      <c r="X37" s="883">
        <f t="shared" si="51"/>
        <v>16.462213918755292</v>
      </c>
      <c r="Y37" s="883">
        <f t="shared" si="52"/>
        <v>0</v>
      </c>
      <c r="Z37" s="883">
        <f t="shared" si="53"/>
        <v>0.84565110919956532</v>
      </c>
      <c r="AA37" s="883">
        <f t="shared" si="54"/>
        <v>0</v>
      </c>
      <c r="AB37" s="883">
        <f t="shared" si="36"/>
        <v>17.307865027954858</v>
      </c>
      <c r="AC37" s="888">
        <f>Factors!E48</f>
        <v>1</v>
      </c>
      <c r="AD37" s="885">
        <f t="shared" si="55"/>
        <v>0</v>
      </c>
      <c r="AE37" s="883">
        <f t="shared" si="56"/>
        <v>0</v>
      </c>
      <c r="AF37" s="883">
        <f t="shared" si="57"/>
        <v>16.462213918755292</v>
      </c>
      <c r="AG37" s="883">
        <f t="shared" si="58"/>
        <v>0</v>
      </c>
      <c r="AH37" s="883">
        <f t="shared" si="59"/>
        <v>0.84565110919956532</v>
      </c>
      <c r="AI37" s="883">
        <f t="shared" si="60"/>
        <v>0</v>
      </c>
      <c r="AJ37" s="889">
        <f t="shared" si="9"/>
        <v>17.307865027954858</v>
      </c>
      <c r="AK37" s="885">
        <f t="shared" si="35"/>
        <v>0</v>
      </c>
      <c r="AL37" s="883">
        <f t="shared" si="27"/>
        <v>0</v>
      </c>
      <c r="AM37" s="883">
        <f t="shared" si="28"/>
        <v>60.361451035436069</v>
      </c>
      <c r="AN37" s="883">
        <f t="shared" si="29"/>
        <v>0</v>
      </c>
      <c r="AO37" s="883">
        <f t="shared" si="30"/>
        <v>3.1007207337317393</v>
      </c>
      <c r="AP37" s="883">
        <f t="shared" si="31"/>
        <v>0</v>
      </c>
      <c r="AQ37" s="890">
        <f t="shared" si="37"/>
        <v>63.46217176916781</v>
      </c>
    </row>
    <row r="38" spans="1:43">
      <c r="A38" s="817"/>
      <c r="B38" s="865" t="s">
        <v>1618</v>
      </c>
      <c r="C38" s="883"/>
      <c r="D38" s="883"/>
      <c r="E38" s="883">
        <f>HLOOKUP($B$2,'Consumption Input'!$E$5:$AQ$82,'Consumption Input'!$B43)</f>
        <v>1473.21</v>
      </c>
      <c r="F38" s="883"/>
      <c r="G38" s="883"/>
      <c r="H38" s="883"/>
      <c r="I38" s="883">
        <f t="shared" si="38"/>
        <v>1473.21</v>
      </c>
      <c r="J38" s="961"/>
      <c r="K38" s="940">
        <f>HLOOKUP($B$2,NEUConsumption,'Non-Energy Use'!$C$16)</f>
        <v>36.726000000000091</v>
      </c>
      <c r="L38" s="940"/>
      <c r="M38" s="940"/>
      <c r="N38" s="885">
        <f t="shared" si="43"/>
        <v>0</v>
      </c>
      <c r="O38" s="883">
        <f t="shared" si="44"/>
        <v>0</v>
      </c>
      <c r="P38" s="883">
        <f>E38-K38</f>
        <v>1436.4839999999999</v>
      </c>
      <c r="Q38" s="883">
        <f t="shared" si="46"/>
        <v>0</v>
      </c>
      <c r="R38" s="883">
        <f>G38</f>
        <v>0</v>
      </c>
      <c r="S38" s="886">
        <f t="shared" si="48"/>
        <v>0</v>
      </c>
      <c r="T38" s="883">
        <f t="shared" si="7"/>
        <v>1436.4839999999999</v>
      </c>
      <c r="U38" s="887">
        <f>Factors!D51</f>
        <v>18.195454545454545</v>
      </c>
      <c r="V38" s="885">
        <f t="shared" si="49"/>
        <v>0</v>
      </c>
      <c r="W38" s="883">
        <f t="shared" si="50"/>
        <v>0</v>
      </c>
      <c r="X38" s="883">
        <f>P38*$U38*TbtuToQBtu</f>
        <v>26.137479327272725</v>
      </c>
      <c r="Y38" s="883">
        <f t="shared" si="52"/>
        <v>0</v>
      </c>
      <c r="Z38" s="883">
        <f t="shared" si="53"/>
        <v>0</v>
      </c>
      <c r="AA38" s="883">
        <f t="shared" si="54"/>
        <v>0</v>
      </c>
      <c r="AB38" s="883">
        <f t="shared" si="36"/>
        <v>26.137479327272725</v>
      </c>
      <c r="AC38" s="888">
        <f>Factors!E51</f>
        <v>1</v>
      </c>
      <c r="AD38" s="885">
        <f t="shared" si="55"/>
        <v>0</v>
      </c>
      <c r="AE38" s="883">
        <f t="shared" si="56"/>
        <v>0</v>
      </c>
      <c r="AF38" s="883">
        <f>X38*$AC38</f>
        <v>26.137479327272725</v>
      </c>
      <c r="AG38" s="883">
        <f t="shared" si="58"/>
        <v>0</v>
      </c>
      <c r="AH38" s="883">
        <f t="shared" si="59"/>
        <v>0</v>
      </c>
      <c r="AI38" s="883">
        <f t="shared" si="60"/>
        <v>0</v>
      </c>
      <c r="AJ38" s="889">
        <f t="shared" si="9"/>
        <v>26.137479327272725</v>
      </c>
      <c r="AK38" s="885">
        <f t="shared" si="35"/>
        <v>0</v>
      </c>
      <c r="AL38" s="883">
        <f t="shared" si="27"/>
        <v>0</v>
      </c>
      <c r="AM38" s="883">
        <f>AF38*CtoCO2</f>
        <v>95.837424199999987</v>
      </c>
      <c r="AN38" s="883">
        <f t="shared" si="29"/>
        <v>0</v>
      </c>
      <c r="AO38" s="883">
        <f t="shared" si="30"/>
        <v>0</v>
      </c>
      <c r="AP38" s="883">
        <f t="shared" si="31"/>
        <v>0</v>
      </c>
      <c r="AQ38" s="890">
        <f t="shared" si="37"/>
        <v>95.837424199999987</v>
      </c>
    </row>
    <row r="39" spans="1:43">
      <c r="A39" s="817"/>
      <c r="B39" s="865" t="s">
        <v>1619</v>
      </c>
      <c r="C39" s="883"/>
      <c r="D39" s="883"/>
      <c r="E39" s="883">
        <f>HLOOKUP($B$2,'Consumption Input'!$E$5:$AQ$82,'Consumption Input'!$B44)</f>
        <v>107.090688</v>
      </c>
      <c r="F39" s="883"/>
      <c r="G39" s="883"/>
      <c r="H39" s="883"/>
      <c r="I39" s="883">
        <f t="shared" si="38"/>
        <v>107.090688</v>
      </c>
      <c r="J39" s="961"/>
      <c r="K39" s="940">
        <f>HLOOKUP($B$2,NEUConsumption,'Non-Energy Use'!$C$18)</f>
        <v>107.090688</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6"/>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5"/>
        <v>0</v>
      </c>
      <c r="AL39" s="883">
        <f t="shared" si="27"/>
        <v>0</v>
      </c>
      <c r="AM39" s="883">
        <f t="shared" si="28"/>
        <v>0</v>
      </c>
      <c r="AN39" s="883">
        <f t="shared" si="29"/>
        <v>0</v>
      </c>
      <c r="AO39" s="883">
        <f t="shared" si="30"/>
        <v>0</v>
      </c>
      <c r="AP39" s="883">
        <f t="shared" si="31"/>
        <v>0</v>
      </c>
      <c r="AQ39" s="890">
        <f t="shared" si="37"/>
        <v>0</v>
      </c>
    </row>
    <row r="40" spans="1:43">
      <c r="A40" s="817"/>
      <c r="B40" s="865" t="s">
        <v>1620</v>
      </c>
      <c r="C40" s="883"/>
      <c r="D40" s="883"/>
      <c r="E40" s="883">
        <f>HLOOKUP($B$2,'Consumption Input'!$E$5:$AQ$82,'Consumption Input'!$B45)</f>
        <v>0</v>
      </c>
      <c r="F40" s="883"/>
      <c r="G40" s="883"/>
      <c r="H40" s="883"/>
      <c r="I40" s="883">
        <f t="shared" si="38"/>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20.14625771551724</v>
      </c>
      <c r="V40" s="885">
        <f t="shared" si="49"/>
        <v>0</v>
      </c>
      <c r="W40" s="883">
        <f t="shared" si="50"/>
        <v>0</v>
      </c>
      <c r="X40" s="883">
        <f t="shared" si="51"/>
        <v>0</v>
      </c>
      <c r="Y40" s="883">
        <f t="shared" si="52"/>
        <v>0</v>
      </c>
      <c r="Z40" s="883">
        <f t="shared" si="53"/>
        <v>0</v>
      </c>
      <c r="AA40" s="883">
        <f t="shared" si="54"/>
        <v>0</v>
      </c>
      <c r="AB40" s="883">
        <f t="shared" si="36"/>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5"/>
        <v>0</v>
      </c>
      <c r="AL40" s="883">
        <f t="shared" si="27"/>
        <v>0</v>
      </c>
      <c r="AM40" s="883">
        <f t="shared" si="28"/>
        <v>0</v>
      </c>
      <c r="AN40" s="883">
        <f t="shared" si="29"/>
        <v>0</v>
      </c>
      <c r="AO40" s="883">
        <f t="shared" si="30"/>
        <v>0</v>
      </c>
      <c r="AP40" s="883">
        <f t="shared" si="31"/>
        <v>0</v>
      </c>
      <c r="AQ40" s="890">
        <f t="shared" si="37"/>
        <v>0</v>
      </c>
    </row>
    <row r="41" spans="1:43">
      <c r="A41" s="817"/>
      <c r="B41" s="865" t="s">
        <v>1621</v>
      </c>
      <c r="C41" s="883"/>
      <c r="D41" s="883"/>
      <c r="E41" s="883">
        <f>HLOOKUP($B$2,'Consumption Input'!$E$5:$AQ$82,'Consumption Input'!$B46)</f>
        <v>33.299517999999999</v>
      </c>
      <c r="F41" s="883"/>
      <c r="G41" s="883"/>
      <c r="H41" s="883"/>
      <c r="I41" s="883">
        <f t="shared" si="38"/>
        <v>33.299517999999999</v>
      </c>
      <c r="J41" s="961"/>
      <c r="K41" s="940">
        <f>HLOOKUP($B$2,NEUConsumption,'Non-Energy Use'!$C$21)</f>
        <v>33.299517999999999</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6"/>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5"/>
        <v>0</v>
      </c>
      <c r="AL41" s="883">
        <f t="shared" si="27"/>
        <v>0</v>
      </c>
      <c r="AM41" s="883">
        <f t="shared" si="28"/>
        <v>0</v>
      </c>
      <c r="AN41" s="883">
        <f t="shared" si="29"/>
        <v>0</v>
      </c>
      <c r="AO41" s="883">
        <f t="shared" si="30"/>
        <v>0</v>
      </c>
      <c r="AP41" s="883">
        <f t="shared" si="31"/>
        <v>0</v>
      </c>
      <c r="AQ41" s="890">
        <f t="shared" si="37"/>
        <v>0</v>
      </c>
    </row>
    <row r="42" spans="1:43" ht="11.1" thickBot="1">
      <c r="A42" s="817"/>
      <c r="B42" s="866" t="s">
        <v>82</v>
      </c>
      <c r="C42" s="917"/>
      <c r="D42" s="917"/>
      <c r="E42" s="917"/>
      <c r="F42" s="917"/>
      <c r="G42" s="917">
        <f>INDEX(Geothermal!$C$6:$AE$10,MATCH("Total",Geothermal!$C$6:$C$10,0),MATCH($B$2,Geothermal!$C$6:$AE$6,0))/Factors!$J$61*Factors!$J$55/BBtuToBtu*BBtuToTBtu</f>
        <v>52.661732914724006</v>
      </c>
      <c r="H42" s="917"/>
      <c r="I42" s="917">
        <f>G42</f>
        <v>52.661732914724006</v>
      </c>
      <c r="J42" s="968"/>
      <c r="K42" s="969"/>
      <c r="L42" s="970"/>
      <c r="M42" s="971"/>
      <c r="N42" s="917">
        <f t="shared" si="43"/>
        <v>0</v>
      </c>
      <c r="O42" s="917">
        <f t="shared" si="44"/>
        <v>0</v>
      </c>
      <c r="P42" s="917">
        <f>E42</f>
        <v>0</v>
      </c>
      <c r="Q42" s="917">
        <f>F42</f>
        <v>0</v>
      </c>
      <c r="R42" s="917">
        <f>G42</f>
        <v>52.661732914724006</v>
      </c>
      <c r="S42" s="917">
        <f>H42</f>
        <v>0</v>
      </c>
      <c r="T42" s="917">
        <f t="shared" si="7"/>
        <v>52.661732914724006</v>
      </c>
      <c r="U42" s="921">
        <f>Factors!D56</f>
        <v>2.6974658424810825</v>
      </c>
      <c r="V42" s="917"/>
      <c r="W42" s="917"/>
      <c r="X42" s="917"/>
      <c r="Y42" s="917"/>
      <c r="Z42" s="917">
        <f>INDEX(Geothermal!$C$14:$AE$18,MATCH("Total",Geothermal!$C$14:$C$18,0),MATCH($B$2,Geothermal!$C$14:$AE$14,0))/CtoCO2</f>
        <v>0.14678015972326727</v>
      </c>
      <c r="AA42" s="917"/>
      <c r="AB42" s="917">
        <f>SUM(V42:AA42)</f>
        <v>0.14678015972326727</v>
      </c>
      <c r="AC42" s="921">
        <f>Factors!$E$56</f>
        <v>1</v>
      </c>
      <c r="AD42" s="917">
        <f>V42*$AC42</f>
        <v>0</v>
      </c>
      <c r="AE42" s="917">
        <f t="shared" si="56"/>
        <v>0</v>
      </c>
      <c r="AF42" s="917">
        <f t="shared" si="57"/>
        <v>0</v>
      </c>
      <c r="AG42" s="917">
        <f t="shared" si="58"/>
        <v>0</v>
      </c>
      <c r="AH42" s="917">
        <f>Z42*$AC42</f>
        <v>0.14678015972326727</v>
      </c>
      <c r="AI42" s="917">
        <f t="shared" si="60"/>
        <v>0</v>
      </c>
      <c r="AJ42" s="920">
        <f t="shared" si="9"/>
        <v>0.14678015972326727</v>
      </c>
      <c r="AK42" s="919">
        <f t="shared" si="35"/>
        <v>0</v>
      </c>
      <c r="AL42" s="917">
        <f t="shared" si="27"/>
        <v>0</v>
      </c>
      <c r="AM42" s="917">
        <f t="shared" si="28"/>
        <v>0</v>
      </c>
      <c r="AN42" s="917">
        <f t="shared" si="29"/>
        <v>0</v>
      </c>
      <c r="AO42" s="917">
        <f>AH42*CtoCO2</f>
        <v>0.53819391898531332</v>
      </c>
      <c r="AP42" s="917">
        <f t="shared" si="31"/>
        <v>0</v>
      </c>
      <c r="AQ42" s="920">
        <f t="shared" si="37"/>
        <v>0.53819391898531332</v>
      </c>
    </row>
    <row r="43" spans="1:43" ht="11.1" thickBot="1">
      <c r="A43" s="817"/>
      <c r="B43" s="867" t="s">
        <v>1740</v>
      </c>
      <c r="C43" s="922">
        <f>C8+C17+C18+C42</f>
        <v>5893.3345404395432</v>
      </c>
      <c r="D43" s="922">
        <f>D8+D17+D18+D42</f>
        <v>3826.5304584610712</v>
      </c>
      <c r="E43" s="922">
        <f>E8+E17+E18+E42</f>
        <v>17963.642170784311</v>
      </c>
      <c r="F43" s="922">
        <f>F8+F17+F18+F42</f>
        <v>22245.487667015866</v>
      </c>
      <c r="G43" s="922">
        <f>G8+G17+G18+G42</f>
        <v>20911.584732914722</v>
      </c>
      <c r="H43" s="922">
        <f>H16+H17+H18+H42</f>
        <v>324.4665204577982</v>
      </c>
      <c r="I43" s="922">
        <f>SUM(C43:H43)</f>
        <v>71165.046090073316</v>
      </c>
      <c r="J43" s="972">
        <f t="shared" ref="J43:S43" si="65">J8+J17+J18+J42</f>
        <v>1415.5142179618324</v>
      </c>
      <c r="K43" s="973">
        <f t="shared" si="65"/>
        <v>4519.0834927712303</v>
      </c>
      <c r="L43" s="974">
        <f t="shared" si="65"/>
        <v>176</v>
      </c>
      <c r="M43" s="975">
        <f t="shared" si="65"/>
        <v>50.817426838388144</v>
      </c>
      <c r="N43" s="922">
        <f t="shared" si="65"/>
        <v>5893.3345404395432</v>
      </c>
      <c r="O43" s="922">
        <f t="shared" si="65"/>
        <v>3826.5304584610712</v>
      </c>
      <c r="P43" s="922">
        <f t="shared" si="65"/>
        <v>13444.55867801308</v>
      </c>
      <c r="Q43" s="922">
        <f t="shared" si="65"/>
        <v>20653.973449054032</v>
      </c>
      <c r="R43" s="922">
        <f t="shared" si="65"/>
        <v>20911.584732914722</v>
      </c>
      <c r="S43" s="922">
        <f t="shared" si="65"/>
        <v>273.64909361941011</v>
      </c>
      <c r="T43" s="922">
        <f t="shared" si="7"/>
        <v>65003.630952501859</v>
      </c>
      <c r="U43" s="926" t="s">
        <v>1731</v>
      </c>
      <c r="V43" s="922">
        <f t="shared" ref="V43:AA43" si="66">V8+V17+V18+V42</f>
        <v>92.336623813602358</v>
      </c>
      <c r="W43" s="922">
        <f t="shared" si="66"/>
        <v>62.26159791608913</v>
      </c>
      <c r="X43" s="922">
        <f t="shared" si="66"/>
        <v>237.58581483706027</v>
      </c>
      <c r="Y43" s="922">
        <f t="shared" si="66"/>
        <v>400.62106203200557</v>
      </c>
      <c r="Z43" s="922">
        <f t="shared" si="66"/>
        <v>496.35016072868183</v>
      </c>
      <c r="AA43" s="922">
        <f t="shared" si="66"/>
        <v>5.4567664479401792</v>
      </c>
      <c r="AB43" s="922">
        <f t="shared" si="36"/>
        <v>1294.6120257753794</v>
      </c>
      <c r="AC43" s="926" t="s">
        <v>1731</v>
      </c>
      <c r="AD43" s="922">
        <f t="shared" ref="AD43:AQ43" si="67">AD8+AD17+AD18+AD42</f>
        <v>92.336623813602358</v>
      </c>
      <c r="AE43" s="922">
        <f t="shared" si="67"/>
        <v>62.26159791608913</v>
      </c>
      <c r="AF43" s="922">
        <f t="shared" si="67"/>
        <v>237.58581483706027</v>
      </c>
      <c r="AG43" s="922">
        <f t="shared" si="67"/>
        <v>400.62106203200557</v>
      </c>
      <c r="AH43" s="922">
        <f t="shared" si="67"/>
        <v>496.35016072868183</v>
      </c>
      <c r="AI43" s="922">
        <f t="shared" si="67"/>
        <v>5.4567664479401792</v>
      </c>
      <c r="AJ43" s="925">
        <f t="shared" si="67"/>
        <v>1294.6120257753792</v>
      </c>
      <c r="AK43" s="922">
        <f t="shared" si="67"/>
        <v>338.56762064987532</v>
      </c>
      <c r="AL43" s="922">
        <f t="shared" si="67"/>
        <v>228.29252569232682</v>
      </c>
      <c r="AM43" s="922">
        <f t="shared" si="67"/>
        <v>871.14798773588757</v>
      </c>
      <c r="AN43" s="922">
        <f t="shared" si="67"/>
        <v>1468.9438941173537</v>
      </c>
      <c r="AO43" s="922">
        <f t="shared" si="67"/>
        <v>1819.9505893384999</v>
      </c>
      <c r="AP43" s="922">
        <f t="shared" si="67"/>
        <v>20.008143642447322</v>
      </c>
      <c r="AQ43" s="925">
        <f t="shared" si="67"/>
        <v>4746.9107611763911</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2"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transitionEntry="1" codeName="Sheet19">
    <pageSetUpPr fitToPage="1"/>
  </sheetPr>
  <dimension ref="A1:AQ1177"/>
  <sheetViews>
    <sheetView topLeftCell="A30" workbookViewId="0"/>
  </sheetViews>
  <sheetFormatPr defaultColWidth="9.6640625" defaultRowHeight="10.5"/>
  <cols>
    <col min="1" max="1" width="8" customWidth="1"/>
    <col min="2" max="2" width="24.6640625" style="152" customWidth="1"/>
    <col min="3" max="8" width="8.6640625" style="152" customWidth="1"/>
    <col min="9" max="9" width="10" style="152" customWidth="1"/>
    <col min="10" max="11" width="9" style="152" customWidth="1"/>
    <col min="12" max="13" width="7" style="152" customWidth="1"/>
    <col min="14" max="14" width="8.6640625" style="152" customWidth="1"/>
    <col min="15" max="15" width="9.16406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1991</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1742</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25.354999999999997</v>
      </c>
      <c r="D8" s="876">
        <f t="shared" si="4"/>
        <v>115.505</v>
      </c>
      <c r="E8" s="876">
        <f t="shared" si="4"/>
        <v>1637.9614923049921</v>
      </c>
      <c r="F8" s="876">
        <f t="shared" si="4"/>
        <v>0</v>
      </c>
      <c r="G8" s="876">
        <f t="shared" si="4"/>
        <v>16249.708999999999</v>
      </c>
      <c r="H8" s="876">
        <f t="shared" si="4"/>
        <v>5.0225861839999562</v>
      </c>
      <c r="I8" s="876">
        <f t="shared" ref="I8:I14" si="5">SUM(C8:H8)</f>
        <v>18033.553078488992</v>
      </c>
      <c r="J8" s="959"/>
      <c r="K8" s="960">
        <f>SUM(K9:K16)</f>
        <v>7.8497011520169808</v>
      </c>
      <c r="L8" s="960">
        <f>SUM(L9:L16)</f>
        <v>0</v>
      </c>
      <c r="M8" s="960"/>
      <c r="N8" s="878">
        <f t="shared" ref="N8:S8" si="6">SUM(N9:N16)</f>
        <v>25.354999999999997</v>
      </c>
      <c r="O8" s="876">
        <f t="shared" si="6"/>
        <v>115.505</v>
      </c>
      <c r="P8" s="876">
        <f t="shared" si="6"/>
        <v>1630.1117911529752</v>
      </c>
      <c r="Q8" s="876">
        <f t="shared" si="6"/>
        <v>0</v>
      </c>
      <c r="R8" s="876">
        <f t="shared" si="6"/>
        <v>16249.708999999999</v>
      </c>
      <c r="S8" s="879">
        <f t="shared" si="6"/>
        <v>5.0225861839999562</v>
      </c>
      <c r="T8" s="876">
        <f t="shared" ref="T8:T43" si="7">SUM(N8:S8)</f>
        <v>18025.703377336977</v>
      </c>
      <c r="U8" s="880" t="s">
        <v>1731</v>
      </c>
      <c r="V8" s="876">
        <f>SUM(V9:V16)</f>
        <v>0.6659636092711847</v>
      </c>
      <c r="W8" s="876">
        <f>SUM(W9:W16)</f>
        <v>3.033805036042919</v>
      </c>
      <c r="X8" s="876">
        <f>SUM(X9:X16)</f>
        <v>42.174059075471398</v>
      </c>
      <c r="Y8" s="876" t="s">
        <v>108</v>
      </c>
      <c r="Z8" s="876">
        <f>SUM(Z9:Z16)</f>
        <v>421.95667464530385</v>
      </c>
      <c r="AA8" s="876">
        <f>SUM(AA9:AA16)</f>
        <v>0.1262678166657589</v>
      </c>
      <c r="AB8" s="876">
        <f t="shared" ref="AB8:AB13" si="8">SUM(V8:AA8)</f>
        <v>467.95677018275512</v>
      </c>
      <c r="AC8" s="881" t="s">
        <v>1731</v>
      </c>
      <c r="AD8" s="878">
        <f>SUM(AD9:AD16)</f>
        <v>0.6659636092711847</v>
      </c>
      <c r="AE8" s="876">
        <f>SUM(AE9:AE16)</f>
        <v>3.033805036042919</v>
      </c>
      <c r="AF8" s="876">
        <f>SUM(AF9:AF16)</f>
        <v>42.174059075471398</v>
      </c>
      <c r="AG8" s="876" t="s">
        <v>108</v>
      </c>
      <c r="AH8" s="876">
        <f>SUM(AH9:AH16)</f>
        <v>421.95667464530385</v>
      </c>
      <c r="AI8" s="876">
        <f>SUM(AI9:AI16)</f>
        <v>0.1262678166657589</v>
      </c>
      <c r="AJ8" s="876">
        <f t="shared" ref="AJ8:AJ42" si="9">SUM(AD8:AI8)</f>
        <v>467.95677018275512</v>
      </c>
      <c r="AK8" s="878">
        <f t="shared" ref="AK8:AP8" si="10">SUM(AK9:AK16)</f>
        <v>2.4418665673276769</v>
      </c>
      <c r="AL8" s="876">
        <f t="shared" si="10"/>
        <v>11.123951798824036</v>
      </c>
      <c r="AM8" s="876">
        <f t="shared" si="10"/>
        <v>154.63821661006179</v>
      </c>
      <c r="AN8" s="876">
        <f t="shared" si="10"/>
        <v>0</v>
      </c>
      <c r="AO8" s="876">
        <f t="shared" si="10"/>
        <v>1547.1744736994474</v>
      </c>
      <c r="AP8" s="876">
        <f t="shared" si="10"/>
        <v>0.46298199444111593</v>
      </c>
      <c r="AQ8" s="882">
        <f t="shared" ref="AQ8:AQ14" si="11">SUM(AK8:AP8)</f>
        <v>1715.8414906701021</v>
      </c>
    </row>
    <row r="9" spans="1:43">
      <c r="A9" s="817"/>
      <c r="B9" s="860" t="s">
        <v>1732</v>
      </c>
      <c r="C9" s="883">
        <f>HLOOKUP($B$2,'Consumption Input'!$E$5:$AQ$82,'Consumption Input'!$B7)</f>
        <v>25.354999999999997</v>
      </c>
      <c r="D9" s="883"/>
      <c r="E9" s="883"/>
      <c r="F9" s="883"/>
      <c r="G9" s="883"/>
      <c r="H9" s="883"/>
      <c r="I9" s="883">
        <f t="shared" si="5"/>
        <v>25.354999999999997</v>
      </c>
      <c r="J9" s="961"/>
      <c r="K9" s="940"/>
      <c r="L9" s="940"/>
      <c r="M9" s="940"/>
      <c r="N9" s="885">
        <f t="shared" ref="N9:N17" si="12">C9</f>
        <v>25.354999999999997</v>
      </c>
      <c r="O9" s="883">
        <f t="shared" ref="O9:O17" si="13">D9</f>
        <v>0</v>
      </c>
      <c r="P9" s="883">
        <f t="shared" ref="P9:P17" si="14">E9-K9</f>
        <v>0</v>
      </c>
      <c r="Q9" s="883">
        <f t="shared" ref="Q9:Q17" si="15">F9</f>
        <v>0</v>
      </c>
      <c r="R9" s="883">
        <f t="shared" ref="R9:R17" si="16">G9</f>
        <v>0</v>
      </c>
      <c r="S9" s="886">
        <f t="shared" ref="S9:S17" si="17">H9</f>
        <v>0</v>
      </c>
      <c r="T9" s="883">
        <f t="shared" si="7"/>
        <v>25.354999999999997</v>
      </c>
      <c r="U9" s="887">
        <f>HLOOKUP($B$2,Factors!$J$12:$Y$25,Factors!$H13)</f>
        <v>26.265573230967654</v>
      </c>
      <c r="V9" s="885">
        <f t="shared" ref="V9:V17" si="18">N9*$U9*TbtuToQBtu</f>
        <v>0.6659636092711847</v>
      </c>
      <c r="W9" s="883">
        <f t="shared" ref="W9:W17" si="19">O9*$U9*TbtuToQBtu</f>
        <v>0</v>
      </c>
      <c r="X9" s="883">
        <f t="shared" ref="X9:X17" si="20">P9*$U9*TbtuToQBtu</f>
        <v>0</v>
      </c>
      <c r="Y9" s="883">
        <f t="shared" ref="Y9:Y17" si="21">Q9*$U9*TbtuToQBtu</f>
        <v>0</v>
      </c>
      <c r="Z9" s="883">
        <f t="shared" ref="Z9:Z17" si="22">R9*$U9*TbtuToQBtu</f>
        <v>0</v>
      </c>
      <c r="AA9" s="883">
        <f t="shared" ref="AA9:AA17" si="23">S9*$U9*TbtuToQBtu</f>
        <v>0</v>
      </c>
      <c r="AB9" s="883">
        <f t="shared" si="8"/>
        <v>0.6659636092711847</v>
      </c>
      <c r="AC9" s="888">
        <f>Factors!E10</f>
        <v>1</v>
      </c>
      <c r="AD9" s="885">
        <f t="shared" ref="AD9:AD17" si="24">V9*$AC9</f>
        <v>0.6659636092711847</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0.6659636092711847</v>
      </c>
      <c r="AK9" s="885">
        <f t="shared" ref="AK9:AK42" si="30">AD9*CtoCO2</f>
        <v>2.4418665673276769</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2.4418665673276769</v>
      </c>
    </row>
    <row r="10" spans="1:43">
      <c r="A10" s="817"/>
      <c r="B10" s="860" t="s">
        <v>1733</v>
      </c>
      <c r="C10" s="883"/>
      <c r="D10" s="883">
        <f>HLOOKUP($B$2,'Consumption Input'!$E$5:$AQ$82,'Consumption Input'!$B13)</f>
        <v>115.505</v>
      </c>
      <c r="E10" s="883"/>
      <c r="F10" s="883"/>
      <c r="G10" s="883"/>
      <c r="H10" s="883"/>
      <c r="I10" s="883">
        <f t="shared" si="5"/>
        <v>115.505</v>
      </c>
      <c r="J10" s="961"/>
      <c r="K10" s="940"/>
      <c r="L10" s="940"/>
      <c r="M10" s="940"/>
      <c r="N10" s="885">
        <f t="shared" si="12"/>
        <v>0</v>
      </c>
      <c r="O10" s="883">
        <f t="shared" si="13"/>
        <v>115.505</v>
      </c>
      <c r="P10" s="883">
        <f t="shared" si="14"/>
        <v>0</v>
      </c>
      <c r="Q10" s="883">
        <f t="shared" si="15"/>
        <v>0</v>
      </c>
      <c r="R10" s="883">
        <f t="shared" si="16"/>
        <v>0</v>
      </c>
      <c r="S10" s="886">
        <f t="shared" si="17"/>
        <v>0</v>
      </c>
      <c r="T10" s="883">
        <f t="shared" si="7"/>
        <v>115.505</v>
      </c>
      <c r="U10" s="887">
        <f>HLOOKUP($B$2,Factors!$J$12:$Y$25,Factors!$H14)</f>
        <v>26.265573230967654</v>
      </c>
      <c r="V10" s="885">
        <f t="shared" si="18"/>
        <v>0</v>
      </c>
      <c r="W10" s="883">
        <f t="shared" si="19"/>
        <v>3.033805036042919</v>
      </c>
      <c r="X10" s="883">
        <f t="shared" si="20"/>
        <v>0</v>
      </c>
      <c r="Y10" s="883">
        <f t="shared" si="21"/>
        <v>0</v>
      </c>
      <c r="Z10" s="883">
        <f t="shared" si="22"/>
        <v>0</v>
      </c>
      <c r="AA10" s="883">
        <f t="shared" si="23"/>
        <v>0</v>
      </c>
      <c r="AB10" s="883">
        <f t="shared" si="8"/>
        <v>3.033805036042919</v>
      </c>
      <c r="AC10" s="888">
        <f>Factors!E11</f>
        <v>1</v>
      </c>
      <c r="AD10" s="885">
        <f t="shared" si="24"/>
        <v>0</v>
      </c>
      <c r="AE10" s="883">
        <f t="shared" si="25"/>
        <v>3.033805036042919</v>
      </c>
      <c r="AF10" s="883">
        <f t="shared" si="26"/>
        <v>0</v>
      </c>
      <c r="AG10" s="883">
        <f t="shared" si="27"/>
        <v>0</v>
      </c>
      <c r="AH10" s="883">
        <f t="shared" si="28"/>
        <v>0</v>
      </c>
      <c r="AI10" s="883">
        <f t="shared" si="29"/>
        <v>0</v>
      </c>
      <c r="AJ10" s="889">
        <f t="shared" si="9"/>
        <v>3.033805036042919</v>
      </c>
      <c r="AK10" s="885">
        <f t="shared" si="30"/>
        <v>0</v>
      </c>
      <c r="AL10" s="883">
        <f t="shared" si="31"/>
        <v>11.123951798824036</v>
      </c>
      <c r="AM10" s="883">
        <f t="shared" si="32"/>
        <v>0</v>
      </c>
      <c r="AN10" s="883">
        <f t="shared" si="33"/>
        <v>0</v>
      </c>
      <c r="AO10" s="883">
        <f t="shared" si="34"/>
        <v>0</v>
      </c>
      <c r="AP10" s="883">
        <f t="shared" si="35"/>
        <v>0</v>
      </c>
      <c r="AQ10" s="890">
        <f t="shared" si="11"/>
        <v>11.123951798824036</v>
      </c>
    </row>
    <row r="11" spans="1:43" s="244" customFormat="1" hidden="1">
      <c r="A11" s="861"/>
      <c r="B11" s="862" t="s">
        <v>1734</v>
      </c>
      <c r="C11" s="891"/>
      <c r="D11" s="891"/>
      <c r="E11" s="891">
        <f>HLOOKUP($B$2,'Consumption Input'!$E$5:$AQ$82,'Consumption Input'!$B23)</f>
        <v>0</v>
      </c>
      <c r="F11" s="891"/>
      <c r="G11" s="891"/>
      <c r="H11" s="891"/>
      <c r="I11" s="891">
        <f t="shared" si="5"/>
        <v>0</v>
      </c>
      <c r="J11" s="962"/>
      <c r="K11" s="963">
        <f>HLOOKUP($B$2,NEUConsumption,'Non-Energy Use'!$C$7)</f>
        <v>0</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25.543158586033801</v>
      </c>
      <c r="V11" s="893">
        <f t="shared" si="18"/>
        <v>0</v>
      </c>
      <c r="W11" s="891">
        <f t="shared" si="19"/>
        <v>0</v>
      </c>
      <c r="X11" s="891">
        <f t="shared" si="20"/>
        <v>0</v>
      </c>
      <c r="Y11" s="891">
        <f t="shared" si="21"/>
        <v>0</v>
      </c>
      <c r="Z11" s="891">
        <f t="shared" si="22"/>
        <v>0</v>
      </c>
      <c r="AA11" s="891">
        <f t="shared" si="23"/>
        <v>0</v>
      </c>
      <c r="AB11" s="891">
        <f t="shared" si="8"/>
        <v>0</v>
      </c>
      <c r="AC11" s="896">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3">
      <c r="A12" s="817"/>
      <c r="B12" s="860" t="s">
        <v>1701</v>
      </c>
      <c r="C12" s="883"/>
      <c r="D12" s="883"/>
      <c r="E12" s="883">
        <f>HLOOKUP($B$2,'Consumption Input'!$E$5:$AQ$82,'Consumption Input'!$B24)</f>
        <v>1637.9614923049921</v>
      </c>
      <c r="F12" s="883"/>
      <c r="G12" s="883"/>
      <c r="H12" s="883"/>
      <c r="I12" s="883">
        <f t="shared" si="5"/>
        <v>1637.9614923049921</v>
      </c>
      <c r="J12" s="961"/>
      <c r="K12" s="940">
        <f>HLOOKUP($B$2,NEUConsumption,'Non-Energy Use'!$C$8)</f>
        <v>7.8497011520169808</v>
      </c>
      <c r="L12" s="940"/>
      <c r="M12" s="940"/>
      <c r="N12" s="885">
        <f t="shared" si="12"/>
        <v>0</v>
      </c>
      <c r="O12" s="883">
        <f t="shared" si="13"/>
        <v>0</v>
      </c>
      <c r="P12" s="883">
        <f t="shared" si="14"/>
        <v>1630.1117911529752</v>
      </c>
      <c r="Q12" s="883">
        <f t="shared" si="15"/>
        <v>0</v>
      </c>
      <c r="R12" s="883">
        <f t="shared" si="16"/>
        <v>0</v>
      </c>
      <c r="S12" s="886">
        <f t="shared" si="17"/>
        <v>0</v>
      </c>
      <c r="T12" s="883">
        <f t="shared" si="7"/>
        <v>1630.1117911529752</v>
      </c>
      <c r="U12" s="887">
        <f>HLOOKUP($B$2,Factors!$J$12:$Y$25,Factors!$H15)</f>
        <v>25.871881489576712</v>
      </c>
      <c r="V12" s="885">
        <f t="shared" si="18"/>
        <v>0</v>
      </c>
      <c r="W12" s="883">
        <f t="shared" si="19"/>
        <v>0</v>
      </c>
      <c r="X12" s="883">
        <f t="shared" si="20"/>
        <v>42.174059075471398</v>
      </c>
      <c r="Y12" s="883">
        <f t="shared" si="21"/>
        <v>0</v>
      </c>
      <c r="Z12" s="883">
        <f t="shared" si="22"/>
        <v>0</v>
      </c>
      <c r="AA12" s="883">
        <f t="shared" si="23"/>
        <v>0</v>
      </c>
      <c r="AB12" s="883">
        <f t="shared" si="8"/>
        <v>42.174059075471398</v>
      </c>
      <c r="AC12" s="888">
        <f>Factors!E13</f>
        <v>1</v>
      </c>
      <c r="AD12" s="885">
        <f t="shared" si="24"/>
        <v>0</v>
      </c>
      <c r="AE12" s="883">
        <f t="shared" si="25"/>
        <v>0</v>
      </c>
      <c r="AF12" s="883">
        <f t="shared" si="26"/>
        <v>42.174059075471398</v>
      </c>
      <c r="AG12" s="883">
        <f t="shared" si="27"/>
        <v>0</v>
      </c>
      <c r="AH12" s="883">
        <f t="shared" si="28"/>
        <v>0</v>
      </c>
      <c r="AI12" s="883">
        <f t="shared" si="29"/>
        <v>0</v>
      </c>
      <c r="AJ12" s="889">
        <f t="shared" si="9"/>
        <v>42.174059075471398</v>
      </c>
      <c r="AK12" s="885">
        <f t="shared" si="30"/>
        <v>0</v>
      </c>
      <c r="AL12" s="883">
        <f t="shared" si="31"/>
        <v>0</v>
      </c>
      <c r="AM12" s="883">
        <f t="shared" si="32"/>
        <v>154.63821661006179</v>
      </c>
      <c r="AN12" s="883">
        <f t="shared" si="33"/>
        <v>0</v>
      </c>
      <c r="AO12" s="883">
        <f t="shared" si="34"/>
        <v>0</v>
      </c>
      <c r="AP12" s="883">
        <f t="shared" si="35"/>
        <v>0</v>
      </c>
      <c r="AQ12" s="890">
        <f t="shared" si="11"/>
        <v>154.63821661006179</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83">
        <f t="shared" si="7"/>
        <v>0</v>
      </c>
      <c r="U13" s="895">
        <f>Factors!D14</f>
        <v>27.85</v>
      </c>
      <c r="V13" s="893">
        <f t="shared" si="18"/>
        <v>0</v>
      </c>
      <c r="W13" s="891">
        <f t="shared" si="19"/>
        <v>0</v>
      </c>
      <c r="X13" s="891">
        <f t="shared" si="20"/>
        <v>0</v>
      </c>
      <c r="Y13" s="891">
        <f t="shared" si="21"/>
        <v>0</v>
      </c>
      <c r="Z13" s="891">
        <f t="shared" si="22"/>
        <v>0</v>
      </c>
      <c r="AA13" s="891">
        <f t="shared" si="23"/>
        <v>0</v>
      </c>
      <c r="AB13" s="891">
        <f t="shared" si="8"/>
        <v>0</v>
      </c>
      <c r="AC13" s="896">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887" t="str">
        <f>Factors!D15</f>
        <v>NC</v>
      </c>
      <c r="V14" s="885">
        <f t="shared" si="18"/>
        <v>0</v>
      </c>
      <c r="W14" s="883">
        <f t="shared" si="19"/>
        <v>0</v>
      </c>
      <c r="X14" s="883">
        <f t="shared" si="20"/>
        <v>0</v>
      </c>
      <c r="Y14" s="883">
        <f t="shared" si="21"/>
        <v>0</v>
      </c>
      <c r="Z14" s="883">
        <f t="shared" si="22"/>
        <v>0</v>
      </c>
      <c r="AA14" s="883">
        <f t="shared" si="23"/>
        <v>0</v>
      </c>
      <c r="AB14" s="883" t="s">
        <v>103</v>
      </c>
      <c r="AC14" s="888"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3">
      <c r="A15" s="817"/>
      <c r="B15" s="860" t="s">
        <v>1736</v>
      </c>
      <c r="C15" s="883"/>
      <c r="D15" s="883"/>
      <c r="E15" s="883"/>
      <c r="F15" s="883"/>
      <c r="G15" s="883">
        <f>HLOOKUP($B$2,'Consumption Input'!$E$5:$AQ$82,'Consumption Input'!$B58)</f>
        <v>16249.708999999999</v>
      </c>
      <c r="H15" s="883"/>
      <c r="I15" s="883">
        <f t="shared" ref="I15:I41" si="36">SUM(C15:H15)</f>
        <v>16249.708999999999</v>
      </c>
      <c r="J15" s="961"/>
      <c r="K15" s="940"/>
      <c r="L15" s="940"/>
      <c r="M15" s="940"/>
      <c r="N15" s="885">
        <f t="shared" si="12"/>
        <v>0</v>
      </c>
      <c r="O15" s="883">
        <f t="shared" si="13"/>
        <v>0</v>
      </c>
      <c r="P15" s="883">
        <f t="shared" si="14"/>
        <v>0</v>
      </c>
      <c r="Q15" s="883">
        <f t="shared" si="15"/>
        <v>0</v>
      </c>
      <c r="R15" s="883">
        <f t="shared" si="16"/>
        <v>16249.708999999999</v>
      </c>
      <c r="S15" s="886">
        <f t="shared" si="17"/>
        <v>0</v>
      </c>
      <c r="T15" s="883">
        <f t="shared" si="7"/>
        <v>16249.708999999999</v>
      </c>
      <c r="U15" s="887">
        <f>HLOOKUP($B$2,Factors!$J$12:$Y$25,Factors!$H16)</f>
        <v>25.96702960313344</v>
      </c>
      <c r="V15" s="885">
        <f t="shared" si="18"/>
        <v>0</v>
      </c>
      <c r="W15" s="883">
        <f t="shared" si="19"/>
        <v>0</v>
      </c>
      <c r="X15" s="883">
        <f t="shared" si="20"/>
        <v>0</v>
      </c>
      <c r="Y15" s="883">
        <f t="shared" si="21"/>
        <v>0</v>
      </c>
      <c r="Z15" s="883">
        <f t="shared" si="22"/>
        <v>421.95667464530385</v>
      </c>
      <c r="AA15" s="883">
        <f t="shared" si="23"/>
        <v>0</v>
      </c>
      <c r="AB15" s="883">
        <f t="shared" ref="AB15:AB43" si="37">SUM(V15:AA15)</f>
        <v>421.95667464530385</v>
      </c>
      <c r="AC15" s="888">
        <f>Factors!E16</f>
        <v>1</v>
      </c>
      <c r="AD15" s="885">
        <f t="shared" si="24"/>
        <v>0</v>
      </c>
      <c r="AE15" s="883">
        <f t="shared" si="25"/>
        <v>0</v>
      </c>
      <c r="AF15" s="883">
        <f t="shared" si="26"/>
        <v>0</v>
      </c>
      <c r="AG15" s="883">
        <f t="shared" si="27"/>
        <v>0</v>
      </c>
      <c r="AH15" s="883">
        <f t="shared" si="28"/>
        <v>421.95667464530385</v>
      </c>
      <c r="AI15" s="883">
        <f t="shared" si="29"/>
        <v>0</v>
      </c>
      <c r="AJ15" s="889">
        <f t="shared" si="9"/>
        <v>421.95667464530385</v>
      </c>
      <c r="AK15" s="885">
        <f t="shared" si="30"/>
        <v>0</v>
      </c>
      <c r="AL15" s="883">
        <f t="shared" si="31"/>
        <v>0</v>
      </c>
      <c r="AM15" s="883">
        <f t="shared" si="32"/>
        <v>0</v>
      </c>
      <c r="AN15" s="883">
        <f t="shared" si="33"/>
        <v>0</v>
      </c>
      <c r="AO15" s="883">
        <f t="shared" si="34"/>
        <v>1547.1744736994474</v>
      </c>
      <c r="AP15" s="883">
        <f t="shared" si="35"/>
        <v>0</v>
      </c>
      <c r="AQ15" s="890">
        <f t="shared" ref="AQ15:AQ42" si="38">SUM(AK15:AP15)</f>
        <v>1547.1744736994474</v>
      </c>
    </row>
    <row r="16" spans="1:43">
      <c r="A16" s="817"/>
      <c r="B16" s="860" t="s">
        <v>1737</v>
      </c>
      <c r="C16" s="883"/>
      <c r="D16" s="883"/>
      <c r="E16" s="883"/>
      <c r="F16" s="883"/>
      <c r="G16" s="883"/>
      <c r="H16" s="883">
        <f>HLOOKUP($B$2,'US Territories'!$D$28:$Z$38,'US Territories'!$B29)</f>
        <v>5.0225861839999562</v>
      </c>
      <c r="I16" s="883">
        <f t="shared" si="36"/>
        <v>5.0225861839999562</v>
      </c>
      <c r="J16" s="961"/>
      <c r="K16" s="940"/>
      <c r="L16" s="940"/>
      <c r="M16" s="940"/>
      <c r="N16" s="885">
        <f t="shared" si="12"/>
        <v>0</v>
      </c>
      <c r="O16" s="883">
        <f t="shared" si="13"/>
        <v>0</v>
      </c>
      <c r="P16" s="883">
        <f t="shared" si="14"/>
        <v>0</v>
      </c>
      <c r="Q16" s="883">
        <f t="shared" si="15"/>
        <v>0</v>
      </c>
      <c r="R16" s="883">
        <f t="shared" si="16"/>
        <v>0</v>
      </c>
      <c r="S16" s="886">
        <f t="shared" si="17"/>
        <v>5.0225861839999562</v>
      </c>
      <c r="T16" s="883">
        <f t="shared" si="7"/>
        <v>5.0225861839999562</v>
      </c>
      <c r="U16" s="887">
        <f>Factors!D17</f>
        <v>25.14</v>
      </c>
      <c r="V16" s="899">
        <f t="shared" si="18"/>
        <v>0</v>
      </c>
      <c r="W16" s="900">
        <f t="shared" si="19"/>
        <v>0</v>
      </c>
      <c r="X16" s="900">
        <f t="shared" si="20"/>
        <v>0</v>
      </c>
      <c r="Y16" s="900">
        <f t="shared" si="21"/>
        <v>0</v>
      </c>
      <c r="Z16" s="900">
        <f t="shared" si="22"/>
        <v>0</v>
      </c>
      <c r="AA16" s="900">
        <f t="shared" si="23"/>
        <v>0.1262678166657589</v>
      </c>
      <c r="AB16" s="883">
        <f t="shared" si="37"/>
        <v>0.1262678166657589</v>
      </c>
      <c r="AC16" s="888">
        <f>Factors!E17</f>
        <v>1</v>
      </c>
      <c r="AD16" s="899">
        <f t="shared" si="24"/>
        <v>0</v>
      </c>
      <c r="AE16" s="900">
        <f t="shared" si="25"/>
        <v>0</v>
      </c>
      <c r="AF16" s="900">
        <f t="shared" si="26"/>
        <v>0</v>
      </c>
      <c r="AG16" s="900">
        <f t="shared" si="27"/>
        <v>0</v>
      </c>
      <c r="AH16" s="900">
        <f t="shared" si="28"/>
        <v>0</v>
      </c>
      <c r="AI16" s="900">
        <f t="shared" si="29"/>
        <v>0.1262678166657589</v>
      </c>
      <c r="AJ16" s="889">
        <f t="shared" si="9"/>
        <v>0.1262678166657589</v>
      </c>
      <c r="AK16" s="885">
        <f t="shared" si="30"/>
        <v>0</v>
      </c>
      <c r="AL16" s="883">
        <f t="shared" si="31"/>
        <v>0</v>
      </c>
      <c r="AM16" s="883">
        <f t="shared" si="32"/>
        <v>0</v>
      </c>
      <c r="AN16" s="883">
        <f t="shared" si="33"/>
        <v>0</v>
      </c>
      <c r="AO16" s="883">
        <f t="shared" si="34"/>
        <v>0</v>
      </c>
      <c r="AP16" s="883">
        <f t="shared" si="35"/>
        <v>0.46298199444111593</v>
      </c>
      <c r="AQ16" s="943">
        <f t="shared" si="38"/>
        <v>0.46298199444111593</v>
      </c>
    </row>
    <row r="17" spans="1:43">
      <c r="A17" s="817"/>
      <c r="B17" s="863" t="s">
        <v>1439</v>
      </c>
      <c r="C17" s="901">
        <f>HLOOKUP($B$2,'Consumption Input'!$E$5:$AQ$82,'Consumption Input'!$B8)</f>
        <v>4667.223</v>
      </c>
      <c r="D17" s="901">
        <f>HLOOKUP($B$2,'Consumption Input'!$E$5:$AQ$82,'Consumption Input'!$B14)</f>
        <v>2795.4009999999998</v>
      </c>
      <c r="E17" s="901">
        <f>HLOOKUP($B$2,'Consumption Input'!$E$5:$AQ$82,'Consumption Input'!$B26)</f>
        <v>8106.186538507146</v>
      </c>
      <c r="F17" s="901">
        <f>HLOOKUP($B$2,'Consumption Input'!$E$5:$AQ$82,'Consumption Input'!$B49)</f>
        <v>620.32399999999996</v>
      </c>
      <c r="G17" s="901">
        <f>HLOOKUP($B$2,'Consumption Input'!$E$5:$AQ$82,'Consumption Input'!$B59)</f>
        <v>3377.3589999999999</v>
      </c>
      <c r="H17" s="944">
        <f>HLOOKUP($B$2,'US Territories'!$D$28:$Z$38,'US Territories'!$B30)</f>
        <v>0</v>
      </c>
      <c r="I17" s="901">
        <f t="shared" si="36"/>
        <v>19566.493538507148</v>
      </c>
      <c r="J17" s="964"/>
      <c r="K17" s="965">
        <f>HLOOKUP($B$2,NEUConsumption,'Non-Energy Use'!$C$9)</f>
        <v>301.05199999999996</v>
      </c>
      <c r="L17" s="965"/>
      <c r="M17" s="965"/>
      <c r="N17" s="904">
        <f t="shared" si="12"/>
        <v>4667.223</v>
      </c>
      <c r="O17" s="901">
        <f t="shared" si="13"/>
        <v>2795.4009999999998</v>
      </c>
      <c r="P17" s="901">
        <f t="shared" si="14"/>
        <v>7805.1345385071463</v>
      </c>
      <c r="Q17" s="901">
        <f t="shared" si="15"/>
        <v>620.32399999999996</v>
      </c>
      <c r="R17" s="901">
        <f t="shared" si="16"/>
        <v>3377.3589999999999</v>
      </c>
      <c r="S17" s="902">
        <f t="shared" si="17"/>
        <v>0</v>
      </c>
      <c r="T17" s="901">
        <f t="shared" si="7"/>
        <v>19265.441538507148</v>
      </c>
      <c r="U17" s="905">
        <f>HLOOKUP($B$2,Factors!$J$12:$AB$26,Factors!$H26,FALSE)</f>
        <v>14.45183127669903</v>
      </c>
      <c r="V17" s="901">
        <f t="shared" si="18"/>
        <v>67.449919326729088</v>
      </c>
      <c r="W17" s="901">
        <f t="shared" si="19"/>
        <v>40.398663602715743</v>
      </c>
      <c r="X17" s="901">
        <f t="shared" si="20"/>
        <v>112.79848744244143</v>
      </c>
      <c r="Y17" s="901">
        <f t="shared" si="21"/>
        <v>8.9648177848870496</v>
      </c>
      <c r="Z17" s="901">
        <f t="shared" si="22"/>
        <v>48.809022428840962</v>
      </c>
      <c r="AA17" s="901">
        <f t="shared" si="23"/>
        <v>0</v>
      </c>
      <c r="AB17" s="901">
        <f t="shared" si="37"/>
        <v>278.42091058561425</v>
      </c>
      <c r="AC17" s="906">
        <f>Factors!E19</f>
        <v>1</v>
      </c>
      <c r="AD17" s="904">
        <f t="shared" si="24"/>
        <v>67.449919326729088</v>
      </c>
      <c r="AE17" s="901">
        <f t="shared" si="25"/>
        <v>40.398663602715743</v>
      </c>
      <c r="AF17" s="901">
        <f t="shared" si="26"/>
        <v>112.79848744244143</v>
      </c>
      <c r="AG17" s="901">
        <f t="shared" si="27"/>
        <v>8.9648177848870496</v>
      </c>
      <c r="AH17" s="901">
        <f t="shared" si="28"/>
        <v>48.809022428840962</v>
      </c>
      <c r="AI17" s="901">
        <f t="shared" si="29"/>
        <v>0</v>
      </c>
      <c r="AJ17" s="901">
        <f t="shared" si="9"/>
        <v>278.42091058561425</v>
      </c>
      <c r="AK17" s="904">
        <f t="shared" si="30"/>
        <v>247.3163708646733</v>
      </c>
      <c r="AL17" s="901">
        <f t="shared" si="31"/>
        <v>148.12843320995771</v>
      </c>
      <c r="AM17" s="901">
        <f t="shared" si="32"/>
        <v>413.59445395561858</v>
      </c>
      <c r="AN17" s="901">
        <f t="shared" si="33"/>
        <v>32.870998544585845</v>
      </c>
      <c r="AO17" s="901">
        <f t="shared" si="34"/>
        <v>178.96641557241685</v>
      </c>
      <c r="AP17" s="901">
        <f t="shared" si="35"/>
        <v>0</v>
      </c>
      <c r="AQ17" s="907">
        <f t="shared" si="38"/>
        <v>1020.8766721472523</v>
      </c>
    </row>
    <row r="18" spans="1:43">
      <c r="A18" s="817"/>
      <c r="B18" s="864" t="s">
        <v>1440</v>
      </c>
      <c r="C18" s="908">
        <f t="shared" ref="C18:H18" si="39">SUM(C19:C41)</f>
        <v>1381.9527159096701</v>
      </c>
      <c r="D18" s="908">
        <f t="shared" si="39"/>
        <v>1011.5421333986003</v>
      </c>
      <c r="E18" s="908">
        <f t="shared" si="39"/>
        <v>8146.979715062469</v>
      </c>
      <c r="F18" s="908">
        <f t="shared" si="39"/>
        <v>21122.816806419927</v>
      </c>
      <c r="G18" s="908">
        <f t="shared" si="39"/>
        <v>1198.261</v>
      </c>
      <c r="H18" s="908">
        <f t="shared" si="39"/>
        <v>322.03033007465416</v>
      </c>
      <c r="I18" s="908">
        <f t="shared" si="36"/>
        <v>33183.582700865321</v>
      </c>
      <c r="J18" s="966">
        <f t="shared" ref="J18:S18" si="40">SUM(J19:J41)</f>
        <v>1604.6523785216336</v>
      </c>
      <c r="K18" s="967">
        <f t="shared" si="40"/>
        <v>4236.9499759285791</v>
      </c>
      <c r="L18" s="967">
        <f t="shared" si="40"/>
        <v>157.44999999999999</v>
      </c>
      <c r="M18" s="967">
        <f t="shared" si="40"/>
        <v>64.392210830673108</v>
      </c>
      <c r="N18" s="910">
        <f t="shared" si="40"/>
        <v>1381.9527159096701</v>
      </c>
      <c r="O18" s="908">
        <f t="shared" si="40"/>
        <v>1011.5421333986003</v>
      </c>
      <c r="P18" s="908">
        <f t="shared" si="40"/>
        <v>3910.02973913389</v>
      </c>
      <c r="Q18" s="908">
        <f t="shared" si="40"/>
        <v>19360.714427898296</v>
      </c>
      <c r="R18" s="908">
        <f t="shared" si="40"/>
        <v>1198.261</v>
      </c>
      <c r="S18" s="911">
        <f t="shared" si="40"/>
        <v>257.63811924398107</v>
      </c>
      <c r="T18" s="889">
        <f t="shared" si="7"/>
        <v>27120.138135584435</v>
      </c>
      <c r="U18" s="912" t="s">
        <v>1731</v>
      </c>
      <c r="V18" s="908">
        <f t="shared" ref="V18:AA18" si="41">SUM(V19:V41)</f>
        <v>26.714228178672919</v>
      </c>
      <c r="W18" s="908">
        <f t="shared" si="41"/>
        <v>20.020318322877696</v>
      </c>
      <c r="X18" s="908">
        <f t="shared" si="41"/>
        <v>79.850464444510308</v>
      </c>
      <c r="Y18" s="908">
        <f t="shared" si="41"/>
        <v>378.94265620739384</v>
      </c>
      <c r="Z18" s="908">
        <f t="shared" si="41"/>
        <v>24.730544156486783</v>
      </c>
      <c r="AA18" s="908">
        <f t="shared" si="41"/>
        <v>5.1053080329821228</v>
      </c>
      <c r="AB18" s="908">
        <f t="shared" si="37"/>
        <v>535.36351934292361</v>
      </c>
      <c r="AC18" s="913" t="s">
        <v>1731</v>
      </c>
      <c r="AD18" s="910">
        <f t="shared" ref="AD18:AI18" si="42">SUM(AD19:AD41)</f>
        <v>26.714228178672919</v>
      </c>
      <c r="AE18" s="908">
        <f t="shared" si="42"/>
        <v>20.020318322877696</v>
      </c>
      <c r="AF18" s="908">
        <f t="shared" si="42"/>
        <v>79.850464444510308</v>
      </c>
      <c r="AG18" s="908">
        <f t="shared" si="42"/>
        <v>378.94265620739384</v>
      </c>
      <c r="AH18" s="908">
        <f t="shared" si="42"/>
        <v>24.730544156486783</v>
      </c>
      <c r="AI18" s="908">
        <f t="shared" si="42"/>
        <v>5.1053080329821228</v>
      </c>
      <c r="AJ18" s="908">
        <f t="shared" si="9"/>
        <v>535.36351934292361</v>
      </c>
      <c r="AK18" s="914">
        <f t="shared" si="30"/>
        <v>97.952169988467361</v>
      </c>
      <c r="AL18" s="889">
        <f t="shared" si="31"/>
        <v>73.407833850551555</v>
      </c>
      <c r="AM18" s="889">
        <f t="shared" si="32"/>
        <v>292.78503629653778</v>
      </c>
      <c r="AN18" s="889">
        <f t="shared" si="33"/>
        <v>1389.4564060937773</v>
      </c>
      <c r="AO18" s="889">
        <f t="shared" si="34"/>
        <v>90.678661907118197</v>
      </c>
      <c r="AP18" s="889">
        <f t="shared" si="35"/>
        <v>18.719462787601117</v>
      </c>
      <c r="AQ18" s="915">
        <f t="shared" si="38"/>
        <v>1962.9995709240532</v>
      </c>
    </row>
    <row r="19" spans="1:43">
      <c r="A19" s="817"/>
      <c r="B19" s="860" t="s">
        <v>1608</v>
      </c>
      <c r="C19" s="883"/>
      <c r="D19" s="883"/>
      <c r="E19" s="883">
        <f>HLOOKUP($B$2,'Consumption Input'!$E$5:$AQ$82,'Consumption Input'!$B27)</f>
        <v>1076.5350000000001</v>
      </c>
      <c r="F19" s="883"/>
      <c r="G19" s="883"/>
      <c r="H19" s="883"/>
      <c r="I19" s="883">
        <f t="shared" si="36"/>
        <v>1076.5350000000001</v>
      </c>
      <c r="J19" s="961"/>
      <c r="K19" s="940">
        <f>HLOOKUP($B$2,NEUConsumption,'Non-Energy Use'!$C$10)</f>
        <v>1076.5350000000001</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7"/>
        <v>0</v>
      </c>
      <c r="AC19" s="888">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41.722000000000001</v>
      </c>
      <c r="G20" s="883"/>
      <c r="H20" s="883"/>
      <c r="I20" s="883">
        <f t="shared" si="36"/>
        <v>41.722000000000001</v>
      </c>
      <c r="J20" s="961"/>
      <c r="K20" s="940"/>
      <c r="L20" s="940"/>
      <c r="M20" s="940"/>
      <c r="N20" s="885">
        <f t="shared" si="43"/>
        <v>0</v>
      </c>
      <c r="O20" s="883">
        <f t="shared" si="44"/>
        <v>0</v>
      </c>
      <c r="P20" s="883">
        <f t="shared" si="45"/>
        <v>0</v>
      </c>
      <c r="Q20" s="883">
        <f t="shared" si="46"/>
        <v>41.722000000000001</v>
      </c>
      <c r="R20" s="883">
        <f t="shared" si="47"/>
        <v>0</v>
      </c>
      <c r="S20" s="886">
        <f t="shared" si="48"/>
        <v>0</v>
      </c>
      <c r="T20" s="883">
        <f t="shared" si="7"/>
        <v>41.722000000000001</v>
      </c>
      <c r="U20" s="887">
        <f>Factors!D25</f>
        <v>18.855352254718337</v>
      </c>
      <c r="V20" s="885">
        <f t="shared" si="49"/>
        <v>0</v>
      </c>
      <c r="W20" s="883">
        <f t="shared" si="50"/>
        <v>0</v>
      </c>
      <c r="X20" s="883">
        <f t="shared" si="51"/>
        <v>0</v>
      </c>
      <c r="Y20" s="883">
        <f t="shared" si="52"/>
        <v>0.7866830067713585</v>
      </c>
      <c r="Z20" s="883">
        <f t="shared" si="53"/>
        <v>0</v>
      </c>
      <c r="AA20" s="883">
        <f t="shared" si="54"/>
        <v>0</v>
      </c>
      <c r="AB20" s="883">
        <f t="shared" si="37"/>
        <v>0.7866830067713585</v>
      </c>
      <c r="AC20" s="888">
        <f>Factors!E25</f>
        <v>1</v>
      </c>
      <c r="AD20" s="885">
        <f t="shared" si="55"/>
        <v>0</v>
      </c>
      <c r="AE20" s="883">
        <f t="shared" si="56"/>
        <v>0</v>
      </c>
      <c r="AF20" s="883">
        <f t="shared" si="57"/>
        <v>0</v>
      </c>
      <c r="AG20" s="883">
        <f t="shared" si="58"/>
        <v>0.7866830067713585</v>
      </c>
      <c r="AH20" s="883">
        <f t="shared" si="59"/>
        <v>0</v>
      </c>
      <c r="AI20" s="883">
        <f t="shared" si="60"/>
        <v>0</v>
      </c>
      <c r="AJ20" s="889">
        <f t="shared" si="9"/>
        <v>0.7866830067713585</v>
      </c>
      <c r="AK20" s="885">
        <f t="shared" si="30"/>
        <v>0</v>
      </c>
      <c r="AL20" s="883">
        <f t="shared" si="31"/>
        <v>0</v>
      </c>
      <c r="AM20" s="883">
        <f t="shared" si="32"/>
        <v>0</v>
      </c>
      <c r="AN20" s="883">
        <f t="shared" si="33"/>
        <v>2.8845043581616476</v>
      </c>
      <c r="AO20" s="883">
        <f t="shared" si="34"/>
        <v>0</v>
      </c>
      <c r="AP20" s="883">
        <f t="shared" si="35"/>
        <v>0</v>
      </c>
      <c r="AQ20" s="890">
        <f t="shared" si="38"/>
        <v>2.8845043581616476</v>
      </c>
    </row>
    <row r="21" spans="1:43">
      <c r="A21" s="817"/>
      <c r="B21" s="860" t="s">
        <v>1738</v>
      </c>
      <c r="C21" s="883">
        <f>HLOOKUP($B$2,'Consumption Input'!$E$5:$AQ$82,'Consumption Input'!$B9)</f>
        <v>930.97471590967007</v>
      </c>
      <c r="D21" s="883">
        <f>HLOOKUP($B$2,'Consumption Input'!$E$5:$AQ$82,'Consumption Input'!$B15)</f>
        <v>517.70494422742649</v>
      </c>
      <c r="E21" s="883">
        <f>HLOOKUP($B$2,'Consumption Input'!$E$5:$AQ$82,'Consumption Input'!$B28)</f>
        <v>1057.8854839105218</v>
      </c>
      <c r="F21" s="883">
        <f>HLOOKUP($B$2,'Consumption Input'!$E$5:$AQ$82,'Consumption Input'!$B51)</f>
        <v>3598.9672351190479</v>
      </c>
      <c r="G21" s="883">
        <f>HLOOKUP($B$2,'Consumption Input'!$E$5:$AQ$82,'Consumption Input'!$B60)</f>
        <v>83.64</v>
      </c>
      <c r="H21" s="883">
        <f>HLOOKUP($B$2,'US Territories'!$D$28:$Z$38,'US Territories'!$B31)</f>
        <v>47.429368614458383</v>
      </c>
      <c r="I21" s="883">
        <f t="shared" si="36"/>
        <v>6236.6017477811256</v>
      </c>
      <c r="J21" s="961">
        <f>HLOOKUP($B$2,IBFConsumption,'International Bunker Fuels'!$B$10)</f>
        <v>149.30996711904763</v>
      </c>
      <c r="K21" s="940">
        <f>HLOOKUP($B$2,NEUConsumption,'Non-Energy Use'!$C$20)</f>
        <v>7.0831999999999997</v>
      </c>
      <c r="L21" s="940"/>
      <c r="M21" s="940"/>
      <c r="N21" s="885">
        <f t="shared" si="43"/>
        <v>930.97471590967007</v>
      </c>
      <c r="O21" s="883">
        <f t="shared" si="44"/>
        <v>517.70494422742649</v>
      </c>
      <c r="P21" s="883">
        <f t="shared" si="45"/>
        <v>1050.8022839105217</v>
      </c>
      <c r="Q21" s="883">
        <f t="shared" si="46"/>
        <v>3449.6572680000004</v>
      </c>
      <c r="R21" s="883">
        <f t="shared" si="47"/>
        <v>83.64</v>
      </c>
      <c r="S21" s="886">
        <f t="shared" si="48"/>
        <v>47.429368614458383</v>
      </c>
      <c r="T21" s="883">
        <f t="shared" si="7"/>
        <v>6080.208580662078</v>
      </c>
      <c r="U21" s="887">
        <f>HLOOKUP($B$2,Factors!$J$12:$BE$27,Factors!$H27,FALSE)</f>
        <v>20.170000000000002</v>
      </c>
      <c r="V21" s="885">
        <f t="shared" si="49"/>
        <v>18.777760019898047</v>
      </c>
      <c r="W21" s="883">
        <f t="shared" si="50"/>
        <v>10.442108725067193</v>
      </c>
      <c r="X21" s="883">
        <f t="shared" si="51"/>
        <v>21.194682066475227</v>
      </c>
      <c r="Y21" s="883">
        <f t="shared" si="52"/>
        <v>69.579587095560015</v>
      </c>
      <c r="Z21" s="883">
        <f t="shared" si="53"/>
        <v>1.6870188000000002</v>
      </c>
      <c r="AA21" s="883">
        <f t="shared" si="54"/>
        <v>0.95665036495362565</v>
      </c>
      <c r="AB21" s="883">
        <f t="shared" si="37"/>
        <v>122.63780707195411</v>
      </c>
      <c r="AC21" s="888">
        <f>Factors!E26</f>
        <v>1</v>
      </c>
      <c r="AD21" s="885">
        <f t="shared" si="55"/>
        <v>18.777760019898047</v>
      </c>
      <c r="AE21" s="883">
        <f t="shared" si="56"/>
        <v>10.442108725067193</v>
      </c>
      <c r="AF21" s="883">
        <f t="shared" si="57"/>
        <v>21.194682066475227</v>
      </c>
      <c r="AG21" s="883">
        <f t="shared" si="58"/>
        <v>69.579587095560015</v>
      </c>
      <c r="AH21" s="883">
        <f t="shared" si="59"/>
        <v>1.6870188000000002</v>
      </c>
      <c r="AI21" s="883">
        <f t="shared" si="60"/>
        <v>0.95665036495362565</v>
      </c>
      <c r="AJ21" s="889">
        <f t="shared" si="9"/>
        <v>122.63780707195411</v>
      </c>
      <c r="AK21" s="885">
        <f t="shared" si="30"/>
        <v>68.851786739626164</v>
      </c>
      <c r="AL21" s="883">
        <f t="shared" si="31"/>
        <v>38.287731991913041</v>
      </c>
      <c r="AM21" s="883">
        <f t="shared" si="32"/>
        <v>77.713834243742497</v>
      </c>
      <c r="AN21" s="883">
        <f t="shared" si="33"/>
        <v>255.12515268372005</v>
      </c>
      <c r="AO21" s="883">
        <f t="shared" si="34"/>
        <v>6.1857356000000001</v>
      </c>
      <c r="AP21" s="883">
        <f t="shared" si="35"/>
        <v>3.5077180048299605</v>
      </c>
      <c r="AQ21" s="890">
        <f t="shared" si="38"/>
        <v>449.67195926383164</v>
      </c>
    </row>
    <row r="22" spans="1:43">
      <c r="A22" s="817"/>
      <c r="B22" s="860" t="s">
        <v>1623</v>
      </c>
      <c r="C22" s="883"/>
      <c r="D22" s="883"/>
      <c r="E22" s="883"/>
      <c r="F22" s="883">
        <f>HLOOKUP($B$2,'Consumption Input'!$E$5:$AQ$82,'Consumption Input'!$B52)</f>
        <v>3025.0039999999999</v>
      </c>
      <c r="G22" s="883"/>
      <c r="H22" s="883">
        <f>HLOOKUP($B$2,'US Territories'!$D$28:$Z$38,'US Territories'!$B32)</f>
        <v>53.851684109500972</v>
      </c>
      <c r="I22" s="883">
        <f t="shared" si="36"/>
        <v>3078.855684109501</v>
      </c>
      <c r="J22" s="961">
        <f>HLOOKUP($B$2,IBFConsumption,'International Bunker Fuels'!$B$8)</f>
        <v>653.83474818058585</v>
      </c>
      <c r="K22" s="940"/>
      <c r="L22" s="940"/>
      <c r="M22" s="940"/>
      <c r="N22" s="885">
        <f t="shared" si="43"/>
        <v>0</v>
      </c>
      <c r="O22" s="883">
        <f t="shared" si="44"/>
        <v>0</v>
      </c>
      <c r="P22" s="883">
        <f t="shared" si="45"/>
        <v>0</v>
      </c>
      <c r="Q22" s="883">
        <f t="shared" si="46"/>
        <v>2371.1692518194141</v>
      </c>
      <c r="R22" s="883">
        <f t="shared" si="47"/>
        <v>0</v>
      </c>
      <c r="S22" s="886">
        <f t="shared" si="48"/>
        <v>53.851684109500972</v>
      </c>
      <c r="T22" s="883">
        <f t="shared" si="7"/>
        <v>2425.0209359289152</v>
      </c>
      <c r="U22" s="887">
        <f>HLOOKUP($B$2,Factors!$J$12:$Y$25,Factors!$H21)</f>
        <v>19.399999999999999</v>
      </c>
      <c r="V22" s="885">
        <f t="shared" si="49"/>
        <v>0</v>
      </c>
      <c r="W22" s="883">
        <f t="shared" si="50"/>
        <v>0</v>
      </c>
      <c r="X22" s="883">
        <f t="shared" si="51"/>
        <v>0</v>
      </c>
      <c r="Y22" s="883">
        <f t="shared" si="52"/>
        <v>46.000683485296626</v>
      </c>
      <c r="Z22" s="883">
        <f t="shared" si="53"/>
        <v>0</v>
      </c>
      <c r="AA22" s="883">
        <f t="shared" si="54"/>
        <v>1.0447226717243188</v>
      </c>
      <c r="AB22" s="883">
        <f t="shared" si="37"/>
        <v>47.045406157020942</v>
      </c>
      <c r="AC22" s="888">
        <f>Factors!E27</f>
        <v>1</v>
      </c>
      <c r="AD22" s="885">
        <f t="shared" si="55"/>
        <v>0</v>
      </c>
      <c r="AE22" s="883">
        <f t="shared" si="56"/>
        <v>0</v>
      </c>
      <c r="AF22" s="883">
        <f t="shared" si="57"/>
        <v>0</v>
      </c>
      <c r="AG22" s="883">
        <f t="shared" si="58"/>
        <v>46.000683485296626</v>
      </c>
      <c r="AH22" s="883">
        <f t="shared" si="59"/>
        <v>0</v>
      </c>
      <c r="AI22" s="883">
        <f t="shared" si="60"/>
        <v>1.0447226717243188</v>
      </c>
      <c r="AJ22" s="889">
        <f t="shared" si="9"/>
        <v>47.045406157020942</v>
      </c>
      <c r="AK22" s="885">
        <f t="shared" si="30"/>
        <v>0</v>
      </c>
      <c r="AL22" s="883">
        <f t="shared" si="31"/>
        <v>0</v>
      </c>
      <c r="AM22" s="883">
        <f t="shared" si="32"/>
        <v>0</v>
      </c>
      <c r="AN22" s="883">
        <f t="shared" si="33"/>
        <v>168.66917277942096</v>
      </c>
      <c r="AO22" s="883">
        <f t="shared" si="34"/>
        <v>0</v>
      </c>
      <c r="AP22" s="883">
        <f t="shared" si="35"/>
        <v>3.8306497963225019</v>
      </c>
      <c r="AQ22" s="890">
        <f t="shared" si="38"/>
        <v>172.49982257574345</v>
      </c>
    </row>
    <row r="23" spans="1:43">
      <c r="A23" s="817"/>
      <c r="B23" s="860" t="s">
        <v>1599</v>
      </c>
      <c r="C23" s="883">
        <f>HLOOKUP($B$2,'Consumption Input'!$E$5:$AQ$82,'Consumption Input'!$B10)</f>
        <v>72.34</v>
      </c>
      <c r="D23" s="883">
        <f>HLOOKUP($B$2,'Consumption Input'!$E$5:$AQ$82,'Consumption Input'!$B16)</f>
        <v>12.087999999999999</v>
      </c>
      <c r="E23" s="883">
        <f>HLOOKUP($B$2,'Consumption Input'!$E$5:$AQ$82,'Consumption Input'!$B29)</f>
        <v>11.382</v>
      </c>
      <c r="F23" s="883"/>
      <c r="G23" s="883"/>
      <c r="H23" s="883">
        <f>HLOOKUP($B$2,'US Territories'!$D$28:$Z$38,'US Territories'!$B33)</f>
        <v>1.7939151752449327</v>
      </c>
      <c r="I23" s="883">
        <f t="shared" si="36"/>
        <v>97.603915175244936</v>
      </c>
      <c r="J23" s="961"/>
      <c r="K23" s="940"/>
      <c r="L23" s="940"/>
      <c r="M23" s="940"/>
      <c r="N23" s="885">
        <f t="shared" si="43"/>
        <v>72.34</v>
      </c>
      <c r="O23" s="883">
        <f t="shared" si="44"/>
        <v>12.087999999999999</v>
      </c>
      <c r="P23" s="883">
        <f t="shared" si="45"/>
        <v>11.382</v>
      </c>
      <c r="Q23" s="883">
        <f t="shared" si="46"/>
        <v>0</v>
      </c>
      <c r="R23" s="883">
        <f t="shared" si="47"/>
        <v>0</v>
      </c>
      <c r="S23" s="886">
        <f t="shared" si="48"/>
        <v>1.7939151752449327</v>
      </c>
      <c r="T23" s="883">
        <f t="shared" si="7"/>
        <v>97.603915175244936</v>
      </c>
      <c r="U23" s="887">
        <f>Factors!D28</f>
        <v>19.964104564962931</v>
      </c>
      <c r="V23" s="885">
        <f t="shared" si="49"/>
        <v>1.4442033242294186</v>
      </c>
      <c r="W23" s="883">
        <f t="shared" si="50"/>
        <v>0.24132609598127189</v>
      </c>
      <c r="X23" s="883">
        <f t="shared" si="51"/>
        <v>0.2272314381584081</v>
      </c>
      <c r="Y23" s="883">
        <f t="shared" si="52"/>
        <v>0</v>
      </c>
      <c r="Z23" s="883">
        <f t="shared" si="53"/>
        <v>0</v>
      </c>
      <c r="AA23" s="883">
        <f t="shared" si="54"/>
        <v>3.5813910139263633E-2</v>
      </c>
      <c r="AB23" s="883">
        <f t="shared" si="37"/>
        <v>1.9485747685083623</v>
      </c>
      <c r="AC23" s="888">
        <f>Factors!E28</f>
        <v>1</v>
      </c>
      <c r="AD23" s="885">
        <f t="shared" si="55"/>
        <v>1.4442033242294186</v>
      </c>
      <c r="AE23" s="883">
        <f t="shared" si="56"/>
        <v>0.24132609598127189</v>
      </c>
      <c r="AF23" s="883">
        <f t="shared" si="57"/>
        <v>0.2272314381584081</v>
      </c>
      <c r="AG23" s="883">
        <f t="shared" si="58"/>
        <v>0</v>
      </c>
      <c r="AH23" s="883">
        <f t="shared" si="59"/>
        <v>0</v>
      </c>
      <c r="AI23" s="883">
        <f t="shared" si="60"/>
        <v>3.5813910139263633E-2</v>
      </c>
      <c r="AJ23" s="889">
        <f t="shared" si="9"/>
        <v>1.9485747685083623</v>
      </c>
      <c r="AK23" s="885">
        <f t="shared" si="30"/>
        <v>5.2954121888412011</v>
      </c>
      <c r="AL23" s="883">
        <f t="shared" si="31"/>
        <v>0.88486235193133023</v>
      </c>
      <c r="AM23" s="883">
        <f t="shared" si="32"/>
        <v>0.83318193991416301</v>
      </c>
      <c r="AN23" s="883">
        <f t="shared" si="33"/>
        <v>0</v>
      </c>
      <c r="AO23" s="883">
        <f t="shared" si="34"/>
        <v>0</v>
      </c>
      <c r="AP23" s="883">
        <f t="shared" si="35"/>
        <v>0.13131767051063331</v>
      </c>
      <c r="AQ23" s="890">
        <f t="shared" si="38"/>
        <v>7.1447741511973275</v>
      </c>
    </row>
    <row r="24" spans="1:43">
      <c r="A24" s="817"/>
      <c r="B24" s="860" t="s">
        <v>1600</v>
      </c>
      <c r="C24" s="883">
        <f>HLOOKUP($B$2,'Consumption Input'!$E$5:$AQ$82,'Consumption Input'!$B11)</f>
        <v>378.63799999999998</v>
      </c>
      <c r="D24" s="883">
        <f>HLOOKUP($B$2,'Consumption Input'!$E$5:$AQ$82,'Consumption Input'!$B17)</f>
        <v>108.37</v>
      </c>
      <c r="E24"/>
      <c r="F24" s="883">
        <f>HLOOKUP($B$2,'Consumption Input'!$E$5:$AQ$82,'Consumption Input'!$B53)</f>
        <v>21.158999999999995</v>
      </c>
      <c r="G24" s="883"/>
      <c r="H24"/>
      <c r="I24" s="883">
        <f>SUM(C24:H24)</f>
        <v>508.16699999999997</v>
      </c>
      <c r="J24" s="884"/>
      <c r="K24"/>
      <c r="L24" s="883"/>
      <c r="M24" s="883"/>
      <c r="N24" s="885">
        <f>C24</f>
        <v>378.63799999999998</v>
      </c>
      <c r="O24" s="883">
        <f t="shared" si="44"/>
        <v>108.37</v>
      </c>
      <c r="P24"/>
      <c r="Q24" s="883">
        <f t="shared" si="46"/>
        <v>21.158999999999995</v>
      </c>
      <c r="R24" s="883">
        <f t="shared" si="47"/>
        <v>0</v>
      </c>
      <c r="S24" s="1007"/>
      <c r="T24" s="883">
        <f t="shared" si="7"/>
        <v>508.16699999999997</v>
      </c>
      <c r="U24" s="1005">
        <f>HLOOKUP($B$2,Factors!$J$12:$BE$25,Factors!$H17,FALSE)</f>
        <v>17.146363636363635</v>
      </c>
      <c r="V24" s="885">
        <f>N24*$U24*TbtuToQBtu</f>
        <v>6.4922648345454537</v>
      </c>
      <c r="W24" s="883">
        <f>O24*$U24*TbtuToQBtu</f>
        <v>1.8581514272727273</v>
      </c>
      <c r="X24"/>
      <c r="Y24" s="883">
        <f>Q24*$U24*TbtuToQBtu</f>
        <v>0.36279990818181806</v>
      </c>
      <c r="Z24" s="883">
        <f t="shared" ref="Z24" si="61">R24*$U24*TbtuToQBtu</f>
        <v>0</v>
      </c>
      <c r="AA24"/>
      <c r="AB24" s="883">
        <f>SUM(V24:AA24)</f>
        <v>8.713216169999999</v>
      </c>
      <c r="AC24" s="888">
        <f>Factors!E30</f>
        <v>1</v>
      </c>
      <c r="AD24" s="885">
        <f>V24*$AC24</f>
        <v>6.4922648345454537</v>
      </c>
      <c r="AE24" s="883">
        <f t="shared" si="56"/>
        <v>1.8581514272727273</v>
      </c>
      <c r="AF24"/>
      <c r="AG24" s="883">
        <f t="shared" si="56"/>
        <v>0.36279990818181806</v>
      </c>
      <c r="AH24" s="883">
        <f t="shared" si="56"/>
        <v>0</v>
      </c>
      <c r="AI24"/>
      <c r="AJ24" s="889">
        <f t="shared" si="9"/>
        <v>8.713216169999999</v>
      </c>
      <c r="AK24" s="885">
        <f>AD24*CtoCO2</f>
        <v>23.804971059999996</v>
      </c>
      <c r="AL24" s="883">
        <f t="shared" ref="AL24" si="62">AE24*CtoCO2</f>
        <v>6.8132219000000003</v>
      </c>
      <c r="AN24" s="883">
        <f t="shared" ref="AN24" si="63">AG24*CtoCO2</f>
        <v>1.3302663299999995</v>
      </c>
      <c r="AO24" s="883">
        <f t="shared" ref="AO24" si="64">AH24*CtoCO2</f>
        <v>0</v>
      </c>
      <c r="AQ24" s="890">
        <f t="shared" si="38"/>
        <v>31.948459289999995</v>
      </c>
    </row>
    <row r="25" spans="1:43">
      <c r="A25" s="817"/>
      <c r="B25" s="860" t="s">
        <v>1609</v>
      </c>
      <c r="C25" s="883"/>
      <c r="D25" s="883"/>
      <c r="E25" s="883">
        <f>HLOOKUP($B$2,'Consumption Input'!$E$5:$AQ$82,'Consumption Input'!$B30)</f>
        <v>1662.5429146240001</v>
      </c>
      <c r="F25" s="883"/>
      <c r="G25" s="883"/>
      <c r="H25" s="883">
        <f>HLOOKUP($B$2,'US Territories'!$D$28:$AO$38,'US Territories'!$B34)</f>
        <v>6.3726304042507795</v>
      </c>
      <c r="I25" s="883">
        <f>SUM(C25:H25)</f>
        <v>1668.9155450282508</v>
      </c>
      <c r="J25" s="884"/>
      <c r="K25" s="883">
        <f>HLOOKUP($B$2,NEUConsumption,'Non-Energy Use'!$C$11)</f>
        <v>1438.9519744085785</v>
      </c>
      <c r="L25" s="883"/>
      <c r="M25" s="883"/>
      <c r="N25" s="885"/>
      <c r="O25" s="883"/>
      <c r="P25" s="883">
        <f>E25-K25</f>
        <v>223.5909402154216</v>
      </c>
      <c r="Q25" s="883"/>
      <c r="R25" s="883"/>
      <c r="S25" s="886">
        <f>H25-M25</f>
        <v>6.3726304042507795</v>
      </c>
      <c r="T25" s="883">
        <f t="shared" si="7"/>
        <v>229.96357061967237</v>
      </c>
      <c r="U25" s="1005">
        <f>HLOOKUP($B$2,Factors!$J$12:$BE$25,Factors!$H18,FALSE)</f>
        <v>17.389884943324603</v>
      </c>
      <c r="V25" s="885"/>
      <c r="W25" s="883"/>
      <c r="X25" s="883">
        <f>P25*$U25*TbtuToQBtu</f>
        <v>3.8882207247159513</v>
      </c>
      <c r="Y25" s="883"/>
      <c r="Z25" s="883"/>
      <c r="AA25" s="883">
        <f>S25*$U25*TbtuToQBtu</f>
        <v>0.11081930951625321</v>
      </c>
      <c r="AB25" s="883">
        <f>SUM(V25:AA25)</f>
        <v>3.9990400342322046</v>
      </c>
      <c r="AC25" s="888">
        <f>Factors!E31</f>
        <v>1</v>
      </c>
      <c r="AD25" s="885"/>
      <c r="AE25" s="883"/>
      <c r="AF25" s="883">
        <f>X25*$AC25</f>
        <v>3.8882207247159513</v>
      </c>
      <c r="AG25" s="883"/>
      <c r="AH25" s="883"/>
      <c r="AI25" s="883">
        <f>AA25*$AC25</f>
        <v>0.11081930951625321</v>
      </c>
      <c r="AJ25" s="889">
        <f t="shared" si="9"/>
        <v>3.9990400342322046</v>
      </c>
      <c r="AK25" s="885"/>
      <c r="AL25" s="883"/>
      <c r="AM25" s="883">
        <f>AF25*CtoCO2</f>
        <v>14.256809323958487</v>
      </c>
      <c r="AN25" s="883"/>
      <c r="AO25" s="883"/>
      <c r="AP25" s="883">
        <f>AI25*CtoCO2</f>
        <v>0.40633746822626177</v>
      </c>
      <c r="AQ25" s="890">
        <f t="shared" si="38"/>
        <v>14.663146792184749</v>
      </c>
    </row>
    <row r="26" spans="1:43">
      <c r="A26" s="817"/>
      <c r="B26" s="860" t="s">
        <v>1610</v>
      </c>
      <c r="C26" s="883"/>
      <c r="D26" s="883"/>
      <c r="E26" s="883">
        <f>HLOOKUP($B$2,'Consumption Input'!$E$5:$AQ$82,'Consumption Input'!$B31)</f>
        <v>166.70299999999997</v>
      </c>
      <c r="F26" s="883">
        <f>HLOOKUP($B$2,'Consumption Input'!$E$5:$AQ$82,'Consumption Input'!$B54)</f>
        <v>157.44999999999999</v>
      </c>
      <c r="G26" s="883"/>
      <c r="H26" s="883">
        <f>HLOOKUP($B$2,'US Territories'!$D$28:$Z$38,'US Territories'!$B35)</f>
        <v>0.59589989625000006</v>
      </c>
      <c r="I26" s="883">
        <f t="shared" si="36"/>
        <v>324.74889989624995</v>
      </c>
      <c r="J26" s="961"/>
      <c r="K26" s="940">
        <f>HLOOKUP($B$2,NEUConsumption,'Non-Energy Use'!$C$12)</f>
        <v>166.70299999999997</v>
      </c>
      <c r="L26" s="940">
        <f>HLOOKUP($B$2,NEUConsumption,'Non-Energy Use'!$C$24)</f>
        <v>157.44999999999999</v>
      </c>
      <c r="M26" s="940">
        <f>HLOOKUP($B$2,NEUConsumption,'Non-Energy Use'!$C$26)</f>
        <v>0.59589989625000006</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7"/>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161.45118917117387</v>
      </c>
      <c r="E27" s="883">
        <f>HLOOKUP($B$2,'Consumption Input'!$E$5:$AQ$82,'Consumption Input'!$B32)</f>
        <v>366.90623952794652</v>
      </c>
      <c r="F27" s="883">
        <f>HLOOKUP($B$2,'Consumption Input'!$E$5:$AQ$82,'Consumption Input'!$B55)</f>
        <v>13252.593571300882</v>
      </c>
      <c r="G27" s="883"/>
      <c r="H27" s="883">
        <f>HLOOKUP($B$2,'US Territories'!$D$28:$Z$38,'US Territories'!$B36)</f>
        <v>74.580875819698477</v>
      </c>
      <c r="I27" s="883">
        <f t="shared" si="36"/>
        <v>13855.531875819701</v>
      </c>
      <c r="J27" s="961"/>
      <c r="K27" s="940"/>
      <c r="L27" s="940"/>
      <c r="M27" s="940"/>
      <c r="N27" s="885">
        <f t="shared" si="43"/>
        <v>0</v>
      </c>
      <c r="O27" s="883">
        <f t="shared" si="44"/>
        <v>161.45118917117387</v>
      </c>
      <c r="P27" s="883">
        <f t="shared" si="45"/>
        <v>366.90623952794652</v>
      </c>
      <c r="Q27" s="883">
        <f t="shared" si="46"/>
        <v>13252.593571300882</v>
      </c>
      <c r="R27" s="883">
        <f t="shared" si="47"/>
        <v>0</v>
      </c>
      <c r="S27" s="886">
        <f t="shared" si="48"/>
        <v>74.580875819698477</v>
      </c>
      <c r="T27" s="883">
        <f t="shared" si="7"/>
        <v>13855.531875819701</v>
      </c>
      <c r="U27" s="887">
        <f>HLOOKUP($B$2,Factors!$J$12:$Y$25,Factors!$H20)</f>
        <v>19.438981221928678</v>
      </c>
      <c r="V27" s="885">
        <f t="shared" si="49"/>
        <v>0</v>
      </c>
      <c r="W27" s="883">
        <f t="shared" si="50"/>
        <v>3.1384466345565034</v>
      </c>
      <c r="X27" s="883">
        <f t="shared" si="51"/>
        <v>7.1322835003922185</v>
      </c>
      <c r="Y27" s="883">
        <f t="shared" si="52"/>
        <v>257.61691757437058</v>
      </c>
      <c r="Z27" s="883">
        <f t="shared" si="53"/>
        <v>0</v>
      </c>
      <c r="AA27" s="883">
        <f t="shared" si="54"/>
        <v>1.4497762445741131</v>
      </c>
      <c r="AB27" s="883">
        <f t="shared" si="37"/>
        <v>269.33742395389345</v>
      </c>
      <c r="AC27" s="888">
        <f>Factors!E34</f>
        <v>1</v>
      </c>
      <c r="AD27" s="885">
        <f t="shared" si="55"/>
        <v>0</v>
      </c>
      <c r="AE27" s="883">
        <f t="shared" si="56"/>
        <v>3.1384466345565034</v>
      </c>
      <c r="AF27" s="883">
        <f t="shared" si="57"/>
        <v>7.1322835003922185</v>
      </c>
      <c r="AG27" s="883">
        <f>Y27*$AC44</f>
        <v>257.61691757437058</v>
      </c>
      <c r="AH27" s="883">
        <f t="shared" si="59"/>
        <v>0</v>
      </c>
      <c r="AI27" s="883">
        <f t="shared" si="60"/>
        <v>1.4497762445741131</v>
      </c>
      <c r="AJ27" s="889">
        <f t="shared" si="9"/>
        <v>269.33742395389345</v>
      </c>
      <c r="AK27" s="885">
        <f t="shared" si="30"/>
        <v>0</v>
      </c>
      <c r="AL27" s="883">
        <f t="shared" si="31"/>
        <v>11.507637660040512</v>
      </c>
      <c r="AM27" s="883">
        <f t="shared" si="32"/>
        <v>26.151706168104798</v>
      </c>
      <c r="AN27" s="883">
        <f t="shared" si="33"/>
        <v>944.59536443935872</v>
      </c>
      <c r="AO27" s="883">
        <f t="shared" si="34"/>
        <v>0</v>
      </c>
      <c r="AP27" s="883">
        <f t="shared" si="35"/>
        <v>5.3158462301050813</v>
      </c>
      <c r="AQ27" s="890">
        <f t="shared" si="38"/>
        <v>987.57055449760912</v>
      </c>
    </row>
    <row r="28" spans="1:43">
      <c r="A28" s="817"/>
      <c r="B28" s="860" t="s">
        <v>1602</v>
      </c>
      <c r="C28" s="883"/>
      <c r="D28" s="883">
        <f>HLOOKUP($B$2,'Consumption Input'!$E$5:$AQ$82,'Consumption Input'!$B19)</f>
        <v>211.928</v>
      </c>
      <c r="E28" s="883">
        <f>HLOOKUP($B$2,'Consumption Input'!$E$5:$AQ$82,'Consumption Input'!$B33)</f>
        <v>270.89068600000002</v>
      </c>
      <c r="F28" s="883">
        <f>HLOOKUP($B$2,'Consumption Input'!$E$5:$AQ$82,'Consumption Input'!$B56)</f>
        <v>1025.921</v>
      </c>
      <c r="G28" s="883">
        <f>HLOOKUP($B$2,'Consumption Input'!$E$5:$AQ$82,'Consumption Input'!$B61)</f>
        <v>1085.2919999999999</v>
      </c>
      <c r="H28" s="883">
        <f>HLOOKUP($B$2,'US Territories'!$D$28:$Z$38,'US Territories'!$B37)</f>
        <v>73.609645120827523</v>
      </c>
      <c r="I28" s="883">
        <f t="shared" si="36"/>
        <v>2667.641331120828</v>
      </c>
      <c r="J28" s="961">
        <f>HLOOKUP($B$2,IBFConsumption,'International Bunker Fuels'!$B$9)</f>
        <v>801.50766322200002</v>
      </c>
      <c r="K28" s="940"/>
      <c r="L28" s="940"/>
      <c r="M28" s="940"/>
      <c r="N28" s="885">
        <f t="shared" si="43"/>
        <v>0</v>
      </c>
      <c r="O28" s="883">
        <f t="shared" si="44"/>
        <v>211.928</v>
      </c>
      <c r="P28" s="883">
        <f t="shared" si="45"/>
        <v>270.89068600000002</v>
      </c>
      <c r="Q28" s="883">
        <f t="shared" si="46"/>
        <v>224.41333677800003</v>
      </c>
      <c r="R28" s="883">
        <f t="shared" si="47"/>
        <v>1085.2919999999999</v>
      </c>
      <c r="S28" s="886">
        <f t="shared" si="48"/>
        <v>73.609645120827523</v>
      </c>
      <c r="T28" s="883">
        <f t="shared" si="7"/>
        <v>1866.1336678988275</v>
      </c>
      <c r="U28" s="887">
        <f>Factors!D36</f>
        <v>20.48</v>
      </c>
      <c r="V28" s="885">
        <f t="shared" si="49"/>
        <v>0</v>
      </c>
      <c r="W28" s="883">
        <f t="shared" si="50"/>
        <v>4.3402854399999997</v>
      </c>
      <c r="X28" s="883">
        <f t="shared" si="51"/>
        <v>5.5478412492800011</v>
      </c>
      <c r="Y28" s="883">
        <f t="shared" si="52"/>
        <v>4.5959851372134413</v>
      </c>
      <c r="Z28" s="883">
        <f t="shared" si="53"/>
        <v>22.226780160000001</v>
      </c>
      <c r="AA28" s="883">
        <f t="shared" si="54"/>
        <v>1.5075255320745478</v>
      </c>
      <c r="AB28" s="883">
        <f t="shared" si="37"/>
        <v>38.218417518567989</v>
      </c>
      <c r="AC28" s="888">
        <f>Factors!E36</f>
        <v>1</v>
      </c>
      <c r="AD28" s="885">
        <f t="shared" si="55"/>
        <v>0</v>
      </c>
      <c r="AE28" s="883">
        <f t="shared" si="56"/>
        <v>4.3402854399999997</v>
      </c>
      <c r="AF28" s="883">
        <f t="shared" si="57"/>
        <v>5.5478412492800011</v>
      </c>
      <c r="AG28" s="883">
        <f t="shared" si="58"/>
        <v>4.5959851372134413</v>
      </c>
      <c r="AH28" s="883">
        <f t="shared" si="59"/>
        <v>22.226780160000001</v>
      </c>
      <c r="AI28" s="883">
        <f t="shared" si="60"/>
        <v>1.5075255320745478</v>
      </c>
      <c r="AJ28" s="889">
        <f t="shared" si="9"/>
        <v>38.218417518567989</v>
      </c>
      <c r="AK28" s="885">
        <f t="shared" si="30"/>
        <v>0</v>
      </c>
      <c r="AL28" s="883">
        <f t="shared" si="31"/>
        <v>15.914379946666665</v>
      </c>
      <c r="AM28" s="883">
        <f t="shared" si="32"/>
        <v>20.342084580693335</v>
      </c>
      <c r="AN28" s="883">
        <f t="shared" si="33"/>
        <v>16.85194550311595</v>
      </c>
      <c r="AO28" s="883">
        <f t="shared" si="34"/>
        <v>81.498193920000006</v>
      </c>
      <c r="AP28" s="883">
        <f t="shared" si="35"/>
        <v>5.5275936176066747</v>
      </c>
      <c r="AQ28" s="890">
        <f t="shared" si="38"/>
        <v>140.13419756808264</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7"/>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-8.0768000000000006E-2</v>
      </c>
      <c r="F30" s="883"/>
      <c r="G30" s="883"/>
      <c r="H30" s="883"/>
      <c r="I30" s="883">
        <f t="shared" si="36"/>
        <v>-8.0768000000000006E-2</v>
      </c>
      <c r="J30" s="961"/>
      <c r="K30" s="940"/>
      <c r="L30" s="940"/>
      <c r="M30" s="940"/>
      <c r="N30" s="885">
        <f t="shared" si="43"/>
        <v>0</v>
      </c>
      <c r="O30" s="883">
        <f t="shared" si="44"/>
        <v>0</v>
      </c>
      <c r="P30" s="883">
        <f t="shared" si="45"/>
        <v>-8.0768000000000006E-2</v>
      </c>
      <c r="Q30" s="883">
        <f t="shared" si="46"/>
        <v>0</v>
      </c>
      <c r="R30" s="883">
        <f t="shared" si="47"/>
        <v>0</v>
      </c>
      <c r="S30" s="886">
        <f t="shared" si="48"/>
        <v>0</v>
      </c>
      <c r="T30" s="883">
        <f t="shared" si="7"/>
        <v>-8.0768000000000006E-2</v>
      </c>
      <c r="U30" s="887">
        <f>Factors!D39</f>
        <v>18.87</v>
      </c>
      <c r="V30" s="885">
        <f t="shared" si="49"/>
        <v>0</v>
      </c>
      <c r="W30" s="883">
        <f t="shared" si="50"/>
        <v>0</v>
      </c>
      <c r="X30" s="883">
        <f t="shared" si="51"/>
        <v>-1.5240921600000001E-3</v>
      </c>
      <c r="Y30" s="883">
        <f t="shared" si="52"/>
        <v>0</v>
      </c>
      <c r="Z30" s="883">
        <f t="shared" si="53"/>
        <v>0</v>
      </c>
      <c r="AA30" s="883">
        <f t="shared" si="54"/>
        <v>0</v>
      </c>
      <c r="AB30" s="883">
        <f t="shared" si="37"/>
        <v>-1.5240921600000001E-3</v>
      </c>
      <c r="AC30" s="888">
        <f>Factors!E39</f>
        <v>1</v>
      </c>
      <c r="AD30" s="885">
        <f t="shared" si="55"/>
        <v>0</v>
      </c>
      <c r="AE30" s="883">
        <f t="shared" si="56"/>
        <v>0</v>
      </c>
      <c r="AF30" s="883">
        <f t="shared" si="57"/>
        <v>-1.5240921600000001E-3</v>
      </c>
      <c r="AG30" s="883">
        <f t="shared" si="58"/>
        <v>0</v>
      </c>
      <c r="AH30" s="883">
        <f t="shared" si="59"/>
        <v>0</v>
      </c>
      <c r="AI30" s="883">
        <f t="shared" si="60"/>
        <v>0</v>
      </c>
      <c r="AJ30" s="889">
        <f t="shared" si="9"/>
        <v>-1.5240921600000001E-3</v>
      </c>
      <c r="AK30" s="885">
        <f t="shared" si="30"/>
        <v>0</v>
      </c>
      <c r="AL30" s="883">
        <f t="shared" si="31"/>
        <v>0</v>
      </c>
      <c r="AM30" s="883">
        <f t="shared" si="32"/>
        <v>-5.5883379200000003E-3</v>
      </c>
      <c r="AN30" s="883">
        <f t="shared" si="33"/>
        <v>0</v>
      </c>
      <c r="AO30" s="883">
        <f t="shared" si="34"/>
        <v>0</v>
      </c>
      <c r="AP30" s="883">
        <f t="shared" si="35"/>
        <v>0</v>
      </c>
      <c r="AQ30" s="890">
        <f t="shared" si="38"/>
        <v>-5.5883379200000003E-3</v>
      </c>
    </row>
    <row r="31" spans="1:43">
      <c r="A31" s="817"/>
      <c r="B31" s="865" t="s">
        <v>1612</v>
      </c>
      <c r="C31" s="883"/>
      <c r="D31" s="883"/>
      <c r="E31" s="883">
        <f>HLOOKUP($B$2,'Consumption Input'!$E$5:$AQ$82,'Consumption Input'!$B36)</f>
        <v>38.947000000000003</v>
      </c>
      <c r="F31" s="883"/>
      <c r="G31" s="883"/>
      <c r="H31" s="883"/>
      <c r="I31" s="883">
        <f t="shared" si="36"/>
        <v>38.947000000000003</v>
      </c>
      <c r="J31" s="961"/>
      <c r="K31" s="940"/>
      <c r="L31" s="940"/>
      <c r="M31" s="940"/>
      <c r="N31" s="885">
        <f t="shared" si="43"/>
        <v>0</v>
      </c>
      <c r="O31" s="883">
        <f t="shared" si="44"/>
        <v>0</v>
      </c>
      <c r="P31" s="883">
        <f t="shared" si="45"/>
        <v>38.947000000000003</v>
      </c>
      <c r="Q31" s="883">
        <f t="shared" si="46"/>
        <v>0</v>
      </c>
      <c r="R31" s="883">
        <f t="shared" si="47"/>
        <v>0</v>
      </c>
      <c r="S31" s="886">
        <f t="shared" si="48"/>
        <v>0</v>
      </c>
      <c r="T31" s="883">
        <f t="shared" si="7"/>
        <v>38.947000000000003</v>
      </c>
      <c r="U31" s="887">
        <f>HLOOKUP($B$2,Factors!$J$12:$Y$25,Factors!$H25)</f>
        <v>20.158401423448272</v>
      </c>
      <c r="V31" s="885">
        <f t="shared" si="49"/>
        <v>0</v>
      </c>
      <c r="W31" s="883">
        <f t="shared" si="50"/>
        <v>0</v>
      </c>
      <c r="X31" s="883">
        <f t="shared" si="51"/>
        <v>0.78510926023903993</v>
      </c>
      <c r="Y31" s="883">
        <f t="shared" si="52"/>
        <v>0</v>
      </c>
      <c r="Z31" s="883">
        <f t="shared" si="53"/>
        <v>0</v>
      </c>
      <c r="AA31" s="883">
        <f t="shared" si="54"/>
        <v>0</v>
      </c>
      <c r="AB31" s="883">
        <f t="shared" si="37"/>
        <v>0.78510926023903993</v>
      </c>
      <c r="AC31" s="888">
        <f>Factors!E40</f>
        <v>1</v>
      </c>
      <c r="AD31" s="885">
        <f t="shared" si="55"/>
        <v>0</v>
      </c>
      <c r="AE31" s="883">
        <f t="shared" si="56"/>
        <v>0</v>
      </c>
      <c r="AF31" s="883">
        <f t="shared" si="57"/>
        <v>0.78510926023903993</v>
      </c>
      <c r="AG31" s="883">
        <f t="shared" si="58"/>
        <v>0</v>
      </c>
      <c r="AH31" s="883">
        <f t="shared" si="59"/>
        <v>0</v>
      </c>
      <c r="AI31" s="883">
        <f t="shared" si="60"/>
        <v>0</v>
      </c>
      <c r="AJ31" s="889">
        <f t="shared" si="9"/>
        <v>0.78510926023903993</v>
      </c>
      <c r="AK31" s="885">
        <f t="shared" si="30"/>
        <v>0</v>
      </c>
      <c r="AL31" s="883">
        <f t="shared" si="31"/>
        <v>0</v>
      </c>
      <c r="AM31" s="883">
        <f t="shared" si="32"/>
        <v>2.8787339542098129</v>
      </c>
      <c r="AN31" s="883">
        <f t="shared" si="33"/>
        <v>0</v>
      </c>
      <c r="AO31" s="883">
        <f t="shared" si="34"/>
        <v>0</v>
      </c>
      <c r="AP31" s="883">
        <f t="shared" si="35"/>
        <v>0</v>
      </c>
      <c r="AQ31" s="890">
        <f t="shared" si="38"/>
        <v>2.8787339542098129</v>
      </c>
    </row>
    <row r="32" spans="1:43">
      <c r="A32" s="817"/>
      <c r="B32" s="865" t="s">
        <v>1613</v>
      </c>
      <c r="C32" s="883"/>
      <c r="D32" s="883"/>
      <c r="E32" s="883">
        <f>HLOOKUP($B$2,'Consumption Input'!$E$5:$AQ$82,'Consumption Input'!$B37)</f>
        <v>-25.918302000000001</v>
      </c>
      <c r="F32" s="883"/>
      <c r="G32" s="883"/>
      <c r="H32" s="883"/>
      <c r="I32" s="883">
        <f t="shared" si="36"/>
        <v>-25.918302000000001</v>
      </c>
      <c r="J32" s="961"/>
      <c r="K32" s="940"/>
      <c r="L32" s="940"/>
      <c r="M32" s="940"/>
      <c r="N32" s="885">
        <f t="shared" si="43"/>
        <v>0</v>
      </c>
      <c r="O32" s="883">
        <f t="shared" si="44"/>
        <v>0</v>
      </c>
      <c r="P32" s="883">
        <f t="shared" si="45"/>
        <v>-25.918302000000001</v>
      </c>
      <c r="Q32" s="883">
        <f t="shared" si="46"/>
        <v>0</v>
      </c>
      <c r="R32" s="883">
        <f t="shared" si="47"/>
        <v>0</v>
      </c>
      <c r="S32" s="886">
        <f t="shared" si="48"/>
        <v>0</v>
      </c>
      <c r="T32" s="883">
        <f t="shared" si="7"/>
        <v>-25.918302000000001</v>
      </c>
      <c r="U32" s="887">
        <f>HLOOKUP($B$2,Factors!$J$12:$Y$25,Factors!$H22)</f>
        <v>19.438981221928678</v>
      </c>
      <c r="V32" s="885">
        <f t="shared" si="49"/>
        <v>0</v>
      </c>
      <c r="W32" s="883">
        <f t="shared" si="50"/>
        <v>0</v>
      </c>
      <c r="X32" s="883">
        <f t="shared" si="51"/>
        <v>-0.50382538588227654</v>
      </c>
      <c r="Y32" s="883">
        <f t="shared" si="52"/>
        <v>0</v>
      </c>
      <c r="Z32" s="883">
        <f t="shared" si="53"/>
        <v>0</v>
      </c>
      <c r="AA32" s="883">
        <f t="shared" si="54"/>
        <v>0</v>
      </c>
      <c r="AB32" s="883">
        <f t="shared" si="37"/>
        <v>-0.50382538588227654</v>
      </c>
      <c r="AC32" s="888">
        <f>Factors!E41</f>
        <v>1</v>
      </c>
      <c r="AD32" s="885">
        <f t="shared" si="55"/>
        <v>0</v>
      </c>
      <c r="AE32" s="883">
        <f t="shared" si="56"/>
        <v>0</v>
      </c>
      <c r="AF32" s="883">
        <f t="shared" si="57"/>
        <v>-0.50382538588227654</v>
      </c>
      <c r="AG32" s="883">
        <f t="shared" si="58"/>
        <v>0</v>
      </c>
      <c r="AH32" s="883">
        <f t="shared" si="59"/>
        <v>0</v>
      </c>
      <c r="AI32" s="883">
        <f t="shared" si="60"/>
        <v>0</v>
      </c>
      <c r="AJ32" s="889">
        <f t="shared" si="9"/>
        <v>-0.50382538588227654</v>
      </c>
      <c r="AK32" s="885">
        <f t="shared" si="30"/>
        <v>0</v>
      </c>
      <c r="AL32" s="883">
        <f t="shared" si="31"/>
        <v>0</v>
      </c>
      <c r="AM32" s="883">
        <f t="shared" si="32"/>
        <v>-1.8473597482350139</v>
      </c>
      <c r="AN32" s="883">
        <f t="shared" si="33"/>
        <v>0</v>
      </c>
      <c r="AO32" s="883">
        <f t="shared" si="34"/>
        <v>0</v>
      </c>
      <c r="AP32" s="883">
        <f t="shared" si="35"/>
        <v>0</v>
      </c>
      <c r="AQ32" s="890">
        <f t="shared" si="38"/>
        <v>-1.8473597482350139</v>
      </c>
    </row>
    <row r="33" spans="1:43">
      <c r="A33" s="817"/>
      <c r="B33" s="865" t="s">
        <v>1739</v>
      </c>
      <c r="C33" s="883"/>
      <c r="D33" s="883"/>
      <c r="E33" s="883">
        <f>HLOOKUP($B$2,'Consumption Input'!$E$5:$AQ$82,'Consumption Input'!$B38)</f>
        <v>152.626068</v>
      </c>
      <c r="F33" s="883"/>
      <c r="G33" s="883"/>
      <c r="H33" s="883">
        <f>HLOOKUP($B$2,'US Territories'!$D$28:$Z$38,'US Territories'!$B38)</f>
        <v>63.796310934423104</v>
      </c>
      <c r="I33" s="883">
        <f t="shared" si="36"/>
        <v>216.42237893442311</v>
      </c>
      <c r="J33" s="961"/>
      <c r="K33" s="940">
        <f>HLOOKUP($B$2,NEUConsumption,'Non-Energy Use'!C22)</f>
        <v>152.626068</v>
      </c>
      <c r="L33" s="940"/>
      <c r="M33" s="940">
        <f>HLOOKUP($B$2,NEUConsumption,'Non-Energy Use'!$C$27)</f>
        <v>63.796310934423104</v>
      </c>
      <c r="N33" s="885">
        <f t="shared" si="43"/>
        <v>0</v>
      </c>
      <c r="O33" s="883">
        <f t="shared" si="44"/>
        <v>0</v>
      </c>
      <c r="P33" s="883">
        <f t="shared" si="45"/>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7"/>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298.94707199999999</v>
      </c>
      <c r="F34" s="883"/>
      <c r="G34" s="883"/>
      <c r="H34" s="883"/>
      <c r="I34" s="883">
        <f t="shared" si="36"/>
        <v>298.94707199999999</v>
      </c>
      <c r="J34" s="961"/>
      <c r="K34" s="940">
        <f>HLOOKUP($B$2,NEUConsumption,'Non-Energy Use'!C14)</f>
        <v>298.94707199999999</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7"/>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827.29562499999997</v>
      </c>
      <c r="F35" s="883"/>
      <c r="G35" s="883"/>
      <c r="H35" s="883"/>
      <c r="I35" s="883">
        <f t="shared" si="36"/>
        <v>827.29562499999997</v>
      </c>
      <c r="J35" s="961"/>
      <c r="K35" s="940">
        <f>HLOOKUP($B$2,NEUConsumption,'Non-Energy Use'!$C$15)</f>
        <v>827.29562499999997</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7"/>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7"/>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v>
      </c>
      <c r="E37" s="883">
        <f>HLOOKUP($B$2,'Consumption Input'!$E$5:$AQ$82,'Consumption Input'!$B42)</f>
        <v>692.649</v>
      </c>
      <c r="F37" s="883"/>
      <c r="G37" s="883">
        <f>HLOOKUP($B$2,'Consumption Input'!$E$5:$AQ$82,'Consumption Input'!$B63)</f>
        <v>29.329000000000001</v>
      </c>
      <c r="H37" s="883"/>
      <c r="I37" s="883">
        <f t="shared" si="36"/>
        <v>721.97799999999995</v>
      </c>
      <c r="J37" s="961"/>
      <c r="K37" s="940">
        <f>HLOOKUP($B$2,NEUConsumption,'Non-Energy Use'!$C$17)</f>
        <v>105.06134051999996</v>
      </c>
      <c r="L37" s="940"/>
      <c r="M37" s="940"/>
      <c r="N37" s="885">
        <f t="shared" si="43"/>
        <v>0</v>
      </c>
      <c r="O37" s="883">
        <f t="shared" si="44"/>
        <v>0</v>
      </c>
      <c r="P37" s="883">
        <f t="shared" si="45"/>
        <v>587.58765948000007</v>
      </c>
      <c r="Q37" s="883">
        <f t="shared" si="46"/>
        <v>0</v>
      </c>
      <c r="R37" s="883">
        <f t="shared" si="47"/>
        <v>29.329000000000001</v>
      </c>
      <c r="S37" s="886">
        <f t="shared" si="48"/>
        <v>0</v>
      </c>
      <c r="T37" s="883">
        <f t="shared" si="7"/>
        <v>616.91665948000002</v>
      </c>
      <c r="U37" s="887">
        <f>Factors!D48</f>
        <v>27.84770010865628</v>
      </c>
      <c r="V37" s="885">
        <f t="shared" si="49"/>
        <v>0</v>
      </c>
      <c r="W37" s="883">
        <f t="shared" si="50"/>
        <v>0</v>
      </c>
      <c r="X37" s="883">
        <f t="shared" si="51"/>
        <v>16.362964928746287</v>
      </c>
      <c r="Y37" s="883">
        <f t="shared" si="52"/>
        <v>0</v>
      </c>
      <c r="Z37" s="883">
        <f t="shared" si="53"/>
        <v>0.81674519648678012</v>
      </c>
      <c r="AA37" s="883">
        <f t="shared" si="54"/>
        <v>0</v>
      </c>
      <c r="AB37" s="883">
        <f t="shared" si="37"/>
        <v>17.179710125233068</v>
      </c>
      <c r="AC37" s="888">
        <f>Factors!E48</f>
        <v>1</v>
      </c>
      <c r="AD37" s="885">
        <f t="shared" si="55"/>
        <v>0</v>
      </c>
      <c r="AE37" s="883">
        <f t="shared" si="56"/>
        <v>0</v>
      </c>
      <c r="AF37" s="883">
        <f t="shared" si="57"/>
        <v>16.362964928746287</v>
      </c>
      <c r="AG37" s="883">
        <f t="shared" si="58"/>
        <v>0</v>
      </c>
      <c r="AH37" s="883">
        <f t="shared" si="59"/>
        <v>0.81674519648678012</v>
      </c>
      <c r="AI37" s="883">
        <f t="shared" si="60"/>
        <v>0</v>
      </c>
      <c r="AJ37" s="889">
        <f t="shared" si="9"/>
        <v>17.179710125233068</v>
      </c>
      <c r="AK37" s="885">
        <f t="shared" si="30"/>
        <v>0</v>
      </c>
      <c r="AL37" s="883">
        <f t="shared" si="31"/>
        <v>0</v>
      </c>
      <c r="AM37" s="883">
        <f t="shared" si="32"/>
        <v>59.997538072069716</v>
      </c>
      <c r="AN37" s="883">
        <f t="shared" si="33"/>
        <v>0</v>
      </c>
      <c r="AO37" s="883">
        <f t="shared" si="34"/>
        <v>2.9947323871181935</v>
      </c>
      <c r="AP37" s="883">
        <f t="shared" si="35"/>
        <v>0</v>
      </c>
      <c r="AQ37" s="890">
        <f t="shared" si="38"/>
        <v>62.992270459187907</v>
      </c>
    </row>
    <row r="38" spans="1:43">
      <c r="A38" s="817"/>
      <c r="B38" s="865" t="s">
        <v>1618</v>
      </c>
      <c r="C38" s="883"/>
      <c r="D38" s="883"/>
      <c r="E38" s="883">
        <f>HLOOKUP($B$2,'Consumption Input'!$E$5:$AQ$82,'Consumption Input'!$B43)</f>
        <v>1426.5540000000001</v>
      </c>
      <c r="F38" s="883"/>
      <c r="G38" s="883"/>
      <c r="H38" s="883"/>
      <c r="I38" s="883">
        <f t="shared" si="36"/>
        <v>1426.5540000000001</v>
      </c>
      <c r="J38" s="961"/>
      <c r="K38" s="940">
        <f>HLOOKUP($B$2,NEUConsumption,'Non-Energy Use'!$C$16)</f>
        <v>40.632000000000005</v>
      </c>
      <c r="L38" s="940"/>
      <c r="M38" s="940"/>
      <c r="N38" s="885">
        <f t="shared" si="43"/>
        <v>0</v>
      </c>
      <c r="O38" s="883">
        <f t="shared" si="44"/>
        <v>0</v>
      </c>
      <c r="P38" s="883">
        <f t="shared" si="45"/>
        <v>1385.922</v>
      </c>
      <c r="Q38" s="883">
        <f t="shared" si="46"/>
        <v>0</v>
      </c>
      <c r="R38" s="883">
        <f t="shared" si="47"/>
        <v>0</v>
      </c>
      <c r="S38" s="886">
        <f t="shared" si="48"/>
        <v>0</v>
      </c>
      <c r="T38" s="883">
        <f t="shared" si="7"/>
        <v>1385.922</v>
      </c>
      <c r="U38" s="887">
        <f>Factors!D51</f>
        <v>18.195454545454545</v>
      </c>
      <c r="V38" s="885">
        <f t="shared" si="49"/>
        <v>0</v>
      </c>
      <c r="W38" s="883">
        <f t="shared" si="50"/>
        <v>0</v>
      </c>
      <c r="X38" s="883">
        <f t="shared" si="51"/>
        <v>25.217480754545452</v>
      </c>
      <c r="Y38" s="883">
        <f t="shared" si="52"/>
        <v>0</v>
      </c>
      <c r="Z38" s="883">
        <f t="shared" si="53"/>
        <v>0</v>
      </c>
      <c r="AA38" s="883">
        <f t="shared" si="54"/>
        <v>0</v>
      </c>
      <c r="AB38" s="883">
        <f t="shared" si="37"/>
        <v>25.217480754545452</v>
      </c>
      <c r="AC38" s="888">
        <f>Factors!E51</f>
        <v>1</v>
      </c>
      <c r="AD38" s="885">
        <f t="shared" si="55"/>
        <v>0</v>
      </c>
      <c r="AE38" s="883">
        <f t="shared" si="56"/>
        <v>0</v>
      </c>
      <c r="AF38" s="883">
        <f t="shared" si="57"/>
        <v>25.217480754545452</v>
      </c>
      <c r="AG38" s="883">
        <f t="shared" si="58"/>
        <v>0</v>
      </c>
      <c r="AH38" s="883">
        <f t="shared" si="59"/>
        <v>0</v>
      </c>
      <c r="AI38" s="883">
        <f t="shared" si="60"/>
        <v>0</v>
      </c>
      <c r="AJ38" s="889">
        <f t="shared" si="9"/>
        <v>25.217480754545452</v>
      </c>
      <c r="AK38" s="885">
        <f t="shared" si="30"/>
        <v>0</v>
      </c>
      <c r="AL38" s="883">
        <f t="shared" si="31"/>
        <v>0</v>
      </c>
      <c r="AM38" s="883">
        <f t="shared" si="32"/>
        <v>92.464096099999992</v>
      </c>
      <c r="AN38" s="883">
        <f t="shared" si="33"/>
        <v>0</v>
      </c>
      <c r="AO38" s="883">
        <f t="shared" si="34"/>
        <v>0</v>
      </c>
      <c r="AP38" s="883">
        <f t="shared" si="35"/>
        <v>0</v>
      </c>
      <c r="AQ38" s="890">
        <f t="shared" si="38"/>
        <v>92.464096099999992</v>
      </c>
    </row>
    <row r="39" spans="1:43">
      <c r="A39" s="817"/>
      <c r="B39" s="865" t="s">
        <v>1619</v>
      </c>
      <c r="C39" s="883"/>
      <c r="D39" s="883"/>
      <c r="E39" s="883">
        <f>HLOOKUP($B$2,'Consumption Input'!$E$5:$AQ$82,'Consumption Input'!$B44)</f>
        <v>87.987967999999995</v>
      </c>
      <c r="F39" s="883"/>
      <c r="G39" s="883"/>
      <c r="H39" s="883"/>
      <c r="I39" s="883">
        <f t="shared" si="36"/>
        <v>87.987967999999995</v>
      </c>
      <c r="J39" s="961"/>
      <c r="K39" s="940">
        <f>HLOOKUP($B$2,NEUConsumption,'Non-Energy Use'!$C$18)</f>
        <v>87.987967999999995</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7"/>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20.158401423448272</v>
      </c>
      <c r="V40" s="885">
        <f t="shared" si="49"/>
        <v>0</v>
      </c>
      <c r="W40" s="883">
        <f t="shared" si="50"/>
        <v>0</v>
      </c>
      <c r="X40" s="883">
        <f t="shared" si="51"/>
        <v>0</v>
      </c>
      <c r="Y40" s="883">
        <f t="shared" si="52"/>
        <v>0</v>
      </c>
      <c r="Z40" s="883">
        <f t="shared" si="53"/>
        <v>0</v>
      </c>
      <c r="AA40" s="883">
        <f t="shared" si="54"/>
        <v>0</v>
      </c>
      <c r="AB40" s="883">
        <f t="shared" si="37"/>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35.126728</v>
      </c>
      <c r="F41" s="883"/>
      <c r="G41" s="883"/>
      <c r="H41" s="883"/>
      <c r="I41" s="883">
        <f t="shared" si="36"/>
        <v>35.126728</v>
      </c>
      <c r="J41" s="961"/>
      <c r="K41" s="940">
        <f>HLOOKUP($B$2,NEUConsumption,'Non-Energy Use'!$C$21)</f>
        <v>35.126728</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7"/>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54.477508511167997</v>
      </c>
      <c r="H42" s="917"/>
      <c r="I42" s="917">
        <f>G42</f>
        <v>54.477508511167997</v>
      </c>
      <c r="J42" s="968"/>
      <c r="K42" s="969"/>
      <c r="L42" s="970"/>
      <c r="M42" s="971"/>
      <c r="N42" s="917">
        <f t="shared" si="43"/>
        <v>0</v>
      </c>
      <c r="O42" s="917">
        <f t="shared" si="44"/>
        <v>0</v>
      </c>
      <c r="P42" s="917">
        <f>E42</f>
        <v>0</v>
      </c>
      <c r="Q42" s="917">
        <f>F42</f>
        <v>0</v>
      </c>
      <c r="R42" s="917">
        <f t="shared" si="47"/>
        <v>54.477508511167997</v>
      </c>
      <c r="S42" s="917">
        <f>H42</f>
        <v>0</v>
      </c>
      <c r="T42" s="917">
        <f t="shared" si="7"/>
        <v>54.477508511167997</v>
      </c>
      <c r="U42" s="921">
        <f>Factors!D56</f>
        <v>2.6974658424810825</v>
      </c>
      <c r="V42" s="917"/>
      <c r="W42" s="917"/>
      <c r="X42" s="917"/>
      <c r="Y42" s="917"/>
      <c r="Z42" s="917">
        <f>INDEX(Geothermal!$C$14:$AE$18,MATCH("Total",Geothermal!$C$14:$C$18,0),MATCH($B$2,Geothermal!$C$14:$AE$14,0))/CtoCO2</f>
        <v>0.14703635116892</v>
      </c>
      <c r="AA42" s="917"/>
      <c r="AB42" s="917">
        <f t="shared" si="37"/>
        <v>0.14703635116892</v>
      </c>
      <c r="AC42" s="921">
        <f>Factors!$E$56</f>
        <v>1</v>
      </c>
      <c r="AD42" s="917">
        <f t="shared" si="55"/>
        <v>0</v>
      </c>
      <c r="AE42" s="917">
        <f t="shared" si="56"/>
        <v>0</v>
      </c>
      <c r="AF42" s="917">
        <f t="shared" si="57"/>
        <v>0</v>
      </c>
      <c r="AG42" s="917">
        <f t="shared" si="58"/>
        <v>0</v>
      </c>
      <c r="AH42" s="917">
        <f t="shared" si="59"/>
        <v>0.14703635116892</v>
      </c>
      <c r="AI42" s="917">
        <f t="shared" si="60"/>
        <v>0</v>
      </c>
      <c r="AJ42" s="920">
        <f t="shared" si="9"/>
        <v>0.14703635116892</v>
      </c>
      <c r="AK42" s="919">
        <f t="shared" si="30"/>
        <v>0</v>
      </c>
      <c r="AL42" s="917">
        <f t="shared" si="31"/>
        <v>0</v>
      </c>
      <c r="AM42" s="917">
        <f t="shared" si="32"/>
        <v>0</v>
      </c>
      <c r="AN42" s="917">
        <f t="shared" si="33"/>
        <v>0</v>
      </c>
      <c r="AO42" s="917">
        <f t="shared" si="34"/>
        <v>0.53913328761937329</v>
      </c>
      <c r="AP42" s="917">
        <f t="shared" si="35"/>
        <v>0</v>
      </c>
      <c r="AQ42" s="920">
        <f t="shared" si="38"/>
        <v>0.53913328761937329</v>
      </c>
    </row>
    <row r="43" spans="1:43" ht="11.1" thickBot="1">
      <c r="A43" s="817"/>
      <c r="B43" s="867" t="s">
        <v>1740</v>
      </c>
      <c r="C43" s="922">
        <f>C8+C17+C18+C42</f>
        <v>6074.5307159096701</v>
      </c>
      <c r="D43" s="922">
        <f>D8+D17+D18+D42</f>
        <v>3922.4481333986005</v>
      </c>
      <c r="E43" s="922">
        <f>E8+E17+E18+E42</f>
        <v>17891.127745874608</v>
      </c>
      <c r="F43" s="922">
        <f>F8+F17+F18+F42</f>
        <v>21743.140806419928</v>
      </c>
      <c r="G43" s="922">
        <f>G8+G17+G18+G42</f>
        <v>20879.806508511167</v>
      </c>
      <c r="H43" s="922">
        <f>H16+H17+H18+H42</f>
        <v>327.05291625865414</v>
      </c>
      <c r="I43" s="922">
        <f>SUM(C43:H43)</f>
        <v>70838.106826372634</v>
      </c>
      <c r="J43" s="972">
        <f t="shared" ref="J43:S43" si="65">J8+J17+J18+J42</f>
        <v>1604.6523785216336</v>
      </c>
      <c r="K43" s="973">
        <f t="shared" si="65"/>
        <v>4545.8516770805963</v>
      </c>
      <c r="L43" s="974">
        <f t="shared" si="65"/>
        <v>157.44999999999999</v>
      </c>
      <c r="M43" s="975">
        <f t="shared" si="65"/>
        <v>64.392210830673108</v>
      </c>
      <c r="N43" s="922">
        <f t="shared" si="65"/>
        <v>6074.5307159096701</v>
      </c>
      <c r="O43" s="922">
        <f t="shared" si="65"/>
        <v>3922.4481333986005</v>
      </c>
      <c r="P43" s="922">
        <f t="shared" si="65"/>
        <v>13345.276068794012</v>
      </c>
      <c r="Q43" s="922">
        <f t="shared" si="65"/>
        <v>19981.038427898297</v>
      </c>
      <c r="R43" s="922">
        <f t="shared" si="65"/>
        <v>20879.806508511167</v>
      </c>
      <c r="S43" s="922">
        <f t="shared" si="65"/>
        <v>262.66070542798104</v>
      </c>
      <c r="T43" s="922">
        <f t="shared" si="7"/>
        <v>64465.760559939728</v>
      </c>
      <c r="U43" s="926" t="s">
        <v>1731</v>
      </c>
      <c r="V43" s="922">
        <f t="shared" ref="V43:AA43" si="66">V8+V17+V18+V42</f>
        <v>94.830111114673201</v>
      </c>
      <c r="W43" s="922">
        <f t="shared" si="66"/>
        <v>63.452786961636363</v>
      </c>
      <c r="X43" s="922">
        <f t="shared" si="66"/>
        <v>234.82301096242315</v>
      </c>
      <c r="Y43" s="922">
        <f t="shared" si="66"/>
        <v>387.90747399228087</v>
      </c>
      <c r="Z43" s="922">
        <f t="shared" si="66"/>
        <v>495.64327758180048</v>
      </c>
      <c r="AA43" s="922">
        <f t="shared" si="66"/>
        <v>5.2315758496478812</v>
      </c>
      <c r="AB43" s="922">
        <f t="shared" si="37"/>
        <v>1281.8882364624619</v>
      </c>
      <c r="AC43" s="926" t="s">
        <v>1731</v>
      </c>
      <c r="AD43" s="922">
        <f t="shared" ref="AD43:AQ43" si="67">AD8+AD17+AD18+AD42</f>
        <v>94.830111114673201</v>
      </c>
      <c r="AE43" s="922">
        <f t="shared" si="67"/>
        <v>63.452786961636363</v>
      </c>
      <c r="AF43" s="922">
        <f t="shared" si="67"/>
        <v>234.82301096242315</v>
      </c>
      <c r="AG43" s="922">
        <f t="shared" si="67"/>
        <v>387.90747399228087</v>
      </c>
      <c r="AH43" s="922">
        <f t="shared" si="67"/>
        <v>495.64327758180048</v>
      </c>
      <c r="AI43" s="922">
        <f t="shared" si="67"/>
        <v>5.2315758496478812</v>
      </c>
      <c r="AJ43" s="925">
        <f t="shared" si="67"/>
        <v>1281.8882364624619</v>
      </c>
      <c r="AK43" s="922">
        <f t="shared" si="67"/>
        <v>347.71040742046836</v>
      </c>
      <c r="AL43" s="922">
        <f t="shared" si="67"/>
        <v>232.6602188593333</v>
      </c>
      <c r="AM43" s="922">
        <f t="shared" si="67"/>
        <v>861.01770686221812</v>
      </c>
      <c r="AN43" s="922">
        <f t="shared" si="67"/>
        <v>1422.3274046383631</v>
      </c>
      <c r="AO43" s="922">
        <f t="shared" si="67"/>
        <v>1817.3586844666015</v>
      </c>
      <c r="AP43" s="922">
        <f t="shared" si="67"/>
        <v>19.182444782042232</v>
      </c>
      <c r="AQ43" s="925">
        <f t="shared" si="67"/>
        <v>4700.2568670290275</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2"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transitionEntry="1" codeName="Sheet28">
    <pageSetUpPr fitToPage="1"/>
  </sheetPr>
  <dimension ref="A1:AQ1177"/>
  <sheetViews>
    <sheetView workbookViewId="0"/>
  </sheetViews>
  <sheetFormatPr defaultColWidth="9.6640625" defaultRowHeight="10.5"/>
  <cols>
    <col min="1" max="1" width="8" customWidth="1"/>
    <col min="2" max="2" width="24.6640625" style="152" customWidth="1"/>
    <col min="3" max="4" width="8.6640625" style="152" customWidth="1"/>
    <col min="5" max="5" width="11" style="152" bestFit="1" customWidth="1"/>
    <col min="6" max="6" width="8.6640625" style="152" customWidth="1"/>
    <col min="7" max="7" width="11" style="152" bestFit="1" customWidth="1"/>
    <col min="8" max="8" width="8.6640625" style="152" customWidth="1"/>
    <col min="9" max="9" width="11.33203125" style="152" bestFit="1" customWidth="1"/>
    <col min="10" max="11" width="9" style="152" customWidth="1"/>
    <col min="12" max="13" width="7" style="152" customWidth="1"/>
    <col min="14" max="14" width="8.6640625" style="152" customWidth="1"/>
    <col min="15" max="15" width="9.16406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1992</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1743</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 t="shared" ref="T4:AC4" si="2">S4+1</f>
        <v>19</v>
      </c>
      <c r="U4" s="830">
        <f t="shared" si="2"/>
        <v>20</v>
      </c>
      <c r="V4" s="829">
        <f t="shared" si="2"/>
        <v>21</v>
      </c>
      <c r="W4" s="829">
        <f t="shared" si="2"/>
        <v>22</v>
      </c>
      <c r="X4" s="829">
        <f t="shared" si="2"/>
        <v>23</v>
      </c>
      <c r="Y4" s="829">
        <f t="shared" si="2"/>
        <v>24</v>
      </c>
      <c r="Z4" s="829">
        <f t="shared" si="2"/>
        <v>25</v>
      </c>
      <c r="AA4" s="829">
        <f t="shared" si="2"/>
        <v>26</v>
      </c>
      <c r="AB4" s="829">
        <f t="shared" si="2"/>
        <v>27</v>
      </c>
      <c r="AC4" s="830">
        <f t="shared" si="2"/>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25.588999999999995</v>
      </c>
      <c r="D8" s="876">
        <f t="shared" si="4"/>
        <v>116.57</v>
      </c>
      <c r="E8" s="876">
        <f t="shared" si="4"/>
        <v>1593.917282619431</v>
      </c>
      <c r="F8" s="876">
        <f t="shared" si="4"/>
        <v>0</v>
      </c>
      <c r="G8" s="876">
        <f t="shared" si="4"/>
        <v>16465.595000000001</v>
      </c>
      <c r="H8" s="876">
        <f t="shared" si="4"/>
        <v>4.2894793258999551</v>
      </c>
      <c r="I8" s="876">
        <f t="shared" ref="I8:I14" si="5">SUM(C8:H8)</f>
        <v>18205.960761945331</v>
      </c>
      <c r="J8" s="959"/>
      <c r="K8" s="960">
        <f>SUM(K9:K16)</f>
        <v>8.8232125744641685</v>
      </c>
      <c r="L8" s="960">
        <f>SUM(L9:L16)</f>
        <v>0</v>
      </c>
      <c r="M8" s="960"/>
      <c r="N8" s="878">
        <f t="shared" ref="N8:S8" si="6">SUM(N9:N16)</f>
        <v>25.588999999999995</v>
      </c>
      <c r="O8" s="876">
        <f t="shared" si="6"/>
        <v>116.57</v>
      </c>
      <c r="P8" s="876">
        <f t="shared" si="6"/>
        <v>1585.0940700449669</v>
      </c>
      <c r="Q8" s="876">
        <f t="shared" si="6"/>
        <v>0</v>
      </c>
      <c r="R8" s="876">
        <f t="shared" si="6"/>
        <v>16465.595000000001</v>
      </c>
      <c r="S8" s="879">
        <f t="shared" si="6"/>
        <v>4.2894793258999551</v>
      </c>
      <c r="T8" s="876">
        <f t="shared" ref="T8:T43" si="7">SUM(N8:S8)</f>
        <v>18197.137549370869</v>
      </c>
      <c r="U8" s="880" t="s">
        <v>1731</v>
      </c>
      <c r="V8" s="876">
        <f>SUM(V9:V16)</f>
        <v>0.67511951437872819</v>
      </c>
      <c r="W8" s="876">
        <f>SUM(W9:W16)</f>
        <v>3.0754887565410272</v>
      </c>
      <c r="X8" s="876">
        <f>SUM(X9:X16)</f>
        <v>40.984081291736345</v>
      </c>
      <c r="Y8" s="876"/>
      <c r="Z8" s="876">
        <f>SUM(Z9:Z16)</f>
        <v>427.78404112289132</v>
      </c>
      <c r="AA8" s="876">
        <f>SUM(AA9:AA16)</f>
        <v>0.10783751025312488</v>
      </c>
      <c r="AB8" s="876">
        <f t="shared" ref="AB8:AB13" si="8">SUM(V8:AA8)</f>
        <v>472.62656819580059</v>
      </c>
      <c r="AC8" s="881" t="s">
        <v>1731</v>
      </c>
      <c r="AD8" s="878">
        <f>SUM(AD9:AD16)</f>
        <v>0.67511951437872819</v>
      </c>
      <c r="AE8" s="876">
        <f>SUM(AE9:AE16)</f>
        <v>3.0754887565410272</v>
      </c>
      <c r="AF8" s="876">
        <f>SUM(AF9:AF16)</f>
        <v>40.984081291736345</v>
      </c>
      <c r="AG8" s="876" t="s">
        <v>108</v>
      </c>
      <c r="AH8" s="876">
        <f>SUM(AH9:AH16)</f>
        <v>427.78404112289132</v>
      </c>
      <c r="AI8" s="876">
        <f>SUM(AI9:AI16)</f>
        <v>0.10783751025312488</v>
      </c>
      <c r="AJ8" s="876">
        <f t="shared" ref="AJ8:AJ42" si="9">SUM(AD8:AI8)</f>
        <v>472.62656819580059</v>
      </c>
      <c r="AK8" s="878">
        <f t="shared" ref="AK8:AP8" si="10">SUM(AK9:AK16)</f>
        <v>2.4754382193886699</v>
      </c>
      <c r="AL8" s="876">
        <f t="shared" si="10"/>
        <v>11.2767921073171</v>
      </c>
      <c r="AM8" s="876">
        <f t="shared" si="10"/>
        <v>150.2749647363666</v>
      </c>
      <c r="AN8" s="876">
        <f t="shared" si="10"/>
        <v>0</v>
      </c>
      <c r="AO8" s="876">
        <f t="shared" si="10"/>
        <v>1568.5414841172681</v>
      </c>
      <c r="AP8" s="876">
        <f t="shared" si="10"/>
        <v>0.39540420426145789</v>
      </c>
      <c r="AQ8" s="882">
        <f t="shared" ref="AQ8:AQ15" si="11">SUM(AK8:AP8)</f>
        <v>1732.964083384602</v>
      </c>
    </row>
    <row r="9" spans="1:43">
      <c r="A9" s="817"/>
      <c r="B9" s="860" t="s">
        <v>1732</v>
      </c>
      <c r="C9" s="883">
        <f>HLOOKUP($B$2,'Consumption Input'!$E$5:$AQ$82,'Consumption Input'!$B7)</f>
        <v>25.588999999999995</v>
      </c>
      <c r="D9" s="883"/>
      <c r="E9" s="883"/>
      <c r="F9" s="883"/>
      <c r="G9" s="883"/>
      <c r="H9" s="883"/>
      <c r="I9" s="883">
        <f t="shared" si="5"/>
        <v>25.588999999999995</v>
      </c>
      <c r="J9" s="961"/>
      <c r="K9" s="940"/>
      <c r="L9" s="940"/>
      <c r="M9" s="940"/>
      <c r="N9" s="885">
        <f t="shared" ref="N9:N17" si="12">C9</f>
        <v>25.588999999999995</v>
      </c>
      <c r="O9" s="883">
        <f t="shared" ref="O9:O17" si="13">D9</f>
        <v>0</v>
      </c>
      <c r="P9" s="883">
        <f t="shared" ref="P9:P17" si="14">E9-K9</f>
        <v>0</v>
      </c>
      <c r="Q9" s="883">
        <f t="shared" ref="Q9:Q17" si="15">F9</f>
        <v>0</v>
      </c>
      <c r="R9" s="883">
        <f t="shared" ref="R9:R17" si="16">G9</f>
        <v>0</v>
      </c>
      <c r="S9" s="886">
        <f t="shared" ref="S9:S17" si="17">H9</f>
        <v>0</v>
      </c>
      <c r="T9" s="883">
        <f t="shared" si="7"/>
        <v>25.588999999999995</v>
      </c>
      <c r="U9" s="887">
        <f>HLOOKUP($B$2,Factors!$J$12:$Y$25,Factors!$H13)</f>
        <v>26.383192558471539</v>
      </c>
      <c r="V9" s="885">
        <f t="shared" ref="V9:V17" si="18">N9*$U9*TbtuToQBtu</f>
        <v>0.67511951437872819</v>
      </c>
      <c r="W9" s="883">
        <f t="shared" ref="W9:W17" si="19">O9*$U9*TbtuToQBtu</f>
        <v>0</v>
      </c>
      <c r="X9" s="883">
        <f t="shared" ref="X9:X17" si="20">P9*$U9*TbtuToQBtu</f>
        <v>0</v>
      </c>
      <c r="Y9" s="883">
        <f t="shared" ref="Y9:Y17" si="21">Q9*$U9*TbtuToQBtu</f>
        <v>0</v>
      </c>
      <c r="Z9" s="883">
        <f t="shared" ref="Z9:Z17" si="22">R9*$U9*TbtuToQBtu</f>
        <v>0</v>
      </c>
      <c r="AA9" s="883">
        <f t="shared" ref="AA9:AA17" si="23">S9*$U9*TbtuToQBtu</f>
        <v>0</v>
      </c>
      <c r="AB9" s="883">
        <f t="shared" si="8"/>
        <v>0.67511951437872819</v>
      </c>
      <c r="AC9" s="888">
        <f>Factors!E10</f>
        <v>1</v>
      </c>
      <c r="AD9" s="885">
        <f t="shared" ref="AD9:AD17" si="24">V9*$AC9</f>
        <v>0.67511951437872819</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0.67511951437872819</v>
      </c>
      <c r="AK9" s="885">
        <f t="shared" ref="AK9:AK42" si="30">AD9*CtoCO2</f>
        <v>2.4754382193886699</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2.4754382193886699</v>
      </c>
    </row>
    <row r="10" spans="1:43">
      <c r="A10" s="817"/>
      <c r="B10" s="860" t="s">
        <v>1733</v>
      </c>
      <c r="C10" s="883"/>
      <c r="D10" s="883">
        <f>HLOOKUP($B$2,'Consumption Input'!$E$5:$AQ$82,'Consumption Input'!$B13)</f>
        <v>116.57</v>
      </c>
      <c r="E10" s="883"/>
      <c r="F10" s="883"/>
      <c r="G10" s="883"/>
      <c r="H10" s="883"/>
      <c r="I10" s="883">
        <f t="shared" si="5"/>
        <v>116.57</v>
      </c>
      <c r="J10" s="961"/>
      <c r="K10" s="940"/>
      <c r="L10" s="940"/>
      <c r="M10" s="940"/>
      <c r="N10" s="885">
        <f t="shared" si="12"/>
        <v>0</v>
      </c>
      <c r="O10" s="883">
        <f t="shared" si="13"/>
        <v>116.57</v>
      </c>
      <c r="P10" s="883">
        <f t="shared" si="14"/>
        <v>0</v>
      </c>
      <c r="Q10" s="883">
        <f t="shared" si="15"/>
        <v>0</v>
      </c>
      <c r="R10" s="883">
        <f t="shared" si="16"/>
        <v>0</v>
      </c>
      <c r="S10" s="886">
        <f t="shared" si="17"/>
        <v>0</v>
      </c>
      <c r="T10" s="883">
        <f t="shared" si="7"/>
        <v>116.57</v>
      </c>
      <c r="U10" s="887">
        <f>HLOOKUP($B$2,Factors!$J$12:$Y$25,Factors!$H14)</f>
        <v>26.383192558471539</v>
      </c>
      <c r="V10" s="885">
        <f t="shared" si="18"/>
        <v>0</v>
      </c>
      <c r="W10" s="883">
        <f t="shared" si="19"/>
        <v>3.0754887565410272</v>
      </c>
      <c r="X10" s="883">
        <f t="shared" si="20"/>
        <v>0</v>
      </c>
      <c r="Y10" s="883">
        <f t="shared" si="21"/>
        <v>0</v>
      </c>
      <c r="Z10" s="883">
        <f t="shared" si="22"/>
        <v>0</v>
      </c>
      <c r="AA10" s="883">
        <f t="shared" si="23"/>
        <v>0</v>
      </c>
      <c r="AB10" s="883">
        <f t="shared" si="8"/>
        <v>3.0754887565410272</v>
      </c>
      <c r="AC10" s="888">
        <f>Factors!E11</f>
        <v>1</v>
      </c>
      <c r="AD10" s="885">
        <f t="shared" si="24"/>
        <v>0</v>
      </c>
      <c r="AE10" s="883">
        <f t="shared" si="25"/>
        <v>3.0754887565410272</v>
      </c>
      <c r="AF10" s="883">
        <f t="shared" si="26"/>
        <v>0</v>
      </c>
      <c r="AG10" s="883">
        <f t="shared" si="27"/>
        <v>0</v>
      </c>
      <c r="AH10" s="883">
        <f t="shared" si="28"/>
        <v>0</v>
      </c>
      <c r="AI10" s="883">
        <f t="shared" si="29"/>
        <v>0</v>
      </c>
      <c r="AJ10" s="889">
        <f t="shared" si="9"/>
        <v>3.0754887565410272</v>
      </c>
      <c r="AK10" s="885">
        <f t="shared" si="30"/>
        <v>0</v>
      </c>
      <c r="AL10" s="883">
        <f t="shared" si="31"/>
        <v>11.2767921073171</v>
      </c>
      <c r="AM10" s="883">
        <f t="shared" si="32"/>
        <v>0</v>
      </c>
      <c r="AN10" s="883">
        <f t="shared" si="33"/>
        <v>0</v>
      </c>
      <c r="AO10" s="883">
        <f t="shared" si="34"/>
        <v>0</v>
      </c>
      <c r="AP10" s="883">
        <f t="shared" si="35"/>
        <v>0</v>
      </c>
      <c r="AQ10" s="890">
        <f t="shared" si="11"/>
        <v>11.2767921073171</v>
      </c>
    </row>
    <row r="11" spans="1:43" s="244" customFormat="1" hidden="1">
      <c r="A11" s="861"/>
      <c r="B11" s="862" t="s">
        <v>1734</v>
      </c>
      <c r="C11" s="891"/>
      <c r="D11" s="891"/>
      <c r="E11" s="891">
        <f>HLOOKUP($B$2,'Consumption Input'!$E$5:$AQ$82,'Consumption Input'!$B23)</f>
        <v>0</v>
      </c>
      <c r="F11" s="891"/>
      <c r="G11" s="891"/>
      <c r="H11" s="891"/>
      <c r="I11" s="891">
        <f t="shared" si="5"/>
        <v>0</v>
      </c>
      <c r="J11" s="962"/>
      <c r="K11" s="963">
        <f>HLOOKUP($B$2,NEUConsumption,'Non-Energy Use'!$C$7)</f>
        <v>0</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25.533925567912991</v>
      </c>
      <c r="V11" s="893">
        <f t="shared" si="18"/>
        <v>0</v>
      </c>
      <c r="W11" s="891">
        <f t="shared" si="19"/>
        <v>0</v>
      </c>
      <c r="X11" s="891">
        <f t="shared" si="20"/>
        <v>0</v>
      </c>
      <c r="Y11" s="891">
        <f t="shared" si="21"/>
        <v>0</v>
      </c>
      <c r="Z11" s="891">
        <f t="shared" si="22"/>
        <v>0</v>
      </c>
      <c r="AA11" s="891">
        <f t="shared" si="23"/>
        <v>0</v>
      </c>
      <c r="AB11" s="891">
        <f t="shared" si="8"/>
        <v>0</v>
      </c>
      <c r="AC11" s="896">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3">
      <c r="A12" s="817"/>
      <c r="B12" s="860" t="s">
        <v>1701</v>
      </c>
      <c r="C12" s="883"/>
      <c r="D12" s="883"/>
      <c r="E12" s="883">
        <f>HLOOKUP($B$2,'Consumption Input'!$E$5:$AQ$82,'Consumption Input'!$B24)</f>
        <v>1593.917282619431</v>
      </c>
      <c r="F12" s="883"/>
      <c r="G12" s="883"/>
      <c r="H12" s="883"/>
      <c r="I12" s="883">
        <f t="shared" si="5"/>
        <v>1593.917282619431</v>
      </c>
      <c r="J12" s="961"/>
      <c r="K12" s="940">
        <f>HLOOKUP($B$2,NEUConsumption,'Non-Energy Use'!$C$8)</f>
        <v>8.8232125744641685</v>
      </c>
      <c r="L12" s="940"/>
      <c r="M12" s="940"/>
      <c r="N12" s="885">
        <f t="shared" si="12"/>
        <v>0</v>
      </c>
      <c r="O12" s="883">
        <f t="shared" si="13"/>
        <v>0</v>
      </c>
      <c r="P12" s="883">
        <f t="shared" si="14"/>
        <v>1585.0940700449669</v>
      </c>
      <c r="Q12" s="883">
        <f t="shared" si="15"/>
        <v>0</v>
      </c>
      <c r="R12" s="883">
        <f t="shared" si="16"/>
        <v>0</v>
      </c>
      <c r="S12" s="886">
        <f t="shared" si="17"/>
        <v>0</v>
      </c>
      <c r="T12" s="883">
        <f t="shared" si="7"/>
        <v>1585.0940700449669</v>
      </c>
      <c r="U12" s="887">
        <f>HLOOKUP($B$2,Factors!$J$12:$Y$25,Factors!$H15)</f>
        <v>25.855929983116827</v>
      </c>
      <c r="V12" s="885">
        <f t="shared" si="18"/>
        <v>0</v>
      </c>
      <c r="W12" s="883">
        <f t="shared" si="19"/>
        <v>0</v>
      </c>
      <c r="X12" s="883">
        <f t="shared" si="20"/>
        <v>40.984081291736345</v>
      </c>
      <c r="Y12" s="883">
        <f t="shared" si="21"/>
        <v>0</v>
      </c>
      <c r="Z12" s="883">
        <f t="shared" si="22"/>
        <v>0</v>
      </c>
      <c r="AA12" s="883">
        <f t="shared" si="23"/>
        <v>0</v>
      </c>
      <c r="AB12" s="883">
        <f t="shared" si="8"/>
        <v>40.984081291736345</v>
      </c>
      <c r="AC12" s="888">
        <f>Factors!E13</f>
        <v>1</v>
      </c>
      <c r="AD12" s="885">
        <f t="shared" si="24"/>
        <v>0</v>
      </c>
      <c r="AE12" s="883">
        <f t="shared" si="25"/>
        <v>0</v>
      </c>
      <c r="AF12" s="883">
        <f t="shared" si="26"/>
        <v>40.984081291736345</v>
      </c>
      <c r="AG12" s="883">
        <f t="shared" si="27"/>
        <v>0</v>
      </c>
      <c r="AH12" s="883">
        <f t="shared" si="28"/>
        <v>0</v>
      </c>
      <c r="AI12" s="883">
        <f t="shared" si="29"/>
        <v>0</v>
      </c>
      <c r="AJ12" s="889">
        <f t="shared" si="9"/>
        <v>40.984081291736345</v>
      </c>
      <c r="AK12" s="885">
        <f t="shared" si="30"/>
        <v>0</v>
      </c>
      <c r="AL12" s="883">
        <f t="shared" si="31"/>
        <v>0</v>
      </c>
      <c r="AM12" s="883">
        <f t="shared" si="32"/>
        <v>150.2749647363666</v>
      </c>
      <c r="AN12" s="883">
        <f t="shared" si="33"/>
        <v>0</v>
      </c>
      <c r="AO12" s="883">
        <f t="shared" si="34"/>
        <v>0</v>
      </c>
      <c r="AP12" s="883">
        <f t="shared" si="35"/>
        <v>0</v>
      </c>
      <c r="AQ12" s="890">
        <f t="shared" si="11"/>
        <v>150.2749647363666</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83">
        <f t="shared" si="7"/>
        <v>0</v>
      </c>
      <c r="U13" s="895">
        <f>Factors!D14</f>
        <v>27.85</v>
      </c>
      <c r="V13" s="893">
        <f t="shared" si="18"/>
        <v>0</v>
      </c>
      <c r="W13" s="891">
        <f t="shared" si="19"/>
        <v>0</v>
      </c>
      <c r="X13" s="891">
        <f t="shared" si="20"/>
        <v>0</v>
      </c>
      <c r="Y13" s="891">
        <f t="shared" si="21"/>
        <v>0</v>
      </c>
      <c r="Z13" s="891">
        <f t="shared" si="22"/>
        <v>0</v>
      </c>
      <c r="AA13" s="891">
        <f t="shared" si="23"/>
        <v>0</v>
      </c>
      <c r="AB13" s="891">
        <f t="shared" si="8"/>
        <v>0</v>
      </c>
      <c r="AC13" s="896">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887" t="str">
        <f>Factors!D15</f>
        <v>NC</v>
      </c>
      <c r="V14" s="885">
        <f t="shared" si="18"/>
        <v>0</v>
      </c>
      <c r="W14" s="883">
        <f t="shared" si="19"/>
        <v>0</v>
      </c>
      <c r="X14" s="883">
        <f t="shared" si="20"/>
        <v>0</v>
      </c>
      <c r="Y14" s="883">
        <f t="shared" si="21"/>
        <v>0</v>
      </c>
      <c r="Z14" s="883">
        <f t="shared" si="22"/>
        <v>0</v>
      </c>
      <c r="AA14" s="883">
        <f t="shared" si="23"/>
        <v>0</v>
      </c>
      <c r="AB14" s="883" t="s">
        <v>103</v>
      </c>
      <c r="AC14" s="888"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3">
      <c r="A15" s="817"/>
      <c r="B15" s="860" t="s">
        <v>1736</v>
      </c>
      <c r="C15" s="883"/>
      <c r="D15" s="883"/>
      <c r="E15" s="883"/>
      <c r="F15" s="883"/>
      <c r="G15" s="883">
        <f>HLOOKUP($B$2,'Consumption Input'!$E$5:$AQ$82,'Consumption Input'!$B58)</f>
        <v>16465.595000000001</v>
      </c>
      <c r="H15" s="883"/>
      <c r="I15" s="883">
        <f t="shared" ref="I15:I41" si="36">SUM(C15:H15)</f>
        <v>16465.595000000001</v>
      </c>
      <c r="J15" s="961"/>
      <c r="K15" s="940"/>
      <c r="L15" s="940"/>
      <c r="M15" s="940"/>
      <c r="N15" s="885">
        <f t="shared" si="12"/>
        <v>0</v>
      </c>
      <c r="O15" s="883">
        <f t="shared" si="13"/>
        <v>0</v>
      </c>
      <c r="P15" s="883">
        <f t="shared" si="14"/>
        <v>0</v>
      </c>
      <c r="Q15" s="883">
        <f t="shared" si="15"/>
        <v>0</v>
      </c>
      <c r="R15" s="883">
        <f t="shared" si="16"/>
        <v>16465.595000000001</v>
      </c>
      <c r="S15" s="886">
        <f t="shared" si="17"/>
        <v>0</v>
      </c>
      <c r="T15" s="883">
        <f t="shared" si="7"/>
        <v>16465.595000000001</v>
      </c>
      <c r="U15" s="887">
        <f>HLOOKUP($B$2,Factors!$J$12:$Y$25,Factors!$H16)</f>
        <v>25.980478757244502</v>
      </c>
      <c r="V15" s="885">
        <f t="shared" si="18"/>
        <v>0</v>
      </c>
      <c r="W15" s="883">
        <f t="shared" si="19"/>
        <v>0</v>
      </c>
      <c r="X15" s="883">
        <f t="shared" si="20"/>
        <v>0</v>
      </c>
      <c r="Y15" s="883">
        <f t="shared" si="21"/>
        <v>0</v>
      </c>
      <c r="Z15" s="883">
        <f t="shared" si="22"/>
        <v>427.78404112289132</v>
      </c>
      <c r="AA15" s="883">
        <f t="shared" si="23"/>
        <v>0</v>
      </c>
      <c r="AB15" s="883">
        <f t="shared" ref="AB15:AB43" si="37">SUM(V15:AA15)</f>
        <v>427.78404112289132</v>
      </c>
      <c r="AC15" s="888">
        <f>Factors!E16</f>
        <v>1</v>
      </c>
      <c r="AD15" s="885">
        <f t="shared" si="24"/>
        <v>0</v>
      </c>
      <c r="AE15" s="883">
        <f t="shared" si="25"/>
        <v>0</v>
      </c>
      <c r="AF15" s="883">
        <f t="shared" si="26"/>
        <v>0</v>
      </c>
      <c r="AG15" s="883">
        <f t="shared" si="27"/>
        <v>0</v>
      </c>
      <c r="AH15" s="883">
        <f t="shared" si="28"/>
        <v>427.78404112289132</v>
      </c>
      <c r="AI15" s="883">
        <f t="shared" si="29"/>
        <v>0</v>
      </c>
      <c r="AJ15" s="889">
        <f t="shared" si="9"/>
        <v>427.78404112289132</v>
      </c>
      <c r="AK15" s="885">
        <f t="shared" si="30"/>
        <v>0</v>
      </c>
      <c r="AL15" s="883">
        <f t="shared" si="31"/>
        <v>0</v>
      </c>
      <c r="AM15" s="883">
        <f t="shared" si="32"/>
        <v>0</v>
      </c>
      <c r="AN15" s="883">
        <f t="shared" si="33"/>
        <v>0</v>
      </c>
      <c r="AO15" s="883">
        <f t="shared" si="34"/>
        <v>1568.5414841172681</v>
      </c>
      <c r="AP15" s="883">
        <f t="shared" si="35"/>
        <v>0</v>
      </c>
      <c r="AQ15" s="890">
        <f t="shared" si="11"/>
        <v>1568.5414841172681</v>
      </c>
    </row>
    <row r="16" spans="1:43">
      <c r="A16" s="817"/>
      <c r="B16" s="860" t="s">
        <v>1737</v>
      </c>
      <c r="C16" s="883"/>
      <c r="D16" s="883"/>
      <c r="E16" s="883"/>
      <c r="F16" s="883"/>
      <c r="G16" s="883"/>
      <c r="H16" s="883">
        <f>HLOOKUP($B$2,'US Territories'!$D$28:$Z$38,'US Territories'!$B29)</f>
        <v>4.2894793258999551</v>
      </c>
      <c r="I16" s="883">
        <f t="shared" si="36"/>
        <v>4.2894793258999551</v>
      </c>
      <c r="J16" s="961"/>
      <c r="K16" s="940"/>
      <c r="L16" s="940"/>
      <c r="M16" s="940"/>
      <c r="N16" s="885">
        <f t="shared" si="12"/>
        <v>0</v>
      </c>
      <c r="O16" s="883">
        <f t="shared" si="13"/>
        <v>0</v>
      </c>
      <c r="P16" s="883">
        <f t="shared" si="14"/>
        <v>0</v>
      </c>
      <c r="Q16" s="883">
        <f t="shared" si="15"/>
        <v>0</v>
      </c>
      <c r="R16" s="883">
        <f t="shared" si="16"/>
        <v>0</v>
      </c>
      <c r="S16" s="886">
        <f t="shared" si="17"/>
        <v>4.2894793258999551</v>
      </c>
      <c r="T16" s="883">
        <f t="shared" si="7"/>
        <v>4.2894793258999551</v>
      </c>
      <c r="U16" s="887">
        <f>Factors!D17</f>
        <v>25.14</v>
      </c>
      <c r="V16" s="899">
        <f t="shared" si="18"/>
        <v>0</v>
      </c>
      <c r="W16" s="900">
        <f t="shared" si="19"/>
        <v>0</v>
      </c>
      <c r="X16" s="900">
        <f t="shared" si="20"/>
        <v>0</v>
      </c>
      <c r="Y16" s="900">
        <f t="shared" si="21"/>
        <v>0</v>
      </c>
      <c r="Z16" s="900">
        <f t="shared" si="22"/>
        <v>0</v>
      </c>
      <c r="AA16" s="900">
        <f t="shared" si="23"/>
        <v>0.10783751025312488</v>
      </c>
      <c r="AB16" s="883">
        <f t="shared" si="37"/>
        <v>0.10783751025312488</v>
      </c>
      <c r="AC16" s="888">
        <f>Factors!E17</f>
        <v>1</v>
      </c>
      <c r="AD16" s="899">
        <f t="shared" si="24"/>
        <v>0</v>
      </c>
      <c r="AE16" s="900">
        <f t="shared" si="25"/>
        <v>0</v>
      </c>
      <c r="AF16" s="900">
        <f t="shared" si="26"/>
        <v>0</v>
      </c>
      <c r="AG16" s="900">
        <f t="shared" si="27"/>
        <v>0</v>
      </c>
      <c r="AH16" s="900">
        <f t="shared" si="28"/>
        <v>0</v>
      </c>
      <c r="AI16" s="900">
        <f t="shared" si="29"/>
        <v>0.10783751025312488</v>
      </c>
      <c r="AJ16" s="889">
        <f t="shared" si="9"/>
        <v>0.10783751025312488</v>
      </c>
      <c r="AK16" s="885">
        <f t="shared" si="30"/>
        <v>0</v>
      </c>
      <c r="AL16" s="883">
        <f t="shared" si="31"/>
        <v>0</v>
      </c>
      <c r="AM16" s="883">
        <f t="shared" si="32"/>
        <v>0</v>
      </c>
      <c r="AN16" s="883">
        <f t="shared" si="33"/>
        <v>0</v>
      </c>
      <c r="AO16" s="883">
        <f t="shared" si="34"/>
        <v>0</v>
      </c>
      <c r="AP16" s="883">
        <f t="shared" si="35"/>
        <v>0.39540420426145789</v>
      </c>
      <c r="AQ16" s="890">
        <f t="shared" ref="AQ16:AQ42" si="38">SUM(AK16:AP16)</f>
        <v>0.39540420426145789</v>
      </c>
    </row>
    <row r="17" spans="1:43">
      <c r="A17" s="817"/>
      <c r="B17" s="863" t="s">
        <v>1439</v>
      </c>
      <c r="C17" s="901">
        <f>HLOOKUP($B$2,'Consumption Input'!$E$5:$AQ$82,'Consumption Input'!$B8)</f>
        <v>4804.5809999999992</v>
      </c>
      <c r="D17" s="901">
        <f>HLOOKUP($B$2,'Consumption Input'!$E$5:$AQ$82,'Consumption Input'!$B14)</f>
        <v>2871.1860000000001</v>
      </c>
      <c r="E17" s="901">
        <f>HLOOKUP($B$2,'Consumption Input'!$E$5:$AQ$82,'Consumption Input'!$B26)</f>
        <v>8420.583142909436</v>
      </c>
      <c r="F17" s="901">
        <f>HLOOKUP($B$2,'Consumption Input'!$E$5:$AQ$82,'Consumption Input'!$B49)</f>
        <v>608.10599999999999</v>
      </c>
      <c r="G17" s="901">
        <f>HLOOKUP($B$2,'Consumption Input'!$E$5:$AQ$82,'Consumption Input'!$B59)</f>
        <v>3511.502</v>
      </c>
      <c r="H17" s="944">
        <f>HLOOKUP($B$2,'US Territories'!$D$28:$Z$38,'US Territories'!$B30)</f>
        <v>0</v>
      </c>
      <c r="I17" s="901">
        <f t="shared" si="36"/>
        <v>20215.958142909436</v>
      </c>
      <c r="J17" s="964"/>
      <c r="K17" s="965">
        <f>HLOOKUP($B$2,NEUConsumption,'Non-Energy Use'!$C$9)</f>
        <v>318.92266666666666</v>
      </c>
      <c r="L17" s="965"/>
      <c r="M17" s="965"/>
      <c r="N17" s="904">
        <f t="shared" si="12"/>
        <v>4804.5809999999992</v>
      </c>
      <c r="O17" s="901">
        <f t="shared" si="13"/>
        <v>2871.1860000000001</v>
      </c>
      <c r="P17" s="901">
        <f t="shared" si="14"/>
        <v>8101.6604762427696</v>
      </c>
      <c r="Q17" s="901">
        <f t="shared" si="15"/>
        <v>608.10599999999999</v>
      </c>
      <c r="R17" s="901">
        <f t="shared" si="16"/>
        <v>3511.502</v>
      </c>
      <c r="S17" s="902">
        <f t="shared" si="17"/>
        <v>0</v>
      </c>
      <c r="T17" s="901">
        <f t="shared" si="7"/>
        <v>19897.035476242771</v>
      </c>
      <c r="U17" s="905">
        <f>HLOOKUP($B$2,Factors!$J$12:$AB$26,Factors!$H26,FALSE)</f>
        <v>14.45183127669903</v>
      </c>
      <c r="V17" s="901">
        <f t="shared" si="18"/>
        <v>69.434993967233893</v>
      </c>
      <c r="W17" s="901">
        <f t="shared" si="19"/>
        <v>41.493895636020383</v>
      </c>
      <c r="X17" s="901">
        <f t="shared" si="20"/>
        <v>117.08383026376161</v>
      </c>
      <c r="Y17" s="901">
        <f t="shared" si="21"/>
        <v>8.7882453103483407</v>
      </c>
      <c r="Z17" s="901">
        <f t="shared" si="22"/>
        <v>50.747634431791205</v>
      </c>
      <c r="AA17" s="901">
        <f t="shared" si="23"/>
        <v>0</v>
      </c>
      <c r="AB17" s="901">
        <f t="shared" si="37"/>
        <v>287.54859960915547</v>
      </c>
      <c r="AC17" s="906">
        <f>Factors!E19</f>
        <v>1</v>
      </c>
      <c r="AD17" s="904">
        <f t="shared" si="24"/>
        <v>69.434993967233893</v>
      </c>
      <c r="AE17" s="901">
        <f t="shared" si="25"/>
        <v>41.493895636020383</v>
      </c>
      <c r="AF17" s="901">
        <f t="shared" si="26"/>
        <v>117.08383026376161</v>
      </c>
      <c r="AG17" s="901">
        <f t="shared" si="27"/>
        <v>8.7882453103483407</v>
      </c>
      <c r="AH17" s="901">
        <f t="shared" si="28"/>
        <v>50.747634431791205</v>
      </c>
      <c r="AI17" s="901">
        <f t="shared" si="29"/>
        <v>0</v>
      </c>
      <c r="AJ17" s="901">
        <f t="shared" si="9"/>
        <v>287.54859960915547</v>
      </c>
      <c r="AK17" s="904">
        <f t="shared" si="30"/>
        <v>254.59497787985759</v>
      </c>
      <c r="AL17" s="901">
        <f t="shared" si="31"/>
        <v>152.1442839987414</v>
      </c>
      <c r="AM17" s="901">
        <f t="shared" si="32"/>
        <v>429.30737763379256</v>
      </c>
      <c r="AN17" s="901">
        <f t="shared" si="33"/>
        <v>32.223566137943912</v>
      </c>
      <c r="AO17" s="901">
        <f t="shared" si="34"/>
        <v>186.07465958323442</v>
      </c>
      <c r="AP17" s="901">
        <f t="shared" si="35"/>
        <v>0</v>
      </c>
      <c r="AQ17" s="907">
        <f t="shared" si="38"/>
        <v>1054.3448652335699</v>
      </c>
    </row>
    <row r="18" spans="1:43">
      <c r="A18" s="817"/>
      <c r="B18" s="864" t="s">
        <v>1440</v>
      </c>
      <c r="C18" s="908">
        <f t="shared" ref="C18:H18" si="39">SUM(C19:C41)</f>
        <v>1366.3045550889135</v>
      </c>
      <c r="D18" s="908">
        <f t="shared" si="39"/>
        <v>890.34288772502384</v>
      </c>
      <c r="E18" s="908">
        <f t="shared" si="39"/>
        <v>8448.8150400520699</v>
      </c>
      <c r="F18" s="908">
        <f t="shared" si="39"/>
        <v>21727.917169549855</v>
      </c>
      <c r="G18" s="908">
        <f t="shared" si="39"/>
        <v>990.70699999999988</v>
      </c>
      <c r="H18" s="908">
        <f t="shared" si="39"/>
        <v>330.86345619657806</v>
      </c>
      <c r="I18" s="908">
        <f t="shared" si="36"/>
        <v>33754.950108612444</v>
      </c>
      <c r="J18" s="966">
        <f t="shared" ref="J18:S18" si="40">SUM(J19:J41)</f>
        <v>1475.273644196539</v>
      </c>
      <c r="K18" s="967">
        <f t="shared" si="40"/>
        <v>4437.8246673540825</v>
      </c>
      <c r="L18" s="967">
        <f t="shared" si="40"/>
        <v>160.52699999999996</v>
      </c>
      <c r="M18" s="967">
        <f t="shared" si="40"/>
        <v>35.584726269756771</v>
      </c>
      <c r="N18" s="910">
        <f t="shared" si="40"/>
        <v>1366.3045550889135</v>
      </c>
      <c r="O18" s="908">
        <f t="shared" si="40"/>
        <v>890.34288772502384</v>
      </c>
      <c r="P18" s="908">
        <f t="shared" si="40"/>
        <v>4010.9903726979883</v>
      </c>
      <c r="Q18" s="908">
        <f t="shared" si="40"/>
        <v>20092.116525353315</v>
      </c>
      <c r="R18" s="908">
        <f t="shared" si="40"/>
        <v>990.70699999999988</v>
      </c>
      <c r="S18" s="911">
        <f t="shared" si="40"/>
        <v>295.27872992682131</v>
      </c>
      <c r="T18" s="889">
        <f t="shared" si="7"/>
        <v>27645.740070792061</v>
      </c>
      <c r="U18" s="912" t="s">
        <v>1731</v>
      </c>
      <c r="V18" s="908">
        <f t="shared" ref="V18:AA18" si="41">SUM(V19:V41)</f>
        <v>26.426562971102424</v>
      </c>
      <c r="W18" s="908">
        <f t="shared" si="41"/>
        <v>17.622744555185193</v>
      </c>
      <c r="X18" s="908">
        <f t="shared" si="41"/>
        <v>82.099359897960738</v>
      </c>
      <c r="Y18" s="908">
        <f t="shared" si="41"/>
        <v>394.20541636981653</v>
      </c>
      <c r="Z18" s="908">
        <f t="shared" si="41"/>
        <v>20.598475461090185</v>
      </c>
      <c r="AA18" s="908">
        <f t="shared" si="41"/>
        <v>5.8773963196796304</v>
      </c>
      <c r="AB18" s="908">
        <f t="shared" si="37"/>
        <v>546.82995557483468</v>
      </c>
      <c r="AC18" s="913" t="s">
        <v>1731</v>
      </c>
      <c r="AD18" s="910">
        <f t="shared" ref="AD18:AI18" si="42">SUM(AD19:AD41)</f>
        <v>26.426562971102424</v>
      </c>
      <c r="AE18" s="908">
        <f t="shared" si="42"/>
        <v>17.622744555185193</v>
      </c>
      <c r="AF18" s="908">
        <f t="shared" si="42"/>
        <v>82.099359897960738</v>
      </c>
      <c r="AG18" s="908">
        <f t="shared" si="42"/>
        <v>394.20541636981653</v>
      </c>
      <c r="AH18" s="908">
        <f t="shared" si="42"/>
        <v>20.598475461090185</v>
      </c>
      <c r="AI18" s="908">
        <f t="shared" si="42"/>
        <v>5.8773963196796304</v>
      </c>
      <c r="AJ18" s="908">
        <f t="shared" si="9"/>
        <v>546.82995557483468</v>
      </c>
      <c r="AK18" s="914">
        <f t="shared" si="30"/>
        <v>96.897397560708882</v>
      </c>
      <c r="AL18" s="889">
        <f t="shared" si="31"/>
        <v>64.616730035679041</v>
      </c>
      <c r="AM18" s="889">
        <f t="shared" si="32"/>
        <v>301.0309862925227</v>
      </c>
      <c r="AN18" s="889">
        <f t="shared" si="33"/>
        <v>1445.4198600226605</v>
      </c>
      <c r="AO18" s="889">
        <f t="shared" si="34"/>
        <v>75.527743357330678</v>
      </c>
      <c r="AP18" s="889">
        <f t="shared" si="35"/>
        <v>21.550453172158644</v>
      </c>
      <c r="AQ18" s="915">
        <f t="shared" si="38"/>
        <v>2005.0431704410603</v>
      </c>
    </row>
    <row r="19" spans="1:43">
      <c r="A19" s="817"/>
      <c r="B19" s="860" t="s">
        <v>1608</v>
      </c>
      <c r="C19" s="883"/>
      <c r="D19" s="883"/>
      <c r="E19" s="883">
        <f>HLOOKUP($B$2,'Consumption Input'!$E$5:$AQ$82,'Consumption Input'!$B27)</f>
        <v>1102.22</v>
      </c>
      <c r="F19" s="883"/>
      <c r="G19" s="883"/>
      <c r="H19" s="883"/>
      <c r="I19" s="883">
        <f t="shared" si="36"/>
        <v>1102.22</v>
      </c>
      <c r="J19" s="961"/>
      <c r="K19" s="940">
        <f>HLOOKUP($B$2,NEUConsumption,'Non-Energy Use'!$C$10)</f>
        <v>1102.22</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7"/>
        <v>0</v>
      </c>
      <c r="AC19" s="888">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41.055</v>
      </c>
      <c r="G20" s="883"/>
      <c r="H20" s="883"/>
      <c r="I20" s="883">
        <f t="shared" si="36"/>
        <v>41.055</v>
      </c>
      <c r="J20" s="961"/>
      <c r="K20" s="940"/>
      <c r="L20" s="940"/>
      <c r="M20" s="940"/>
      <c r="N20" s="885">
        <f t="shared" si="43"/>
        <v>0</v>
      </c>
      <c r="O20" s="883">
        <f t="shared" si="44"/>
        <v>0</v>
      </c>
      <c r="P20" s="883">
        <f t="shared" si="45"/>
        <v>0</v>
      </c>
      <c r="Q20" s="883">
        <f t="shared" si="46"/>
        <v>41.055</v>
      </c>
      <c r="R20" s="883">
        <f t="shared" si="47"/>
        <v>0</v>
      </c>
      <c r="S20" s="886">
        <f t="shared" si="48"/>
        <v>0</v>
      </c>
      <c r="T20" s="883">
        <f t="shared" si="7"/>
        <v>41.055</v>
      </c>
      <c r="U20" s="887">
        <f>Factors!D25</f>
        <v>18.855352254718337</v>
      </c>
      <c r="V20" s="885">
        <f t="shared" si="49"/>
        <v>0</v>
      </c>
      <c r="W20" s="883">
        <f t="shared" si="50"/>
        <v>0</v>
      </c>
      <c r="X20" s="883">
        <f t="shared" si="51"/>
        <v>0</v>
      </c>
      <c r="Y20" s="883">
        <f t="shared" si="52"/>
        <v>0.77410648681746141</v>
      </c>
      <c r="Z20" s="883">
        <f t="shared" si="53"/>
        <v>0</v>
      </c>
      <c r="AA20" s="883">
        <f t="shared" si="54"/>
        <v>0</v>
      </c>
      <c r="AB20" s="883">
        <f t="shared" si="37"/>
        <v>0.77410648681746141</v>
      </c>
      <c r="AC20" s="888">
        <f>Factors!E25</f>
        <v>1</v>
      </c>
      <c r="AD20" s="885">
        <f t="shared" si="55"/>
        <v>0</v>
      </c>
      <c r="AE20" s="883">
        <f t="shared" si="56"/>
        <v>0</v>
      </c>
      <c r="AF20" s="883">
        <f t="shared" si="57"/>
        <v>0</v>
      </c>
      <c r="AG20" s="883">
        <f t="shared" si="58"/>
        <v>0.77410648681746141</v>
      </c>
      <c r="AH20" s="883">
        <f t="shared" si="59"/>
        <v>0</v>
      </c>
      <c r="AI20" s="883">
        <f t="shared" si="60"/>
        <v>0</v>
      </c>
      <c r="AJ20" s="889">
        <f t="shared" si="9"/>
        <v>0.77410648681746141</v>
      </c>
      <c r="AK20" s="885">
        <f t="shared" si="30"/>
        <v>0</v>
      </c>
      <c r="AL20" s="883">
        <f t="shared" si="31"/>
        <v>0</v>
      </c>
      <c r="AM20" s="883">
        <f t="shared" si="32"/>
        <v>0</v>
      </c>
      <c r="AN20" s="883">
        <f t="shared" si="33"/>
        <v>2.8383904516640253</v>
      </c>
      <c r="AO20" s="883">
        <f t="shared" si="34"/>
        <v>0</v>
      </c>
      <c r="AP20" s="883">
        <f t="shared" si="35"/>
        <v>0</v>
      </c>
      <c r="AQ20" s="890">
        <f t="shared" si="38"/>
        <v>2.8383904516640253</v>
      </c>
    </row>
    <row r="21" spans="1:43">
      <c r="A21" s="817"/>
      <c r="B21" s="860" t="s">
        <v>1738</v>
      </c>
      <c r="C21" s="883">
        <f>HLOOKUP($B$2,'Consumption Input'!$E$5:$AQ$82,'Consumption Input'!$B9)</f>
        <v>931.40955508891352</v>
      </c>
      <c r="D21" s="883">
        <f>HLOOKUP($B$2,'Consumption Input'!$E$5:$AQ$82,'Consumption Input'!$B15)</f>
        <v>481.71058348560973</v>
      </c>
      <c r="E21" s="883">
        <f>HLOOKUP($B$2,'Consumption Input'!$E$5:$AQ$82,'Consumption Input'!$B28)</f>
        <v>1035.5408471397625</v>
      </c>
      <c r="F21" s="883">
        <f>HLOOKUP($B$2,'Consumption Input'!$E$5:$AQ$82,'Consumption Input'!$B51)</f>
        <v>3811.6465839285711</v>
      </c>
      <c r="G21" s="883">
        <f>HLOOKUP($B$2,'Consumption Input'!$E$5:$AQ$82,'Consumption Input'!$B60)</f>
        <v>73.530999999999992</v>
      </c>
      <c r="H21" s="883">
        <f>HLOOKUP($B$2,'US Territories'!$D$28:$Z$38,'US Territories'!$B31)</f>
        <v>65.959513879167076</v>
      </c>
      <c r="I21" s="883">
        <f t="shared" si="36"/>
        <v>6399.7980835220242</v>
      </c>
      <c r="J21" s="961">
        <f>HLOOKUP($B$2,IBFConsumption,'International Bunker Fuels'!$B$10)</f>
        <v>145.93635013333335</v>
      </c>
      <c r="K21" s="940">
        <f>HLOOKUP($B$2,NEUConsumption,'Non-Energy Use'!$C$20)</f>
        <v>7.003591666666666</v>
      </c>
      <c r="L21" s="940"/>
      <c r="M21" s="940"/>
      <c r="N21" s="885">
        <f t="shared" si="43"/>
        <v>931.40955508891352</v>
      </c>
      <c r="O21" s="883">
        <f t="shared" si="44"/>
        <v>481.71058348560973</v>
      </c>
      <c r="P21" s="883">
        <f t="shared" si="45"/>
        <v>1028.5372554730959</v>
      </c>
      <c r="Q21" s="883">
        <f t="shared" si="46"/>
        <v>3665.7102337952379</v>
      </c>
      <c r="R21" s="883">
        <f t="shared" si="47"/>
        <v>73.530999999999992</v>
      </c>
      <c r="S21" s="886">
        <f t="shared" si="48"/>
        <v>65.959513879167076</v>
      </c>
      <c r="T21" s="883">
        <f t="shared" si="7"/>
        <v>6246.8581417220248</v>
      </c>
      <c r="U21" s="887">
        <f>HLOOKUP($B$2,Factors!$J$12:$BE$27,Factors!$H27,FALSE)</f>
        <v>20.170000000000002</v>
      </c>
      <c r="V21" s="885">
        <f t="shared" si="49"/>
        <v>18.78653072614339</v>
      </c>
      <c r="W21" s="883">
        <f t="shared" si="50"/>
        <v>9.7161024689047508</v>
      </c>
      <c r="X21" s="883">
        <f t="shared" si="51"/>
        <v>20.745596442892346</v>
      </c>
      <c r="Y21" s="883">
        <f t="shared" si="52"/>
        <v>73.937375415649953</v>
      </c>
      <c r="Z21" s="883">
        <f t="shared" si="53"/>
        <v>1.4831202699999999</v>
      </c>
      <c r="AA21" s="883">
        <f t="shared" si="54"/>
        <v>1.3304033949428002</v>
      </c>
      <c r="AB21" s="883">
        <f t="shared" si="37"/>
        <v>125.99912871853324</v>
      </c>
      <c r="AC21" s="888">
        <f>Factors!E26</f>
        <v>1</v>
      </c>
      <c r="AD21" s="885">
        <f t="shared" si="55"/>
        <v>18.78653072614339</v>
      </c>
      <c r="AE21" s="883">
        <f t="shared" si="56"/>
        <v>9.7161024689047508</v>
      </c>
      <c r="AF21" s="883">
        <f t="shared" si="57"/>
        <v>20.745596442892346</v>
      </c>
      <c r="AG21" s="883">
        <f t="shared" si="58"/>
        <v>73.937375415649953</v>
      </c>
      <c r="AH21" s="883">
        <f t="shared" si="59"/>
        <v>1.4831202699999999</v>
      </c>
      <c r="AI21" s="883">
        <f t="shared" si="60"/>
        <v>1.3304033949428002</v>
      </c>
      <c r="AJ21" s="889">
        <f t="shared" si="9"/>
        <v>125.99912871853324</v>
      </c>
      <c r="AK21" s="885">
        <f t="shared" si="30"/>
        <v>68.883945995859094</v>
      </c>
      <c r="AL21" s="883">
        <f t="shared" si="31"/>
        <v>35.625709052650748</v>
      </c>
      <c r="AM21" s="883">
        <f t="shared" si="32"/>
        <v>76.067186957271929</v>
      </c>
      <c r="AN21" s="883">
        <f t="shared" si="33"/>
        <v>271.10370985738314</v>
      </c>
      <c r="AO21" s="883">
        <f t="shared" si="34"/>
        <v>5.4381076566666664</v>
      </c>
      <c r="AP21" s="883">
        <f t="shared" si="35"/>
        <v>4.8781457814569338</v>
      </c>
      <c r="AQ21" s="890">
        <f t="shared" si="38"/>
        <v>461.99680530128848</v>
      </c>
    </row>
    <row r="22" spans="1:43">
      <c r="A22" s="817"/>
      <c r="B22" s="860" t="s">
        <v>1623</v>
      </c>
      <c r="C22" s="883"/>
      <c r="D22" s="883"/>
      <c r="E22" s="883"/>
      <c r="F22" s="883">
        <f>HLOOKUP($B$2,'Consumption Input'!$E$5:$AQ$82,'Consumption Input'!$B52)</f>
        <v>3001.3290000000002</v>
      </c>
      <c r="G22" s="883"/>
      <c r="H22" s="883">
        <f>HLOOKUP($B$2,'US Territories'!$D$28:$Z$38,'US Territories'!$B32)</f>
        <v>45.555258938963057</v>
      </c>
      <c r="I22" s="883">
        <f t="shared" si="36"/>
        <v>3046.8842589389633</v>
      </c>
      <c r="J22" s="961">
        <f>HLOOKUP($B$2,IBFConsumption,'International Bunker Fuels'!$B$8)</f>
        <v>659.49550556120562</v>
      </c>
      <c r="K22" s="940"/>
      <c r="L22" s="940"/>
      <c r="M22" s="940"/>
      <c r="N22" s="885">
        <f t="shared" si="43"/>
        <v>0</v>
      </c>
      <c r="O22" s="883">
        <f t="shared" si="44"/>
        <v>0</v>
      </c>
      <c r="P22" s="883">
        <f t="shared" si="45"/>
        <v>0</v>
      </c>
      <c r="Q22" s="883">
        <f t="shared" si="46"/>
        <v>2341.8334944387943</v>
      </c>
      <c r="R22" s="883">
        <f t="shared" si="47"/>
        <v>0</v>
      </c>
      <c r="S22" s="886">
        <f t="shared" si="48"/>
        <v>45.555258938963057</v>
      </c>
      <c r="T22" s="883">
        <f t="shared" si="7"/>
        <v>2387.3887533777574</v>
      </c>
      <c r="U22" s="887">
        <f>HLOOKUP($B$2,Factors!$J$12:$Y$25,Factors!$H21)</f>
        <v>19.39</v>
      </c>
      <c r="V22" s="885">
        <f t="shared" si="49"/>
        <v>0</v>
      </c>
      <c r="W22" s="883">
        <f t="shared" si="50"/>
        <v>0</v>
      </c>
      <c r="X22" s="883">
        <f t="shared" si="51"/>
        <v>0</v>
      </c>
      <c r="Y22" s="883">
        <f t="shared" si="52"/>
        <v>45.408151457168223</v>
      </c>
      <c r="Z22" s="883">
        <f t="shared" si="53"/>
        <v>0</v>
      </c>
      <c r="AA22" s="883">
        <f t="shared" si="54"/>
        <v>0.88331647082649378</v>
      </c>
      <c r="AB22" s="883">
        <f t="shared" si="37"/>
        <v>46.291467927994717</v>
      </c>
      <c r="AC22" s="888">
        <f>Factors!E27</f>
        <v>1</v>
      </c>
      <c r="AD22" s="885">
        <f t="shared" si="55"/>
        <v>0</v>
      </c>
      <c r="AE22" s="883">
        <f t="shared" si="56"/>
        <v>0</v>
      </c>
      <c r="AF22" s="883">
        <f t="shared" si="57"/>
        <v>0</v>
      </c>
      <c r="AG22" s="883">
        <f t="shared" si="58"/>
        <v>45.408151457168223</v>
      </c>
      <c r="AH22" s="883">
        <f t="shared" si="59"/>
        <v>0</v>
      </c>
      <c r="AI22" s="883">
        <f t="shared" si="60"/>
        <v>0.88331647082649378</v>
      </c>
      <c r="AJ22" s="889">
        <f t="shared" si="9"/>
        <v>46.291467927994717</v>
      </c>
      <c r="AK22" s="885">
        <f t="shared" si="30"/>
        <v>0</v>
      </c>
      <c r="AL22" s="883">
        <f t="shared" si="31"/>
        <v>0</v>
      </c>
      <c r="AM22" s="883">
        <f t="shared" si="32"/>
        <v>0</v>
      </c>
      <c r="AN22" s="883">
        <f t="shared" si="33"/>
        <v>166.49655534295016</v>
      </c>
      <c r="AO22" s="883">
        <f t="shared" si="34"/>
        <v>0</v>
      </c>
      <c r="AP22" s="883">
        <f t="shared" si="35"/>
        <v>3.2388270596971438</v>
      </c>
      <c r="AQ22" s="890">
        <f t="shared" si="38"/>
        <v>169.7353824026473</v>
      </c>
    </row>
    <row r="23" spans="1:43">
      <c r="A23" s="817"/>
      <c r="B23" s="860" t="s">
        <v>1599</v>
      </c>
      <c r="C23" s="883">
        <f>HLOOKUP($B$2,'Consumption Input'!$E$5:$AQ$82,'Consumption Input'!$B10)</f>
        <v>65.004000000000005</v>
      </c>
      <c r="D23" s="883">
        <f>HLOOKUP($B$2,'Consumption Input'!$E$5:$AQ$82,'Consumption Input'!$B16)</f>
        <v>11.124000000000001</v>
      </c>
      <c r="E23" s="883">
        <f>HLOOKUP($B$2,'Consumption Input'!$E$5:$AQ$82,'Consumption Input'!$B29)</f>
        <v>9.7899999999999974</v>
      </c>
      <c r="F23" s="883"/>
      <c r="G23" s="883"/>
      <c r="H23" s="883">
        <f>HLOOKUP($B$2,'US Territories'!$D$28:$Z$38,'US Territories'!$B33)</f>
        <v>2.2827345102010197</v>
      </c>
      <c r="I23" s="883">
        <f t="shared" si="36"/>
        <v>88.200734510201016</v>
      </c>
      <c r="J23" s="961"/>
      <c r="K23" s="940"/>
      <c r="L23" s="940"/>
      <c r="M23" s="940"/>
      <c r="N23" s="885">
        <f t="shared" si="43"/>
        <v>65.004000000000005</v>
      </c>
      <c r="O23" s="883">
        <f t="shared" si="44"/>
        <v>11.124000000000001</v>
      </c>
      <c r="P23" s="883">
        <f t="shared" si="45"/>
        <v>9.7899999999999974</v>
      </c>
      <c r="Q23" s="883">
        <f t="shared" si="46"/>
        <v>0</v>
      </c>
      <c r="R23" s="883">
        <f t="shared" si="47"/>
        <v>0</v>
      </c>
      <c r="S23" s="886">
        <f t="shared" si="48"/>
        <v>2.2827345102010197</v>
      </c>
      <c r="T23" s="883">
        <f t="shared" si="7"/>
        <v>88.200734510201016</v>
      </c>
      <c r="U23" s="887">
        <f>Factors!D28</f>
        <v>19.964104564962931</v>
      </c>
      <c r="V23" s="885">
        <f t="shared" si="49"/>
        <v>1.2977466531408504</v>
      </c>
      <c r="W23" s="883">
        <f t="shared" si="50"/>
        <v>0.22208069918064766</v>
      </c>
      <c r="X23" s="883">
        <f t="shared" si="51"/>
        <v>0.19544858369098705</v>
      </c>
      <c r="Y23" s="883">
        <f t="shared" si="52"/>
        <v>0</v>
      </c>
      <c r="Z23" s="883">
        <f t="shared" si="53"/>
        <v>0</v>
      </c>
      <c r="AA23" s="883">
        <f t="shared" si="54"/>
        <v>4.5572750455702596E-2</v>
      </c>
      <c r="AB23" s="883">
        <f t="shared" si="37"/>
        <v>1.7608486864681876</v>
      </c>
      <c r="AC23" s="888">
        <f>Factors!E28</f>
        <v>1</v>
      </c>
      <c r="AD23" s="885">
        <f t="shared" si="55"/>
        <v>1.2977466531408504</v>
      </c>
      <c r="AE23" s="883">
        <f t="shared" si="56"/>
        <v>0.22208069918064766</v>
      </c>
      <c r="AF23" s="883">
        <f t="shared" si="57"/>
        <v>0.19544858369098705</v>
      </c>
      <c r="AG23" s="883">
        <f t="shared" si="58"/>
        <v>0</v>
      </c>
      <c r="AH23" s="883">
        <f t="shared" si="59"/>
        <v>0</v>
      </c>
      <c r="AI23" s="883">
        <f t="shared" si="60"/>
        <v>4.5572750455702596E-2</v>
      </c>
      <c r="AJ23" s="889">
        <f t="shared" si="9"/>
        <v>1.7608486864681876</v>
      </c>
      <c r="AK23" s="885">
        <f t="shared" si="30"/>
        <v>4.7584043948497845</v>
      </c>
      <c r="AL23" s="883">
        <f t="shared" si="31"/>
        <v>0.81429589699570804</v>
      </c>
      <c r="AM23" s="883">
        <f t="shared" si="32"/>
        <v>0.71664480686695253</v>
      </c>
      <c r="AN23" s="883">
        <f t="shared" si="33"/>
        <v>0</v>
      </c>
      <c r="AO23" s="883">
        <f t="shared" si="34"/>
        <v>0</v>
      </c>
      <c r="AP23" s="883">
        <f t="shared" si="35"/>
        <v>0.16710008500424284</v>
      </c>
      <c r="AQ23" s="890">
        <f t="shared" si="38"/>
        <v>6.4564451837166885</v>
      </c>
    </row>
    <row r="24" spans="1:43">
      <c r="A24" s="817"/>
      <c r="B24" s="860" t="s">
        <v>1600</v>
      </c>
      <c r="C24" s="883">
        <f>HLOOKUP($B$2,'Consumption Input'!$E$5:$AQ$82,'Consumption Input'!$B11)</f>
        <v>369.89100000000002</v>
      </c>
      <c r="D24" s="883">
        <f>HLOOKUP($B$2,'Consumption Input'!$E$5:$AQ$82,'Consumption Input'!$B17)</f>
        <v>107.04600000000001</v>
      </c>
      <c r="E24"/>
      <c r="F24" s="883">
        <f>HLOOKUP($B$2,'Consumption Input'!$E$5:$AQ$82,'Consumption Input'!$B53)</f>
        <v>19.437000000000001</v>
      </c>
      <c r="G24" s="883"/>
      <c r="H24"/>
      <c r="I24" s="883">
        <f>SUM(C24:H24)</f>
        <v>496.37400000000002</v>
      </c>
      <c r="J24" s="884"/>
      <c r="K24"/>
      <c r="L24" s="883"/>
      <c r="M24" s="883"/>
      <c r="N24" s="885">
        <f>C24</f>
        <v>369.89100000000002</v>
      </c>
      <c r="O24" s="883">
        <f t="shared" si="44"/>
        <v>107.04600000000001</v>
      </c>
      <c r="P24"/>
      <c r="Q24" s="883">
        <f t="shared" si="46"/>
        <v>19.437000000000001</v>
      </c>
      <c r="R24" s="883">
        <f t="shared" si="47"/>
        <v>0</v>
      </c>
      <c r="S24" s="886">
        <f t="shared" si="48"/>
        <v>0</v>
      </c>
      <c r="T24" s="883">
        <f t="shared" si="7"/>
        <v>496.37400000000002</v>
      </c>
      <c r="U24" s="1005">
        <f>HLOOKUP($B$2,Factors!$J$12:$BE$25,Factors!$H17,FALSE)</f>
        <v>17.146363636363635</v>
      </c>
      <c r="V24" s="885">
        <f>N24*$U24*TbtuToQBtu</f>
        <v>6.3422855918181815</v>
      </c>
      <c r="W24" s="883">
        <f>O24*$U24*TbtuToQBtu</f>
        <v>1.8354496418181818</v>
      </c>
      <c r="X24"/>
      <c r="Y24" s="883">
        <f>Q24*$U24*TbtuToQBtu</f>
        <v>0.33327386999999997</v>
      </c>
      <c r="Z24" s="883">
        <f t="shared" ref="Z24" si="61">R24*$U24*TbtuToQBtu</f>
        <v>0</v>
      </c>
      <c r="AA24"/>
      <c r="AB24" s="883">
        <f>SUM(V24:AA24)</f>
        <v>8.5110091036363631</v>
      </c>
      <c r="AC24" s="888">
        <f>Factors!E30</f>
        <v>1</v>
      </c>
      <c r="AD24" s="885">
        <f>V24*$AC24</f>
        <v>6.3422855918181815</v>
      </c>
      <c r="AE24" s="883">
        <f t="shared" si="56"/>
        <v>1.8354496418181818</v>
      </c>
      <c r="AF24"/>
      <c r="AG24" s="883">
        <f t="shared" si="56"/>
        <v>0.33327386999999997</v>
      </c>
      <c r="AH24" s="883">
        <f t="shared" si="56"/>
        <v>0</v>
      </c>
      <c r="AI24"/>
      <c r="AJ24" s="889">
        <f t="shared" si="9"/>
        <v>8.5110091036363631</v>
      </c>
      <c r="AK24" s="885">
        <f>AD24*CtoCO2</f>
        <v>23.255047169999997</v>
      </c>
      <c r="AL24" s="883">
        <f t="shared" ref="AL24" si="62">AE24*CtoCO2</f>
        <v>6.7299820199999996</v>
      </c>
      <c r="AN24" s="883">
        <f t="shared" ref="AN24" si="63">AG24*CtoCO2</f>
        <v>1.2220041899999998</v>
      </c>
      <c r="AO24" s="883">
        <f t="shared" ref="AO24" si="64">AH24*CtoCO2</f>
        <v>0</v>
      </c>
      <c r="AQ24" s="890">
        <f t="shared" si="38"/>
        <v>31.207033379999999</v>
      </c>
    </row>
    <row r="25" spans="1:43">
      <c r="A25" s="817"/>
      <c r="B25" s="860" t="s">
        <v>1609</v>
      </c>
      <c r="C25" s="883"/>
      <c r="D25" s="883"/>
      <c r="E25" s="883">
        <f>HLOOKUP($B$2,'Consumption Input'!$E$5:$AQ$82,'Consumption Input'!$B30)</f>
        <v>1774.584744773</v>
      </c>
      <c r="F25" s="883"/>
      <c r="G25" s="883"/>
      <c r="H25" s="883">
        <f>HLOOKUP($B$2,'US Territories'!$D$28:$AO$38,'US Territories'!$B34)</f>
        <v>5.4558585958352106</v>
      </c>
      <c r="I25" s="883">
        <f>SUM(C25:H25)</f>
        <v>1780.0406033688353</v>
      </c>
      <c r="J25" s="884"/>
      <c r="K25" s="883">
        <f>HLOOKUP($B$2,NEUConsumption,'Non-Energy Use'!$C$11)</f>
        <v>1525.5564260453011</v>
      </c>
      <c r="L25" s="883"/>
      <c r="M25" s="883"/>
      <c r="N25" s="885"/>
      <c r="O25" s="883"/>
      <c r="P25" s="883">
        <f>E25-K25</f>
        <v>249.02831872769889</v>
      </c>
      <c r="Q25" s="883"/>
      <c r="R25" s="883"/>
      <c r="S25" s="886">
        <f>H25-M25</f>
        <v>5.4558585958352106</v>
      </c>
      <c r="T25" s="883">
        <f t="shared" si="7"/>
        <v>254.48417732353411</v>
      </c>
      <c r="U25" s="1005">
        <f>HLOOKUP($B$2,Factors!$J$12:$BE$25,Factors!$H18,FALSE)</f>
        <v>17.381129202360352</v>
      </c>
      <c r="V25" s="885"/>
      <c r="W25" s="883"/>
      <c r="X25" s="883">
        <f>P25*$U25*TbtuToQBtu</f>
        <v>4.3283933828527088</v>
      </c>
      <c r="Y25" s="883"/>
      <c r="Z25" s="883"/>
      <c r="AA25" s="883">
        <f>S25*$U25*TbtuToQBtu</f>
        <v>9.4828983164020136E-2</v>
      </c>
      <c r="AB25" s="883">
        <f>SUM(V25:AA25)</f>
        <v>4.4232223660167289</v>
      </c>
      <c r="AC25" s="888">
        <f>Factors!E31</f>
        <v>1</v>
      </c>
      <c r="AD25" s="885"/>
      <c r="AE25" s="883"/>
      <c r="AF25" s="883">
        <f>X25*$AC25</f>
        <v>4.3283933828527088</v>
      </c>
      <c r="AG25" s="883"/>
      <c r="AH25" s="883"/>
      <c r="AI25" s="883">
        <f>AA25*$AC25</f>
        <v>9.4828983164020136E-2</v>
      </c>
      <c r="AJ25" s="889">
        <f t="shared" si="9"/>
        <v>4.4232223660167289</v>
      </c>
      <c r="AK25" s="885"/>
      <c r="AL25" s="883"/>
      <c r="AM25" s="883">
        <f>AF25*CtoCO2</f>
        <v>15.870775737126598</v>
      </c>
      <c r="AN25" s="883"/>
      <c r="AO25" s="883"/>
      <c r="AP25" s="883">
        <f>AI25*CtoCO2</f>
        <v>0.34770627160140716</v>
      </c>
      <c r="AQ25" s="890">
        <f t="shared" si="38"/>
        <v>16.218482008728007</v>
      </c>
    </row>
    <row r="26" spans="1:43">
      <c r="A26" s="817"/>
      <c r="B26" s="860" t="s">
        <v>1610</v>
      </c>
      <c r="C26" s="883"/>
      <c r="D26" s="883"/>
      <c r="E26" s="883">
        <f>HLOOKUP($B$2,'Consumption Input'!$E$5:$AQ$82,'Consumption Input'!$B31)</f>
        <v>169.96</v>
      </c>
      <c r="F26" s="883">
        <f>HLOOKUP($B$2,'Consumption Input'!$E$5:$AQ$82,'Consumption Input'!$B54)</f>
        <v>160.52699999999996</v>
      </c>
      <c r="G26" s="883"/>
      <c r="H26" s="883">
        <f>HLOOKUP($B$2,'US Territories'!$D$28:$Z$38,'US Territories'!$B35)</f>
        <v>1.4709201899999997</v>
      </c>
      <c r="I26" s="883">
        <f t="shared" si="36"/>
        <v>331.95792018999998</v>
      </c>
      <c r="J26" s="961"/>
      <c r="K26" s="940">
        <f>HLOOKUP($B$2,NEUConsumption,'Non-Energy Use'!$C$12)</f>
        <v>169.96</v>
      </c>
      <c r="L26" s="940">
        <f>HLOOKUP($B$2,NEUConsumption,'Non-Energy Use'!$C$24)</f>
        <v>160.52699999999996</v>
      </c>
      <c r="M26" s="940">
        <f>HLOOKUP($B$2,NEUConsumption,'Non-Energy Use'!$C$26)</f>
        <v>1.4709201899999997</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7"/>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101.30830423941403</v>
      </c>
      <c r="E27" s="883">
        <f>HLOOKUP($B$2,'Consumption Input'!$E$5:$AQ$82,'Consumption Input'!$B32)</f>
        <v>247.26111013930699</v>
      </c>
      <c r="F27" s="883">
        <f>HLOOKUP($B$2,'Consumption Input'!$E$5:$AQ$82,'Consumption Input'!$B55)</f>
        <v>13623.953585621284</v>
      </c>
      <c r="G27" s="883"/>
      <c r="H27" s="883">
        <f>HLOOKUP($B$2,'US Territories'!$D$28:$Z$38,'US Territories'!$B36)</f>
        <v>82.71611699940091</v>
      </c>
      <c r="I27" s="883">
        <f t="shared" si="36"/>
        <v>14055.239116999406</v>
      </c>
      <c r="J27" s="961"/>
      <c r="K27" s="940"/>
      <c r="L27" s="940"/>
      <c r="M27" s="940"/>
      <c r="N27" s="885">
        <f t="shared" si="43"/>
        <v>0</v>
      </c>
      <c r="O27" s="883">
        <f t="shared" si="44"/>
        <v>101.30830423941403</v>
      </c>
      <c r="P27" s="883">
        <f t="shared" si="45"/>
        <v>247.26111013930699</v>
      </c>
      <c r="Q27" s="883">
        <f t="shared" si="46"/>
        <v>13623.953585621284</v>
      </c>
      <c r="R27" s="883">
        <f t="shared" si="47"/>
        <v>0</v>
      </c>
      <c r="S27" s="886">
        <f t="shared" si="48"/>
        <v>82.71611699940091</v>
      </c>
      <c r="T27" s="883">
        <f t="shared" si="7"/>
        <v>14055.239116999406</v>
      </c>
      <c r="U27" s="887">
        <f>HLOOKUP($B$2,Factors!$J$12:$Y$25,Factors!$H20)</f>
        <v>19.491985360913997</v>
      </c>
      <c r="V27" s="885">
        <f t="shared" si="49"/>
        <v>0</v>
      </c>
      <c r="W27" s="883">
        <f t="shared" si="50"/>
        <v>1.9746999831736796</v>
      </c>
      <c r="X27" s="883">
        <f t="shared" si="51"/>
        <v>4.8196099391587151</v>
      </c>
      <c r="Y27" s="883">
        <f t="shared" si="52"/>
        <v>265.55790384870187</v>
      </c>
      <c r="Z27" s="883">
        <f t="shared" si="53"/>
        <v>0</v>
      </c>
      <c r="AA27" s="883">
        <f t="shared" si="54"/>
        <v>1.612301341663972</v>
      </c>
      <c r="AB27" s="883">
        <f t="shared" si="37"/>
        <v>273.96451511269822</v>
      </c>
      <c r="AC27" s="888">
        <f>Factors!E34</f>
        <v>1</v>
      </c>
      <c r="AD27" s="885">
        <f t="shared" si="55"/>
        <v>0</v>
      </c>
      <c r="AE27" s="883">
        <f t="shared" si="56"/>
        <v>1.9746999831736796</v>
      </c>
      <c r="AF27" s="883">
        <f t="shared" si="57"/>
        <v>4.8196099391587151</v>
      </c>
      <c r="AG27" s="883">
        <f>Y27*$AC44</f>
        <v>265.55790384870187</v>
      </c>
      <c r="AH27" s="883">
        <f t="shared" si="59"/>
        <v>0</v>
      </c>
      <c r="AI27" s="883">
        <f t="shared" si="60"/>
        <v>1.612301341663972</v>
      </c>
      <c r="AJ27" s="889">
        <f t="shared" si="9"/>
        <v>273.96451511269822</v>
      </c>
      <c r="AK27" s="885">
        <f t="shared" si="30"/>
        <v>0</v>
      </c>
      <c r="AL27" s="883">
        <f t="shared" si="31"/>
        <v>7.2405666049701578</v>
      </c>
      <c r="AM27" s="883">
        <f t="shared" si="32"/>
        <v>17.671903110248621</v>
      </c>
      <c r="AN27" s="883">
        <f t="shared" si="33"/>
        <v>973.71231411190684</v>
      </c>
      <c r="AO27" s="883">
        <f t="shared" si="34"/>
        <v>0</v>
      </c>
      <c r="AP27" s="883">
        <f t="shared" si="35"/>
        <v>5.9117715861012305</v>
      </c>
      <c r="AQ27" s="890">
        <f t="shared" si="38"/>
        <v>1004.5365554132269</v>
      </c>
    </row>
    <row r="28" spans="1:43">
      <c r="A28" s="817"/>
      <c r="B28" s="860" t="s">
        <v>1602</v>
      </c>
      <c r="C28" s="883"/>
      <c r="D28" s="883">
        <f>HLOOKUP($B$2,'Consumption Input'!$E$5:$AQ$82,'Consumption Input'!$B19)</f>
        <v>189.08099999999999</v>
      </c>
      <c r="E28" s="883">
        <f>HLOOKUP($B$2,'Consumption Input'!$E$5:$AQ$82,'Consumption Input'!$B33)</f>
        <v>328.05710599999998</v>
      </c>
      <c r="F28" s="883">
        <f>HLOOKUP($B$2,'Consumption Input'!$E$5:$AQ$82,'Consumption Input'!$B56)</f>
        <v>1069.9689999999998</v>
      </c>
      <c r="G28" s="883">
        <f>HLOOKUP($B$2,'Consumption Input'!$E$5:$AQ$82,'Consumption Input'!$B61)</f>
        <v>872.17</v>
      </c>
      <c r="H28" s="883">
        <f>HLOOKUP($B$2,'US Territories'!$D$28:$Z$38,'US Territories'!$B37)</f>
        <v>93.309247003254015</v>
      </c>
      <c r="I28" s="883">
        <f t="shared" si="36"/>
        <v>2552.5863530032539</v>
      </c>
      <c r="J28" s="961">
        <f>HLOOKUP($B$2,IBFConsumption,'International Bunker Fuels'!$B$9)</f>
        <v>669.84178850199987</v>
      </c>
      <c r="K28" s="940"/>
      <c r="L28" s="940"/>
      <c r="M28" s="940"/>
      <c r="N28" s="885">
        <f t="shared" si="43"/>
        <v>0</v>
      </c>
      <c r="O28" s="883">
        <f t="shared" si="44"/>
        <v>189.08099999999999</v>
      </c>
      <c r="P28" s="883">
        <f t="shared" si="45"/>
        <v>328.05710599999998</v>
      </c>
      <c r="Q28" s="883">
        <f t="shared" si="46"/>
        <v>400.12721149799995</v>
      </c>
      <c r="R28" s="883">
        <f t="shared" si="47"/>
        <v>872.17</v>
      </c>
      <c r="S28" s="886">
        <f t="shared" si="48"/>
        <v>93.309247003254015</v>
      </c>
      <c r="T28" s="883">
        <f t="shared" si="7"/>
        <v>1882.744564501254</v>
      </c>
      <c r="U28" s="887">
        <f>Factors!D36</f>
        <v>20.48</v>
      </c>
      <c r="V28" s="885">
        <f t="shared" si="49"/>
        <v>0</v>
      </c>
      <c r="W28" s="883">
        <f t="shared" si="50"/>
        <v>3.8723788799999999</v>
      </c>
      <c r="X28" s="883">
        <f t="shared" si="51"/>
        <v>6.7186095308799993</v>
      </c>
      <c r="Y28" s="883">
        <f t="shared" si="52"/>
        <v>8.1946052914790393</v>
      </c>
      <c r="Z28" s="883">
        <f t="shared" si="53"/>
        <v>17.862041600000001</v>
      </c>
      <c r="AA28" s="883">
        <f t="shared" si="54"/>
        <v>1.9109733786266423</v>
      </c>
      <c r="AB28" s="883">
        <f t="shared" si="37"/>
        <v>38.558608680985678</v>
      </c>
      <c r="AC28" s="888">
        <f>Factors!E36</f>
        <v>1</v>
      </c>
      <c r="AD28" s="885">
        <f t="shared" si="55"/>
        <v>0</v>
      </c>
      <c r="AE28" s="883">
        <f t="shared" si="56"/>
        <v>3.8723788799999999</v>
      </c>
      <c r="AF28" s="883">
        <f t="shared" si="57"/>
        <v>6.7186095308799993</v>
      </c>
      <c r="AG28" s="883">
        <f t="shared" si="58"/>
        <v>8.1946052914790393</v>
      </c>
      <c r="AH28" s="883">
        <f t="shared" si="59"/>
        <v>17.862041600000001</v>
      </c>
      <c r="AI28" s="883">
        <f t="shared" si="60"/>
        <v>1.9109733786266423</v>
      </c>
      <c r="AJ28" s="889">
        <f t="shared" si="9"/>
        <v>38.558608680985678</v>
      </c>
      <c r="AK28" s="885">
        <f t="shared" si="30"/>
        <v>0</v>
      </c>
      <c r="AL28" s="883">
        <f t="shared" si="31"/>
        <v>14.198722559999998</v>
      </c>
      <c r="AM28" s="883">
        <f t="shared" si="32"/>
        <v>24.634901613226663</v>
      </c>
      <c r="AN28" s="883">
        <f t="shared" si="33"/>
        <v>30.046886068756475</v>
      </c>
      <c r="AO28" s="883">
        <f t="shared" si="34"/>
        <v>65.494152533333335</v>
      </c>
      <c r="AP28" s="883">
        <f t="shared" si="35"/>
        <v>7.0069023882976884</v>
      </c>
      <c r="AQ28" s="890">
        <f t="shared" si="38"/>
        <v>141.38156516361414</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7"/>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0.15648799999999999</v>
      </c>
      <c r="F30" s="883"/>
      <c r="G30" s="883"/>
      <c r="H30" s="883"/>
      <c r="I30" s="883">
        <f t="shared" si="36"/>
        <v>0.15648799999999999</v>
      </c>
      <c r="J30" s="961"/>
      <c r="K30" s="940"/>
      <c r="L30" s="940"/>
      <c r="M30" s="940"/>
      <c r="N30" s="885">
        <f t="shared" si="43"/>
        <v>0</v>
      </c>
      <c r="O30" s="883">
        <f t="shared" si="44"/>
        <v>0</v>
      </c>
      <c r="P30" s="883">
        <f t="shared" si="45"/>
        <v>0.15648799999999999</v>
      </c>
      <c r="Q30" s="883">
        <f t="shared" si="46"/>
        <v>0</v>
      </c>
      <c r="R30" s="883">
        <f t="shared" si="47"/>
        <v>0</v>
      </c>
      <c r="S30" s="886">
        <f t="shared" si="48"/>
        <v>0</v>
      </c>
      <c r="T30" s="883">
        <f t="shared" si="7"/>
        <v>0.15648799999999999</v>
      </c>
      <c r="U30" s="887">
        <f>Factors!D39</f>
        <v>18.87</v>
      </c>
      <c r="V30" s="885">
        <f t="shared" si="49"/>
        <v>0</v>
      </c>
      <c r="W30" s="883">
        <f t="shared" si="50"/>
        <v>0</v>
      </c>
      <c r="X30" s="883">
        <f t="shared" si="51"/>
        <v>2.95292856E-3</v>
      </c>
      <c r="Y30" s="883">
        <f t="shared" si="52"/>
        <v>0</v>
      </c>
      <c r="Z30" s="883">
        <f t="shared" si="53"/>
        <v>0</v>
      </c>
      <c r="AA30" s="883">
        <f t="shared" si="54"/>
        <v>0</v>
      </c>
      <c r="AB30" s="883">
        <f t="shared" si="37"/>
        <v>2.95292856E-3</v>
      </c>
      <c r="AC30" s="888">
        <f>Factors!E39</f>
        <v>1</v>
      </c>
      <c r="AD30" s="885">
        <f t="shared" si="55"/>
        <v>0</v>
      </c>
      <c r="AE30" s="883">
        <f t="shared" si="56"/>
        <v>0</v>
      </c>
      <c r="AF30" s="883">
        <f t="shared" si="57"/>
        <v>2.95292856E-3</v>
      </c>
      <c r="AG30" s="883">
        <f t="shared" si="58"/>
        <v>0</v>
      </c>
      <c r="AH30" s="883">
        <f t="shared" si="59"/>
        <v>0</v>
      </c>
      <c r="AI30" s="883">
        <f t="shared" si="60"/>
        <v>0</v>
      </c>
      <c r="AJ30" s="889">
        <f t="shared" si="9"/>
        <v>2.95292856E-3</v>
      </c>
      <c r="AK30" s="885">
        <f t="shared" si="30"/>
        <v>0</v>
      </c>
      <c r="AL30" s="883">
        <f t="shared" si="31"/>
        <v>0</v>
      </c>
      <c r="AM30" s="883">
        <f t="shared" si="32"/>
        <v>1.0827404719999999E-2</v>
      </c>
      <c r="AN30" s="883">
        <f t="shared" si="33"/>
        <v>0</v>
      </c>
      <c r="AO30" s="883">
        <f t="shared" si="34"/>
        <v>0</v>
      </c>
      <c r="AP30" s="883">
        <f t="shared" si="35"/>
        <v>0</v>
      </c>
      <c r="AQ30" s="890">
        <f t="shared" si="38"/>
        <v>1.0827404719999999E-2</v>
      </c>
    </row>
    <row r="31" spans="1:43">
      <c r="A31" s="817"/>
      <c r="B31" s="865" t="s">
        <v>1612</v>
      </c>
      <c r="C31" s="883"/>
      <c r="D31" s="883"/>
      <c r="E31" s="883">
        <f>HLOOKUP($B$2,'Consumption Input'!$E$5:$AQ$82,'Consumption Input'!$B36)</f>
        <v>27.3644</v>
      </c>
      <c r="F31" s="883"/>
      <c r="G31" s="883"/>
      <c r="H31" s="883"/>
      <c r="I31" s="883">
        <f t="shared" si="36"/>
        <v>27.3644</v>
      </c>
      <c r="J31" s="961"/>
      <c r="K31" s="940"/>
      <c r="L31" s="940"/>
      <c r="M31" s="940"/>
      <c r="N31" s="885">
        <f t="shared" si="43"/>
        <v>0</v>
      </c>
      <c r="O31" s="883">
        <f t="shared" si="44"/>
        <v>0</v>
      </c>
      <c r="P31" s="883">
        <f t="shared" si="45"/>
        <v>27.3644</v>
      </c>
      <c r="Q31" s="883">
        <f t="shared" si="46"/>
        <v>0</v>
      </c>
      <c r="R31" s="883">
        <f t="shared" si="47"/>
        <v>0</v>
      </c>
      <c r="S31" s="886">
        <f t="shared" si="48"/>
        <v>0</v>
      </c>
      <c r="T31" s="883">
        <f t="shared" si="7"/>
        <v>27.3644</v>
      </c>
      <c r="U31" s="887">
        <f>HLOOKUP($B$2,Factors!$J$12:$Y$25,Factors!$H25)</f>
        <v>20.201049222586207</v>
      </c>
      <c r="V31" s="885">
        <f t="shared" si="49"/>
        <v>0</v>
      </c>
      <c r="W31" s="883">
        <f t="shared" si="50"/>
        <v>0</v>
      </c>
      <c r="X31" s="883">
        <f t="shared" si="51"/>
        <v>0.55278959134653805</v>
      </c>
      <c r="Y31" s="883">
        <f t="shared" si="52"/>
        <v>0</v>
      </c>
      <c r="Z31" s="883">
        <f t="shared" si="53"/>
        <v>0</v>
      </c>
      <c r="AA31" s="883">
        <f t="shared" si="54"/>
        <v>0</v>
      </c>
      <c r="AB31" s="883">
        <f t="shared" si="37"/>
        <v>0.55278959134653805</v>
      </c>
      <c r="AC31" s="888">
        <f>Factors!E40</f>
        <v>1</v>
      </c>
      <c r="AD31" s="885">
        <f t="shared" si="55"/>
        <v>0</v>
      </c>
      <c r="AE31" s="883">
        <f t="shared" si="56"/>
        <v>0</v>
      </c>
      <c r="AF31" s="883">
        <f t="shared" si="57"/>
        <v>0.55278959134653805</v>
      </c>
      <c r="AG31" s="883">
        <f t="shared" si="58"/>
        <v>0</v>
      </c>
      <c r="AH31" s="883">
        <f t="shared" si="59"/>
        <v>0</v>
      </c>
      <c r="AI31" s="883">
        <f t="shared" si="60"/>
        <v>0</v>
      </c>
      <c r="AJ31" s="889">
        <f t="shared" si="9"/>
        <v>0.55278959134653805</v>
      </c>
      <c r="AK31" s="885">
        <f t="shared" si="30"/>
        <v>0</v>
      </c>
      <c r="AL31" s="883">
        <f t="shared" si="31"/>
        <v>0</v>
      </c>
      <c r="AM31" s="883">
        <f t="shared" si="32"/>
        <v>2.0268951682706393</v>
      </c>
      <c r="AN31" s="883">
        <f t="shared" si="33"/>
        <v>0</v>
      </c>
      <c r="AO31" s="883">
        <f t="shared" si="34"/>
        <v>0</v>
      </c>
      <c r="AP31" s="883">
        <f t="shared" si="35"/>
        <v>0</v>
      </c>
      <c r="AQ31" s="890">
        <f t="shared" si="38"/>
        <v>2.0268951682706393</v>
      </c>
    </row>
    <row r="32" spans="1:43">
      <c r="A32" s="817"/>
      <c r="B32" s="865" t="s">
        <v>1613</v>
      </c>
      <c r="C32" s="883"/>
      <c r="D32" s="883"/>
      <c r="E32" s="883">
        <f>HLOOKUP($B$2,'Consumption Input'!$E$5:$AQ$82,'Consumption Input'!$B37)</f>
        <v>75.685224000000005</v>
      </c>
      <c r="F32" s="883"/>
      <c r="G32" s="883"/>
      <c r="H32" s="883"/>
      <c r="I32" s="883">
        <f t="shared" si="36"/>
        <v>75.685224000000005</v>
      </c>
      <c r="J32" s="961"/>
      <c r="K32" s="940"/>
      <c r="L32" s="940"/>
      <c r="M32" s="940"/>
      <c r="N32" s="885">
        <f t="shared" si="43"/>
        <v>0</v>
      </c>
      <c r="O32" s="883">
        <f t="shared" si="44"/>
        <v>0</v>
      </c>
      <c r="P32" s="883">
        <f t="shared" si="45"/>
        <v>75.685224000000005</v>
      </c>
      <c r="Q32" s="883">
        <f t="shared" si="46"/>
        <v>0</v>
      </c>
      <c r="R32" s="883">
        <f t="shared" si="47"/>
        <v>0</v>
      </c>
      <c r="S32" s="886">
        <f t="shared" si="48"/>
        <v>0</v>
      </c>
      <c r="T32" s="883">
        <f t="shared" si="7"/>
        <v>75.685224000000005</v>
      </c>
      <c r="U32" s="887">
        <f>HLOOKUP($B$2,Factors!$J$12:$Y$25,Factors!$H22)</f>
        <v>19.491985360913997</v>
      </c>
      <c r="V32" s="885">
        <f t="shared" si="49"/>
        <v>0</v>
      </c>
      <c r="W32" s="883">
        <f t="shared" si="50"/>
        <v>0</v>
      </c>
      <c r="X32" s="883">
        <f t="shared" si="51"/>
        <v>1.4752552782454968</v>
      </c>
      <c r="Y32" s="883">
        <f t="shared" si="52"/>
        <v>0</v>
      </c>
      <c r="Z32" s="883">
        <f t="shared" si="53"/>
        <v>0</v>
      </c>
      <c r="AA32" s="883">
        <f t="shared" si="54"/>
        <v>0</v>
      </c>
      <c r="AB32" s="883">
        <f t="shared" si="37"/>
        <v>1.4752552782454968</v>
      </c>
      <c r="AC32" s="888">
        <f>Factors!E41</f>
        <v>1</v>
      </c>
      <c r="AD32" s="885">
        <f t="shared" si="55"/>
        <v>0</v>
      </c>
      <c r="AE32" s="883">
        <f t="shared" si="56"/>
        <v>0</v>
      </c>
      <c r="AF32" s="883">
        <f t="shared" si="57"/>
        <v>1.4752552782454968</v>
      </c>
      <c r="AG32" s="883">
        <f t="shared" si="58"/>
        <v>0</v>
      </c>
      <c r="AH32" s="883">
        <f t="shared" si="59"/>
        <v>0</v>
      </c>
      <c r="AI32" s="883">
        <f t="shared" si="60"/>
        <v>0</v>
      </c>
      <c r="AJ32" s="889">
        <f t="shared" si="9"/>
        <v>1.4752552782454968</v>
      </c>
      <c r="AK32" s="885">
        <f t="shared" si="30"/>
        <v>0</v>
      </c>
      <c r="AL32" s="883">
        <f t="shared" si="31"/>
        <v>0</v>
      </c>
      <c r="AM32" s="883">
        <f t="shared" si="32"/>
        <v>5.4092693535668213</v>
      </c>
      <c r="AN32" s="883">
        <f t="shared" si="33"/>
        <v>0</v>
      </c>
      <c r="AO32" s="883">
        <f t="shared" si="34"/>
        <v>0</v>
      </c>
      <c r="AP32" s="883">
        <f t="shared" si="35"/>
        <v>0</v>
      </c>
      <c r="AQ32" s="890">
        <f t="shared" si="38"/>
        <v>5.4092693535668213</v>
      </c>
    </row>
    <row r="33" spans="1:43">
      <c r="A33" s="817"/>
      <c r="B33" s="865" t="s">
        <v>1739</v>
      </c>
      <c r="C33" s="883"/>
      <c r="D33" s="883"/>
      <c r="E33" s="883">
        <f>HLOOKUP($B$2,'Consumption Input'!$E$5:$AQ$82,'Consumption Input'!$B38)</f>
        <v>100.062144</v>
      </c>
      <c r="F33" s="883"/>
      <c r="G33" s="883"/>
      <c r="H33" s="883">
        <f>HLOOKUP($B$2,'US Territories'!$D$28:$Z$38,'US Territories'!$B$38)</f>
        <v>34.11380607975677</v>
      </c>
      <c r="I33" s="883">
        <f t="shared" si="36"/>
        <v>134.17595007975677</v>
      </c>
      <c r="J33" s="961"/>
      <c r="K33" s="940">
        <f>HLOOKUP($B$2,NEUConsumption,'Non-Energy Use'!C22)</f>
        <v>100.062144</v>
      </c>
      <c r="L33" s="940"/>
      <c r="M33" s="940">
        <f>HLOOKUP($B$2,NEUConsumption,'Non-Energy Use'!$C$27)</f>
        <v>34.11380607975677</v>
      </c>
      <c r="N33" s="885">
        <f t="shared" si="43"/>
        <v>0</v>
      </c>
      <c r="O33" s="883">
        <f t="shared" si="44"/>
        <v>0</v>
      </c>
      <c r="P33" s="883">
        <f t="shared" si="45"/>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7"/>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377.12652800000001</v>
      </c>
      <c r="F34" s="883"/>
      <c r="G34" s="883"/>
      <c r="H34" s="883"/>
      <c r="I34" s="883">
        <f t="shared" si="36"/>
        <v>377.12652800000001</v>
      </c>
      <c r="J34" s="961"/>
      <c r="K34" s="940">
        <f>HLOOKUP($B$2,NEUConsumption,'Non-Energy Use'!C14)</f>
        <v>377.12652800000001</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7"/>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814.51557500000001</v>
      </c>
      <c r="F35" s="883"/>
      <c r="G35" s="883"/>
      <c r="H35" s="883"/>
      <c r="I35" s="883">
        <f t="shared" si="36"/>
        <v>814.51557500000001</v>
      </c>
      <c r="J35" s="961"/>
      <c r="K35" s="940">
        <f>HLOOKUP($B$2,NEUConsumption,'Non-Energy Use'!$C$15)</f>
        <v>814.51557500000001</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7"/>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7"/>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7.2999999999999995E-2</v>
      </c>
      <c r="E37" s="883">
        <f>HLOOKUP($B$2,'Consumption Input'!$E$5:$AQ$82,'Consumption Input'!$B42)</f>
        <v>797.70600000000002</v>
      </c>
      <c r="F37" s="883"/>
      <c r="G37" s="883">
        <f>HLOOKUP($B$2,'Consumption Input'!$E$5:$AQ$82,'Consumption Input'!$B63)</f>
        <v>45.005999999999993</v>
      </c>
      <c r="H37" s="883"/>
      <c r="I37" s="883">
        <f t="shared" si="36"/>
        <v>842.78499999999997</v>
      </c>
      <c r="J37" s="961"/>
      <c r="K37" s="940">
        <f>HLOOKUP($B$2,NEUConsumption,'Non-Energy Use'!$C$17)</f>
        <v>171.01352964211358</v>
      </c>
      <c r="L37" s="940"/>
      <c r="M37" s="940"/>
      <c r="N37" s="885">
        <f t="shared" si="43"/>
        <v>0</v>
      </c>
      <c r="O37" s="883">
        <f t="shared" si="44"/>
        <v>7.2999999999999995E-2</v>
      </c>
      <c r="P37" s="883">
        <f t="shared" si="45"/>
        <v>626.69247035788646</v>
      </c>
      <c r="Q37" s="883">
        <f t="shared" si="46"/>
        <v>0</v>
      </c>
      <c r="R37" s="883">
        <f t="shared" si="47"/>
        <v>45.005999999999993</v>
      </c>
      <c r="S37" s="886">
        <f t="shared" si="48"/>
        <v>0</v>
      </c>
      <c r="T37" s="883">
        <f t="shared" si="7"/>
        <v>671.77147035788641</v>
      </c>
      <c r="U37" s="887">
        <f>Factors!D48</f>
        <v>27.84770010865628</v>
      </c>
      <c r="V37" s="885">
        <f t="shared" si="49"/>
        <v>0</v>
      </c>
      <c r="W37" s="883">
        <f t="shared" si="50"/>
        <v>2.0328821079319084E-3</v>
      </c>
      <c r="X37" s="883">
        <f t="shared" si="51"/>
        <v>17.451943974879388</v>
      </c>
      <c r="Y37" s="883">
        <f t="shared" si="52"/>
        <v>0</v>
      </c>
      <c r="Z37" s="883">
        <f t="shared" si="53"/>
        <v>1.2533135910901845</v>
      </c>
      <c r="AA37" s="883">
        <f t="shared" si="54"/>
        <v>0</v>
      </c>
      <c r="AB37" s="883">
        <f t="shared" si="37"/>
        <v>18.707290448077504</v>
      </c>
      <c r="AC37" s="888">
        <f>Factors!E48</f>
        <v>1</v>
      </c>
      <c r="AD37" s="885">
        <f t="shared" si="55"/>
        <v>0</v>
      </c>
      <c r="AE37" s="883">
        <f t="shared" si="56"/>
        <v>2.0328821079319084E-3</v>
      </c>
      <c r="AF37" s="883">
        <f t="shared" si="57"/>
        <v>17.451943974879388</v>
      </c>
      <c r="AG37" s="883">
        <f t="shared" si="58"/>
        <v>0</v>
      </c>
      <c r="AH37" s="883">
        <f t="shared" si="59"/>
        <v>1.2533135910901845</v>
      </c>
      <c r="AI37" s="883">
        <f t="shared" si="60"/>
        <v>0</v>
      </c>
      <c r="AJ37" s="889">
        <f t="shared" si="9"/>
        <v>18.707290448077504</v>
      </c>
      <c r="AK37" s="885">
        <f t="shared" si="30"/>
        <v>0</v>
      </c>
      <c r="AL37" s="883">
        <f t="shared" si="31"/>
        <v>7.4539010624169967E-3</v>
      </c>
      <c r="AM37" s="883">
        <f t="shared" si="32"/>
        <v>63.990461241224416</v>
      </c>
      <c r="AN37" s="883">
        <f t="shared" si="33"/>
        <v>0</v>
      </c>
      <c r="AO37" s="883">
        <f t="shared" si="34"/>
        <v>4.5954831673306762</v>
      </c>
      <c r="AP37" s="883">
        <f t="shared" si="35"/>
        <v>0</v>
      </c>
      <c r="AQ37" s="890">
        <f t="shared" si="38"/>
        <v>68.593398309617513</v>
      </c>
    </row>
    <row r="38" spans="1:43">
      <c r="A38" s="817"/>
      <c r="B38" s="865" t="s">
        <v>1618</v>
      </c>
      <c r="C38" s="883"/>
      <c r="D38" s="883"/>
      <c r="E38" s="883">
        <f>HLOOKUP($B$2,'Consumption Input'!$E$5:$AQ$82,'Consumption Input'!$B43)</f>
        <v>1446.96</v>
      </c>
      <c r="F38" s="883"/>
      <c r="G38" s="883"/>
      <c r="H38" s="883"/>
      <c r="I38" s="883">
        <f t="shared" si="36"/>
        <v>1446.96</v>
      </c>
      <c r="J38" s="961"/>
      <c r="K38" s="940">
        <f>HLOOKUP($B$2,NEUConsumption,'Non-Energy Use'!$C$16)</f>
        <v>28.54200000000003</v>
      </c>
      <c r="L38" s="940"/>
      <c r="M38" s="940"/>
      <c r="N38" s="885">
        <f t="shared" si="43"/>
        <v>0</v>
      </c>
      <c r="O38" s="883">
        <f t="shared" si="44"/>
        <v>0</v>
      </c>
      <c r="P38" s="883">
        <f t="shared" si="45"/>
        <v>1418.4180000000001</v>
      </c>
      <c r="Q38" s="883">
        <f t="shared" si="46"/>
        <v>0</v>
      </c>
      <c r="R38" s="883">
        <f t="shared" si="47"/>
        <v>0</v>
      </c>
      <c r="S38" s="886">
        <f t="shared" si="48"/>
        <v>0</v>
      </c>
      <c r="T38" s="883">
        <f t="shared" si="7"/>
        <v>1418.4180000000001</v>
      </c>
      <c r="U38" s="887">
        <f>Factors!D51</f>
        <v>18.195454545454545</v>
      </c>
      <c r="V38" s="885">
        <f t="shared" si="49"/>
        <v>0</v>
      </c>
      <c r="W38" s="883">
        <f t="shared" si="50"/>
        <v>0</v>
      </c>
      <c r="X38" s="883">
        <f t="shared" si="51"/>
        <v>25.80876024545455</v>
      </c>
      <c r="Y38" s="883">
        <f t="shared" si="52"/>
        <v>0</v>
      </c>
      <c r="Z38" s="883">
        <f t="shared" si="53"/>
        <v>0</v>
      </c>
      <c r="AA38" s="883">
        <f t="shared" si="54"/>
        <v>0</v>
      </c>
      <c r="AB38" s="883">
        <f t="shared" si="37"/>
        <v>25.80876024545455</v>
      </c>
      <c r="AC38" s="888">
        <f>Factors!E51</f>
        <v>1</v>
      </c>
      <c r="AD38" s="885">
        <f t="shared" si="55"/>
        <v>0</v>
      </c>
      <c r="AE38" s="883">
        <f t="shared" si="56"/>
        <v>0</v>
      </c>
      <c r="AF38" s="883">
        <f t="shared" si="57"/>
        <v>25.80876024545455</v>
      </c>
      <c r="AG38" s="883">
        <f t="shared" si="58"/>
        <v>0</v>
      </c>
      <c r="AH38" s="883">
        <f t="shared" si="59"/>
        <v>0</v>
      </c>
      <c r="AI38" s="883">
        <f t="shared" si="60"/>
        <v>0</v>
      </c>
      <c r="AJ38" s="889">
        <f t="shared" si="9"/>
        <v>25.80876024545455</v>
      </c>
      <c r="AK38" s="885">
        <f t="shared" si="30"/>
        <v>0</v>
      </c>
      <c r="AL38" s="883">
        <f t="shared" si="31"/>
        <v>0</v>
      </c>
      <c r="AM38" s="883">
        <f t="shared" si="32"/>
        <v>94.632120900000018</v>
      </c>
      <c r="AN38" s="883">
        <f t="shared" si="33"/>
        <v>0</v>
      </c>
      <c r="AO38" s="883">
        <f t="shared" si="34"/>
        <v>0</v>
      </c>
      <c r="AP38" s="883">
        <f t="shared" si="35"/>
        <v>0</v>
      </c>
      <c r="AQ38" s="890">
        <f t="shared" si="38"/>
        <v>94.632120900000018</v>
      </c>
    </row>
    <row r="39" spans="1:43">
      <c r="A39" s="817"/>
      <c r="B39" s="865" t="s">
        <v>1619</v>
      </c>
      <c r="C39" s="883"/>
      <c r="D39" s="883"/>
      <c r="E39" s="883">
        <f>HLOOKUP($B$2,'Consumption Input'!$E$5:$AQ$82,'Consumption Input'!$B44)</f>
        <v>104.5664</v>
      </c>
      <c r="F39" s="883"/>
      <c r="G39" s="883"/>
      <c r="H39" s="883"/>
      <c r="I39" s="883">
        <f t="shared" si="36"/>
        <v>104.5664</v>
      </c>
      <c r="J39" s="961"/>
      <c r="K39" s="940">
        <f>HLOOKUP($B$2,NEUConsumption,'Non-Energy Use'!$C$18)</f>
        <v>104.5664</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7"/>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20.201049222586207</v>
      </c>
      <c r="V40" s="885">
        <f t="shared" si="49"/>
        <v>0</v>
      </c>
      <c r="W40" s="883">
        <f t="shared" si="50"/>
        <v>0</v>
      </c>
      <c r="X40" s="883">
        <f t="shared" si="51"/>
        <v>0</v>
      </c>
      <c r="Y40" s="883">
        <f t="shared" si="52"/>
        <v>0</v>
      </c>
      <c r="Z40" s="883">
        <f t="shared" si="53"/>
        <v>0</v>
      </c>
      <c r="AA40" s="883">
        <f t="shared" si="54"/>
        <v>0</v>
      </c>
      <c r="AB40" s="883">
        <f t="shared" si="37"/>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37.258473000000002</v>
      </c>
      <c r="F41" s="883"/>
      <c r="G41" s="883"/>
      <c r="H41" s="883"/>
      <c r="I41" s="883">
        <f t="shared" si="36"/>
        <v>37.258473000000002</v>
      </c>
      <c r="J41" s="961"/>
      <c r="K41" s="940">
        <f>HLOOKUP($B$2,NEUConsumption,'Non-Energy Use'!$C$21)</f>
        <v>37.258473000000002</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7"/>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55.062727838455992</v>
      </c>
      <c r="H42" s="917"/>
      <c r="I42" s="917">
        <f>G42</f>
        <v>55.062727838455992</v>
      </c>
      <c r="J42" s="968"/>
      <c r="K42" s="969"/>
      <c r="L42" s="970"/>
      <c r="M42" s="971"/>
      <c r="N42" s="917">
        <f t="shared" si="43"/>
        <v>0</v>
      </c>
      <c r="O42" s="917">
        <f t="shared" si="44"/>
        <v>0</v>
      </c>
      <c r="P42" s="917">
        <f>E42</f>
        <v>0</v>
      </c>
      <c r="Q42" s="917">
        <f>F42</f>
        <v>0</v>
      </c>
      <c r="R42" s="917">
        <f t="shared" si="47"/>
        <v>55.062727838455992</v>
      </c>
      <c r="S42" s="917">
        <f>H42</f>
        <v>0</v>
      </c>
      <c r="T42" s="917">
        <f t="shared" si="7"/>
        <v>55.062727838455992</v>
      </c>
      <c r="U42" s="921">
        <f>Factors!D56</f>
        <v>2.6974658424810825</v>
      </c>
      <c r="V42" s="917"/>
      <c r="W42" s="917"/>
      <c r="X42" s="917"/>
      <c r="Y42" s="917"/>
      <c r="Z42" s="917">
        <f>INDEX(Geothermal!$C$14:$AE$18,MATCH("Total",Geothermal!$C$14:$C$18,0),MATCH($B$2,Geothermal!$C$14:$AE$14,0))/CtoCO2</f>
        <v>0.1483833779371187</v>
      </c>
      <c r="AA42" s="917"/>
      <c r="AB42" s="917">
        <f t="shared" si="37"/>
        <v>0.1483833779371187</v>
      </c>
      <c r="AC42" s="921">
        <f>Factors!$E$56</f>
        <v>1</v>
      </c>
      <c r="AD42" s="917">
        <f t="shared" si="55"/>
        <v>0</v>
      </c>
      <c r="AE42" s="917">
        <f t="shared" si="56"/>
        <v>0</v>
      </c>
      <c r="AF42" s="917">
        <f t="shared" si="57"/>
        <v>0</v>
      </c>
      <c r="AG42" s="917">
        <f t="shared" si="58"/>
        <v>0</v>
      </c>
      <c r="AH42" s="917">
        <f t="shared" si="59"/>
        <v>0.1483833779371187</v>
      </c>
      <c r="AI42" s="917">
        <f t="shared" si="60"/>
        <v>0</v>
      </c>
      <c r="AJ42" s="920">
        <f t="shared" si="9"/>
        <v>0.1483833779371187</v>
      </c>
      <c r="AK42" s="919">
        <f t="shared" si="30"/>
        <v>0</v>
      </c>
      <c r="AL42" s="917">
        <f t="shared" si="31"/>
        <v>0</v>
      </c>
      <c r="AM42" s="917">
        <f t="shared" si="32"/>
        <v>0</v>
      </c>
      <c r="AN42" s="917">
        <f t="shared" si="33"/>
        <v>0</v>
      </c>
      <c r="AO42" s="917">
        <f t="shared" si="34"/>
        <v>0.54407238576943517</v>
      </c>
      <c r="AP42" s="917">
        <f t="shared" si="35"/>
        <v>0</v>
      </c>
      <c r="AQ42" s="920">
        <f t="shared" si="38"/>
        <v>0.54407238576943517</v>
      </c>
    </row>
    <row r="43" spans="1:43" ht="11.1" thickBot="1">
      <c r="A43" s="817"/>
      <c r="B43" s="867" t="s">
        <v>1740</v>
      </c>
      <c r="C43" s="922">
        <f>C8+C17+C18+C42</f>
        <v>6196.4745550889129</v>
      </c>
      <c r="D43" s="922">
        <f>D8+D17+D18+D42</f>
        <v>3878.0988877250243</v>
      </c>
      <c r="E43" s="922">
        <f>E8+E17+E18+E42</f>
        <v>18463.315465580938</v>
      </c>
      <c r="F43" s="922">
        <f>F8+F17+F18+F42</f>
        <v>22336.023169549855</v>
      </c>
      <c r="G43" s="922">
        <f>G8+G17+G18+G42</f>
        <v>21022.866727838456</v>
      </c>
      <c r="H43" s="922">
        <f>H16+H17+H18+H42</f>
        <v>335.152935522478</v>
      </c>
      <c r="I43" s="922">
        <f>SUM(C43:H43)</f>
        <v>72231.931741305656</v>
      </c>
      <c r="J43" s="972">
        <f t="shared" ref="J43:S43" si="65">J8+J17+J18+J42</f>
        <v>1475.273644196539</v>
      </c>
      <c r="K43" s="973">
        <f t="shared" si="65"/>
        <v>4765.5705465952133</v>
      </c>
      <c r="L43" s="974">
        <f t="shared" si="65"/>
        <v>160.52699999999996</v>
      </c>
      <c r="M43" s="975">
        <f t="shared" si="65"/>
        <v>35.584726269756771</v>
      </c>
      <c r="N43" s="922">
        <f t="shared" si="65"/>
        <v>6196.4745550889129</v>
      </c>
      <c r="O43" s="922">
        <f t="shared" si="65"/>
        <v>3878.0988877250243</v>
      </c>
      <c r="P43" s="922">
        <f t="shared" si="65"/>
        <v>13697.744918985725</v>
      </c>
      <c r="Q43" s="922">
        <f t="shared" si="65"/>
        <v>20700.222525353314</v>
      </c>
      <c r="R43" s="922">
        <f t="shared" si="65"/>
        <v>21022.866727838456</v>
      </c>
      <c r="S43" s="922">
        <f t="shared" si="65"/>
        <v>299.56820925272126</v>
      </c>
      <c r="T43" s="922">
        <f t="shared" si="7"/>
        <v>65794.97582424416</v>
      </c>
      <c r="U43" s="926" t="s">
        <v>1731</v>
      </c>
      <c r="V43" s="922">
        <f t="shared" ref="V43:AA43" si="66">V8+V17+V18+V42</f>
        <v>96.536676452715042</v>
      </c>
      <c r="W43" s="922">
        <f t="shared" si="66"/>
        <v>62.192128947746603</v>
      </c>
      <c r="X43" s="922">
        <f t="shared" si="66"/>
        <v>240.16727145345871</v>
      </c>
      <c r="Y43" s="922">
        <f t="shared" si="66"/>
        <v>402.99366168016485</v>
      </c>
      <c r="Z43" s="922">
        <f t="shared" si="66"/>
        <v>499.27853439370983</v>
      </c>
      <c r="AA43" s="922">
        <f t="shared" si="66"/>
        <v>5.9852338299327554</v>
      </c>
      <c r="AB43" s="922">
        <f t="shared" si="37"/>
        <v>1307.1535067577277</v>
      </c>
      <c r="AC43" s="926" t="s">
        <v>1731</v>
      </c>
      <c r="AD43" s="922">
        <f t="shared" ref="AD43:AQ43" si="67">AD8+AD17+AD18+AD42</f>
        <v>96.536676452715042</v>
      </c>
      <c r="AE43" s="922">
        <f t="shared" si="67"/>
        <v>62.192128947746603</v>
      </c>
      <c r="AF43" s="922">
        <f t="shared" si="67"/>
        <v>240.16727145345871</v>
      </c>
      <c r="AG43" s="922">
        <f t="shared" si="67"/>
        <v>402.99366168016485</v>
      </c>
      <c r="AH43" s="922">
        <f t="shared" si="67"/>
        <v>499.27853439370983</v>
      </c>
      <c r="AI43" s="922">
        <f t="shared" si="67"/>
        <v>5.9852338299327554</v>
      </c>
      <c r="AJ43" s="925">
        <f t="shared" si="67"/>
        <v>1307.1535067577279</v>
      </c>
      <c r="AK43" s="922">
        <f t="shared" si="67"/>
        <v>353.96781365995514</v>
      </c>
      <c r="AL43" s="922">
        <f t="shared" si="67"/>
        <v>228.03780614173755</v>
      </c>
      <c r="AM43" s="922">
        <f t="shared" si="67"/>
        <v>880.61332866268185</v>
      </c>
      <c r="AN43" s="922">
        <f t="shared" si="67"/>
        <v>1477.6434261606043</v>
      </c>
      <c r="AO43" s="922">
        <f t="shared" si="67"/>
        <v>1830.6879594436025</v>
      </c>
      <c r="AP43" s="922">
        <f t="shared" si="67"/>
        <v>21.945857376420101</v>
      </c>
      <c r="AQ43" s="925">
        <f t="shared" si="67"/>
        <v>4792.896191445001</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ransitionEvaluation="1" transitionEntry="1" codeName="Sheet27">
    <pageSetUpPr fitToPage="1"/>
  </sheetPr>
  <dimension ref="A1:AR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3" width="7" style="152" customWidth="1"/>
    <col min="14" max="14" width="8.6640625" style="152" customWidth="1"/>
    <col min="15" max="15" width="9.332031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4">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4">
      <c r="A2" s="872" t="s">
        <v>1715</v>
      </c>
      <c r="B2" s="873">
        <v>1993</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4">
      <c r="A3" s="927" t="s">
        <v>1744</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4"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c r="AR4" s="208"/>
    </row>
    <row r="5" spans="1:44">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4"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4"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4">
      <c r="A8" s="817"/>
      <c r="B8" s="859" t="s">
        <v>1435</v>
      </c>
      <c r="C8" s="876">
        <f t="shared" ref="C8:H8" si="4">SUM(C9:C16)</f>
        <v>25.748999999999999</v>
      </c>
      <c r="D8" s="876">
        <f t="shared" si="4"/>
        <v>117.30200000000001</v>
      </c>
      <c r="E8" s="876">
        <f t="shared" si="4"/>
        <v>1625.3297273836315</v>
      </c>
      <c r="F8" s="876">
        <f t="shared" si="4"/>
        <v>0</v>
      </c>
      <c r="G8" s="876">
        <f t="shared" si="4"/>
        <v>17195.927</v>
      </c>
      <c r="H8" s="876">
        <f t="shared" si="4"/>
        <v>4.4984224763</v>
      </c>
      <c r="I8" s="876">
        <f t="shared" ref="I8:I14" si="5">SUM(C8:H8)</f>
        <v>18968.806149859931</v>
      </c>
      <c r="J8" s="959"/>
      <c r="K8" s="960">
        <f>SUM(K9:K16)</f>
        <v>10.246604161486093</v>
      </c>
      <c r="L8" s="960">
        <f>SUM(L9:L16)</f>
        <v>0</v>
      </c>
      <c r="M8" s="960"/>
      <c r="N8" s="878">
        <f t="shared" ref="N8:S8" si="6">SUM(N9:N16)</f>
        <v>25.748999999999999</v>
      </c>
      <c r="O8" s="876">
        <f t="shared" si="6"/>
        <v>117.30200000000001</v>
      </c>
      <c r="P8" s="876">
        <f>SUM(P9:P16)</f>
        <v>1615.0831232221453</v>
      </c>
      <c r="Q8" s="876">
        <f t="shared" si="6"/>
        <v>0</v>
      </c>
      <c r="R8" s="876">
        <f t="shared" si="6"/>
        <v>17195.927</v>
      </c>
      <c r="S8" s="879">
        <f t="shared" si="6"/>
        <v>4.4984224763</v>
      </c>
      <c r="T8" s="876">
        <f t="shared" ref="T8:T43" si="7">SUM(N8:S8)</f>
        <v>18958.559545698445</v>
      </c>
      <c r="U8" s="880" t="s">
        <v>1731</v>
      </c>
      <c r="V8" s="876">
        <f>SUM(V9:V16)</f>
        <v>0.67356894182597427</v>
      </c>
      <c r="W8" s="876">
        <f>SUM(W9:W16)</f>
        <v>3.0685068940180367</v>
      </c>
      <c r="X8" s="876">
        <f>SUM(X9:X16)</f>
        <v>41.603942603188628</v>
      </c>
      <c r="Y8" s="876"/>
      <c r="Z8" s="876">
        <f>SUM(Z9:Z16)</f>
        <v>444.9869482184144</v>
      </c>
      <c r="AA8" s="876">
        <f>SUM(AA9:AA16)</f>
        <v>0.113090341054182</v>
      </c>
      <c r="AB8" s="876">
        <f t="shared" ref="AB8:AB13" si="8">SUM(V8:AA8)</f>
        <v>490.44605699850126</v>
      </c>
      <c r="AC8" s="881" t="s">
        <v>1731</v>
      </c>
      <c r="AD8" s="878">
        <f>SUM(AD9:AD16)</f>
        <v>0.67356894182597427</v>
      </c>
      <c r="AE8" s="876">
        <f>SUM(AE9:AE16)</f>
        <v>3.0685068940180367</v>
      </c>
      <c r="AF8" s="876">
        <f>SUM(AF9:AF16)</f>
        <v>41.603942603188628</v>
      </c>
      <c r="AG8" s="876" t="s">
        <v>108</v>
      </c>
      <c r="AH8" s="876">
        <f>SUM(AH9:AH16)</f>
        <v>444.9869482184144</v>
      </c>
      <c r="AI8" s="876">
        <f>SUM(AI9:AI16)</f>
        <v>0.113090341054182</v>
      </c>
      <c r="AJ8" s="876">
        <f t="shared" ref="AJ8:AJ42" si="9">SUM(AD8:AI8)</f>
        <v>490.44605699850126</v>
      </c>
      <c r="AK8" s="878">
        <f t="shared" ref="AK8:AP8" si="10">SUM(AK9:AK16)</f>
        <v>2.4697527866952389</v>
      </c>
      <c r="AL8" s="876">
        <f t="shared" si="10"/>
        <v>11.251191944732801</v>
      </c>
      <c r="AM8" s="876">
        <f t="shared" si="10"/>
        <v>152.54778954502495</v>
      </c>
      <c r="AN8" s="876">
        <f t="shared" si="10"/>
        <v>0</v>
      </c>
      <c r="AO8" s="876">
        <f t="shared" si="10"/>
        <v>1631.6188101341861</v>
      </c>
      <c r="AP8" s="876">
        <f t="shared" si="10"/>
        <v>0.414664583865334</v>
      </c>
      <c r="AQ8" s="882">
        <f t="shared" ref="AQ8:AQ14" si="11">SUM(AK8:AP8)</f>
        <v>1798.3022089945043</v>
      </c>
    </row>
    <row r="9" spans="1:44">
      <c r="A9" s="817"/>
      <c r="B9" s="860" t="s">
        <v>1732</v>
      </c>
      <c r="C9" s="883">
        <f>HLOOKUP($B$2,'Consumption Input'!$E$5:$AQ$82,'Consumption Input'!$B7)</f>
        <v>25.748999999999999</v>
      </c>
      <c r="D9" s="883"/>
      <c r="E9" s="883"/>
      <c r="F9" s="883"/>
      <c r="G9" s="883"/>
      <c r="H9" s="883"/>
      <c r="I9" s="883">
        <f t="shared" si="5"/>
        <v>25.748999999999999</v>
      </c>
      <c r="J9" s="961"/>
      <c r="K9" s="940"/>
      <c r="L9" s="940"/>
      <c r="M9" s="940"/>
      <c r="N9" s="885">
        <f t="shared" ref="N9:N17" si="12">C9</f>
        <v>25.748999999999999</v>
      </c>
      <c r="O9" s="883">
        <f t="shared" ref="O9:O17" si="13">D9</f>
        <v>0</v>
      </c>
      <c r="P9" s="883">
        <f t="shared" ref="P9:P17" si="14">E9-K9</f>
        <v>0</v>
      </c>
      <c r="Q9" s="883">
        <f t="shared" ref="Q9:Q17" si="15">F9</f>
        <v>0</v>
      </c>
      <c r="R9" s="883">
        <f t="shared" ref="R9:R17" si="16">G9</f>
        <v>0</v>
      </c>
      <c r="S9" s="886">
        <f t="shared" ref="S9:S17" si="17">H9</f>
        <v>0</v>
      </c>
      <c r="T9" s="883">
        <f t="shared" si="7"/>
        <v>25.748999999999999</v>
      </c>
      <c r="U9" s="887">
        <f>HLOOKUP($B$2,Factors!$J$12:$Y$25,Factors!$H13)</f>
        <v>26.159033043068632</v>
      </c>
      <c r="V9" s="885">
        <f t="shared" ref="V9:V17" si="18">N9*$U9*TbtuToQBtu</f>
        <v>0.67356894182597427</v>
      </c>
      <c r="W9" s="883">
        <f t="shared" ref="W9:W17" si="19">O9*$U9*TbtuToQBtu</f>
        <v>0</v>
      </c>
      <c r="X9" s="883">
        <f t="shared" ref="X9:X17" si="20">P9*$U9*TbtuToQBtu</f>
        <v>0</v>
      </c>
      <c r="Y9" s="883">
        <f t="shared" ref="Y9:Y17" si="21">Q9*$U9*TbtuToQBtu</f>
        <v>0</v>
      </c>
      <c r="Z9" s="883">
        <f t="shared" ref="Z9:Z17" si="22">R9*$U9*TbtuToQBtu</f>
        <v>0</v>
      </c>
      <c r="AA9" s="883">
        <f t="shared" ref="AA9:AA17" si="23">S9*$U9*TbtuToQBtu</f>
        <v>0</v>
      </c>
      <c r="AB9" s="883">
        <f t="shared" si="8"/>
        <v>0.67356894182597427</v>
      </c>
      <c r="AC9" s="888">
        <f>Factors!E10</f>
        <v>1</v>
      </c>
      <c r="AD9" s="885">
        <f t="shared" ref="AD9:AD17" si="24">V9*$AC9</f>
        <v>0.67356894182597427</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0.67356894182597427</v>
      </c>
      <c r="AK9" s="885">
        <f t="shared" ref="AK9:AK42" si="30">AD9*CtoCO2</f>
        <v>2.4697527866952389</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2.4697527866952389</v>
      </c>
    </row>
    <row r="10" spans="1:44">
      <c r="A10" s="817"/>
      <c r="B10" s="860" t="s">
        <v>1733</v>
      </c>
      <c r="C10" s="883"/>
      <c r="D10" s="883">
        <f>HLOOKUP($B$2,'Consumption Input'!$E$5:$AQ$82,'Consumption Input'!$B13)</f>
        <v>117.30200000000001</v>
      </c>
      <c r="E10" s="883"/>
      <c r="F10" s="883"/>
      <c r="G10" s="883"/>
      <c r="H10" s="883"/>
      <c r="I10" s="883">
        <f t="shared" si="5"/>
        <v>117.30200000000001</v>
      </c>
      <c r="J10" s="961"/>
      <c r="K10" s="940"/>
      <c r="L10" s="940"/>
      <c r="M10" s="940"/>
      <c r="N10" s="885">
        <f t="shared" si="12"/>
        <v>0</v>
      </c>
      <c r="O10" s="883">
        <f t="shared" si="13"/>
        <v>117.30200000000001</v>
      </c>
      <c r="P10" s="883">
        <f t="shared" si="14"/>
        <v>0</v>
      </c>
      <c r="Q10" s="883">
        <f t="shared" si="15"/>
        <v>0</v>
      </c>
      <c r="R10" s="883">
        <f t="shared" si="16"/>
        <v>0</v>
      </c>
      <c r="S10" s="886">
        <f t="shared" si="17"/>
        <v>0</v>
      </c>
      <c r="T10" s="883">
        <f t="shared" si="7"/>
        <v>117.30200000000001</v>
      </c>
      <c r="U10" s="887">
        <f>HLOOKUP($B$2,Factors!$J$12:$Y$25,Factors!$H14)</f>
        <v>26.159033043068632</v>
      </c>
      <c r="V10" s="885">
        <f t="shared" si="18"/>
        <v>0</v>
      </c>
      <c r="W10" s="883">
        <f t="shared" si="19"/>
        <v>3.0685068940180367</v>
      </c>
      <c r="X10" s="883">
        <f t="shared" si="20"/>
        <v>0</v>
      </c>
      <c r="Y10" s="883">
        <f t="shared" si="21"/>
        <v>0</v>
      </c>
      <c r="Z10" s="883">
        <f t="shared" si="22"/>
        <v>0</v>
      </c>
      <c r="AA10" s="883">
        <f t="shared" si="23"/>
        <v>0</v>
      </c>
      <c r="AB10" s="883">
        <f t="shared" si="8"/>
        <v>3.0685068940180367</v>
      </c>
      <c r="AC10" s="888">
        <f>Factors!E11</f>
        <v>1</v>
      </c>
      <c r="AD10" s="885">
        <f t="shared" si="24"/>
        <v>0</v>
      </c>
      <c r="AE10" s="883">
        <f t="shared" si="25"/>
        <v>3.0685068940180367</v>
      </c>
      <c r="AF10" s="883">
        <f t="shared" si="26"/>
        <v>0</v>
      </c>
      <c r="AG10" s="883">
        <f t="shared" si="27"/>
        <v>0</v>
      </c>
      <c r="AH10" s="883">
        <f t="shared" si="28"/>
        <v>0</v>
      </c>
      <c r="AI10" s="883">
        <f t="shared" si="29"/>
        <v>0</v>
      </c>
      <c r="AJ10" s="889">
        <f t="shared" si="9"/>
        <v>3.0685068940180367</v>
      </c>
      <c r="AK10" s="885">
        <f t="shared" si="30"/>
        <v>0</v>
      </c>
      <c r="AL10" s="883">
        <f t="shared" si="31"/>
        <v>11.251191944732801</v>
      </c>
      <c r="AM10" s="883">
        <f t="shared" si="32"/>
        <v>0</v>
      </c>
      <c r="AN10" s="883">
        <f t="shared" si="33"/>
        <v>0</v>
      </c>
      <c r="AO10" s="883">
        <f t="shared" si="34"/>
        <v>0</v>
      </c>
      <c r="AP10" s="883">
        <f t="shared" si="35"/>
        <v>0</v>
      </c>
      <c r="AQ10" s="890">
        <f t="shared" si="11"/>
        <v>11.251191944732801</v>
      </c>
    </row>
    <row r="11" spans="1:44" s="244" customFormat="1" hidden="1">
      <c r="A11" s="861"/>
      <c r="B11" s="862" t="s">
        <v>1734</v>
      </c>
      <c r="C11" s="891"/>
      <c r="D11" s="891"/>
      <c r="E11" s="891">
        <f>HLOOKUP($B$2,'Consumption Input'!$E$5:$AQ$82,'Consumption Input'!$B23)</f>
        <v>0.99005191520268454</v>
      </c>
      <c r="F11" s="891"/>
      <c r="G11" s="891"/>
      <c r="H11" s="891"/>
      <c r="I11" s="891">
        <f t="shared" si="5"/>
        <v>0.99005191520268454</v>
      </c>
      <c r="J11" s="962"/>
      <c r="K11" s="963">
        <f>HLOOKUP($B$2,NEUConsumption,'Non-Energy Use'!$C$7)</f>
        <v>0.99005191520268454</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25.525274710441376</v>
      </c>
      <c r="V11" s="893">
        <f t="shared" si="18"/>
        <v>0</v>
      </c>
      <c r="W11" s="891">
        <f t="shared" si="19"/>
        <v>0</v>
      </c>
      <c r="X11" s="891">
        <f t="shared" si="20"/>
        <v>0</v>
      </c>
      <c r="Y11" s="891">
        <f t="shared" si="21"/>
        <v>0</v>
      </c>
      <c r="Z11" s="891">
        <f t="shared" si="22"/>
        <v>0</v>
      </c>
      <c r="AA11" s="891">
        <f t="shared" si="23"/>
        <v>0</v>
      </c>
      <c r="AB11" s="891">
        <f t="shared" si="8"/>
        <v>0</v>
      </c>
      <c r="AC11" s="896">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4">
      <c r="A12" s="817"/>
      <c r="B12" s="860" t="s">
        <v>1701</v>
      </c>
      <c r="C12" s="883"/>
      <c r="D12" s="883"/>
      <c r="E12" s="883">
        <f>HLOOKUP($B$2,'Consumption Input'!$E$5:$AQ$82,'Consumption Input'!$B24)</f>
        <v>1624.3396754684288</v>
      </c>
      <c r="F12" s="883"/>
      <c r="G12" s="883"/>
      <c r="H12" s="883"/>
      <c r="I12" s="883">
        <f t="shared" si="5"/>
        <v>1624.3396754684288</v>
      </c>
      <c r="J12" s="961"/>
      <c r="K12" s="940">
        <f>HLOOKUP($B$2,NEUConsumption,'Non-Energy Use'!$C$8)</f>
        <v>9.2565522462834089</v>
      </c>
      <c r="L12" s="940"/>
      <c r="M12" s="940"/>
      <c r="N12" s="885">
        <f t="shared" si="12"/>
        <v>0</v>
      </c>
      <c r="O12" s="883">
        <f t="shared" si="13"/>
        <v>0</v>
      </c>
      <c r="P12" s="883">
        <f t="shared" si="14"/>
        <v>1615.0831232221453</v>
      </c>
      <c r="Q12" s="883">
        <f t="shared" si="15"/>
        <v>0</v>
      </c>
      <c r="R12" s="883">
        <f t="shared" si="16"/>
        <v>0</v>
      </c>
      <c r="S12" s="886">
        <f t="shared" si="17"/>
        <v>0</v>
      </c>
      <c r="T12" s="883">
        <f t="shared" si="7"/>
        <v>1615.0831232221453</v>
      </c>
      <c r="U12" s="887">
        <f>HLOOKUP($B$2,Factors!$J$12:$Y$25,Factors!$H15)</f>
        <v>25.7596293373355</v>
      </c>
      <c r="V12" s="885">
        <f t="shared" si="18"/>
        <v>0</v>
      </c>
      <c r="W12" s="883">
        <f t="shared" si="19"/>
        <v>0</v>
      </c>
      <c r="X12" s="883">
        <f t="shared" si="20"/>
        <v>41.603942603188628</v>
      </c>
      <c r="Y12" s="883">
        <f t="shared" si="21"/>
        <v>0</v>
      </c>
      <c r="Z12" s="883">
        <f t="shared" si="22"/>
        <v>0</v>
      </c>
      <c r="AA12" s="883">
        <f t="shared" si="23"/>
        <v>0</v>
      </c>
      <c r="AB12" s="883">
        <f t="shared" si="8"/>
        <v>41.603942603188628</v>
      </c>
      <c r="AC12" s="888">
        <f>Factors!E13</f>
        <v>1</v>
      </c>
      <c r="AD12" s="885">
        <f t="shared" si="24"/>
        <v>0</v>
      </c>
      <c r="AE12" s="883">
        <f t="shared" si="25"/>
        <v>0</v>
      </c>
      <c r="AF12" s="883">
        <f t="shared" si="26"/>
        <v>41.603942603188628</v>
      </c>
      <c r="AG12" s="883">
        <f t="shared" si="27"/>
        <v>0</v>
      </c>
      <c r="AH12" s="883">
        <f t="shared" si="28"/>
        <v>0</v>
      </c>
      <c r="AI12" s="883">
        <f t="shared" si="29"/>
        <v>0</v>
      </c>
      <c r="AJ12" s="889">
        <f t="shared" si="9"/>
        <v>41.603942603188628</v>
      </c>
      <c r="AK12" s="885">
        <f t="shared" si="30"/>
        <v>0</v>
      </c>
      <c r="AL12" s="883">
        <f t="shared" si="31"/>
        <v>0</v>
      </c>
      <c r="AM12" s="883">
        <f t="shared" si="32"/>
        <v>152.54778954502495</v>
      </c>
      <c r="AN12" s="883">
        <f t="shared" si="33"/>
        <v>0</v>
      </c>
      <c r="AO12" s="883">
        <f t="shared" si="34"/>
        <v>0</v>
      </c>
      <c r="AP12" s="883">
        <f t="shared" si="35"/>
        <v>0</v>
      </c>
      <c r="AQ12" s="890">
        <f t="shared" si="11"/>
        <v>152.54778954502495</v>
      </c>
    </row>
    <row r="13" spans="1:44"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83">
        <f t="shared" si="7"/>
        <v>0</v>
      </c>
      <c r="U13" s="895">
        <f>Factors!D14</f>
        <v>27.85</v>
      </c>
      <c r="V13" s="893">
        <f t="shared" si="18"/>
        <v>0</v>
      </c>
      <c r="W13" s="891">
        <f t="shared" si="19"/>
        <v>0</v>
      </c>
      <c r="X13" s="891">
        <f t="shared" si="20"/>
        <v>0</v>
      </c>
      <c r="Y13" s="891">
        <f t="shared" si="21"/>
        <v>0</v>
      </c>
      <c r="Z13" s="891">
        <f t="shared" si="22"/>
        <v>0</v>
      </c>
      <c r="AA13" s="891">
        <f t="shared" si="23"/>
        <v>0</v>
      </c>
      <c r="AB13" s="891">
        <f t="shared" si="8"/>
        <v>0</v>
      </c>
      <c r="AC13" s="896">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4">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887" t="str">
        <f>Factors!D15</f>
        <v>NC</v>
      </c>
      <c r="V14" s="885">
        <f t="shared" si="18"/>
        <v>0</v>
      </c>
      <c r="W14" s="883">
        <f t="shared" si="19"/>
        <v>0</v>
      </c>
      <c r="X14" s="883">
        <f t="shared" si="20"/>
        <v>0</v>
      </c>
      <c r="Y14" s="883">
        <f t="shared" si="21"/>
        <v>0</v>
      </c>
      <c r="Z14" s="883">
        <f t="shared" si="22"/>
        <v>0</v>
      </c>
      <c r="AA14" s="883">
        <f t="shared" si="23"/>
        <v>0</v>
      </c>
      <c r="AB14" s="883" t="s">
        <v>103</v>
      </c>
      <c r="AC14" s="888"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4">
      <c r="A15" s="817"/>
      <c r="B15" s="860" t="s">
        <v>1736</v>
      </c>
      <c r="C15" s="883"/>
      <c r="D15" s="883"/>
      <c r="E15" s="883"/>
      <c r="F15" s="883"/>
      <c r="G15" s="883">
        <f>HLOOKUP($B$2,'Consumption Input'!$E$5:$AQ$82,'Consumption Input'!$B58)</f>
        <v>17195.927</v>
      </c>
      <c r="H15" s="883"/>
      <c r="I15" s="883">
        <f t="shared" ref="I15:I41" si="36">SUM(C15:H15)</f>
        <v>17195.927</v>
      </c>
      <c r="J15" s="961"/>
      <c r="K15" s="940"/>
      <c r="L15" s="940"/>
      <c r="M15" s="940"/>
      <c r="N15" s="885">
        <f t="shared" si="12"/>
        <v>0</v>
      </c>
      <c r="O15" s="883">
        <f t="shared" si="13"/>
        <v>0</v>
      </c>
      <c r="P15" s="883">
        <f t="shared" si="14"/>
        <v>0</v>
      </c>
      <c r="Q15" s="883">
        <f t="shared" si="15"/>
        <v>0</v>
      </c>
      <c r="R15" s="883">
        <f t="shared" si="16"/>
        <v>17195.927</v>
      </c>
      <c r="S15" s="886">
        <f t="shared" si="17"/>
        <v>0</v>
      </c>
      <c r="T15" s="883">
        <f t="shared" si="7"/>
        <v>17195.927</v>
      </c>
      <c r="U15" s="887">
        <f>HLOOKUP($B$2,Factors!$J$12:$Y$25,Factors!$H16)</f>
        <v>25.877462041936699</v>
      </c>
      <c r="V15" s="885">
        <f t="shared" si="18"/>
        <v>0</v>
      </c>
      <c r="W15" s="883">
        <f t="shared" si="19"/>
        <v>0</v>
      </c>
      <c r="X15" s="883">
        <f t="shared" si="20"/>
        <v>0</v>
      </c>
      <c r="Y15" s="883">
        <f t="shared" si="21"/>
        <v>0</v>
      </c>
      <c r="Z15" s="883">
        <f t="shared" si="22"/>
        <v>444.9869482184144</v>
      </c>
      <c r="AA15" s="883">
        <f t="shared" si="23"/>
        <v>0</v>
      </c>
      <c r="AB15" s="883">
        <f t="shared" ref="AB15:AB43" si="37">SUM(V15:AA15)</f>
        <v>444.9869482184144</v>
      </c>
      <c r="AC15" s="888">
        <f>Factors!E16</f>
        <v>1</v>
      </c>
      <c r="AD15" s="885">
        <f t="shared" si="24"/>
        <v>0</v>
      </c>
      <c r="AE15" s="883">
        <f t="shared" si="25"/>
        <v>0</v>
      </c>
      <c r="AF15" s="883">
        <f t="shared" si="26"/>
        <v>0</v>
      </c>
      <c r="AG15" s="883">
        <f t="shared" si="27"/>
        <v>0</v>
      </c>
      <c r="AH15" s="883">
        <f t="shared" si="28"/>
        <v>444.9869482184144</v>
      </c>
      <c r="AI15" s="883">
        <f t="shared" si="29"/>
        <v>0</v>
      </c>
      <c r="AJ15" s="889">
        <f t="shared" si="9"/>
        <v>444.9869482184144</v>
      </c>
      <c r="AK15" s="885">
        <f t="shared" si="30"/>
        <v>0</v>
      </c>
      <c r="AL15" s="883">
        <f t="shared" si="31"/>
        <v>0</v>
      </c>
      <c r="AM15" s="883">
        <f t="shared" si="32"/>
        <v>0</v>
      </c>
      <c r="AN15" s="883">
        <f t="shared" si="33"/>
        <v>0</v>
      </c>
      <c r="AO15" s="883">
        <f t="shared" si="34"/>
        <v>1631.6188101341861</v>
      </c>
      <c r="AP15" s="883">
        <f t="shared" si="35"/>
        <v>0</v>
      </c>
      <c r="AQ15" s="890">
        <f t="shared" ref="AQ15:AQ42" si="38">SUM(AK15:AP15)</f>
        <v>1631.6188101341861</v>
      </c>
    </row>
    <row r="16" spans="1:44">
      <c r="A16" s="817"/>
      <c r="B16" s="860" t="s">
        <v>1737</v>
      </c>
      <c r="C16" s="883"/>
      <c r="D16" s="883"/>
      <c r="E16" s="883"/>
      <c r="F16" s="883"/>
      <c r="G16" s="883"/>
      <c r="H16" s="883">
        <f>HLOOKUP($B$2,'US Territories'!$D$28:$Z$38,'US Territories'!$B29)</f>
        <v>4.4984224763</v>
      </c>
      <c r="I16" s="883">
        <f t="shared" si="36"/>
        <v>4.4984224763</v>
      </c>
      <c r="J16" s="961"/>
      <c r="K16" s="940"/>
      <c r="L16" s="940"/>
      <c r="M16" s="940"/>
      <c r="N16" s="885">
        <f t="shared" si="12"/>
        <v>0</v>
      </c>
      <c r="O16" s="883">
        <f t="shared" si="13"/>
        <v>0</v>
      </c>
      <c r="P16" s="883">
        <f t="shared" si="14"/>
        <v>0</v>
      </c>
      <c r="Q16" s="883">
        <f t="shared" si="15"/>
        <v>0</v>
      </c>
      <c r="R16" s="883">
        <f t="shared" si="16"/>
        <v>0</v>
      </c>
      <c r="S16" s="886">
        <f t="shared" si="17"/>
        <v>4.4984224763</v>
      </c>
      <c r="T16" s="883">
        <f t="shared" si="7"/>
        <v>4.4984224763</v>
      </c>
      <c r="U16" s="887">
        <f>Factors!D17</f>
        <v>25.14</v>
      </c>
      <c r="V16" s="899">
        <f t="shared" si="18"/>
        <v>0</v>
      </c>
      <c r="W16" s="900">
        <f t="shared" si="19"/>
        <v>0</v>
      </c>
      <c r="X16" s="900">
        <f t="shared" si="20"/>
        <v>0</v>
      </c>
      <c r="Y16" s="900">
        <f t="shared" si="21"/>
        <v>0</v>
      </c>
      <c r="Z16" s="900">
        <f t="shared" si="22"/>
        <v>0</v>
      </c>
      <c r="AA16" s="900">
        <f t="shared" si="23"/>
        <v>0.113090341054182</v>
      </c>
      <c r="AB16" s="883">
        <f t="shared" si="37"/>
        <v>0.113090341054182</v>
      </c>
      <c r="AC16" s="888">
        <f>Factors!E17</f>
        <v>1</v>
      </c>
      <c r="AD16" s="899">
        <f t="shared" si="24"/>
        <v>0</v>
      </c>
      <c r="AE16" s="900">
        <f t="shared" si="25"/>
        <v>0</v>
      </c>
      <c r="AF16" s="900">
        <f t="shared" si="26"/>
        <v>0</v>
      </c>
      <c r="AG16" s="900">
        <f t="shared" si="27"/>
        <v>0</v>
      </c>
      <c r="AH16" s="900">
        <f t="shared" si="28"/>
        <v>0</v>
      </c>
      <c r="AI16" s="900">
        <f t="shared" si="29"/>
        <v>0.113090341054182</v>
      </c>
      <c r="AJ16" s="889">
        <f t="shared" si="9"/>
        <v>0.113090341054182</v>
      </c>
      <c r="AK16" s="885">
        <f t="shared" si="30"/>
        <v>0</v>
      </c>
      <c r="AL16" s="883">
        <f t="shared" si="31"/>
        <v>0</v>
      </c>
      <c r="AM16" s="883">
        <f t="shared" si="32"/>
        <v>0</v>
      </c>
      <c r="AN16" s="883">
        <f t="shared" si="33"/>
        <v>0</v>
      </c>
      <c r="AO16" s="883">
        <f t="shared" si="34"/>
        <v>0</v>
      </c>
      <c r="AP16" s="883">
        <f t="shared" si="35"/>
        <v>0.414664583865334</v>
      </c>
      <c r="AQ16" s="890">
        <f t="shared" si="38"/>
        <v>0.414664583865334</v>
      </c>
    </row>
    <row r="17" spans="1:43">
      <c r="A17" s="817"/>
      <c r="B17" s="863" t="s">
        <v>1439</v>
      </c>
      <c r="C17" s="901">
        <f>HLOOKUP($B$2,'Consumption Input'!$E$5:$AQ$82,'Consumption Input'!$B8)</f>
        <v>5058.3729999999996</v>
      </c>
      <c r="D17" s="901">
        <f>HLOOKUP($B$2,'Consumption Input'!$E$5:$AQ$82,'Consumption Input'!$B14)</f>
        <v>2920.4160000000002</v>
      </c>
      <c r="E17" s="901">
        <f>HLOOKUP($B$2,'Consumption Input'!$E$5:$AQ$82,'Consumption Input'!$B26)</f>
        <v>8576.5936056149731</v>
      </c>
      <c r="F17" s="901">
        <f>HLOOKUP($B$2,'Consumption Input'!$E$5:$AQ$82,'Consumption Input'!$B49)</f>
        <v>644.101</v>
      </c>
      <c r="G17" s="901">
        <f>HLOOKUP($B$2,'Consumption Input'!$E$5:$AQ$82,'Consumption Input'!$B59)</f>
        <v>3537.5010000000002</v>
      </c>
      <c r="H17" s="944">
        <f>HLOOKUP($B$2,'US Territories'!$D$28:$Z$38,'US Territories'!$B30)</f>
        <v>0</v>
      </c>
      <c r="I17" s="901">
        <f t="shared" si="36"/>
        <v>20736.984605614973</v>
      </c>
      <c r="J17" s="964"/>
      <c r="K17" s="965">
        <f>HLOOKUP($B$2,NEUConsumption,'Non-Energy Use'!$C$9)</f>
        <v>335.81333333333333</v>
      </c>
      <c r="L17" s="965"/>
      <c r="M17" s="965"/>
      <c r="N17" s="904">
        <f t="shared" si="12"/>
        <v>5058.3729999999996</v>
      </c>
      <c r="O17" s="901">
        <f t="shared" si="13"/>
        <v>2920.4160000000002</v>
      </c>
      <c r="P17" s="901">
        <f t="shared" si="14"/>
        <v>8240.7802722816396</v>
      </c>
      <c r="Q17" s="901">
        <f t="shared" si="15"/>
        <v>644.101</v>
      </c>
      <c r="R17" s="901">
        <f t="shared" si="16"/>
        <v>3537.5010000000002</v>
      </c>
      <c r="S17" s="902">
        <f t="shared" si="17"/>
        <v>0</v>
      </c>
      <c r="T17" s="901">
        <f t="shared" si="7"/>
        <v>20401.171272281637</v>
      </c>
      <c r="U17" s="905">
        <f>HLOOKUP($B$2,Factors!$J$12:$AB$26,Factors!$H26,FALSE)</f>
        <v>14.461854154819864</v>
      </c>
      <c r="V17" s="901">
        <f t="shared" si="18"/>
        <v>73.153452586678611</v>
      </c>
      <c r="W17" s="901">
        <f t="shared" si="19"/>
        <v>42.234630263402408</v>
      </c>
      <c r="X17" s="901">
        <f t="shared" si="20"/>
        <v>119.1769624196538</v>
      </c>
      <c r="Y17" s="901">
        <f t="shared" si="21"/>
        <v>9.3148947229736301</v>
      </c>
      <c r="Z17" s="901">
        <f t="shared" si="22"/>
        <v>51.158823534529432</v>
      </c>
      <c r="AA17" s="901">
        <f t="shared" si="23"/>
        <v>0</v>
      </c>
      <c r="AB17" s="901">
        <f t="shared" si="37"/>
        <v>295.03876352723785</v>
      </c>
      <c r="AC17" s="906">
        <f>Factors!E19</f>
        <v>1</v>
      </c>
      <c r="AD17" s="904">
        <f t="shared" si="24"/>
        <v>73.153452586678611</v>
      </c>
      <c r="AE17" s="901">
        <f t="shared" si="25"/>
        <v>42.234630263402408</v>
      </c>
      <c r="AF17" s="901">
        <f t="shared" si="26"/>
        <v>119.1769624196538</v>
      </c>
      <c r="AG17" s="901">
        <f t="shared" si="27"/>
        <v>9.3148947229736301</v>
      </c>
      <c r="AH17" s="901">
        <f t="shared" si="28"/>
        <v>51.158823534529432</v>
      </c>
      <c r="AI17" s="901">
        <f t="shared" si="29"/>
        <v>0</v>
      </c>
      <c r="AJ17" s="901">
        <f t="shared" si="9"/>
        <v>295.03876352723785</v>
      </c>
      <c r="AK17" s="904">
        <f t="shared" si="30"/>
        <v>268.22932615115491</v>
      </c>
      <c r="AL17" s="901">
        <f t="shared" si="31"/>
        <v>154.86031096580882</v>
      </c>
      <c r="AM17" s="901">
        <f t="shared" si="32"/>
        <v>436.98219553873059</v>
      </c>
      <c r="AN17" s="901">
        <f t="shared" si="33"/>
        <v>34.15461398423664</v>
      </c>
      <c r="AO17" s="901">
        <f t="shared" si="34"/>
        <v>187.58235295994123</v>
      </c>
      <c r="AP17" s="901">
        <f t="shared" si="35"/>
        <v>0</v>
      </c>
      <c r="AQ17" s="907">
        <f t="shared" si="38"/>
        <v>1081.8087995998724</v>
      </c>
    </row>
    <row r="18" spans="1:43">
      <c r="A18" s="817"/>
      <c r="B18" s="864" t="s">
        <v>1440</v>
      </c>
      <c r="C18" s="908">
        <f t="shared" ref="C18:H18" si="39">SUM(C19:C41)</f>
        <v>1348.9582409075979</v>
      </c>
      <c r="D18" s="908">
        <f t="shared" si="39"/>
        <v>784.32489014881969</v>
      </c>
      <c r="E18" s="908">
        <f t="shared" si="39"/>
        <v>8285.7181296926119</v>
      </c>
      <c r="F18" s="908">
        <f t="shared" si="39"/>
        <v>22037.850841792682</v>
      </c>
      <c r="G18" s="908">
        <f t="shared" si="39"/>
        <v>1123.789</v>
      </c>
      <c r="H18" s="908">
        <f t="shared" si="39"/>
        <v>343.07672261424131</v>
      </c>
      <c r="I18" s="908">
        <f t="shared" si="36"/>
        <v>33923.717825155953</v>
      </c>
      <c r="J18" s="966">
        <f t="shared" ref="J18:S18" si="40">SUM(J19:J41)</f>
        <v>1342.0888543414471</v>
      </c>
      <c r="K18" s="967">
        <f t="shared" si="40"/>
        <v>4385.1187363238569</v>
      </c>
      <c r="L18" s="967">
        <f t="shared" si="40"/>
        <v>163.458</v>
      </c>
      <c r="M18" s="967">
        <f t="shared" si="40"/>
        <v>38.82687997842676</v>
      </c>
      <c r="N18" s="910">
        <f t="shared" si="40"/>
        <v>1348.9582409075979</v>
      </c>
      <c r="O18" s="908">
        <f t="shared" si="40"/>
        <v>784.32489014881969</v>
      </c>
      <c r="P18" s="908">
        <f>SUM(P19:P41)</f>
        <v>3900.599393368755</v>
      </c>
      <c r="Q18" s="908">
        <f t="shared" si="40"/>
        <v>20532.303987451236</v>
      </c>
      <c r="R18" s="908">
        <f t="shared" si="40"/>
        <v>1123.789</v>
      </c>
      <c r="S18" s="911">
        <f t="shared" si="40"/>
        <v>304.24984263581456</v>
      </c>
      <c r="T18" s="889">
        <f t="shared" si="7"/>
        <v>27994.225354512226</v>
      </c>
      <c r="U18" s="912" t="s">
        <v>1731</v>
      </c>
      <c r="V18" s="908">
        <f t="shared" ref="V18:AA18" si="41">SUM(V19:V41)</f>
        <v>26.013459068954084</v>
      </c>
      <c r="W18" s="908">
        <f t="shared" si="41"/>
        <v>15.511084096487549</v>
      </c>
      <c r="X18" s="908">
        <f t="shared" si="41"/>
        <v>79.938917450808816</v>
      </c>
      <c r="Y18" s="908">
        <f t="shared" si="41"/>
        <v>402.12338739846086</v>
      </c>
      <c r="Z18" s="908">
        <f t="shared" si="41"/>
        <v>23.567839838145598</v>
      </c>
      <c r="AA18" s="908">
        <f t="shared" si="41"/>
        <v>6.0571543145889368</v>
      </c>
      <c r="AB18" s="908">
        <f t="shared" si="37"/>
        <v>553.21184216744587</v>
      </c>
      <c r="AC18" s="913" t="s">
        <v>1731</v>
      </c>
      <c r="AD18" s="910">
        <f t="shared" ref="AD18:AI18" si="42">SUM(AD19:AD41)</f>
        <v>26.013459068954084</v>
      </c>
      <c r="AE18" s="908">
        <f t="shared" si="42"/>
        <v>15.511084096487549</v>
      </c>
      <c r="AF18" s="908">
        <f t="shared" si="42"/>
        <v>79.938917450808816</v>
      </c>
      <c r="AG18" s="908">
        <f t="shared" si="42"/>
        <v>402.12338739846086</v>
      </c>
      <c r="AH18" s="908">
        <f t="shared" si="42"/>
        <v>23.567839838145598</v>
      </c>
      <c r="AI18" s="908">
        <f t="shared" si="42"/>
        <v>6.0571543145889368</v>
      </c>
      <c r="AJ18" s="908">
        <f t="shared" si="9"/>
        <v>553.21184216744587</v>
      </c>
      <c r="AK18" s="914">
        <f t="shared" si="30"/>
        <v>95.38268325283164</v>
      </c>
      <c r="AL18" s="889">
        <f t="shared" si="31"/>
        <v>56.873975020454345</v>
      </c>
      <c r="AM18" s="889">
        <f t="shared" si="32"/>
        <v>293.109363986299</v>
      </c>
      <c r="AN18" s="889">
        <f t="shared" si="33"/>
        <v>1474.4524204610232</v>
      </c>
      <c r="AO18" s="889">
        <f t="shared" si="34"/>
        <v>86.415412739867193</v>
      </c>
      <c r="AP18" s="889">
        <f t="shared" si="35"/>
        <v>22.209565820159433</v>
      </c>
      <c r="AQ18" s="915">
        <f t="shared" si="38"/>
        <v>2028.4434212806348</v>
      </c>
    </row>
    <row r="19" spans="1:43">
      <c r="A19" s="817"/>
      <c r="B19" s="860" t="s">
        <v>1608</v>
      </c>
      <c r="C19" s="883"/>
      <c r="D19" s="883"/>
      <c r="E19" s="883">
        <f>HLOOKUP($B$2,'Consumption Input'!$E$5:$AQ$82,'Consumption Input'!$B27)</f>
        <v>1149.02</v>
      </c>
      <c r="F19" s="883"/>
      <c r="G19" s="883"/>
      <c r="H19" s="883"/>
      <c r="I19" s="883">
        <f t="shared" si="36"/>
        <v>1149.02</v>
      </c>
      <c r="J19" s="961"/>
      <c r="K19" s="940">
        <f>HLOOKUP($B$2,NEUConsumption,'Non-Energy Use'!$C$10)</f>
        <v>1149.02</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7"/>
        <v>0</v>
      </c>
      <c r="AC19" s="888">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38.395000000000003</v>
      </c>
      <c r="G20" s="883"/>
      <c r="H20" s="883"/>
      <c r="I20" s="883">
        <f t="shared" si="36"/>
        <v>38.395000000000003</v>
      </c>
      <c r="J20" s="961"/>
      <c r="K20" s="940"/>
      <c r="L20" s="940"/>
      <c r="M20" s="940"/>
      <c r="N20" s="885">
        <f t="shared" si="43"/>
        <v>0</v>
      </c>
      <c r="O20" s="883">
        <f t="shared" si="44"/>
        <v>0</v>
      </c>
      <c r="P20" s="883">
        <f t="shared" si="45"/>
        <v>0</v>
      </c>
      <c r="Q20" s="883">
        <f t="shared" si="46"/>
        <v>38.395000000000003</v>
      </c>
      <c r="R20" s="883">
        <f t="shared" si="47"/>
        <v>0</v>
      </c>
      <c r="S20" s="886">
        <f t="shared" si="48"/>
        <v>0</v>
      </c>
      <c r="T20" s="883">
        <f t="shared" si="7"/>
        <v>38.395000000000003</v>
      </c>
      <c r="U20" s="887">
        <f>Factors!D25</f>
        <v>18.855352254718337</v>
      </c>
      <c r="V20" s="885">
        <f t="shared" si="49"/>
        <v>0</v>
      </c>
      <c r="W20" s="883">
        <f t="shared" si="50"/>
        <v>0</v>
      </c>
      <c r="X20" s="883">
        <f t="shared" si="51"/>
        <v>0</v>
      </c>
      <c r="Y20" s="883">
        <f t="shared" si="52"/>
        <v>0.72395124981991055</v>
      </c>
      <c r="Z20" s="883">
        <f t="shared" si="53"/>
        <v>0</v>
      </c>
      <c r="AA20" s="883">
        <f t="shared" si="54"/>
        <v>0</v>
      </c>
      <c r="AB20" s="883">
        <f t="shared" si="37"/>
        <v>0.72395124981991055</v>
      </c>
      <c r="AC20" s="888">
        <f>Factors!E25</f>
        <v>1</v>
      </c>
      <c r="AD20" s="885">
        <f t="shared" si="55"/>
        <v>0</v>
      </c>
      <c r="AE20" s="883">
        <f t="shared" si="56"/>
        <v>0</v>
      </c>
      <c r="AF20" s="883">
        <f t="shared" si="57"/>
        <v>0</v>
      </c>
      <c r="AG20" s="883">
        <f t="shared" si="58"/>
        <v>0.72395124981991055</v>
      </c>
      <c r="AH20" s="883">
        <f t="shared" si="59"/>
        <v>0</v>
      </c>
      <c r="AI20" s="883">
        <f t="shared" si="60"/>
        <v>0</v>
      </c>
      <c r="AJ20" s="889">
        <f t="shared" si="9"/>
        <v>0.72395124981991055</v>
      </c>
      <c r="AK20" s="885">
        <f t="shared" si="30"/>
        <v>0</v>
      </c>
      <c r="AL20" s="883">
        <f t="shared" si="31"/>
        <v>0</v>
      </c>
      <c r="AM20" s="883">
        <f t="shared" si="32"/>
        <v>0</v>
      </c>
      <c r="AN20" s="883">
        <f t="shared" si="33"/>
        <v>2.6544879160063384</v>
      </c>
      <c r="AO20" s="883">
        <f t="shared" si="34"/>
        <v>0</v>
      </c>
      <c r="AP20" s="883">
        <f t="shared" si="35"/>
        <v>0</v>
      </c>
      <c r="AQ20" s="890">
        <f t="shared" si="38"/>
        <v>2.6544879160063384</v>
      </c>
    </row>
    <row r="21" spans="1:43">
      <c r="A21" s="817"/>
      <c r="B21" s="860" t="s">
        <v>1738</v>
      </c>
      <c r="C21" s="883">
        <f>HLOOKUP($B$2,'Consumption Input'!$E$5:$AQ$82,'Consumption Input'!$B9)</f>
        <v>883.26424090759792</v>
      </c>
      <c r="D21" s="883">
        <f>HLOOKUP($B$2,'Consumption Input'!$E$5:$AQ$82,'Consumption Input'!$B15)</f>
        <v>447.19717596306373</v>
      </c>
      <c r="E21" s="883">
        <f>HLOOKUP($B$2,'Consumption Input'!$E$5:$AQ$82,'Consumption Input'!$B28)</f>
        <v>996.98227062933768</v>
      </c>
      <c r="F21" s="883">
        <f>HLOOKUP($B$2,'Consumption Input'!$E$5:$AQ$82,'Consumption Input'!$B51)</f>
        <v>4036.036401785715</v>
      </c>
      <c r="G21" s="883">
        <f>HLOOKUP($B$2,'Consumption Input'!$E$5:$AQ$82,'Consumption Input'!$B60)</f>
        <v>86.495999999999981</v>
      </c>
      <c r="H21" s="883">
        <f>HLOOKUP($B$2,'US Territories'!$D$28:$Z$38,'US Territories'!$B31)</f>
        <v>75.82648803007973</v>
      </c>
      <c r="I21" s="883">
        <f t="shared" si="36"/>
        <v>6525.8025773157942</v>
      </c>
      <c r="J21" s="961">
        <f>HLOOKUP($B$2,IBFConsumption,'International Bunker Fuels'!$B$10)</f>
        <v>146.63490493690477</v>
      </c>
      <c r="K21" s="940">
        <f>HLOOKUP($B$2,NEUConsumption,'Non-Energy Use'!$C$20)</f>
        <v>6.9239833333333332</v>
      </c>
      <c r="L21" s="940"/>
      <c r="M21" s="940"/>
      <c r="N21" s="885">
        <f t="shared" si="43"/>
        <v>883.26424090759792</v>
      </c>
      <c r="O21" s="883">
        <f t="shared" si="44"/>
        <v>447.19717596306373</v>
      </c>
      <c r="P21" s="883">
        <f>E21-K21</f>
        <v>990.05828729600432</v>
      </c>
      <c r="Q21" s="883">
        <f t="shared" si="46"/>
        <v>3889.4014968488104</v>
      </c>
      <c r="R21" s="883">
        <f t="shared" si="47"/>
        <v>86.495999999999981</v>
      </c>
      <c r="S21" s="886">
        <f t="shared" si="48"/>
        <v>75.82648803007973</v>
      </c>
      <c r="T21" s="883">
        <f t="shared" si="7"/>
        <v>6372.2436890455565</v>
      </c>
      <c r="U21" s="887">
        <f>HLOOKUP($B$2,Factors!$J$12:$BE$27,Factors!$H27,FALSE)</f>
        <v>20.170000000000002</v>
      </c>
      <c r="V21" s="885">
        <f t="shared" si="49"/>
        <v>17.815439739106253</v>
      </c>
      <c r="W21" s="883">
        <f t="shared" si="50"/>
        <v>9.0199670391749969</v>
      </c>
      <c r="X21" s="883">
        <f>P21*$U21*TbtuToQBtu</f>
        <v>19.969475654760409</v>
      </c>
      <c r="Y21" s="883">
        <f t="shared" si="52"/>
        <v>78.449228191440525</v>
      </c>
      <c r="Z21" s="883">
        <f t="shared" si="53"/>
        <v>1.7446243199999998</v>
      </c>
      <c r="AA21" s="883">
        <f t="shared" si="54"/>
        <v>1.5294202635667085</v>
      </c>
      <c r="AB21" s="883">
        <f t="shared" si="37"/>
        <v>128.5281552080489</v>
      </c>
      <c r="AC21" s="888">
        <f>Factors!E26</f>
        <v>1</v>
      </c>
      <c r="AD21" s="885">
        <f t="shared" si="55"/>
        <v>17.815439739106253</v>
      </c>
      <c r="AE21" s="883">
        <f t="shared" si="56"/>
        <v>9.0199670391749969</v>
      </c>
      <c r="AF21" s="883">
        <f>X21*$AC21</f>
        <v>19.969475654760409</v>
      </c>
      <c r="AG21" s="883">
        <f t="shared" si="58"/>
        <v>78.449228191440525</v>
      </c>
      <c r="AH21" s="883">
        <f t="shared" si="59"/>
        <v>1.7446243199999998</v>
      </c>
      <c r="AI21" s="883">
        <f t="shared" si="60"/>
        <v>1.5294202635667085</v>
      </c>
      <c r="AJ21" s="889">
        <f t="shared" si="9"/>
        <v>128.5281552080489</v>
      </c>
      <c r="AK21" s="885">
        <f t="shared" si="30"/>
        <v>65.32327904338959</v>
      </c>
      <c r="AL21" s="883">
        <f t="shared" si="31"/>
        <v>33.073212476974987</v>
      </c>
      <c r="AM21" s="883">
        <f t="shared" si="32"/>
        <v>73.221410734121491</v>
      </c>
      <c r="AN21" s="883">
        <f t="shared" si="33"/>
        <v>287.64717003528193</v>
      </c>
      <c r="AO21" s="883">
        <f t="shared" si="34"/>
        <v>6.3969558399999986</v>
      </c>
      <c r="AP21" s="883">
        <f t="shared" si="35"/>
        <v>5.6078742997445978</v>
      </c>
      <c r="AQ21" s="890">
        <f t="shared" si="38"/>
        <v>471.26990242951257</v>
      </c>
    </row>
    <row r="22" spans="1:43">
      <c r="A22" s="817"/>
      <c r="B22" s="860" t="s">
        <v>1623</v>
      </c>
      <c r="C22" s="883"/>
      <c r="D22" s="883"/>
      <c r="E22" s="883"/>
      <c r="F22" s="883">
        <f>HLOOKUP($B$2,'Consumption Input'!$E$5:$AQ$82,'Consumption Input'!$B52)</f>
        <v>3028.0059999999999</v>
      </c>
      <c r="G22" s="883"/>
      <c r="H22" s="883">
        <f>HLOOKUP($B$2,'US Territories'!$D$28:$Z$38,'US Territories'!$B32)</f>
        <v>49.834171307262565</v>
      </c>
      <c r="I22" s="883">
        <f t="shared" si="36"/>
        <v>3077.8401713072626</v>
      </c>
      <c r="J22" s="961">
        <f>HLOOKUP($B$2,IBFConsumption,'International Bunker Fuels'!$B$8)</f>
        <v>661.52276025554227</v>
      </c>
      <c r="K22" s="940"/>
      <c r="L22" s="940"/>
      <c r="M22" s="940"/>
      <c r="N22" s="885">
        <f t="shared" si="43"/>
        <v>0</v>
      </c>
      <c r="O22" s="883">
        <f t="shared" si="44"/>
        <v>0</v>
      </c>
      <c r="P22" s="883">
        <f t="shared" si="45"/>
        <v>0</v>
      </c>
      <c r="Q22" s="883">
        <f t="shared" si="46"/>
        <v>2366.4832397444575</v>
      </c>
      <c r="R22" s="883">
        <f t="shared" si="47"/>
        <v>0</v>
      </c>
      <c r="S22" s="886">
        <f t="shared" si="48"/>
        <v>49.834171307262565</v>
      </c>
      <c r="T22" s="883">
        <f t="shared" si="7"/>
        <v>2416.3174110517202</v>
      </c>
      <c r="U22" s="887">
        <f>HLOOKUP($B$2,Factors!$J$12:$Y$25,Factors!$H21)</f>
        <v>19.37</v>
      </c>
      <c r="V22" s="885">
        <f t="shared" si="49"/>
        <v>0</v>
      </c>
      <c r="W22" s="883">
        <f t="shared" si="50"/>
        <v>0</v>
      </c>
      <c r="X22" s="883">
        <f t="shared" si="51"/>
        <v>0</v>
      </c>
      <c r="Y22" s="883">
        <f t="shared" si="52"/>
        <v>45.838780353850147</v>
      </c>
      <c r="Z22" s="883">
        <f t="shared" si="53"/>
        <v>0</v>
      </c>
      <c r="AA22" s="883">
        <f t="shared" si="54"/>
        <v>0.96528789822167593</v>
      </c>
      <c r="AB22" s="883">
        <f t="shared" si="37"/>
        <v>46.804068252071822</v>
      </c>
      <c r="AC22" s="888">
        <f>Factors!E27</f>
        <v>1</v>
      </c>
      <c r="AD22" s="885">
        <f t="shared" si="55"/>
        <v>0</v>
      </c>
      <c r="AE22" s="883">
        <f t="shared" si="56"/>
        <v>0</v>
      </c>
      <c r="AF22" s="883">
        <f t="shared" si="57"/>
        <v>0</v>
      </c>
      <c r="AG22" s="883">
        <f t="shared" si="58"/>
        <v>45.838780353850147</v>
      </c>
      <c r="AH22" s="883">
        <f t="shared" si="59"/>
        <v>0</v>
      </c>
      <c r="AI22" s="883">
        <f t="shared" si="60"/>
        <v>0.96528789822167593</v>
      </c>
      <c r="AJ22" s="889">
        <f t="shared" si="9"/>
        <v>46.804068252071822</v>
      </c>
      <c r="AK22" s="885">
        <f t="shared" si="30"/>
        <v>0</v>
      </c>
      <c r="AL22" s="883">
        <f t="shared" si="31"/>
        <v>0</v>
      </c>
      <c r="AM22" s="883">
        <f t="shared" si="32"/>
        <v>0</v>
      </c>
      <c r="AN22" s="883">
        <f t="shared" si="33"/>
        <v>168.07552796411721</v>
      </c>
      <c r="AO22" s="883">
        <f t="shared" si="34"/>
        <v>0</v>
      </c>
      <c r="AP22" s="883">
        <f t="shared" si="35"/>
        <v>3.539388960146145</v>
      </c>
      <c r="AQ22" s="890">
        <f t="shared" si="38"/>
        <v>171.61491692426335</v>
      </c>
    </row>
    <row r="23" spans="1:43">
      <c r="A23" s="817"/>
      <c r="B23" s="860" t="s">
        <v>1599</v>
      </c>
      <c r="C23" s="883">
        <f>HLOOKUP($B$2,'Consumption Input'!$E$5:$AQ$82,'Consumption Input'!$B10)</f>
        <v>75.614000000000004</v>
      </c>
      <c r="D23" s="883">
        <f>HLOOKUP($B$2,'Consumption Input'!$E$5:$AQ$82,'Consumption Input'!$B16)</f>
        <v>14.039</v>
      </c>
      <c r="E23" s="883">
        <f>HLOOKUP($B$2,'Consumption Input'!$E$5:$AQ$82,'Consumption Input'!$B29)</f>
        <v>13.053000000000001</v>
      </c>
      <c r="F23" s="883"/>
      <c r="G23" s="883"/>
      <c r="H23" s="883">
        <f>HLOOKUP($B$2,'US Territories'!$D$28:$Z$38,'US Territories'!$B33)</f>
        <v>2.5984339736250095</v>
      </c>
      <c r="I23" s="883">
        <f t="shared" si="36"/>
        <v>105.30443397362501</v>
      </c>
      <c r="J23" s="961"/>
      <c r="K23" s="940"/>
      <c r="L23" s="940"/>
      <c r="M23" s="940"/>
      <c r="N23" s="885">
        <f t="shared" si="43"/>
        <v>75.614000000000004</v>
      </c>
      <c r="O23" s="883">
        <f t="shared" si="44"/>
        <v>14.039</v>
      </c>
      <c r="P23" s="883">
        <f t="shared" si="45"/>
        <v>13.053000000000001</v>
      </c>
      <c r="Q23" s="883">
        <f t="shared" si="46"/>
        <v>0</v>
      </c>
      <c r="R23" s="883">
        <f t="shared" si="47"/>
        <v>0</v>
      </c>
      <c r="S23" s="886">
        <f t="shared" si="48"/>
        <v>2.5984339736250095</v>
      </c>
      <c r="T23" s="883">
        <f t="shared" si="7"/>
        <v>105.30443397362501</v>
      </c>
      <c r="U23" s="887">
        <f>Factors!D28</f>
        <v>19.964104564962931</v>
      </c>
      <c r="V23" s="885">
        <f t="shared" si="49"/>
        <v>1.5095658025751073</v>
      </c>
      <c r="W23" s="883">
        <f t="shared" si="50"/>
        <v>0.28027606398751459</v>
      </c>
      <c r="X23" s="883">
        <f t="shared" si="51"/>
        <v>0.26059145688646118</v>
      </c>
      <c r="Y23" s="883">
        <f t="shared" si="52"/>
        <v>0</v>
      </c>
      <c r="Z23" s="883">
        <f t="shared" si="53"/>
        <v>0</v>
      </c>
      <c r="AA23" s="883">
        <f t="shared" si="54"/>
        <v>5.1875407554601821E-2</v>
      </c>
      <c r="AB23" s="883">
        <f t="shared" si="37"/>
        <v>2.102308731003685</v>
      </c>
      <c r="AC23" s="888">
        <f>Factors!E28</f>
        <v>1</v>
      </c>
      <c r="AD23" s="885">
        <f t="shared" si="55"/>
        <v>1.5095658025751073</v>
      </c>
      <c r="AE23" s="883">
        <f t="shared" si="56"/>
        <v>0.28027606398751459</v>
      </c>
      <c r="AF23" s="883">
        <f t="shared" si="57"/>
        <v>0.26059145688646118</v>
      </c>
      <c r="AG23" s="883">
        <f t="shared" si="58"/>
        <v>0</v>
      </c>
      <c r="AH23" s="883">
        <f t="shared" si="59"/>
        <v>0</v>
      </c>
      <c r="AI23" s="883">
        <f t="shared" si="60"/>
        <v>5.1875407554601821E-2</v>
      </c>
      <c r="AJ23" s="889">
        <f t="shared" si="9"/>
        <v>2.102308731003685</v>
      </c>
      <c r="AK23" s="885">
        <f t="shared" si="30"/>
        <v>5.5350746094420602</v>
      </c>
      <c r="AL23" s="883">
        <f t="shared" si="31"/>
        <v>1.0276789012875533</v>
      </c>
      <c r="AM23" s="883">
        <f t="shared" si="32"/>
        <v>0.95550200858369094</v>
      </c>
      <c r="AN23" s="883">
        <f t="shared" si="33"/>
        <v>0</v>
      </c>
      <c r="AO23" s="883">
        <f t="shared" si="34"/>
        <v>0</v>
      </c>
      <c r="AP23" s="883">
        <f t="shared" si="35"/>
        <v>0.19020982770020667</v>
      </c>
      <c r="AQ23" s="890">
        <f t="shared" si="38"/>
        <v>7.7084653470135116</v>
      </c>
    </row>
    <row r="24" spans="1:43">
      <c r="A24" s="817"/>
      <c r="B24" s="860" t="s">
        <v>1600</v>
      </c>
      <c r="C24" s="883">
        <f>HLOOKUP($B$2,'Consumption Input'!$E$5:$AQ$82,'Consumption Input'!$B11)</f>
        <v>390.08</v>
      </c>
      <c r="D24" s="883">
        <f>HLOOKUP($B$2,'Consumption Input'!$E$5:$AQ$82,'Consumption Input'!$B17)</f>
        <v>109.389</v>
      </c>
      <c r="E24"/>
      <c r="F24" s="883">
        <f>HLOOKUP($B$2,'Consumption Input'!$E$5:$AQ$82,'Consumption Input'!$B53)</f>
        <v>20.27</v>
      </c>
      <c r="G24" s="883"/>
      <c r="H24"/>
      <c r="I24" s="883">
        <f>SUM(C24:H24)</f>
        <v>519.73900000000003</v>
      </c>
      <c r="J24" s="884"/>
      <c r="K24"/>
      <c r="L24" s="883"/>
      <c r="M24" s="883"/>
      <c r="N24" s="885">
        <f>C24</f>
        <v>390.08</v>
      </c>
      <c r="O24" s="883">
        <f t="shared" si="44"/>
        <v>109.389</v>
      </c>
      <c r="P24"/>
      <c r="Q24" s="883">
        <f t="shared" si="46"/>
        <v>20.27</v>
      </c>
      <c r="R24" s="883">
        <f t="shared" si="47"/>
        <v>0</v>
      </c>
      <c r="S24" s="1007"/>
      <c r="T24" s="883">
        <f t="shared" si="7"/>
        <v>519.73900000000003</v>
      </c>
      <c r="U24" s="1005">
        <f>HLOOKUP($B$2,Factors!$J$12:$BE$25,Factors!$H17,FALSE)</f>
        <v>17.146363636363635</v>
      </c>
      <c r="V24" s="885">
        <f>N24*$U24*TbtuToQBtu</f>
        <v>6.6884535272727259</v>
      </c>
      <c r="W24" s="883">
        <f>O24*$U24*TbtuToQBtu</f>
        <v>1.8756235718181815</v>
      </c>
      <c r="X24"/>
      <c r="Y24" s="883">
        <f>Q24*$U24*TbtuToQBtu</f>
        <v>0.34755679090909086</v>
      </c>
      <c r="Z24" s="883">
        <f t="shared" ref="Z24" si="61">R24*$U24*TbtuToQBtu</f>
        <v>0</v>
      </c>
      <c r="AA24"/>
      <c r="AB24" s="883">
        <f>SUM(V24:AA24)</f>
        <v>8.9116338899999974</v>
      </c>
      <c r="AC24" s="888">
        <f>Factors!E30</f>
        <v>1</v>
      </c>
      <c r="AD24" s="885">
        <f>V24*$AC24</f>
        <v>6.6884535272727259</v>
      </c>
      <c r="AE24" s="883">
        <f t="shared" si="56"/>
        <v>1.8756235718181815</v>
      </c>
      <c r="AF24"/>
      <c r="AG24" s="883">
        <f t="shared" si="56"/>
        <v>0.34755679090909086</v>
      </c>
      <c r="AH24" s="883">
        <f t="shared" si="56"/>
        <v>0</v>
      </c>
      <c r="AI24"/>
      <c r="AJ24" s="889">
        <f t="shared" si="9"/>
        <v>8.9116338899999974</v>
      </c>
      <c r="AK24" s="885">
        <f>AD24*CtoCO2</f>
        <v>24.524329599999994</v>
      </c>
      <c r="AL24" s="883">
        <f t="shared" ref="AL24" si="62">AE24*CtoCO2</f>
        <v>6.877286429999999</v>
      </c>
      <c r="AN24" s="883">
        <f t="shared" ref="AN24" si="63">AG24*CtoCO2</f>
        <v>1.2743748999999998</v>
      </c>
      <c r="AO24" s="883">
        <f t="shared" ref="AO24" si="64">AH24*CtoCO2</f>
        <v>0</v>
      </c>
      <c r="AQ24" s="890">
        <f t="shared" si="38"/>
        <v>32.67599092999999</v>
      </c>
    </row>
    <row r="25" spans="1:43">
      <c r="A25" s="817"/>
      <c r="B25" s="860" t="s">
        <v>1609</v>
      </c>
      <c r="C25" s="883"/>
      <c r="D25" s="883"/>
      <c r="E25" s="883">
        <f>HLOOKUP($B$2,'Consumption Input'!$E$5:$AQ$82,'Consumption Input'!$B30)</f>
        <v>1703.870114736</v>
      </c>
      <c r="F25" s="883"/>
      <c r="G25" s="883"/>
      <c r="H25" s="883">
        <f>HLOOKUP($B$2,'US Territories'!$D$28:$AO$38,'US Territories'!$B34)</f>
        <v>3.0188338379822248</v>
      </c>
      <c r="I25" s="883">
        <f>SUM(C25:H25)</f>
        <v>1706.8889485739821</v>
      </c>
      <c r="J25" s="884"/>
      <c r="K25" s="883">
        <f>HLOOKUP($B$2,NEUConsumption,'Non-Energy Use'!$C$11)</f>
        <v>1465.8131042330449</v>
      </c>
      <c r="L25" s="883"/>
      <c r="M25" s="883"/>
      <c r="N25" s="885"/>
      <c r="O25" s="883"/>
      <c r="P25" s="883">
        <f>E25-K25</f>
        <v>238.05701050295511</v>
      </c>
      <c r="Q25" s="883"/>
      <c r="R25" s="883"/>
      <c r="S25" s="886">
        <f>H25-M25</f>
        <v>3.0188338379822248</v>
      </c>
      <c r="T25" s="883">
        <f t="shared" si="7"/>
        <v>241.07584434093732</v>
      </c>
      <c r="U25" s="1005">
        <f>HLOOKUP($B$2,Factors!$J$12:$BE$25,Factors!$H18,FALSE)</f>
        <v>17.400741387965933</v>
      </c>
      <c r="V25" s="885"/>
      <c r="W25" s="883"/>
      <c r="X25" s="883">
        <f>P25*$U25*TbtuToQBtu</f>
        <v>4.1423684753542123</v>
      </c>
      <c r="Y25" s="883"/>
      <c r="Z25" s="883"/>
      <c r="AA25" s="883">
        <f>S25*$U25*TbtuToQBtu</f>
        <v>5.2529946907969347E-2</v>
      </c>
      <c r="AB25" s="883">
        <f>SUM(V25:AA25)</f>
        <v>4.1948984222621819</v>
      </c>
      <c r="AC25" s="888">
        <f>Factors!E31</f>
        <v>1</v>
      </c>
      <c r="AD25" s="885"/>
      <c r="AE25" s="883"/>
      <c r="AF25" s="883">
        <f>X25*$AC25</f>
        <v>4.1423684753542123</v>
      </c>
      <c r="AG25" s="883"/>
      <c r="AH25" s="883"/>
      <c r="AI25" s="883">
        <f>AA25*$AC25</f>
        <v>5.2529946907969347E-2</v>
      </c>
      <c r="AJ25" s="889">
        <f t="shared" si="9"/>
        <v>4.1948984222621819</v>
      </c>
      <c r="AK25" s="885"/>
      <c r="AL25" s="883"/>
      <c r="AM25" s="883">
        <f>AF25*CtoCO2</f>
        <v>15.188684409632112</v>
      </c>
      <c r="AN25" s="883"/>
      <c r="AO25" s="883"/>
      <c r="AP25" s="883">
        <f>AI25*CtoCO2</f>
        <v>0.19260980532922092</v>
      </c>
      <c r="AQ25" s="890">
        <f t="shared" si="38"/>
        <v>15.381294214961333</v>
      </c>
    </row>
    <row r="26" spans="1:43">
      <c r="A26" s="817"/>
      <c r="B26" s="860" t="s">
        <v>1610</v>
      </c>
      <c r="C26" s="883"/>
      <c r="D26" s="883"/>
      <c r="E26" s="883">
        <f>HLOOKUP($B$2,'Consumption Input'!$E$5:$AQ$82,'Consumption Input'!$B31)</f>
        <v>173.06399999999999</v>
      </c>
      <c r="F26" s="883">
        <f>HLOOKUP($B$2,'Consumption Input'!$E$5:$AQ$82,'Consumption Input'!$B54)</f>
        <v>163.458</v>
      </c>
      <c r="G26" s="883"/>
      <c r="H26" s="883">
        <f>HLOOKUP($B$2,'US Territories'!$D$28:$Z$38,'US Territories'!$B35)</f>
        <v>1.7262798491609597</v>
      </c>
      <c r="I26" s="883">
        <f t="shared" si="36"/>
        <v>338.24827984916095</v>
      </c>
      <c r="J26" s="961"/>
      <c r="K26" s="940">
        <f>HLOOKUP($B$2,NEUConsumption,'Non-Energy Use'!$C$12)</f>
        <v>173.06399999999999</v>
      </c>
      <c r="L26" s="940">
        <f>HLOOKUP($B$2,NEUConsumption,'Non-Energy Use'!$C$24)</f>
        <v>163.458</v>
      </c>
      <c r="M26" s="940">
        <f>HLOOKUP($B$2,NEUConsumption,'Non-Energy Use'!$C$26)</f>
        <v>1.7262798491609597</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7"/>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40.827714185755994</v>
      </c>
      <c r="E27" s="883">
        <f>HLOOKUP($B$2,'Consumption Input'!$E$5:$AQ$82,'Consumption Input'!$B32)</f>
        <v>247.74678732727477</v>
      </c>
      <c r="F27" s="883">
        <f>HLOOKUP($B$2,'Consumption Input'!$E$5:$AQ$82,'Consumption Input'!$B55)</f>
        <v>13850.228440006968</v>
      </c>
      <c r="G27" s="883"/>
      <c r="H27" s="883">
        <f>HLOOKUP($B$2,'US Territories'!$D$28:$Z$38,'US Territories'!$B36)</f>
        <v>81.112202178258912</v>
      </c>
      <c r="I27" s="883">
        <f t="shared" si="36"/>
        <v>14219.915143698257</v>
      </c>
      <c r="J27" s="961"/>
      <c r="K27" s="940"/>
      <c r="L27" s="940"/>
      <c r="M27" s="940"/>
      <c r="N27" s="885">
        <f t="shared" si="43"/>
        <v>0</v>
      </c>
      <c r="O27" s="883">
        <f t="shared" si="44"/>
        <v>40.827714185755994</v>
      </c>
      <c r="P27" s="883">
        <f t="shared" si="45"/>
        <v>247.74678732727477</v>
      </c>
      <c r="Q27" s="883">
        <f t="shared" si="46"/>
        <v>13850.228440006968</v>
      </c>
      <c r="R27" s="883">
        <f t="shared" si="47"/>
        <v>0</v>
      </c>
      <c r="S27" s="886">
        <f t="shared" si="48"/>
        <v>81.112202178258912</v>
      </c>
      <c r="T27" s="883">
        <f t="shared" si="7"/>
        <v>14219.915143698257</v>
      </c>
      <c r="U27" s="887">
        <f>HLOOKUP($B$2,Factors!$J$12:$Y$25,Factors!$H20)</f>
        <v>19.439169784991449</v>
      </c>
      <c r="V27" s="885">
        <f t="shared" si="49"/>
        <v>0</v>
      </c>
      <c r="W27" s="883">
        <f t="shared" si="50"/>
        <v>0.79365686799001467</v>
      </c>
      <c r="X27" s="883">
        <f t="shared" si="51"/>
        <v>4.815991862541062</v>
      </c>
      <c r="Y27" s="883">
        <f t="shared" si="52"/>
        <v>269.23694220621275</v>
      </c>
      <c r="Z27" s="883">
        <f t="shared" si="53"/>
        <v>0</v>
      </c>
      <c r="AA27" s="883">
        <f t="shared" si="54"/>
        <v>1.5767538697777281</v>
      </c>
      <c r="AB27" s="883">
        <f t="shared" si="37"/>
        <v>276.42334480652158</v>
      </c>
      <c r="AC27" s="888">
        <f>Factors!E34</f>
        <v>1</v>
      </c>
      <c r="AD27" s="885">
        <f t="shared" si="55"/>
        <v>0</v>
      </c>
      <c r="AE27" s="883">
        <f t="shared" si="56"/>
        <v>0.79365686799001467</v>
      </c>
      <c r="AF27" s="883">
        <f t="shared" si="57"/>
        <v>4.815991862541062</v>
      </c>
      <c r="AG27" s="883">
        <f>Y27*$AC44</f>
        <v>269.23694220621275</v>
      </c>
      <c r="AH27" s="883">
        <f t="shared" si="59"/>
        <v>0</v>
      </c>
      <c r="AI27" s="883">
        <f t="shared" si="60"/>
        <v>1.5767538697777281</v>
      </c>
      <c r="AJ27" s="889">
        <f t="shared" si="9"/>
        <v>276.42334480652158</v>
      </c>
      <c r="AK27" s="885">
        <f t="shared" si="30"/>
        <v>0</v>
      </c>
      <c r="AL27" s="883">
        <f t="shared" si="31"/>
        <v>2.9100751826300537</v>
      </c>
      <c r="AM27" s="883">
        <f t="shared" si="32"/>
        <v>17.658636829317228</v>
      </c>
      <c r="AN27" s="883">
        <f t="shared" si="33"/>
        <v>987.20212142278001</v>
      </c>
      <c r="AO27" s="883">
        <f t="shared" si="34"/>
        <v>0</v>
      </c>
      <c r="AP27" s="883">
        <f t="shared" si="35"/>
        <v>5.7814308558516698</v>
      </c>
      <c r="AQ27" s="890">
        <f t="shared" si="38"/>
        <v>1013.5522642905789</v>
      </c>
    </row>
    <row r="28" spans="1:43">
      <c r="A28" s="817"/>
      <c r="B28" s="860" t="s">
        <v>1602</v>
      </c>
      <c r="C28" s="883"/>
      <c r="D28" s="883">
        <f>HLOOKUP($B$2,'Consumption Input'!$E$5:$AQ$82,'Consumption Input'!$B19)</f>
        <v>172.71700000000001</v>
      </c>
      <c r="E28" s="883">
        <f>HLOOKUP($B$2,'Consumption Input'!$E$5:$AQ$82,'Consumption Input'!$B33)</f>
        <v>391.19952599999999</v>
      </c>
      <c r="F28" s="883">
        <f>HLOOKUP($B$2,'Consumption Input'!$E$5:$AQ$82,'Consumption Input'!$B56)</f>
        <v>901.45699999999988</v>
      </c>
      <c r="G28" s="883">
        <f>HLOOKUP($B$2,'Consumption Input'!$E$5:$AQ$82,'Consumption Input'!$B61)</f>
        <v>958.64499999999998</v>
      </c>
      <c r="H28" s="883">
        <f>HLOOKUP($B$2,'US Territories'!$D$28:$Z$38,'US Territories'!$B37)</f>
        <v>91.859713308606118</v>
      </c>
      <c r="I28" s="883">
        <f t="shared" si="36"/>
        <v>2515.8782393086058</v>
      </c>
      <c r="J28" s="961">
        <f>HLOOKUP($B$2,IBFConsumption,'International Bunker Fuels'!$B$9)</f>
        <v>533.93118914900003</v>
      </c>
      <c r="K28" s="940"/>
      <c r="L28" s="940"/>
      <c r="M28" s="940"/>
      <c r="N28" s="885">
        <f t="shared" si="43"/>
        <v>0</v>
      </c>
      <c r="O28" s="883">
        <f t="shared" si="44"/>
        <v>172.71700000000001</v>
      </c>
      <c r="P28" s="883">
        <f t="shared" si="45"/>
        <v>391.19952599999999</v>
      </c>
      <c r="Q28" s="883">
        <f t="shared" si="46"/>
        <v>367.52581085099985</v>
      </c>
      <c r="R28" s="883">
        <f t="shared" si="47"/>
        <v>958.64499999999998</v>
      </c>
      <c r="S28" s="886">
        <f t="shared" si="48"/>
        <v>91.859713308606118</v>
      </c>
      <c r="T28" s="883">
        <f t="shared" si="7"/>
        <v>1981.9470501596059</v>
      </c>
      <c r="U28" s="887">
        <f>Factors!D36</f>
        <v>20.48</v>
      </c>
      <c r="V28" s="885">
        <f t="shared" si="49"/>
        <v>0</v>
      </c>
      <c r="W28" s="883">
        <f t="shared" si="50"/>
        <v>3.5372441600000002</v>
      </c>
      <c r="X28" s="883">
        <f t="shared" si="51"/>
        <v>8.0117662924799991</v>
      </c>
      <c r="Y28" s="883">
        <f t="shared" si="52"/>
        <v>7.526928606228477</v>
      </c>
      <c r="Z28" s="883">
        <f t="shared" si="53"/>
        <v>19.6330496</v>
      </c>
      <c r="AA28" s="883">
        <f t="shared" si="54"/>
        <v>1.8812869285602534</v>
      </c>
      <c r="AB28" s="883">
        <f t="shared" si="37"/>
        <v>40.590275587268728</v>
      </c>
      <c r="AC28" s="888">
        <f>Factors!E36</f>
        <v>1</v>
      </c>
      <c r="AD28" s="885">
        <f t="shared" si="55"/>
        <v>0</v>
      </c>
      <c r="AE28" s="883">
        <f t="shared" si="56"/>
        <v>3.5372441600000002</v>
      </c>
      <c r="AF28" s="883">
        <f t="shared" si="57"/>
        <v>8.0117662924799991</v>
      </c>
      <c r="AG28" s="883">
        <f t="shared" si="58"/>
        <v>7.526928606228477</v>
      </c>
      <c r="AH28" s="883">
        <f t="shared" si="59"/>
        <v>19.6330496</v>
      </c>
      <c r="AI28" s="883">
        <f t="shared" si="60"/>
        <v>1.8812869285602534</v>
      </c>
      <c r="AJ28" s="889">
        <f t="shared" si="9"/>
        <v>40.590275587268728</v>
      </c>
      <c r="AK28" s="885">
        <f t="shared" si="30"/>
        <v>0</v>
      </c>
      <c r="AL28" s="883">
        <f t="shared" si="31"/>
        <v>12.969895253333334</v>
      </c>
      <c r="AM28" s="883">
        <f t="shared" si="32"/>
        <v>29.376476405759995</v>
      </c>
      <c r="AN28" s="883">
        <f t="shared" si="33"/>
        <v>27.598738222837749</v>
      </c>
      <c r="AO28" s="883">
        <f t="shared" si="34"/>
        <v>71.987848533333334</v>
      </c>
      <c r="AP28" s="883">
        <f t="shared" si="35"/>
        <v>6.8980520713875952</v>
      </c>
      <c r="AQ28" s="890">
        <f t="shared" si="38"/>
        <v>148.83101048665199</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7"/>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0.14639199999999999</v>
      </c>
      <c r="F30" s="883"/>
      <c r="G30" s="883"/>
      <c r="H30" s="883"/>
      <c r="I30" s="883">
        <f t="shared" si="36"/>
        <v>0.14639199999999999</v>
      </c>
      <c r="J30" s="961"/>
      <c r="K30" s="940"/>
      <c r="L30" s="940"/>
      <c r="M30" s="940"/>
      <c r="N30" s="885">
        <f t="shared" si="43"/>
        <v>0</v>
      </c>
      <c r="O30" s="883">
        <f t="shared" si="44"/>
        <v>0</v>
      </c>
      <c r="P30" s="883">
        <f t="shared" si="45"/>
        <v>0.14639199999999999</v>
      </c>
      <c r="Q30" s="883">
        <f t="shared" si="46"/>
        <v>0</v>
      </c>
      <c r="R30" s="883">
        <f t="shared" si="47"/>
        <v>0</v>
      </c>
      <c r="S30" s="886">
        <f t="shared" si="48"/>
        <v>0</v>
      </c>
      <c r="T30" s="883">
        <f t="shared" si="7"/>
        <v>0.14639199999999999</v>
      </c>
      <c r="U30" s="887">
        <f>Factors!D39</f>
        <v>18.87</v>
      </c>
      <c r="V30" s="885">
        <f t="shared" si="49"/>
        <v>0</v>
      </c>
      <c r="W30" s="883">
        <f t="shared" si="50"/>
        <v>0</v>
      </c>
      <c r="X30" s="883">
        <f t="shared" si="51"/>
        <v>2.7624170399999999E-3</v>
      </c>
      <c r="Y30" s="883">
        <f t="shared" si="52"/>
        <v>0</v>
      </c>
      <c r="Z30" s="883">
        <f t="shared" si="53"/>
        <v>0</v>
      </c>
      <c r="AA30" s="883">
        <f t="shared" si="54"/>
        <v>0</v>
      </c>
      <c r="AB30" s="883">
        <f t="shared" si="37"/>
        <v>2.7624170399999999E-3</v>
      </c>
      <c r="AC30" s="888">
        <f>Factors!E39</f>
        <v>1</v>
      </c>
      <c r="AD30" s="885">
        <f t="shared" si="55"/>
        <v>0</v>
      </c>
      <c r="AE30" s="883">
        <f t="shared" si="56"/>
        <v>0</v>
      </c>
      <c r="AF30" s="883">
        <f t="shared" si="57"/>
        <v>2.7624170399999999E-3</v>
      </c>
      <c r="AG30" s="883">
        <f t="shared" si="58"/>
        <v>0</v>
      </c>
      <c r="AH30" s="883">
        <f t="shared" si="59"/>
        <v>0</v>
      </c>
      <c r="AI30" s="883">
        <f t="shared" si="60"/>
        <v>0</v>
      </c>
      <c r="AJ30" s="889">
        <f t="shared" si="9"/>
        <v>2.7624170399999999E-3</v>
      </c>
      <c r="AK30" s="885">
        <f t="shared" si="30"/>
        <v>0</v>
      </c>
      <c r="AL30" s="883">
        <f t="shared" si="31"/>
        <v>0</v>
      </c>
      <c r="AM30" s="883">
        <f t="shared" si="32"/>
        <v>1.0128862479999999E-2</v>
      </c>
      <c r="AN30" s="883">
        <f t="shared" si="33"/>
        <v>0</v>
      </c>
      <c r="AO30" s="883">
        <f t="shared" si="34"/>
        <v>0</v>
      </c>
      <c r="AP30" s="883">
        <f t="shared" si="35"/>
        <v>0</v>
      </c>
      <c r="AQ30" s="890">
        <f t="shared" si="38"/>
        <v>1.0128862479999999E-2</v>
      </c>
    </row>
    <row r="31" spans="1:43">
      <c r="A31" s="817"/>
      <c r="B31" s="865" t="s">
        <v>1612</v>
      </c>
      <c r="C31" s="883"/>
      <c r="D31" s="883"/>
      <c r="E31" s="883">
        <f>HLOOKUP($B$2,'Consumption Input'!$E$5:$AQ$82,'Consumption Input'!$B36)</f>
        <v>21.1526</v>
      </c>
      <c r="F31" s="883"/>
      <c r="G31" s="883"/>
      <c r="H31" s="883"/>
      <c r="I31" s="883">
        <f t="shared" si="36"/>
        <v>21.1526</v>
      </c>
      <c r="J31" s="961"/>
      <c r="K31" s="940"/>
      <c r="L31" s="940"/>
      <c r="M31" s="940"/>
      <c r="N31" s="885">
        <f t="shared" si="43"/>
        <v>0</v>
      </c>
      <c r="O31" s="883">
        <f t="shared" si="44"/>
        <v>0</v>
      </c>
      <c r="P31" s="883">
        <f t="shared" si="45"/>
        <v>21.1526</v>
      </c>
      <c r="Q31" s="883">
        <f t="shared" si="46"/>
        <v>0</v>
      </c>
      <c r="R31" s="883">
        <f t="shared" si="47"/>
        <v>0</v>
      </c>
      <c r="S31" s="886">
        <f t="shared" si="48"/>
        <v>0</v>
      </c>
      <c r="T31" s="883">
        <f t="shared" si="7"/>
        <v>21.1526</v>
      </c>
      <c r="U31" s="887">
        <f>HLOOKUP($B$2,Factors!$J$12:$Y$25,Factors!$H25)</f>
        <v>20.203098464137931</v>
      </c>
      <c r="V31" s="885">
        <f t="shared" si="49"/>
        <v>0</v>
      </c>
      <c r="W31" s="883">
        <f t="shared" si="50"/>
        <v>0</v>
      </c>
      <c r="X31" s="883">
        <f t="shared" si="51"/>
        <v>0.427348060572524</v>
      </c>
      <c r="Y31" s="883">
        <f t="shared" si="52"/>
        <v>0</v>
      </c>
      <c r="Z31" s="883">
        <f t="shared" si="53"/>
        <v>0</v>
      </c>
      <c r="AA31" s="883">
        <f t="shared" si="54"/>
        <v>0</v>
      </c>
      <c r="AB31" s="883">
        <f t="shared" si="37"/>
        <v>0.427348060572524</v>
      </c>
      <c r="AC31" s="888">
        <f>Factors!E40</f>
        <v>1</v>
      </c>
      <c r="AD31" s="885">
        <f t="shared" si="55"/>
        <v>0</v>
      </c>
      <c r="AE31" s="883">
        <f t="shared" si="56"/>
        <v>0</v>
      </c>
      <c r="AF31" s="883">
        <f t="shared" si="57"/>
        <v>0.427348060572524</v>
      </c>
      <c r="AG31" s="883">
        <f t="shared" si="58"/>
        <v>0</v>
      </c>
      <c r="AH31" s="883">
        <f t="shared" si="59"/>
        <v>0</v>
      </c>
      <c r="AI31" s="883">
        <f t="shared" si="60"/>
        <v>0</v>
      </c>
      <c r="AJ31" s="889">
        <f t="shared" si="9"/>
        <v>0.427348060572524</v>
      </c>
      <c r="AK31" s="885">
        <f t="shared" si="30"/>
        <v>0</v>
      </c>
      <c r="AL31" s="883">
        <f t="shared" si="31"/>
        <v>0</v>
      </c>
      <c r="AM31" s="883">
        <f t="shared" si="32"/>
        <v>1.5669428887659214</v>
      </c>
      <c r="AN31" s="883">
        <f t="shared" si="33"/>
        <v>0</v>
      </c>
      <c r="AO31" s="883">
        <f t="shared" si="34"/>
        <v>0</v>
      </c>
      <c r="AP31" s="883">
        <f t="shared" si="35"/>
        <v>0</v>
      </c>
      <c r="AQ31" s="890">
        <f t="shared" si="38"/>
        <v>1.5669428887659214</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887">
        <f>HLOOKUP($B$2,Factors!$J$12:$Y$25,Factors!$H22)</f>
        <v>19.439169784991449</v>
      </c>
      <c r="V32" s="885">
        <f t="shared" si="49"/>
        <v>0</v>
      </c>
      <c r="W32" s="883">
        <f t="shared" si="50"/>
        <v>0</v>
      </c>
      <c r="X32" s="883">
        <f t="shared" si="51"/>
        <v>0</v>
      </c>
      <c r="Y32" s="883">
        <f t="shared" si="52"/>
        <v>0</v>
      </c>
      <c r="Z32" s="883">
        <f t="shared" si="53"/>
        <v>0</v>
      </c>
      <c r="AA32" s="883">
        <f t="shared" si="54"/>
        <v>0</v>
      </c>
      <c r="AB32" s="883">
        <f t="shared" si="37"/>
        <v>0</v>
      </c>
      <c r="AC32" s="888">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30"/>
        <v>0</v>
      </c>
      <c r="AL32" s="883">
        <f t="shared" si="31"/>
        <v>0</v>
      </c>
      <c r="AM32" s="883">
        <f t="shared" si="32"/>
        <v>0</v>
      </c>
      <c r="AN32" s="883">
        <f t="shared" si="33"/>
        <v>0</v>
      </c>
      <c r="AO32" s="883">
        <f t="shared" si="34"/>
        <v>0</v>
      </c>
      <c r="AP32" s="883">
        <f t="shared" si="35"/>
        <v>0</v>
      </c>
      <c r="AQ32" s="890">
        <f t="shared" si="38"/>
        <v>0</v>
      </c>
    </row>
    <row r="33" spans="1:43">
      <c r="A33" s="817"/>
      <c r="B33" s="865" t="s">
        <v>1739</v>
      </c>
      <c r="C33" s="883"/>
      <c r="D33" s="883"/>
      <c r="E33" s="883">
        <f>HLOOKUP($B$2,'Consumption Input'!$E$5:$AQ$82,'Consumption Input'!$B38)</f>
        <v>94.718232</v>
      </c>
      <c r="F33" s="883"/>
      <c r="G33" s="883"/>
      <c r="H33" s="883">
        <f>HLOOKUP($B$2,'US Territories'!$D$28:$Z$38,'US Territories'!$B38)</f>
        <v>37.1006001292658</v>
      </c>
      <c r="I33" s="883">
        <f t="shared" si="36"/>
        <v>131.81883212926579</v>
      </c>
      <c r="J33" s="961"/>
      <c r="K33" s="940">
        <f>HLOOKUP($B$2,NEUConsumption,'Non-Energy Use'!C22)</f>
        <v>94.718232</v>
      </c>
      <c r="L33" s="940"/>
      <c r="M33" s="940">
        <f>HLOOKUP($B$2,NEUConsumption,'Non-Energy Use'!$C$27)</f>
        <v>37.1006001292658</v>
      </c>
      <c r="N33" s="885">
        <f t="shared" si="43"/>
        <v>0</v>
      </c>
      <c r="O33" s="883">
        <f t="shared" si="44"/>
        <v>0</v>
      </c>
      <c r="P33" s="883">
        <f t="shared" si="45"/>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7"/>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350.59264000000002</v>
      </c>
      <c r="F34" s="883"/>
      <c r="G34" s="883"/>
      <c r="H34" s="883"/>
      <c r="I34" s="883">
        <f t="shared" si="36"/>
        <v>350.59264000000002</v>
      </c>
      <c r="J34" s="961"/>
      <c r="K34" s="940">
        <f>HLOOKUP($B$2,NEUConsumption,'Non-Energy Use'!C14)</f>
        <v>350.59264000000002</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7"/>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844.07745</v>
      </c>
      <c r="F35" s="883"/>
      <c r="G35" s="883"/>
      <c r="H35" s="883"/>
      <c r="I35" s="883">
        <f t="shared" si="36"/>
        <v>844.07745</v>
      </c>
      <c r="J35" s="961"/>
      <c r="K35" s="940">
        <f>HLOOKUP($B$2,NEUConsumption,'Non-Energy Use'!$C$15)</f>
        <v>844.07745</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7"/>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7"/>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0.155</v>
      </c>
      <c r="E37" s="883">
        <f>HLOOKUP($B$2,'Consumption Input'!$E$5:$AQ$82,'Consumption Input'!$B42)</f>
        <v>725.29600000000005</v>
      </c>
      <c r="F37" s="883"/>
      <c r="G37" s="883">
        <f>HLOOKUP($B$2,'Consumption Input'!$E$5:$AQ$82,'Consumption Input'!$B63)</f>
        <v>78.647999999999996</v>
      </c>
      <c r="H37" s="883"/>
      <c r="I37" s="883">
        <f t="shared" si="36"/>
        <v>804.09900000000005</v>
      </c>
      <c r="J37" s="961"/>
      <c r="K37" s="940">
        <f>HLOOKUP($B$2,NEUConsumption,'Non-Energy Use'!$C$17)</f>
        <v>110.67020975747928</v>
      </c>
      <c r="L37" s="940"/>
      <c r="M37" s="940"/>
      <c r="N37" s="885">
        <f t="shared" si="43"/>
        <v>0</v>
      </c>
      <c r="O37" s="883">
        <f t="shared" si="44"/>
        <v>0.155</v>
      </c>
      <c r="P37" s="883">
        <f t="shared" si="45"/>
        <v>614.62579024252079</v>
      </c>
      <c r="Q37" s="883">
        <f t="shared" si="46"/>
        <v>0</v>
      </c>
      <c r="R37" s="883">
        <f t="shared" si="47"/>
        <v>78.647999999999996</v>
      </c>
      <c r="S37" s="886">
        <f t="shared" si="48"/>
        <v>0</v>
      </c>
      <c r="T37" s="883">
        <f t="shared" si="7"/>
        <v>693.42879024252079</v>
      </c>
      <c r="U37" s="887">
        <f>Factors!D48</f>
        <v>27.84770010865628</v>
      </c>
      <c r="V37" s="885">
        <f t="shared" si="49"/>
        <v>0</v>
      </c>
      <c r="W37" s="883">
        <f t="shared" si="50"/>
        <v>4.3163935168417239E-3</v>
      </c>
      <c r="X37" s="883">
        <f t="shared" si="51"/>
        <v>17.115914685719599</v>
      </c>
      <c r="Y37" s="883">
        <f t="shared" si="52"/>
        <v>0</v>
      </c>
      <c r="Z37" s="883">
        <f t="shared" si="53"/>
        <v>2.190165918145599</v>
      </c>
      <c r="AA37" s="883">
        <f t="shared" si="54"/>
        <v>0</v>
      </c>
      <c r="AB37" s="883">
        <f t="shared" si="37"/>
        <v>19.310396997382039</v>
      </c>
      <c r="AC37" s="888">
        <f>Factors!E48</f>
        <v>1</v>
      </c>
      <c r="AD37" s="885">
        <f t="shared" si="55"/>
        <v>0</v>
      </c>
      <c r="AE37" s="883">
        <f t="shared" si="56"/>
        <v>4.3163935168417239E-3</v>
      </c>
      <c r="AF37" s="883">
        <f t="shared" si="57"/>
        <v>17.115914685719599</v>
      </c>
      <c r="AG37" s="883">
        <f t="shared" si="58"/>
        <v>0</v>
      </c>
      <c r="AH37" s="883">
        <f t="shared" si="59"/>
        <v>2.190165918145599</v>
      </c>
      <c r="AI37" s="883">
        <f t="shared" si="60"/>
        <v>0</v>
      </c>
      <c r="AJ37" s="889">
        <f t="shared" si="9"/>
        <v>19.310396997382039</v>
      </c>
      <c r="AK37" s="885">
        <f t="shared" si="30"/>
        <v>0</v>
      </c>
      <c r="AL37" s="883">
        <f t="shared" si="31"/>
        <v>1.5826776228419652E-2</v>
      </c>
      <c r="AM37" s="883">
        <f t="shared" si="32"/>
        <v>62.758353847638524</v>
      </c>
      <c r="AN37" s="883">
        <f t="shared" si="33"/>
        <v>0</v>
      </c>
      <c r="AO37" s="883">
        <f t="shared" si="34"/>
        <v>8.0306083665338619</v>
      </c>
      <c r="AP37" s="883">
        <f t="shared" si="35"/>
        <v>0</v>
      </c>
      <c r="AQ37" s="890">
        <f t="shared" si="38"/>
        <v>70.804788990400809</v>
      </c>
    </row>
    <row r="38" spans="1:43">
      <c r="A38" s="817"/>
      <c r="B38" s="865" t="s">
        <v>1618</v>
      </c>
      <c r="C38" s="883"/>
      <c r="D38" s="883"/>
      <c r="E38" s="883">
        <f>HLOOKUP($B$2,'Consumption Input'!$E$5:$AQ$82,'Consumption Input'!$B43)</f>
        <v>1430.19</v>
      </c>
      <c r="F38" s="883"/>
      <c r="G38" s="883"/>
      <c r="H38" s="883"/>
      <c r="I38" s="883">
        <f t="shared" si="36"/>
        <v>1430.19</v>
      </c>
      <c r="J38" s="961"/>
      <c r="K38" s="940">
        <f>HLOOKUP($B$2,NEUConsumption,'Non-Energy Use'!$C$16)</f>
        <v>45.630000000000088</v>
      </c>
      <c r="L38" s="940"/>
      <c r="M38" s="940"/>
      <c r="N38" s="885">
        <f t="shared" si="43"/>
        <v>0</v>
      </c>
      <c r="O38" s="883">
        <f t="shared" si="44"/>
        <v>0</v>
      </c>
      <c r="P38" s="883">
        <f t="shared" si="45"/>
        <v>1384.56</v>
      </c>
      <c r="Q38" s="883">
        <f t="shared" si="46"/>
        <v>0</v>
      </c>
      <c r="R38" s="883">
        <f t="shared" si="47"/>
        <v>0</v>
      </c>
      <c r="S38" s="886">
        <f t="shared" si="48"/>
        <v>0</v>
      </c>
      <c r="T38" s="883">
        <f t="shared" si="7"/>
        <v>1384.56</v>
      </c>
      <c r="U38" s="887">
        <f>Factors!D51</f>
        <v>18.195454545454545</v>
      </c>
      <c r="V38" s="885">
        <f t="shared" si="49"/>
        <v>0</v>
      </c>
      <c r="W38" s="883">
        <f t="shared" si="50"/>
        <v>0</v>
      </c>
      <c r="X38" s="883">
        <f t="shared" si="51"/>
        <v>25.192698545454544</v>
      </c>
      <c r="Y38" s="883">
        <f t="shared" si="52"/>
        <v>0</v>
      </c>
      <c r="Z38" s="883">
        <f t="shared" si="53"/>
        <v>0</v>
      </c>
      <c r="AA38" s="883">
        <f t="shared" si="54"/>
        <v>0</v>
      </c>
      <c r="AB38" s="883">
        <f t="shared" si="37"/>
        <v>25.192698545454544</v>
      </c>
      <c r="AC38" s="888">
        <f>Factors!E51</f>
        <v>1</v>
      </c>
      <c r="AD38" s="885">
        <f t="shared" si="55"/>
        <v>0</v>
      </c>
      <c r="AE38" s="883">
        <f t="shared" si="56"/>
        <v>0</v>
      </c>
      <c r="AF38" s="883">
        <f t="shared" si="57"/>
        <v>25.192698545454544</v>
      </c>
      <c r="AG38" s="883">
        <f t="shared" si="58"/>
        <v>0</v>
      </c>
      <c r="AH38" s="883">
        <f t="shared" si="59"/>
        <v>0</v>
      </c>
      <c r="AI38" s="883">
        <f t="shared" si="60"/>
        <v>0</v>
      </c>
      <c r="AJ38" s="889">
        <f t="shared" si="9"/>
        <v>25.192698545454544</v>
      </c>
      <c r="AK38" s="885">
        <f t="shared" si="30"/>
        <v>0</v>
      </c>
      <c r="AL38" s="883">
        <f t="shared" si="31"/>
        <v>0</v>
      </c>
      <c r="AM38" s="883">
        <f t="shared" si="32"/>
        <v>92.373227999999983</v>
      </c>
      <c r="AN38" s="883">
        <f t="shared" si="33"/>
        <v>0</v>
      </c>
      <c r="AO38" s="883">
        <f t="shared" si="34"/>
        <v>0</v>
      </c>
      <c r="AP38" s="883">
        <f t="shared" si="35"/>
        <v>0</v>
      </c>
      <c r="AQ38" s="890">
        <f t="shared" si="38"/>
        <v>92.373227999999983</v>
      </c>
    </row>
    <row r="39" spans="1:43">
      <c r="A39" s="817"/>
      <c r="B39" s="865" t="s">
        <v>1619</v>
      </c>
      <c r="C39" s="883"/>
      <c r="D39" s="883"/>
      <c r="E39" s="883">
        <f>HLOOKUP($B$2,'Consumption Input'!$E$5:$AQ$82,'Consumption Input'!$B44)</f>
        <v>104.582144</v>
      </c>
      <c r="F39" s="883"/>
      <c r="G39" s="883"/>
      <c r="H39" s="883"/>
      <c r="I39" s="883">
        <f t="shared" si="36"/>
        <v>104.582144</v>
      </c>
      <c r="J39" s="961"/>
      <c r="K39" s="940">
        <f>HLOOKUP($B$2,NEUConsumption,'Non-Energy Use'!$C$18)</f>
        <v>104.582144</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7"/>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20.203098464137931</v>
      </c>
      <c r="V40" s="885">
        <f t="shared" si="49"/>
        <v>0</v>
      </c>
      <c r="W40" s="883">
        <f t="shared" si="50"/>
        <v>0</v>
      </c>
      <c r="X40" s="883">
        <f t="shared" si="51"/>
        <v>0</v>
      </c>
      <c r="Y40" s="883">
        <f t="shared" si="52"/>
        <v>0</v>
      </c>
      <c r="Z40" s="883">
        <f t="shared" si="53"/>
        <v>0</v>
      </c>
      <c r="AA40" s="883">
        <f t="shared" si="54"/>
        <v>0</v>
      </c>
      <c r="AB40" s="883">
        <f t="shared" si="37"/>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40.026972999999998</v>
      </c>
      <c r="F41" s="883"/>
      <c r="G41" s="883"/>
      <c r="H41" s="883"/>
      <c r="I41" s="883">
        <f t="shared" si="36"/>
        <v>40.026972999999998</v>
      </c>
      <c r="J41" s="961"/>
      <c r="K41" s="940">
        <f>HLOOKUP($B$2,NEUConsumption,'Non-Energy Use'!$C$21)</f>
        <v>40.026972999999998</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7"/>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57.282584905960007</v>
      </c>
      <c r="H42" s="917"/>
      <c r="I42" s="917">
        <f>G42</f>
        <v>57.282584905960007</v>
      </c>
      <c r="J42" s="968"/>
      <c r="K42" s="969"/>
      <c r="L42" s="970"/>
      <c r="M42" s="971"/>
      <c r="N42" s="917">
        <f t="shared" si="43"/>
        <v>0</v>
      </c>
      <c r="O42" s="917">
        <f t="shared" si="44"/>
        <v>0</v>
      </c>
      <c r="P42" s="917">
        <f>E42</f>
        <v>0</v>
      </c>
      <c r="Q42" s="917">
        <f>F42</f>
        <v>0</v>
      </c>
      <c r="R42" s="917">
        <f t="shared" si="47"/>
        <v>57.282584905960007</v>
      </c>
      <c r="S42" s="917">
        <f>H42</f>
        <v>0</v>
      </c>
      <c r="T42" s="917">
        <f t="shared" si="7"/>
        <v>57.282584905960007</v>
      </c>
      <c r="U42" s="921">
        <f>Factors!D56</f>
        <v>2.6974658424810825</v>
      </c>
      <c r="V42" s="917"/>
      <c r="W42" s="917"/>
      <c r="X42" s="917"/>
      <c r="Y42" s="917"/>
      <c r="Z42" s="917">
        <f>INDEX(Geothermal!$C$14:$AE$18,MATCH("Total",Geothermal!$C$14:$C$18,0),MATCH($B$2,Geothermal!$C$14:$AE$14,0))/CtoCO2</f>
        <v>0.15149946665039554</v>
      </c>
      <c r="AA42" s="917"/>
      <c r="AB42" s="917">
        <f t="shared" si="37"/>
        <v>0.15149946665039554</v>
      </c>
      <c r="AC42" s="921">
        <f>Factors!$E$56</f>
        <v>1</v>
      </c>
      <c r="AD42" s="917">
        <f t="shared" si="55"/>
        <v>0</v>
      </c>
      <c r="AE42" s="917">
        <f t="shared" si="56"/>
        <v>0</v>
      </c>
      <c r="AF42" s="917">
        <f t="shared" si="57"/>
        <v>0</v>
      </c>
      <c r="AG42" s="917">
        <f t="shared" si="58"/>
        <v>0</v>
      </c>
      <c r="AH42" s="917">
        <f t="shared" si="59"/>
        <v>0.15149946665039554</v>
      </c>
      <c r="AI42" s="917">
        <f t="shared" si="60"/>
        <v>0</v>
      </c>
      <c r="AJ42" s="920">
        <f t="shared" si="9"/>
        <v>0.15149946665039554</v>
      </c>
      <c r="AK42" s="919">
        <f t="shared" si="30"/>
        <v>0</v>
      </c>
      <c r="AL42" s="917">
        <f t="shared" si="31"/>
        <v>0</v>
      </c>
      <c r="AM42" s="917">
        <f t="shared" si="32"/>
        <v>0</v>
      </c>
      <c r="AN42" s="917">
        <f t="shared" si="33"/>
        <v>0</v>
      </c>
      <c r="AO42" s="917">
        <f t="shared" si="34"/>
        <v>0.55549804438478367</v>
      </c>
      <c r="AP42" s="917">
        <f t="shared" si="35"/>
        <v>0</v>
      </c>
      <c r="AQ42" s="920">
        <f t="shared" si="38"/>
        <v>0.55549804438478367</v>
      </c>
    </row>
    <row r="43" spans="1:43" ht="11.1" thickBot="1">
      <c r="A43" s="817"/>
      <c r="B43" s="867" t="s">
        <v>1740</v>
      </c>
      <c r="C43" s="922">
        <f>C8+C17+C18+C42</f>
        <v>6433.0802409075968</v>
      </c>
      <c r="D43" s="922">
        <f>D8+D17+D18+D42</f>
        <v>3822.0428901488199</v>
      </c>
      <c r="E43" s="922">
        <f>E8+E17+E18+E42</f>
        <v>18487.641462691216</v>
      </c>
      <c r="F43" s="922">
        <f>F8+F17+F18+F42</f>
        <v>22681.951841792681</v>
      </c>
      <c r="G43" s="922">
        <f>G8+G17+G18+G42</f>
        <v>21914.49958490596</v>
      </c>
      <c r="H43" s="922">
        <f>H16+H17+H18+H42</f>
        <v>347.5751450905413</v>
      </c>
      <c r="I43" s="922">
        <f>SUM(C43:H43)</f>
        <v>73686.791165536808</v>
      </c>
      <c r="J43" s="972">
        <f t="shared" ref="J43:S43" si="65">J8+J17+J18+J42</f>
        <v>1342.0888543414471</v>
      </c>
      <c r="K43" s="973">
        <f t="shared" si="65"/>
        <v>4731.1786738186765</v>
      </c>
      <c r="L43" s="974">
        <f t="shared" si="65"/>
        <v>163.458</v>
      </c>
      <c r="M43" s="975">
        <f t="shared" si="65"/>
        <v>38.82687997842676</v>
      </c>
      <c r="N43" s="922">
        <f t="shared" si="65"/>
        <v>6433.0802409075968</v>
      </c>
      <c r="O43" s="922">
        <f t="shared" si="65"/>
        <v>3822.0428901488199</v>
      </c>
      <c r="P43" s="922">
        <f t="shared" si="65"/>
        <v>13756.462788872539</v>
      </c>
      <c r="Q43" s="922">
        <f t="shared" si="65"/>
        <v>21176.404987451235</v>
      </c>
      <c r="R43" s="922">
        <f t="shared" si="65"/>
        <v>21914.49958490596</v>
      </c>
      <c r="S43" s="922">
        <f t="shared" si="65"/>
        <v>308.74826511211455</v>
      </c>
      <c r="T43" s="922">
        <f t="shared" si="7"/>
        <v>67411.238757398256</v>
      </c>
      <c r="U43" s="926" t="s">
        <v>1731</v>
      </c>
      <c r="V43" s="922">
        <f t="shared" ref="V43:AA43" si="66">V8+V17+V18+V42</f>
        <v>99.840480597458679</v>
      </c>
      <c r="W43" s="922">
        <f t="shared" si="66"/>
        <v>60.814221253907995</v>
      </c>
      <c r="X43" s="922">
        <f t="shared" si="66"/>
        <v>240.71982247365125</v>
      </c>
      <c r="Y43" s="922">
        <f t="shared" si="66"/>
        <v>411.4382821214345</v>
      </c>
      <c r="Z43" s="922">
        <f t="shared" si="66"/>
        <v>519.8651110577398</v>
      </c>
      <c r="AA43" s="922">
        <f t="shared" si="66"/>
        <v>6.1702446556431187</v>
      </c>
      <c r="AB43" s="922">
        <f t="shared" si="37"/>
        <v>1338.8481621598353</v>
      </c>
      <c r="AC43" s="926" t="s">
        <v>1731</v>
      </c>
      <c r="AD43" s="922">
        <f t="shared" ref="AD43:AQ43" si="67">AD8+AD17+AD18+AD42</f>
        <v>99.840480597458679</v>
      </c>
      <c r="AE43" s="922">
        <f t="shared" si="67"/>
        <v>60.814221253907995</v>
      </c>
      <c r="AF43" s="922">
        <f t="shared" si="67"/>
        <v>240.71982247365125</v>
      </c>
      <c r="AG43" s="922">
        <f t="shared" si="67"/>
        <v>411.4382821214345</v>
      </c>
      <c r="AH43" s="922">
        <f t="shared" si="67"/>
        <v>519.8651110577398</v>
      </c>
      <c r="AI43" s="922">
        <f t="shared" si="67"/>
        <v>6.1702446556431187</v>
      </c>
      <c r="AJ43" s="925">
        <f t="shared" si="67"/>
        <v>1338.8481621598353</v>
      </c>
      <c r="AK43" s="922">
        <f t="shared" si="67"/>
        <v>366.08176219068184</v>
      </c>
      <c r="AL43" s="922">
        <f t="shared" si="67"/>
        <v>222.98547793099596</v>
      </c>
      <c r="AM43" s="922">
        <f t="shared" si="67"/>
        <v>882.63934907005455</v>
      </c>
      <c r="AN43" s="922">
        <f t="shared" si="67"/>
        <v>1508.6070344452598</v>
      </c>
      <c r="AO43" s="922">
        <f t="shared" si="67"/>
        <v>1906.1720738783795</v>
      </c>
      <c r="AP43" s="922">
        <f t="shared" si="67"/>
        <v>22.624230404024768</v>
      </c>
      <c r="AQ43" s="925">
        <f t="shared" si="67"/>
        <v>4909.1099279193959</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2"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ransitionEvaluation="1" transitionEntry="1" codeName="Sheet26">
    <pageSetUpPr fitToPage="1"/>
  </sheetPr>
  <dimension ref="A1:AR1177"/>
  <sheetViews>
    <sheetView workbookViewId="0"/>
  </sheetViews>
  <sheetFormatPr defaultColWidth="9.6640625" defaultRowHeight="10.5"/>
  <cols>
    <col min="1" max="1" width="8" customWidth="1"/>
    <col min="2" max="2" width="24.6640625" style="152" customWidth="1"/>
    <col min="3" max="4" width="8.6640625" style="152" customWidth="1"/>
    <col min="5" max="5" width="25.1640625" style="152" customWidth="1"/>
    <col min="6" max="8" width="8.6640625" style="152" customWidth="1"/>
    <col min="9" max="9" width="11.33203125" style="152" bestFit="1" customWidth="1"/>
    <col min="10" max="10" width="9" style="152" customWidth="1"/>
    <col min="11" max="11" width="16.83203125" style="152" customWidth="1"/>
    <col min="12" max="13" width="7" style="152" customWidth="1"/>
    <col min="14" max="14" width="8.6640625" style="152" customWidth="1"/>
    <col min="15" max="15" width="10"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4">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4">
      <c r="A2" s="872" t="s">
        <v>1715</v>
      </c>
      <c r="B2" s="1048">
        <v>1994</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4">
      <c r="A3" s="927" t="s">
        <v>1745</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4"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c r="AR4" s="208"/>
    </row>
    <row r="5" spans="1:44">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4"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4"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4">
      <c r="A8" s="817"/>
      <c r="B8" s="859" t="s">
        <v>1435</v>
      </c>
      <c r="C8" s="876">
        <f t="shared" ref="C8:H8" si="4">SUM(C9:C16)</f>
        <v>20.844999999999999</v>
      </c>
      <c r="D8" s="876">
        <f t="shared" si="4"/>
        <v>118.119</v>
      </c>
      <c r="E8" s="876">
        <f t="shared" si="4"/>
        <v>1643.8098431564704</v>
      </c>
      <c r="F8" s="876">
        <f t="shared" si="4"/>
        <v>0</v>
      </c>
      <c r="G8" s="876">
        <f t="shared" si="4"/>
        <v>17260.875</v>
      </c>
      <c r="H8" s="876">
        <f t="shared" si="4"/>
        <v>4.584457816399933</v>
      </c>
      <c r="I8" s="876">
        <f t="shared" ref="I8:I14" si="5">SUM(C8:H8)</f>
        <v>19048.233300972872</v>
      </c>
      <c r="J8" s="959"/>
      <c r="K8" s="960">
        <f>SUM(K9:K16)</f>
        <v>19.053257587421747</v>
      </c>
      <c r="L8" s="960">
        <f>SUM(L9:L16)</f>
        <v>0</v>
      </c>
      <c r="M8" s="960"/>
      <c r="N8" s="878">
        <f t="shared" ref="N8:S8" si="6">SUM(N9:N16)</f>
        <v>20.844999999999999</v>
      </c>
      <c r="O8" s="876">
        <f t="shared" si="6"/>
        <v>118.119</v>
      </c>
      <c r="P8" s="876">
        <f t="shared" si="6"/>
        <v>1624.7565855690484</v>
      </c>
      <c r="Q8" s="876">
        <f t="shared" si="6"/>
        <v>0</v>
      </c>
      <c r="R8" s="876">
        <f t="shared" si="6"/>
        <v>17260.875</v>
      </c>
      <c r="S8" s="879">
        <f t="shared" si="6"/>
        <v>4.584457816399933</v>
      </c>
      <c r="T8" s="876">
        <f t="shared" ref="T8:T43" si="7">SUM(N8:S8)</f>
        <v>19029.180043385448</v>
      </c>
      <c r="U8" s="928" t="s">
        <v>1731</v>
      </c>
      <c r="V8" s="929">
        <f>SUM(V9:V16)</f>
        <v>0.54386784109167652</v>
      </c>
      <c r="W8" s="929">
        <f>SUM(W9:W16)</f>
        <v>3.0818481900651351</v>
      </c>
      <c r="X8" s="929">
        <f>SUM(X9:X16)</f>
        <v>41.855188887939327</v>
      </c>
      <c r="Y8" s="929"/>
      <c r="Z8" s="929">
        <f>SUM(Z9:Z16)</f>
        <v>446.68713878650135</v>
      </c>
      <c r="AA8" s="929">
        <f>SUM(AA9:AA16)</f>
        <v>0.11525326950429432</v>
      </c>
      <c r="AB8" s="929">
        <f t="shared" ref="AB8:AB13" si="8">SUM(V8:AA8)</f>
        <v>492.28329697510179</v>
      </c>
      <c r="AC8" s="930" t="s">
        <v>1731</v>
      </c>
      <c r="AD8" s="878">
        <f>SUM(AD9:AD16)</f>
        <v>0.54386784109167652</v>
      </c>
      <c r="AE8" s="876">
        <f>SUM(AE9:AE16)</f>
        <v>3.0818481900651351</v>
      </c>
      <c r="AF8" s="876">
        <f>SUM(AF9:AF16)</f>
        <v>41.855188887939327</v>
      </c>
      <c r="AG8" s="876" t="s">
        <v>108</v>
      </c>
      <c r="AH8" s="876">
        <f>SUM(AH9:AH16)</f>
        <v>446.68713878650135</v>
      </c>
      <c r="AI8" s="876">
        <f>SUM(AI9:AI16)</f>
        <v>0.11525326950429432</v>
      </c>
      <c r="AJ8" s="876">
        <f t="shared" ref="AJ8:AJ42" si="9">SUM(AD8:AI8)</f>
        <v>492.28329697510179</v>
      </c>
      <c r="AK8" s="878">
        <f t="shared" ref="AK8:AP8" si="10">SUM(AK9:AK16)</f>
        <v>1.9941820840028137</v>
      </c>
      <c r="AL8" s="876">
        <f t="shared" si="10"/>
        <v>11.300110030238828</v>
      </c>
      <c r="AM8" s="876">
        <f t="shared" si="10"/>
        <v>153.46902592244419</v>
      </c>
      <c r="AN8" s="876">
        <f t="shared" si="10"/>
        <v>0</v>
      </c>
      <c r="AO8" s="876">
        <f t="shared" si="10"/>
        <v>1637.8528422171717</v>
      </c>
      <c r="AP8" s="876">
        <f t="shared" si="10"/>
        <v>0.4225953215157458</v>
      </c>
      <c r="AQ8" s="882">
        <f t="shared" ref="AQ8:AQ14" si="11">SUM(AK8:AP8)</f>
        <v>1805.0387555753732</v>
      </c>
    </row>
    <row r="9" spans="1:44">
      <c r="A9" s="817"/>
      <c r="B9" s="860" t="s">
        <v>1732</v>
      </c>
      <c r="C9" s="883">
        <f>HLOOKUP($B$2,'Consumption Input'!$E$5:$AQ$82,'Consumption Input'!$B7)</f>
        <v>20.844999999999999</v>
      </c>
      <c r="D9" s="883"/>
      <c r="E9" s="883"/>
      <c r="F9" s="883"/>
      <c r="G9" s="883"/>
      <c r="H9" s="883"/>
      <c r="I9" s="883">
        <f t="shared" si="5"/>
        <v>20.844999999999999</v>
      </c>
      <c r="J9" s="961"/>
      <c r="K9" s="940"/>
      <c r="L9" s="940"/>
      <c r="M9" s="940"/>
      <c r="N9" s="885">
        <f t="shared" ref="N9:N17" si="12">C9</f>
        <v>20.844999999999999</v>
      </c>
      <c r="O9" s="883">
        <f t="shared" ref="O9:O17" si="13">D9</f>
        <v>0</v>
      </c>
      <c r="P9" s="883">
        <f t="shared" ref="P9:P17" si="14">E9-K9</f>
        <v>0</v>
      </c>
      <c r="Q9" s="883">
        <f t="shared" ref="Q9:Q17" si="15">F9</f>
        <v>0</v>
      </c>
      <c r="R9" s="883">
        <f t="shared" ref="R9:R17" si="16">G9</f>
        <v>0</v>
      </c>
      <c r="S9" s="886">
        <f t="shared" ref="S9:S17" si="17">H9</f>
        <v>0</v>
      </c>
      <c r="T9" s="883">
        <f t="shared" si="7"/>
        <v>20.844999999999999</v>
      </c>
      <c r="U9" s="931">
        <f>HLOOKUP($B$2,Factors!$J$12:$Y$25,Factors!$H13)</f>
        <v>26.091045386983762</v>
      </c>
      <c r="V9" s="932">
        <f t="shared" ref="V9:V17" si="18">N9*$U9*TbtuToQBtu</f>
        <v>0.54386784109167652</v>
      </c>
      <c r="W9" s="933">
        <f t="shared" ref="W9:W17" si="19">O9*$U9*TbtuToQBtu</f>
        <v>0</v>
      </c>
      <c r="X9" s="933">
        <f t="shared" ref="X9:X17" si="20">P9*$U9*TbtuToQBtu</f>
        <v>0</v>
      </c>
      <c r="Y9" s="933">
        <f t="shared" ref="Y9:Y17" si="21">Q9*$U9*TbtuToQBtu</f>
        <v>0</v>
      </c>
      <c r="Z9" s="933">
        <f t="shared" ref="Z9:Z17" si="22">R9*$U9*TbtuToQBtu</f>
        <v>0</v>
      </c>
      <c r="AA9" s="933">
        <f t="shared" ref="AA9:AA17" si="23">S9*$U9*TbtuToQBtu</f>
        <v>0</v>
      </c>
      <c r="AB9" s="933">
        <f t="shared" si="8"/>
        <v>0.54386784109167652</v>
      </c>
      <c r="AC9" s="934">
        <f>Factors!E10</f>
        <v>1</v>
      </c>
      <c r="AD9" s="885">
        <f t="shared" ref="AD9:AD17" si="24">V9*$AC9</f>
        <v>0.54386784109167652</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0.54386784109167652</v>
      </c>
      <c r="AK9" s="885">
        <f t="shared" ref="AK9:AK42" si="30">AD9*CtoCO2</f>
        <v>1.9941820840028137</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1.9941820840028137</v>
      </c>
    </row>
    <row r="10" spans="1:44">
      <c r="A10" s="817"/>
      <c r="B10" s="860" t="s">
        <v>1733</v>
      </c>
      <c r="C10" s="883"/>
      <c r="D10" s="883">
        <f>HLOOKUP($B$2,'Consumption Input'!$E$5:$AQ$82,'Consumption Input'!$B13)</f>
        <v>118.119</v>
      </c>
      <c r="E10" s="883"/>
      <c r="F10" s="883"/>
      <c r="G10" s="883"/>
      <c r="H10" s="883"/>
      <c r="I10" s="883">
        <f t="shared" si="5"/>
        <v>118.119</v>
      </c>
      <c r="J10" s="961"/>
      <c r="K10" s="940"/>
      <c r="L10" s="940"/>
      <c r="M10" s="940"/>
      <c r="N10" s="885">
        <f t="shared" si="12"/>
        <v>0</v>
      </c>
      <c r="O10" s="883">
        <f t="shared" si="13"/>
        <v>118.119</v>
      </c>
      <c r="P10" s="883">
        <f t="shared" si="14"/>
        <v>0</v>
      </c>
      <c r="Q10" s="883">
        <f t="shared" si="15"/>
        <v>0</v>
      </c>
      <c r="R10" s="883">
        <f t="shared" si="16"/>
        <v>0</v>
      </c>
      <c r="S10" s="886">
        <f t="shared" si="17"/>
        <v>0</v>
      </c>
      <c r="T10" s="883">
        <f t="shared" si="7"/>
        <v>118.119</v>
      </c>
      <c r="U10" s="931">
        <f>HLOOKUP($B$2,Factors!$J$12:$Y$25,Factors!$H14)</f>
        <v>26.091045386983762</v>
      </c>
      <c r="V10" s="932">
        <f t="shared" si="18"/>
        <v>0</v>
      </c>
      <c r="W10" s="933">
        <f t="shared" si="19"/>
        <v>3.0818481900651351</v>
      </c>
      <c r="X10" s="933">
        <f t="shared" si="20"/>
        <v>0</v>
      </c>
      <c r="Y10" s="933">
        <f t="shared" si="21"/>
        <v>0</v>
      </c>
      <c r="Z10" s="933">
        <f t="shared" si="22"/>
        <v>0</v>
      </c>
      <c r="AA10" s="933">
        <f t="shared" si="23"/>
        <v>0</v>
      </c>
      <c r="AB10" s="933">
        <f t="shared" si="8"/>
        <v>3.0818481900651351</v>
      </c>
      <c r="AC10" s="934">
        <f>Factors!E11</f>
        <v>1</v>
      </c>
      <c r="AD10" s="885">
        <f t="shared" si="24"/>
        <v>0</v>
      </c>
      <c r="AE10" s="883">
        <f t="shared" si="25"/>
        <v>3.0818481900651351</v>
      </c>
      <c r="AF10" s="883">
        <f t="shared" si="26"/>
        <v>0</v>
      </c>
      <c r="AG10" s="883">
        <f t="shared" si="27"/>
        <v>0</v>
      </c>
      <c r="AH10" s="883">
        <f t="shared" si="28"/>
        <v>0</v>
      </c>
      <c r="AI10" s="883">
        <f t="shared" si="29"/>
        <v>0</v>
      </c>
      <c r="AJ10" s="889">
        <f t="shared" si="9"/>
        <v>3.0818481900651351</v>
      </c>
      <c r="AK10" s="885">
        <f t="shared" si="30"/>
        <v>0</v>
      </c>
      <c r="AL10" s="883">
        <f t="shared" si="31"/>
        <v>11.300110030238828</v>
      </c>
      <c r="AM10" s="883">
        <f t="shared" si="32"/>
        <v>0</v>
      </c>
      <c r="AN10" s="883">
        <f t="shared" si="33"/>
        <v>0</v>
      </c>
      <c r="AO10" s="883">
        <f t="shared" si="34"/>
        <v>0</v>
      </c>
      <c r="AP10" s="883">
        <f t="shared" si="35"/>
        <v>0</v>
      </c>
      <c r="AQ10" s="890">
        <f t="shared" si="11"/>
        <v>11.300110030238828</v>
      </c>
    </row>
    <row r="11" spans="1:44" s="244" customFormat="1" hidden="1">
      <c r="A11" s="861"/>
      <c r="B11" s="862" t="s">
        <v>1734</v>
      </c>
      <c r="C11" s="891"/>
      <c r="D11" s="891"/>
      <c r="E11" s="891">
        <f>HLOOKUP($B$2,'Consumption Input'!$E$5:$AQ$82,'Consumption Input'!$B23)</f>
        <v>8.9173041849727497</v>
      </c>
      <c r="F11" s="891"/>
      <c r="G11" s="891"/>
      <c r="H11" s="891"/>
      <c r="I11" s="891">
        <f t="shared" si="5"/>
        <v>8.9173041849727497</v>
      </c>
      <c r="J11" s="962"/>
      <c r="K11" s="963">
        <f>HLOOKUP($B$2,NEUConsumption,'Non-Energy Use'!$C$7)</f>
        <v>8.9173041849727497</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25.563112206017067</v>
      </c>
      <c r="V11" s="936">
        <f t="shared" si="18"/>
        <v>0</v>
      </c>
      <c r="W11" s="937">
        <f t="shared" si="19"/>
        <v>0</v>
      </c>
      <c r="X11" s="937">
        <f t="shared" si="20"/>
        <v>0</v>
      </c>
      <c r="Y11" s="937">
        <f t="shared" si="21"/>
        <v>0</v>
      </c>
      <c r="Z11" s="937">
        <f t="shared" si="22"/>
        <v>0</v>
      </c>
      <c r="AA11" s="937">
        <f t="shared" si="23"/>
        <v>0</v>
      </c>
      <c r="AB11" s="937">
        <f t="shared" si="8"/>
        <v>0</v>
      </c>
      <c r="AC11" s="938">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4">
      <c r="A12" s="817"/>
      <c r="B12" s="860" t="s">
        <v>1701</v>
      </c>
      <c r="C12" s="883"/>
      <c r="D12" s="883"/>
      <c r="E12" s="883">
        <f>HLOOKUP($B$2,'Consumption Input'!$E$5:$AQ$82,'Consumption Input'!$B24)</f>
        <v>1634.8925389714975</v>
      </c>
      <c r="F12" s="883"/>
      <c r="G12" s="883"/>
      <c r="H12" s="883"/>
      <c r="I12" s="883">
        <f t="shared" si="5"/>
        <v>1634.8925389714975</v>
      </c>
      <c r="J12" s="961"/>
      <c r="K12" s="940">
        <f>HLOOKUP($B$2,NEUConsumption,'Non-Energy Use'!$C$8)</f>
        <v>10.135953402448999</v>
      </c>
      <c r="L12" s="940"/>
      <c r="M12" s="940"/>
      <c r="N12" s="885">
        <f t="shared" si="12"/>
        <v>0</v>
      </c>
      <c r="O12" s="883">
        <f t="shared" si="13"/>
        <v>0</v>
      </c>
      <c r="P12" s="883">
        <f t="shared" si="14"/>
        <v>1624.7565855690484</v>
      </c>
      <c r="Q12" s="883">
        <f t="shared" si="15"/>
        <v>0</v>
      </c>
      <c r="R12" s="883">
        <f t="shared" si="16"/>
        <v>0</v>
      </c>
      <c r="S12" s="886">
        <f t="shared" si="17"/>
        <v>0</v>
      </c>
      <c r="T12" s="883">
        <f t="shared" si="7"/>
        <v>1624.7565855690484</v>
      </c>
      <c r="U12" s="931">
        <f>HLOOKUP($B$2,Factors!$J$12:$Y$25,Factors!$H15)</f>
        <v>25.760898130645295</v>
      </c>
      <c r="V12" s="932">
        <f t="shared" si="18"/>
        <v>0</v>
      </c>
      <c r="W12" s="933">
        <f t="shared" si="19"/>
        <v>0</v>
      </c>
      <c r="X12" s="933">
        <f t="shared" si="20"/>
        <v>41.855188887939327</v>
      </c>
      <c r="Y12" s="933">
        <f t="shared" si="21"/>
        <v>0</v>
      </c>
      <c r="Z12" s="933">
        <f t="shared" si="22"/>
        <v>0</v>
      </c>
      <c r="AA12" s="933">
        <f t="shared" si="23"/>
        <v>0</v>
      </c>
      <c r="AB12" s="933">
        <f t="shared" si="8"/>
        <v>41.855188887939327</v>
      </c>
      <c r="AC12" s="934">
        <f>Factors!E13</f>
        <v>1</v>
      </c>
      <c r="AD12" s="885">
        <f t="shared" si="24"/>
        <v>0</v>
      </c>
      <c r="AE12" s="883">
        <f t="shared" si="25"/>
        <v>0</v>
      </c>
      <c r="AF12" s="883">
        <f t="shared" si="26"/>
        <v>41.855188887939327</v>
      </c>
      <c r="AG12" s="883">
        <f t="shared" si="27"/>
        <v>0</v>
      </c>
      <c r="AH12" s="883">
        <f t="shared" si="28"/>
        <v>0</v>
      </c>
      <c r="AI12" s="883">
        <f t="shared" si="29"/>
        <v>0</v>
      </c>
      <c r="AJ12" s="889">
        <f t="shared" si="9"/>
        <v>41.855188887939327</v>
      </c>
      <c r="AK12" s="885">
        <f t="shared" si="30"/>
        <v>0</v>
      </c>
      <c r="AL12" s="883">
        <f t="shared" si="31"/>
        <v>0</v>
      </c>
      <c r="AM12" s="883">
        <f t="shared" si="32"/>
        <v>153.46902592244419</v>
      </c>
      <c r="AN12" s="883">
        <f t="shared" si="33"/>
        <v>0</v>
      </c>
      <c r="AO12" s="883">
        <f t="shared" si="34"/>
        <v>0</v>
      </c>
      <c r="AP12" s="883">
        <f t="shared" si="35"/>
        <v>0</v>
      </c>
      <c r="AQ12" s="890">
        <f t="shared" si="11"/>
        <v>153.46902592244419</v>
      </c>
    </row>
    <row r="13" spans="1:44"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83">
        <f t="shared" si="7"/>
        <v>0</v>
      </c>
      <c r="U13" s="935">
        <f>Factors!D14</f>
        <v>27.85</v>
      </c>
      <c r="V13" s="936">
        <f t="shared" si="18"/>
        <v>0</v>
      </c>
      <c r="W13" s="937">
        <f t="shared" si="19"/>
        <v>0</v>
      </c>
      <c r="X13" s="937">
        <f t="shared" si="20"/>
        <v>0</v>
      </c>
      <c r="Y13" s="937">
        <f t="shared" si="21"/>
        <v>0</v>
      </c>
      <c r="Z13" s="937">
        <f t="shared" si="22"/>
        <v>0</v>
      </c>
      <c r="AA13" s="937">
        <f t="shared" si="23"/>
        <v>0</v>
      </c>
      <c r="AB13" s="937">
        <f t="shared" si="8"/>
        <v>0</v>
      </c>
      <c r="AC13" s="938">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4">
      <c r="A14" s="817"/>
      <c r="B14" s="860" t="s">
        <v>1735</v>
      </c>
      <c r="C14" s="883"/>
      <c r="D14" s="883"/>
      <c r="E14" s="883"/>
      <c r="F14" s="889">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931" t="str">
        <f>Factors!D15</f>
        <v>NC</v>
      </c>
      <c r="V14" s="932">
        <f t="shared" si="18"/>
        <v>0</v>
      </c>
      <c r="W14" s="933">
        <f t="shared" si="19"/>
        <v>0</v>
      </c>
      <c r="X14" s="933">
        <f t="shared" si="20"/>
        <v>0</v>
      </c>
      <c r="Y14" s="933">
        <f t="shared" si="21"/>
        <v>0</v>
      </c>
      <c r="Z14" s="933">
        <f t="shared" si="22"/>
        <v>0</v>
      </c>
      <c r="AA14" s="933">
        <f t="shared" si="23"/>
        <v>0</v>
      </c>
      <c r="AB14" s="933" t="s">
        <v>103</v>
      </c>
      <c r="AC14" s="934"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4">
      <c r="A15" s="817"/>
      <c r="B15" s="860" t="s">
        <v>1736</v>
      </c>
      <c r="C15" s="883"/>
      <c r="D15" s="883"/>
      <c r="E15" s="883"/>
      <c r="F15" s="883"/>
      <c r="G15" s="883">
        <f>HLOOKUP($B$2,'Consumption Input'!$E$5:$AQ$82,'Consumption Input'!$B58)</f>
        <v>17260.875</v>
      </c>
      <c r="H15" s="883"/>
      <c r="I15" s="883">
        <f t="shared" ref="I15:I41" si="36">SUM(C15:H15)</f>
        <v>17260.875</v>
      </c>
      <c r="J15" s="961"/>
      <c r="K15" s="940"/>
      <c r="L15" s="940"/>
      <c r="M15" s="940"/>
      <c r="N15" s="885">
        <f t="shared" si="12"/>
        <v>0</v>
      </c>
      <c r="O15" s="883">
        <f t="shared" si="13"/>
        <v>0</v>
      </c>
      <c r="P15" s="883">
        <f t="shared" si="14"/>
        <v>0</v>
      </c>
      <c r="Q15" s="883">
        <f t="shared" si="15"/>
        <v>0</v>
      </c>
      <c r="R15" s="883">
        <f t="shared" si="16"/>
        <v>17260.875</v>
      </c>
      <c r="S15" s="886">
        <f t="shared" si="17"/>
        <v>0</v>
      </c>
      <c r="T15" s="883">
        <f t="shared" si="7"/>
        <v>17260.875</v>
      </c>
      <c r="U15" s="931">
        <f>HLOOKUP($B$2,Factors!$J$12:$Y$25,Factors!$H16)</f>
        <v>25.878591831903154</v>
      </c>
      <c r="V15" s="932">
        <f t="shared" si="18"/>
        <v>0</v>
      </c>
      <c r="W15" s="933">
        <f t="shared" si="19"/>
        <v>0</v>
      </c>
      <c r="X15" s="933">
        <f t="shared" si="20"/>
        <v>0</v>
      </c>
      <c r="Y15" s="933">
        <f t="shared" si="21"/>
        <v>0</v>
      </c>
      <c r="Z15" s="933">
        <f t="shared" si="22"/>
        <v>446.68713878650135</v>
      </c>
      <c r="AA15" s="933">
        <f t="shared" si="23"/>
        <v>0</v>
      </c>
      <c r="AB15" s="933">
        <f t="shared" ref="AB15:AB43" si="37">SUM(V15:AA15)</f>
        <v>446.68713878650135</v>
      </c>
      <c r="AC15" s="934">
        <f>Factors!E16</f>
        <v>1</v>
      </c>
      <c r="AD15" s="885">
        <f t="shared" si="24"/>
        <v>0</v>
      </c>
      <c r="AE15" s="883">
        <f t="shared" si="25"/>
        <v>0</v>
      </c>
      <c r="AF15" s="883">
        <f t="shared" si="26"/>
        <v>0</v>
      </c>
      <c r="AG15" s="883">
        <f t="shared" si="27"/>
        <v>0</v>
      </c>
      <c r="AH15" s="883">
        <f t="shared" si="28"/>
        <v>446.68713878650135</v>
      </c>
      <c r="AI15" s="883">
        <f t="shared" si="29"/>
        <v>0</v>
      </c>
      <c r="AJ15" s="889">
        <f t="shared" si="9"/>
        <v>446.68713878650135</v>
      </c>
      <c r="AK15" s="885">
        <f t="shared" si="30"/>
        <v>0</v>
      </c>
      <c r="AL15" s="883">
        <f t="shared" si="31"/>
        <v>0</v>
      </c>
      <c r="AM15" s="883">
        <f t="shared" si="32"/>
        <v>0</v>
      </c>
      <c r="AN15" s="883">
        <f t="shared" si="33"/>
        <v>0</v>
      </c>
      <c r="AO15" s="883">
        <f t="shared" si="34"/>
        <v>1637.8528422171717</v>
      </c>
      <c r="AP15" s="883">
        <f t="shared" si="35"/>
        <v>0</v>
      </c>
      <c r="AQ15" s="890">
        <f t="shared" ref="AQ15:AQ42" si="38">SUM(AK15:AP15)</f>
        <v>1637.8528422171717</v>
      </c>
    </row>
    <row r="16" spans="1:44">
      <c r="A16" s="817"/>
      <c r="B16" s="860" t="s">
        <v>1737</v>
      </c>
      <c r="C16" s="883"/>
      <c r="D16" s="883"/>
      <c r="E16" s="883"/>
      <c r="F16" s="883"/>
      <c r="G16" s="883"/>
      <c r="H16" s="883">
        <f>HLOOKUP($B$2,'US Territories'!$D$28:$Z$38,'US Territories'!$B29)</f>
        <v>4.584457816399933</v>
      </c>
      <c r="I16" s="883">
        <f t="shared" si="36"/>
        <v>4.584457816399933</v>
      </c>
      <c r="J16" s="961"/>
      <c r="K16" s="940"/>
      <c r="L16" s="940"/>
      <c r="M16" s="940"/>
      <c r="N16" s="885">
        <f t="shared" si="12"/>
        <v>0</v>
      </c>
      <c r="O16" s="883">
        <f t="shared" si="13"/>
        <v>0</v>
      </c>
      <c r="P16" s="883">
        <f t="shared" si="14"/>
        <v>0</v>
      </c>
      <c r="Q16" s="883">
        <f t="shared" si="15"/>
        <v>0</v>
      </c>
      <c r="R16" s="883">
        <f t="shared" si="16"/>
        <v>0</v>
      </c>
      <c r="S16" s="886">
        <f t="shared" si="17"/>
        <v>4.584457816399933</v>
      </c>
      <c r="T16" s="883">
        <f t="shared" si="7"/>
        <v>4.584457816399933</v>
      </c>
      <c r="U16" s="931">
        <f>Factors!D17</f>
        <v>25.14</v>
      </c>
      <c r="V16" s="941">
        <f t="shared" si="18"/>
        <v>0</v>
      </c>
      <c r="W16" s="942">
        <f t="shared" si="19"/>
        <v>0</v>
      </c>
      <c r="X16" s="942">
        <f t="shared" si="20"/>
        <v>0</v>
      </c>
      <c r="Y16" s="942">
        <f t="shared" si="21"/>
        <v>0</v>
      </c>
      <c r="Z16" s="942">
        <f t="shared" si="22"/>
        <v>0</v>
      </c>
      <c r="AA16" s="942">
        <f t="shared" si="23"/>
        <v>0.11525326950429432</v>
      </c>
      <c r="AB16" s="933">
        <f t="shared" si="37"/>
        <v>0.11525326950429432</v>
      </c>
      <c r="AC16" s="934">
        <f>Factors!E17</f>
        <v>1</v>
      </c>
      <c r="AD16" s="899">
        <f t="shared" si="24"/>
        <v>0</v>
      </c>
      <c r="AE16" s="900">
        <f t="shared" si="25"/>
        <v>0</v>
      </c>
      <c r="AF16" s="900">
        <f t="shared" si="26"/>
        <v>0</v>
      </c>
      <c r="AG16" s="900">
        <f t="shared" si="27"/>
        <v>0</v>
      </c>
      <c r="AH16" s="900">
        <f t="shared" si="28"/>
        <v>0</v>
      </c>
      <c r="AI16" s="900">
        <f t="shared" si="29"/>
        <v>0.11525326950429432</v>
      </c>
      <c r="AJ16" s="889">
        <f t="shared" si="9"/>
        <v>0.11525326950429432</v>
      </c>
      <c r="AK16" s="885">
        <f t="shared" si="30"/>
        <v>0</v>
      </c>
      <c r="AL16" s="883">
        <f t="shared" si="31"/>
        <v>0</v>
      </c>
      <c r="AM16" s="883">
        <f t="shared" si="32"/>
        <v>0</v>
      </c>
      <c r="AN16" s="883">
        <f t="shared" si="33"/>
        <v>0</v>
      </c>
      <c r="AO16" s="883">
        <f t="shared" si="34"/>
        <v>0</v>
      </c>
      <c r="AP16" s="883">
        <f t="shared" si="35"/>
        <v>0.4225953215157458</v>
      </c>
      <c r="AQ16" s="890">
        <f t="shared" si="38"/>
        <v>0.4225953215157458</v>
      </c>
    </row>
    <row r="17" spans="1:43">
      <c r="A17" s="817"/>
      <c r="B17" s="863" t="s">
        <v>1439</v>
      </c>
      <c r="C17" s="901">
        <f>HLOOKUP($B$2,'Consumption Input'!$E$5:$AQ$82,'Consumption Input'!$B8)</f>
        <v>4959.84</v>
      </c>
      <c r="D17" s="901">
        <f>HLOOKUP($B$2,'Consumption Input'!$E$5:$AQ$82,'Consumption Input'!$B14)</f>
        <v>2961.9810000000002</v>
      </c>
      <c r="E17" s="901">
        <f>HLOOKUP($B$2,'Consumption Input'!$E$5:$AQ$82,'Consumption Input'!$B26)</f>
        <v>8619.798576906609</v>
      </c>
      <c r="F17" s="901">
        <f>HLOOKUP($B$2,'Consumption Input'!$E$5:$AQ$82,'Consumption Input'!$B49)</f>
        <v>708.53800000000001</v>
      </c>
      <c r="G17" s="901">
        <f>HLOOKUP($B$2,'Consumption Input'!$E$5:$AQ$82,'Consumption Input'!$B59)</f>
        <v>3977.299</v>
      </c>
      <c r="H17" s="944">
        <f>HLOOKUP($B$2,'US Territories'!$D$28:$Z$38,'US Territories'!$B30)</f>
        <v>0</v>
      </c>
      <c r="I17" s="901">
        <f t="shared" si="36"/>
        <v>21227.45657690661</v>
      </c>
      <c r="J17" s="964"/>
      <c r="K17" s="965">
        <f>HLOOKUP($B$2,NEUConsumption,'Non-Energy Use'!$C$9)</f>
        <v>353.976</v>
      </c>
      <c r="L17" s="965"/>
      <c r="M17" s="965"/>
      <c r="N17" s="904">
        <f t="shared" si="12"/>
        <v>4959.84</v>
      </c>
      <c r="O17" s="901">
        <f t="shared" si="13"/>
        <v>2961.9810000000002</v>
      </c>
      <c r="P17" s="901">
        <f t="shared" si="14"/>
        <v>8265.8225769066084</v>
      </c>
      <c r="Q17" s="901">
        <f t="shared" si="15"/>
        <v>708.53800000000001</v>
      </c>
      <c r="R17" s="901">
        <f t="shared" si="16"/>
        <v>3977.299</v>
      </c>
      <c r="S17" s="944">
        <f t="shared" si="17"/>
        <v>0</v>
      </c>
      <c r="T17" s="901">
        <f t="shared" si="7"/>
        <v>20873.480576906608</v>
      </c>
      <c r="U17" s="946">
        <f>HLOOKUP($B$2,Factors!$J$12:$AB$26,Factors!$H26,FALSE)</f>
        <v>14.458506695525291</v>
      </c>
      <c r="V17" s="947">
        <f t="shared" si="18"/>
        <v>71.711879848734156</v>
      </c>
      <c r="W17" s="947">
        <f t="shared" si="19"/>
        <v>42.825822120518701</v>
      </c>
      <c r="X17" s="947">
        <f t="shared" si="20"/>
        <v>119.51145107222831</v>
      </c>
      <c r="Y17" s="947">
        <f t="shared" si="21"/>
        <v>10.244401417034098</v>
      </c>
      <c r="Z17" s="947">
        <f t="shared" si="22"/>
        <v>57.505804221606041</v>
      </c>
      <c r="AA17" s="947">
        <f t="shared" si="23"/>
        <v>0</v>
      </c>
      <c r="AB17" s="947">
        <f t="shared" si="37"/>
        <v>301.79935868012126</v>
      </c>
      <c r="AC17" s="948">
        <f>Factors!E19</f>
        <v>1</v>
      </c>
      <c r="AD17" s="904">
        <f t="shared" si="24"/>
        <v>71.711879848734156</v>
      </c>
      <c r="AE17" s="901">
        <f t="shared" si="25"/>
        <v>42.825822120518701</v>
      </c>
      <c r="AF17" s="901">
        <f t="shared" si="26"/>
        <v>119.51145107222831</v>
      </c>
      <c r="AG17" s="901">
        <f t="shared" si="27"/>
        <v>10.244401417034098</v>
      </c>
      <c r="AH17" s="901">
        <f t="shared" si="28"/>
        <v>57.505804221606041</v>
      </c>
      <c r="AI17" s="901">
        <f t="shared" si="29"/>
        <v>0</v>
      </c>
      <c r="AJ17" s="901">
        <f t="shared" si="9"/>
        <v>301.79935868012126</v>
      </c>
      <c r="AK17" s="904">
        <f t="shared" si="30"/>
        <v>262.94355944535857</v>
      </c>
      <c r="AL17" s="901">
        <f t="shared" si="31"/>
        <v>157.02801444190189</v>
      </c>
      <c r="AM17" s="901">
        <f t="shared" si="32"/>
        <v>438.20865393150382</v>
      </c>
      <c r="AN17" s="901">
        <f t="shared" si="33"/>
        <v>37.56280519579169</v>
      </c>
      <c r="AO17" s="901">
        <f t="shared" si="34"/>
        <v>210.85461547922213</v>
      </c>
      <c r="AP17" s="901">
        <f t="shared" si="35"/>
        <v>0</v>
      </c>
      <c r="AQ17" s="907">
        <f t="shared" si="38"/>
        <v>1106.597648493778</v>
      </c>
    </row>
    <row r="18" spans="1:43">
      <c r="A18" s="817"/>
      <c r="B18" s="864" t="s">
        <v>1440</v>
      </c>
      <c r="C18" s="908">
        <f t="shared" ref="C18:H18" si="39">SUM(C19:C41)</f>
        <v>1303.7056598920256</v>
      </c>
      <c r="D18" s="908">
        <f t="shared" si="39"/>
        <v>777.08434323771826</v>
      </c>
      <c r="E18" s="908">
        <f t="shared" si="39"/>
        <v>8527.3242732909366</v>
      </c>
      <c r="F18" s="908">
        <f t="shared" si="39"/>
        <v>22668.021025152604</v>
      </c>
      <c r="G18" s="908">
        <f t="shared" si="39"/>
        <v>1058.68</v>
      </c>
      <c r="H18" s="908">
        <f t="shared" si="39"/>
        <v>363.89776999796709</v>
      </c>
      <c r="I18" s="908">
        <f t="shared" si="36"/>
        <v>34698.713071571256</v>
      </c>
      <c r="J18" s="966">
        <f t="shared" ref="J18:S18" si="40">SUM(J19:J41)</f>
        <v>1328.1264668845165</v>
      </c>
      <c r="K18" s="967">
        <f t="shared" si="40"/>
        <v>4673.7741194717555</v>
      </c>
      <c r="L18" s="967">
        <f t="shared" si="40"/>
        <v>170.846</v>
      </c>
      <c r="M18" s="967">
        <f t="shared" si="40"/>
        <v>30.384964583127942</v>
      </c>
      <c r="N18" s="910">
        <f t="shared" si="40"/>
        <v>1303.7056598920256</v>
      </c>
      <c r="O18" s="908">
        <f t="shared" si="40"/>
        <v>777.08434323771826</v>
      </c>
      <c r="P18" s="908">
        <f t="shared" si="40"/>
        <v>3853.5501538191793</v>
      </c>
      <c r="Q18" s="908">
        <f t="shared" si="40"/>
        <v>21169.048558268089</v>
      </c>
      <c r="R18" s="908">
        <f t="shared" si="40"/>
        <v>1058.68</v>
      </c>
      <c r="S18" s="911">
        <f t="shared" si="40"/>
        <v>333.51280541483919</v>
      </c>
      <c r="T18" s="889">
        <f t="shared" si="7"/>
        <v>28495.581520631855</v>
      </c>
      <c r="U18" s="949" t="s">
        <v>1731</v>
      </c>
      <c r="V18" s="950">
        <f t="shared" ref="V18:AA18" si="41">SUM(V19:V41)</f>
        <v>25.120767287056882</v>
      </c>
      <c r="W18" s="950">
        <f t="shared" si="41"/>
        <v>15.373495908060317</v>
      </c>
      <c r="X18" s="950">
        <f t="shared" si="41"/>
        <v>78.79686954012378</v>
      </c>
      <c r="Y18" s="950">
        <f t="shared" si="41"/>
        <v>413.55942228544143</v>
      </c>
      <c r="Z18" s="950">
        <f t="shared" si="41"/>
        <v>22.158231818475187</v>
      </c>
      <c r="AA18" s="950">
        <f t="shared" si="41"/>
        <v>6.6298172090547967</v>
      </c>
      <c r="AB18" s="950">
        <f t="shared" si="37"/>
        <v>561.6386040482123</v>
      </c>
      <c r="AC18" s="951" t="s">
        <v>1731</v>
      </c>
      <c r="AD18" s="910">
        <f t="shared" ref="AD18:AI18" si="42">SUM(AD19:AD41)</f>
        <v>25.120767287056882</v>
      </c>
      <c r="AE18" s="908">
        <f t="shared" si="42"/>
        <v>15.373495908060317</v>
      </c>
      <c r="AF18" s="908">
        <f t="shared" si="42"/>
        <v>78.79686954012378</v>
      </c>
      <c r="AG18" s="908">
        <f t="shared" si="42"/>
        <v>413.55942228544143</v>
      </c>
      <c r="AH18" s="908">
        <f t="shared" si="42"/>
        <v>22.158231818475187</v>
      </c>
      <c r="AI18" s="908">
        <f t="shared" si="42"/>
        <v>6.6298172090547967</v>
      </c>
      <c r="AJ18" s="908">
        <f t="shared" si="9"/>
        <v>561.6386040482123</v>
      </c>
      <c r="AK18" s="914">
        <f t="shared" si="30"/>
        <v>92.109480052541898</v>
      </c>
      <c r="AL18" s="889">
        <f t="shared" si="31"/>
        <v>56.369484996221161</v>
      </c>
      <c r="AM18" s="889">
        <f t="shared" si="32"/>
        <v>288.92185498045387</v>
      </c>
      <c r="AN18" s="889">
        <f t="shared" si="33"/>
        <v>1516.3845483799519</v>
      </c>
      <c r="AO18" s="889">
        <f t="shared" si="34"/>
        <v>81.246850001075686</v>
      </c>
      <c r="AP18" s="889">
        <f t="shared" si="35"/>
        <v>24.309329766534255</v>
      </c>
      <c r="AQ18" s="915">
        <f t="shared" si="38"/>
        <v>2059.3415481767788</v>
      </c>
    </row>
    <row r="19" spans="1:43">
      <c r="A19" s="817"/>
      <c r="B19" s="860" t="s">
        <v>1608</v>
      </c>
      <c r="C19" s="883"/>
      <c r="D19" s="883"/>
      <c r="E19" s="883">
        <f>HLOOKUP($B$2,'Consumption Input'!$E$5:$AQ$82,'Consumption Input'!$B27)</f>
        <v>1172.9169999999999</v>
      </c>
      <c r="F19" s="883"/>
      <c r="G19" s="883"/>
      <c r="H19" s="883"/>
      <c r="I19" s="883">
        <f t="shared" si="36"/>
        <v>1172.9169999999999</v>
      </c>
      <c r="J19" s="961"/>
      <c r="K19" s="940">
        <f>HLOOKUP($B$2,NEUConsumption,'Non-Energy Use'!$C$10)</f>
        <v>1172.9169999999999</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931">
        <f>Factors!D24</f>
        <v>20.55318099621897</v>
      </c>
      <c r="V19" s="932">
        <f t="shared" ref="V19:V41" si="49">N19*$U19*TbtuToQBtu</f>
        <v>0</v>
      </c>
      <c r="W19" s="933">
        <f t="shared" ref="W19:W41" si="50">O19*$U19*TbtuToQBtu</f>
        <v>0</v>
      </c>
      <c r="X19" s="933">
        <f t="shared" ref="X19:X41" si="51">P19*$U19*TbtuToQBtu</f>
        <v>0</v>
      </c>
      <c r="Y19" s="933">
        <f t="shared" ref="Y19:Y41" si="52">Q19*$U19*TbtuToQBtu</f>
        <v>0</v>
      </c>
      <c r="Z19" s="933">
        <f t="shared" ref="Z19:Z41" si="53">R19*$U19*TbtuToQBtu</f>
        <v>0</v>
      </c>
      <c r="AA19" s="933">
        <f t="shared" ref="AA19:AA41" si="54">S19*$U19*TbtuToQBtu</f>
        <v>0</v>
      </c>
      <c r="AB19" s="933">
        <f t="shared" si="37"/>
        <v>0</v>
      </c>
      <c r="AC19" s="934">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38.137999999999998</v>
      </c>
      <c r="G20" s="883"/>
      <c r="H20" s="883"/>
      <c r="I20" s="883">
        <f t="shared" si="36"/>
        <v>38.137999999999998</v>
      </c>
      <c r="J20" s="961"/>
      <c r="K20" s="940"/>
      <c r="L20" s="940"/>
      <c r="M20" s="940"/>
      <c r="N20" s="885">
        <f t="shared" si="43"/>
        <v>0</v>
      </c>
      <c r="O20" s="883">
        <f t="shared" si="44"/>
        <v>0</v>
      </c>
      <c r="P20" s="883">
        <f t="shared" si="45"/>
        <v>0</v>
      </c>
      <c r="Q20" s="883">
        <f t="shared" si="46"/>
        <v>38.137999999999998</v>
      </c>
      <c r="R20" s="883">
        <f t="shared" si="47"/>
        <v>0</v>
      </c>
      <c r="S20" s="886">
        <f t="shared" si="48"/>
        <v>0</v>
      </c>
      <c r="T20" s="883">
        <f t="shared" si="7"/>
        <v>38.137999999999998</v>
      </c>
      <c r="U20" s="931">
        <f>Factors!D25</f>
        <v>18.855352254718337</v>
      </c>
      <c r="V20" s="932">
        <f t="shared" si="49"/>
        <v>0</v>
      </c>
      <c r="W20" s="933">
        <f t="shared" si="50"/>
        <v>0</v>
      </c>
      <c r="X20" s="933">
        <f t="shared" si="51"/>
        <v>0</v>
      </c>
      <c r="Y20" s="933">
        <f t="shared" si="52"/>
        <v>0.71910542429044788</v>
      </c>
      <c r="Z20" s="933">
        <f t="shared" si="53"/>
        <v>0</v>
      </c>
      <c r="AA20" s="933">
        <f t="shared" si="54"/>
        <v>0</v>
      </c>
      <c r="AB20" s="933">
        <f t="shared" si="37"/>
        <v>0.71910542429044788</v>
      </c>
      <c r="AC20" s="934">
        <f>Factors!E25</f>
        <v>1</v>
      </c>
      <c r="AD20" s="885">
        <f t="shared" si="55"/>
        <v>0</v>
      </c>
      <c r="AE20" s="883">
        <f t="shared" si="56"/>
        <v>0</v>
      </c>
      <c r="AF20" s="883">
        <f t="shared" si="57"/>
        <v>0</v>
      </c>
      <c r="AG20" s="883">
        <f t="shared" si="58"/>
        <v>0.71910542429044788</v>
      </c>
      <c r="AH20" s="883">
        <f t="shared" si="59"/>
        <v>0</v>
      </c>
      <c r="AI20" s="883">
        <f t="shared" si="60"/>
        <v>0</v>
      </c>
      <c r="AJ20" s="889">
        <f t="shared" si="9"/>
        <v>0.71910542429044788</v>
      </c>
      <c r="AK20" s="885">
        <f t="shared" si="30"/>
        <v>0</v>
      </c>
      <c r="AL20" s="883">
        <f t="shared" si="31"/>
        <v>0</v>
      </c>
      <c r="AM20" s="883">
        <f t="shared" si="32"/>
        <v>0</v>
      </c>
      <c r="AN20" s="883">
        <f t="shared" si="33"/>
        <v>2.6367198890649757</v>
      </c>
      <c r="AO20" s="883">
        <f t="shared" si="34"/>
        <v>0</v>
      </c>
      <c r="AP20" s="883">
        <f t="shared" si="35"/>
        <v>0</v>
      </c>
      <c r="AQ20" s="890">
        <f t="shared" si="38"/>
        <v>2.6367198890649757</v>
      </c>
    </row>
    <row r="21" spans="1:43">
      <c r="A21" s="817"/>
      <c r="B21" s="860" t="s">
        <v>1738</v>
      </c>
      <c r="C21" s="883">
        <f>HLOOKUP($B$2,'Consumption Input'!$E$5:$AQ$82,'Consumption Input'!$B9)</f>
        <v>854.60665989202562</v>
      </c>
      <c r="D21" s="883">
        <f>HLOOKUP($B$2,'Consumption Input'!$E$5:$AQ$82,'Consumption Input'!$B15)</f>
        <v>446.03916165181835</v>
      </c>
      <c r="E21" s="883">
        <f>HLOOKUP($B$2,'Consumption Input'!$E$5:$AQ$82,'Consumption Input'!$B28)</f>
        <v>980.17125226567896</v>
      </c>
      <c r="F21" s="883">
        <f>HLOOKUP($B$2,'Consumption Input'!$E$5:$AQ$82,'Consumption Input'!$B51)</f>
        <v>4308.1451744047627</v>
      </c>
      <c r="G21" s="883">
        <f>HLOOKUP($B$2,'Consumption Input'!$E$5:$AQ$82,'Consumption Input'!$B60)</f>
        <v>119.96299999999999</v>
      </c>
      <c r="H21" s="883">
        <f>HLOOKUP($B$2,'US Territories'!$D$28:$Z$38,'US Territories'!$B31)</f>
        <v>84.977034662097225</v>
      </c>
      <c r="I21" s="883">
        <f t="shared" si="36"/>
        <v>6793.9022828763827</v>
      </c>
      <c r="J21" s="961">
        <f>HLOOKUP($B$2,IBFConsumption,'International Bunker Fuels'!$B$10)</f>
        <v>121.18688681309524</v>
      </c>
      <c r="K21" s="940">
        <f>HLOOKUP($B$2,NEUConsumption,'Non-Energy Use'!$C$20)</f>
        <v>6.8443749999999994</v>
      </c>
      <c r="L21" s="940"/>
      <c r="M21" s="940"/>
      <c r="N21" s="885">
        <f t="shared" si="43"/>
        <v>854.60665989202562</v>
      </c>
      <c r="O21" s="883">
        <f t="shared" si="44"/>
        <v>446.03916165181835</v>
      </c>
      <c r="P21" s="883">
        <f t="shared" si="45"/>
        <v>973.32687726567895</v>
      </c>
      <c r="Q21" s="883">
        <f t="shared" si="46"/>
        <v>4186.9582875916676</v>
      </c>
      <c r="R21" s="883">
        <f t="shared" si="47"/>
        <v>119.96299999999999</v>
      </c>
      <c r="S21" s="886">
        <f t="shared" si="48"/>
        <v>84.977034662097225</v>
      </c>
      <c r="T21" s="883">
        <f t="shared" si="7"/>
        <v>6665.8710210632871</v>
      </c>
      <c r="U21" s="931">
        <f>HLOOKUP($B$2,Factors!$J$12:$BE$27,Factors!$H27,FALSE)</f>
        <v>20.170000000000002</v>
      </c>
      <c r="V21" s="932">
        <f t="shared" si="49"/>
        <v>17.23741633002216</v>
      </c>
      <c r="W21" s="933">
        <f t="shared" si="50"/>
        <v>8.9966098905171776</v>
      </c>
      <c r="X21" s="933">
        <f t="shared" si="51"/>
        <v>19.632003114448747</v>
      </c>
      <c r="Y21" s="933">
        <f t="shared" si="52"/>
        <v>84.450948660723938</v>
      </c>
      <c r="Z21" s="933">
        <f t="shared" si="53"/>
        <v>2.41965371</v>
      </c>
      <c r="AA21" s="933">
        <f t="shared" si="54"/>
        <v>1.7139867891345011</v>
      </c>
      <c r="AB21" s="933">
        <f t="shared" si="37"/>
        <v>134.45061849484654</v>
      </c>
      <c r="AC21" s="934">
        <f>Factors!E26</f>
        <v>1</v>
      </c>
      <c r="AD21" s="885">
        <f t="shared" si="55"/>
        <v>17.23741633002216</v>
      </c>
      <c r="AE21" s="883">
        <f t="shared" si="56"/>
        <v>8.9966098905171776</v>
      </c>
      <c r="AF21" s="883">
        <f t="shared" si="57"/>
        <v>19.632003114448747</v>
      </c>
      <c r="AG21" s="883">
        <f t="shared" si="58"/>
        <v>84.450948660723938</v>
      </c>
      <c r="AH21" s="883">
        <f t="shared" si="59"/>
        <v>2.41965371</v>
      </c>
      <c r="AI21" s="883">
        <f t="shared" si="60"/>
        <v>1.7139867891345011</v>
      </c>
      <c r="AJ21" s="889">
        <f t="shared" si="9"/>
        <v>134.45061849484654</v>
      </c>
      <c r="AK21" s="885">
        <f t="shared" si="30"/>
        <v>63.20385987674792</v>
      </c>
      <c r="AL21" s="883">
        <f t="shared" si="31"/>
        <v>32.987569598562985</v>
      </c>
      <c r="AM21" s="883">
        <f t="shared" si="32"/>
        <v>71.984011419645398</v>
      </c>
      <c r="AN21" s="883">
        <f t="shared" si="33"/>
        <v>309.65347842265442</v>
      </c>
      <c r="AO21" s="883">
        <f t="shared" si="34"/>
        <v>8.8720636033333324</v>
      </c>
      <c r="AP21" s="883">
        <f t="shared" si="35"/>
        <v>6.2846182268265034</v>
      </c>
      <c r="AQ21" s="890">
        <f t="shared" si="38"/>
        <v>492.98560114777058</v>
      </c>
    </row>
    <row r="22" spans="1:43">
      <c r="A22" s="817"/>
      <c r="B22" s="860" t="s">
        <v>1623</v>
      </c>
      <c r="C22" s="883"/>
      <c r="D22" s="883"/>
      <c r="E22" s="883"/>
      <c r="F22" s="883">
        <f>HLOOKUP($B$2,'Consumption Input'!$E$5:$AQ$82,'Consumption Input'!$B52)</f>
        <v>3154.4989999999998</v>
      </c>
      <c r="G22" s="883"/>
      <c r="H22" s="883">
        <f>HLOOKUP($B$2,'US Territories'!$D$28:$Z$38,'US Territories'!$B32)</f>
        <v>56.053456499999989</v>
      </c>
      <c r="I22" s="883">
        <f t="shared" si="36"/>
        <v>3210.5524564999996</v>
      </c>
      <c r="J22" s="961">
        <f>HLOOKUP($B$2,IBFConsumption,'International Bunker Fuels'!$B$8)</f>
        <v>682.46745276342131</v>
      </c>
      <c r="K22" s="940"/>
      <c r="L22" s="940"/>
      <c r="M22" s="940"/>
      <c r="N22" s="885">
        <f t="shared" si="43"/>
        <v>0</v>
      </c>
      <c r="O22" s="883">
        <f t="shared" si="44"/>
        <v>0</v>
      </c>
      <c r="P22" s="883">
        <f t="shared" si="45"/>
        <v>0</v>
      </c>
      <c r="Q22" s="883">
        <f t="shared" si="46"/>
        <v>2472.0315472365783</v>
      </c>
      <c r="R22" s="883">
        <f t="shared" si="47"/>
        <v>0</v>
      </c>
      <c r="S22" s="886">
        <f t="shared" si="48"/>
        <v>56.053456499999989</v>
      </c>
      <c r="T22" s="883">
        <f t="shared" si="7"/>
        <v>2528.0850037365781</v>
      </c>
      <c r="U22" s="931">
        <f>HLOOKUP($B$2,Factors!$J$12:$Y$25,Factors!$H21)</f>
        <v>19.350000000000001</v>
      </c>
      <c r="V22" s="932">
        <f t="shared" si="49"/>
        <v>0</v>
      </c>
      <c r="W22" s="933">
        <f t="shared" si="50"/>
        <v>0</v>
      </c>
      <c r="X22" s="933">
        <f t="shared" si="51"/>
        <v>0</v>
      </c>
      <c r="Y22" s="933">
        <f t="shared" si="52"/>
        <v>47.833810439027793</v>
      </c>
      <c r="Z22" s="933">
        <f t="shared" si="53"/>
        <v>0</v>
      </c>
      <c r="AA22" s="933">
        <f t="shared" si="54"/>
        <v>1.0846343832749998</v>
      </c>
      <c r="AB22" s="933">
        <f t="shared" si="37"/>
        <v>48.918444822302796</v>
      </c>
      <c r="AC22" s="934">
        <f>Factors!E27</f>
        <v>1</v>
      </c>
      <c r="AD22" s="885">
        <f t="shared" si="55"/>
        <v>0</v>
      </c>
      <c r="AE22" s="883">
        <f t="shared" si="56"/>
        <v>0</v>
      </c>
      <c r="AF22" s="883">
        <f t="shared" si="57"/>
        <v>0</v>
      </c>
      <c r="AG22" s="883">
        <f t="shared" si="58"/>
        <v>47.833810439027793</v>
      </c>
      <c r="AH22" s="883">
        <f t="shared" si="59"/>
        <v>0</v>
      </c>
      <c r="AI22" s="883">
        <f t="shared" si="60"/>
        <v>1.0846343832749998</v>
      </c>
      <c r="AJ22" s="889">
        <f t="shared" si="9"/>
        <v>48.918444822302796</v>
      </c>
      <c r="AK22" s="885">
        <f t="shared" si="30"/>
        <v>0</v>
      </c>
      <c r="AL22" s="883">
        <f t="shared" si="31"/>
        <v>0</v>
      </c>
      <c r="AM22" s="883">
        <f t="shared" si="32"/>
        <v>0</v>
      </c>
      <c r="AN22" s="883">
        <f t="shared" si="33"/>
        <v>175.39063827643523</v>
      </c>
      <c r="AO22" s="883">
        <f t="shared" si="34"/>
        <v>0</v>
      </c>
      <c r="AP22" s="883">
        <f t="shared" si="35"/>
        <v>3.976992738674999</v>
      </c>
      <c r="AQ22" s="890">
        <f t="shared" si="38"/>
        <v>179.36763101511022</v>
      </c>
    </row>
    <row r="23" spans="1:43">
      <c r="A23" s="817"/>
      <c r="B23" s="860" t="s">
        <v>1599</v>
      </c>
      <c r="C23" s="883">
        <f>HLOOKUP($B$2,'Consumption Input'!$E$5:$AQ$82,'Consumption Input'!$B10)</f>
        <v>64.923000000000002</v>
      </c>
      <c r="D23" s="883">
        <f>HLOOKUP($B$2,'Consumption Input'!$E$5:$AQ$82,'Consumption Input'!$B16)</f>
        <v>19.459</v>
      </c>
      <c r="E23" s="883">
        <f>HLOOKUP($B$2,'Consumption Input'!$E$5:$AQ$82,'Consumption Input'!$B29)</f>
        <v>16.911999999999999</v>
      </c>
      <c r="F23" s="883"/>
      <c r="G23" s="883"/>
      <c r="H23" s="883">
        <f>HLOOKUP($B$2,'US Territories'!$D$28:$Z$38,'US Territories'!$B33)</f>
        <v>2.024373869079545</v>
      </c>
      <c r="I23" s="883">
        <f t="shared" si="36"/>
        <v>103.31837386907955</v>
      </c>
      <c r="J23" s="961"/>
      <c r="K23" s="940"/>
      <c r="L23" s="940"/>
      <c r="M23" s="940"/>
      <c r="N23" s="885">
        <f t="shared" si="43"/>
        <v>64.923000000000002</v>
      </c>
      <c r="O23" s="883">
        <f t="shared" si="44"/>
        <v>19.459</v>
      </c>
      <c r="P23" s="883">
        <f t="shared" si="45"/>
        <v>16.911999999999999</v>
      </c>
      <c r="Q23" s="883">
        <f t="shared" si="46"/>
        <v>0</v>
      </c>
      <c r="R23" s="883">
        <f t="shared" si="47"/>
        <v>0</v>
      </c>
      <c r="S23" s="886">
        <f t="shared" si="48"/>
        <v>2.024373869079545</v>
      </c>
      <c r="T23" s="883">
        <f t="shared" si="7"/>
        <v>103.31837386907955</v>
      </c>
      <c r="U23" s="931">
        <f>Factors!D28</f>
        <v>19.964104564962931</v>
      </c>
      <c r="V23" s="932">
        <f t="shared" si="49"/>
        <v>1.2961295606710885</v>
      </c>
      <c r="W23" s="933">
        <f t="shared" si="50"/>
        <v>0.38848151072961368</v>
      </c>
      <c r="X23" s="933">
        <f t="shared" si="51"/>
        <v>0.33763293640265307</v>
      </c>
      <c r="Y23" s="933">
        <f t="shared" si="52"/>
        <v>0</v>
      </c>
      <c r="Z23" s="933">
        <f t="shared" si="53"/>
        <v>0</v>
      </c>
      <c r="AA23" s="933">
        <f t="shared" si="54"/>
        <v>4.0414811600882616E-2</v>
      </c>
      <c r="AB23" s="933">
        <f t="shared" si="37"/>
        <v>2.0626588194042377</v>
      </c>
      <c r="AC23" s="934">
        <f>Factors!E28</f>
        <v>1</v>
      </c>
      <c r="AD23" s="885">
        <f t="shared" si="55"/>
        <v>1.2961295606710885</v>
      </c>
      <c r="AE23" s="883">
        <f t="shared" si="56"/>
        <v>0.38848151072961368</v>
      </c>
      <c r="AF23" s="883">
        <f t="shared" si="57"/>
        <v>0.33763293640265307</v>
      </c>
      <c r="AG23" s="883">
        <f t="shared" si="58"/>
        <v>0</v>
      </c>
      <c r="AH23" s="883">
        <f t="shared" si="59"/>
        <v>0</v>
      </c>
      <c r="AI23" s="883">
        <f t="shared" si="60"/>
        <v>4.0414811600882616E-2</v>
      </c>
      <c r="AJ23" s="889">
        <f t="shared" si="9"/>
        <v>2.0626588194042377</v>
      </c>
      <c r="AK23" s="885">
        <f t="shared" si="30"/>
        <v>4.7524750557939912</v>
      </c>
      <c r="AL23" s="883">
        <f t="shared" si="31"/>
        <v>1.4244322060085834</v>
      </c>
      <c r="AM23" s="883">
        <f t="shared" si="32"/>
        <v>1.2379874334763945</v>
      </c>
      <c r="AN23" s="883">
        <f t="shared" si="33"/>
        <v>0</v>
      </c>
      <c r="AO23" s="883">
        <f t="shared" si="34"/>
        <v>0</v>
      </c>
      <c r="AP23" s="883">
        <f t="shared" si="35"/>
        <v>0.14818764253656957</v>
      </c>
      <c r="AQ23" s="890">
        <f t="shared" si="38"/>
        <v>7.5630823378155387</v>
      </c>
    </row>
    <row r="24" spans="1:43">
      <c r="A24" s="817"/>
      <c r="B24" s="860" t="s">
        <v>1600</v>
      </c>
      <c r="C24" s="883">
        <f>HLOOKUP($B$2,'Consumption Input'!$E$5:$AQ$82,'Consumption Input'!$B11)</f>
        <v>384.17599999999993</v>
      </c>
      <c r="D24" s="883">
        <f>HLOOKUP($B$2,'Consumption Input'!$E$5:$AQ$82,'Consumption Input'!$B17)</f>
        <v>107.40300000000001</v>
      </c>
      <c r="E24"/>
      <c r="F24" s="883">
        <f>HLOOKUP($B$2,'Consumption Input'!$E$5:$AQ$82,'Consumption Input'!$B53)</f>
        <v>34.045999999999999</v>
      </c>
      <c r="G24" s="883"/>
      <c r="H24"/>
      <c r="I24" s="883">
        <f>SUM(C24:H24)</f>
        <v>525.625</v>
      </c>
      <c r="J24" s="884"/>
      <c r="K24"/>
      <c r="L24" s="883"/>
      <c r="M24" s="883"/>
      <c r="N24" s="885">
        <f>C24</f>
        <v>384.17599999999993</v>
      </c>
      <c r="O24" s="883">
        <f t="shared" si="44"/>
        <v>107.40300000000001</v>
      </c>
      <c r="P24"/>
      <c r="Q24" s="883">
        <f t="shared" si="46"/>
        <v>34.045999999999999</v>
      </c>
      <c r="R24" s="883">
        <f t="shared" si="47"/>
        <v>0</v>
      </c>
      <c r="S24" s="1007"/>
      <c r="T24" s="883">
        <f t="shared" si="7"/>
        <v>525.625</v>
      </c>
      <c r="U24" s="1005">
        <f>HLOOKUP($B$2,Factors!$J$12:$BE$25,Factors!$H17,FALSE)</f>
        <v>17.146363636363635</v>
      </c>
      <c r="V24" s="885">
        <f>N24*$U24*TbtuToQBtu</f>
        <v>6.5872213963636339</v>
      </c>
      <c r="W24" s="883">
        <f>O24*$U24*TbtuToQBtu</f>
        <v>1.8415708936363635</v>
      </c>
      <c r="X24"/>
      <c r="Y24" s="883">
        <f>Q24*$U24*TbtuToQBtu</f>
        <v>0.58376509636363627</v>
      </c>
      <c r="Z24" s="883">
        <f t="shared" ref="Z24" si="61">R24*$U24*TbtuToQBtu</f>
        <v>0</v>
      </c>
      <c r="AA24"/>
      <c r="AB24" s="883">
        <f>SUM(V24:AA24)</f>
        <v>9.0125573863636337</v>
      </c>
      <c r="AC24" s="888">
        <f>Factors!E30</f>
        <v>1</v>
      </c>
      <c r="AD24" s="885">
        <f>V24*$AC24</f>
        <v>6.5872213963636339</v>
      </c>
      <c r="AE24" s="883">
        <f t="shared" si="56"/>
        <v>1.8415708936363635</v>
      </c>
      <c r="AF24"/>
      <c r="AG24" s="883">
        <f t="shared" si="56"/>
        <v>0.58376509636363627</v>
      </c>
      <c r="AH24" s="883">
        <f t="shared" si="56"/>
        <v>0</v>
      </c>
      <c r="AI24"/>
      <c r="AJ24" s="889">
        <f t="shared" si="9"/>
        <v>9.0125573863636337</v>
      </c>
      <c r="AK24" s="885">
        <f>AD24*CtoCO2</f>
        <v>24.153145119999991</v>
      </c>
      <c r="AL24" s="883">
        <f t="shared" ref="AL24" si="62">AE24*CtoCO2</f>
        <v>6.7524266099999997</v>
      </c>
      <c r="AN24" s="883">
        <f t="shared" ref="AN24" si="63">AG24*CtoCO2</f>
        <v>2.1404720199999994</v>
      </c>
      <c r="AO24" s="883">
        <f t="shared" ref="AO24" si="64">AH24*CtoCO2</f>
        <v>0</v>
      </c>
      <c r="AQ24" s="890">
        <f t="shared" si="38"/>
        <v>33.046043749999988</v>
      </c>
    </row>
    <row r="25" spans="1:43">
      <c r="A25" s="817"/>
      <c r="B25" s="860" t="s">
        <v>1609</v>
      </c>
      <c r="C25" s="883"/>
      <c r="D25" s="883"/>
      <c r="E25" s="1047">
        <f>HLOOKUP($B$2,'Consumption Input'!$E$5:$AQ$82,'Consumption Input'!$B30)</f>
        <v>1911.1828129390001</v>
      </c>
      <c r="F25" s="883"/>
      <c r="G25" s="883"/>
      <c r="H25" s="883">
        <f>HLOOKUP($B$2,'US Territories'!$D$28:$AO$38,'US Territories'!$B34)</f>
        <v>3.4641748033592945</v>
      </c>
      <c r="I25" s="883">
        <f>SUM(C25:H25)</f>
        <v>1914.6469877423594</v>
      </c>
      <c r="J25" s="884"/>
      <c r="K25" s="1047">
        <f>HLOOKUP($B$2,NEUConsumption,'Non-Energy Use'!$C$11)</f>
        <v>1684.9977291137209</v>
      </c>
      <c r="L25" s="883"/>
      <c r="M25" s="883"/>
      <c r="N25" s="885"/>
      <c r="O25" s="883"/>
      <c r="P25" s="883">
        <f>E25-K25</f>
        <v>226.18508382527921</v>
      </c>
      <c r="Q25" s="883"/>
      <c r="R25" s="883"/>
      <c r="S25" s="886">
        <f>H25-M25</f>
        <v>3.4641748033592945</v>
      </c>
      <c r="T25" s="883">
        <f t="shared" si="7"/>
        <v>229.64925862863851</v>
      </c>
      <c r="U25" s="1005">
        <f>HLOOKUP($B$2,Factors!$J$12:$BE$25,Factors!$H18,FALSE)</f>
        <v>17.384858457284938</v>
      </c>
      <c r="V25" s="885"/>
      <c r="W25" s="883"/>
      <c r="X25" s="883">
        <f>P25*$U25*TbtuToQBtu</f>
        <v>3.9321956674516079</v>
      </c>
      <c r="Y25" s="883"/>
      <c r="Z25" s="883"/>
      <c r="AA25" s="883">
        <f>S25*$U25*TbtuToQBtu</f>
        <v>6.0224188627694221E-2</v>
      </c>
      <c r="AB25" s="883">
        <f>SUM(V25:AA25)</f>
        <v>3.9924198560793021</v>
      </c>
      <c r="AC25" s="888">
        <f>Factors!E31</f>
        <v>1</v>
      </c>
      <c r="AD25" s="885"/>
      <c r="AE25" s="883"/>
      <c r="AF25" s="883">
        <f>X25*$AC25</f>
        <v>3.9321956674516079</v>
      </c>
      <c r="AG25" s="883"/>
      <c r="AH25" s="883"/>
      <c r="AI25" s="883">
        <f>AA25*$AC25</f>
        <v>6.0224188627694221E-2</v>
      </c>
      <c r="AJ25" s="889">
        <f t="shared" si="9"/>
        <v>3.9924198560793021</v>
      </c>
      <c r="AK25" s="885"/>
      <c r="AL25" s="883"/>
      <c r="AM25" s="883">
        <f>AF25*CtoCO2</f>
        <v>14.418050780655895</v>
      </c>
      <c r="AN25" s="883"/>
      <c r="AO25" s="883"/>
      <c r="AP25" s="883">
        <f>AI25*CtoCO2</f>
        <v>0.22082202496821213</v>
      </c>
      <c r="AQ25" s="890">
        <f t="shared" si="38"/>
        <v>14.638872805624107</v>
      </c>
    </row>
    <row r="26" spans="1:43">
      <c r="A26" s="817"/>
      <c r="B26" s="860" t="s">
        <v>1610</v>
      </c>
      <c r="C26" s="883"/>
      <c r="D26" s="883"/>
      <c r="E26" s="883">
        <f>HLOOKUP($B$2,'Consumption Input'!$E$5:$AQ$82,'Consumption Input'!$B31)</f>
        <v>180.886</v>
      </c>
      <c r="F26" s="883">
        <f>HLOOKUP($B$2,'Consumption Input'!$E$5:$AQ$82,'Consumption Input'!$B54)</f>
        <v>170.846</v>
      </c>
      <c r="G26" s="883"/>
      <c r="H26" s="883">
        <f>HLOOKUP($B$2,'US Territories'!$D$28:$Z$38,'US Territories'!$B35)</f>
        <v>1.8873855450000001</v>
      </c>
      <c r="I26" s="883">
        <f t="shared" si="36"/>
        <v>353.61938554499994</v>
      </c>
      <c r="J26" s="961"/>
      <c r="K26" s="940">
        <f>HLOOKUP($B$2,NEUConsumption,'Non-Energy Use'!$C$12)</f>
        <v>180.886</v>
      </c>
      <c r="L26" s="940">
        <f>HLOOKUP($B$2,NEUConsumption,'Non-Energy Use'!$C$24)</f>
        <v>170.846</v>
      </c>
      <c r="M26" s="940">
        <f>HLOOKUP($B$2,NEUConsumption,'Non-Energy Use'!$C$26)</f>
        <v>1.8873855450000001</v>
      </c>
      <c r="N26" s="885">
        <f t="shared" si="43"/>
        <v>0</v>
      </c>
      <c r="O26" s="883">
        <f t="shared" si="44"/>
        <v>0</v>
      </c>
      <c r="P26" s="883">
        <f t="shared" si="45"/>
        <v>0</v>
      </c>
      <c r="Q26" s="883">
        <f t="shared" si="46"/>
        <v>0</v>
      </c>
      <c r="R26" s="883">
        <f t="shared" si="47"/>
        <v>0</v>
      </c>
      <c r="S26" s="886">
        <f t="shared" si="48"/>
        <v>0</v>
      </c>
      <c r="T26" s="883">
        <f t="shared" si="7"/>
        <v>0</v>
      </c>
      <c r="U26" s="931">
        <f>Factors!D33</f>
        <v>20.199355467286214</v>
      </c>
      <c r="V26" s="932">
        <f t="shared" si="49"/>
        <v>0</v>
      </c>
      <c r="W26" s="933">
        <f t="shared" si="50"/>
        <v>0</v>
      </c>
      <c r="X26" s="933">
        <f t="shared" si="51"/>
        <v>0</v>
      </c>
      <c r="Y26" s="933">
        <f t="shared" si="52"/>
        <v>0</v>
      </c>
      <c r="Z26" s="933">
        <f t="shared" si="53"/>
        <v>0</v>
      </c>
      <c r="AA26" s="933">
        <f t="shared" si="54"/>
        <v>0</v>
      </c>
      <c r="AB26" s="933">
        <f t="shared" si="37"/>
        <v>0</v>
      </c>
      <c r="AC26" s="934">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32.102181585899856</v>
      </c>
      <c r="E27" s="883">
        <f>HLOOKUP($B$2,'Consumption Input'!$E$5:$AQ$82,'Consumption Input'!$B32)</f>
        <v>245.08213908625572</v>
      </c>
      <c r="F27" s="883">
        <f>HLOOKUP($B$2,'Consumption Input'!$E$5:$AQ$82,'Consumption Input'!$B55)</f>
        <v>14079.756850747843</v>
      </c>
      <c r="G27" s="883"/>
      <c r="H27" s="883">
        <f>HLOOKUP($B$2,'US Territories'!$D$28:$Z$38,'US Territories'!$B36)</f>
        <v>88.76090562936507</v>
      </c>
      <c r="I27" s="883">
        <f t="shared" si="36"/>
        <v>14445.702077049364</v>
      </c>
      <c r="J27" s="961"/>
      <c r="K27" s="940"/>
      <c r="L27" s="940"/>
      <c r="M27" s="940"/>
      <c r="N27" s="885">
        <f t="shared" si="43"/>
        <v>0</v>
      </c>
      <c r="O27" s="883">
        <f t="shared" si="44"/>
        <v>32.102181585899856</v>
      </c>
      <c r="P27" s="883">
        <f t="shared" si="45"/>
        <v>245.08213908625572</v>
      </c>
      <c r="Q27" s="883">
        <f t="shared" si="46"/>
        <v>14079.756850747843</v>
      </c>
      <c r="R27" s="883">
        <f t="shared" si="47"/>
        <v>0</v>
      </c>
      <c r="S27" s="886">
        <f t="shared" si="48"/>
        <v>88.76090562936507</v>
      </c>
      <c r="T27" s="883">
        <f t="shared" si="7"/>
        <v>14445.702077049364</v>
      </c>
      <c r="U27" s="931">
        <f>HLOOKUP($B$2,Factors!$J$12:$Y$25,Factors!$H20)</f>
        <v>19.363795946364121</v>
      </c>
      <c r="V27" s="932">
        <f t="shared" si="49"/>
        <v>0</v>
      </c>
      <c r="W27" s="933">
        <f t="shared" si="50"/>
        <v>0.6216200936624926</v>
      </c>
      <c r="X27" s="933">
        <f t="shared" si="51"/>
        <v>4.7457205313646869</v>
      </c>
      <c r="Y27" s="933">
        <f t="shared" si="52"/>
        <v>272.63753863230352</v>
      </c>
      <c r="Z27" s="933">
        <f t="shared" si="53"/>
        <v>0</v>
      </c>
      <c r="AA27" s="933">
        <f t="shared" si="54"/>
        <v>1.7187480646215076</v>
      </c>
      <c r="AB27" s="933">
        <f t="shared" si="37"/>
        <v>279.72362732195216</v>
      </c>
      <c r="AC27" s="934">
        <f>Factors!E34</f>
        <v>1</v>
      </c>
      <c r="AD27" s="885">
        <f t="shared" si="55"/>
        <v>0</v>
      </c>
      <c r="AE27" s="883">
        <f t="shared" si="56"/>
        <v>0.6216200936624926</v>
      </c>
      <c r="AF27" s="883">
        <f t="shared" si="57"/>
        <v>4.7457205313646869</v>
      </c>
      <c r="AG27" s="883">
        <f>Y27*$AC44</f>
        <v>272.63753863230352</v>
      </c>
      <c r="AH27" s="883">
        <f t="shared" si="59"/>
        <v>0</v>
      </c>
      <c r="AI27" s="883">
        <f t="shared" si="60"/>
        <v>1.7187480646215076</v>
      </c>
      <c r="AJ27" s="889">
        <f t="shared" si="9"/>
        <v>279.72362732195216</v>
      </c>
      <c r="AK27" s="885">
        <f t="shared" si="30"/>
        <v>0</v>
      </c>
      <c r="AL27" s="883">
        <f t="shared" si="31"/>
        <v>2.2792736767624726</v>
      </c>
      <c r="AM27" s="883">
        <f t="shared" si="32"/>
        <v>17.400975281670519</v>
      </c>
      <c r="AN27" s="883">
        <f t="shared" si="33"/>
        <v>999.67097498511282</v>
      </c>
      <c r="AO27" s="883">
        <f t="shared" si="34"/>
        <v>0</v>
      </c>
      <c r="AP27" s="883">
        <f t="shared" si="35"/>
        <v>6.3020762369455277</v>
      </c>
      <c r="AQ27" s="890">
        <f t="shared" si="38"/>
        <v>1025.6533001804914</v>
      </c>
    </row>
    <row r="28" spans="1:43">
      <c r="A28" s="817"/>
      <c r="B28" s="860" t="s">
        <v>1602</v>
      </c>
      <c r="C28" s="883"/>
      <c r="D28" s="883">
        <f>HLOOKUP($B$2,'Consumption Input'!$E$5:$AQ$82,'Consumption Input'!$B19)</f>
        <v>171.946</v>
      </c>
      <c r="E28" s="883">
        <f>HLOOKUP($B$2,'Consumption Input'!$E$5:$AQ$82,'Consumption Input'!$B33)</f>
        <v>368.358946</v>
      </c>
      <c r="F28" s="883">
        <f>HLOOKUP($B$2,'Consumption Input'!$E$5:$AQ$82,'Consumption Input'!$B56)</f>
        <v>882.58999999999992</v>
      </c>
      <c r="G28" s="883">
        <f>HLOOKUP($B$2,'Consumption Input'!$E$5:$AQ$82,'Consumption Input'!$B61)</f>
        <v>869</v>
      </c>
      <c r="H28" s="883">
        <f>HLOOKUP($B$2,'US Territories'!$D$28:$Z$38,'US Territories'!$B37)</f>
        <v>98.232859950938064</v>
      </c>
      <c r="I28" s="883">
        <f t="shared" si="36"/>
        <v>2390.1278059509377</v>
      </c>
      <c r="J28" s="961">
        <f>HLOOKUP($B$2,IBFConsumption,'International Bunker Fuels'!$B$9)</f>
        <v>524.47212730800004</v>
      </c>
      <c r="K28" s="940"/>
      <c r="L28" s="940"/>
      <c r="M28" s="940"/>
      <c r="N28" s="885">
        <f t="shared" si="43"/>
        <v>0</v>
      </c>
      <c r="O28" s="883">
        <f t="shared" si="44"/>
        <v>171.946</v>
      </c>
      <c r="P28" s="883">
        <f t="shared" si="45"/>
        <v>368.358946</v>
      </c>
      <c r="Q28" s="883">
        <f t="shared" si="46"/>
        <v>358.11787269199988</v>
      </c>
      <c r="R28" s="883">
        <f t="shared" si="47"/>
        <v>869</v>
      </c>
      <c r="S28" s="886">
        <f t="shared" si="48"/>
        <v>98.232859950938064</v>
      </c>
      <c r="T28" s="883">
        <f t="shared" si="7"/>
        <v>1865.655678642938</v>
      </c>
      <c r="U28" s="931">
        <f>Factors!D36</f>
        <v>20.48</v>
      </c>
      <c r="V28" s="932">
        <f t="shared" si="49"/>
        <v>0</v>
      </c>
      <c r="W28" s="933">
        <f t="shared" si="50"/>
        <v>3.5214540800000003</v>
      </c>
      <c r="X28" s="933">
        <f t="shared" si="51"/>
        <v>7.543991214080001</v>
      </c>
      <c r="Y28" s="933">
        <f t="shared" si="52"/>
        <v>7.3342540327321579</v>
      </c>
      <c r="Z28" s="933">
        <f t="shared" si="53"/>
        <v>17.79712</v>
      </c>
      <c r="AA28" s="933">
        <f t="shared" si="54"/>
        <v>2.0118089717952117</v>
      </c>
      <c r="AB28" s="933">
        <f t="shared" si="37"/>
        <v>38.208628298607373</v>
      </c>
      <c r="AC28" s="934">
        <f>Factors!E36</f>
        <v>1</v>
      </c>
      <c r="AD28" s="885">
        <f t="shared" si="55"/>
        <v>0</v>
      </c>
      <c r="AE28" s="883">
        <f t="shared" si="56"/>
        <v>3.5214540800000003</v>
      </c>
      <c r="AF28" s="883">
        <f t="shared" si="57"/>
        <v>7.543991214080001</v>
      </c>
      <c r="AG28" s="883">
        <f t="shared" si="58"/>
        <v>7.3342540327321579</v>
      </c>
      <c r="AH28" s="883">
        <f t="shared" si="59"/>
        <v>17.79712</v>
      </c>
      <c r="AI28" s="883">
        <f t="shared" si="60"/>
        <v>2.0118089717952117</v>
      </c>
      <c r="AJ28" s="889">
        <f t="shared" si="9"/>
        <v>38.208628298607373</v>
      </c>
      <c r="AK28" s="885">
        <f t="shared" si="30"/>
        <v>0</v>
      </c>
      <c r="AL28" s="883">
        <f t="shared" si="31"/>
        <v>12.911998293333333</v>
      </c>
      <c r="AM28" s="883">
        <f t="shared" si="32"/>
        <v>27.661301118293334</v>
      </c>
      <c r="AN28" s="883">
        <f t="shared" si="33"/>
        <v>26.892264786684578</v>
      </c>
      <c r="AO28" s="883">
        <f t="shared" si="34"/>
        <v>65.256106666666668</v>
      </c>
      <c r="AP28" s="883">
        <f t="shared" si="35"/>
        <v>7.3766328965824428</v>
      </c>
      <c r="AQ28" s="890">
        <f t="shared" si="38"/>
        <v>140.09830376156035</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931"/>
      <c r="V29" s="932">
        <f t="shared" si="49"/>
        <v>0</v>
      </c>
      <c r="W29" s="933">
        <f t="shared" si="50"/>
        <v>0</v>
      </c>
      <c r="X29" s="933">
        <f t="shared" si="51"/>
        <v>0</v>
      </c>
      <c r="Y29" s="933">
        <f t="shared" si="52"/>
        <v>0</v>
      </c>
      <c r="Z29" s="933">
        <f t="shared" si="53"/>
        <v>0</v>
      </c>
      <c r="AA29" s="933">
        <f t="shared" si="54"/>
        <v>0</v>
      </c>
      <c r="AB29" s="933">
        <f t="shared" si="37"/>
        <v>0</v>
      </c>
      <c r="AC29" s="934"/>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6.0979839999999994</v>
      </c>
      <c r="F30" s="883"/>
      <c r="G30" s="883"/>
      <c r="H30" s="883"/>
      <c r="I30" s="883">
        <f t="shared" si="36"/>
        <v>6.0979839999999994</v>
      </c>
      <c r="J30" s="961"/>
      <c r="K30" s="940"/>
      <c r="L30" s="940"/>
      <c r="M30" s="940"/>
      <c r="N30" s="885">
        <f t="shared" si="43"/>
        <v>0</v>
      </c>
      <c r="O30" s="883">
        <f t="shared" si="44"/>
        <v>0</v>
      </c>
      <c r="P30" s="883">
        <f t="shared" si="45"/>
        <v>6.0979839999999994</v>
      </c>
      <c r="Q30" s="883">
        <f t="shared" si="46"/>
        <v>0</v>
      </c>
      <c r="R30" s="883">
        <f t="shared" si="47"/>
        <v>0</v>
      </c>
      <c r="S30" s="886">
        <f t="shared" si="48"/>
        <v>0</v>
      </c>
      <c r="T30" s="883">
        <f t="shared" si="7"/>
        <v>6.0979839999999994</v>
      </c>
      <c r="U30" s="931">
        <f>Factors!D39</f>
        <v>18.87</v>
      </c>
      <c r="V30" s="932">
        <f t="shared" si="49"/>
        <v>0</v>
      </c>
      <c r="W30" s="933">
        <f t="shared" si="50"/>
        <v>0</v>
      </c>
      <c r="X30" s="933">
        <f t="shared" si="51"/>
        <v>0.11506895808000001</v>
      </c>
      <c r="Y30" s="933">
        <f t="shared" si="52"/>
        <v>0</v>
      </c>
      <c r="Z30" s="933">
        <f t="shared" si="53"/>
        <v>0</v>
      </c>
      <c r="AA30" s="933">
        <f t="shared" si="54"/>
        <v>0</v>
      </c>
      <c r="AB30" s="933">
        <f t="shared" si="37"/>
        <v>0.11506895808000001</v>
      </c>
      <c r="AC30" s="934">
        <f>Factors!E39</f>
        <v>1</v>
      </c>
      <c r="AD30" s="885">
        <f t="shared" si="55"/>
        <v>0</v>
      </c>
      <c r="AE30" s="883">
        <f t="shared" si="56"/>
        <v>0</v>
      </c>
      <c r="AF30" s="883">
        <f t="shared" si="57"/>
        <v>0.11506895808000001</v>
      </c>
      <c r="AG30" s="883">
        <f t="shared" si="58"/>
        <v>0</v>
      </c>
      <c r="AH30" s="883">
        <f t="shared" si="59"/>
        <v>0</v>
      </c>
      <c r="AI30" s="883">
        <f t="shared" si="60"/>
        <v>0</v>
      </c>
      <c r="AJ30" s="889">
        <f t="shared" si="9"/>
        <v>0.11506895808000001</v>
      </c>
      <c r="AK30" s="885">
        <f t="shared" si="30"/>
        <v>0</v>
      </c>
      <c r="AL30" s="883">
        <f t="shared" si="31"/>
        <v>0</v>
      </c>
      <c r="AM30" s="883">
        <f t="shared" si="32"/>
        <v>0.42191951296000002</v>
      </c>
      <c r="AN30" s="883">
        <f t="shared" si="33"/>
        <v>0</v>
      </c>
      <c r="AO30" s="883">
        <f t="shared" si="34"/>
        <v>0</v>
      </c>
      <c r="AP30" s="883">
        <f t="shared" si="35"/>
        <v>0</v>
      </c>
      <c r="AQ30" s="890">
        <f t="shared" si="38"/>
        <v>0.42191951296000002</v>
      </c>
    </row>
    <row r="31" spans="1:43">
      <c r="A31" s="817"/>
      <c r="B31" s="865" t="s">
        <v>1612</v>
      </c>
      <c r="C31" s="883"/>
      <c r="D31" s="883"/>
      <c r="E31" s="883">
        <f>HLOOKUP($B$2,'Consumption Input'!$E$5:$AQ$82,'Consumption Input'!$B36)</f>
        <v>18.681799999999999</v>
      </c>
      <c r="F31" s="883"/>
      <c r="G31" s="883"/>
      <c r="H31" s="883"/>
      <c r="I31" s="883">
        <f t="shared" si="36"/>
        <v>18.681799999999999</v>
      </c>
      <c r="J31" s="961"/>
      <c r="K31" s="940"/>
      <c r="L31" s="940"/>
      <c r="M31" s="940"/>
      <c r="N31" s="885">
        <f t="shared" si="43"/>
        <v>0</v>
      </c>
      <c r="O31" s="883">
        <f t="shared" si="44"/>
        <v>0</v>
      </c>
      <c r="P31" s="883">
        <f t="shared" si="45"/>
        <v>18.681799999999999</v>
      </c>
      <c r="Q31" s="883">
        <f t="shared" si="46"/>
        <v>0</v>
      </c>
      <c r="R31" s="883">
        <f t="shared" si="47"/>
        <v>0</v>
      </c>
      <c r="S31" s="886">
        <f t="shared" si="48"/>
        <v>0</v>
      </c>
      <c r="T31" s="883">
        <f t="shared" si="7"/>
        <v>18.681799999999999</v>
      </c>
      <c r="U31" s="931">
        <f>HLOOKUP($B$2,Factors!$J$12:$Y$25,Factors!$H25)</f>
        <v>20.203694049482756</v>
      </c>
      <c r="V31" s="932">
        <f t="shared" si="49"/>
        <v>0</v>
      </c>
      <c r="W31" s="933">
        <f t="shared" si="50"/>
        <v>0</v>
      </c>
      <c r="X31" s="933">
        <f t="shared" si="51"/>
        <v>0.37744137149362694</v>
      </c>
      <c r="Y31" s="933">
        <f t="shared" si="52"/>
        <v>0</v>
      </c>
      <c r="Z31" s="933">
        <f t="shared" si="53"/>
        <v>0</v>
      </c>
      <c r="AA31" s="933">
        <f t="shared" si="54"/>
        <v>0</v>
      </c>
      <c r="AB31" s="933">
        <f t="shared" si="37"/>
        <v>0.37744137149362694</v>
      </c>
      <c r="AC31" s="934">
        <f>Factors!E40</f>
        <v>1</v>
      </c>
      <c r="AD31" s="885">
        <f t="shared" si="55"/>
        <v>0</v>
      </c>
      <c r="AE31" s="883">
        <f t="shared" si="56"/>
        <v>0</v>
      </c>
      <c r="AF31" s="883">
        <f t="shared" si="57"/>
        <v>0.37744137149362694</v>
      </c>
      <c r="AG31" s="883">
        <f t="shared" si="58"/>
        <v>0</v>
      </c>
      <c r="AH31" s="883">
        <f t="shared" si="59"/>
        <v>0</v>
      </c>
      <c r="AI31" s="883">
        <f t="shared" si="60"/>
        <v>0</v>
      </c>
      <c r="AJ31" s="889">
        <f t="shared" si="9"/>
        <v>0.37744137149362694</v>
      </c>
      <c r="AK31" s="885">
        <f t="shared" si="30"/>
        <v>0</v>
      </c>
      <c r="AL31" s="883">
        <f t="shared" si="31"/>
        <v>0</v>
      </c>
      <c r="AM31" s="883">
        <f t="shared" si="32"/>
        <v>1.383951695476632</v>
      </c>
      <c r="AN31" s="883">
        <f t="shared" si="33"/>
        <v>0</v>
      </c>
      <c r="AO31" s="883">
        <f t="shared" si="34"/>
        <v>0</v>
      </c>
      <c r="AP31" s="883">
        <f t="shared" si="35"/>
        <v>0</v>
      </c>
      <c r="AQ31" s="890">
        <f t="shared" si="38"/>
        <v>1.383951695476632</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931">
        <f>HLOOKUP($B$2,Factors!$J$12:$Y$25,Factors!$H22)</f>
        <v>19.363795946364121</v>
      </c>
      <c r="V32" s="932">
        <f t="shared" si="49"/>
        <v>0</v>
      </c>
      <c r="W32" s="933">
        <f t="shared" si="50"/>
        <v>0</v>
      </c>
      <c r="X32" s="933">
        <f t="shared" si="51"/>
        <v>0</v>
      </c>
      <c r="Y32" s="933">
        <f t="shared" si="52"/>
        <v>0</v>
      </c>
      <c r="Z32" s="933">
        <f t="shared" si="53"/>
        <v>0</v>
      </c>
      <c r="AA32" s="933">
        <f t="shared" si="54"/>
        <v>0</v>
      </c>
      <c r="AB32" s="933">
        <f t="shared" si="37"/>
        <v>0</v>
      </c>
      <c r="AC32" s="934">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30"/>
        <v>0</v>
      </c>
      <c r="AL32" s="883">
        <f t="shared" si="31"/>
        <v>0</v>
      </c>
      <c r="AM32" s="883">
        <f t="shared" si="32"/>
        <v>0</v>
      </c>
      <c r="AN32" s="883">
        <f t="shared" si="33"/>
        <v>0</v>
      </c>
      <c r="AO32" s="883">
        <f t="shared" si="34"/>
        <v>0</v>
      </c>
      <c r="AP32" s="883">
        <f t="shared" si="35"/>
        <v>0</v>
      </c>
      <c r="AQ32" s="890">
        <f t="shared" si="38"/>
        <v>0</v>
      </c>
    </row>
    <row r="33" spans="1:43">
      <c r="A33" s="817"/>
      <c r="B33" s="865" t="s">
        <v>1739</v>
      </c>
      <c r="C33" s="883"/>
      <c r="D33" s="883"/>
      <c r="E33" s="883">
        <f>HLOOKUP($B$2,'Consumption Input'!$E$5:$AQ$82,'Consumption Input'!$B38)</f>
        <v>105.85234800000001</v>
      </c>
      <c r="F33" s="883"/>
      <c r="G33" s="883"/>
      <c r="H33" s="883">
        <f>HLOOKUP($B$2,'US Territories'!$D$28:$Z$38,'US Territories'!$B$38)</f>
        <v>28.497579038127942</v>
      </c>
      <c r="I33" s="883">
        <f t="shared" si="36"/>
        <v>134.34992703812796</v>
      </c>
      <c r="J33" s="961"/>
      <c r="K33" s="940">
        <f>HLOOKUP($B$2,NEUConsumption,'Non-Energy Use'!C22)</f>
        <v>105.85234800000001</v>
      </c>
      <c r="L33" s="940"/>
      <c r="M33" s="940">
        <f>HLOOKUP($B$2,NEUConsumption,'Non-Energy Use'!$C$27)</f>
        <v>28.497579038127942</v>
      </c>
      <c r="N33" s="885">
        <f t="shared" si="43"/>
        <v>0</v>
      </c>
      <c r="O33" s="883">
        <f t="shared" si="44"/>
        <v>0</v>
      </c>
      <c r="P33" s="883">
        <f t="shared" si="45"/>
        <v>0</v>
      </c>
      <c r="Q33" s="883">
        <f t="shared" si="46"/>
        <v>0</v>
      </c>
      <c r="R33" s="883">
        <f t="shared" si="47"/>
        <v>0</v>
      </c>
      <c r="S33" s="886">
        <f t="shared" si="48"/>
        <v>0</v>
      </c>
      <c r="T33" s="883">
        <f t="shared" si="7"/>
        <v>0</v>
      </c>
      <c r="U33" s="931">
        <f>HLOOKUP($B$2,Factors!$J$12:$Y$25,Factors!$H23)</f>
        <v>0</v>
      </c>
      <c r="V33" s="932">
        <f t="shared" si="49"/>
        <v>0</v>
      </c>
      <c r="W33" s="933">
        <f t="shared" si="50"/>
        <v>0</v>
      </c>
      <c r="X33" s="933">
        <f t="shared" si="51"/>
        <v>0</v>
      </c>
      <c r="Y33" s="933">
        <f t="shared" si="52"/>
        <v>0</v>
      </c>
      <c r="Z33" s="933">
        <f t="shared" si="53"/>
        <v>0</v>
      </c>
      <c r="AA33" s="933">
        <f t="shared" si="54"/>
        <v>0</v>
      </c>
      <c r="AB33" s="933">
        <f t="shared" si="37"/>
        <v>0</v>
      </c>
      <c r="AC33" s="934">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398.33894400000003</v>
      </c>
      <c r="F34" s="883"/>
      <c r="G34" s="883"/>
      <c r="H34" s="883"/>
      <c r="I34" s="883">
        <f t="shared" si="36"/>
        <v>398.33894400000003</v>
      </c>
      <c r="J34" s="961"/>
      <c r="K34" s="940">
        <f>HLOOKUP($B$2,NEUConsumption,'Non-Energy Use'!C14)</f>
        <v>398.33894400000003</v>
      </c>
      <c r="L34" s="940"/>
      <c r="M34" s="940"/>
      <c r="N34" s="885">
        <f t="shared" si="43"/>
        <v>0</v>
      </c>
      <c r="O34" s="883">
        <f t="shared" si="44"/>
        <v>0</v>
      </c>
      <c r="P34" s="883">
        <f t="shared" si="45"/>
        <v>0</v>
      </c>
      <c r="Q34" s="883">
        <f t="shared" si="46"/>
        <v>0</v>
      </c>
      <c r="R34" s="883">
        <f t="shared" si="47"/>
        <v>0</v>
      </c>
      <c r="S34" s="886">
        <f t="shared" si="48"/>
        <v>0</v>
      </c>
      <c r="T34" s="883">
        <f t="shared" si="7"/>
        <v>0</v>
      </c>
      <c r="U34" s="931">
        <f>Factors!D44</f>
        <v>18.550649350649344</v>
      </c>
      <c r="V34" s="932">
        <f t="shared" si="49"/>
        <v>0</v>
      </c>
      <c r="W34" s="933">
        <f t="shared" si="50"/>
        <v>0</v>
      </c>
      <c r="X34" s="933">
        <f t="shared" si="51"/>
        <v>0</v>
      </c>
      <c r="Y34" s="933">
        <f t="shared" si="52"/>
        <v>0</v>
      </c>
      <c r="Z34" s="933">
        <f t="shared" si="53"/>
        <v>0</v>
      </c>
      <c r="AA34" s="933">
        <f t="shared" si="54"/>
        <v>0</v>
      </c>
      <c r="AB34" s="933">
        <f t="shared" si="37"/>
        <v>0</v>
      </c>
      <c r="AC34" s="934">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838.64272500000004</v>
      </c>
      <c r="F35" s="883"/>
      <c r="G35" s="883"/>
      <c r="H35" s="883"/>
      <c r="I35" s="883">
        <f t="shared" si="36"/>
        <v>838.64272500000004</v>
      </c>
      <c r="J35" s="961"/>
      <c r="K35" s="940">
        <f>HLOOKUP($B$2,NEUConsumption,'Non-Energy Use'!$C$15)</f>
        <v>838.64272500000004</v>
      </c>
      <c r="L35" s="940"/>
      <c r="M35" s="940"/>
      <c r="N35" s="885">
        <f t="shared" si="43"/>
        <v>0</v>
      </c>
      <c r="O35" s="883">
        <f t="shared" si="44"/>
        <v>0</v>
      </c>
      <c r="P35" s="883">
        <f t="shared" si="45"/>
        <v>0</v>
      </c>
      <c r="Q35" s="883">
        <f t="shared" si="46"/>
        <v>0</v>
      </c>
      <c r="R35" s="883">
        <f t="shared" si="47"/>
        <v>0</v>
      </c>
      <c r="S35" s="886">
        <f t="shared" si="48"/>
        <v>0</v>
      </c>
      <c r="T35" s="883">
        <f t="shared" si="7"/>
        <v>0</v>
      </c>
      <c r="U35" s="931">
        <f>Factors!D45</f>
        <v>20.170000000000002</v>
      </c>
      <c r="V35" s="932">
        <f t="shared" si="49"/>
        <v>0</v>
      </c>
      <c r="W35" s="933">
        <f t="shared" si="50"/>
        <v>0</v>
      </c>
      <c r="X35" s="933">
        <f t="shared" si="51"/>
        <v>0</v>
      </c>
      <c r="Y35" s="933">
        <f t="shared" si="52"/>
        <v>0</v>
      </c>
      <c r="Z35" s="933">
        <f t="shared" si="53"/>
        <v>0</v>
      </c>
      <c r="AA35" s="933">
        <f t="shared" si="54"/>
        <v>0</v>
      </c>
      <c r="AB35" s="933">
        <f t="shared" si="37"/>
        <v>0</v>
      </c>
      <c r="AC35" s="934">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931">
        <f>Factors!D46</f>
        <v>18.239999999999998</v>
      </c>
      <c r="V36" s="932">
        <f t="shared" si="49"/>
        <v>0</v>
      </c>
      <c r="W36" s="933">
        <f t="shared" si="50"/>
        <v>0</v>
      </c>
      <c r="X36" s="933">
        <f t="shared" si="51"/>
        <v>0</v>
      </c>
      <c r="Y36" s="933">
        <f t="shared" si="52"/>
        <v>0</v>
      </c>
      <c r="Z36" s="933">
        <f t="shared" si="53"/>
        <v>0</v>
      </c>
      <c r="AA36" s="933">
        <f t="shared" si="54"/>
        <v>0</v>
      </c>
      <c r="AB36" s="933">
        <f t="shared" si="37"/>
        <v>0</v>
      </c>
      <c r="AC36" s="934">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0.13500000000000001</v>
      </c>
      <c r="E37" s="883">
        <f>HLOOKUP($B$2,'Consumption Input'!$E$5:$AQ$82,'Consumption Input'!$B42)</f>
        <v>723.1579999999999</v>
      </c>
      <c r="F37" s="883"/>
      <c r="G37" s="883">
        <f>HLOOKUP($B$2,'Consumption Input'!$E$5:$AQ$82,'Consumption Input'!$B63)</f>
        <v>69.716999999999999</v>
      </c>
      <c r="H37" s="883"/>
      <c r="I37" s="883">
        <f t="shared" si="36"/>
        <v>793.00999999999988</v>
      </c>
      <c r="J37" s="961"/>
      <c r="K37" s="940">
        <f>HLOOKUP($B$2,NEUConsumption,'Non-Energy Use'!$C$17)</f>
        <v>128.28867635803448</v>
      </c>
      <c r="L37" s="940"/>
      <c r="M37" s="940"/>
      <c r="N37" s="885">
        <f t="shared" si="43"/>
        <v>0</v>
      </c>
      <c r="O37" s="883">
        <f t="shared" si="44"/>
        <v>0.13500000000000001</v>
      </c>
      <c r="P37" s="883">
        <f t="shared" si="45"/>
        <v>594.86932364196537</v>
      </c>
      <c r="Q37" s="883">
        <f t="shared" si="46"/>
        <v>0</v>
      </c>
      <c r="R37" s="883">
        <f t="shared" si="47"/>
        <v>69.716999999999999</v>
      </c>
      <c r="S37" s="886">
        <f t="shared" si="48"/>
        <v>0</v>
      </c>
      <c r="T37" s="883">
        <f t="shared" si="7"/>
        <v>664.72132364196534</v>
      </c>
      <c r="U37" s="931">
        <f>Factors!D48</f>
        <v>27.84770010865628</v>
      </c>
      <c r="V37" s="932">
        <f t="shared" si="49"/>
        <v>0</v>
      </c>
      <c r="W37" s="933">
        <f t="shared" si="50"/>
        <v>3.7594395146685979E-3</v>
      </c>
      <c r="X37" s="933">
        <f t="shared" si="51"/>
        <v>16.565742528620646</v>
      </c>
      <c r="Y37" s="933">
        <f t="shared" si="52"/>
        <v>0</v>
      </c>
      <c r="Z37" s="933">
        <f t="shared" si="53"/>
        <v>1.9414581084751898</v>
      </c>
      <c r="AA37" s="933">
        <f t="shared" si="54"/>
        <v>0</v>
      </c>
      <c r="AB37" s="933">
        <f t="shared" si="37"/>
        <v>18.510960076610502</v>
      </c>
      <c r="AC37" s="934">
        <f>Factors!E48</f>
        <v>1</v>
      </c>
      <c r="AD37" s="885">
        <f t="shared" si="55"/>
        <v>0</v>
      </c>
      <c r="AE37" s="883">
        <f t="shared" si="56"/>
        <v>3.7594395146685979E-3</v>
      </c>
      <c r="AF37" s="883">
        <f t="shared" si="57"/>
        <v>16.565742528620646</v>
      </c>
      <c r="AG37" s="883">
        <f t="shared" si="58"/>
        <v>0</v>
      </c>
      <c r="AH37" s="883">
        <f t="shared" si="59"/>
        <v>1.9414581084751898</v>
      </c>
      <c r="AI37" s="883">
        <f t="shared" si="60"/>
        <v>0</v>
      </c>
      <c r="AJ37" s="889">
        <f t="shared" si="9"/>
        <v>18.510960076610502</v>
      </c>
      <c r="AK37" s="885">
        <f t="shared" si="30"/>
        <v>0</v>
      </c>
      <c r="AL37" s="883">
        <f t="shared" si="31"/>
        <v>1.3784611553784859E-2</v>
      </c>
      <c r="AM37" s="883">
        <f t="shared" si="32"/>
        <v>60.7410559382757</v>
      </c>
      <c r="AN37" s="883">
        <f t="shared" si="33"/>
        <v>0</v>
      </c>
      <c r="AO37" s="883">
        <f t="shared" si="34"/>
        <v>7.1186797310756962</v>
      </c>
      <c r="AP37" s="883">
        <f t="shared" si="35"/>
        <v>0</v>
      </c>
      <c r="AQ37" s="890">
        <f t="shared" si="38"/>
        <v>67.873520280905183</v>
      </c>
    </row>
    <row r="38" spans="1:43">
      <c r="A38" s="817"/>
      <c r="B38" s="865" t="s">
        <v>1618</v>
      </c>
      <c r="C38" s="883"/>
      <c r="D38" s="883"/>
      <c r="E38" s="883">
        <f>HLOOKUP($B$2,'Consumption Input'!$E$5:$AQ$82,'Consumption Input'!$B43)</f>
        <v>1439.4059999999999</v>
      </c>
      <c r="F38" s="883"/>
      <c r="G38" s="883"/>
      <c r="H38" s="883"/>
      <c r="I38" s="883">
        <f t="shared" si="36"/>
        <v>1439.4059999999999</v>
      </c>
      <c r="J38" s="961"/>
      <c r="K38" s="940">
        <f>HLOOKUP($B$2,NEUConsumption,'Non-Energy Use'!$C$16)</f>
        <v>35.37000000000004</v>
      </c>
      <c r="L38" s="940"/>
      <c r="M38" s="940"/>
      <c r="N38" s="885">
        <f t="shared" si="43"/>
        <v>0</v>
      </c>
      <c r="O38" s="883">
        <f t="shared" si="44"/>
        <v>0</v>
      </c>
      <c r="P38" s="883">
        <f t="shared" si="45"/>
        <v>1404.0359999999998</v>
      </c>
      <c r="Q38" s="883">
        <f t="shared" si="46"/>
        <v>0</v>
      </c>
      <c r="R38" s="883">
        <f t="shared" si="47"/>
        <v>0</v>
      </c>
      <c r="S38" s="886">
        <f t="shared" si="48"/>
        <v>0</v>
      </c>
      <c r="T38" s="883">
        <f t="shared" si="7"/>
        <v>1404.0359999999998</v>
      </c>
      <c r="U38" s="931">
        <f>Factors!D51</f>
        <v>18.195454545454545</v>
      </c>
      <c r="V38" s="932">
        <f t="shared" si="49"/>
        <v>0</v>
      </c>
      <c r="W38" s="933">
        <f t="shared" si="50"/>
        <v>0</v>
      </c>
      <c r="X38" s="933">
        <f t="shared" si="51"/>
        <v>25.547073218181819</v>
      </c>
      <c r="Y38" s="933">
        <f t="shared" si="52"/>
        <v>0</v>
      </c>
      <c r="Z38" s="933">
        <f t="shared" si="53"/>
        <v>0</v>
      </c>
      <c r="AA38" s="933">
        <f t="shared" si="54"/>
        <v>0</v>
      </c>
      <c r="AB38" s="933">
        <f t="shared" si="37"/>
        <v>25.547073218181819</v>
      </c>
      <c r="AC38" s="934">
        <f>Factors!E51</f>
        <v>1</v>
      </c>
      <c r="AD38" s="885">
        <f t="shared" si="55"/>
        <v>0</v>
      </c>
      <c r="AE38" s="883">
        <f t="shared" si="56"/>
        <v>0</v>
      </c>
      <c r="AF38" s="883">
        <f t="shared" si="57"/>
        <v>25.547073218181819</v>
      </c>
      <c r="AG38" s="883">
        <f t="shared" si="58"/>
        <v>0</v>
      </c>
      <c r="AH38" s="883">
        <f t="shared" si="59"/>
        <v>0</v>
      </c>
      <c r="AI38" s="883">
        <f t="shared" si="60"/>
        <v>0</v>
      </c>
      <c r="AJ38" s="889">
        <f t="shared" si="9"/>
        <v>25.547073218181819</v>
      </c>
      <c r="AK38" s="885">
        <f t="shared" si="30"/>
        <v>0</v>
      </c>
      <c r="AL38" s="883">
        <f t="shared" si="31"/>
        <v>0</v>
      </c>
      <c r="AM38" s="883">
        <f t="shared" si="32"/>
        <v>93.672601799999995</v>
      </c>
      <c r="AN38" s="883">
        <f t="shared" si="33"/>
        <v>0</v>
      </c>
      <c r="AO38" s="883">
        <f t="shared" si="34"/>
        <v>0</v>
      </c>
      <c r="AP38" s="883">
        <f t="shared" si="35"/>
        <v>0</v>
      </c>
      <c r="AQ38" s="890">
        <f t="shared" si="38"/>
        <v>93.672601799999995</v>
      </c>
    </row>
    <row r="39" spans="1:43">
      <c r="A39" s="817"/>
      <c r="B39" s="865" t="s">
        <v>1619</v>
      </c>
      <c r="C39" s="883"/>
      <c r="D39" s="883"/>
      <c r="E39" s="883">
        <f>HLOOKUP($B$2,'Consumption Input'!$E$5:$AQ$82,'Consumption Input'!$B44)</f>
        <v>81.050111999999999</v>
      </c>
      <c r="F39" s="883"/>
      <c r="G39" s="883"/>
      <c r="H39" s="883"/>
      <c r="I39" s="883">
        <f t="shared" si="36"/>
        <v>81.050111999999999</v>
      </c>
      <c r="J39" s="961"/>
      <c r="K39" s="940">
        <f>HLOOKUP($B$2,NEUConsumption,'Non-Energy Use'!$C$18)</f>
        <v>81.050111999999999</v>
      </c>
      <c r="L39" s="940"/>
      <c r="M39" s="940"/>
      <c r="N39" s="885">
        <f t="shared" si="43"/>
        <v>0</v>
      </c>
      <c r="O39" s="883">
        <f t="shared" si="44"/>
        <v>0</v>
      </c>
      <c r="P39" s="883">
        <f t="shared" si="45"/>
        <v>0</v>
      </c>
      <c r="Q39" s="883">
        <f t="shared" si="46"/>
        <v>0</v>
      </c>
      <c r="R39" s="883">
        <f t="shared" si="47"/>
        <v>0</v>
      </c>
      <c r="S39" s="886">
        <f t="shared" si="48"/>
        <v>0</v>
      </c>
      <c r="T39" s="883">
        <f t="shared" si="7"/>
        <v>0</v>
      </c>
      <c r="U39" s="931">
        <f>Factors!D37</f>
        <v>19.737389135254986</v>
      </c>
      <c r="V39" s="932">
        <f t="shared" si="49"/>
        <v>0</v>
      </c>
      <c r="W39" s="933">
        <f t="shared" si="50"/>
        <v>0</v>
      </c>
      <c r="X39" s="933">
        <f t="shared" si="51"/>
        <v>0</v>
      </c>
      <c r="Y39" s="933">
        <f t="shared" si="52"/>
        <v>0</v>
      </c>
      <c r="Z39" s="933">
        <f t="shared" si="53"/>
        <v>0</v>
      </c>
      <c r="AA39" s="933">
        <f t="shared" si="54"/>
        <v>0</v>
      </c>
      <c r="AB39" s="933">
        <f t="shared" si="37"/>
        <v>0</v>
      </c>
      <c r="AC39" s="934">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931">
        <f>HLOOKUP($B$2,Factors!$J$12:$Y$25,Factors!$H24)</f>
        <v>20.203694049482756</v>
      </c>
      <c r="V40" s="932">
        <f t="shared" si="49"/>
        <v>0</v>
      </c>
      <c r="W40" s="933">
        <f t="shared" si="50"/>
        <v>0</v>
      </c>
      <c r="X40" s="933">
        <f t="shared" si="51"/>
        <v>0</v>
      </c>
      <c r="Y40" s="933">
        <f t="shared" si="52"/>
        <v>0</v>
      </c>
      <c r="Z40" s="933">
        <f t="shared" si="53"/>
        <v>0</v>
      </c>
      <c r="AA40" s="933">
        <f t="shared" si="54"/>
        <v>0</v>
      </c>
      <c r="AB40" s="933">
        <f t="shared" si="37"/>
        <v>0</v>
      </c>
      <c r="AC40" s="934">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40.586210000000001</v>
      </c>
      <c r="F41" s="883"/>
      <c r="G41" s="883"/>
      <c r="H41" s="883"/>
      <c r="I41" s="883">
        <f t="shared" si="36"/>
        <v>40.586210000000001</v>
      </c>
      <c r="J41" s="961"/>
      <c r="K41" s="940">
        <f>HLOOKUP($B$2,NEUConsumption,'Non-Energy Use'!$C$21)</f>
        <v>40.586210000000001</v>
      </c>
      <c r="L41" s="940"/>
      <c r="M41" s="940"/>
      <c r="N41" s="885">
        <f t="shared" si="43"/>
        <v>0</v>
      </c>
      <c r="O41" s="883">
        <f t="shared" si="44"/>
        <v>0</v>
      </c>
      <c r="P41" s="883">
        <f t="shared" si="45"/>
        <v>0</v>
      </c>
      <c r="Q41" s="883">
        <f t="shared" si="46"/>
        <v>0</v>
      </c>
      <c r="R41" s="883">
        <f t="shared" si="47"/>
        <v>0</v>
      </c>
      <c r="S41" s="886">
        <f t="shared" si="48"/>
        <v>0</v>
      </c>
      <c r="T41" s="883">
        <f t="shared" si="7"/>
        <v>0</v>
      </c>
      <c r="U41" s="931">
        <f>Factors!D55</f>
        <v>19.795754182606267</v>
      </c>
      <c r="V41" s="941">
        <f t="shared" si="49"/>
        <v>0</v>
      </c>
      <c r="W41" s="942">
        <f t="shared" si="50"/>
        <v>0</v>
      </c>
      <c r="X41" s="942">
        <f t="shared" si="51"/>
        <v>0</v>
      </c>
      <c r="Y41" s="942">
        <f t="shared" si="52"/>
        <v>0</v>
      </c>
      <c r="Z41" s="942">
        <f t="shared" si="53"/>
        <v>0</v>
      </c>
      <c r="AA41" s="942">
        <f t="shared" si="54"/>
        <v>0</v>
      </c>
      <c r="AB41" s="933">
        <f t="shared" si="37"/>
        <v>0</v>
      </c>
      <c r="AC41" s="934">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53.006967277171995</v>
      </c>
      <c r="H42" s="917"/>
      <c r="I42" s="917">
        <f>G42</f>
        <v>53.006967277171995</v>
      </c>
      <c r="J42" s="968"/>
      <c r="K42" s="969"/>
      <c r="L42" s="970"/>
      <c r="M42" s="971"/>
      <c r="N42" s="917">
        <f t="shared" si="43"/>
        <v>0</v>
      </c>
      <c r="O42" s="917">
        <f t="shared" si="44"/>
        <v>0</v>
      </c>
      <c r="P42" s="917">
        <f>E42</f>
        <v>0</v>
      </c>
      <c r="Q42" s="917">
        <f>F42</f>
        <v>0</v>
      </c>
      <c r="R42" s="917">
        <f t="shared" si="47"/>
        <v>53.006967277171995</v>
      </c>
      <c r="S42" s="917">
        <f>H42</f>
        <v>0</v>
      </c>
      <c r="T42" s="917">
        <f t="shared" si="7"/>
        <v>53.006967277171995</v>
      </c>
      <c r="U42" s="953">
        <f>Factors!D56</f>
        <v>2.6974658424810825</v>
      </c>
      <c r="V42" s="954"/>
      <c r="W42" s="954"/>
      <c r="X42" s="954"/>
      <c r="Y42" s="954"/>
      <c r="Z42" s="954">
        <f>INDEX(Geothermal!$C$14:$AE$18,MATCH("Total",Geothermal!$C$14:$C$18,0),MATCH($B$2,Geothermal!$C$14:$AE$14,0))/CtoCO2</f>
        <v>0.14022713258380357</v>
      </c>
      <c r="AA42" s="954"/>
      <c r="AB42" s="954">
        <f t="shared" si="37"/>
        <v>0.14022713258380357</v>
      </c>
      <c r="AC42" s="955">
        <f>Factors!$E$56</f>
        <v>1</v>
      </c>
      <c r="AD42" s="917">
        <f t="shared" si="55"/>
        <v>0</v>
      </c>
      <c r="AE42" s="917">
        <f t="shared" si="56"/>
        <v>0</v>
      </c>
      <c r="AF42" s="917">
        <f t="shared" si="57"/>
        <v>0</v>
      </c>
      <c r="AG42" s="917">
        <f t="shared" si="58"/>
        <v>0</v>
      </c>
      <c r="AH42" s="917">
        <f t="shared" si="59"/>
        <v>0.14022713258380357</v>
      </c>
      <c r="AI42" s="917">
        <f t="shared" si="60"/>
        <v>0</v>
      </c>
      <c r="AJ42" s="920">
        <f t="shared" si="9"/>
        <v>0.14022713258380357</v>
      </c>
      <c r="AK42" s="919">
        <f t="shared" si="30"/>
        <v>0</v>
      </c>
      <c r="AL42" s="917">
        <f t="shared" si="31"/>
        <v>0</v>
      </c>
      <c r="AM42" s="917">
        <f t="shared" si="32"/>
        <v>0</v>
      </c>
      <c r="AN42" s="917">
        <f t="shared" si="33"/>
        <v>0</v>
      </c>
      <c r="AO42" s="917">
        <f t="shared" si="34"/>
        <v>0.51416615280727973</v>
      </c>
      <c r="AP42" s="917">
        <f t="shared" si="35"/>
        <v>0</v>
      </c>
      <c r="AQ42" s="920">
        <f t="shared" si="38"/>
        <v>0.51416615280727973</v>
      </c>
    </row>
    <row r="43" spans="1:43" ht="11.1" thickBot="1">
      <c r="A43" s="817"/>
      <c r="B43" s="867" t="s">
        <v>1740</v>
      </c>
      <c r="C43" s="922">
        <f>C8+C17+C18+C42</f>
        <v>6284.3906598920257</v>
      </c>
      <c r="D43" s="922">
        <f>D8+D17+D18+D42</f>
        <v>3857.1843432377186</v>
      </c>
      <c r="E43" s="922">
        <f>E8+E17+E18+E42</f>
        <v>18790.932693354014</v>
      </c>
      <c r="F43" s="922">
        <f>F8+F17+F18+F42</f>
        <v>23376.559025152605</v>
      </c>
      <c r="G43" s="922">
        <f>G8+G17+G18+G42</f>
        <v>22349.860967277171</v>
      </c>
      <c r="H43" s="922">
        <f>H16+H17+H18+H42</f>
        <v>368.48222781436704</v>
      </c>
      <c r="I43" s="922">
        <f>SUM(C43:H43)</f>
        <v>75027.409916727906</v>
      </c>
      <c r="J43" s="972">
        <f t="shared" ref="J43:S43" si="65">J8+J17+J18+J42</f>
        <v>1328.1264668845165</v>
      </c>
      <c r="K43" s="973">
        <f t="shared" si="65"/>
        <v>5046.8033770591774</v>
      </c>
      <c r="L43" s="974">
        <f t="shared" si="65"/>
        <v>170.846</v>
      </c>
      <c r="M43" s="975">
        <f t="shared" si="65"/>
        <v>30.384964583127942</v>
      </c>
      <c r="N43" s="922">
        <f t="shared" si="65"/>
        <v>6284.3906598920257</v>
      </c>
      <c r="O43" s="922">
        <f t="shared" si="65"/>
        <v>3857.1843432377186</v>
      </c>
      <c r="P43" s="922">
        <f t="shared" si="65"/>
        <v>13744.129316294835</v>
      </c>
      <c r="Q43" s="922">
        <f t="shared" si="65"/>
        <v>21877.586558268089</v>
      </c>
      <c r="R43" s="922">
        <f t="shared" si="65"/>
        <v>22349.860967277171</v>
      </c>
      <c r="S43" s="922">
        <f t="shared" si="65"/>
        <v>338.09726323123914</v>
      </c>
      <c r="T43" s="922">
        <f t="shared" si="7"/>
        <v>68451.249108201067</v>
      </c>
      <c r="U43" s="956" t="s">
        <v>1731</v>
      </c>
      <c r="V43" s="957">
        <f t="shared" ref="V43:AA43" si="66">V8+V17+V18+V42</f>
        <v>97.376514976882717</v>
      </c>
      <c r="W43" s="957">
        <f t="shared" si="66"/>
        <v>61.281166218644159</v>
      </c>
      <c r="X43" s="957">
        <f t="shared" si="66"/>
        <v>240.16350950029141</v>
      </c>
      <c r="Y43" s="957">
        <f t="shared" si="66"/>
        <v>423.80382370247554</v>
      </c>
      <c r="Z43" s="957">
        <f t="shared" si="66"/>
        <v>526.49140195916641</v>
      </c>
      <c r="AA43" s="957">
        <f t="shared" si="66"/>
        <v>6.7450704785590911</v>
      </c>
      <c r="AB43" s="957">
        <f t="shared" si="37"/>
        <v>1355.8614868360194</v>
      </c>
      <c r="AC43" s="958" t="s">
        <v>1731</v>
      </c>
      <c r="AD43" s="922">
        <f t="shared" ref="AD43:AQ43" si="67">AD8+AD17+AD18+AD42</f>
        <v>97.376514976882717</v>
      </c>
      <c r="AE43" s="922">
        <f t="shared" si="67"/>
        <v>61.281166218644159</v>
      </c>
      <c r="AF43" s="922">
        <f t="shared" si="67"/>
        <v>240.16350950029141</v>
      </c>
      <c r="AG43" s="922">
        <f t="shared" si="67"/>
        <v>423.80382370247554</v>
      </c>
      <c r="AH43" s="922">
        <f t="shared" si="67"/>
        <v>526.49140195916641</v>
      </c>
      <c r="AI43" s="922">
        <f t="shared" si="67"/>
        <v>6.7450704785590911</v>
      </c>
      <c r="AJ43" s="925">
        <f t="shared" si="67"/>
        <v>1355.8614868360191</v>
      </c>
      <c r="AK43" s="922">
        <f t="shared" si="67"/>
        <v>357.04722158190327</v>
      </c>
      <c r="AL43" s="922">
        <f t="shared" si="67"/>
        <v>224.69760946836189</v>
      </c>
      <c r="AM43" s="922">
        <f t="shared" si="67"/>
        <v>880.59953483440188</v>
      </c>
      <c r="AN43" s="922">
        <f t="shared" si="67"/>
        <v>1553.9473535757436</v>
      </c>
      <c r="AO43" s="922">
        <f t="shared" si="67"/>
        <v>1930.4684738502767</v>
      </c>
      <c r="AP43" s="922">
        <f t="shared" si="67"/>
        <v>24.731925088050001</v>
      </c>
      <c r="AQ43" s="925">
        <f t="shared" si="67"/>
        <v>4971.4921183987371</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ransitionEvaluation="1" transitionEntry="1" codeName="Sheet25">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3" width="7" style="152" customWidth="1"/>
    <col min="14" max="14" width="8.6640625" style="152" customWidth="1"/>
    <col min="15" max="15" width="7"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1995</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1746</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17.451000000000001</v>
      </c>
      <c r="D8" s="876">
        <f t="shared" si="4"/>
        <v>116.788</v>
      </c>
      <c r="E8" s="876">
        <f t="shared" si="4"/>
        <v>1605.24148229805</v>
      </c>
      <c r="F8" s="876">
        <f t="shared" si="4"/>
        <v>0</v>
      </c>
      <c r="G8" s="876">
        <f t="shared" si="4"/>
        <v>17466.285</v>
      </c>
      <c r="H8" s="876">
        <f t="shared" si="4"/>
        <v>4.6704931342000666</v>
      </c>
      <c r="I8" s="876">
        <f t="shared" ref="I8:I14" si="5">SUM(C8:H8)</f>
        <v>19210.43597543225</v>
      </c>
      <c r="J8" s="959"/>
      <c r="K8" s="960">
        <f>SUM(K9:K16)</f>
        <v>48.236444096075608</v>
      </c>
      <c r="L8" s="960">
        <f>SUM(L9:L16)</f>
        <v>0</v>
      </c>
      <c r="M8" s="960"/>
      <c r="N8" s="878">
        <f t="shared" ref="N8:S8" si="6">SUM(N9:N16)</f>
        <v>17.451000000000001</v>
      </c>
      <c r="O8" s="876">
        <f t="shared" si="6"/>
        <v>116.788</v>
      </c>
      <c r="P8" s="876">
        <f t="shared" si="6"/>
        <v>1557.0050382019745</v>
      </c>
      <c r="Q8" s="876">
        <f t="shared" si="6"/>
        <v>0</v>
      </c>
      <c r="R8" s="876">
        <f t="shared" si="6"/>
        <v>17466.285</v>
      </c>
      <c r="S8" s="879">
        <f t="shared" si="6"/>
        <v>4.6704931342000666</v>
      </c>
      <c r="T8" s="876">
        <f t="shared" ref="T8:T43" si="7">SUM(N8:S8)</f>
        <v>19162.199531336173</v>
      </c>
      <c r="U8" s="928" t="s">
        <v>1731</v>
      </c>
      <c r="V8" s="929">
        <f>SUM(V9:V16)</f>
        <v>0.45591049498861236</v>
      </c>
      <c r="W8" s="929">
        <f>SUM(W9:W16)</f>
        <v>3.0511073800200594</v>
      </c>
      <c r="X8" s="929">
        <f>SUM(X9:X16)</f>
        <v>40.149732662713802</v>
      </c>
      <c r="Y8" s="929" t="s">
        <v>108</v>
      </c>
      <c r="Z8" s="929">
        <f>SUM(Z9:Z16)</f>
        <v>452.68933919246467</v>
      </c>
      <c r="AA8" s="929">
        <f>SUM(AA9:AA16)</f>
        <v>0.11741619739378968</v>
      </c>
      <c r="AB8" s="929">
        <f t="shared" ref="AB8:AB13" si="8">SUM(V8:AA8)</f>
        <v>496.46350592758091</v>
      </c>
      <c r="AC8" s="930" t="s">
        <v>1731</v>
      </c>
      <c r="AD8" s="878">
        <f>SUM(AD9:AD16)</f>
        <v>0.45591049498861236</v>
      </c>
      <c r="AE8" s="876">
        <f>SUM(AE9:AE16)</f>
        <v>3.0511073800200594</v>
      </c>
      <c r="AF8" s="876">
        <f>SUM(AF9:AF16)</f>
        <v>40.149732662713802</v>
      </c>
      <c r="AG8" s="876" t="s">
        <v>103</v>
      </c>
      <c r="AH8" s="876">
        <f>SUM(AH9:AH16)</f>
        <v>452.68933919246467</v>
      </c>
      <c r="AI8" s="876">
        <f>SUM(AI9:AI16)</f>
        <v>0.11741619739378968</v>
      </c>
      <c r="AJ8" s="876">
        <f t="shared" ref="AJ8:AJ42" si="9">SUM(AD8:AI8)</f>
        <v>496.46350592758091</v>
      </c>
      <c r="AK8" s="878">
        <f t="shared" ref="AK8:AP8" si="10">SUM(AK9:AK16)</f>
        <v>1.6716718149582452</v>
      </c>
      <c r="AL8" s="876">
        <f t="shared" si="10"/>
        <v>11.187393726740217</v>
      </c>
      <c r="AM8" s="876">
        <f t="shared" si="10"/>
        <v>147.21568642995061</v>
      </c>
      <c r="AN8" s="876">
        <f t="shared" si="10"/>
        <v>0</v>
      </c>
      <c r="AO8" s="876">
        <f t="shared" si="10"/>
        <v>1659.8609103723704</v>
      </c>
      <c r="AP8" s="876">
        <f t="shared" si="10"/>
        <v>0.43052605711056213</v>
      </c>
      <c r="AQ8" s="882">
        <f t="shared" ref="AQ8:AQ14" si="11">SUM(AK8:AP8)</f>
        <v>1820.3661884011299</v>
      </c>
    </row>
    <row r="9" spans="1:43">
      <c r="A9" s="817"/>
      <c r="B9" s="860" t="s">
        <v>1732</v>
      </c>
      <c r="C9" s="883">
        <f>HLOOKUP($B$2,'Consumption Input'!$E$5:$AQ$82,'Consumption Input'!$B7)</f>
        <v>17.451000000000001</v>
      </c>
      <c r="D9" s="883"/>
      <c r="E9" s="883"/>
      <c r="F9" s="883"/>
      <c r="G9" s="883"/>
      <c r="H9" s="883"/>
      <c r="I9" s="883">
        <f t="shared" si="5"/>
        <v>17.451000000000001</v>
      </c>
      <c r="J9" s="961"/>
      <c r="K9" s="940"/>
      <c r="L9" s="940"/>
      <c r="M9" s="940"/>
      <c r="N9" s="885">
        <f t="shared" ref="N9:N17" si="12">C9</f>
        <v>17.451000000000001</v>
      </c>
      <c r="O9" s="883">
        <f t="shared" ref="O9:O17" si="13">D9</f>
        <v>0</v>
      </c>
      <c r="P9" s="883">
        <f t="shared" ref="P9:P17" si="14">E9-K9</f>
        <v>0</v>
      </c>
      <c r="Q9" s="883">
        <f t="shared" ref="Q9:Q17" si="15">F9</f>
        <v>0</v>
      </c>
      <c r="R9" s="883">
        <f t="shared" ref="R9:R17" si="16">G9</f>
        <v>0</v>
      </c>
      <c r="S9" s="886">
        <f t="shared" ref="S9:S17" si="17">H9</f>
        <v>0</v>
      </c>
      <c r="T9" s="883">
        <f t="shared" si="7"/>
        <v>17.451000000000001</v>
      </c>
      <c r="U9" s="931">
        <f>HLOOKUP($B$2,Factors!$J$12:$Y$25,Factors!$H13)</f>
        <v>26.125178785663419</v>
      </c>
      <c r="V9" s="932">
        <f t="shared" ref="V9:V17" si="18">N9*$U9*TbtuToQBtu</f>
        <v>0.45591049498861236</v>
      </c>
      <c r="W9" s="933">
        <f t="shared" ref="W9:W17" si="19">O9*$U9*TbtuToQBtu</f>
        <v>0</v>
      </c>
      <c r="X9" s="933">
        <f t="shared" ref="X9:X17" si="20">P9*$U9*TbtuToQBtu</f>
        <v>0</v>
      </c>
      <c r="Y9" s="933">
        <f t="shared" ref="Y9:Y17" si="21">Q9*$U9*TbtuToQBtu</f>
        <v>0</v>
      </c>
      <c r="Z9" s="933">
        <f t="shared" ref="Z9:Z17" si="22">R9*$U9*TbtuToQBtu</f>
        <v>0</v>
      </c>
      <c r="AA9" s="933">
        <f t="shared" ref="AA9:AA17" si="23">S9*$U9*TbtuToQBtu</f>
        <v>0</v>
      </c>
      <c r="AB9" s="933">
        <f t="shared" si="8"/>
        <v>0.45591049498861236</v>
      </c>
      <c r="AC9" s="934">
        <f>Factors!E10</f>
        <v>1</v>
      </c>
      <c r="AD9" s="885">
        <f t="shared" ref="AD9:AD17" si="24">V9*$AC9</f>
        <v>0.45591049498861236</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0.45591049498861236</v>
      </c>
      <c r="AK9" s="885">
        <f t="shared" ref="AK9:AK42" si="30">AD9*CtoCO2</f>
        <v>1.6716718149582452</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1.6716718149582452</v>
      </c>
    </row>
    <row r="10" spans="1:43">
      <c r="A10" s="817"/>
      <c r="B10" s="860" t="s">
        <v>1733</v>
      </c>
      <c r="C10" s="883"/>
      <c r="D10" s="883">
        <f>HLOOKUP($B$2,'Consumption Input'!$E$5:$AQ$82,'Consumption Input'!$B13)</f>
        <v>116.788</v>
      </c>
      <c r="E10" s="883"/>
      <c r="F10" s="883"/>
      <c r="G10" s="883"/>
      <c r="H10" s="883"/>
      <c r="I10" s="883">
        <f t="shared" si="5"/>
        <v>116.788</v>
      </c>
      <c r="J10" s="961"/>
      <c r="K10" s="940"/>
      <c r="L10" s="940"/>
      <c r="M10" s="940"/>
      <c r="N10" s="885">
        <f t="shared" si="12"/>
        <v>0</v>
      </c>
      <c r="O10" s="883">
        <f t="shared" si="13"/>
        <v>116.788</v>
      </c>
      <c r="P10" s="883">
        <f t="shared" si="14"/>
        <v>0</v>
      </c>
      <c r="Q10" s="883">
        <f t="shared" si="15"/>
        <v>0</v>
      </c>
      <c r="R10" s="883">
        <f t="shared" si="16"/>
        <v>0</v>
      </c>
      <c r="S10" s="886">
        <f t="shared" si="17"/>
        <v>0</v>
      </c>
      <c r="T10" s="883">
        <f t="shared" si="7"/>
        <v>116.788</v>
      </c>
      <c r="U10" s="931">
        <f>HLOOKUP($B$2,Factors!$J$12:$Y$25,Factors!$H14)</f>
        <v>26.125178785663419</v>
      </c>
      <c r="V10" s="932">
        <f t="shared" si="18"/>
        <v>0</v>
      </c>
      <c r="W10" s="933">
        <f t="shared" si="19"/>
        <v>3.0511073800200594</v>
      </c>
      <c r="X10" s="933">
        <f t="shared" si="20"/>
        <v>0</v>
      </c>
      <c r="Y10" s="933">
        <f t="shared" si="21"/>
        <v>0</v>
      </c>
      <c r="Z10" s="933">
        <f t="shared" si="22"/>
        <v>0</v>
      </c>
      <c r="AA10" s="933">
        <f t="shared" si="23"/>
        <v>0</v>
      </c>
      <c r="AB10" s="933">
        <f t="shared" si="8"/>
        <v>3.0511073800200594</v>
      </c>
      <c r="AC10" s="934">
        <f>Factors!E11</f>
        <v>1</v>
      </c>
      <c r="AD10" s="885">
        <f t="shared" si="24"/>
        <v>0</v>
      </c>
      <c r="AE10" s="883">
        <f t="shared" si="25"/>
        <v>3.0511073800200594</v>
      </c>
      <c r="AF10" s="883">
        <f t="shared" si="26"/>
        <v>0</v>
      </c>
      <c r="AG10" s="883">
        <f t="shared" si="27"/>
        <v>0</v>
      </c>
      <c r="AH10" s="883">
        <f t="shared" si="28"/>
        <v>0</v>
      </c>
      <c r="AI10" s="883">
        <f t="shared" si="29"/>
        <v>0</v>
      </c>
      <c r="AJ10" s="889">
        <f t="shared" si="9"/>
        <v>3.0511073800200594</v>
      </c>
      <c r="AK10" s="885">
        <f t="shared" si="30"/>
        <v>0</v>
      </c>
      <c r="AL10" s="883">
        <f t="shared" si="31"/>
        <v>11.187393726740217</v>
      </c>
      <c r="AM10" s="883">
        <f t="shared" si="32"/>
        <v>0</v>
      </c>
      <c r="AN10" s="883">
        <f t="shared" si="33"/>
        <v>0</v>
      </c>
      <c r="AO10" s="883">
        <f t="shared" si="34"/>
        <v>0</v>
      </c>
      <c r="AP10" s="883">
        <f t="shared" si="35"/>
        <v>0</v>
      </c>
      <c r="AQ10" s="890">
        <f t="shared" si="11"/>
        <v>11.187393726740217</v>
      </c>
    </row>
    <row r="11" spans="1:43" s="244" customFormat="1" hidden="1">
      <c r="A11" s="861"/>
      <c r="B11" s="862" t="s">
        <v>1734</v>
      </c>
      <c r="C11" s="891"/>
      <c r="D11" s="891"/>
      <c r="E11" s="891">
        <f>HLOOKUP($B$2,'Consumption Input'!$E$5:$AQ$82,'Consumption Input'!$B23)</f>
        <v>37.763361390527734</v>
      </c>
      <c r="F11" s="891"/>
      <c r="G11" s="891"/>
      <c r="H11" s="891"/>
      <c r="I11" s="891">
        <f t="shared" si="5"/>
        <v>37.763361390527734</v>
      </c>
      <c r="J11" s="962"/>
      <c r="K11" s="963">
        <f>HLOOKUP($B$2,NEUConsumption,'Non-Energy Use'!$C$7)</f>
        <v>37.763361390527734</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25.566786609612485</v>
      </c>
      <c r="V11" s="936">
        <f t="shared" si="18"/>
        <v>0</v>
      </c>
      <c r="W11" s="937">
        <f t="shared" si="19"/>
        <v>0</v>
      </c>
      <c r="X11" s="937">
        <f t="shared" si="20"/>
        <v>0</v>
      </c>
      <c r="Y11" s="937">
        <f t="shared" si="21"/>
        <v>0</v>
      </c>
      <c r="Z11" s="937">
        <f t="shared" si="22"/>
        <v>0</v>
      </c>
      <c r="AA11" s="937">
        <f t="shared" si="23"/>
        <v>0</v>
      </c>
      <c r="AB11" s="937">
        <f t="shared" si="8"/>
        <v>0</v>
      </c>
      <c r="AC11" s="938">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3">
      <c r="A12" s="817"/>
      <c r="B12" s="860" t="s">
        <v>1701</v>
      </c>
      <c r="C12" s="883"/>
      <c r="D12" s="883"/>
      <c r="E12" s="883">
        <f>HLOOKUP($B$2,'Consumption Input'!$E$5:$AQ$82,'Consumption Input'!$B24)</f>
        <v>1567.4781209075222</v>
      </c>
      <c r="F12" s="883"/>
      <c r="G12" s="883"/>
      <c r="H12" s="883"/>
      <c r="I12" s="883">
        <f t="shared" si="5"/>
        <v>1567.4781209075222</v>
      </c>
      <c r="J12" s="961"/>
      <c r="K12" s="940">
        <f>HLOOKUP($B$2,NEUConsumption,'Non-Energy Use'!$C$8)</f>
        <v>10.473082705547876</v>
      </c>
      <c r="L12" s="940"/>
      <c r="M12" s="940"/>
      <c r="N12" s="885">
        <f t="shared" si="12"/>
        <v>0</v>
      </c>
      <c r="O12" s="883">
        <f t="shared" si="13"/>
        <v>0</v>
      </c>
      <c r="P12" s="883">
        <f t="shared" si="14"/>
        <v>1557.0050382019745</v>
      </c>
      <c r="Q12" s="883">
        <f t="shared" si="15"/>
        <v>0</v>
      </c>
      <c r="R12" s="883">
        <f t="shared" si="16"/>
        <v>0</v>
      </c>
      <c r="S12" s="886">
        <f t="shared" si="17"/>
        <v>0</v>
      </c>
      <c r="T12" s="883">
        <f t="shared" si="7"/>
        <v>1557.0050382019745</v>
      </c>
      <c r="U12" s="931">
        <f>HLOOKUP($B$2,Factors!$J$12:$Y$25,Factors!$H15)</f>
        <v>25.786514287120493</v>
      </c>
      <c r="V12" s="932">
        <f t="shared" si="18"/>
        <v>0</v>
      </c>
      <c r="W12" s="933">
        <f t="shared" si="19"/>
        <v>0</v>
      </c>
      <c r="X12" s="933">
        <f t="shared" si="20"/>
        <v>40.149732662713802</v>
      </c>
      <c r="Y12" s="933">
        <f t="shared" si="21"/>
        <v>0</v>
      </c>
      <c r="Z12" s="933">
        <f t="shared" si="22"/>
        <v>0</v>
      </c>
      <c r="AA12" s="933">
        <f t="shared" si="23"/>
        <v>0</v>
      </c>
      <c r="AB12" s="933">
        <f t="shared" si="8"/>
        <v>40.149732662713802</v>
      </c>
      <c r="AC12" s="934">
        <f>Factors!E13</f>
        <v>1</v>
      </c>
      <c r="AD12" s="885">
        <f t="shared" si="24"/>
        <v>0</v>
      </c>
      <c r="AE12" s="883">
        <f t="shared" si="25"/>
        <v>0</v>
      </c>
      <c r="AF12" s="883">
        <f t="shared" si="26"/>
        <v>40.149732662713802</v>
      </c>
      <c r="AG12" s="883">
        <f t="shared" si="27"/>
        <v>0</v>
      </c>
      <c r="AH12" s="883">
        <f t="shared" si="28"/>
        <v>0</v>
      </c>
      <c r="AI12" s="883">
        <f t="shared" si="29"/>
        <v>0</v>
      </c>
      <c r="AJ12" s="889">
        <f t="shared" si="9"/>
        <v>40.149732662713802</v>
      </c>
      <c r="AK12" s="885">
        <f t="shared" si="30"/>
        <v>0</v>
      </c>
      <c r="AL12" s="883">
        <f t="shared" si="31"/>
        <v>0</v>
      </c>
      <c r="AM12" s="883">
        <f t="shared" si="32"/>
        <v>147.21568642995061</v>
      </c>
      <c r="AN12" s="883">
        <f t="shared" si="33"/>
        <v>0</v>
      </c>
      <c r="AO12" s="883">
        <f t="shared" si="34"/>
        <v>0</v>
      </c>
      <c r="AP12" s="883">
        <f t="shared" si="35"/>
        <v>0</v>
      </c>
      <c r="AQ12" s="890">
        <f t="shared" si="11"/>
        <v>147.21568642995061</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83">
        <f t="shared" si="7"/>
        <v>0</v>
      </c>
      <c r="U13" s="935">
        <f>Factors!D14</f>
        <v>27.85</v>
      </c>
      <c r="V13" s="936">
        <f t="shared" si="18"/>
        <v>0</v>
      </c>
      <c r="W13" s="937">
        <f t="shared" si="19"/>
        <v>0</v>
      </c>
      <c r="X13" s="937">
        <f t="shared" si="20"/>
        <v>0</v>
      </c>
      <c r="Y13" s="937">
        <f t="shared" si="21"/>
        <v>0</v>
      </c>
      <c r="Z13" s="937">
        <f t="shared" si="22"/>
        <v>0</v>
      </c>
      <c r="AA13" s="937">
        <f t="shared" si="23"/>
        <v>0</v>
      </c>
      <c r="AB13" s="937">
        <f t="shared" si="8"/>
        <v>0</v>
      </c>
      <c r="AC13" s="938">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931" t="str">
        <f>Factors!D15</f>
        <v>NC</v>
      </c>
      <c r="V14" s="932">
        <f t="shared" si="18"/>
        <v>0</v>
      </c>
      <c r="W14" s="933">
        <f t="shared" si="19"/>
        <v>0</v>
      </c>
      <c r="X14" s="933">
        <f t="shared" si="20"/>
        <v>0</v>
      </c>
      <c r="Y14" s="933">
        <f t="shared" si="21"/>
        <v>0</v>
      </c>
      <c r="Z14" s="933">
        <f t="shared" si="22"/>
        <v>0</v>
      </c>
      <c r="AA14" s="933">
        <f t="shared" si="23"/>
        <v>0</v>
      </c>
      <c r="AB14" s="933" t="s">
        <v>103</v>
      </c>
      <c r="AC14" s="934"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3">
      <c r="A15" s="817"/>
      <c r="B15" s="860" t="s">
        <v>1736</v>
      </c>
      <c r="C15" s="883"/>
      <c r="D15" s="883"/>
      <c r="E15" s="883"/>
      <c r="F15" s="883"/>
      <c r="G15" s="883">
        <f>HLOOKUP($B$2,'Consumption Input'!$E$5:$AQ$82,'Consumption Input'!$B58)</f>
        <v>17466.285</v>
      </c>
      <c r="H15" s="883"/>
      <c r="I15" s="883">
        <f t="shared" ref="I15:I41" si="36">SUM(C15:H15)</f>
        <v>17466.285</v>
      </c>
      <c r="J15" s="961"/>
      <c r="K15" s="940"/>
      <c r="L15" s="940"/>
      <c r="M15" s="940"/>
      <c r="N15" s="885">
        <f t="shared" si="12"/>
        <v>0</v>
      </c>
      <c r="O15" s="883">
        <f t="shared" si="13"/>
        <v>0</v>
      </c>
      <c r="P15" s="883">
        <f t="shared" si="14"/>
        <v>0</v>
      </c>
      <c r="Q15" s="883">
        <f t="shared" si="15"/>
        <v>0</v>
      </c>
      <c r="R15" s="883">
        <f t="shared" si="16"/>
        <v>17466.285</v>
      </c>
      <c r="S15" s="886">
        <f t="shared" si="17"/>
        <v>0</v>
      </c>
      <c r="T15" s="883">
        <f t="shared" si="7"/>
        <v>17466.285</v>
      </c>
      <c r="U15" s="931">
        <f>HLOOKUP($B$2,Factors!$J$12:$Y$25,Factors!$H16)</f>
        <v>25.91789491540214</v>
      </c>
      <c r="V15" s="932">
        <f t="shared" si="18"/>
        <v>0</v>
      </c>
      <c r="W15" s="933">
        <f t="shared" si="19"/>
        <v>0</v>
      </c>
      <c r="X15" s="933">
        <f t="shared" si="20"/>
        <v>0</v>
      </c>
      <c r="Y15" s="933">
        <f t="shared" si="21"/>
        <v>0</v>
      </c>
      <c r="Z15" s="933">
        <f t="shared" si="22"/>
        <v>452.68933919246467</v>
      </c>
      <c r="AA15" s="933">
        <f t="shared" si="23"/>
        <v>0</v>
      </c>
      <c r="AB15" s="933">
        <f t="shared" ref="AB15:AB43" si="37">SUM(V15:AA15)</f>
        <v>452.68933919246467</v>
      </c>
      <c r="AC15" s="934">
        <f>Factors!E16</f>
        <v>1</v>
      </c>
      <c r="AD15" s="885">
        <f t="shared" si="24"/>
        <v>0</v>
      </c>
      <c r="AE15" s="883">
        <f t="shared" si="25"/>
        <v>0</v>
      </c>
      <c r="AF15" s="883">
        <f t="shared" si="26"/>
        <v>0</v>
      </c>
      <c r="AG15" s="883">
        <f t="shared" si="27"/>
        <v>0</v>
      </c>
      <c r="AH15" s="883">
        <f t="shared" si="28"/>
        <v>452.68933919246467</v>
      </c>
      <c r="AI15" s="883">
        <f t="shared" si="29"/>
        <v>0</v>
      </c>
      <c r="AJ15" s="889">
        <f t="shared" si="9"/>
        <v>452.68933919246467</v>
      </c>
      <c r="AK15" s="885">
        <f t="shared" si="30"/>
        <v>0</v>
      </c>
      <c r="AL15" s="883">
        <f t="shared" si="31"/>
        <v>0</v>
      </c>
      <c r="AM15" s="883">
        <f t="shared" si="32"/>
        <v>0</v>
      </c>
      <c r="AN15" s="883">
        <f t="shared" si="33"/>
        <v>0</v>
      </c>
      <c r="AO15" s="883">
        <f t="shared" si="34"/>
        <v>1659.8609103723704</v>
      </c>
      <c r="AP15" s="883">
        <f t="shared" si="35"/>
        <v>0</v>
      </c>
      <c r="AQ15" s="890">
        <f t="shared" ref="AQ15:AQ42" si="38">SUM(AK15:AP15)</f>
        <v>1659.8609103723704</v>
      </c>
    </row>
    <row r="16" spans="1:43">
      <c r="A16" s="817"/>
      <c r="B16" s="860" t="s">
        <v>1737</v>
      </c>
      <c r="C16" s="883"/>
      <c r="D16" s="883"/>
      <c r="E16" s="883"/>
      <c r="F16" s="883"/>
      <c r="G16" s="883"/>
      <c r="H16" s="883">
        <f>HLOOKUP($B$2,'US Territories'!$D$28:$Z$38,'US Territories'!$B29)</f>
        <v>4.6704931342000666</v>
      </c>
      <c r="I16" s="883">
        <f t="shared" si="36"/>
        <v>4.6704931342000666</v>
      </c>
      <c r="J16" s="961"/>
      <c r="K16" s="940"/>
      <c r="L16" s="940"/>
      <c r="M16" s="940"/>
      <c r="N16" s="885">
        <f t="shared" si="12"/>
        <v>0</v>
      </c>
      <c r="O16" s="883">
        <f t="shared" si="13"/>
        <v>0</v>
      </c>
      <c r="P16" s="883">
        <f t="shared" si="14"/>
        <v>0</v>
      </c>
      <c r="Q16" s="883">
        <f t="shared" si="15"/>
        <v>0</v>
      </c>
      <c r="R16" s="883">
        <f t="shared" si="16"/>
        <v>0</v>
      </c>
      <c r="S16" s="886">
        <f t="shared" si="17"/>
        <v>4.6704931342000666</v>
      </c>
      <c r="T16" s="883">
        <f t="shared" si="7"/>
        <v>4.6704931342000666</v>
      </c>
      <c r="U16" s="931">
        <f>Factors!D17</f>
        <v>25.14</v>
      </c>
      <c r="V16" s="941">
        <f t="shared" si="18"/>
        <v>0</v>
      </c>
      <c r="W16" s="942">
        <f t="shared" si="19"/>
        <v>0</v>
      </c>
      <c r="X16" s="942">
        <f t="shared" si="20"/>
        <v>0</v>
      </c>
      <c r="Y16" s="942">
        <f t="shared" si="21"/>
        <v>0</v>
      </c>
      <c r="Z16" s="942">
        <f t="shared" si="22"/>
        <v>0</v>
      </c>
      <c r="AA16" s="942">
        <f t="shared" si="23"/>
        <v>0.11741619739378968</v>
      </c>
      <c r="AB16" s="933">
        <f t="shared" si="37"/>
        <v>0.11741619739378968</v>
      </c>
      <c r="AC16" s="934">
        <f>Factors!E17</f>
        <v>1</v>
      </c>
      <c r="AD16" s="899">
        <f t="shared" si="24"/>
        <v>0</v>
      </c>
      <c r="AE16" s="900">
        <f t="shared" si="25"/>
        <v>0</v>
      </c>
      <c r="AF16" s="900">
        <f t="shared" si="26"/>
        <v>0</v>
      </c>
      <c r="AG16" s="900">
        <f t="shared" si="27"/>
        <v>0</v>
      </c>
      <c r="AH16" s="900">
        <f t="shared" si="28"/>
        <v>0</v>
      </c>
      <c r="AI16" s="900">
        <f t="shared" si="29"/>
        <v>0.11741619739378968</v>
      </c>
      <c r="AJ16" s="889">
        <f t="shared" si="9"/>
        <v>0.11741619739378968</v>
      </c>
      <c r="AK16" s="885">
        <f t="shared" si="30"/>
        <v>0</v>
      </c>
      <c r="AL16" s="883">
        <f t="shared" si="31"/>
        <v>0</v>
      </c>
      <c r="AM16" s="883">
        <f t="shared" si="32"/>
        <v>0</v>
      </c>
      <c r="AN16" s="883">
        <f t="shared" si="33"/>
        <v>0</v>
      </c>
      <c r="AO16" s="883">
        <f t="shared" si="34"/>
        <v>0</v>
      </c>
      <c r="AP16" s="883">
        <f t="shared" si="35"/>
        <v>0.43052605711056213</v>
      </c>
      <c r="AQ16" s="890">
        <f t="shared" si="38"/>
        <v>0.43052605711056213</v>
      </c>
    </row>
    <row r="17" spans="1:43">
      <c r="A17" s="817"/>
      <c r="B17" s="863" t="s">
        <v>1439</v>
      </c>
      <c r="C17" s="901">
        <f>HLOOKUP($B$2,'Consumption Input'!$E$5:$AQ$82,'Consumption Input'!$B8)</f>
        <v>4954.1890000000003</v>
      </c>
      <c r="D17" s="901">
        <f>HLOOKUP($B$2,'Consumption Input'!$E$5:$AQ$82,'Consumption Input'!$B14)</f>
        <v>3095.989</v>
      </c>
      <c r="E17" s="901">
        <f>HLOOKUP($B$2,'Consumption Input'!$E$5:$AQ$82,'Consumption Input'!$B26)</f>
        <v>9071.5290918915325</v>
      </c>
      <c r="F17" s="901">
        <f>HLOOKUP($B$2,'Consumption Input'!$E$5:$AQ$82,'Consumption Input'!$B49)</f>
        <v>723.952</v>
      </c>
      <c r="G17" s="901">
        <f>HLOOKUP($B$2,'Consumption Input'!$E$5:$AQ$82,'Consumption Input'!$B59)</f>
        <v>4301.9709999999995</v>
      </c>
      <c r="H17" s="944">
        <f>HLOOKUP($B$2,'US Territories'!$D$28:$Z$38,'US Territories'!$B30)</f>
        <v>0</v>
      </c>
      <c r="I17" s="901">
        <f t="shared" si="36"/>
        <v>22147.630091891537</v>
      </c>
      <c r="J17" s="964"/>
      <c r="K17" s="965">
        <f>HLOOKUP($B$2,NEUConsumption,'Non-Energy Use'!$C$9)</f>
        <v>371.00375000000003</v>
      </c>
      <c r="L17" s="965"/>
      <c r="M17" s="965"/>
      <c r="N17" s="904">
        <f t="shared" si="12"/>
        <v>4954.1890000000003</v>
      </c>
      <c r="O17" s="901">
        <f t="shared" si="13"/>
        <v>3095.989</v>
      </c>
      <c r="P17" s="901">
        <f t="shared" si="14"/>
        <v>8700.5253418915327</v>
      </c>
      <c r="Q17" s="901">
        <f t="shared" si="15"/>
        <v>723.952</v>
      </c>
      <c r="R17" s="901">
        <f t="shared" si="16"/>
        <v>4301.9709999999995</v>
      </c>
      <c r="S17" s="944">
        <f t="shared" si="17"/>
        <v>0</v>
      </c>
      <c r="T17" s="901">
        <f t="shared" si="7"/>
        <v>21776.626341891533</v>
      </c>
      <c r="U17" s="946">
        <f>HLOOKUP($B$2,Factors!$J$12:$AB$26,Factors!$H26,FALSE)</f>
        <v>14.46520813937622</v>
      </c>
      <c r="V17" s="947">
        <f t="shared" si="18"/>
        <v>71.663375046808142</v>
      </c>
      <c r="W17" s="947">
        <f t="shared" si="19"/>
        <v>44.784125282219243</v>
      </c>
      <c r="X17" s="947">
        <f t="shared" si="20"/>
        <v>125.85490999237847</v>
      </c>
      <c r="Y17" s="947">
        <f t="shared" si="21"/>
        <v>10.472116362917694</v>
      </c>
      <c r="Z17" s="947">
        <f t="shared" si="22"/>
        <v>62.228905924560451</v>
      </c>
      <c r="AA17" s="947">
        <f t="shared" si="23"/>
        <v>0</v>
      </c>
      <c r="AB17" s="947">
        <f t="shared" si="37"/>
        <v>315.00343260888394</v>
      </c>
      <c r="AC17" s="948">
        <f>Factors!E19</f>
        <v>1</v>
      </c>
      <c r="AD17" s="904">
        <f t="shared" si="24"/>
        <v>71.663375046808142</v>
      </c>
      <c r="AE17" s="901">
        <f t="shared" si="25"/>
        <v>44.784125282219243</v>
      </c>
      <c r="AF17" s="901">
        <f t="shared" si="26"/>
        <v>125.85490999237847</v>
      </c>
      <c r="AG17" s="901">
        <f t="shared" si="27"/>
        <v>10.472116362917694</v>
      </c>
      <c r="AH17" s="901">
        <f t="shared" si="28"/>
        <v>62.228905924560451</v>
      </c>
      <c r="AI17" s="901">
        <f t="shared" si="29"/>
        <v>0</v>
      </c>
      <c r="AJ17" s="901">
        <f t="shared" si="9"/>
        <v>315.00343260888394</v>
      </c>
      <c r="AK17" s="904">
        <f t="shared" si="30"/>
        <v>262.76570850496319</v>
      </c>
      <c r="AL17" s="901">
        <f t="shared" si="31"/>
        <v>164.20845936813723</v>
      </c>
      <c r="AM17" s="901">
        <f t="shared" si="32"/>
        <v>461.4680033053877</v>
      </c>
      <c r="AN17" s="901">
        <f t="shared" si="33"/>
        <v>38.397759997364879</v>
      </c>
      <c r="AO17" s="901">
        <f t="shared" si="34"/>
        <v>228.17265505672165</v>
      </c>
      <c r="AP17" s="901">
        <f t="shared" si="35"/>
        <v>0</v>
      </c>
      <c r="AQ17" s="907">
        <f t="shared" si="38"/>
        <v>1155.0125862325747</v>
      </c>
    </row>
    <row r="18" spans="1:43">
      <c r="A18" s="817"/>
      <c r="B18" s="864" t="s">
        <v>1440</v>
      </c>
      <c r="C18" s="908">
        <f t="shared" ref="C18:H18" si="39">SUM(C19:C41)</f>
        <v>1259.3198536056766</v>
      </c>
      <c r="D18" s="908">
        <f t="shared" si="39"/>
        <v>724.07891343781012</v>
      </c>
      <c r="E18" s="908">
        <f t="shared" si="39"/>
        <v>8469.2307067867878</v>
      </c>
      <c r="F18" s="908">
        <f t="shared" si="39"/>
        <v>23050.024469330816</v>
      </c>
      <c r="G18" s="908">
        <f t="shared" si="39"/>
        <v>754.505</v>
      </c>
      <c r="H18" s="908">
        <f t="shared" si="39"/>
        <v>345.81816535172726</v>
      </c>
      <c r="I18" s="908">
        <f t="shared" si="36"/>
        <v>34602.977108512809</v>
      </c>
      <c r="J18" s="966">
        <f t="shared" ref="J18:S18" si="40">SUM(J19:J41)</f>
        <v>1354.0022633974627</v>
      </c>
      <c r="K18" s="967">
        <f t="shared" si="40"/>
        <v>4566.6471628448053</v>
      </c>
      <c r="L18" s="967">
        <f t="shared" si="40"/>
        <v>167.91300000000001</v>
      </c>
      <c r="M18" s="967">
        <f t="shared" si="40"/>
        <v>55.440855107745996</v>
      </c>
      <c r="N18" s="910">
        <f t="shared" si="40"/>
        <v>1259.3198536056766</v>
      </c>
      <c r="O18" s="908">
        <f t="shared" si="40"/>
        <v>724.07891343781012</v>
      </c>
      <c r="P18" s="908">
        <f t="shared" si="40"/>
        <v>3902.583543941982</v>
      </c>
      <c r="Q18" s="908">
        <f t="shared" si="40"/>
        <v>21528.109205933353</v>
      </c>
      <c r="R18" s="908">
        <f t="shared" si="40"/>
        <v>754.505</v>
      </c>
      <c r="S18" s="911">
        <f t="shared" si="40"/>
        <v>290.37731024398124</v>
      </c>
      <c r="T18" s="889">
        <f t="shared" si="7"/>
        <v>28458.973827162805</v>
      </c>
      <c r="U18" s="949" t="s">
        <v>1731</v>
      </c>
      <c r="V18" s="950">
        <f t="shared" ref="V18:AA18" si="41">SUM(V19:V41)</f>
        <v>24.189871447698604</v>
      </c>
      <c r="W18" s="950">
        <f t="shared" si="41"/>
        <v>14.288519981867573</v>
      </c>
      <c r="X18" s="950">
        <f t="shared" si="41"/>
        <v>79.632591500591701</v>
      </c>
      <c r="Y18" s="950">
        <f t="shared" si="41"/>
        <v>420.62184482503886</v>
      </c>
      <c r="Z18" s="950">
        <f t="shared" si="41"/>
        <v>16.012302289952913</v>
      </c>
      <c r="AA18" s="950">
        <f t="shared" si="41"/>
        <v>5.7594717493769787</v>
      </c>
      <c r="AB18" s="950">
        <f t="shared" si="37"/>
        <v>560.50460179452659</v>
      </c>
      <c r="AC18" s="951" t="s">
        <v>1731</v>
      </c>
      <c r="AD18" s="910">
        <f t="shared" ref="AD18:AI18" si="42">SUM(AD19:AD41)</f>
        <v>24.189871447698604</v>
      </c>
      <c r="AE18" s="908">
        <f t="shared" si="42"/>
        <v>14.288519981867573</v>
      </c>
      <c r="AF18" s="908">
        <f t="shared" si="42"/>
        <v>79.632591500591701</v>
      </c>
      <c r="AG18" s="908">
        <f t="shared" si="42"/>
        <v>420.62184482503886</v>
      </c>
      <c r="AH18" s="908">
        <f t="shared" si="42"/>
        <v>16.012302289952913</v>
      </c>
      <c r="AI18" s="908">
        <f t="shared" si="42"/>
        <v>5.7594717493769787</v>
      </c>
      <c r="AJ18" s="908">
        <f t="shared" si="9"/>
        <v>560.50460179452659</v>
      </c>
      <c r="AK18" s="914">
        <f t="shared" si="30"/>
        <v>88.696195308228212</v>
      </c>
      <c r="AL18" s="889">
        <f t="shared" si="31"/>
        <v>52.391239933514434</v>
      </c>
      <c r="AM18" s="889">
        <f t="shared" si="32"/>
        <v>291.98616883550289</v>
      </c>
      <c r="AN18" s="889">
        <f t="shared" si="33"/>
        <v>1542.280097691809</v>
      </c>
      <c r="AO18" s="889">
        <f t="shared" si="34"/>
        <v>58.71177506316068</v>
      </c>
      <c r="AP18" s="889">
        <f t="shared" si="35"/>
        <v>21.11806308104892</v>
      </c>
      <c r="AQ18" s="915">
        <f t="shared" si="38"/>
        <v>2055.1835399132642</v>
      </c>
    </row>
    <row r="19" spans="1:43">
      <c r="A19" s="817"/>
      <c r="B19" s="860" t="s">
        <v>1608</v>
      </c>
      <c r="C19" s="883"/>
      <c r="D19" s="883"/>
      <c r="E19" s="883">
        <f>HLOOKUP($B$2,'Consumption Input'!$E$5:$AQ$82,'Consumption Input'!$B27)</f>
        <v>1178.175</v>
      </c>
      <c r="F19" s="883"/>
      <c r="G19" s="883"/>
      <c r="H19" s="883"/>
      <c r="I19" s="883">
        <f t="shared" si="36"/>
        <v>1178.175</v>
      </c>
      <c r="J19" s="961"/>
      <c r="K19" s="940">
        <f>HLOOKUP($B$2,NEUConsumption,'Non-Energy Use'!$C$10)</f>
        <v>1178.175</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931">
        <f>Factors!D24</f>
        <v>20.55318099621897</v>
      </c>
      <c r="V19" s="932">
        <f t="shared" ref="V19:V41" si="49">N19*$U19*TbtuToQBtu</f>
        <v>0</v>
      </c>
      <c r="W19" s="933">
        <f t="shared" ref="W19:W41" si="50">O19*$U19*TbtuToQBtu</f>
        <v>0</v>
      </c>
      <c r="X19" s="933">
        <f t="shared" ref="X19:X41" si="51">P19*$U19*TbtuToQBtu</f>
        <v>0</v>
      </c>
      <c r="Y19" s="933">
        <f t="shared" ref="Y19:Y41" si="52">Q19*$U19*TbtuToQBtu</f>
        <v>0</v>
      </c>
      <c r="Z19" s="933">
        <f t="shared" ref="Z19:Z41" si="53">R19*$U19*TbtuToQBtu</f>
        <v>0</v>
      </c>
      <c r="AA19" s="933">
        <f t="shared" ref="AA19:AA41" si="54">S19*$U19*TbtuToQBtu</f>
        <v>0</v>
      </c>
      <c r="AB19" s="933">
        <f t="shared" si="37"/>
        <v>0</v>
      </c>
      <c r="AC19" s="934">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39.581000000000003</v>
      </c>
      <c r="G20" s="883"/>
      <c r="H20" s="883"/>
      <c r="I20" s="883">
        <f t="shared" si="36"/>
        <v>39.581000000000003</v>
      </c>
      <c r="J20" s="961"/>
      <c r="K20" s="940"/>
      <c r="L20" s="940"/>
      <c r="M20" s="940"/>
      <c r="N20" s="885">
        <f t="shared" si="43"/>
        <v>0</v>
      </c>
      <c r="O20" s="883">
        <f t="shared" si="44"/>
        <v>0</v>
      </c>
      <c r="P20" s="883">
        <f t="shared" si="45"/>
        <v>0</v>
      </c>
      <c r="Q20" s="883">
        <f t="shared" si="46"/>
        <v>39.581000000000003</v>
      </c>
      <c r="R20" s="883">
        <f t="shared" si="47"/>
        <v>0</v>
      </c>
      <c r="S20" s="886">
        <f t="shared" si="48"/>
        <v>0</v>
      </c>
      <c r="T20" s="883">
        <f t="shared" si="7"/>
        <v>39.581000000000003</v>
      </c>
      <c r="U20" s="931">
        <f>Factors!D25</f>
        <v>18.855352254718337</v>
      </c>
      <c r="V20" s="932">
        <f t="shared" si="49"/>
        <v>0</v>
      </c>
      <c r="W20" s="933">
        <f t="shared" si="50"/>
        <v>0</v>
      </c>
      <c r="X20" s="933">
        <f t="shared" si="51"/>
        <v>0</v>
      </c>
      <c r="Y20" s="933">
        <f t="shared" si="52"/>
        <v>0.74631369759400656</v>
      </c>
      <c r="Z20" s="933">
        <f t="shared" si="53"/>
        <v>0</v>
      </c>
      <c r="AA20" s="933">
        <f t="shared" si="54"/>
        <v>0</v>
      </c>
      <c r="AB20" s="933">
        <f t="shared" si="37"/>
        <v>0.74631369759400656</v>
      </c>
      <c r="AC20" s="934">
        <f>Factors!E25</f>
        <v>1</v>
      </c>
      <c r="AD20" s="885">
        <f t="shared" si="55"/>
        <v>0</v>
      </c>
      <c r="AE20" s="883">
        <f t="shared" si="56"/>
        <v>0</v>
      </c>
      <c r="AF20" s="883">
        <f t="shared" si="57"/>
        <v>0</v>
      </c>
      <c r="AG20" s="883">
        <f t="shared" si="58"/>
        <v>0.74631369759400656</v>
      </c>
      <c r="AH20" s="883">
        <f t="shared" si="59"/>
        <v>0</v>
      </c>
      <c r="AI20" s="883">
        <f t="shared" si="60"/>
        <v>0</v>
      </c>
      <c r="AJ20" s="889">
        <f t="shared" si="9"/>
        <v>0.74631369759400656</v>
      </c>
      <c r="AK20" s="885">
        <f t="shared" si="30"/>
        <v>0</v>
      </c>
      <c r="AL20" s="883">
        <f t="shared" si="31"/>
        <v>0</v>
      </c>
      <c r="AM20" s="883">
        <f t="shared" si="32"/>
        <v>0</v>
      </c>
      <c r="AN20" s="883">
        <f t="shared" si="33"/>
        <v>2.7364835578446907</v>
      </c>
      <c r="AO20" s="883">
        <f t="shared" si="34"/>
        <v>0</v>
      </c>
      <c r="AP20" s="883">
        <f t="shared" si="35"/>
        <v>0</v>
      </c>
      <c r="AQ20" s="890">
        <f t="shared" si="38"/>
        <v>2.7364835578446907</v>
      </c>
    </row>
    <row r="21" spans="1:43">
      <c r="A21" s="817"/>
      <c r="B21" s="860" t="s">
        <v>1738</v>
      </c>
      <c r="C21" s="883">
        <f>HLOOKUP($B$2,'Consumption Input'!$E$5:$AQ$82,'Consumption Input'!$B9)</f>
        <v>789.70185360567677</v>
      </c>
      <c r="D21" s="883">
        <f>HLOOKUP($B$2,'Consumption Input'!$E$5:$AQ$82,'Consumption Input'!$B15)</f>
        <v>417.98562278373203</v>
      </c>
      <c r="E21" s="883">
        <f>HLOOKUP($B$2,'Consumption Input'!$E$5:$AQ$82,'Consumption Input'!$B28)</f>
        <v>972.1698277772573</v>
      </c>
      <c r="F21" s="883">
        <f>HLOOKUP($B$2,'Consumption Input'!$E$5:$AQ$82,'Consumption Input'!$B51)</f>
        <v>4508.9989410714297</v>
      </c>
      <c r="G21" s="883">
        <f>HLOOKUP($B$2,'Consumption Input'!$E$5:$AQ$82,'Consumption Input'!$B60)</f>
        <v>107.976</v>
      </c>
      <c r="H21" s="883">
        <f>HLOOKUP($B$2,'US Territories'!$D$28:$Z$38,'US Territories'!$B31)</f>
        <v>62.521292371295011</v>
      </c>
      <c r="I21" s="883">
        <f t="shared" si="36"/>
        <v>6859.3535376093905</v>
      </c>
      <c r="J21" s="961">
        <f>HLOOKUP($B$2,IBFConsumption,'International Bunker Fuels'!$B$10)</f>
        <v>125.73552141190476</v>
      </c>
      <c r="K21" s="940">
        <f>HLOOKUP($B$2,NEUConsumption,'Non-Energy Use'!$C$20)</f>
        <v>8.045781250000001</v>
      </c>
      <c r="L21" s="940"/>
      <c r="M21" s="940"/>
      <c r="N21" s="885">
        <f t="shared" si="43"/>
        <v>789.70185360567677</v>
      </c>
      <c r="O21" s="883">
        <f t="shared" si="44"/>
        <v>417.98562278373203</v>
      </c>
      <c r="P21" s="883">
        <f t="shared" si="45"/>
        <v>964.12404652725729</v>
      </c>
      <c r="Q21" s="883">
        <f t="shared" si="46"/>
        <v>4383.2634196595245</v>
      </c>
      <c r="R21" s="883">
        <f t="shared" si="47"/>
        <v>107.976</v>
      </c>
      <c r="S21" s="886">
        <f t="shared" si="48"/>
        <v>62.521292371295011</v>
      </c>
      <c r="T21" s="883">
        <f t="shared" si="7"/>
        <v>6725.5722349474854</v>
      </c>
      <c r="U21" s="931">
        <f>HLOOKUP($B$2,Factors!$J$12:$BE$27,Factors!$H27,FALSE)</f>
        <v>20.170000000000002</v>
      </c>
      <c r="V21" s="932">
        <f t="shared" si="49"/>
        <v>15.928286387226503</v>
      </c>
      <c r="W21" s="933">
        <f t="shared" si="50"/>
        <v>8.4307700115478763</v>
      </c>
      <c r="X21" s="933">
        <f t="shared" si="51"/>
        <v>19.446382018454781</v>
      </c>
      <c r="Y21" s="933">
        <f t="shared" si="52"/>
        <v>88.41042317453261</v>
      </c>
      <c r="Z21" s="933">
        <f t="shared" si="53"/>
        <v>2.17787592</v>
      </c>
      <c r="AA21" s="933">
        <f t="shared" si="54"/>
        <v>1.2610544671290205</v>
      </c>
      <c r="AB21" s="933">
        <f t="shared" si="37"/>
        <v>135.65479197889078</v>
      </c>
      <c r="AC21" s="934">
        <f>Factors!E26</f>
        <v>1</v>
      </c>
      <c r="AD21" s="885">
        <f t="shared" si="55"/>
        <v>15.928286387226503</v>
      </c>
      <c r="AE21" s="883">
        <f t="shared" si="56"/>
        <v>8.4307700115478763</v>
      </c>
      <c r="AF21" s="883">
        <f t="shared" si="57"/>
        <v>19.446382018454781</v>
      </c>
      <c r="AG21" s="883">
        <f t="shared" si="58"/>
        <v>88.41042317453261</v>
      </c>
      <c r="AH21" s="883">
        <f t="shared" si="59"/>
        <v>2.17787592</v>
      </c>
      <c r="AI21" s="883">
        <f t="shared" si="60"/>
        <v>1.2610544671290205</v>
      </c>
      <c r="AJ21" s="889">
        <f t="shared" si="9"/>
        <v>135.65479197889078</v>
      </c>
      <c r="AK21" s="885">
        <f t="shared" si="30"/>
        <v>58.403716753163842</v>
      </c>
      <c r="AL21" s="883">
        <f t="shared" si="31"/>
        <v>30.912823375675544</v>
      </c>
      <c r="AM21" s="883">
        <f t="shared" si="32"/>
        <v>71.30340073433419</v>
      </c>
      <c r="AN21" s="883">
        <f t="shared" si="33"/>
        <v>324.1715516399529</v>
      </c>
      <c r="AO21" s="883">
        <f t="shared" si="34"/>
        <v>7.9855450399999999</v>
      </c>
      <c r="AP21" s="883">
        <f t="shared" si="35"/>
        <v>4.6238663794730748</v>
      </c>
      <c r="AQ21" s="890">
        <f t="shared" si="38"/>
        <v>497.40090392259958</v>
      </c>
    </row>
    <row r="22" spans="1:43">
      <c r="A22" s="817"/>
      <c r="B22" s="860" t="s">
        <v>1623</v>
      </c>
      <c r="C22" s="883"/>
      <c r="D22" s="883"/>
      <c r="E22" s="883"/>
      <c r="F22" s="883">
        <f>HLOOKUP($B$2,'Consumption Input'!$E$5:$AQ$82,'Consumption Input'!$B52)</f>
        <v>3132.1959999999999</v>
      </c>
      <c r="G22" s="883"/>
      <c r="H22" s="883">
        <f>HLOOKUP($B$2,'US Territories'!$D$28:$Z$38,'US Territories'!$B32)</f>
        <v>57.210937245215298</v>
      </c>
      <c r="I22" s="883">
        <f t="shared" si="36"/>
        <v>3189.4069372452154</v>
      </c>
      <c r="J22" s="961">
        <f>HLOOKUP($B$2,IBFConsumption,'International Bunker Fuels'!$B$8)</f>
        <v>705.05567371155803</v>
      </c>
      <c r="K22" s="940"/>
      <c r="L22" s="940"/>
      <c r="M22" s="940"/>
      <c r="N22" s="885">
        <f t="shared" si="43"/>
        <v>0</v>
      </c>
      <c r="O22" s="883">
        <f t="shared" si="44"/>
        <v>0</v>
      </c>
      <c r="P22" s="883">
        <f t="shared" si="45"/>
        <v>0</v>
      </c>
      <c r="Q22" s="883">
        <f t="shared" si="46"/>
        <v>2427.1403262884419</v>
      </c>
      <c r="R22" s="883">
        <f t="shared" si="47"/>
        <v>0</v>
      </c>
      <c r="S22" s="886">
        <f t="shared" si="48"/>
        <v>57.210937245215298</v>
      </c>
      <c r="T22" s="883">
        <f t="shared" si="7"/>
        <v>2484.3512635336574</v>
      </c>
      <c r="U22" s="931">
        <f>HLOOKUP($B$2,Factors!$J$12:$Y$25,Factors!$H21)</f>
        <v>19.34</v>
      </c>
      <c r="V22" s="932">
        <f t="shared" si="49"/>
        <v>0</v>
      </c>
      <c r="W22" s="933">
        <f t="shared" si="50"/>
        <v>0</v>
      </c>
      <c r="X22" s="933">
        <f t="shared" si="51"/>
        <v>0</v>
      </c>
      <c r="Y22" s="933">
        <f t="shared" si="52"/>
        <v>46.940893910418467</v>
      </c>
      <c r="Z22" s="933">
        <f t="shared" si="53"/>
        <v>0</v>
      </c>
      <c r="AA22" s="933">
        <f t="shared" si="54"/>
        <v>1.1064595263224639</v>
      </c>
      <c r="AB22" s="933">
        <f t="shared" si="37"/>
        <v>48.047353436740934</v>
      </c>
      <c r="AC22" s="934">
        <f>Factors!E27</f>
        <v>1</v>
      </c>
      <c r="AD22" s="885">
        <f t="shared" si="55"/>
        <v>0</v>
      </c>
      <c r="AE22" s="883">
        <f t="shared" si="56"/>
        <v>0</v>
      </c>
      <c r="AF22" s="883">
        <f t="shared" si="57"/>
        <v>0</v>
      </c>
      <c r="AG22" s="883">
        <f t="shared" si="58"/>
        <v>46.940893910418467</v>
      </c>
      <c r="AH22" s="883">
        <f t="shared" si="59"/>
        <v>0</v>
      </c>
      <c r="AI22" s="883">
        <f t="shared" si="60"/>
        <v>1.1064595263224639</v>
      </c>
      <c r="AJ22" s="889">
        <f t="shared" si="9"/>
        <v>48.047353436740934</v>
      </c>
      <c r="AK22" s="885">
        <f t="shared" si="30"/>
        <v>0</v>
      </c>
      <c r="AL22" s="883">
        <f t="shared" si="31"/>
        <v>0</v>
      </c>
      <c r="AM22" s="883">
        <f t="shared" si="32"/>
        <v>0</v>
      </c>
      <c r="AN22" s="883">
        <f t="shared" si="33"/>
        <v>172.11661100486771</v>
      </c>
      <c r="AO22" s="883">
        <f t="shared" si="34"/>
        <v>0</v>
      </c>
      <c r="AP22" s="883">
        <f t="shared" si="35"/>
        <v>4.0570182631823677</v>
      </c>
      <c r="AQ22" s="890">
        <f t="shared" si="38"/>
        <v>176.17362926805006</v>
      </c>
    </row>
    <row r="23" spans="1:43">
      <c r="A23" s="817"/>
      <c r="B23" s="860" t="s">
        <v>1599</v>
      </c>
      <c r="C23" s="883">
        <f>HLOOKUP($B$2,'Consumption Input'!$E$5:$AQ$82,'Consumption Input'!$B10)</f>
        <v>74.295000000000002</v>
      </c>
      <c r="D23" s="883">
        <f>HLOOKUP($B$2,'Consumption Input'!$E$5:$AQ$82,'Consumption Input'!$B16)</f>
        <v>22.102</v>
      </c>
      <c r="E23" s="883">
        <f>HLOOKUP($B$2,'Consumption Input'!$E$5:$AQ$82,'Consumption Input'!$B29)</f>
        <v>15.444000000000001</v>
      </c>
      <c r="F23" s="883"/>
      <c r="G23" s="883"/>
      <c r="H23" s="883">
        <f>HLOOKUP($B$2,'US Territories'!$D$28:$Z$38,'US Territories'!$B33)</f>
        <v>2.0266782327594064</v>
      </c>
      <c r="I23" s="883">
        <f t="shared" si="36"/>
        <v>113.86767823275942</v>
      </c>
      <c r="J23" s="961"/>
      <c r="K23" s="940"/>
      <c r="L23" s="940"/>
      <c r="M23" s="940"/>
      <c r="N23" s="885">
        <f t="shared" si="43"/>
        <v>74.295000000000002</v>
      </c>
      <c r="O23" s="883">
        <f t="shared" si="44"/>
        <v>22.102</v>
      </c>
      <c r="P23" s="883">
        <f t="shared" si="45"/>
        <v>15.444000000000001</v>
      </c>
      <c r="Q23" s="883">
        <f t="shared" si="46"/>
        <v>0</v>
      </c>
      <c r="R23" s="883">
        <f t="shared" si="47"/>
        <v>0</v>
      </c>
      <c r="S23" s="886">
        <f t="shared" si="48"/>
        <v>2.0266782327594064</v>
      </c>
      <c r="T23" s="883">
        <f t="shared" si="7"/>
        <v>113.86767823275942</v>
      </c>
      <c r="U23" s="931">
        <f>Factors!D28</f>
        <v>19.964104564962931</v>
      </c>
      <c r="V23" s="932">
        <f t="shared" si="49"/>
        <v>1.483233148653921</v>
      </c>
      <c r="W23" s="933">
        <f t="shared" si="50"/>
        <v>0.44124663909481071</v>
      </c>
      <c r="X23" s="933">
        <f t="shared" si="51"/>
        <v>0.30832563090128751</v>
      </c>
      <c r="Y23" s="933">
        <f t="shared" si="52"/>
        <v>0</v>
      </c>
      <c r="Z23" s="933">
        <f t="shared" si="53"/>
        <v>0</v>
      </c>
      <c r="AA23" s="933">
        <f t="shared" si="54"/>
        <v>4.0460816158343071E-2</v>
      </c>
      <c r="AB23" s="933">
        <f t="shared" si="37"/>
        <v>2.2732662348083621</v>
      </c>
      <c r="AC23" s="934">
        <f>Factors!E28</f>
        <v>1</v>
      </c>
      <c r="AD23" s="885">
        <f t="shared" si="55"/>
        <v>1.483233148653921</v>
      </c>
      <c r="AE23" s="883">
        <f t="shared" si="56"/>
        <v>0.44124663909481071</v>
      </c>
      <c r="AF23" s="883">
        <f t="shared" si="57"/>
        <v>0.30832563090128751</v>
      </c>
      <c r="AG23" s="883">
        <f t="shared" si="58"/>
        <v>0</v>
      </c>
      <c r="AH23" s="883">
        <f t="shared" si="59"/>
        <v>0</v>
      </c>
      <c r="AI23" s="883">
        <f t="shared" si="60"/>
        <v>4.0460816158343071E-2</v>
      </c>
      <c r="AJ23" s="889">
        <f t="shared" si="9"/>
        <v>2.2732662348083621</v>
      </c>
      <c r="AK23" s="885">
        <f t="shared" si="30"/>
        <v>5.4385215450643765</v>
      </c>
      <c r="AL23" s="883">
        <f t="shared" si="31"/>
        <v>1.6179043433476392</v>
      </c>
      <c r="AM23" s="883">
        <f t="shared" si="32"/>
        <v>1.1305273133047209</v>
      </c>
      <c r="AN23" s="883">
        <f t="shared" si="33"/>
        <v>0</v>
      </c>
      <c r="AO23" s="883">
        <f t="shared" si="34"/>
        <v>0</v>
      </c>
      <c r="AP23" s="883">
        <f t="shared" si="35"/>
        <v>0.14835632591392459</v>
      </c>
      <c r="AQ23" s="890">
        <f t="shared" si="38"/>
        <v>8.3353095276306615</v>
      </c>
    </row>
    <row r="24" spans="1:43">
      <c r="A24" s="817"/>
      <c r="B24" s="860" t="s">
        <v>1600</v>
      </c>
      <c r="C24" s="883">
        <f>HLOOKUP($B$2,'Consumption Input'!$E$5:$AQ$82,'Consumption Input'!$B11)</f>
        <v>395.32299999999998</v>
      </c>
      <c r="D24" s="883">
        <f>HLOOKUP($B$2,'Consumption Input'!$E$5:$AQ$82,'Consumption Input'!$B17)</f>
        <v>108.873</v>
      </c>
      <c r="E24"/>
      <c r="F24" s="883">
        <f>HLOOKUP($B$2,'Consumption Input'!$E$5:$AQ$82,'Consumption Input'!$B53)</f>
        <v>17.753</v>
      </c>
      <c r="G24" s="883"/>
      <c r="H24"/>
      <c r="I24" s="883">
        <f>SUM(C24:H24)</f>
        <v>521.94899999999996</v>
      </c>
      <c r="J24" s="884"/>
      <c r="K24"/>
      <c r="L24" s="883"/>
      <c r="M24" s="883"/>
      <c r="N24" s="885">
        <f>C24</f>
        <v>395.32299999999998</v>
      </c>
      <c r="O24" s="883">
        <f t="shared" si="44"/>
        <v>108.873</v>
      </c>
      <c r="P24"/>
      <c r="Q24" s="883">
        <f t="shared" si="46"/>
        <v>17.753</v>
      </c>
      <c r="R24" s="883">
        <f t="shared" si="47"/>
        <v>0</v>
      </c>
      <c r="S24" s="1007"/>
      <c r="T24" s="883">
        <f t="shared" si="7"/>
        <v>521.94899999999996</v>
      </c>
      <c r="U24" s="1005">
        <f>HLOOKUP($B$2,Factors!$J$12:$BE$25,Factors!$H17,FALSE)</f>
        <v>17.146363636363635</v>
      </c>
      <c r="V24" s="885">
        <f>N24*$U24*TbtuToQBtu</f>
        <v>6.7783519118181816</v>
      </c>
      <c r="W24" s="883">
        <f>O24*$U24*TbtuToQBtu</f>
        <v>1.8667760481818183</v>
      </c>
      <c r="X24"/>
      <c r="Y24" s="883">
        <f>Q24*$U24*TbtuToQBtu</f>
        <v>0.30439939363636359</v>
      </c>
      <c r="Z24" s="883">
        <f t="shared" ref="Z24" si="61">R24*$U24*TbtuToQBtu</f>
        <v>0</v>
      </c>
      <c r="AA24"/>
      <c r="AB24" s="883">
        <f>SUM(V24:AA24)</f>
        <v>8.9495273536363626</v>
      </c>
      <c r="AC24" s="888">
        <f>Factors!E30</f>
        <v>1</v>
      </c>
      <c r="AD24" s="885">
        <f>V24*$AC24</f>
        <v>6.7783519118181816</v>
      </c>
      <c r="AE24" s="883">
        <f t="shared" si="56"/>
        <v>1.8667760481818183</v>
      </c>
      <c r="AF24"/>
      <c r="AG24" s="883">
        <f t="shared" si="56"/>
        <v>0.30439939363636359</v>
      </c>
      <c r="AH24" s="883">
        <f t="shared" si="56"/>
        <v>0</v>
      </c>
      <c r="AI24"/>
      <c r="AJ24" s="889">
        <f t="shared" si="9"/>
        <v>8.9495273536363626</v>
      </c>
      <c r="AK24" s="885">
        <f>AD24*CtoCO2</f>
        <v>24.853957009999998</v>
      </c>
      <c r="AL24" s="883">
        <f t="shared" ref="AL24" si="62">AE24*CtoCO2</f>
        <v>6.8448455099999999</v>
      </c>
      <c r="AN24" s="883">
        <f t="shared" ref="AN24" si="63">AG24*CtoCO2</f>
        <v>1.1161311099999998</v>
      </c>
      <c r="AO24" s="883">
        <f t="shared" ref="AO24" si="64">AH24*CtoCO2</f>
        <v>0</v>
      </c>
      <c r="AQ24" s="890">
        <f t="shared" si="38"/>
        <v>32.814933629999999</v>
      </c>
    </row>
    <row r="25" spans="1:43">
      <c r="A25" s="817"/>
      <c r="B25" s="860" t="s">
        <v>1609</v>
      </c>
      <c r="C25" s="883"/>
      <c r="D25" s="883"/>
      <c r="E25" s="883">
        <f>HLOOKUP($B$2,'Consumption Input'!$E$5:$AQ$82,'Consumption Input'!$B30)</f>
        <v>1929.459552923</v>
      </c>
      <c r="F25" s="883"/>
      <c r="G25" s="883"/>
      <c r="H25" s="883">
        <f>HLOOKUP($B$2,'US Territories'!$D$28:$AO$38,'US Territories'!$B34)</f>
        <v>2.2742042915673939</v>
      </c>
      <c r="I25" s="883">
        <f>SUM(C25:H25)</f>
        <v>1931.7337572145675</v>
      </c>
      <c r="J25" s="884"/>
      <c r="K25" s="883">
        <f>HLOOKUP($B$2,NEUConsumption,'Non-Energy Use'!$C$11)</f>
        <v>1651.6164700966506</v>
      </c>
      <c r="L25" s="883"/>
      <c r="M25" s="883"/>
      <c r="N25" s="885"/>
      <c r="O25" s="883"/>
      <c r="P25" s="883">
        <f>E25-K25</f>
        <v>277.84308282634947</v>
      </c>
      <c r="Q25" s="883"/>
      <c r="R25" s="883"/>
      <c r="S25" s="886">
        <f>H25-M25</f>
        <v>2.2742042915673939</v>
      </c>
      <c r="T25" s="883">
        <f t="shared" si="7"/>
        <v>280.11728711791687</v>
      </c>
      <c r="U25" s="1005">
        <f>HLOOKUP($B$2,Factors!$J$12:$BE$25,Factors!$H18,FALSE)</f>
        <v>17.406573427205515</v>
      </c>
      <c r="V25" s="885"/>
      <c r="W25" s="883"/>
      <c r="X25" s="883">
        <f>P25*$U25*TbtuToQBtu</f>
        <v>4.8362960224579954</v>
      </c>
      <c r="Y25" s="883"/>
      <c r="Z25" s="883"/>
      <c r="AA25" s="883">
        <f>S25*$U25*TbtuToQBtu</f>
        <v>3.958610398963374E-2</v>
      </c>
      <c r="AB25" s="883">
        <f>SUM(V25:AA25)</f>
        <v>4.8758821264476291</v>
      </c>
      <c r="AC25" s="888">
        <f>Factors!E31</f>
        <v>1</v>
      </c>
      <c r="AD25" s="885"/>
      <c r="AE25" s="883"/>
      <c r="AF25" s="883">
        <f>X25*$AC25</f>
        <v>4.8362960224579954</v>
      </c>
      <c r="AG25" s="883"/>
      <c r="AH25" s="883"/>
      <c r="AI25" s="883">
        <f>AA25*$AC25</f>
        <v>3.958610398963374E-2</v>
      </c>
      <c r="AJ25" s="889">
        <f t="shared" si="9"/>
        <v>4.8758821264476291</v>
      </c>
      <c r="AK25" s="885"/>
      <c r="AL25" s="883"/>
      <c r="AM25" s="883">
        <f>AF25*CtoCO2</f>
        <v>17.733085415679316</v>
      </c>
      <c r="AN25" s="883"/>
      <c r="AO25" s="883"/>
      <c r="AP25" s="883">
        <f>AI25*CtoCO2</f>
        <v>0.14514904796199038</v>
      </c>
      <c r="AQ25" s="890">
        <f t="shared" si="38"/>
        <v>17.878234463641306</v>
      </c>
    </row>
    <row r="26" spans="1:43">
      <c r="A26" s="817"/>
      <c r="B26" s="860" t="s">
        <v>1610</v>
      </c>
      <c r="C26" s="883"/>
      <c r="D26" s="883"/>
      <c r="E26" s="883">
        <f>HLOOKUP($B$2,'Consumption Input'!$E$5:$AQ$82,'Consumption Input'!$B31)</f>
        <v>177.78</v>
      </c>
      <c r="F26" s="883">
        <f>HLOOKUP($B$2,'Consumption Input'!$E$5:$AQ$82,'Consumption Input'!$B54)</f>
        <v>167.91300000000001</v>
      </c>
      <c r="G26" s="883"/>
      <c r="H26" s="883">
        <f>HLOOKUP($B$2,'US Territories'!$D$28:$Z$38,'US Territories'!$B35)</f>
        <v>2.0092238137500003</v>
      </c>
      <c r="I26" s="883">
        <f t="shared" si="36"/>
        <v>347.70222381374998</v>
      </c>
      <c r="J26" s="961"/>
      <c r="K26" s="940">
        <f>HLOOKUP($B$2,NEUConsumption,'Non-Energy Use'!$C$12)</f>
        <v>177.78</v>
      </c>
      <c r="L26" s="940">
        <f>HLOOKUP($B$2,NEUConsumption,'Non-Energy Use'!$C$24)</f>
        <v>167.91300000000001</v>
      </c>
      <c r="M26" s="940">
        <f>HLOOKUP($B$2,NEUConsumption,'Non-Energy Use'!$C$26)</f>
        <v>2.0092238137500003</v>
      </c>
      <c r="N26" s="885">
        <f t="shared" si="43"/>
        <v>0</v>
      </c>
      <c r="O26" s="883">
        <f t="shared" si="44"/>
        <v>0</v>
      </c>
      <c r="P26" s="883">
        <f t="shared" si="45"/>
        <v>0</v>
      </c>
      <c r="Q26" s="883">
        <f t="shared" si="46"/>
        <v>0</v>
      </c>
      <c r="R26" s="883">
        <f t="shared" si="47"/>
        <v>0</v>
      </c>
      <c r="S26" s="886">
        <f t="shared" si="48"/>
        <v>0</v>
      </c>
      <c r="T26" s="883">
        <f t="shared" si="7"/>
        <v>0</v>
      </c>
      <c r="U26" s="931">
        <f>Factors!D33</f>
        <v>20.199355467286214</v>
      </c>
      <c r="V26" s="932">
        <f t="shared" si="49"/>
        <v>0</v>
      </c>
      <c r="W26" s="933">
        <f t="shared" si="50"/>
        <v>0</v>
      </c>
      <c r="X26" s="933">
        <f t="shared" si="51"/>
        <v>0</v>
      </c>
      <c r="Y26" s="933">
        <f t="shared" si="52"/>
        <v>0</v>
      </c>
      <c r="Z26" s="933">
        <f t="shared" si="53"/>
        <v>0</v>
      </c>
      <c r="AA26" s="933">
        <f t="shared" si="54"/>
        <v>0</v>
      </c>
      <c r="AB26" s="933">
        <f t="shared" si="37"/>
        <v>0</v>
      </c>
      <c r="AC26" s="934">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33.511290654078138</v>
      </c>
      <c r="E27" s="883">
        <f>HLOOKUP($B$2,'Consumption Input'!$E$5:$AQ$82,'Consumption Input'!$B32)</f>
        <v>370.45284458653009</v>
      </c>
      <c r="F27" s="883">
        <f>HLOOKUP($B$2,'Consumption Input'!$E$5:$AQ$82,'Consumption Input'!$B55)</f>
        <v>14273.068528259388</v>
      </c>
      <c r="G27" s="883"/>
      <c r="H27" s="883">
        <f>HLOOKUP($B$2,'US Territories'!$D$28:$Z$38,'US Territories'!$B36)</f>
        <v>84.454481727483923</v>
      </c>
      <c r="I27" s="883">
        <f t="shared" si="36"/>
        <v>14761.48714522748</v>
      </c>
      <c r="J27" s="961"/>
      <c r="K27" s="940"/>
      <c r="L27" s="940"/>
      <c r="M27" s="940"/>
      <c r="N27" s="885">
        <f t="shared" si="43"/>
        <v>0</v>
      </c>
      <c r="O27" s="883">
        <f t="shared" si="44"/>
        <v>33.511290654078138</v>
      </c>
      <c r="P27" s="883">
        <f t="shared" si="45"/>
        <v>370.45284458653009</v>
      </c>
      <c r="Q27" s="883">
        <f t="shared" si="46"/>
        <v>14273.068528259388</v>
      </c>
      <c r="R27" s="883">
        <f t="shared" si="47"/>
        <v>0</v>
      </c>
      <c r="S27" s="886">
        <f t="shared" si="48"/>
        <v>84.454481727483923</v>
      </c>
      <c r="T27" s="883">
        <f t="shared" si="7"/>
        <v>14761.48714522748</v>
      </c>
      <c r="U27" s="931">
        <f>HLOOKUP($B$2,Factors!$J$12:$Y$25,Factors!$H20)</f>
        <v>19.357284669381631</v>
      </c>
      <c r="V27" s="932">
        <f t="shared" si="49"/>
        <v>0</v>
      </c>
      <c r="W27" s="933">
        <f t="shared" si="50"/>
        <v>0.64868759282937871</v>
      </c>
      <c r="X27" s="933">
        <f t="shared" si="51"/>
        <v>7.1709611692436548</v>
      </c>
      <c r="Y27" s="933">
        <f t="shared" si="52"/>
        <v>276.28785060710891</v>
      </c>
      <c r="Z27" s="933">
        <f t="shared" si="53"/>
        <v>0</v>
      </c>
      <c r="AA27" s="933">
        <f t="shared" si="54"/>
        <v>1.6348094444039958</v>
      </c>
      <c r="AB27" s="933">
        <f t="shared" si="37"/>
        <v>285.74230881358591</v>
      </c>
      <c r="AC27" s="934">
        <f>Factors!E34</f>
        <v>1</v>
      </c>
      <c r="AD27" s="885">
        <f t="shared" si="55"/>
        <v>0</v>
      </c>
      <c r="AE27" s="883">
        <f t="shared" si="56"/>
        <v>0.64868759282937871</v>
      </c>
      <c r="AF27" s="883">
        <f t="shared" si="57"/>
        <v>7.1709611692436548</v>
      </c>
      <c r="AG27" s="883">
        <f>Y27*$AC44</f>
        <v>276.28785060710891</v>
      </c>
      <c r="AH27" s="883">
        <f t="shared" si="59"/>
        <v>0</v>
      </c>
      <c r="AI27" s="883">
        <f t="shared" si="60"/>
        <v>1.6348094444039958</v>
      </c>
      <c r="AJ27" s="889">
        <f t="shared" si="9"/>
        <v>285.74230881358591</v>
      </c>
      <c r="AK27" s="885">
        <f t="shared" si="30"/>
        <v>0</v>
      </c>
      <c r="AL27" s="883">
        <f t="shared" si="31"/>
        <v>2.3785211737077216</v>
      </c>
      <c r="AM27" s="883">
        <f t="shared" si="32"/>
        <v>26.293524287226735</v>
      </c>
      <c r="AN27" s="883">
        <f t="shared" si="33"/>
        <v>1013.055452226066</v>
      </c>
      <c r="AO27" s="883">
        <f t="shared" si="34"/>
        <v>0</v>
      </c>
      <c r="AP27" s="883">
        <f t="shared" si="35"/>
        <v>5.9943012961479845</v>
      </c>
      <c r="AQ27" s="890">
        <f t="shared" si="38"/>
        <v>1047.7217989831486</v>
      </c>
    </row>
    <row r="28" spans="1:43">
      <c r="A28" s="817"/>
      <c r="B28" s="860" t="s">
        <v>1602</v>
      </c>
      <c r="C28" s="883"/>
      <c r="D28" s="883">
        <f>HLOOKUP($B$2,'Consumption Input'!$E$5:$AQ$82,'Consumption Input'!$B19)</f>
        <v>141.48099999999999</v>
      </c>
      <c r="E28" s="883">
        <f>HLOOKUP($B$2,'Consumption Input'!$E$5:$AQ$82,'Consumption Input'!$B33)</f>
        <v>284.66320949999999</v>
      </c>
      <c r="F28" s="883">
        <f>HLOOKUP($B$2,'Consumption Input'!$E$5:$AQ$82,'Consumption Input'!$B56)</f>
        <v>910.51400000000001</v>
      </c>
      <c r="G28" s="883">
        <f>HLOOKUP($B$2,'Consumption Input'!$E$5:$AQ$82,'Consumption Input'!$B61)</f>
        <v>565.97299999999996</v>
      </c>
      <c r="H28" s="883">
        <f>HLOOKUP($B$2,'US Territories'!$D$28:$Z$38,'US Territories'!$B37)</f>
        <v>81.889716375660228</v>
      </c>
      <c r="I28" s="883">
        <f t="shared" si="36"/>
        <v>1984.5209258756602</v>
      </c>
      <c r="J28" s="961">
        <f>HLOOKUP($B$2,IBFConsumption,'International Bunker Fuels'!$B$9)</f>
        <v>523.21106827400001</v>
      </c>
      <c r="K28" s="940"/>
      <c r="L28" s="940"/>
      <c r="M28" s="940"/>
      <c r="N28" s="885">
        <f t="shared" si="43"/>
        <v>0</v>
      </c>
      <c r="O28" s="883">
        <f t="shared" si="44"/>
        <v>141.48099999999999</v>
      </c>
      <c r="P28" s="883">
        <f t="shared" si="45"/>
        <v>284.66320949999999</v>
      </c>
      <c r="Q28" s="883">
        <f t="shared" si="46"/>
        <v>387.302931726</v>
      </c>
      <c r="R28" s="883">
        <f t="shared" si="47"/>
        <v>565.97299999999996</v>
      </c>
      <c r="S28" s="886">
        <f t="shared" si="48"/>
        <v>81.889716375660228</v>
      </c>
      <c r="T28" s="883">
        <f t="shared" si="7"/>
        <v>1461.3098576016603</v>
      </c>
      <c r="U28" s="931">
        <f>Factors!D36</f>
        <v>20.48</v>
      </c>
      <c r="V28" s="932">
        <f t="shared" si="49"/>
        <v>0</v>
      </c>
      <c r="W28" s="933">
        <f t="shared" si="50"/>
        <v>2.8975308799999997</v>
      </c>
      <c r="X28" s="933">
        <f t="shared" si="51"/>
        <v>5.8299025305600001</v>
      </c>
      <c r="Y28" s="933">
        <f t="shared" si="52"/>
        <v>7.93196404174848</v>
      </c>
      <c r="Z28" s="933">
        <f t="shared" si="53"/>
        <v>11.59112704</v>
      </c>
      <c r="AA28" s="933">
        <f t="shared" si="54"/>
        <v>1.6771013913735215</v>
      </c>
      <c r="AB28" s="933">
        <f t="shared" si="37"/>
        <v>29.927625883682001</v>
      </c>
      <c r="AC28" s="934">
        <f>Factors!E36</f>
        <v>1</v>
      </c>
      <c r="AD28" s="885">
        <f t="shared" si="55"/>
        <v>0</v>
      </c>
      <c r="AE28" s="883">
        <f t="shared" si="56"/>
        <v>2.8975308799999997</v>
      </c>
      <c r="AF28" s="883">
        <f t="shared" si="57"/>
        <v>5.8299025305600001</v>
      </c>
      <c r="AG28" s="883">
        <f t="shared" si="58"/>
        <v>7.93196404174848</v>
      </c>
      <c r="AH28" s="883">
        <f t="shared" si="59"/>
        <v>11.59112704</v>
      </c>
      <c r="AI28" s="883">
        <f t="shared" si="60"/>
        <v>1.6771013913735215</v>
      </c>
      <c r="AJ28" s="889">
        <f t="shared" si="9"/>
        <v>29.927625883682001</v>
      </c>
      <c r="AK28" s="885">
        <f t="shared" si="30"/>
        <v>0</v>
      </c>
      <c r="AL28" s="883">
        <f t="shared" si="31"/>
        <v>10.624279893333332</v>
      </c>
      <c r="AM28" s="883">
        <f t="shared" si="32"/>
        <v>21.376309278720001</v>
      </c>
      <c r="AN28" s="883">
        <f t="shared" si="33"/>
        <v>29.083868153077759</v>
      </c>
      <c r="AO28" s="883">
        <f t="shared" si="34"/>
        <v>42.500799146666665</v>
      </c>
      <c r="AP28" s="883">
        <f t="shared" si="35"/>
        <v>6.149371768369579</v>
      </c>
      <c r="AQ28" s="890">
        <f t="shared" si="38"/>
        <v>109.73462824016732</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931"/>
      <c r="V29" s="932">
        <f t="shared" si="49"/>
        <v>0</v>
      </c>
      <c r="W29" s="933">
        <f t="shared" si="50"/>
        <v>0</v>
      </c>
      <c r="X29" s="933">
        <f t="shared" si="51"/>
        <v>0</v>
      </c>
      <c r="Y29" s="933">
        <f t="shared" si="52"/>
        <v>0</v>
      </c>
      <c r="Z29" s="933">
        <f t="shared" si="53"/>
        <v>0</v>
      </c>
      <c r="AA29" s="933">
        <f t="shared" si="54"/>
        <v>0</v>
      </c>
      <c r="AB29" s="933">
        <f t="shared" si="37"/>
        <v>0</v>
      </c>
      <c r="AC29" s="934"/>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5.2903039999999999</v>
      </c>
      <c r="F30" s="883"/>
      <c r="G30" s="883"/>
      <c r="H30" s="883"/>
      <c r="I30" s="883">
        <f t="shared" si="36"/>
        <v>5.2903039999999999</v>
      </c>
      <c r="J30" s="961"/>
      <c r="K30" s="940"/>
      <c r="L30" s="940"/>
      <c r="M30" s="940"/>
      <c r="N30" s="885">
        <f t="shared" si="43"/>
        <v>0</v>
      </c>
      <c r="O30" s="883">
        <f t="shared" si="44"/>
        <v>0</v>
      </c>
      <c r="P30" s="883">
        <f t="shared" si="45"/>
        <v>5.2903039999999999</v>
      </c>
      <c r="Q30" s="883">
        <f t="shared" si="46"/>
        <v>0</v>
      </c>
      <c r="R30" s="883">
        <f t="shared" si="47"/>
        <v>0</v>
      </c>
      <c r="S30" s="886">
        <f t="shared" si="48"/>
        <v>0</v>
      </c>
      <c r="T30" s="883">
        <f t="shared" si="7"/>
        <v>5.2903039999999999</v>
      </c>
      <c r="U30" s="931">
        <f>Factors!D39</f>
        <v>18.87</v>
      </c>
      <c r="V30" s="932">
        <f t="shared" si="49"/>
        <v>0</v>
      </c>
      <c r="W30" s="933">
        <f t="shared" si="50"/>
        <v>0</v>
      </c>
      <c r="X30" s="933">
        <f t="shared" si="51"/>
        <v>9.9828036480000007E-2</v>
      </c>
      <c r="Y30" s="933">
        <f t="shared" si="52"/>
        <v>0</v>
      </c>
      <c r="Z30" s="933">
        <f t="shared" si="53"/>
        <v>0</v>
      </c>
      <c r="AA30" s="933">
        <f t="shared" si="54"/>
        <v>0</v>
      </c>
      <c r="AB30" s="933">
        <f t="shared" si="37"/>
        <v>9.9828036480000007E-2</v>
      </c>
      <c r="AC30" s="934">
        <f>Factors!E39</f>
        <v>1</v>
      </c>
      <c r="AD30" s="885">
        <f t="shared" si="55"/>
        <v>0</v>
      </c>
      <c r="AE30" s="883">
        <f t="shared" si="56"/>
        <v>0</v>
      </c>
      <c r="AF30" s="883">
        <f t="shared" si="57"/>
        <v>9.9828036480000007E-2</v>
      </c>
      <c r="AG30" s="883">
        <f t="shared" si="58"/>
        <v>0</v>
      </c>
      <c r="AH30" s="883">
        <f t="shared" si="59"/>
        <v>0</v>
      </c>
      <c r="AI30" s="883">
        <f t="shared" si="60"/>
        <v>0</v>
      </c>
      <c r="AJ30" s="889">
        <f t="shared" si="9"/>
        <v>9.9828036480000007E-2</v>
      </c>
      <c r="AK30" s="885">
        <f t="shared" si="30"/>
        <v>0</v>
      </c>
      <c r="AL30" s="883">
        <f t="shared" si="31"/>
        <v>0</v>
      </c>
      <c r="AM30" s="883">
        <f t="shared" si="32"/>
        <v>0.36603613375999999</v>
      </c>
      <c r="AN30" s="883">
        <f t="shared" si="33"/>
        <v>0</v>
      </c>
      <c r="AO30" s="883">
        <f t="shared" si="34"/>
        <v>0</v>
      </c>
      <c r="AP30" s="883">
        <f t="shared" si="35"/>
        <v>0</v>
      </c>
      <c r="AQ30" s="890">
        <f t="shared" si="38"/>
        <v>0.36603613375999999</v>
      </c>
    </row>
    <row r="31" spans="1:43">
      <c r="A31" s="817"/>
      <c r="B31" s="865" t="s">
        <v>1612</v>
      </c>
      <c r="C31" s="883"/>
      <c r="D31" s="883"/>
      <c r="E31" s="883">
        <f>HLOOKUP($B$2,'Consumption Input'!$E$5:$AQ$82,'Consumption Input'!$B36)</f>
        <v>14.534800000000001</v>
      </c>
      <c r="F31" s="883"/>
      <c r="G31" s="883"/>
      <c r="H31" s="883"/>
      <c r="I31" s="883">
        <f t="shared" si="36"/>
        <v>14.534800000000001</v>
      </c>
      <c r="J31" s="961"/>
      <c r="K31" s="940"/>
      <c r="L31" s="940"/>
      <c r="M31" s="940"/>
      <c r="N31" s="885">
        <f t="shared" si="43"/>
        <v>0</v>
      </c>
      <c r="O31" s="883">
        <f t="shared" si="44"/>
        <v>0</v>
      </c>
      <c r="P31" s="883">
        <f t="shared" si="45"/>
        <v>14.534800000000001</v>
      </c>
      <c r="Q31" s="883">
        <f t="shared" si="46"/>
        <v>0</v>
      </c>
      <c r="R31" s="883">
        <f t="shared" si="47"/>
        <v>0</v>
      </c>
      <c r="S31" s="886">
        <f t="shared" si="48"/>
        <v>0</v>
      </c>
      <c r="T31" s="883">
        <f t="shared" si="7"/>
        <v>14.534800000000001</v>
      </c>
      <c r="U31" s="931">
        <f>HLOOKUP($B$2,Factors!$J$12:$Y$25,Factors!$H25)</f>
        <v>20.20671239517241</v>
      </c>
      <c r="V31" s="932">
        <f t="shared" si="49"/>
        <v>0</v>
      </c>
      <c r="W31" s="933">
        <f t="shared" si="50"/>
        <v>0</v>
      </c>
      <c r="X31" s="933">
        <f t="shared" si="51"/>
        <v>0.29370052332135199</v>
      </c>
      <c r="Y31" s="933">
        <f t="shared" si="52"/>
        <v>0</v>
      </c>
      <c r="Z31" s="933">
        <f t="shared" si="53"/>
        <v>0</v>
      </c>
      <c r="AA31" s="933">
        <f t="shared" si="54"/>
        <v>0</v>
      </c>
      <c r="AB31" s="933">
        <f t="shared" si="37"/>
        <v>0.29370052332135199</v>
      </c>
      <c r="AC31" s="934">
        <f>Factors!E40</f>
        <v>1</v>
      </c>
      <c r="AD31" s="885">
        <f t="shared" si="55"/>
        <v>0</v>
      </c>
      <c r="AE31" s="883">
        <f t="shared" si="56"/>
        <v>0</v>
      </c>
      <c r="AF31" s="883">
        <f t="shared" si="57"/>
        <v>0.29370052332135199</v>
      </c>
      <c r="AG31" s="883">
        <f t="shared" si="58"/>
        <v>0</v>
      </c>
      <c r="AH31" s="883">
        <f t="shared" si="59"/>
        <v>0</v>
      </c>
      <c r="AI31" s="883">
        <f t="shared" si="60"/>
        <v>0</v>
      </c>
      <c r="AJ31" s="889">
        <f t="shared" si="9"/>
        <v>0.29370052332135199</v>
      </c>
      <c r="AK31" s="885">
        <f t="shared" si="30"/>
        <v>0</v>
      </c>
      <c r="AL31" s="883">
        <f t="shared" si="31"/>
        <v>0</v>
      </c>
      <c r="AM31" s="883">
        <f t="shared" si="32"/>
        <v>1.0769019188449573</v>
      </c>
      <c r="AN31" s="883">
        <f t="shared" si="33"/>
        <v>0</v>
      </c>
      <c r="AO31" s="883">
        <f t="shared" si="34"/>
        <v>0</v>
      </c>
      <c r="AP31" s="883">
        <f t="shared" si="35"/>
        <v>0</v>
      </c>
      <c r="AQ31" s="890">
        <f t="shared" si="38"/>
        <v>1.0769019188449573</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931">
        <f>HLOOKUP($B$2,Factors!$J$12:$Y$25,Factors!$H22)</f>
        <v>19.357284669381631</v>
      </c>
      <c r="V32" s="932">
        <f t="shared" si="49"/>
        <v>0</v>
      </c>
      <c r="W32" s="933">
        <f t="shared" si="50"/>
        <v>0</v>
      </c>
      <c r="X32" s="933">
        <f t="shared" si="51"/>
        <v>0</v>
      </c>
      <c r="Y32" s="933">
        <f t="shared" si="52"/>
        <v>0</v>
      </c>
      <c r="Z32" s="933">
        <f t="shared" si="53"/>
        <v>0</v>
      </c>
      <c r="AA32" s="933">
        <f t="shared" si="54"/>
        <v>0</v>
      </c>
      <c r="AB32" s="933">
        <f t="shared" si="37"/>
        <v>0</v>
      </c>
      <c r="AC32" s="934">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30"/>
        <v>0</v>
      </c>
      <c r="AL32" s="883">
        <f t="shared" si="31"/>
        <v>0</v>
      </c>
      <c r="AM32" s="883">
        <f t="shared" si="32"/>
        <v>0</v>
      </c>
      <c r="AN32" s="883">
        <f t="shared" si="33"/>
        <v>0</v>
      </c>
      <c r="AO32" s="883">
        <f t="shared" si="34"/>
        <v>0</v>
      </c>
      <c r="AP32" s="883">
        <f t="shared" si="35"/>
        <v>0</v>
      </c>
      <c r="AQ32" s="890">
        <f t="shared" si="38"/>
        <v>0</v>
      </c>
    </row>
    <row r="33" spans="1:43">
      <c r="A33" s="817"/>
      <c r="B33" s="865" t="s">
        <v>1739</v>
      </c>
      <c r="C33" s="883"/>
      <c r="D33" s="883"/>
      <c r="E33" s="883">
        <f>HLOOKUP($B$2,'Consumption Input'!$E$5:$AQ$82,'Consumption Input'!$B38)</f>
        <v>97.123571999999996</v>
      </c>
      <c r="F33" s="883"/>
      <c r="G33" s="883"/>
      <c r="H33" s="883">
        <f>HLOOKUP($B$2,'US Territories'!$D$28:$Z$38,'US Territories'!$B38)</f>
        <v>53.431631293995999</v>
      </c>
      <c r="I33" s="883">
        <f t="shared" si="36"/>
        <v>150.55520329399599</v>
      </c>
      <c r="J33" s="961"/>
      <c r="K33" s="940">
        <f>HLOOKUP($B$2,NEUConsumption,'Non-Energy Use'!C22)</f>
        <v>97.123571999999996</v>
      </c>
      <c r="L33" s="940"/>
      <c r="M33" s="940">
        <f>HLOOKUP($B$2,NEUConsumption,'Non-Energy Use'!$C$27)</f>
        <v>53.431631293995999</v>
      </c>
      <c r="N33" s="885">
        <f t="shared" si="43"/>
        <v>0</v>
      </c>
      <c r="O33" s="883">
        <f t="shared" si="44"/>
        <v>0</v>
      </c>
      <c r="P33" s="883">
        <f t="shared" si="45"/>
        <v>0</v>
      </c>
      <c r="Q33" s="883">
        <f t="shared" si="46"/>
        <v>0</v>
      </c>
      <c r="R33" s="883">
        <f t="shared" si="47"/>
        <v>0</v>
      </c>
      <c r="S33" s="886">
        <f t="shared" si="48"/>
        <v>0</v>
      </c>
      <c r="T33" s="883">
        <f t="shared" si="7"/>
        <v>0</v>
      </c>
      <c r="U33" s="931">
        <f>HLOOKUP($B$2,Factors!$J$12:$Y$25,Factors!$H23)</f>
        <v>0</v>
      </c>
      <c r="V33" s="932">
        <f t="shared" si="49"/>
        <v>0</v>
      </c>
      <c r="W33" s="933">
        <f t="shared" si="50"/>
        <v>0</v>
      </c>
      <c r="X33" s="933">
        <f t="shared" si="51"/>
        <v>0</v>
      </c>
      <c r="Y33" s="933">
        <f t="shared" si="52"/>
        <v>0</v>
      </c>
      <c r="Z33" s="933">
        <f t="shared" si="53"/>
        <v>0</v>
      </c>
      <c r="AA33" s="933">
        <f t="shared" si="54"/>
        <v>0</v>
      </c>
      <c r="AB33" s="933">
        <f t="shared" si="37"/>
        <v>0</v>
      </c>
      <c r="AC33" s="934">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372.96486399999992</v>
      </c>
      <c r="F34" s="883"/>
      <c r="G34" s="883"/>
      <c r="H34" s="883"/>
      <c r="I34" s="883">
        <f t="shared" si="36"/>
        <v>372.96486399999992</v>
      </c>
      <c r="J34" s="961"/>
      <c r="K34" s="940">
        <f>HLOOKUP($B$2,NEUConsumption,'Non-Energy Use'!C14)</f>
        <v>372.96486399999992</v>
      </c>
      <c r="L34" s="940"/>
      <c r="M34" s="940"/>
      <c r="N34" s="885">
        <f t="shared" si="43"/>
        <v>0</v>
      </c>
      <c r="O34" s="883">
        <f t="shared" si="44"/>
        <v>0</v>
      </c>
      <c r="P34" s="883">
        <f t="shared" si="45"/>
        <v>0</v>
      </c>
      <c r="Q34" s="883">
        <f t="shared" si="46"/>
        <v>0</v>
      </c>
      <c r="R34" s="883">
        <f t="shared" si="47"/>
        <v>0</v>
      </c>
      <c r="S34" s="886">
        <f t="shared" si="48"/>
        <v>0</v>
      </c>
      <c r="T34" s="883">
        <f t="shared" si="7"/>
        <v>0</v>
      </c>
      <c r="U34" s="931">
        <f>Factors!D44</f>
        <v>18.550649350649344</v>
      </c>
      <c r="V34" s="932">
        <f t="shared" si="49"/>
        <v>0</v>
      </c>
      <c r="W34" s="933">
        <f t="shared" si="50"/>
        <v>0</v>
      </c>
      <c r="X34" s="933">
        <f t="shared" si="51"/>
        <v>0</v>
      </c>
      <c r="Y34" s="933">
        <f t="shared" si="52"/>
        <v>0</v>
      </c>
      <c r="Z34" s="933">
        <f t="shared" si="53"/>
        <v>0</v>
      </c>
      <c r="AA34" s="933">
        <f t="shared" si="54"/>
        <v>0</v>
      </c>
      <c r="AB34" s="933">
        <f t="shared" si="37"/>
        <v>0</v>
      </c>
      <c r="AC34" s="934">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801.01322500000003</v>
      </c>
      <c r="F35" s="883"/>
      <c r="G35" s="883"/>
      <c r="H35" s="883"/>
      <c r="I35" s="883">
        <f t="shared" si="36"/>
        <v>801.01322500000003</v>
      </c>
      <c r="J35" s="961"/>
      <c r="K35" s="940">
        <f>HLOOKUP($B$2,NEUConsumption,'Non-Energy Use'!$C$15)</f>
        <v>801.01322500000003</v>
      </c>
      <c r="L35" s="940"/>
      <c r="M35" s="940"/>
      <c r="N35" s="885">
        <f t="shared" si="43"/>
        <v>0</v>
      </c>
      <c r="O35" s="883">
        <f t="shared" si="44"/>
        <v>0</v>
      </c>
      <c r="P35" s="883">
        <f t="shared" si="45"/>
        <v>0</v>
      </c>
      <c r="Q35" s="883">
        <f t="shared" si="46"/>
        <v>0</v>
      </c>
      <c r="R35" s="883">
        <f t="shared" si="47"/>
        <v>0</v>
      </c>
      <c r="S35" s="886">
        <f t="shared" si="48"/>
        <v>0</v>
      </c>
      <c r="T35" s="883">
        <f t="shared" si="7"/>
        <v>0</v>
      </c>
      <c r="U35" s="931">
        <f>Factors!D45</f>
        <v>20.170000000000002</v>
      </c>
      <c r="V35" s="932">
        <f t="shared" si="49"/>
        <v>0</v>
      </c>
      <c r="W35" s="933">
        <f t="shared" si="50"/>
        <v>0</v>
      </c>
      <c r="X35" s="933">
        <f t="shared" si="51"/>
        <v>0</v>
      </c>
      <c r="Y35" s="933">
        <f t="shared" si="52"/>
        <v>0</v>
      </c>
      <c r="Z35" s="933">
        <f t="shared" si="53"/>
        <v>0</v>
      </c>
      <c r="AA35" s="933">
        <f t="shared" si="54"/>
        <v>0</v>
      </c>
      <c r="AB35" s="933">
        <f t="shared" si="37"/>
        <v>0</v>
      </c>
      <c r="AC35" s="934">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931">
        <f>Factors!D46</f>
        <v>18.239999999999998</v>
      </c>
      <c r="V36" s="932">
        <f t="shared" si="49"/>
        <v>0</v>
      </c>
      <c r="W36" s="933">
        <f t="shared" si="50"/>
        <v>0</v>
      </c>
      <c r="X36" s="933">
        <f t="shared" si="51"/>
        <v>0</v>
      </c>
      <c r="Y36" s="933">
        <f t="shared" si="52"/>
        <v>0</v>
      </c>
      <c r="Z36" s="933">
        <f t="shared" si="53"/>
        <v>0</v>
      </c>
      <c r="AA36" s="933">
        <f t="shared" si="54"/>
        <v>0</v>
      </c>
      <c r="AB36" s="933">
        <f t="shared" si="37"/>
        <v>0</v>
      </c>
      <c r="AC36" s="934">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0.126</v>
      </c>
      <c r="E37" s="883">
        <f>HLOOKUP($B$2,'Consumption Input'!$E$5:$AQ$82,'Consumption Input'!$B42)</f>
        <v>721.29399999999998</v>
      </c>
      <c r="F37" s="883"/>
      <c r="G37" s="883">
        <f>HLOOKUP($B$2,'Consumption Input'!$E$5:$AQ$82,'Consumption Input'!$B63)</f>
        <v>80.555999999999997</v>
      </c>
      <c r="H37" s="883"/>
      <c r="I37" s="883">
        <f t="shared" si="36"/>
        <v>801.976</v>
      </c>
      <c r="J37" s="961"/>
      <c r="K37" s="940">
        <f>HLOOKUP($B$2,NEUConsumption,'Non-Energy Use'!$C$17)</f>
        <v>120.61074349815493</v>
      </c>
      <c r="L37" s="940"/>
      <c r="M37" s="940"/>
      <c r="N37" s="885">
        <f t="shared" si="43"/>
        <v>0</v>
      </c>
      <c r="O37" s="883">
        <f t="shared" si="44"/>
        <v>0.126</v>
      </c>
      <c r="P37" s="883">
        <f t="shared" si="45"/>
        <v>600.68325650184511</v>
      </c>
      <c r="Q37" s="883">
        <f t="shared" si="46"/>
        <v>0</v>
      </c>
      <c r="R37" s="883">
        <f t="shared" si="47"/>
        <v>80.555999999999997</v>
      </c>
      <c r="S37" s="886">
        <f t="shared" si="48"/>
        <v>0</v>
      </c>
      <c r="T37" s="883">
        <f t="shared" si="7"/>
        <v>681.36525650184512</v>
      </c>
      <c r="U37" s="931">
        <f>Factors!D48</f>
        <v>27.84770010865628</v>
      </c>
      <c r="V37" s="932">
        <f t="shared" si="49"/>
        <v>0</v>
      </c>
      <c r="W37" s="933">
        <f t="shared" si="50"/>
        <v>3.5088102136906912E-3</v>
      </c>
      <c r="X37" s="933">
        <f t="shared" si="51"/>
        <v>16.727647187354439</v>
      </c>
      <c r="Y37" s="933">
        <f t="shared" si="52"/>
        <v>0</v>
      </c>
      <c r="Z37" s="933">
        <f t="shared" si="53"/>
        <v>2.2432993299529151</v>
      </c>
      <c r="AA37" s="933">
        <f t="shared" si="54"/>
        <v>0</v>
      </c>
      <c r="AB37" s="933">
        <f t="shared" si="37"/>
        <v>18.974455327521046</v>
      </c>
      <c r="AC37" s="934">
        <f>Factors!E48</f>
        <v>1</v>
      </c>
      <c r="AD37" s="885">
        <f t="shared" si="55"/>
        <v>0</v>
      </c>
      <c r="AE37" s="883">
        <f t="shared" si="56"/>
        <v>3.5088102136906912E-3</v>
      </c>
      <c r="AF37" s="883">
        <f t="shared" si="57"/>
        <v>16.727647187354439</v>
      </c>
      <c r="AG37" s="883">
        <f t="shared" si="58"/>
        <v>0</v>
      </c>
      <c r="AH37" s="883">
        <f t="shared" si="59"/>
        <v>2.2432993299529151</v>
      </c>
      <c r="AI37" s="883">
        <f t="shared" si="60"/>
        <v>0</v>
      </c>
      <c r="AJ37" s="889">
        <f t="shared" si="9"/>
        <v>18.974455327521046</v>
      </c>
      <c r="AK37" s="885">
        <f t="shared" si="30"/>
        <v>0</v>
      </c>
      <c r="AL37" s="883">
        <f t="shared" si="31"/>
        <v>1.28656374501992E-2</v>
      </c>
      <c r="AM37" s="883">
        <f t="shared" si="32"/>
        <v>61.334706353632939</v>
      </c>
      <c r="AN37" s="883">
        <f t="shared" si="33"/>
        <v>0</v>
      </c>
      <c r="AO37" s="883">
        <f t="shared" si="34"/>
        <v>8.2254308764940216</v>
      </c>
      <c r="AP37" s="883">
        <f t="shared" si="35"/>
        <v>0</v>
      </c>
      <c r="AQ37" s="890">
        <f t="shared" si="38"/>
        <v>69.573002867577159</v>
      </c>
    </row>
    <row r="38" spans="1:43">
      <c r="A38" s="817"/>
      <c r="B38" s="865" t="s">
        <v>1618</v>
      </c>
      <c r="C38" s="883"/>
      <c r="D38" s="883"/>
      <c r="E38" s="883">
        <f>HLOOKUP($B$2,'Consumption Input'!$E$5:$AQ$82,'Consumption Input'!$B43)</f>
        <v>1417.452</v>
      </c>
      <c r="F38" s="883"/>
      <c r="G38" s="883"/>
      <c r="H38" s="883"/>
      <c r="I38" s="883">
        <f t="shared" si="36"/>
        <v>1417.452</v>
      </c>
      <c r="J38" s="961"/>
      <c r="K38" s="940">
        <f>HLOOKUP($B$2,NEUConsumption,'Non-Energy Use'!$C$16)</f>
        <v>47.903999999999805</v>
      </c>
      <c r="L38" s="940"/>
      <c r="M38" s="940"/>
      <c r="N38" s="885">
        <f t="shared" si="43"/>
        <v>0</v>
      </c>
      <c r="O38" s="883">
        <f t="shared" si="44"/>
        <v>0</v>
      </c>
      <c r="P38" s="883">
        <f t="shared" si="45"/>
        <v>1369.5480000000002</v>
      </c>
      <c r="Q38" s="883">
        <f t="shared" si="46"/>
        <v>0</v>
      </c>
      <c r="R38" s="883">
        <f t="shared" si="47"/>
        <v>0</v>
      </c>
      <c r="S38" s="886">
        <f t="shared" si="48"/>
        <v>0</v>
      </c>
      <c r="T38" s="883">
        <f t="shared" si="7"/>
        <v>1369.5480000000002</v>
      </c>
      <c r="U38" s="931">
        <f>Factors!D51</f>
        <v>18.195454545454545</v>
      </c>
      <c r="V38" s="932">
        <f t="shared" si="49"/>
        <v>0</v>
      </c>
      <c r="W38" s="933">
        <f t="shared" si="50"/>
        <v>0</v>
      </c>
      <c r="X38" s="933">
        <f t="shared" si="51"/>
        <v>24.919548381818185</v>
      </c>
      <c r="Y38" s="933">
        <f t="shared" si="52"/>
        <v>0</v>
      </c>
      <c r="Z38" s="933">
        <f t="shared" si="53"/>
        <v>0</v>
      </c>
      <c r="AA38" s="933">
        <f t="shared" si="54"/>
        <v>0</v>
      </c>
      <c r="AB38" s="933">
        <f t="shared" si="37"/>
        <v>24.919548381818185</v>
      </c>
      <c r="AC38" s="934">
        <f>Factors!E51</f>
        <v>1</v>
      </c>
      <c r="AD38" s="885">
        <f t="shared" si="55"/>
        <v>0</v>
      </c>
      <c r="AE38" s="883">
        <f t="shared" si="56"/>
        <v>0</v>
      </c>
      <c r="AF38" s="883">
        <f t="shared" si="57"/>
        <v>24.919548381818185</v>
      </c>
      <c r="AG38" s="883">
        <f t="shared" si="58"/>
        <v>0</v>
      </c>
      <c r="AH38" s="883">
        <f t="shared" si="59"/>
        <v>0</v>
      </c>
      <c r="AI38" s="883">
        <f t="shared" si="60"/>
        <v>0</v>
      </c>
      <c r="AJ38" s="889">
        <f t="shared" si="9"/>
        <v>24.919548381818185</v>
      </c>
      <c r="AK38" s="885">
        <f t="shared" si="30"/>
        <v>0</v>
      </c>
      <c r="AL38" s="883">
        <f t="shared" si="31"/>
        <v>0</v>
      </c>
      <c r="AM38" s="883">
        <f t="shared" si="32"/>
        <v>91.37167740000001</v>
      </c>
      <c r="AN38" s="883">
        <f t="shared" si="33"/>
        <v>0</v>
      </c>
      <c r="AO38" s="883">
        <f t="shared" si="34"/>
        <v>0</v>
      </c>
      <c r="AP38" s="883">
        <f t="shared" si="35"/>
        <v>0</v>
      </c>
      <c r="AQ38" s="890">
        <f t="shared" si="38"/>
        <v>91.37167740000001</v>
      </c>
    </row>
    <row r="39" spans="1:43">
      <c r="A39" s="817"/>
      <c r="B39" s="865" t="s">
        <v>1619</v>
      </c>
      <c r="C39" s="883"/>
      <c r="D39" s="883"/>
      <c r="E39" s="883">
        <f>HLOOKUP($B$2,'Consumption Input'!$E$5:$AQ$82,'Consumption Input'!$B44)</f>
        <v>70.821759999999998</v>
      </c>
      <c r="F39" s="883"/>
      <c r="G39" s="883"/>
      <c r="H39" s="883"/>
      <c r="I39" s="883">
        <f t="shared" si="36"/>
        <v>70.821759999999998</v>
      </c>
      <c r="J39" s="961"/>
      <c r="K39" s="940">
        <f>HLOOKUP($B$2,NEUConsumption,'Non-Energy Use'!$C$18)</f>
        <v>70.821759999999998</v>
      </c>
      <c r="L39" s="940"/>
      <c r="M39" s="940"/>
      <c r="N39" s="885">
        <f t="shared" si="43"/>
        <v>0</v>
      </c>
      <c r="O39" s="883">
        <f t="shared" si="44"/>
        <v>0</v>
      </c>
      <c r="P39" s="883">
        <f t="shared" si="45"/>
        <v>0</v>
      </c>
      <c r="Q39" s="883">
        <f t="shared" si="46"/>
        <v>0</v>
      </c>
      <c r="R39" s="883">
        <f t="shared" si="47"/>
        <v>0</v>
      </c>
      <c r="S39" s="886">
        <f t="shared" si="48"/>
        <v>0</v>
      </c>
      <c r="T39" s="883">
        <f t="shared" si="7"/>
        <v>0</v>
      </c>
      <c r="U39" s="931">
        <f>Factors!D37</f>
        <v>19.737389135254986</v>
      </c>
      <c r="V39" s="932">
        <f t="shared" si="49"/>
        <v>0</v>
      </c>
      <c r="W39" s="933">
        <f t="shared" si="50"/>
        <v>0</v>
      </c>
      <c r="X39" s="933">
        <f t="shared" si="51"/>
        <v>0</v>
      </c>
      <c r="Y39" s="933">
        <f t="shared" si="52"/>
        <v>0</v>
      </c>
      <c r="Z39" s="933">
        <f t="shared" si="53"/>
        <v>0</v>
      </c>
      <c r="AA39" s="933">
        <f t="shared" si="54"/>
        <v>0</v>
      </c>
      <c r="AB39" s="933">
        <f t="shared" si="37"/>
        <v>0</v>
      </c>
      <c r="AC39" s="934">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931">
        <f>HLOOKUP($B$2,Factors!$J$12:$Y$25,Factors!$H24)</f>
        <v>20.20671239517241</v>
      </c>
      <c r="V40" s="932">
        <f t="shared" si="49"/>
        <v>0</v>
      </c>
      <c r="W40" s="933">
        <f t="shared" si="50"/>
        <v>0</v>
      </c>
      <c r="X40" s="933">
        <f t="shared" si="51"/>
        <v>0</v>
      </c>
      <c r="Y40" s="933">
        <f t="shared" si="52"/>
        <v>0</v>
      </c>
      <c r="Z40" s="933">
        <f t="shared" si="53"/>
        <v>0</v>
      </c>
      <c r="AA40" s="933">
        <f t="shared" si="54"/>
        <v>0</v>
      </c>
      <c r="AB40" s="933">
        <f t="shared" si="37"/>
        <v>0</v>
      </c>
      <c r="AC40" s="934">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40.591746999999998</v>
      </c>
      <c r="F41" s="883"/>
      <c r="G41" s="883"/>
      <c r="H41" s="883"/>
      <c r="I41" s="883">
        <f t="shared" si="36"/>
        <v>40.591746999999998</v>
      </c>
      <c r="J41" s="961"/>
      <c r="K41" s="940">
        <f>HLOOKUP($B$2,NEUConsumption,'Non-Energy Use'!$C$21)</f>
        <v>40.591746999999998</v>
      </c>
      <c r="L41" s="940"/>
      <c r="M41" s="940"/>
      <c r="N41" s="885">
        <f t="shared" si="43"/>
        <v>0</v>
      </c>
      <c r="O41" s="883">
        <f t="shared" si="44"/>
        <v>0</v>
      </c>
      <c r="P41" s="883">
        <f t="shared" si="45"/>
        <v>0</v>
      </c>
      <c r="Q41" s="883">
        <f t="shared" si="46"/>
        <v>0</v>
      </c>
      <c r="R41" s="883">
        <f t="shared" si="47"/>
        <v>0</v>
      </c>
      <c r="S41" s="886">
        <f t="shared" si="48"/>
        <v>0</v>
      </c>
      <c r="T41" s="883">
        <f t="shared" si="7"/>
        <v>0</v>
      </c>
      <c r="U41" s="931">
        <f>Factors!D55</f>
        <v>19.795754182606267</v>
      </c>
      <c r="V41" s="941">
        <f t="shared" si="49"/>
        <v>0</v>
      </c>
      <c r="W41" s="942">
        <f t="shared" si="50"/>
        <v>0</v>
      </c>
      <c r="X41" s="942">
        <f t="shared" si="51"/>
        <v>0</v>
      </c>
      <c r="Y41" s="942">
        <f t="shared" si="52"/>
        <v>0</v>
      </c>
      <c r="Z41" s="942">
        <f t="shared" si="53"/>
        <v>0</v>
      </c>
      <c r="AA41" s="942">
        <f t="shared" si="54"/>
        <v>0</v>
      </c>
      <c r="AB41" s="933">
        <f t="shared" si="37"/>
        <v>0</v>
      </c>
      <c r="AC41" s="934">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45.646614975556005</v>
      </c>
      <c r="H42" s="917"/>
      <c r="I42" s="917">
        <f>G42</f>
        <v>45.646614975556005</v>
      </c>
      <c r="J42" s="968"/>
      <c r="K42" s="969"/>
      <c r="L42" s="970"/>
      <c r="M42" s="971"/>
      <c r="N42" s="917">
        <f t="shared" si="43"/>
        <v>0</v>
      </c>
      <c r="O42" s="917">
        <f t="shared" si="44"/>
        <v>0</v>
      </c>
      <c r="P42" s="917">
        <f>E42</f>
        <v>0</v>
      </c>
      <c r="Q42" s="917">
        <f>F42</f>
        <v>0</v>
      </c>
      <c r="R42" s="917">
        <f t="shared" si="47"/>
        <v>45.646614975556005</v>
      </c>
      <c r="S42" s="917">
        <f>H42</f>
        <v>0</v>
      </c>
      <c r="T42" s="917">
        <f t="shared" si="7"/>
        <v>45.646614975556005</v>
      </c>
      <c r="U42" s="953">
        <f>Factors!D56</f>
        <v>2.6974658424810825</v>
      </c>
      <c r="V42" s="954"/>
      <c r="W42" s="954"/>
      <c r="X42" s="954"/>
      <c r="Y42" s="954"/>
      <c r="Z42" s="954">
        <f>INDEX(Geothermal!$C$14:$AE$18,MATCH("Total",Geothermal!$C$14:$C$18,0),MATCH($B$2,Geothermal!$C$14:$AE$14,0))/CtoCO2</f>
        <v>0.11669928971613348</v>
      </c>
      <c r="AA42" s="954"/>
      <c r="AB42" s="954">
        <f t="shared" si="37"/>
        <v>0.11669928971613348</v>
      </c>
      <c r="AC42" s="955">
        <f>Factors!$E$56</f>
        <v>1</v>
      </c>
      <c r="AD42" s="917">
        <f t="shared" si="55"/>
        <v>0</v>
      </c>
      <c r="AE42" s="917">
        <f t="shared" si="56"/>
        <v>0</v>
      </c>
      <c r="AF42" s="917">
        <f t="shared" si="57"/>
        <v>0</v>
      </c>
      <c r="AG42" s="917">
        <f t="shared" si="58"/>
        <v>0</v>
      </c>
      <c r="AH42" s="917">
        <f t="shared" si="59"/>
        <v>0.11669928971613348</v>
      </c>
      <c r="AI42" s="917">
        <f t="shared" si="60"/>
        <v>0</v>
      </c>
      <c r="AJ42" s="920">
        <f t="shared" si="9"/>
        <v>0.11669928971613348</v>
      </c>
      <c r="AK42" s="919">
        <f t="shared" si="30"/>
        <v>0</v>
      </c>
      <c r="AL42" s="917">
        <f t="shared" si="31"/>
        <v>0</v>
      </c>
      <c r="AM42" s="917">
        <f t="shared" si="32"/>
        <v>0</v>
      </c>
      <c r="AN42" s="917">
        <f t="shared" si="33"/>
        <v>0</v>
      </c>
      <c r="AO42" s="917">
        <f t="shared" si="34"/>
        <v>0.42789739562582274</v>
      </c>
      <c r="AP42" s="917">
        <f t="shared" si="35"/>
        <v>0</v>
      </c>
      <c r="AQ42" s="920">
        <f t="shared" si="38"/>
        <v>0.42789739562582274</v>
      </c>
    </row>
    <row r="43" spans="1:43" ht="11.1" thickBot="1">
      <c r="A43" s="817"/>
      <c r="B43" s="867" t="s">
        <v>1740</v>
      </c>
      <c r="C43" s="922">
        <f>C8+C17+C18+C42</f>
        <v>6230.9598536056765</v>
      </c>
      <c r="D43" s="922">
        <f>D8+D17+D18+D42</f>
        <v>3936.8559134378102</v>
      </c>
      <c r="E43" s="922">
        <f>E8+E17+E18+E42</f>
        <v>19146.001280976372</v>
      </c>
      <c r="F43" s="922">
        <f>F8+F17+F18+F42</f>
        <v>23773.976469330817</v>
      </c>
      <c r="G43" s="922">
        <f>G8+G17+G18+G42</f>
        <v>22568.407614975556</v>
      </c>
      <c r="H43" s="922">
        <f>H16+H17+H18+H42</f>
        <v>350.48865848592732</v>
      </c>
      <c r="I43" s="922">
        <f>SUM(C43:H43)</f>
        <v>76006.689790812175</v>
      </c>
      <c r="J43" s="972">
        <f t="shared" ref="J43:S43" si="65">J8+J17+J18+J42</f>
        <v>1354.0022633974627</v>
      </c>
      <c r="K43" s="973">
        <f t="shared" si="65"/>
        <v>4985.8873569408806</v>
      </c>
      <c r="L43" s="974">
        <f t="shared" si="65"/>
        <v>167.91300000000001</v>
      </c>
      <c r="M43" s="975">
        <f t="shared" si="65"/>
        <v>55.440855107745996</v>
      </c>
      <c r="N43" s="922">
        <f t="shared" si="65"/>
        <v>6230.9598536056765</v>
      </c>
      <c r="O43" s="922">
        <f t="shared" si="65"/>
        <v>3936.8559134378102</v>
      </c>
      <c r="P43" s="922">
        <f t="shared" si="65"/>
        <v>14160.11392403549</v>
      </c>
      <c r="Q43" s="922">
        <f t="shared" si="65"/>
        <v>22252.061205933354</v>
      </c>
      <c r="R43" s="922">
        <f t="shared" si="65"/>
        <v>22568.407614975556</v>
      </c>
      <c r="S43" s="922">
        <f t="shared" si="65"/>
        <v>295.0478033781813</v>
      </c>
      <c r="T43" s="922">
        <f t="shared" si="7"/>
        <v>69443.446315366076</v>
      </c>
      <c r="U43" s="956" t="s">
        <v>1731</v>
      </c>
      <c r="V43" s="957">
        <f t="shared" ref="V43:AA43" si="66">V8+V17+V18+V42</f>
        <v>96.309156989495364</v>
      </c>
      <c r="W43" s="957">
        <f t="shared" si="66"/>
        <v>62.123752644106872</v>
      </c>
      <c r="X43" s="957">
        <f t="shared" si="66"/>
        <v>245.63723415568396</v>
      </c>
      <c r="Y43" s="957">
        <f t="shared" si="66"/>
        <v>431.09396118795655</v>
      </c>
      <c r="Z43" s="957">
        <f t="shared" si="66"/>
        <v>531.04724669669417</v>
      </c>
      <c r="AA43" s="957">
        <f t="shared" si="66"/>
        <v>5.8768879467707684</v>
      </c>
      <c r="AB43" s="957">
        <f t="shared" si="37"/>
        <v>1372.0882396207076</v>
      </c>
      <c r="AC43" s="958" t="s">
        <v>1731</v>
      </c>
      <c r="AD43" s="922">
        <f t="shared" ref="AD43:AQ43" si="67">AD8+AD17+AD18+AD42</f>
        <v>96.309156989495364</v>
      </c>
      <c r="AE43" s="922">
        <f t="shared" si="67"/>
        <v>62.123752644106872</v>
      </c>
      <c r="AF43" s="922">
        <f t="shared" si="67"/>
        <v>245.63723415568396</v>
      </c>
      <c r="AG43" s="922">
        <f t="shared" si="67"/>
        <v>431.09396118795655</v>
      </c>
      <c r="AH43" s="922">
        <f t="shared" si="67"/>
        <v>531.04724669669417</v>
      </c>
      <c r="AI43" s="922">
        <f t="shared" si="67"/>
        <v>5.8768879467707684</v>
      </c>
      <c r="AJ43" s="925">
        <f t="shared" si="67"/>
        <v>1372.0882396207076</v>
      </c>
      <c r="AK43" s="922">
        <f t="shared" si="67"/>
        <v>353.13357562814963</v>
      </c>
      <c r="AL43" s="922">
        <f t="shared" si="67"/>
        <v>227.78709302839189</v>
      </c>
      <c r="AM43" s="922">
        <f t="shared" si="67"/>
        <v>900.66985857084114</v>
      </c>
      <c r="AN43" s="922">
        <f t="shared" si="67"/>
        <v>1580.6778576891738</v>
      </c>
      <c r="AO43" s="922">
        <f t="shared" si="67"/>
        <v>1947.1732378878787</v>
      </c>
      <c r="AP43" s="922">
        <f t="shared" si="67"/>
        <v>21.548589138159482</v>
      </c>
      <c r="AQ43" s="925">
        <f t="shared" si="67"/>
        <v>5030.9902119425951</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horizontalCentered="1" gridLines="1" gridLinesSet="0"/>
  <pageMargins left="0.5" right="0.5" top="1" bottom="0.75" header="0.27" footer="0.21"/>
  <pageSetup scale="32"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ransitionEvaluation="1" transitionEntry="1" codeName="Sheet24">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3" width="7" style="152" customWidth="1"/>
    <col min="14" max="14" width="8.6640625" style="152" customWidth="1"/>
    <col min="15"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1996</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1747</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16.583999999999996</v>
      </c>
      <c r="D8" s="876">
        <f t="shared" si="4"/>
        <v>121.613</v>
      </c>
      <c r="E8" s="876">
        <f t="shared" si="4"/>
        <v>1518.8016120373138</v>
      </c>
      <c r="F8" s="876">
        <f t="shared" si="4"/>
        <v>0</v>
      </c>
      <c r="G8" s="876">
        <f t="shared" si="4"/>
        <v>18429.026999999998</v>
      </c>
      <c r="H8" s="876">
        <f t="shared" si="4"/>
        <v>4.7934009221999334</v>
      </c>
      <c r="I8" s="876">
        <f t="shared" ref="I8:I14" si="5">SUM(C8:H8)</f>
        <v>20090.819012959513</v>
      </c>
      <c r="J8" s="959"/>
      <c r="K8" s="960">
        <f>SUM(K9:K16)</f>
        <v>34.699964121259946</v>
      </c>
      <c r="L8" s="960">
        <f>SUM(L9:L16)</f>
        <v>0</v>
      </c>
      <c r="M8" s="960"/>
      <c r="N8" s="878">
        <f t="shared" ref="N8:S8" si="6">SUM(N9:N16)</f>
        <v>16.583999999999996</v>
      </c>
      <c r="O8" s="876">
        <f t="shared" si="6"/>
        <v>121.613</v>
      </c>
      <c r="P8" s="876">
        <f t="shared" si="6"/>
        <v>1484.1016479160539</v>
      </c>
      <c r="Q8" s="876">
        <f t="shared" si="6"/>
        <v>0</v>
      </c>
      <c r="R8" s="876">
        <f t="shared" si="6"/>
        <v>18429.026999999998</v>
      </c>
      <c r="S8" s="879">
        <f t="shared" si="6"/>
        <v>4.7934009221999334</v>
      </c>
      <c r="T8" s="876">
        <f t="shared" ref="T8:T43" si="7">SUM(N8:S8)</f>
        <v>20056.119048838253</v>
      </c>
      <c r="U8" s="928" t="s">
        <v>1731</v>
      </c>
      <c r="V8" s="929">
        <f>SUM(V9:V16)</f>
        <v>0.43161277993134528</v>
      </c>
      <c r="W8" s="929">
        <f>SUM(W9:W16)</f>
        <v>3.1650823085980888</v>
      </c>
      <c r="X8" s="929">
        <f>SUM(X9:X16)</f>
        <v>38.206194208458498</v>
      </c>
      <c r="Y8" s="929"/>
      <c r="Z8" s="929">
        <f>SUM(Z9:Z16)</f>
        <v>477.68819856190441</v>
      </c>
      <c r="AA8" s="929">
        <f>SUM(AA9:AA16)</f>
        <v>0.12050609918410633</v>
      </c>
      <c r="AB8" s="929">
        <f t="shared" ref="AB8:AB13" si="8">SUM(V8:AA8)</f>
        <v>519.61159395807647</v>
      </c>
      <c r="AC8" s="930" t="s">
        <v>1731</v>
      </c>
      <c r="AD8" s="878">
        <f>SUM(AD9:AD16)</f>
        <v>0.43161277993134528</v>
      </c>
      <c r="AE8" s="876">
        <f>SUM(AE9:AE16)</f>
        <v>3.1650823085980888</v>
      </c>
      <c r="AF8" s="876">
        <f>SUM(AF9:AF16)</f>
        <v>38.206194208458498</v>
      </c>
      <c r="AG8" s="876" t="s">
        <v>108</v>
      </c>
      <c r="AH8" s="876">
        <f>SUM(AH9:AH16)</f>
        <v>477.68819856190441</v>
      </c>
      <c r="AI8" s="876">
        <f>SUM(AI9:AI16)</f>
        <v>0.12050609918410633</v>
      </c>
      <c r="AJ8" s="876">
        <f t="shared" ref="AJ8:AJ42" si="9">SUM(AD8:AI8)</f>
        <v>519.61159395807647</v>
      </c>
      <c r="AK8" s="878">
        <f t="shared" ref="AK8:AP8" si="10">SUM(AK9:AK16)</f>
        <v>1.5825801930815993</v>
      </c>
      <c r="AL8" s="876">
        <f t="shared" si="10"/>
        <v>11.605301798192992</v>
      </c>
      <c r="AM8" s="876">
        <f t="shared" si="10"/>
        <v>140.08937876434783</v>
      </c>
      <c r="AN8" s="876">
        <f t="shared" si="10"/>
        <v>0</v>
      </c>
      <c r="AO8" s="876">
        <f t="shared" si="10"/>
        <v>1751.5233947269828</v>
      </c>
      <c r="AP8" s="876">
        <f t="shared" si="10"/>
        <v>0.44185569700838989</v>
      </c>
      <c r="AQ8" s="882">
        <f t="shared" ref="AQ8:AQ14" si="11">SUM(AK8:AP8)</f>
        <v>1905.2425111796135</v>
      </c>
    </row>
    <row r="9" spans="1:43">
      <c r="A9" s="817"/>
      <c r="B9" s="860" t="s">
        <v>1732</v>
      </c>
      <c r="C9" s="883">
        <f>HLOOKUP($B$2,'Consumption Input'!$E$5:$AQ$82,'Consumption Input'!$B7)</f>
        <v>16.583999999999996</v>
      </c>
      <c r="D9" s="883"/>
      <c r="E9" s="883"/>
      <c r="F9" s="883"/>
      <c r="G9" s="883"/>
      <c r="H9" s="883"/>
      <c r="I9" s="883">
        <f t="shared" si="5"/>
        <v>16.583999999999996</v>
      </c>
      <c r="J9" s="961"/>
      <c r="K9" s="940"/>
      <c r="L9" s="940"/>
      <c r="M9" s="940"/>
      <c r="N9" s="885">
        <f t="shared" ref="N9:N17" si="12">C9</f>
        <v>16.583999999999996</v>
      </c>
      <c r="O9" s="883">
        <f t="shared" ref="O9:O17" si="13">D9</f>
        <v>0</v>
      </c>
      <c r="P9" s="883">
        <f t="shared" ref="P9:P17" si="14">E9-K9</f>
        <v>0</v>
      </c>
      <c r="Q9" s="883">
        <f t="shared" ref="Q9:Q17" si="15">F9</f>
        <v>0</v>
      </c>
      <c r="R9" s="883">
        <f t="shared" ref="R9:R17" si="16">G9</f>
        <v>0</v>
      </c>
      <c r="S9" s="886">
        <f t="shared" ref="S9:S17" si="17">H9</f>
        <v>0</v>
      </c>
      <c r="T9" s="883">
        <f t="shared" si="7"/>
        <v>16.583999999999996</v>
      </c>
      <c r="U9" s="931">
        <f>HLOOKUP($B$2,Factors!$J$12:$Y$25,Factors!$H13)</f>
        <v>26.025855036863565</v>
      </c>
      <c r="V9" s="932">
        <f t="shared" ref="V9:V17" si="18">N9*$U9*TbtuToQBtu</f>
        <v>0.43161277993134528</v>
      </c>
      <c r="W9" s="933">
        <f t="shared" ref="W9:W17" si="19">O9*$U9*TbtuToQBtu</f>
        <v>0</v>
      </c>
      <c r="X9" s="933">
        <f t="shared" ref="X9:X17" si="20">P9*$U9*TbtuToQBtu</f>
        <v>0</v>
      </c>
      <c r="Y9" s="933">
        <f t="shared" ref="Y9:Y17" si="21">Q9*$U9*TbtuToQBtu</f>
        <v>0</v>
      </c>
      <c r="Z9" s="933">
        <f t="shared" ref="Z9:Z17" si="22">R9*$U9*TbtuToQBtu</f>
        <v>0</v>
      </c>
      <c r="AA9" s="933">
        <f t="shared" ref="AA9:AA17" si="23">S9*$U9*TbtuToQBtu</f>
        <v>0</v>
      </c>
      <c r="AB9" s="933">
        <f t="shared" si="8"/>
        <v>0.43161277993134528</v>
      </c>
      <c r="AC9" s="934">
        <f>Factors!E10</f>
        <v>1</v>
      </c>
      <c r="AD9" s="885">
        <f t="shared" ref="AD9:AD17" si="24">V9*$AC9</f>
        <v>0.43161277993134528</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0.43161277993134528</v>
      </c>
      <c r="AK9" s="885">
        <f t="shared" ref="AK9:AK42" si="30">AD9*CtoCO2</f>
        <v>1.5825801930815993</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1.5825801930815993</v>
      </c>
    </row>
    <row r="10" spans="1:43">
      <c r="A10" s="817"/>
      <c r="B10" s="860" t="s">
        <v>1733</v>
      </c>
      <c r="C10" s="883"/>
      <c r="D10" s="883">
        <f>HLOOKUP($B$2,'Consumption Input'!$E$5:$AQ$82,'Consumption Input'!$B13)</f>
        <v>121.613</v>
      </c>
      <c r="E10" s="883"/>
      <c r="F10" s="883"/>
      <c r="G10" s="883"/>
      <c r="H10" s="883"/>
      <c r="I10" s="883">
        <f t="shared" si="5"/>
        <v>121.613</v>
      </c>
      <c r="J10" s="961"/>
      <c r="K10" s="940"/>
      <c r="L10" s="940"/>
      <c r="M10" s="940"/>
      <c r="N10" s="885">
        <f t="shared" si="12"/>
        <v>0</v>
      </c>
      <c r="O10" s="883">
        <f t="shared" si="13"/>
        <v>121.613</v>
      </c>
      <c r="P10" s="883">
        <f t="shared" si="14"/>
        <v>0</v>
      </c>
      <c r="Q10" s="883">
        <f t="shared" si="15"/>
        <v>0</v>
      </c>
      <c r="R10" s="883">
        <f t="shared" si="16"/>
        <v>0</v>
      </c>
      <c r="S10" s="886">
        <f t="shared" si="17"/>
        <v>0</v>
      </c>
      <c r="T10" s="883">
        <f t="shared" si="7"/>
        <v>121.613</v>
      </c>
      <c r="U10" s="931">
        <f>HLOOKUP($B$2,Factors!$J$12:$Y$25,Factors!$H14)</f>
        <v>26.025855036863565</v>
      </c>
      <c r="V10" s="932">
        <f t="shared" si="18"/>
        <v>0</v>
      </c>
      <c r="W10" s="933">
        <f t="shared" si="19"/>
        <v>3.1650823085980888</v>
      </c>
      <c r="X10" s="933">
        <f t="shared" si="20"/>
        <v>0</v>
      </c>
      <c r="Y10" s="933">
        <f t="shared" si="21"/>
        <v>0</v>
      </c>
      <c r="Z10" s="933">
        <f t="shared" si="22"/>
        <v>0</v>
      </c>
      <c r="AA10" s="933">
        <f t="shared" si="23"/>
        <v>0</v>
      </c>
      <c r="AB10" s="933">
        <f t="shared" si="8"/>
        <v>3.1650823085980888</v>
      </c>
      <c r="AC10" s="934">
        <f>Factors!E11</f>
        <v>1</v>
      </c>
      <c r="AD10" s="885">
        <f t="shared" si="24"/>
        <v>0</v>
      </c>
      <c r="AE10" s="883">
        <f t="shared" si="25"/>
        <v>3.1650823085980888</v>
      </c>
      <c r="AF10" s="883">
        <f t="shared" si="26"/>
        <v>0</v>
      </c>
      <c r="AG10" s="883">
        <f t="shared" si="27"/>
        <v>0</v>
      </c>
      <c r="AH10" s="883">
        <f t="shared" si="28"/>
        <v>0</v>
      </c>
      <c r="AI10" s="883">
        <f t="shared" si="29"/>
        <v>0</v>
      </c>
      <c r="AJ10" s="889">
        <f t="shared" si="9"/>
        <v>3.1650823085980888</v>
      </c>
      <c r="AK10" s="885">
        <f t="shared" si="30"/>
        <v>0</v>
      </c>
      <c r="AL10" s="883">
        <f t="shared" si="31"/>
        <v>11.605301798192992</v>
      </c>
      <c r="AM10" s="883">
        <f t="shared" si="32"/>
        <v>0</v>
      </c>
      <c r="AN10" s="883">
        <f t="shared" si="33"/>
        <v>0</v>
      </c>
      <c r="AO10" s="883">
        <f t="shared" si="34"/>
        <v>0</v>
      </c>
      <c r="AP10" s="883">
        <f t="shared" si="35"/>
        <v>0</v>
      </c>
      <c r="AQ10" s="890">
        <f t="shared" si="11"/>
        <v>11.605301798192992</v>
      </c>
    </row>
    <row r="11" spans="1:43" s="244" customFormat="1" hidden="1">
      <c r="A11" s="861"/>
      <c r="B11" s="862" t="s">
        <v>1734</v>
      </c>
      <c r="C11" s="891"/>
      <c r="D11" s="891"/>
      <c r="E11" s="891">
        <f>HLOOKUP($B$2,'Consumption Input'!$E$5:$AQ$82,'Consumption Input'!$B23)</f>
        <v>24.077376524524198</v>
      </c>
      <c r="F11" s="891"/>
      <c r="G11" s="891"/>
      <c r="H11" s="891"/>
      <c r="I11" s="891">
        <f t="shared" si="5"/>
        <v>24.077376524524198</v>
      </c>
      <c r="J11" s="962"/>
      <c r="K11" s="963">
        <f>HLOOKUP($B$2,NEUConsumption,'Non-Energy Use'!$C$7)</f>
        <v>24.077376524524198</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25.559723668433751</v>
      </c>
      <c r="V11" s="936">
        <f t="shared" si="18"/>
        <v>0</v>
      </c>
      <c r="W11" s="937">
        <f t="shared" si="19"/>
        <v>0</v>
      </c>
      <c r="X11" s="937">
        <f t="shared" si="20"/>
        <v>0</v>
      </c>
      <c r="Y11" s="937">
        <f t="shared" si="21"/>
        <v>0</v>
      </c>
      <c r="Z11" s="937">
        <f t="shared" si="22"/>
        <v>0</v>
      </c>
      <c r="AA11" s="937">
        <f t="shared" si="23"/>
        <v>0</v>
      </c>
      <c r="AB11" s="937">
        <f t="shared" si="8"/>
        <v>0</v>
      </c>
      <c r="AC11" s="938">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3">
      <c r="A12" s="817"/>
      <c r="B12" s="860" t="s">
        <v>1701</v>
      </c>
      <c r="C12" s="883"/>
      <c r="D12" s="883"/>
      <c r="E12" s="883">
        <f>HLOOKUP($B$2,'Consumption Input'!$E$5:$AQ$82,'Consumption Input'!$B24)</f>
        <v>1494.7242355127896</v>
      </c>
      <c r="F12" s="883"/>
      <c r="G12" s="883"/>
      <c r="H12" s="883"/>
      <c r="I12" s="883">
        <f t="shared" si="5"/>
        <v>1494.7242355127896</v>
      </c>
      <c r="J12" s="961"/>
      <c r="K12" s="940">
        <f>HLOOKUP($B$2,NEUConsumption,'Non-Energy Use'!$C$8)</f>
        <v>10.62258759673575</v>
      </c>
      <c r="L12" s="940"/>
      <c r="M12" s="940"/>
      <c r="N12" s="885">
        <f t="shared" si="12"/>
        <v>0</v>
      </c>
      <c r="O12" s="883">
        <f t="shared" si="13"/>
        <v>0</v>
      </c>
      <c r="P12" s="883">
        <f t="shared" si="14"/>
        <v>1484.1016479160539</v>
      </c>
      <c r="Q12" s="883">
        <f t="shared" si="15"/>
        <v>0</v>
      </c>
      <c r="R12" s="883">
        <f t="shared" si="16"/>
        <v>0</v>
      </c>
      <c r="S12" s="886">
        <f t="shared" si="17"/>
        <v>0</v>
      </c>
      <c r="T12" s="883">
        <f t="shared" si="7"/>
        <v>1484.1016479160539</v>
      </c>
      <c r="U12" s="931">
        <f>HLOOKUP($B$2,Factors!$J$12:$Y$25,Factors!$H15)</f>
        <v>25.743650552579652</v>
      </c>
      <c r="V12" s="932">
        <f t="shared" si="18"/>
        <v>0</v>
      </c>
      <c r="W12" s="933">
        <f t="shared" si="19"/>
        <v>0</v>
      </c>
      <c r="X12" s="933">
        <f t="shared" si="20"/>
        <v>38.206194208458498</v>
      </c>
      <c r="Y12" s="933">
        <f t="shared" si="21"/>
        <v>0</v>
      </c>
      <c r="Z12" s="933">
        <f t="shared" si="22"/>
        <v>0</v>
      </c>
      <c r="AA12" s="933">
        <f t="shared" si="23"/>
        <v>0</v>
      </c>
      <c r="AB12" s="933">
        <f t="shared" si="8"/>
        <v>38.206194208458498</v>
      </c>
      <c r="AC12" s="934">
        <f>Factors!E13</f>
        <v>1</v>
      </c>
      <c r="AD12" s="885">
        <f t="shared" si="24"/>
        <v>0</v>
      </c>
      <c r="AE12" s="883">
        <f t="shared" si="25"/>
        <v>0</v>
      </c>
      <c r="AF12" s="883">
        <f t="shared" si="26"/>
        <v>38.206194208458498</v>
      </c>
      <c r="AG12" s="883">
        <f t="shared" si="27"/>
        <v>0</v>
      </c>
      <c r="AH12" s="883">
        <f t="shared" si="28"/>
        <v>0</v>
      </c>
      <c r="AI12" s="883">
        <f t="shared" si="29"/>
        <v>0</v>
      </c>
      <c r="AJ12" s="889">
        <f t="shared" si="9"/>
        <v>38.206194208458498</v>
      </c>
      <c r="AK12" s="885">
        <f t="shared" si="30"/>
        <v>0</v>
      </c>
      <c r="AL12" s="883">
        <f t="shared" si="31"/>
        <v>0</v>
      </c>
      <c r="AM12" s="883">
        <f t="shared" si="32"/>
        <v>140.08937876434783</v>
      </c>
      <c r="AN12" s="883">
        <f t="shared" si="33"/>
        <v>0</v>
      </c>
      <c r="AO12" s="883">
        <f t="shared" si="34"/>
        <v>0</v>
      </c>
      <c r="AP12" s="883">
        <f t="shared" si="35"/>
        <v>0</v>
      </c>
      <c r="AQ12" s="890">
        <f t="shared" si="11"/>
        <v>140.08937876434783</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83">
        <f t="shared" si="7"/>
        <v>0</v>
      </c>
      <c r="U13" s="935">
        <f>Factors!D14</f>
        <v>27.85</v>
      </c>
      <c r="V13" s="936">
        <f t="shared" si="18"/>
        <v>0</v>
      </c>
      <c r="W13" s="937">
        <f t="shared" si="19"/>
        <v>0</v>
      </c>
      <c r="X13" s="937">
        <f t="shared" si="20"/>
        <v>0</v>
      </c>
      <c r="Y13" s="937">
        <f t="shared" si="21"/>
        <v>0</v>
      </c>
      <c r="Z13" s="937">
        <f t="shared" si="22"/>
        <v>0</v>
      </c>
      <c r="AA13" s="937">
        <f t="shared" si="23"/>
        <v>0</v>
      </c>
      <c r="AB13" s="937">
        <f t="shared" si="8"/>
        <v>0</v>
      </c>
      <c r="AC13" s="938">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931" t="str">
        <f>Factors!D15</f>
        <v>NC</v>
      </c>
      <c r="V14" s="932">
        <f t="shared" si="18"/>
        <v>0</v>
      </c>
      <c r="W14" s="933">
        <f t="shared" si="19"/>
        <v>0</v>
      </c>
      <c r="X14" s="933">
        <f t="shared" si="20"/>
        <v>0</v>
      </c>
      <c r="Y14" s="933">
        <f t="shared" si="21"/>
        <v>0</v>
      </c>
      <c r="Z14" s="933">
        <f t="shared" si="22"/>
        <v>0</v>
      </c>
      <c r="AA14" s="933">
        <f t="shared" si="23"/>
        <v>0</v>
      </c>
      <c r="AB14" s="933" t="s">
        <v>103</v>
      </c>
      <c r="AC14" s="934"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3">
      <c r="A15" s="817"/>
      <c r="B15" s="860" t="s">
        <v>1736</v>
      </c>
      <c r="C15" s="883"/>
      <c r="D15" s="883"/>
      <c r="E15" s="883"/>
      <c r="F15" s="883"/>
      <c r="G15" s="883">
        <f>HLOOKUP($B$2,'Consumption Input'!$E$5:$AQ$82,'Consumption Input'!$B58)</f>
        <v>18429.026999999998</v>
      </c>
      <c r="H15" s="883"/>
      <c r="I15" s="883">
        <f t="shared" ref="I15:I41" si="36">SUM(C15:H15)</f>
        <v>18429.026999999998</v>
      </c>
      <c r="J15" s="961"/>
      <c r="K15" s="940"/>
      <c r="L15" s="940"/>
      <c r="M15" s="940"/>
      <c r="N15" s="885">
        <f t="shared" si="12"/>
        <v>0</v>
      </c>
      <c r="O15" s="883">
        <f t="shared" si="13"/>
        <v>0</v>
      </c>
      <c r="P15" s="883">
        <f t="shared" si="14"/>
        <v>0</v>
      </c>
      <c r="Q15" s="883">
        <f t="shared" si="15"/>
        <v>0</v>
      </c>
      <c r="R15" s="883">
        <f t="shared" si="16"/>
        <v>18429.026999999998</v>
      </c>
      <c r="S15" s="886">
        <f t="shared" si="17"/>
        <v>0</v>
      </c>
      <c r="T15" s="883">
        <f t="shared" si="7"/>
        <v>18429.026999999998</v>
      </c>
      <c r="U15" s="931">
        <f>HLOOKUP($B$2,Factors!$J$12:$Y$25,Factors!$H16)</f>
        <v>25.920424261243117</v>
      </c>
      <c r="V15" s="932">
        <f t="shared" si="18"/>
        <v>0</v>
      </c>
      <c r="W15" s="933">
        <f t="shared" si="19"/>
        <v>0</v>
      </c>
      <c r="X15" s="933">
        <f t="shared" si="20"/>
        <v>0</v>
      </c>
      <c r="Y15" s="933">
        <f t="shared" si="21"/>
        <v>0</v>
      </c>
      <c r="Z15" s="933">
        <f t="shared" si="22"/>
        <v>477.68819856190441</v>
      </c>
      <c r="AA15" s="933">
        <f t="shared" si="23"/>
        <v>0</v>
      </c>
      <c r="AB15" s="933">
        <f t="shared" ref="AB15:AB43" si="37">SUM(V15:AA15)</f>
        <v>477.68819856190441</v>
      </c>
      <c r="AC15" s="934">
        <f>Factors!E16</f>
        <v>1</v>
      </c>
      <c r="AD15" s="885">
        <f t="shared" si="24"/>
        <v>0</v>
      </c>
      <c r="AE15" s="883">
        <f t="shared" si="25"/>
        <v>0</v>
      </c>
      <c r="AF15" s="883">
        <f t="shared" si="26"/>
        <v>0</v>
      </c>
      <c r="AG15" s="883">
        <f t="shared" si="27"/>
        <v>0</v>
      </c>
      <c r="AH15" s="883">
        <f t="shared" si="28"/>
        <v>477.68819856190441</v>
      </c>
      <c r="AI15" s="883">
        <f t="shared" si="29"/>
        <v>0</v>
      </c>
      <c r="AJ15" s="889">
        <f t="shared" si="9"/>
        <v>477.68819856190441</v>
      </c>
      <c r="AK15" s="885">
        <f t="shared" si="30"/>
        <v>0</v>
      </c>
      <c r="AL15" s="883">
        <f t="shared" si="31"/>
        <v>0</v>
      </c>
      <c r="AM15" s="883">
        <f t="shared" si="32"/>
        <v>0</v>
      </c>
      <c r="AN15" s="883">
        <f t="shared" si="33"/>
        <v>0</v>
      </c>
      <c r="AO15" s="883">
        <f t="shared" si="34"/>
        <v>1751.5233947269828</v>
      </c>
      <c r="AP15" s="883">
        <f t="shared" si="35"/>
        <v>0</v>
      </c>
      <c r="AQ15" s="890">
        <f t="shared" ref="AQ15:AQ42" si="38">SUM(AK15:AP15)</f>
        <v>1751.5233947269828</v>
      </c>
    </row>
    <row r="16" spans="1:43">
      <c r="A16" s="817"/>
      <c r="B16" s="860" t="s">
        <v>1737</v>
      </c>
      <c r="C16" s="883"/>
      <c r="D16" s="883"/>
      <c r="E16" s="883"/>
      <c r="F16" s="883"/>
      <c r="G16" s="883"/>
      <c r="H16" s="883">
        <f>HLOOKUP($B$2,'US Territories'!$D$28:$Z$38,'US Territories'!$B29)</f>
        <v>4.7934009221999334</v>
      </c>
      <c r="I16" s="883">
        <f t="shared" si="36"/>
        <v>4.7934009221999334</v>
      </c>
      <c r="J16" s="961"/>
      <c r="K16" s="940"/>
      <c r="L16" s="940"/>
      <c r="M16" s="940"/>
      <c r="N16" s="885">
        <f t="shared" si="12"/>
        <v>0</v>
      </c>
      <c r="O16" s="883">
        <f t="shared" si="13"/>
        <v>0</v>
      </c>
      <c r="P16" s="883">
        <f t="shared" si="14"/>
        <v>0</v>
      </c>
      <c r="Q16" s="883">
        <f t="shared" si="15"/>
        <v>0</v>
      </c>
      <c r="R16" s="883">
        <f t="shared" si="16"/>
        <v>0</v>
      </c>
      <c r="S16" s="886">
        <f t="shared" si="17"/>
        <v>4.7934009221999334</v>
      </c>
      <c r="T16" s="883">
        <f t="shared" si="7"/>
        <v>4.7934009221999334</v>
      </c>
      <c r="U16" s="931">
        <f>Factors!D17</f>
        <v>25.14</v>
      </c>
      <c r="V16" s="941">
        <f t="shared" si="18"/>
        <v>0</v>
      </c>
      <c r="W16" s="942">
        <f t="shared" si="19"/>
        <v>0</v>
      </c>
      <c r="X16" s="942">
        <f t="shared" si="20"/>
        <v>0</v>
      </c>
      <c r="Y16" s="942">
        <f t="shared" si="21"/>
        <v>0</v>
      </c>
      <c r="Z16" s="942">
        <f t="shared" si="22"/>
        <v>0</v>
      </c>
      <c r="AA16" s="942">
        <f t="shared" si="23"/>
        <v>0.12050609918410633</v>
      </c>
      <c r="AB16" s="933">
        <f t="shared" si="37"/>
        <v>0.12050609918410633</v>
      </c>
      <c r="AC16" s="934">
        <f>Factors!E17</f>
        <v>1</v>
      </c>
      <c r="AD16" s="899">
        <f t="shared" si="24"/>
        <v>0</v>
      </c>
      <c r="AE16" s="900">
        <f t="shared" si="25"/>
        <v>0</v>
      </c>
      <c r="AF16" s="900">
        <f t="shared" si="26"/>
        <v>0</v>
      </c>
      <c r="AG16" s="900">
        <f t="shared" si="27"/>
        <v>0</v>
      </c>
      <c r="AH16" s="900">
        <f t="shared" si="28"/>
        <v>0</v>
      </c>
      <c r="AI16" s="900">
        <f t="shared" si="29"/>
        <v>0.12050609918410633</v>
      </c>
      <c r="AJ16" s="889">
        <f t="shared" si="9"/>
        <v>0.12050609918410633</v>
      </c>
      <c r="AK16" s="885">
        <f t="shared" si="30"/>
        <v>0</v>
      </c>
      <c r="AL16" s="883">
        <f t="shared" si="31"/>
        <v>0</v>
      </c>
      <c r="AM16" s="883">
        <f t="shared" si="32"/>
        <v>0</v>
      </c>
      <c r="AN16" s="883">
        <f t="shared" si="33"/>
        <v>0</v>
      </c>
      <c r="AO16" s="883">
        <f t="shared" si="34"/>
        <v>0</v>
      </c>
      <c r="AP16" s="883">
        <f t="shared" si="35"/>
        <v>0.44185569700838989</v>
      </c>
      <c r="AQ16" s="890">
        <f t="shared" si="38"/>
        <v>0.44185569700838989</v>
      </c>
    </row>
    <row r="17" spans="1:43">
      <c r="A17" s="817"/>
      <c r="B17" s="863" t="s">
        <v>1439</v>
      </c>
      <c r="C17" s="901">
        <f>HLOOKUP($B$2,'Consumption Input'!$E$5:$AQ$82,'Consumption Input'!$B8)</f>
        <v>5354.3890000000001</v>
      </c>
      <c r="D17" s="901">
        <f>HLOOKUP($B$2,'Consumption Input'!$E$5:$AQ$82,'Consumption Input'!$B14)</f>
        <v>3226.317</v>
      </c>
      <c r="E17" s="901">
        <f>HLOOKUP($B$2,'Consumption Input'!$E$5:$AQ$82,'Consumption Input'!$B26)</f>
        <v>9386.3660914836473</v>
      </c>
      <c r="F17" s="901">
        <f>HLOOKUP($B$2,'Consumption Input'!$E$5:$AQ$82,'Consumption Input'!$B49)</f>
        <v>736.88599999999997</v>
      </c>
      <c r="G17" s="901">
        <f>HLOOKUP($B$2,'Consumption Input'!$E$5:$AQ$82,'Consumption Input'!$B59)</f>
        <v>3862.4490000000001</v>
      </c>
      <c r="H17" s="944">
        <f>HLOOKUP($B$2,'US Territories'!$D$28:$Z$38,'US Territories'!$B30)</f>
        <v>0</v>
      </c>
      <c r="I17" s="901">
        <f t="shared" si="36"/>
        <v>22566.407091483648</v>
      </c>
      <c r="J17" s="964"/>
      <c r="K17" s="965">
        <f>HLOOKUP($B$2,NEUConsumption,'Non-Energy Use'!$C$9)</f>
        <v>388.71949999999998</v>
      </c>
      <c r="L17" s="965"/>
      <c r="M17" s="965"/>
      <c r="N17" s="904">
        <f t="shared" si="12"/>
        <v>5354.3890000000001</v>
      </c>
      <c r="O17" s="901">
        <f t="shared" si="13"/>
        <v>3226.317</v>
      </c>
      <c r="P17" s="901">
        <f t="shared" si="14"/>
        <v>8997.6465914836481</v>
      </c>
      <c r="Q17" s="901">
        <f t="shared" si="15"/>
        <v>736.88599999999997</v>
      </c>
      <c r="R17" s="901">
        <f t="shared" si="16"/>
        <v>3862.4490000000001</v>
      </c>
      <c r="S17" s="944">
        <f t="shared" si="17"/>
        <v>0</v>
      </c>
      <c r="T17" s="901">
        <f t="shared" si="7"/>
        <v>22177.687591483649</v>
      </c>
      <c r="U17" s="946">
        <f>HLOOKUP($B$2,Factors!$J$12:$AB$26,Factors!$H26,FALSE)</f>
        <v>14.46520813937622</v>
      </c>
      <c r="V17" s="947">
        <f t="shared" si="18"/>
        <v>77.452351344186496</v>
      </c>
      <c r="W17" s="947">
        <f t="shared" si="19"/>
        <v>46.669346928607872</v>
      </c>
      <c r="X17" s="947">
        <f t="shared" si="20"/>
        <v>130.15283071035998</v>
      </c>
      <c r="Y17" s="947">
        <f t="shared" si="21"/>
        <v>10.659209364992385</v>
      </c>
      <c r="Z17" s="947">
        <f t="shared" si="22"/>
        <v>55.871128712725543</v>
      </c>
      <c r="AA17" s="947">
        <f t="shared" si="23"/>
        <v>0</v>
      </c>
      <c r="AB17" s="947">
        <f t="shared" si="37"/>
        <v>320.80486706087225</v>
      </c>
      <c r="AC17" s="948">
        <f>Factors!E19</f>
        <v>1</v>
      </c>
      <c r="AD17" s="904">
        <f t="shared" si="24"/>
        <v>77.452351344186496</v>
      </c>
      <c r="AE17" s="901">
        <f t="shared" si="25"/>
        <v>46.669346928607872</v>
      </c>
      <c r="AF17" s="901">
        <f t="shared" si="26"/>
        <v>130.15283071035998</v>
      </c>
      <c r="AG17" s="901">
        <f t="shared" si="27"/>
        <v>10.659209364992385</v>
      </c>
      <c r="AH17" s="901">
        <f t="shared" si="28"/>
        <v>55.871128712725543</v>
      </c>
      <c r="AI17" s="901">
        <f t="shared" si="29"/>
        <v>0</v>
      </c>
      <c r="AJ17" s="901">
        <f t="shared" si="9"/>
        <v>320.80486706087225</v>
      </c>
      <c r="AK17" s="904">
        <f t="shared" si="30"/>
        <v>283.99195492868381</v>
      </c>
      <c r="AL17" s="901">
        <f t="shared" si="31"/>
        <v>171.12093873822886</v>
      </c>
      <c r="AM17" s="901">
        <f t="shared" si="32"/>
        <v>477.22704593798659</v>
      </c>
      <c r="AN17" s="901">
        <f t="shared" si="33"/>
        <v>39.083767671638746</v>
      </c>
      <c r="AO17" s="901">
        <f t="shared" si="34"/>
        <v>204.86080527999366</v>
      </c>
      <c r="AP17" s="901">
        <f t="shared" si="35"/>
        <v>0</v>
      </c>
      <c r="AQ17" s="907">
        <f t="shared" si="38"/>
        <v>1176.2845125565316</v>
      </c>
    </row>
    <row r="18" spans="1:43">
      <c r="A18" s="817"/>
      <c r="B18" s="864" t="s">
        <v>1440</v>
      </c>
      <c r="C18" s="908">
        <f t="shared" ref="C18:H18" si="39">SUM(C19:C41)</f>
        <v>1395.011324022774</v>
      </c>
      <c r="D18" s="908">
        <f t="shared" si="39"/>
        <v>759.54913934303966</v>
      </c>
      <c r="E18" s="908">
        <f t="shared" si="39"/>
        <v>8642.5881749013388</v>
      </c>
      <c r="F18" s="908">
        <f t="shared" si="39"/>
        <v>23659.398175957227</v>
      </c>
      <c r="G18" s="908">
        <f t="shared" si="39"/>
        <v>817.26199999999994</v>
      </c>
      <c r="H18" s="908">
        <f t="shared" si="39"/>
        <v>338.27899488305911</v>
      </c>
      <c r="I18" s="908">
        <f t="shared" si="36"/>
        <v>35612.087809107441</v>
      </c>
      <c r="J18" s="966">
        <f t="shared" ref="J18:S18" si="40">SUM(J19:J41)</f>
        <v>1370.3309207681464</v>
      </c>
      <c r="K18" s="967">
        <f t="shared" si="40"/>
        <v>4644.4510033855404</v>
      </c>
      <c r="L18" s="967">
        <f t="shared" si="40"/>
        <v>162.95699999999999</v>
      </c>
      <c r="M18" s="967">
        <f t="shared" si="40"/>
        <v>72.741515904336197</v>
      </c>
      <c r="N18" s="910">
        <f t="shared" si="40"/>
        <v>1395.011324022774</v>
      </c>
      <c r="O18" s="908">
        <f t="shared" si="40"/>
        <v>759.54913934303966</v>
      </c>
      <c r="P18" s="908">
        <f t="shared" si="40"/>
        <v>3998.1371715157979</v>
      </c>
      <c r="Q18" s="908">
        <f t="shared" si="40"/>
        <v>22126.110255189084</v>
      </c>
      <c r="R18" s="908">
        <f t="shared" si="40"/>
        <v>817.26199999999994</v>
      </c>
      <c r="S18" s="911">
        <f t="shared" si="40"/>
        <v>265.5374789787229</v>
      </c>
      <c r="T18" s="889">
        <f t="shared" si="7"/>
        <v>29361.60736904942</v>
      </c>
      <c r="U18" s="949" t="s">
        <v>1731</v>
      </c>
      <c r="V18" s="950">
        <f t="shared" ref="V18:AA18" si="41">SUM(V19:V41)</f>
        <v>26.699970193830417</v>
      </c>
      <c r="W18" s="950">
        <f t="shared" si="41"/>
        <v>14.954198368464835</v>
      </c>
      <c r="X18" s="950">
        <f t="shared" si="41"/>
        <v>81.856057326541958</v>
      </c>
      <c r="Y18" s="950">
        <f t="shared" si="41"/>
        <v>433.16709203193358</v>
      </c>
      <c r="Z18" s="950">
        <f t="shared" si="41"/>
        <v>17.289898025345892</v>
      </c>
      <c r="AA18" s="950">
        <f t="shared" si="41"/>
        <v>5.2735195289967027</v>
      </c>
      <c r="AB18" s="950">
        <f t="shared" si="37"/>
        <v>579.24073547511341</v>
      </c>
      <c r="AC18" s="951" t="s">
        <v>1731</v>
      </c>
      <c r="AD18" s="910">
        <f t="shared" ref="AD18:AI18" si="42">SUM(AD19:AD41)</f>
        <v>26.699970193830417</v>
      </c>
      <c r="AE18" s="908">
        <f t="shared" si="42"/>
        <v>14.954198368464835</v>
      </c>
      <c r="AF18" s="908">
        <f t="shared" si="42"/>
        <v>81.856057326541958</v>
      </c>
      <c r="AG18" s="908">
        <f t="shared" si="42"/>
        <v>433.16709203193358</v>
      </c>
      <c r="AH18" s="908">
        <f t="shared" si="42"/>
        <v>17.289898025345892</v>
      </c>
      <c r="AI18" s="908">
        <f t="shared" si="42"/>
        <v>5.2735195289967027</v>
      </c>
      <c r="AJ18" s="908">
        <f t="shared" si="9"/>
        <v>579.24073547511341</v>
      </c>
      <c r="AK18" s="914">
        <f t="shared" si="30"/>
        <v>97.899890710711531</v>
      </c>
      <c r="AL18" s="889">
        <f t="shared" si="31"/>
        <v>54.832060684371058</v>
      </c>
      <c r="AM18" s="889">
        <f t="shared" si="32"/>
        <v>300.13887686398715</v>
      </c>
      <c r="AN18" s="889">
        <f t="shared" si="33"/>
        <v>1588.2793374504231</v>
      </c>
      <c r="AO18" s="889">
        <f t="shared" si="34"/>
        <v>63.3962927596016</v>
      </c>
      <c r="AP18" s="889">
        <f t="shared" si="35"/>
        <v>19.336238272987909</v>
      </c>
      <c r="AQ18" s="915">
        <f t="shared" si="38"/>
        <v>2123.8826967420823</v>
      </c>
    </row>
    <row r="19" spans="1:43">
      <c r="A19" s="817"/>
      <c r="B19" s="860" t="s">
        <v>1608</v>
      </c>
      <c r="C19" s="883"/>
      <c r="D19" s="883"/>
      <c r="E19" s="883">
        <f>HLOOKUP($B$2,'Consumption Input'!$E$5:$AQ$82,'Consumption Input'!$B27)</f>
        <v>1175.932</v>
      </c>
      <c r="F19" s="883"/>
      <c r="G19" s="883"/>
      <c r="H19" s="883"/>
      <c r="I19" s="883">
        <f t="shared" si="36"/>
        <v>1175.932</v>
      </c>
      <c r="J19" s="961"/>
      <c r="K19" s="940">
        <f>HLOOKUP($B$2,NEUConsumption,'Non-Energy Use'!$C$10)</f>
        <v>1175.932</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931">
        <f>Factors!D24</f>
        <v>20.55318099621897</v>
      </c>
      <c r="V19" s="932">
        <f t="shared" ref="V19:V41" si="49">N19*$U19*TbtuToQBtu</f>
        <v>0</v>
      </c>
      <c r="W19" s="933">
        <f t="shared" ref="W19:W41" si="50">O19*$U19*TbtuToQBtu</f>
        <v>0</v>
      </c>
      <c r="X19" s="933">
        <f t="shared" ref="X19:X41" si="51">P19*$U19*TbtuToQBtu</f>
        <v>0</v>
      </c>
      <c r="Y19" s="933">
        <f t="shared" ref="Y19:Y41" si="52">Q19*$U19*TbtuToQBtu</f>
        <v>0</v>
      </c>
      <c r="Z19" s="933">
        <f t="shared" ref="Z19:Z41" si="53">R19*$U19*TbtuToQBtu</f>
        <v>0</v>
      </c>
      <c r="AA19" s="933">
        <f t="shared" ref="AA19:AA41" si="54">S19*$U19*TbtuToQBtu</f>
        <v>0</v>
      </c>
      <c r="AB19" s="933">
        <f t="shared" si="37"/>
        <v>0</v>
      </c>
      <c r="AC19" s="934">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37.354999999999997</v>
      </c>
      <c r="G20" s="883"/>
      <c r="H20" s="883"/>
      <c r="I20" s="883">
        <f t="shared" si="36"/>
        <v>37.354999999999997</v>
      </c>
      <c r="J20" s="961"/>
      <c r="K20" s="940"/>
      <c r="L20" s="940"/>
      <c r="M20" s="940"/>
      <c r="N20" s="885">
        <f t="shared" si="43"/>
        <v>0</v>
      </c>
      <c r="O20" s="883">
        <f t="shared" si="44"/>
        <v>0</v>
      </c>
      <c r="P20" s="883">
        <f t="shared" si="45"/>
        <v>0</v>
      </c>
      <c r="Q20" s="883">
        <f t="shared" si="46"/>
        <v>37.354999999999997</v>
      </c>
      <c r="R20" s="883">
        <f t="shared" si="47"/>
        <v>0</v>
      </c>
      <c r="S20" s="886">
        <f t="shared" si="48"/>
        <v>0</v>
      </c>
      <c r="T20" s="883">
        <f t="shared" si="7"/>
        <v>37.354999999999997</v>
      </c>
      <c r="U20" s="931">
        <f>Factors!D25</f>
        <v>18.855352254718337</v>
      </c>
      <c r="V20" s="932">
        <f t="shared" si="49"/>
        <v>0</v>
      </c>
      <c r="W20" s="933">
        <f t="shared" si="50"/>
        <v>0</v>
      </c>
      <c r="X20" s="933">
        <f t="shared" si="51"/>
        <v>0</v>
      </c>
      <c r="Y20" s="933">
        <f t="shared" si="52"/>
        <v>0.70434168347500337</v>
      </c>
      <c r="Z20" s="933">
        <f t="shared" si="53"/>
        <v>0</v>
      </c>
      <c r="AA20" s="933">
        <f t="shared" si="54"/>
        <v>0</v>
      </c>
      <c r="AB20" s="933">
        <f t="shared" si="37"/>
        <v>0.70434168347500337</v>
      </c>
      <c r="AC20" s="934">
        <f>Factors!E25</f>
        <v>1</v>
      </c>
      <c r="AD20" s="885">
        <f t="shared" si="55"/>
        <v>0</v>
      </c>
      <c r="AE20" s="883">
        <f t="shared" si="56"/>
        <v>0</v>
      </c>
      <c r="AF20" s="883">
        <f t="shared" si="57"/>
        <v>0</v>
      </c>
      <c r="AG20" s="883">
        <f t="shared" si="58"/>
        <v>0.70434168347500337</v>
      </c>
      <c r="AH20" s="883">
        <f t="shared" si="59"/>
        <v>0</v>
      </c>
      <c r="AI20" s="883">
        <f t="shared" si="60"/>
        <v>0</v>
      </c>
      <c r="AJ20" s="889">
        <f t="shared" si="9"/>
        <v>0.70434168347500337</v>
      </c>
      <c r="AK20" s="885">
        <f t="shared" si="30"/>
        <v>0</v>
      </c>
      <c r="AL20" s="883">
        <f t="shared" si="31"/>
        <v>0</v>
      </c>
      <c r="AM20" s="883">
        <f t="shared" si="32"/>
        <v>0</v>
      </c>
      <c r="AN20" s="883">
        <f t="shared" si="33"/>
        <v>2.5825861727416788</v>
      </c>
      <c r="AO20" s="883">
        <f t="shared" si="34"/>
        <v>0</v>
      </c>
      <c r="AP20" s="883">
        <f t="shared" si="35"/>
        <v>0</v>
      </c>
      <c r="AQ20" s="890">
        <f t="shared" si="38"/>
        <v>2.5825861727416788</v>
      </c>
    </row>
    <row r="21" spans="1:43">
      <c r="A21" s="817"/>
      <c r="B21" s="860" t="s">
        <v>1738</v>
      </c>
      <c r="C21" s="883">
        <f>HLOOKUP($B$2,'Consumption Input'!$E$5:$AQ$82,'Consumption Input'!$B9)</f>
        <v>836.88532402277406</v>
      </c>
      <c r="D21" s="883">
        <f>HLOOKUP($B$2,'Consumption Input'!$E$5:$AQ$82,'Consumption Input'!$B15)</f>
        <v>436.44150402945979</v>
      </c>
      <c r="E21" s="883">
        <f>HLOOKUP($B$2,'Consumption Input'!$E$5:$AQ$82,'Consumption Input'!$B28)</f>
        <v>1053.1641975430043</v>
      </c>
      <c r="F21" s="883">
        <f>HLOOKUP($B$2,'Consumption Input'!$E$5:$AQ$82,'Consumption Input'!$B51)</f>
        <v>4713.094042857143</v>
      </c>
      <c r="G21" s="883">
        <f>HLOOKUP($B$2,'Consumption Input'!$E$5:$AQ$82,'Consumption Input'!$B60)</f>
        <v>109.3</v>
      </c>
      <c r="H21" s="883">
        <f>HLOOKUP($B$2,'US Territories'!$D$28:$Z$38,'US Territories'!$B31)</f>
        <v>53.0390297853302</v>
      </c>
      <c r="I21" s="883">
        <f t="shared" si="36"/>
        <v>7201.9240982377114</v>
      </c>
      <c r="J21" s="961">
        <f>HLOOKUP($B$2,IBFConsumption,'International Bunker Fuels'!$B$10)</f>
        <v>114.13606579817262</v>
      </c>
      <c r="K21" s="940">
        <f>HLOOKUP($B$2,NEUConsumption,'Non-Energy Use'!$C$20)</f>
        <v>9.2471875000000008</v>
      </c>
      <c r="L21" s="940"/>
      <c r="M21" s="940"/>
      <c r="N21" s="885">
        <f t="shared" si="43"/>
        <v>836.88532402277406</v>
      </c>
      <c r="O21" s="883">
        <f t="shared" si="44"/>
        <v>436.44150402945979</v>
      </c>
      <c r="P21" s="883">
        <f t="shared" si="45"/>
        <v>1043.9170100430042</v>
      </c>
      <c r="Q21" s="883">
        <f t="shared" si="46"/>
        <v>4598.9579770589708</v>
      </c>
      <c r="R21" s="883">
        <f t="shared" si="47"/>
        <v>109.3</v>
      </c>
      <c r="S21" s="886">
        <f t="shared" si="48"/>
        <v>53.0390297853302</v>
      </c>
      <c r="T21" s="883">
        <f t="shared" si="7"/>
        <v>7078.5408449395391</v>
      </c>
      <c r="U21" s="931">
        <f>HLOOKUP($B$2,Factors!$J$12:$BE$27,Factors!$H27,FALSE)</f>
        <v>20.170000000000002</v>
      </c>
      <c r="V21" s="932">
        <f t="shared" si="49"/>
        <v>16.879976985539354</v>
      </c>
      <c r="W21" s="933">
        <f t="shared" si="50"/>
        <v>8.803025136274206</v>
      </c>
      <c r="X21" s="933">
        <f t="shared" si="51"/>
        <v>21.055806092567398</v>
      </c>
      <c r="Y21" s="933">
        <f t="shared" si="52"/>
        <v>92.760982397279463</v>
      </c>
      <c r="Z21" s="933">
        <f t="shared" si="53"/>
        <v>2.2045810000000001</v>
      </c>
      <c r="AA21" s="933">
        <f t="shared" si="54"/>
        <v>1.0697972307701102</v>
      </c>
      <c r="AB21" s="933">
        <f t="shared" si="37"/>
        <v>142.77416884243053</v>
      </c>
      <c r="AC21" s="934">
        <f>Factors!E26</f>
        <v>1</v>
      </c>
      <c r="AD21" s="885">
        <f t="shared" si="55"/>
        <v>16.879976985539354</v>
      </c>
      <c r="AE21" s="883">
        <f t="shared" si="56"/>
        <v>8.803025136274206</v>
      </c>
      <c r="AF21" s="883">
        <f t="shared" si="57"/>
        <v>21.055806092567398</v>
      </c>
      <c r="AG21" s="883">
        <f t="shared" si="58"/>
        <v>92.760982397279463</v>
      </c>
      <c r="AH21" s="883">
        <f t="shared" si="59"/>
        <v>2.2045810000000001</v>
      </c>
      <c r="AI21" s="883">
        <f t="shared" si="60"/>
        <v>1.0697972307701102</v>
      </c>
      <c r="AJ21" s="889">
        <f t="shared" si="9"/>
        <v>142.77416884243053</v>
      </c>
      <c r="AK21" s="885">
        <f t="shared" si="30"/>
        <v>61.893248946977629</v>
      </c>
      <c r="AL21" s="883">
        <f t="shared" si="31"/>
        <v>32.277758833005421</v>
      </c>
      <c r="AM21" s="883">
        <f t="shared" si="32"/>
        <v>77.204622339413788</v>
      </c>
      <c r="AN21" s="883">
        <f t="shared" si="33"/>
        <v>340.12360212335801</v>
      </c>
      <c r="AO21" s="883">
        <f t="shared" si="34"/>
        <v>8.0834636666666668</v>
      </c>
      <c r="AP21" s="883">
        <f t="shared" si="35"/>
        <v>3.9225898461570705</v>
      </c>
      <c r="AQ21" s="890">
        <f t="shared" si="38"/>
        <v>523.5052857555786</v>
      </c>
    </row>
    <row r="22" spans="1:43">
      <c r="A22" s="817"/>
      <c r="B22" s="860" t="s">
        <v>1623</v>
      </c>
      <c r="C22" s="883"/>
      <c r="D22" s="883"/>
      <c r="E22" s="883"/>
      <c r="F22" s="883">
        <f>HLOOKUP($B$2,'Consumption Input'!$E$5:$AQ$82,'Consumption Input'!$B52)</f>
        <v>3274.2370000000001</v>
      </c>
      <c r="G22" s="883"/>
      <c r="H22" s="883">
        <f>HLOOKUP($B$2,'US Territories'!$D$28:$Z$38,'US Territories'!$B32)</f>
        <v>55.775846294908547</v>
      </c>
      <c r="I22" s="883">
        <f t="shared" si="36"/>
        <v>3330.0128462949087</v>
      </c>
      <c r="J22" s="961">
        <f>HLOOKUP($B$2,IBFConsumption,'International Bunker Fuels'!$B$8)</f>
        <v>719.8022298769738</v>
      </c>
      <c r="K22" s="940"/>
      <c r="L22" s="940"/>
      <c r="M22" s="940"/>
      <c r="N22" s="885">
        <f t="shared" si="43"/>
        <v>0</v>
      </c>
      <c r="O22" s="883">
        <f t="shared" si="44"/>
        <v>0</v>
      </c>
      <c r="P22" s="883">
        <f t="shared" si="45"/>
        <v>0</v>
      </c>
      <c r="Q22" s="883">
        <f t="shared" si="46"/>
        <v>2554.4347701230263</v>
      </c>
      <c r="R22" s="883">
        <f t="shared" si="47"/>
        <v>0</v>
      </c>
      <c r="S22" s="886">
        <f t="shared" si="48"/>
        <v>55.775846294908547</v>
      </c>
      <c r="T22" s="883">
        <f t="shared" si="7"/>
        <v>2610.2106164179349</v>
      </c>
      <c r="U22" s="931">
        <f>HLOOKUP($B$2,Factors!$J$12:$Y$25,Factors!$H21)</f>
        <v>19.696969696969692</v>
      </c>
      <c r="V22" s="932">
        <f t="shared" si="49"/>
        <v>0</v>
      </c>
      <c r="W22" s="933">
        <f t="shared" si="50"/>
        <v>0</v>
      </c>
      <c r="X22" s="933">
        <f t="shared" si="51"/>
        <v>0</v>
      </c>
      <c r="Y22" s="933">
        <f t="shared" si="52"/>
        <v>50.314624259998993</v>
      </c>
      <c r="Z22" s="933">
        <f t="shared" si="53"/>
        <v>0</v>
      </c>
      <c r="AA22" s="933">
        <f t="shared" si="54"/>
        <v>1.0986151542936529</v>
      </c>
      <c r="AB22" s="933">
        <f t="shared" si="37"/>
        <v>51.413239414292647</v>
      </c>
      <c r="AC22" s="934">
        <f>Factors!E27</f>
        <v>1</v>
      </c>
      <c r="AD22" s="885">
        <f t="shared" si="55"/>
        <v>0</v>
      </c>
      <c r="AE22" s="883">
        <f t="shared" si="56"/>
        <v>0</v>
      </c>
      <c r="AF22" s="883">
        <f t="shared" si="57"/>
        <v>0</v>
      </c>
      <c r="AG22" s="883">
        <f t="shared" si="58"/>
        <v>50.314624259998993</v>
      </c>
      <c r="AH22" s="883">
        <f t="shared" si="59"/>
        <v>0</v>
      </c>
      <c r="AI22" s="883">
        <f t="shared" si="60"/>
        <v>1.0986151542936529</v>
      </c>
      <c r="AJ22" s="889">
        <f t="shared" si="9"/>
        <v>51.413239414292647</v>
      </c>
      <c r="AK22" s="885">
        <f t="shared" si="30"/>
        <v>0</v>
      </c>
      <c r="AL22" s="883">
        <f t="shared" si="31"/>
        <v>0</v>
      </c>
      <c r="AM22" s="883">
        <f t="shared" si="32"/>
        <v>0</v>
      </c>
      <c r="AN22" s="883">
        <f t="shared" si="33"/>
        <v>184.48695561999631</v>
      </c>
      <c r="AO22" s="883">
        <f t="shared" si="34"/>
        <v>0</v>
      </c>
      <c r="AP22" s="883">
        <f t="shared" si="35"/>
        <v>4.0282555657433941</v>
      </c>
      <c r="AQ22" s="890">
        <f t="shared" si="38"/>
        <v>188.5152111857397</v>
      </c>
    </row>
    <row r="23" spans="1:43">
      <c r="A23" s="817"/>
      <c r="B23" s="860" t="s">
        <v>1599</v>
      </c>
      <c r="C23" s="883">
        <f>HLOOKUP($B$2,'Consumption Input'!$E$5:$AQ$82,'Consumption Input'!$B10)</f>
        <v>88.781000000000006</v>
      </c>
      <c r="D23" s="883">
        <f>HLOOKUP($B$2,'Consumption Input'!$E$5:$AQ$82,'Consumption Input'!$B16)</f>
        <v>21.031999999999996</v>
      </c>
      <c r="E23" s="883">
        <f>HLOOKUP($B$2,'Consumption Input'!$E$5:$AQ$82,'Consumption Input'!$B29)</f>
        <v>18.300999999999998</v>
      </c>
      <c r="F23" s="883"/>
      <c r="G23" s="883"/>
      <c r="H23" s="883">
        <f>HLOOKUP($B$2,'US Territories'!$D$28:$Z$38,'US Territories'!$B33)</f>
        <v>2.1731530692618564</v>
      </c>
      <c r="I23" s="883">
        <f t="shared" si="36"/>
        <v>130.28715306926185</v>
      </c>
      <c r="J23" s="961"/>
      <c r="K23" s="940"/>
      <c r="L23" s="940"/>
      <c r="M23" s="940"/>
      <c r="N23" s="885">
        <f t="shared" si="43"/>
        <v>88.781000000000006</v>
      </c>
      <c r="O23" s="883">
        <f t="shared" si="44"/>
        <v>21.031999999999996</v>
      </c>
      <c r="P23" s="883">
        <f t="shared" si="45"/>
        <v>18.300999999999998</v>
      </c>
      <c r="Q23" s="883">
        <f t="shared" si="46"/>
        <v>0</v>
      </c>
      <c r="R23" s="883">
        <f t="shared" si="47"/>
        <v>0</v>
      </c>
      <c r="S23" s="886">
        <f t="shared" si="48"/>
        <v>2.1731530692618564</v>
      </c>
      <c r="T23" s="883">
        <f t="shared" si="7"/>
        <v>130.28715306926185</v>
      </c>
      <c r="U23" s="931">
        <f>Factors!D28</f>
        <v>19.964104564962931</v>
      </c>
      <c r="V23" s="932">
        <f t="shared" si="49"/>
        <v>1.772433167381974</v>
      </c>
      <c r="W23" s="933">
        <f t="shared" si="50"/>
        <v>0.41988504721030029</v>
      </c>
      <c r="X23" s="933">
        <f t="shared" si="51"/>
        <v>0.36536307764338655</v>
      </c>
      <c r="Y23" s="933">
        <f t="shared" si="52"/>
        <v>0</v>
      </c>
      <c r="Z23" s="933">
        <f t="shared" si="53"/>
        <v>0</v>
      </c>
      <c r="AA23" s="933">
        <f t="shared" si="54"/>
        <v>4.338505511041383E-2</v>
      </c>
      <c r="AB23" s="933">
        <f t="shared" si="37"/>
        <v>2.6010663473460749</v>
      </c>
      <c r="AC23" s="934">
        <f>Factors!E28</f>
        <v>1</v>
      </c>
      <c r="AD23" s="885">
        <f t="shared" si="55"/>
        <v>1.772433167381974</v>
      </c>
      <c r="AE23" s="883">
        <f t="shared" si="56"/>
        <v>0.41988504721030029</v>
      </c>
      <c r="AF23" s="883">
        <f t="shared" si="57"/>
        <v>0.36536307764338655</v>
      </c>
      <c r="AG23" s="883">
        <f t="shared" si="58"/>
        <v>0</v>
      </c>
      <c r="AH23" s="883">
        <f t="shared" si="59"/>
        <v>0</v>
      </c>
      <c r="AI23" s="883">
        <f t="shared" si="60"/>
        <v>4.338505511041383E-2</v>
      </c>
      <c r="AJ23" s="889">
        <f t="shared" si="9"/>
        <v>2.6010663473460749</v>
      </c>
      <c r="AK23" s="885">
        <f t="shared" si="30"/>
        <v>6.4989216137339048</v>
      </c>
      <c r="AL23" s="883">
        <f t="shared" si="31"/>
        <v>1.5395785064377676</v>
      </c>
      <c r="AM23" s="883">
        <f t="shared" si="32"/>
        <v>1.3396646180257505</v>
      </c>
      <c r="AN23" s="883">
        <f t="shared" si="33"/>
        <v>0</v>
      </c>
      <c r="AO23" s="883">
        <f t="shared" si="34"/>
        <v>0</v>
      </c>
      <c r="AP23" s="883">
        <f t="shared" si="35"/>
        <v>0.1590785354048507</v>
      </c>
      <c r="AQ23" s="890">
        <f t="shared" si="38"/>
        <v>9.5372432736022734</v>
      </c>
    </row>
    <row r="24" spans="1:43">
      <c r="A24" s="817"/>
      <c r="B24" s="860" t="s">
        <v>1600</v>
      </c>
      <c r="C24" s="883">
        <f>HLOOKUP($B$2,'Consumption Input'!$E$5:$AQ$82,'Consumption Input'!$B11)</f>
        <v>469.34500000000003</v>
      </c>
      <c r="D24" s="883">
        <f>HLOOKUP($B$2,'Consumption Input'!$E$5:$AQ$82,'Consumption Input'!$B17)</f>
        <v>122.553</v>
      </c>
      <c r="E24"/>
      <c r="F24" s="883">
        <f>HLOOKUP($B$2,'Consumption Input'!$E$5:$AQ$82,'Consumption Input'!$B53)</f>
        <v>15.655999999999999</v>
      </c>
      <c r="G24" s="883"/>
      <c r="H24"/>
      <c r="I24" s="883">
        <f>SUM(C24:H24)</f>
        <v>607.55399999999997</v>
      </c>
      <c r="J24" s="884"/>
      <c r="K24"/>
      <c r="L24" s="883"/>
      <c r="M24" s="883"/>
      <c r="N24" s="885">
        <f>C24</f>
        <v>469.34500000000003</v>
      </c>
      <c r="O24" s="883">
        <f t="shared" si="44"/>
        <v>122.553</v>
      </c>
      <c r="P24"/>
      <c r="Q24" s="883">
        <f t="shared" si="46"/>
        <v>15.655999999999999</v>
      </c>
      <c r="R24" s="883">
        <f t="shared" si="47"/>
        <v>0</v>
      </c>
      <c r="S24" s="1007"/>
      <c r="T24" s="883">
        <f t="shared" si="7"/>
        <v>607.55399999999997</v>
      </c>
      <c r="U24" s="1005">
        <f>HLOOKUP($B$2,Factors!$J$12:$BE$25,Factors!$H17,FALSE)</f>
        <v>17.146363636363635</v>
      </c>
      <c r="V24" s="885">
        <f>N24*$U24*TbtuToQBtu</f>
        <v>8.0475600409090902</v>
      </c>
      <c r="W24" s="883">
        <f>O24*$U24*TbtuToQBtu</f>
        <v>2.1013383027272727</v>
      </c>
      <c r="X24"/>
      <c r="Y24" s="883">
        <f>Q24*$U24*TbtuToQBtu</f>
        <v>0.26844346909090905</v>
      </c>
      <c r="Z24" s="883">
        <f t="shared" ref="Z24" si="61">R24*$U24*TbtuToQBtu</f>
        <v>0</v>
      </c>
      <c r="AA24"/>
      <c r="AB24" s="883">
        <f>SUM(V24:AA24)</f>
        <v>10.417341812727273</v>
      </c>
      <c r="AC24" s="888">
        <f>Factors!E30</f>
        <v>1</v>
      </c>
      <c r="AD24" s="885">
        <f>V24*$AC24</f>
        <v>8.0475600409090902</v>
      </c>
      <c r="AE24" s="883">
        <f t="shared" si="56"/>
        <v>2.1013383027272727</v>
      </c>
      <c r="AF24"/>
      <c r="AG24" s="883">
        <f t="shared" si="56"/>
        <v>0.26844346909090905</v>
      </c>
      <c r="AH24" s="883">
        <f t="shared" si="56"/>
        <v>0</v>
      </c>
      <c r="AI24"/>
      <c r="AJ24" s="889">
        <f t="shared" si="9"/>
        <v>10.417341812727273</v>
      </c>
      <c r="AK24" s="885">
        <f>AD24*CtoCO2</f>
        <v>29.507720149999997</v>
      </c>
      <c r="AL24" s="883">
        <f t="shared" ref="AL24" si="62">AE24*CtoCO2</f>
        <v>7.7049071099999997</v>
      </c>
      <c r="AN24" s="883">
        <f t="shared" ref="AN24" si="63">AG24*CtoCO2</f>
        <v>0.98429271999999979</v>
      </c>
      <c r="AO24" s="883">
        <f t="shared" ref="AO24" si="64">AH24*CtoCO2</f>
        <v>0</v>
      </c>
      <c r="AQ24" s="890">
        <f t="shared" si="38"/>
        <v>38.196919979999997</v>
      </c>
    </row>
    <row r="25" spans="1:43">
      <c r="A25" s="817"/>
      <c r="B25" s="860" t="s">
        <v>1609</v>
      </c>
      <c r="C25" s="883"/>
      <c r="D25" s="883"/>
      <c r="E25" s="883">
        <f>HLOOKUP($B$2,'Consumption Input'!$E$5:$AQ$82,'Consumption Input'!$B30)</f>
        <v>1987.1319279320001</v>
      </c>
      <c r="F25" s="883"/>
      <c r="G25" s="883"/>
      <c r="H25" s="883">
        <f>HLOOKUP($B$2,'US Territories'!$D$28:$AO$38,'US Territories'!$B34)</f>
        <v>2.9667748970936865</v>
      </c>
      <c r="I25" s="883">
        <f>SUM(C25:H25)</f>
        <v>1990.0987028290938</v>
      </c>
      <c r="J25" s="884"/>
      <c r="K25" s="883">
        <f>HLOOKUP($B$2,NEUConsumption,'Non-Energy Use'!$C$11)</f>
        <v>1744.7919269481797</v>
      </c>
      <c r="L25" s="883"/>
      <c r="M25" s="883"/>
      <c r="N25" s="885"/>
      <c r="O25" s="883"/>
      <c r="P25" s="883">
        <f>E25-K25</f>
        <v>242.34000098382035</v>
      </c>
      <c r="Q25" s="883"/>
      <c r="R25" s="883"/>
      <c r="S25" s="886">
        <f>H25-M25</f>
        <v>2.9667748970936865</v>
      </c>
      <c r="T25" s="883">
        <f t="shared" si="7"/>
        <v>245.30677588091405</v>
      </c>
      <c r="U25" s="1005">
        <f>HLOOKUP($B$2,Factors!$J$12:$BE$25,Factors!$H18,FALSE)</f>
        <v>17.408011760738027</v>
      </c>
      <c r="V25" s="885"/>
      <c r="W25" s="883"/>
      <c r="X25" s="883">
        <f>P25*$U25*TbtuToQBtu</f>
        <v>4.2186575872236096</v>
      </c>
      <c r="Y25" s="883"/>
      <c r="Z25" s="883"/>
      <c r="AA25" s="883">
        <f>S25*$U25*TbtuToQBtu</f>
        <v>5.1645652300069247E-2</v>
      </c>
      <c r="AB25" s="883">
        <f>SUM(V25:AA25)</f>
        <v>4.2703032395236793</v>
      </c>
      <c r="AC25" s="888">
        <f>Factors!E31</f>
        <v>1</v>
      </c>
      <c r="AD25" s="885"/>
      <c r="AE25" s="883"/>
      <c r="AF25" s="883">
        <f>X25*$AC25</f>
        <v>4.2186575872236096</v>
      </c>
      <c r="AG25" s="883"/>
      <c r="AH25" s="883"/>
      <c r="AI25" s="883">
        <f>AA25*$AC25</f>
        <v>5.1645652300069247E-2</v>
      </c>
      <c r="AJ25" s="889">
        <f t="shared" si="9"/>
        <v>4.2703032395236793</v>
      </c>
      <c r="AK25" s="885"/>
      <c r="AL25" s="883"/>
      <c r="AM25" s="883">
        <f>AF25*CtoCO2</f>
        <v>15.468411153153234</v>
      </c>
      <c r="AN25" s="883"/>
      <c r="AO25" s="883"/>
      <c r="AP25" s="883">
        <f>AI25*CtoCO2</f>
        <v>0.18936739176692058</v>
      </c>
      <c r="AQ25" s="890">
        <f t="shared" si="38"/>
        <v>15.657778544920154</v>
      </c>
    </row>
    <row r="26" spans="1:43">
      <c r="A26" s="817"/>
      <c r="B26" s="860" t="s">
        <v>1610</v>
      </c>
      <c r="C26" s="883"/>
      <c r="D26" s="883"/>
      <c r="E26" s="883">
        <f>HLOOKUP($B$2,'Consumption Input'!$E$5:$AQ$82,'Consumption Input'!$B31)</f>
        <v>172.53399999999999</v>
      </c>
      <c r="F26" s="883">
        <f>HLOOKUP($B$2,'Consumption Input'!$E$5:$AQ$82,'Consumption Input'!$B54)</f>
        <v>162.95699999999999</v>
      </c>
      <c r="G26" s="883"/>
      <c r="H26" s="883">
        <f>HLOOKUP($B$2,'US Territories'!$D$28:$Z$38,'US Territories'!$B35)</f>
        <v>1.4692859956352455</v>
      </c>
      <c r="I26" s="883">
        <f t="shared" si="36"/>
        <v>336.96028599563522</v>
      </c>
      <c r="J26" s="961"/>
      <c r="K26" s="940">
        <f>HLOOKUP($B$2,NEUConsumption,'Non-Energy Use'!$C$12)</f>
        <v>172.53399999999999</v>
      </c>
      <c r="L26" s="940">
        <f>HLOOKUP($B$2,NEUConsumption,'Non-Energy Use'!$C$24)</f>
        <v>162.95699999999999</v>
      </c>
      <c r="M26" s="940">
        <f>HLOOKUP($B$2,NEUConsumption,'Non-Energy Use'!$C$26)</f>
        <v>1.4692859956352455</v>
      </c>
      <c r="N26" s="885">
        <f t="shared" si="43"/>
        <v>0</v>
      </c>
      <c r="O26" s="883">
        <f t="shared" si="44"/>
        <v>0</v>
      </c>
      <c r="P26" s="883">
        <f t="shared" si="45"/>
        <v>0</v>
      </c>
      <c r="Q26" s="883">
        <f t="shared" si="46"/>
        <v>0</v>
      </c>
      <c r="R26" s="883">
        <f t="shared" si="47"/>
        <v>0</v>
      </c>
      <c r="S26" s="886">
        <f t="shared" si="48"/>
        <v>0</v>
      </c>
      <c r="T26" s="883">
        <f t="shared" si="7"/>
        <v>0</v>
      </c>
      <c r="U26" s="931">
        <f>Factors!D33</f>
        <v>20.199355467286214</v>
      </c>
      <c r="V26" s="932">
        <f t="shared" si="49"/>
        <v>0</v>
      </c>
      <c r="W26" s="933">
        <f t="shared" si="50"/>
        <v>0</v>
      </c>
      <c r="X26" s="933">
        <f t="shared" si="51"/>
        <v>0</v>
      </c>
      <c r="Y26" s="933">
        <f t="shared" si="52"/>
        <v>0</v>
      </c>
      <c r="Z26" s="933">
        <f t="shared" si="53"/>
        <v>0</v>
      </c>
      <c r="AA26" s="933">
        <f t="shared" si="54"/>
        <v>0</v>
      </c>
      <c r="AB26" s="933">
        <f t="shared" si="37"/>
        <v>0</v>
      </c>
      <c r="AC26" s="934">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42.21763531357977</v>
      </c>
      <c r="E27" s="883">
        <f>HLOOKUP($B$2,'Consumption Input'!$E$5:$AQ$82,'Consumption Input'!$B32)</f>
        <v>318.06057842633408</v>
      </c>
      <c r="F27" s="883">
        <f>HLOOKUP($B$2,'Consumption Input'!$E$5:$AQ$82,'Consumption Input'!$B55)</f>
        <v>14604.797133100084</v>
      </c>
      <c r="G27" s="883"/>
      <c r="H27" s="883">
        <f>HLOOKUP($B$2,'US Territories'!$D$28:$Z$38,'US Territories'!$B36)</f>
        <v>83.821764180377116</v>
      </c>
      <c r="I27" s="883">
        <f t="shared" si="36"/>
        <v>15048.897111020375</v>
      </c>
      <c r="J27" s="961"/>
      <c r="K27" s="940"/>
      <c r="L27" s="940"/>
      <c r="M27" s="940"/>
      <c r="N27" s="885">
        <f t="shared" si="43"/>
        <v>0</v>
      </c>
      <c r="O27" s="883">
        <f t="shared" si="44"/>
        <v>42.21763531357977</v>
      </c>
      <c r="P27" s="883">
        <f t="shared" si="45"/>
        <v>318.06057842633408</v>
      </c>
      <c r="Q27" s="883">
        <f t="shared" si="46"/>
        <v>14604.797133100084</v>
      </c>
      <c r="R27" s="883">
        <f t="shared" si="47"/>
        <v>0</v>
      </c>
      <c r="S27" s="886">
        <f t="shared" si="48"/>
        <v>83.821764180377116</v>
      </c>
      <c r="T27" s="883">
        <f t="shared" si="7"/>
        <v>15048.897111020375</v>
      </c>
      <c r="U27" s="931">
        <f>HLOOKUP($B$2,Factors!$J$12:$Y$25,Factors!$H20)</f>
        <v>19.354555468857317</v>
      </c>
      <c r="V27" s="932">
        <f t="shared" si="49"/>
        <v>0</v>
      </c>
      <c r="W27" s="933">
        <f t="shared" si="50"/>
        <v>0.81710356444066923</v>
      </c>
      <c r="X27" s="933">
        <f t="shared" si="51"/>
        <v>6.1559211076093261</v>
      </c>
      <c r="Y27" s="933">
        <f t="shared" si="52"/>
        <v>282.66935622399387</v>
      </c>
      <c r="Z27" s="933">
        <f t="shared" si="53"/>
        <v>0</v>
      </c>
      <c r="AA27" s="933">
        <f t="shared" si="54"/>
        <v>1.6223329843265863</v>
      </c>
      <c r="AB27" s="933">
        <f t="shared" si="37"/>
        <v>291.26471388037044</v>
      </c>
      <c r="AC27" s="934">
        <f>Factors!E34</f>
        <v>1</v>
      </c>
      <c r="AD27" s="885">
        <f t="shared" si="55"/>
        <v>0</v>
      </c>
      <c r="AE27" s="883">
        <f t="shared" si="56"/>
        <v>0.81710356444066923</v>
      </c>
      <c r="AF27" s="883">
        <f t="shared" si="57"/>
        <v>6.1559211076093261</v>
      </c>
      <c r="AG27" s="883">
        <f>Y27*$AC44</f>
        <v>282.66935622399387</v>
      </c>
      <c r="AH27" s="883">
        <f t="shared" si="59"/>
        <v>0</v>
      </c>
      <c r="AI27" s="883">
        <f t="shared" si="60"/>
        <v>1.6223329843265863</v>
      </c>
      <c r="AJ27" s="889">
        <f t="shared" si="9"/>
        <v>291.26471388037044</v>
      </c>
      <c r="AK27" s="885">
        <f t="shared" si="30"/>
        <v>0</v>
      </c>
      <c r="AL27" s="883">
        <f t="shared" si="31"/>
        <v>2.9960464029491205</v>
      </c>
      <c r="AM27" s="883">
        <f t="shared" si="32"/>
        <v>22.571710727900861</v>
      </c>
      <c r="AN27" s="883">
        <f t="shared" si="33"/>
        <v>1036.4543061546442</v>
      </c>
      <c r="AO27" s="883">
        <f t="shared" si="34"/>
        <v>0</v>
      </c>
      <c r="AP27" s="883">
        <f t="shared" si="35"/>
        <v>5.9485542758641499</v>
      </c>
      <c r="AQ27" s="890">
        <f t="shared" si="38"/>
        <v>1067.9706175613583</v>
      </c>
    </row>
    <row r="28" spans="1:43">
      <c r="A28" s="817"/>
      <c r="B28" s="860" t="s">
        <v>1602</v>
      </c>
      <c r="C28" s="883"/>
      <c r="D28" s="883">
        <f>HLOOKUP($B$2,'Consumption Input'!$E$5:$AQ$82,'Consumption Input'!$B19)</f>
        <v>137.191</v>
      </c>
      <c r="E28" s="883">
        <f>HLOOKUP($B$2,'Consumption Input'!$E$5:$AQ$82,'Consumption Input'!$B33)</f>
        <v>281.661473</v>
      </c>
      <c r="F28" s="883">
        <f>HLOOKUP($B$2,'Consumption Input'!$E$5:$AQ$82,'Consumption Input'!$B56)</f>
        <v>851.30200000000002</v>
      </c>
      <c r="G28" s="883">
        <f>HLOOKUP($B$2,'Consumption Input'!$E$5:$AQ$82,'Consumption Input'!$B61)</f>
        <v>628.39099999999996</v>
      </c>
      <c r="H28" s="883">
        <f>HLOOKUP($B$2,'US Territories'!$D$28:$Z$38,'US Territories'!$B37)</f>
        <v>67.76091075175151</v>
      </c>
      <c r="I28" s="883">
        <f t="shared" si="36"/>
        <v>1966.3063837517516</v>
      </c>
      <c r="J28" s="961">
        <f>HLOOKUP($B$2,IBFConsumption,'International Bunker Fuels'!$B$9)</f>
        <v>536.39262509299999</v>
      </c>
      <c r="K28" s="940"/>
      <c r="L28" s="940"/>
      <c r="M28" s="940"/>
      <c r="N28" s="885">
        <f t="shared" si="43"/>
        <v>0</v>
      </c>
      <c r="O28" s="883">
        <f t="shared" si="44"/>
        <v>137.191</v>
      </c>
      <c r="P28" s="883">
        <f t="shared" si="45"/>
        <v>281.661473</v>
      </c>
      <c r="Q28" s="883">
        <f t="shared" si="46"/>
        <v>314.90937490700003</v>
      </c>
      <c r="R28" s="883">
        <f t="shared" si="47"/>
        <v>628.39099999999996</v>
      </c>
      <c r="S28" s="886">
        <f t="shared" si="48"/>
        <v>67.76091075175151</v>
      </c>
      <c r="T28" s="883">
        <f t="shared" si="7"/>
        <v>1429.9137586587515</v>
      </c>
      <c r="U28" s="931">
        <f>Factors!D36</f>
        <v>20.48</v>
      </c>
      <c r="V28" s="932">
        <f t="shared" si="49"/>
        <v>0</v>
      </c>
      <c r="W28" s="933">
        <f t="shared" si="50"/>
        <v>2.8096716800000001</v>
      </c>
      <c r="X28" s="933">
        <f t="shared" si="51"/>
        <v>5.7684269670399999</v>
      </c>
      <c r="Y28" s="933">
        <f t="shared" si="52"/>
        <v>6.4493439980953609</v>
      </c>
      <c r="Z28" s="933">
        <f t="shared" si="53"/>
        <v>12.86944768</v>
      </c>
      <c r="AA28" s="933">
        <f t="shared" si="54"/>
        <v>1.3877434521958709</v>
      </c>
      <c r="AB28" s="933">
        <f t="shared" si="37"/>
        <v>29.284633777331234</v>
      </c>
      <c r="AC28" s="934">
        <f>Factors!E36</f>
        <v>1</v>
      </c>
      <c r="AD28" s="885">
        <f t="shared" si="55"/>
        <v>0</v>
      </c>
      <c r="AE28" s="883">
        <f t="shared" si="56"/>
        <v>2.8096716800000001</v>
      </c>
      <c r="AF28" s="883">
        <f t="shared" si="57"/>
        <v>5.7684269670399999</v>
      </c>
      <c r="AG28" s="883">
        <f t="shared" si="58"/>
        <v>6.4493439980953609</v>
      </c>
      <c r="AH28" s="883">
        <f t="shared" si="59"/>
        <v>12.86944768</v>
      </c>
      <c r="AI28" s="883">
        <f t="shared" si="60"/>
        <v>1.3877434521958709</v>
      </c>
      <c r="AJ28" s="889">
        <f t="shared" si="9"/>
        <v>29.284633777331234</v>
      </c>
      <c r="AK28" s="885">
        <f t="shared" si="30"/>
        <v>0</v>
      </c>
      <c r="AL28" s="883">
        <f t="shared" si="31"/>
        <v>10.302129493333334</v>
      </c>
      <c r="AM28" s="883">
        <f t="shared" si="32"/>
        <v>21.150898879146666</v>
      </c>
      <c r="AN28" s="883">
        <f t="shared" si="33"/>
        <v>23.647594659682987</v>
      </c>
      <c r="AO28" s="883">
        <f t="shared" si="34"/>
        <v>47.187974826666668</v>
      </c>
      <c r="AP28" s="883">
        <f t="shared" si="35"/>
        <v>5.0883926580515269</v>
      </c>
      <c r="AQ28" s="890">
        <f t="shared" si="38"/>
        <v>107.37699051688119</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931"/>
      <c r="V29" s="932">
        <f t="shared" si="49"/>
        <v>0</v>
      </c>
      <c r="W29" s="933">
        <f t="shared" si="50"/>
        <v>0</v>
      </c>
      <c r="X29" s="933">
        <f t="shared" si="51"/>
        <v>0</v>
      </c>
      <c r="Y29" s="933">
        <f t="shared" si="52"/>
        <v>0</v>
      </c>
      <c r="Z29" s="933">
        <f t="shared" si="53"/>
        <v>0</v>
      </c>
      <c r="AA29" s="933">
        <f t="shared" si="54"/>
        <v>0</v>
      </c>
      <c r="AB29" s="933">
        <f t="shared" si="37"/>
        <v>0</v>
      </c>
      <c r="AC29" s="934"/>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6.9510959999999997</v>
      </c>
      <c r="F30" s="883"/>
      <c r="G30" s="883"/>
      <c r="H30" s="883"/>
      <c r="I30" s="883">
        <f t="shared" si="36"/>
        <v>6.9510959999999997</v>
      </c>
      <c r="J30" s="961"/>
      <c r="K30" s="940"/>
      <c r="L30" s="940"/>
      <c r="M30" s="940"/>
      <c r="N30" s="885">
        <f t="shared" si="43"/>
        <v>0</v>
      </c>
      <c r="O30" s="883">
        <f t="shared" si="44"/>
        <v>0</v>
      </c>
      <c r="P30" s="883">
        <f t="shared" si="45"/>
        <v>6.9510959999999997</v>
      </c>
      <c r="Q30" s="883">
        <f t="shared" si="46"/>
        <v>0</v>
      </c>
      <c r="R30" s="883">
        <f t="shared" si="47"/>
        <v>0</v>
      </c>
      <c r="S30" s="886">
        <f t="shared" si="48"/>
        <v>0</v>
      </c>
      <c r="T30" s="883">
        <f t="shared" si="7"/>
        <v>6.9510959999999997</v>
      </c>
      <c r="U30" s="931">
        <f>Factors!D39</f>
        <v>18.87</v>
      </c>
      <c r="V30" s="932">
        <f t="shared" si="49"/>
        <v>0</v>
      </c>
      <c r="W30" s="933">
        <f t="shared" si="50"/>
        <v>0</v>
      </c>
      <c r="X30" s="933">
        <f t="shared" si="51"/>
        <v>0.13116718152000001</v>
      </c>
      <c r="Y30" s="933">
        <f t="shared" si="52"/>
        <v>0</v>
      </c>
      <c r="Z30" s="933">
        <f t="shared" si="53"/>
        <v>0</v>
      </c>
      <c r="AA30" s="933">
        <f t="shared" si="54"/>
        <v>0</v>
      </c>
      <c r="AB30" s="933">
        <f t="shared" si="37"/>
        <v>0.13116718152000001</v>
      </c>
      <c r="AC30" s="934">
        <f>Factors!E39</f>
        <v>1</v>
      </c>
      <c r="AD30" s="885">
        <f t="shared" si="55"/>
        <v>0</v>
      </c>
      <c r="AE30" s="883">
        <f t="shared" si="56"/>
        <v>0</v>
      </c>
      <c r="AF30" s="883">
        <f t="shared" si="57"/>
        <v>0.13116718152000001</v>
      </c>
      <c r="AG30" s="883">
        <f t="shared" si="58"/>
        <v>0</v>
      </c>
      <c r="AH30" s="883">
        <f t="shared" si="59"/>
        <v>0</v>
      </c>
      <c r="AI30" s="883">
        <f t="shared" si="60"/>
        <v>0</v>
      </c>
      <c r="AJ30" s="889">
        <f t="shared" si="9"/>
        <v>0.13116718152000001</v>
      </c>
      <c r="AK30" s="885">
        <f t="shared" si="30"/>
        <v>0</v>
      </c>
      <c r="AL30" s="883">
        <f t="shared" si="31"/>
        <v>0</v>
      </c>
      <c r="AM30" s="883">
        <f t="shared" si="32"/>
        <v>0.48094633224</v>
      </c>
      <c r="AN30" s="883">
        <f t="shared" si="33"/>
        <v>0</v>
      </c>
      <c r="AO30" s="883">
        <f t="shared" si="34"/>
        <v>0</v>
      </c>
      <c r="AP30" s="883">
        <f t="shared" si="35"/>
        <v>0</v>
      </c>
      <c r="AQ30" s="890">
        <f t="shared" si="38"/>
        <v>0.48094633224</v>
      </c>
    </row>
    <row r="31" spans="1:43">
      <c r="A31" s="817"/>
      <c r="B31" s="865" t="s">
        <v>1612</v>
      </c>
      <c r="C31" s="883"/>
      <c r="D31" s="883"/>
      <c r="E31" s="883">
        <f>HLOOKUP($B$2,'Consumption Input'!$E$5:$AQ$82,'Consumption Input'!$B36)</f>
        <v>13.7286</v>
      </c>
      <c r="F31" s="883"/>
      <c r="G31" s="883"/>
      <c r="H31" s="883"/>
      <c r="I31" s="883">
        <f t="shared" si="36"/>
        <v>13.7286</v>
      </c>
      <c r="J31" s="961"/>
      <c r="K31" s="940"/>
      <c r="L31" s="940"/>
      <c r="M31" s="940"/>
      <c r="N31" s="885">
        <f t="shared" si="43"/>
        <v>0</v>
      </c>
      <c r="O31" s="883">
        <f t="shared" si="44"/>
        <v>0</v>
      </c>
      <c r="P31" s="883">
        <f t="shared" si="45"/>
        <v>13.7286</v>
      </c>
      <c r="Q31" s="883">
        <f t="shared" si="46"/>
        <v>0</v>
      </c>
      <c r="R31" s="883">
        <f t="shared" si="47"/>
        <v>0</v>
      </c>
      <c r="S31" s="886">
        <f t="shared" si="48"/>
        <v>0</v>
      </c>
      <c r="T31" s="883">
        <f t="shared" si="7"/>
        <v>13.7286</v>
      </c>
      <c r="U31" s="931">
        <f>HLOOKUP($B$2,Factors!$J$12:$Y$25,Factors!$H25)</f>
        <v>20.234340568965521</v>
      </c>
      <c r="V31" s="932">
        <f t="shared" si="49"/>
        <v>0</v>
      </c>
      <c r="W31" s="933">
        <f t="shared" si="50"/>
        <v>0</v>
      </c>
      <c r="X31" s="933">
        <f t="shared" si="51"/>
        <v>0.27778916793510006</v>
      </c>
      <c r="Y31" s="933">
        <f t="shared" si="52"/>
        <v>0</v>
      </c>
      <c r="Z31" s="933">
        <f t="shared" si="53"/>
        <v>0</v>
      </c>
      <c r="AA31" s="933">
        <f t="shared" si="54"/>
        <v>0</v>
      </c>
      <c r="AB31" s="933">
        <f t="shared" si="37"/>
        <v>0.27778916793510006</v>
      </c>
      <c r="AC31" s="934">
        <f>Factors!E40</f>
        <v>1</v>
      </c>
      <c r="AD31" s="885">
        <f t="shared" si="55"/>
        <v>0</v>
      </c>
      <c r="AE31" s="883">
        <f t="shared" si="56"/>
        <v>0</v>
      </c>
      <c r="AF31" s="883">
        <f t="shared" si="57"/>
        <v>0.27778916793510006</v>
      </c>
      <c r="AG31" s="883">
        <f t="shared" si="58"/>
        <v>0</v>
      </c>
      <c r="AH31" s="883">
        <f t="shared" si="59"/>
        <v>0</v>
      </c>
      <c r="AI31" s="883">
        <f t="shared" si="60"/>
        <v>0</v>
      </c>
      <c r="AJ31" s="889">
        <f t="shared" si="9"/>
        <v>0.27778916793510006</v>
      </c>
      <c r="AK31" s="885">
        <f t="shared" si="30"/>
        <v>0</v>
      </c>
      <c r="AL31" s="883">
        <f t="shared" si="31"/>
        <v>0</v>
      </c>
      <c r="AM31" s="883">
        <f t="shared" si="32"/>
        <v>1.0185602824287001</v>
      </c>
      <c r="AN31" s="883">
        <f t="shared" si="33"/>
        <v>0</v>
      </c>
      <c r="AO31" s="883">
        <f t="shared" si="34"/>
        <v>0</v>
      </c>
      <c r="AP31" s="883">
        <f t="shared" si="35"/>
        <v>0</v>
      </c>
      <c r="AQ31" s="890">
        <f t="shared" si="38"/>
        <v>1.0185602824287001</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931">
        <f>HLOOKUP($B$2,Factors!$J$12:$Y$25,Factors!$H22)</f>
        <v>19.354555468857317</v>
      </c>
      <c r="V32" s="932">
        <f t="shared" si="49"/>
        <v>0</v>
      </c>
      <c r="W32" s="933">
        <f t="shared" si="50"/>
        <v>0</v>
      </c>
      <c r="X32" s="933">
        <f t="shared" si="51"/>
        <v>0</v>
      </c>
      <c r="Y32" s="933">
        <f t="shared" si="52"/>
        <v>0</v>
      </c>
      <c r="Z32" s="933">
        <f t="shared" si="53"/>
        <v>0</v>
      </c>
      <c r="AA32" s="933">
        <f t="shared" si="54"/>
        <v>0</v>
      </c>
      <c r="AB32" s="933">
        <f t="shared" si="37"/>
        <v>0</v>
      </c>
      <c r="AC32" s="934">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30"/>
        <v>0</v>
      </c>
      <c r="AL32" s="883">
        <f t="shared" si="31"/>
        <v>0</v>
      </c>
      <c r="AM32" s="883">
        <f t="shared" si="32"/>
        <v>0</v>
      </c>
      <c r="AN32" s="883">
        <f t="shared" si="33"/>
        <v>0</v>
      </c>
      <c r="AO32" s="883">
        <f t="shared" si="34"/>
        <v>0</v>
      </c>
      <c r="AP32" s="883">
        <f t="shared" si="35"/>
        <v>0</v>
      </c>
      <c r="AQ32" s="890">
        <f t="shared" si="38"/>
        <v>0</v>
      </c>
    </row>
    <row r="33" spans="1:43">
      <c r="A33" s="817"/>
      <c r="B33" s="865" t="s">
        <v>1739</v>
      </c>
      <c r="C33" s="883"/>
      <c r="D33" s="883"/>
      <c r="E33" s="883">
        <f>HLOOKUP($B$2,'Consumption Input'!$E$5:$AQ$82,'Consumption Input'!$B38)</f>
        <v>89.032355999999993</v>
      </c>
      <c r="F33" s="883"/>
      <c r="G33" s="883"/>
      <c r="H33" s="883">
        <f>HLOOKUP($B$2,'US Territories'!$D$28:$Z$38,'US Territories'!$B$38)</f>
        <v>71.27222990870095</v>
      </c>
      <c r="I33" s="883">
        <f t="shared" si="36"/>
        <v>160.30458590870094</v>
      </c>
      <c r="J33" s="961"/>
      <c r="K33" s="940">
        <f>HLOOKUP($B$2,NEUConsumption,'Non-Energy Use'!C22)</f>
        <v>89.032355999999993</v>
      </c>
      <c r="L33" s="940"/>
      <c r="M33" s="940">
        <f>HLOOKUP($B$2,NEUConsumption,'Non-Energy Use'!$C$27)</f>
        <v>71.27222990870095</v>
      </c>
      <c r="N33" s="885">
        <f t="shared" si="43"/>
        <v>0</v>
      </c>
      <c r="O33" s="883">
        <f t="shared" si="44"/>
        <v>0</v>
      </c>
      <c r="P33" s="883">
        <f t="shared" si="45"/>
        <v>0</v>
      </c>
      <c r="Q33" s="883">
        <f t="shared" si="46"/>
        <v>0</v>
      </c>
      <c r="R33" s="883">
        <f t="shared" si="47"/>
        <v>0</v>
      </c>
      <c r="S33" s="886">
        <f t="shared" si="48"/>
        <v>0</v>
      </c>
      <c r="T33" s="883">
        <f t="shared" si="7"/>
        <v>0</v>
      </c>
      <c r="U33" s="931">
        <f>HLOOKUP($B$2,Factors!$J$12:$Y$25,Factors!$H23)</f>
        <v>0</v>
      </c>
      <c r="V33" s="932">
        <f t="shared" si="49"/>
        <v>0</v>
      </c>
      <c r="W33" s="933">
        <f t="shared" si="50"/>
        <v>0</v>
      </c>
      <c r="X33" s="933">
        <f t="shared" si="51"/>
        <v>0</v>
      </c>
      <c r="Y33" s="933">
        <f t="shared" si="52"/>
        <v>0</v>
      </c>
      <c r="Z33" s="933">
        <f t="shared" si="53"/>
        <v>0</v>
      </c>
      <c r="AA33" s="933">
        <f t="shared" si="54"/>
        <v>0</v>
      </c>
      <c r="AB33" s="933">
        <f t="shared" si="37"/>
        <v>0</v>
      </c>
      <c r="AC33" s="934">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479.31033600000001</v>
      </c>
      <c r="F34" s="883"/>
      <c r="G34" s="883"/>
      <c r="H34" s="883"/>
      <c r="I34" s="883">
        <f t="shared" si="36"/>
        <v>479.31033600000001</v>
      </c>
      <c r="J34" s="961"/>
      <c r="K34" s="940">
        <f>HLOOKUP($B$2,NEUConsumption,'Non-Energy Use'!C14)</f>
        <v>479.31033600000001</v>
      </c>
      <c r="L34" s="940"/>
      <c r="M34" s="940"/>
      <c r="N34" s="885">
        <f t="shared" si="43"/>
        <v>0</v>
      </c>
      <c r="O34" s="883">
        <f t="shared" si="44"/>
        <v>0</v>
      </c>
      <c r="P34" s="883">
        <f t="shared" si="45"/>
        <v>0</v>
      </c>
      <c r="Q34" s="883">
        <f t="shared" si="46"/>
        <v>0</v>
      </c>
      <c r="R34" s="883">
        <f t="shared" si="47"/>
        <v>0</v>
      </c>
      <c r="S34" s="886">
        <f t="shared" si="48"/>
        <v>0</v>
      </c>
      <c r="T34" s="883">
        <f t="shared" si="7"/>
        <v>0</v>
      </c>
      <c r="U34" s="931">
        <f>Factors!D44</f>
        <v>18.550649350649344</v>
      </c>
      <c r="V34" s="932">
        <f t="shared" si="49"/>
        <v>0</v>
      </c>
      <c r="W34" s="933">
        <f t="shared" si="50"/>
        <v>0</v>
      </c>
      <c r="X34" s="933">
        <f t="shared" si="51"/>
        <v>0</v>
      </c>
      <c r="Y34" s="933">
        <f t="shared" si="52"/>
        <v>0</v>
      </c>
      <c r="Z34" s="933">
        <f t="shared" si="53"/>
        <v>0</v>
      </c>
      <c r="AA34" s="933">
        <f t="shared" si="54"/>
        <v>0</v>
      </c>
      <c r="AB34" s="933">
        <f t="shared" si="37"/>
        <v>0</v>
      </c>
      <c r="AC34" s="934">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729.64532499999996</v>
      </c>
      <c r="F35" s="883"/>
      <c r="G35" s="883"/>
      <c r="H35" s="883"/>
      <c r="I35" s="883">
        <f t="shared" si="36"/>
        <v>729.64532499999996</v>
      </c>
      <c r="J35" s="961"/>
      <c r="K35" s="940">
        <f>HLOOKUP($B$2,NEUConsumption,'Non-Energy Use'!$C$15)</f>
        <v>729.64532499999996</v>
      </c>
      <c r="L35" s="940"/>
      <c r="M35" s="940"/>
      <c r="N35" s="885">
        <f t="shared" si="43"/>
        <v>0</v>
      </c>
      <c r="O35" s="883">
        <f t="shared" si="44"/>
        <v>0</v>
      </c>
      <c r="P35" s="883">
        <f t="shared" si="45"/>
        <v>0</v>
      </c>
      <c r="Q35" s="883">
        <f t="shared" si="46"/>
        <v>0</v>
      </c>
      <c r="R35" s="883">
        <f t="shared" si="47"/>
        <v>0</v>
      </c>
      <c r="S35" s="886">
        <f t="shared" si="48"/>
        <v>0</v>
      </c>
      <c r="T35" s="883">
        <f t="shared" si="7"/>
        <v>0</v>
      </c>
      <c r="U35" s="931">
        <f>Factors!D45</f>
        <v>20.170000000000002</v>
      </c>
      <c r="V35" s="932">
        <f t="shared" si="49"/>
        <v>0</v>
      </c>
      <c r="W35" s="933">
        <f t="shared" si="50"/>
        <v>0</v>
      </c>
      <c r="X35" s="933">
        <f t="shared" si="51"/>
        <v>0</v>
      </c>
      <c r="Y35" s="933">
        <f t="shared" si="52"/>
        <v>0</v>
      </c>
      <c r="Z35" s="933">
        <f t="shared" si="53"/>
        <v>0</v>
      </c>
      <c r="AA35" s="933">
        <f t="shared" si="54"/>
        <v>0</v>
      </c>
      <c r="AB35" s="933">
        <f t="shared" si="37"/>
        <v>0</v>
      </c>
      <c r="AC35" s="934">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931">
        <f>Factors!D46</f>
        <v>18.239999999999998</v>
      </c>
      <c r="V36" s="932">
        <f t="shared" si="49"/>
        <v>0</v>
      </c>
      <c r="W36" s="933">
        <f t="shared" si="50"/>
        <v>0</v>
      </c>
      <c r="X36" s="933">
        <f t="shared" si="51"/>
        <v>0</v>
      </c>
      <c r="Y36" s="933">
        <f t="shared" si="52"/>
        <v>0</v>
      </c>
      <c r="Z36" s="933">
        <f t="shared" si="53"/>
        <v>0</v>
      </c>
      <c r="AA36" s="933">
        <f t="shared" si="54"/>
        <v>0</v>
      </c>
      <c r="AB36" s="933">
        <f t="shared" si="37"/>
        <v>0</v>
      </c>
      <c r="AC36" s="934">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0.114</v>
      </c>
      <c r="E37" s="883">
        <f>HLOOKUP($B$2,'Consumption Input'!$E$5:$AQ$82,'Consumption Input'!$B42)</f>
        <v>756.83799999999997</v>
      </c>
      <c r="F37" s="883"/>
      <c r="G37" s="883">
        <f>HLOOKUP($B$2,'Consumption Input'!$E$5:$AQ$82,'Consumption Input'!$B63)</f>
        <v>79.570999999999998</v>
      </c>
      <c r="H37" s="883"/>
      <c r="I37" s="883">
        <f t="shared" si="36"/>
        <v>836.52300000000002</v>
      </c>
      <c r="J37" s="961"/>
      <c r="K37" s="940">
        <f>HLOOKUP($B$2,NEUConsumption,'Non-Energy Use'!$C$17)</f>
        <v>118.5905869373607</v>
      </c>
      <c r="L37" s="940"/>
      <c r="M37" s="940"/>
      <c r="N37" s="885">
        <f t="shared" si="43"/>
        <v>0</v>
      </c>
      <c r="O37" s="883">
        <f t="shared" si="44"/>
        <v>0.114</v>
      </c>
      <c r="P37" s="883">
        <f t="shared" si="45"/>
        <v>638.24741306263923</v>
      </c>
      <c r="Q37" s="883">
        <f t="shared" si="46"/>
        <v>0</v>
      </c>
      <c r="R37" s="883">
        <f t="shared" si="47"/>
        <v>79.570999999999998</v>
      </c>
      <c r="S37" s="886">
        <f t="shared" si="48"/>
        <v>0</v>
      </c>
      <c r="T37" s="883">
        <f t="shared" si="7"/>
        <v>717.93241306263928</v>
      </c>
      <c r="U37" s="931">
        <f>Factors!D48</f>
        <v>27.84770010865628</v>
      </c>
      <c r="V37" s="932">
        <f t="shared" si="49"/>
        <v>0</v>
      </c>
      <c r="W37" s="933">
        <f t="shared" si="50"/>
        <v>3.1746378123868164E-3</v>
      </c>
      <c r="X37" s="933">
        <f t="shared" si="51"/>
        <v>17.77372255409405</v>
      </c>
      <c r="Y37" s="933">
        <f t="shared" si="52"/>
        <v>0</v>
      </c>
      <c r="Z37" s="933">
        <f t="shared" si="53"/>
        <v>2.2158693453458889</v>
      </c>
      <c r="AA37" s="933">
        <f t="shared" si="54"/>
        <v>0</v>
      </c>
      <c r="AB37" s="933">
        <f t="shared" si="37"/>
        <v>19.992766537252326</v>
      </c>
      <c r="AC37" s="934">
        <f>Factors!E48</f>
        <v>1</v>
      </c>
      <c r="AD37" s="885">
        <f t="shared" si="55"/>
        <v>0</v>
      </c>
      <c r="AE37" s="883">
        <f t="shared" si="56"/>
        <v>3.1746378123868164E-3</v>
      </c>
      <c r="AF37" s="883">
        <f t="shared" si="57"/>
        <v>17.77372255409405</v>
      </c>
      <c r="AG37" s="883">
        <f t="shared" si="58"/>
        <v>0</v>
      </c>
      <c r="AH37" s="883">
        <f t="shared" si="59"/>
        <v>2.2158693453458889</v>
      </c>
      <c r="AI37" s="883">
        <f t="shared" si="60"/>
        <v>0</v>
      </c>
      <c r="AJ37" s="889">
        <f t="shared" si="9"/>
        <v>19.992766537252326</v>
      </c>
      <c r="AK37" s="885">
        <f t="shared" si="30"/>
        <v>0</v>
      </c>
      <c r="AL37" s="883">
        <f t="shared" si="31"/>
        <v>1.1640338645418326E-2</v>
      </c>
      <c r="AM37" s="883">
        <f t="shared" si="32"/>
        <v>65.170316031678183</v>
      </c>
      <c r="AN37" s="883">
        <f t="shared" si="33"/>
        <v>0</v>
      </c>
      <c r="AO37" s="883">
        <f t="shared" si="34"/>
        <v>8.1248542662682581</v>
      </c>
      <c r="AP37" s="883">
        <f t="shared" si="35"/>
        <v>0</v>
      </c>
      <c r="AQ37" s="890">
        <f t="shared" si="38"/>
        <v>73.306810636591862</v>
      </c>
    </row>
    <row r="38" spans="1:43">
      <c r="A38" s="817"/>
      <c r="B38" s="865" t="s">
        <v>1618</v>
      </c>
      <c r="C38" s="883"/>
      <c r="D38" s="883"/>
      <c r="E38" s="883">
        <f>HLOOKUP($B$2,'Consumption Input'!$E$5:$AQ$82,'Consumption Input'!$B43)</f>
        <v>1437.09</v>
      </c>
      <c r="F38" s="883"/>
      <c r="G38" s="883"/>
      <c r="H38" s="883"/>
      <c r="I38" s="883">
        <f t="shared" si="36"/>
        <v>1437.09</v>
      </c>
      <c r="J38" s="961"/>
      <c r="K38" s="940">
        <f>HLOOKUP($B$2,NEUConsumption,'Non-Energy Use'!$C$16)</f>
        <v>2.159999999999985</v>
      </c>
      <c r="L38" s="940"/>
      <c r="M38" s="940"/>
      <c r="N38" s="885">
        <f t="shared" si="43"/>
        <v>0</v>
      </c>
      <c r="O38" s="883">
        <f t="shared" si="44"/>
        <v>0</v>
      </c>
      <c r="P38" s="883">
        <f t="shared" si="45"/>
        <v>1434.9299999999998</v>
      </c>
      <c r="Q38" s="883">
        <f t="shared" si="46"/>
        <v>0</v>
      </c>
      <c r="R38" s="883">
        <f t="shared" si="47"/>
        <v>0</v>
      </c>
      <c r="S38" s="886">
        <f t="shared" si="48"/>
        <v>0</v>
      </c>
      <c r="T38" s="883">
        <f t="shared" si="7"/>
        <v>1434.9299999999998</v>
      </c>
      <c r="U38" s="931">
        <f>Factors!D51</f>
        <v>18.195454545454545</v>
      </c>
      <c r="V38" s="932">
        <f t="shared" si="49"/>
        <v>0</v>
      </c>
      <c r="W38" s="933">
        <f t="shared" si="50"/>
        <v>0</v>
      </c>
      <c r="X38" s="933">
        <f t="shared" si="51"/>
        <v>26.10920359090909</v>
      </c>
      <c r="Y38" s="933">
        <f t="shared" si="52"/>
        <v>0</v>
      </c>
      <c r="Z38" s="933">
        <f t="shared" si="53"/>
        <v>0</v>
      </c>
      <c r="AA38" s="933">
        <f t="shared" si="54"/>
        <v>0</v>
      </c>
      <c r="AB38" s="933">
        <f t="shared" si="37"/>
        <v>26.10920359090909</v>
      </c>
      <c r="AC38" s="934">
        <f>Factors!E51</f>
        <v>1</v>
      </c>
      <c r="AD38" s="885">
        <f t="shared" si="55"/>
        <v>0</v>
      </c>
      <c r="AE38" s="883">
        <f t="shared" si="56"/>
        <v>0</v>
      </c>
      <c r="AF38" s="883">
        <f t="shared" si="57"/>
        <v>26.10920359090909</v>
      </c>
      <c r="AG38" s="883">
        <f t="shared" si="58"/>
        <v>0</v>
      </c>
      <c r="AH38" s="883">
        <f t="shared" si="59"/>
        <v>0</v>
      </c>
      <c r="AI38" s="883">
        <f t="shared" si="60"/>
        <v>0</v>
      </c>
      <c r="AJ38" s="889">
        <f t="shared" si="9"/>
        <v>26.10920359090909</v>
      </c>
      <c r="AK38" s="885">
        <f t="shared" si="30"/>
        <v>0</v>
      </c>
      <c r="AL38" s="883">
        <f t="shared" si="31"/>
        <v>0</v>
      </c>
      <c r="AM38" s="883">
        <f t="shared" si="32"/>
        <v>95.733746499999995</v>
      </c>
      <c r="AN38" s="883">
        <f t="shared" si="33"/>
        <v>0</v>
      </c>
      <c r="AO38" s="883">
        <f t="shared" si="34"/>
        <v>0</v>
      </c>
      <c r="AP38" s="883">
        <f t="shared" si="35"/>
        <v>0</v>
      </c>
      <c r="AQ38" s="890">
        <f t="shared" si="38"/>
        <v>95.733746499999995</v>
      </c>
    </row>
    <row r="39" spans="1:43">
      <c r="A39" s="817"/>
      <c r="B39" s="865" t="s">
        <v>1619</v>
      </c>
      <c r="C39" s="883"/>
      <c r="D39" s="883"/>
      <c r="E39" s="883">
        <f>HLOOKUP($B$2,'Consumption Input'!$E$5:$AQ$82,'Consumption Input'!$B44)</f>
        <v>74.542591999999999</v>
      </c>
      <c r="F39" s="883"/>
      <c r="G39" s="883"/>
      <c r="H39" s="883"/>
      <c r="I39" s="883">
        <f t="shared" si="36"/>
        <v>74.542591999999999</v>
      </c>
      <c r="J39" s="961"/>
      <c r="K39" s="940">
        <f>HLOOKUP($B$2,NEUConsumption,'Non-Energy Use'!$C$18)</f>
        <v>74.542591999999999</v>
      </c>
      <c r="L39" s="940"/>
      <c r="M39" s="940"/>
      <c r="N39" s="885">
        <f t="shared" si="43"/>
        <v>0</v>
      </c>
      <c r="O39" s="883">
        <f t="shared" si="44"/>
        <v>0</v>
      </c>
      <c r="P39" s="883">
        <f t="shared" si="45"/>
        <v>0</v>
      </c>
      <c r="Q39" s="883">
        <f t="shared" si="46"/>
        <v>0</v>
      </c>
      <c r="R39" s="883">
        <f t="shared" si="47"/>
        <v>0</v>
      </c>
      <c r="S39" s="886">
        <f t="shared" si="48"/>
        <v>0</v>
      </c>
      <c r="T39" s="883">
        <f t="shared" si="7"/>
        <v>0</v>
      </c>
      <c r="U39" s="931">
        <f>Factors!D37</f>
        <v>19.737389135254986</v>
      </c>
      <c r="V39" s="932">
        <f t="shared" si="49"/>
        <v>0</v>
      </c>
      <c r="W39" s="933">
        <f t="shared" si="50"/>
        <v>0</v>
      </c>
      <c r="X39" s="933">
        <f t="shared" si="51"/>
        <v>0</v>
      </c>
      <c r="Y39" s="933">
        <f t="shared" si="52"/>
        <v>0</v>
      </c>
      <c r="Z39" s="933">
        <f t="shared" si="53"/>
        <v>0</v>
      </c>
      <c r="AA39" s="933">
        <f t="shared" si="54"/>
        <v>0</v>
      </c>
      <c r="AB39" s="933">
        <f t="shared" si="37"/>
        <v>0</v>
      </c>
      <c r="AC39" s="934">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931">
        <f>HLOOKUP($B$2,Factors!$J$12:$Y$25,Factors!$H24)</f>
        <v>20.234340568965521</v>
      </c>
      <c r="V40" s="932">
        <f t="shared" si="49"/>
        <v>0</v>
      </c>
      <c r="W40" s="933">
        <f t="shared" si="50"/>
        <v>0</v>
      </c>
      <c r="X40" s="933">
        <f t="shared" si="51"/>
        <v>0</v>
      </c>
      <c r="Y40" s="933">
        <f t="shared" si="52"/>
        <v>0</v>
      </c>
      <c r="Z40" s="933">
        <f t="shared" si="53"/>
        <v>0</v>
      </c>
      <c r="AA40" s="933">
        <f t="shared" si="54"/>
        <v>0</v>
      </c>
      <c r="AB40" s="933">
        <f t="shared" si="37"/>
        <v>0</v>
      </c>
      <c r="AC40" s="934">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48.664693</v>
      </c>
      <c r="F41" s="883"/>
      <c r="G41" s="883"/>
      <c r="H41" s="883"/>
      <c r="I41" s="883">
        <f t="shared" si="36"/>
        <v>48.664693</v>
      </c>
      <c r="J41" s="961"/>
      <c r="K41" s="940">
        <f>HLOOKUP($B$2,NEUConsumption,'Non-Energy Use'!$C$21)</f>
        <v>48.664693</v>
      </c>
      <c r="L41" s="940"/>
      <c r="M41" s="940"/>
      <c r="N41" s="885">
        <f t="shared" si="43"/>
        <v>0</v>
      </c>
      <c r="O41" s="883">
        <f t="shared" si="44"/>
        <v>0</v>
      </c>
      <c r="P41" s="883">
        <f t="shared" si="45"/>
        <v>0</v>
      </c>
      <c r="Q41" s="883">
        <f t="shared" si="46"/>
        <v>0</v>
      </c>
      <c r="R41" s="883">
        <f t="shared" si="47"/>
        <v>0</v>
      </c>
      <c r="S41" s="886">
        <f t="shared" si="48"/>
        <v>0</v>
      </c>
      <c r="T41" s="883">
        <f t="shared" si="7"/>
        <v>0</v>
      </c>
      <c r="U41" s="931">
        <f>Factors!D55</f>
        <v>19.795754182606267</v>
      </c>
      <c r="V41" s="941">
        <f t="shared" si="49"/>
        <v>0</v>
      </c>
      <c r="W41" s="942">
        <f t="shared" si="50"/>
        <v>0</v>
      </c>
      <c r="X41" s="942">
        <f t="shared" si="51"/>
        <v>0</v>
      </c>
      <c r="Y41" s="942">
        <f t="shared" si="52"/>
        <v>0</v>
      </c>
      <c r="Z41" s="942">
        <f t="shared" si="53"/>
        <v>0</v>
      </c>
      <c r="AA41" s="942">
        <f t="shared" si="54"/>
        <v>0</v>
      </c>
      <c r="AB41" s="933">
        <f t="shared" si="37"/>
        <v>0</v>
      </c>
      <c r="AC41" s="934">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48.889469098303998</v>
      </c>
      <c r="H42" s="917"/>
      <c r="I42" s="917">
        <f>G42</f>
        <v>48.889469098303998</v>
      </c>
      <c r="J42" s="968"/>
      <c r="K42" s="969"/>
      <c r="L42" s="970"/>
      <c r="M42" s="971"/>
      <c r="N42" s="917">
        <f t="shared" si="43"/>
        <v>0</v>
      </c>
      <c r="O42" s="917">
        <f t="shared" si="44"/>
        <v>0</v>
      </c>
      <c r="P42" s="917">
        <f>E42</f>
        <v>0</v>
      </c>
      <c r="Q42" s="917">
        <f>F42</f>
        <v>0</v>
      </c>
      <c r="R42" s="917">
        <f t="shared" si="47"/>
        <v>48.889469098303998</v>
      </c>
      <c r="S42" s="917">
        <f>H42</f>
        <v>0</v>
      </c>
      <c r="T42" s="917">
        <f t="shared" si="7"/>
        <v>48.889469098303998</v>
      </c>
      <c r="U42" s="953">
        <f>Factors!D56</f>
        <v>2.6974658424810825</v>
      </c>
      <c r="V42" s="954"/>
      <c r="W42" s="954"/>
      <c r="X42" s="954"/>
      <c r="Y42" s="954"/>
      <c r="Z42" s="954">
        <f>INDEX(Geothermal!$C$14:$AE$18,MATCH("Total",Geothermal!$C$14:$C$18,0),MATCH($B$2,Geothermal!$C$14:$AE$14,0))/CtoCO2</f>
        <v>0.12613029353918059</v>
      </c>
      <c r="AA42" s="954"/>
      <c r="AB42" s="954">
        <f t="shared" si="37"/>
        <v>0.12613029353918059</v>
      </c>
      <c r="AC42" s="955">
        <f>Factors!$E$56</f>
        <v>1</v>
      </c>
      <c r="AD42" s="917">
        <f t="shared" si="55"/>
        <v>0</v>
      </c>
      <c r="AE42" s="917">
        <f t="shared" si="56"/>
        <v>0</v>
      </c>
      <c r="AF42" s="917">
        <f t="shared" si="57"/>
        <v>0</v>
      </c>
      <c r="AG42" s="917">
        <f t="shared" si="58"/>
        <v>0</v>
      </c>
      <c r="AH42" s="917">
        <f t="shared" si="59"/>
        <v>0.12613029353918059</v>
      </c>
      <c r="AI42" s="917">
        <f t="shared" si="60"/>
        <v>0</v>
      </c>
      <c r="AJ42" s="920">
        <f t="shared" si="9"/>
        <v>0.12613029353918059</v>
      </c>
      <c r="AK42" s="919">
        <f t="shared" si="30"/>
        <v>0</v>
      </c>
      <c r="AL42" s="917">
        <f t="shared" si="31"/>
        <v>0</v>
      </c>
      <c r="AM42" s="917">
        <f t="shared" si="32"/>
        <v>0</v>
      </c>
      <c r="AN42" s="917">
        <f t="shared" si="33"/>
        <v>0</v>
      </c>
      <c r="AO42" s="917">
        <f t="shared" si="34"/>
        <v>0.46247774297699551</v>
      </c>
      <c r="AP42" s="917">
        <f t="shared" si="35"/>
        <v>0</v>
      </c>
      <c r="AQ42" s="920">
        <f t="shared" si="38"/>
        <v>0.46247774297699551</v>
      </c>
    </row>
    <row r="43" spans="1:43" ht="11.1" thickBot="1">
      <c r="A43" s="817"/>
      <c r="B43" s="867" t="s">
        <v>1740</v>
      </c>
      <c r="C43" s="922">
        <f>C8+C17+C18+C42</f>
        <v>6765.9843240227738</v>
      </c>
      <c r="D43" s="922">
        <f>D8+D17+D18+D42</f>
        <v>4107.4791393430396</v>
      </c>
      <c r="E43" s="922">
        <f>E8+E17+E18+E42</f>
        <v>19547.7558784223</v>
      </c>
      <c r="F43" s="922">
        <f>F8+F17+F18+F42</f>
        <v>24396.284175957226</v>
      </c>
      <c r="G43" s="922">
        <f>G8+G17+G18+G42</f>
        <v>23157.627469098301</v>
      </c>
      <c r="H43" s="922">
        <f>H16+H17+H18+H42</f>
        <v>343.07239580525902</v>
      </c>
      <c r="I43" s="922">
        <f>SUM(C43:H43)</f>
        <v>78318.203382648891</v>
      </c>
      <c r="J43" s="972">
        <f t="shared" ref="J43:S43" si="65">J8+J17+J18+J42</f>
        <v>1370.3309207681464</v>
      </c>
      <c r="K43" s="973">
        <f t="shared" si="65"/>
        <v>5067.8704675068002</v>
      </c>
      <c r="L43" s="974">
        <f t="shared" si="65"/>
        <v>162.95699999999999</v>
      </c>
      <c r="M43" s="975">
        <f t="shared" si="65"/>
        <v>72.741515904336197</v>
      </c>
      <c r="N43" s="922">
        <f t="shared" si="65"/>
        <v>6765.9843240227738</v>
      </c>
      <c r="O43" s="922">
        <f t="shared" si="65"/>
        <v>4107.4791393430396</v>
      </c>
      <c r="P43" s="922">
        <f t="shared" si="65"/>
        <v>14479.8854109155</v>
      </c>
      <c r="Q43" s="922">
        <f t="shared" si="65"/>
        <v>22862.996255189082</v>
      </c>
      <c r="R43" s="922">
        <f t="shared" si="65"/>
        <v>23157.627469098301</v>
      </c>
      <c r="S43" s="922">
        <f t="shared" si="65"/>
        <v>270.33087990092281</v>
      </c>
      <c r="T43" s="922">
        <f t="shared" si="7"/>
        <v>71644.303478469621</v>
      </c>
      <c r="U43" s="956" t="s">
        <v>1731</v>
      </c>
      <c r="V43" s="957">
        <f t="shared" ref="V43:AA43" si="66">V8+V17+V18+V42</f>
        <v>104.58393431794826</v>
      </c>
      <c r="W43" s="957">
        <f t="shared" si="66"/>
        <v>64.788627605670797</v>
      </c>
      <c r="X43" s="957">
        <f t="shared" si="66"/>
        <v>250.21508224536043</v>
      </c>
      <c r="Y43" s="957">
        <f t="shared" si="66"/>
        <v>443.82630139692594</v>
      </c>
      <c r="Z43" s="957">
        <f t="shared" si="66"/>
        <v>550.97535559351502</v>
      </c>
      <c r="AA43" s="957">
        <f t="shared" si="66"/>
        <v>5.3940256281808088</v>
      </c>
      <c r="AB43" s="957">
        <f t="shared" si="37"/>
        <v>1419.7833267876013</v>
      </c>
      <c r="AC43" s="958" t="s">
        <v>1731</v>
      </c>
      <c r="AD43" s="922">
        <f t="shared" ref="AD43:AQ43" si="67">AD8+AD17+AD18+AD42</f>
        <v>104.58393431794826</v>
      </c>
      <c r="AE43" s="922">
        <f t="shared" si="67"/>
        <v>64.788627605670797</v>
      </c>
      <c r="AF43" s="922">
        <f t="shared" si="67"/>
        <v>250.21508224536043</v>
      </c>
      <c r="AG43" s="922">
        <f t="shared" si="67"/>
        <v>443.82630139692594</v>
      </c>
      <c r="AH43" s="922">
        <f t="shared" si="67"/>
        <v>550.97535559351502</v>
      </c>
      <c r="AI43" s="922">
        <f t="shared" si="67"/>
        <v>5.3940256281808088</v>
      </c>
      <c r="AJ43" s="925">
        <f t="shared" si="67"/>
        <v>1419.7833267876015</v>
      </c>
      <c r="AK43" s="922">
        <f t="shared" si="67"/>
        <v>383.47442583247692</v>
      </c>
      <c r="AL43" s="922">
        <f t="shared" si="67"/>
        <v>237.55830122079288</v>
      </c>
      <c r="AM43" s="922">
        <f t="shared" si="67"/>
        <v>917.45530156632162</v>
      </c>
      <c r="AN43" s="922">
        <f t="shared" si="67"/>
        <v>1627.3631051220618</v>
      </c>
      <c r="AO43" s="922">
        <f t="shared" si="67"/>
        <v>2020.2429705095551</v>
      </c>
      <c r="AP43" s="922">
        <f t="shared" si="67"/>
        <v>19.778093969996299</v>
      </c>
      <c r="AQ43" s="925">
        <f t="shared" si="67"/>
        <v>5205.8721982212046</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2"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ransitionEvaluation="1" transitionEntry="1" codeName="Sheet23">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3" width="7" style="152" customWidth="1"/>
    <col min="14" max="14" width="8.6640625" style="152" customWidth="1"/>
    <col min="15" max="15" width="11.332031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1997</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1748</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15.991999999999999</v>
      </c>
      <c r="D8" s="876">
        <f t="shared" si="4"/>
        <v>129.39099999999996</v>
      </c>
      <c r="E8" s="876">
        <f t="shared" si="4"/>
        <v>1495.8628301923181</v>
      </c>
      <c r="F8" s="876">
        <f t="shared" si="4"/>
        <v>0</v>
      </c>
      <c r="G8" s="876">
        <f t="shared" si="4"/>
        <v>18904.537999999997</v>
      </c>
      <c r="H8" s="876">
        <f t="shared" si="4"/>
        <v>4.8720619868000448</v>
      </c>
      <c r="I8" s="876">
        <f t="shared" ref="I8:I14" si="5">SUM(C8:H8)</f>
        <v>20550.655892179115</v>
      </c>
      <c r="J8" s="959"/>
      <c r="K8" s="960">
        <f>SUM(K9:K16)</f>
        <v>10.361514324729033</v>
      </c>
      <c r="L8" s="960">
        <f>SUM(L9:L16)</f>
        <v>0</v>
      </c>
      <c r="M8" s="960"/>
      <c r="N8" s="878">
        <f t="shared" ref="N8:S8" si="6">SUM(N9:N16)</f>
        <v>15.991999999999999</v>
      </c>
      <c r="O8" s="876">
        <f t="shared" si="6"/>
        <v>129.39099999999996</v>
      </c>
      <c r="P8" s="876">
        <f t="shared" si="6"/>
        <v>1485.501315867589</v>
      </c>
      <c r="Q8" s="876">
        <f t="shared" si="6"/>
        <v>0</v>
      </c>
      <c r="R8" s="876">
        <f t="shared" si="6"/>
        <v>18904.537999999997</v>
      </c>
      <c r="S8" s="879">
        <f t="shared" si="6"/>
        <v>4.8720619868000448</v>
      </c>
      <c r="T8" s="876">
        <f t="shared" ref="T8:T43" si="7">SUM(N8:S8)</f>
        <v>20540.294377854385</v>
      </c>
      <c r="U8" s="880" t="s">
        <v>1731</v>
      </c>
      <c r="V8" s="876">
        <f>SUM(V9:V16)</f>
        <v>0.41404679180633902</v>
      </c>
      <c r="W8" s="876">
        <f>SUM(W9:W16)</f>
        <v>3.3500455501884692</v>
      </c>
      <c r="X8" s="876">
        <f>SUM(X9:X16)</f>
        <v>38.247178122132567</v>
      </c>
      <c r="Y8" s="876"/>
      <c r="Z8" s="876">
        <f>SUM(Z9:Z16)</f>
        <v>489.82333237950644</v>
      </c>
      <c r="AA8" s="876">
        <f>SUM(AA9:AA16)</f>
        <v>0.12248363834815312</v>
      </c>
      <c r="AB8" s="876">
        <f t="shared" ref="AB8:AB13" si="8">SUM(V8:AA8)</f>
        <v>531.95708648198195</v>
      </c>
      <c r="AC8" s="881" t="s">
        <v>1731</v>
      </c>
      <c r="AD8" s="878">
        <f>SUM(AD9:AD16)</f>
        <v>0.41404679180633902</v>
      </c>
      <c r="AE8" s="876">
        <f>SUM(AE9:AE16)</f>
        <v>3.3500455501884692</v>
      </c>
      <c r="AF8" s="876">
        <f>SUM(AF9:AF16)</f>
        <v>38.247178122132567</v>
      </c>
      <c r="AG8" s="876" t="s">
        <v>108</v>
      </c>
      <c r="AH8" s="876">
        <f>SUM(AH9:AH16)</f>
        <v>489.82333237950644</v>
      </c>
      <c r="AI8" s="876">
        <f>SUM(AI9:AI16)</f>
        <v>0.12248363834815312</v>
      </c>
      <c r="AJ8" s="876">
        <f t="shared" ref="AJ8:AJ42" si="9">SUM(AD8:AI8)</f>
        <v>531.95708648198195</v>
      </c>
      <c r="AK8" s="878">
        <f t="shared" ref="AK8:AP8" si="10">SUM(AK9:AK16)</f>
        <v>1.5181715699565763</v>
      </c>
      <c r="AL8" s="876">
        <f t="shared" si="10"/>
        <v>12.283500350691053</v>
      </c>
      <c r="AM8" s="876">
        <f t="shared" si="10"/>
        <v>140.23965311448606</v>
      </c>
      <c r="AN8" s="876">
        <f t="shared" si="10"/>
        <v>0</v>
      </c>
      <c r="AO8" s="876">
        <f t="shared" si="10"/>
        <v>1796.0188853915236</v>
      </c>
      <c r="AP8" s="876">
        <f t="shared" si="10"/>
        <v>0.44910667394322812</v>
      </c>
      <c r="AQ8" s="882">
        <f t="shared" ref="AQ8:AQ14" si="11">SUM(AK8:AP8)</f>
        <v>1950.5093171006006</v>
      </c>
    </row>
    <row r="9" spans="1:43">
      <c r="A9" s="817"/>
      <c r="B9" s="860" t="s">
        <v>1732</v>
      </c>
      <c r="C9" s="883">
        <f>HLOOKUP($B$2,'Consumption Input'!$E$5:$AQ$82,'Consumption Input'!$B7)</f>
        <v>15.991999999999999</v>
      </c>
      <c r="D9" s="883"/>
      <c r="E9" s="883"/>
      <c r="F9" s="883"/>
      <c r="G9" s="883"/>
      <c r="H9" s="883"/>
      <c r="I9" s="883">
        <f t="shared" si="5"/>
        <v>15.991999999999999</v>
      </c>
      <c r="J9" s="961"/>
      <c r="K9" s="940"/>
      <c r="L9" s="940"/>
      <c r="M9" s="940"/>
      <c r="N9" s="885">
        <f t="shared" ref="N9:N17" si="12">C9</f>
        <v>15.991999999999999</v>
      </c>
      <c r="O9" s="883">
        <f t="shared" ref="O9:O17" si="13">D9</f>
        <v>0</v>
      </c>
      <c r="P9" s="883">
        <f t="shared" ref="P9:P17" si="14">E9-K9</f>
        <v>0</v>
      </c>
      <c r="Q9" s="883">
        <f t="shared" ref="Q9:Q17" si="15">F9</f>
        <v>0</v>
      </c>
      <c r="R9" s="883">
        <f t="shared" ref="R9:R17" si="16">G9</f>
        <v>0</v>
      </c>
      <c r="S9" s="886">
        <f t="shared" ref="S9:S17" si="17">H9</f>
        <v>0</v>
      </c>
      <c r="T9" s="883">
        <f t="shared" si="7"/>
        <v>15.991999999999999</v>
      </c>
      <c r="U9" s="887">
        <f>HLOOKUP($B$2,Factors!$J$12:$Y$25,Factors!$H13)</f>
        <v>25.890869922857618</v>
      </c>
      <c r="V9" s="885">
        <f t="shared" ref="V9:V17" si="18">N9*$U9*TbtuToQBtu</f>
        <v>0.41404679180633902</v>
      </c>
      <c r="W9" s="883">
        <f t="shared" ref="W9:W17" si="19">O9*$U9*TbtuToQBtu</f>
        <v>0</v>
      </c>
      <c r="X9" s="883">
        <f t="shared" ref="X9:X17" si="20">P9*$U9*TbtuToQBtu</f>
        <v>0</v>
      </c>
      <c r="Y9" s="883">
        <f t="shared" ref="Y9:Y17" si="21">Q9*$U9*TbtuToQBtu</f>
        <v>0</v>
      </c>
      <c r="Z9" s="883">
        <f t="shared" ref="Z9:Z17" si="22">R9*$U9*TbtuToQBtu</f>
        <v>0</v>
      </c>
      <c r="AA9" s="883">
        <f t="shared" ref="AA9:AA17" si="23">S9*$U9*TbtuToQBtu</f>
        <v>0</v>
      </c>
      <c r="AB9" s="883">
        <f t="shared" si="8"/>
        <v>0.41404679180633902</v>
      </c>
      <c r="AC9" s="888">
        <f>Factors!E10</f>
        <v>1</v>
      </c>
      <c r="AD9" s="885">
        <f t="shared" ref="AD9:AD17" si="24">V9*$AC9</f>
        <v>0.41404679180633902</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0.41404679180633902</v>
      </c>
      <c r="AK9" s="885">
        <f t="shared" ref="AK9:AK42" si="30">AD9*CtoCO2</f>
        <v>1.5181715699565763</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1.5181715699565763</v>
      </c>
    </row>
    <row r="10" spans="1:43">
      <c r="A10" s="817"/>
      <c r="B10" s="860" t="s">
        <v>1733</v>
      </c>
      <c r="C10" s="883"/>
      <c r="D10" s="883">
        <f>HLOOKUP($B$2,'Consumption Input'!$E$5:$AQ$82,'Consumption Input'!$B13)</f>
        <v>129.39099999999996</v>
      </c>
      <c r="E10" s="883"/>
      <c r="F10" s="883"/>
      <c r="G10" s="883"/>
      <c r="H10" s="883"/>
      <c r="I10" s="883">
        <f t="shared" si="5"/>
        <v>129.39099999999996</v>
      </c>
      <c r="J10" s="961"/>
      <c r="K10" s="940"/>
      <c r="L10" s="940"/>
      <c r="M10" s="940"/>
      <c r="N10" s="885">
        <f t="shared" si="12"/>
        <v>0</v>
      </c>
      <c r="O10" s="883">
        <f t="shared" si="13"/>
        <v>129.39099999999996</v>
      </c>
      <c r="P10" s="883">
        <f t="shared" si="14"/>
        <v>0</v>
      </c>
      <c r="Q10" s="883">
        <f t="shared" si="15"/>
        <v>0</v>
      </c>
      <c r="R10" s="883">
        <f t="shared" si="16"/>
        <v>0</v>
      </c>
      <c r="S10" s="886">
        <f t="shared" si="17"/>
        <v>0</v>
      </c>
      <c r="T10" s="883">
        <f t="shared" si="7"/>
        <v>129.39099999999996</v>
      </c>
      <c r="U10" s="887">
        <f>HLOOKUP($B$2,Factors!$J$12:$Y$25,Factors!$H14)</f>
        <v>25.890869922857618</v>
      </c>
      <c r="V10" s="885">
        <f t="shared" si="18"/>
        <v>0</v>
      </c>
      <c r="W10" s="883">
        <f t="shared" si="19"/>
        <v>3.3500455501884692</v>
      </c>
      <c r="X10" s="883">
        <f t="shared" si="20"/>
        <v>0</v>
      </c>
      <c r="Y10" s="883">
        <f t="shared" si="21"/>
        <v>0</v>
      </c>
      <c r="Z10" s="883">
        <f t="shared" si="22"/>
        <v>0</v>
      </c>
      <c r="AA10" s="883">
        <f t="shared" si="23"/>
        <v>0</v>
      </c>
      <c r="AB10" s="883">
        <f t="shared" si="8"/>
        <v>3.3500455501884692</v>
      </c>
      <c r="AC10" s="888">
        <f>Factors!E11</f>
        <v>1</v>
      </c>
      <c r="AD10" s="885">
        <f t="shared" si="24"/>
        <v>0</v>
      </c>
      <c r="AE10" s="883">
        <f t="shared" si="25"/>
        <v>3.3500455501884692</v>
      </c>
      <c r="AF10" s="883">
        <f t="shared" si="26"/>
        <v>0</v>
      </c>
      <c r="AG10" s="883">
        <f t="shared" si="27"/>
        <v>0</v>
      </c>
      <c r="AH10" s="883">
        <f t="shared" si="28"/>
        <v>0</v>
      </c>
      <c r="AI10" s="883">
        <f t="shared" si="29"/>
        <v>0</v>
      </c>
      <c r="AJ10" s="889">
        <f t="shared" si="9"/>
        <v>3.3500455501884692</v>
      </c>
      <c r="AK10" s="885">
        <f t="shared" si="30"/>
        <v>0</v>
      </c>
      <c r="AL10" s="883">
        <f t="shared" si="31"/>
        <v>12.283500350691053</v>
      </c>
      <c r="AM10" s="883">
        <f t="shared" si="32"/>
        <v>0</v>
      </c>
      <c r="AN10" s="883">
        <f t="shared" si="33"/>
        <v>0</v>
      </c>
      <c r="AO10" s="883">
        <f t="shared" si="34"/>
        <v>0</v>
      </c>
      <c r="AP10" s="883">
        <f t="shared" si="35"/>
        <v>0</v>
      </c>
      <c r="AQ10" s="890">
        <f t="shared" si="11"/>
        <v>12.283500350691053</v>
      </c>
    </row>
    <row r="11" spans="1:43" s="244" customFormat="1" hidden="1">
      <c r="A11" s="861"/>
      <c r="B11" s="862" t="s">
        <v>1734</v>
      </c>
      <c r="C11" s="891"/>
      <c r="D11" s="891"/>
      <c r="E11" s="891">
        <f>HLOOKUP($B$2,'Consumption Input'!$E$5:$AQ$82,'Consumption Input'!$B23)</f>
        <v>0</v>
      </c>
      <c r="F11" s="891"/>
      <c r="G11" s="891"/>
      <c r="H11" s="891"/>
      <c r="I11" s="891">
        <f t="shared" si="5"/>
        <v>0</v>
      </c>
      <c r="J11" s="962"/>
      <c r="K11" s="963">
        <f>HLOOKUP($B$2,NEUConsumption,'Non-Energy Use'!$C$7)</f>
        <v>0</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25.591985592118377</v>
      </c>
      <c r="V11" s="893">
        <f t="shared" si="18"/>
        <v>0</v>
      </c>
      <c r="W11" s="891">
        <f t="shared" si="19"/>
        <v>0</v>
      </c>
      <c r="X11" s="891">
        <f t="shared" si="20"/>
        <v>0</v>
      </c>
      <c r="Y11" s="891">
        <f t="shared" si="21"/>
        <v>0</v>
      </c>
      <c r="Z11" s="891">
        <f t="shared" si="22"/>
        <v>0</v>
      </c>
      <c r="AA11" s="891">
        <f t="shared" si="23"/>
        <v>0</v>
      </c>
      <c r="AB11" s="891">
        <f t="shared" si="8"/>
        <v>0</v>
      </c>
      <c r="AC11" s="896">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3">
      <c r="A12" s="817"/>
      <c r="B12" s="860" t="s">
        <v>1701</v>
      </c>
      <c r="C12" s="883"/>
      <c r="D12" s="883"/>
      <c r="E12" s="883">
        <f>HLOOKUP($B$2,'Consumption Input'!$E$5:$AQ$82,'Consumption Input'!$B24)</f>
        <v>1495.8628301923181</v>
      </c>
      <c r="F12" s="883"/>
      <c r="G12" s="883"/>
      <c r="H12" s="883"/>
      <c r="I12" s="883">
        <f t="shared" si="5"/>
        <v>1495.8628301923181</v>
      </c>
      <c r="J12" s="961"/>
      <c r="K12" s="940">
        <f>HLOOKUP($B$2,NEUConsumption,'Non-Energy Use'!$C$8)</f>
        <v>10.361514324729033</v>
      </c>
      <c r="L12" s="940"/>
      <c r="M12" s="940"/>
      <c r="N12" s="885">
        <f t="shared" si="12"/>
        <v>0</v>
      </c>
      <c r="O12" s="883">
        <f t="shared" si="13"/>
        <v>0</v>
      </c>
      <c r="P12" s="883">
        <f t="shared" si="14"/>
        <v>1485.501315867589</v>
      </c>
      <c r="Q12" s="883">
        <f t="shared" si="15"/>
        <v>0</v>
      </c>
      <c r="R12" s="883">
        <f t="shared" si="16"/>
        <v>0</v>
      </c>
      <c r="S12" s="886">
        <f t="shared" si="17"/>
        <v>0</v>
      </c>
      <c r="T12" s="883">
        <f t="shared" si="7"/>
        <v>1485.501315867589</v>
      </c>
      <c r="U12" s="887">
        <f>HLOOKUP($B$2,Factors!$J$12:$Y$25,Factors!$H15)</f>
        <v>25.746983670488884</v>
      </c>
      <c r="V12" s="885">
        <f t="shared" si="18"/>
        <v>0</v>
      </c>
      <c r="W12" s="883">
        <f t="shared" si="19"/>
        <v>0</v>
      </c>
      <c r="X12" s="883">
        <f t="shared" si="20"/>
        <v>38.247178122132567</v>
      </c>
      <c r="Y12" s="883">
        <f t="shared" si="21"/>
        <v>0</v>
      </c>
      <c r="Z12" s="883">
        <f t="shared" si="22"/>
        <v>0</v>
      </c>
      <c r="AA12" s="883">
        <f t="shared" si="23"/>
        <v>0</v>
      </c>
      <c r="AB12" s="883">
        <f t="shared" si="8"/>
        <v>38.247178122132567</v>
      </c>
      <c r="AC12" s="888">
        <f>Factors!E13</f>
        <v>1</v>
      </c>
      <c r="AD12" s="885">
        <f t="shared" si="24"/>
        <v>0</v>
      </c>
      <c r="AE12" s="883">
        <f t="shared" si="25"/>
        <v>0</v>
      </c>
      <c r="AF12" s="883">
        <f t="shared" si="26"/>
        <v>38.247178122132567</v>
      </c>
      <c r="AG12" s="883">
        <f t="shared" si="27"/>
        <v>0</v>
      </c>
      <c r="AH12" s="883">
        <f t="shared" si="28"/>
        <v>0</v>
      </c>
      <c r="AI12" s="883">
        <f t="shared" si="29"/>
        <v>0</v>
      </c>
      <c r="AJ12" s="889">
        <f t="shared" si="9"/>
        <v>38.247178122132567</v>
      </c>
      <c r="AK12" s="885">
        <f t="shared" si="30"/>
        <v>0</v>
      </c>
      <c r="AL12" s="883">
        <f t="shared" si="31"/>
        <v>0</v>
      </c>
      <c r="AM12" s="883">
        <f t="shared" si="32"/>
        <v>140.23965311448606</v>
      </c>
      <c r="AN12" s="883">
        <f t="shared" si="33"/>
        <v>0</v>
      </c>
      <c r="AO12" s="883">
        <f t="shared" si="34"/>
        <v>0</v>
      </c>
      <c r="AP12" s="883">
        <f t="shared" si="35"/>
        <v>0</v>
      </c>
      <c r="AQ12" s="890">
        <f t="shared" si="11"/>
        <v>140.23965311448606</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83">
        <f t="shared" si="7"/>
        <v>0</v>
      </c>
      <c r="U13" s="895">
        <f>Factors!D14</f>
        <v>27.85</v>
      </c>
      <c r="V13" s="893">
        <f t="shared" si="18"/>
        <v>0</v>
      </c>
      <c r="W13" s="891">
        <f t="shared" si="19"/>
        <v>0</v>
      </c>
      <c r="X13" s="891">
        <f t="shared" si="20"/>
        <v>0</v>
      </c>
      <c r="Y13" s="891">
        <f t="shared" si="21"/>
        <v>0</v>
      </c>
      <c r="Z13" s="891">
        <f t="shared" si="22"/>
        <v>0</v>
      </c>
      <c r="AA13" s="891">
        <f t="shared" si="23"/>
        <v>0</v>
      </c>
      <c r="AB13" s="891">
        <f t="shared" si="8"/>
        <v>0</v>
      </c>
      <c r="AC13" s="896">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887" t="str">
        <f>Factors!D15</f>
        <v>NC</v>
      </c>
      <c r="V14" s="885">
        <f t="shared" si="18"/>
        <v>0</v>
      </c>
      <c r="W14" s="883">
        <f t="shared" si="19"/>
        <v>0</v>
      </c>
      <c r="X14" s="883">
        <f t="shared" si="20"/>
        <v>0</v>
      </c>
      <c r="Y14" s="883">
        <f t="shared" si="21"/>
        <v>0</v>
      </c>
      <c r="Z14" s="883">
        <f t="shared" si="22"/>
        <v>0</v>
      </c>
      <c r="AA14" s="883">
        <f t="shared" si="23"/>
        <v>0</v>
      </c>
      <c r="AB14" s="883" t="s">
        <v>103</v>
      </c>
      <c r="AC14" s="888"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3">
      <c r="A15" s="817"/>
      <c r="B15" s="860" t="s">
        <v>1736</v>
      </c>
      <c r="C15" s="883"/>
      <c r="D15" s="883"/>
      <c r="E15" s="883"/>
      <c r="F15" s="883"/>
      <c r="G15" s="883">
        <f>HLOOKUP($B$2,'Consumption Input'!$E$5:$AQ$82,'Consumption Input'!$B58)</f>
        <v>18904.537999999997</v>
      </c>
      <c r="H15" s="883"/>
      <c r="I15" s="883">
        <f t="shared" ref="I15:I41" si="36">SUM(C15:H15)</f>
        <v>18904.537999999997</v>
      </c>
      <c r="J15" s="961"/>
      <c r="K15" s="940"/>
      <c r="L15" s="940"/>
      <c r="M15" s="940"/>
      <c r="N15" s="885">
        <f t="shared" si="12"/>
        <v>0</v>
      </c>
      <c r="O15" s="883">
        <f t="shared" si="13"/>
        <v>0</v>
      </c>
      <c r="P15" s="883">
        <f t="shared" si="14"/>
        <v>0</v>
      </c>
      <c r="Q15" s="883">
        <f t="shared" si="15"/>
        <v>0</v>
      </c>
      <c r="R15" s="883">
        <f t="shared" si="16"/>
        <v>18904.537999999997</v>
      </c>
      <c r="S15" s="886">
        <f t="shared" si="17"/>
        <v>0</v>
      </c>
      <c r="T15" s="883">
        <f t="shared" si="7"/>
        <v>18904.537999999997</v>
      </c>
      <c r="U15" s="887">
        <f>HLOOKUP($B$2,Factors!$J$12:$Y$25,Factors!$H16)</f>
        <v>25.910357205212129</v>
      </c>
      <c r="V15" s="885">
        <f t="shared" si="18"/>
        <v>0</v>
      </c>
      <c r="W15" s="883">
        <f t="shared" si="19"/>
        <v>0</v>
      </c>
      <c r="X15" s="883">
        <f t="shared" si="20"/>
        <v>0</v>
      </c>
      <c r="Y15" s="883">
        <f t="shared" si="21"/>
        <v>0</v>
      </c>
      <c r="Z15" s="883">
        <f t="shared" si="22"/>
        <v>489.82333237950644</v>
      </c>
      <c r="AA15" s="883">
        <f t="shared" si="23"/>
        <v>0</v>
      </c>
      <c r="AB15" s="883">
        <f t="shared" ref="AB15:AB43" si="37">SUM(V15:AA15)</f>
        <v>489.82333237950644</v>
      </c>
      <c r="AC15" s="888">
        <f>Factors!E16</f>
        <v>1</v>
      </c>
      <c r="AD15" s="885">
        <f t="shared" si="24"/>
        <v>0</v>
      </c>
      <c r="AE15" s="883">
        <f t="shared" si="25"/>
        <v>0</v>
      </c>
      <c r="AF15" s="883">
        <f t="shared" si="26"/>
        <v>0</v>
      </c>
      <c r="AG15" s="883">
        <f t="shared" si="27"/>
        <v>0</v>
      </c>
      <c r="AH15" s="883">
        <f t="shared" si="28"/>
        <v>489.82333237950644</v>
      </c>
      <c r="AI15" s="883">
        <f t="shared" si="29"/>
        <v>0</v>
      </c>
      <c r="AJ15" s="889">
        <f t="shared" si="9"/>
        <v>489.82333237950644</v>
      </c>
      <c r="AK15" s="885">
        <f t="shared" si="30"/>
        <v>0</v>
      </c>
      <c r="AL15" s="883">
        <f t="shared" si="31"/>
        <v>0</v>
      </c>
      <c r="AM15" s="883">
        <f t="shared" si="32"/>
        <v>0</v>
      </c>
      <c r="AN15" s="883">
        <f t="shared" si="33"/>
        <v>0</v>
      </c>
      <c r="AO15" s="883">
        <f t="shared" si="34"/>
        <v>1796.0188853915236</v>
      </c>
      <c r="AP15" s="883">
        <f t="shared" si="35"/>
        <v>0</v>
      </c>
      <c r="AQ15" s="890">
        <f t="shared" ref="AQ15:AQ42" si="38">SUM(AK15:AP15)</f>
        <v>1796.0188853915236</v>
      </c>
    </row>
    <row r="16" spans="1:43">
      <c r="A16" s="817"/>
      <c r="B16" s="860" t="s">
        <v>1737</v>
      </c>
      <c r="C16" s="883"/>
      <c r="D16" s="883"/>
      <c r="E16" s="883"/>
      <c r="F16" s="883"/>
      <c r="G16" s="883"/>
      <c r="H16" s="883">
        <f>HLOOKUP($B$2,'US Territories'!$D$28:$Z$38,'US Territories'!$B29)</f>
        <v>4.8720619868000448</v>
      </c>
      <c r="I16" s="883">
        <f t="shared" si="36"/>
        <v>4.8720619868000448</v>
      </c>
      <c r="J16" s="961"/>
      <c r="K16" s="940"/>
      <c r="L16" s="940"/>
      <c r="M16" s="940"/>
      <c r="N16" s="885">
        <f t="shared" si="12"/>
        <v>0</v>
      </c>
      <c r="O16" s="883">
        <f t="shared" si="13"/>
        <v>0</v>
      </c>
      <c r="P16" s="883">
        <f t="shared" si="14"/>
        <v>0</v>
      </c>
      <c r="Q16" s="883">
        <f t="shared" si="15"/>
        <v>0</v>
      </c>
      <c r="R16" s="883">
        <f t="shared" si="16"/>
        <v>0</v>
      </c>
      <c r="S16" s="886">
        <f t="shared" si="17"/>
        <v>4.8720619868000448</v>
      </c>
      <c r="T16" s="883">
        <f t="shared" si="7"/>
        <v>4.8720619868000448</v>
      </c>
      <c r="U16" s="887">
        <f>Factors!D17</f>
        <v>25.14</v>
      </c>
      <c r="V16" s="899">
        <f t="shared" si="18"/>
        <v>0</v>
      </c>
      <c r="W16" s="900">
        <f t="shared" si="19"/>
        <v>0</v>
      </c>
      <c r="X16" s="900">
        <f t="shared" si="20"/>
        <v>0</v>
      </c>
      <c r="Y16" s="900">
        <f t="shared" si="21"/>
        <v>0</v>
      </c>
      <c r="Z16" s="900">
        <f t="shared" si="22"/>
        <v>0</v>
      </c>
      <c r="AA16" s="900">
        <f t="shared" si="23"/>
        <v>0.12248363834815312</v>
      </c>
      <c r="AB16" s="883">
        <f t="shared" si="37"/>
        <v>0.12248363834815312</v>
      </c>
      <c r="AC16" s="888">
        <f>Factors!E17</f>
        <v>1</v>
      </c>
      <c r="AD16" s="899">
        <f t="shared" si="24"/>
        <v>0</v>
      </c>
      <c r="AE16" s="900">
        <f t="shared" si="25"/>
        <v>0</v>
      </c>
      <c r="AF16" s="900">
        <f t="shared" si="26"/>
        <v>0</v>
      </c>
      <c r="AG16" s="900">
        <f t="shared" si="27"/>
        <v>0</v>
      </c>
      <c r="AH16" s="900">
        <f t="shared" si="28"/>
        <v>0</v>
      </c>
      <c r="AI16" s="900">
        <f t="shared" si="29"/>
        <v>0.12248363834815312</v>
      </c>
      <c r="AJ16" s="889">
        <f t="shared" si="9"/>
        <v>0.12248363834815312</v>
      </c>
      <c r="AK16" s="885">
        <f t="shared" si="30"/>
        <v>0</v>
      </c>
      <c r="AL16" s="883">
        <f t="shared" si="31"/>
        <v>0</v>
      </c>
      <c r="AM16" s="883">
        <f t="shared" si="32"/>
        <v>0</v>
      </c>
      <c r="AN16" s="883">
        <f t="shared" si="33"/>
        <v>0</v>
      </c>
      <c r="AO16" s="883">
        <f t="shared" si="34"/>
        <v>0</v>
      </c>
      <c r="AP16" s="883">
        <f t="shared" si="35"/>
        <v>0.44910667394322812</v>
      </c>
      <c r="AQ16" s="890">
        <f t="shared" si="38"/>
        <v>0.44910667394322812</v>
      </c>
    </row>
    <row r="17" spans="1:43">
      <c r="A17" s="817"/>
      <c r="B17" s="863" t="s">
        <v>1439</v>
      </c>
      <c r="C17" s="901">
        <f>HLOOKUP($B$2,'Consumption Input'!$E$5:$AQ$82,'Consumption Input'!$B8)</f>
        <v>5092.9189999999999</v>
      </c>
      <c r="D17" s="901">
        <f>HLOOKUP($B$2,'Consumption Input'!$E$5:$AQ$82,'Consumption Input'!$B14)</f>
        <v>3285.32</v>
      </c>
      <c r="E17" s="901">
        <f>HLOOKUP($B$2,'Consumption Input'!$E$5:$AQ$82,'Consumption Input'!$B26)</f>
        <v>9416.5082266472109</v>
      </c>
      <c r="F17" s="901">
        <f>HLOOKUP($B$2,'Consumption Input'!$E$5:$AQ$82,'Consumption Input'!$B49)</f>
        <v>780.31200000000001</v>
      </c>
      <c r="G17" s="901">
        <f>HLOOKUP($B$2,'Consumption Input'!$E$5:$AQ$82,'Consumption Input'!$B59)</f>
        <v>4125.5119999999997</v>
      </c>
      <c r="H17" s="944">
        <f>HLOOKUP($B$2,'US Territories'!$D$28:$Z$38,'US Territories'!$B30)</f>
        <v>0</v>
      </c>
      <c r="I17" s="901">
        <f t="shared" si="36"/>
        <v>22700.571226647211</v>
      </c>
      <c r="J17" s="964"/>
      <c r="K17" s="965">
        <f>HLOOKUP($B$2,NEUConsumption,'Non-Energy Use'!$C$9)</f>
        <v>406.43525000000005</v>
      </c>
      <c r="L17" s="965"/>
      <c r="M17" s="965"/>
      <c r="N17" s="904">
        <f t="shared" si="12"/>
        <v>5092.9189999999999</v>
      </c>
      <c r="O17" s="901">
        <f t="shared" si="13"/>
        <v>3285.32</v>
      </c>
      <c r="P17" s="901">
        <f t="shared" si="14"/>
        <v>9010.0729766472105</v>
      </c>
      <c r="Q17" s="901">
        <f t="shared" si="15"/>
        <v>780.31200000000001</v>
      </c>
      <c r="R17" s="901">
        <f t="shared" si="16"/>
        <v>4125.5119999999997</v>
      </c>
      <c r="S17" s="902">
        <f t="shared" si="17"/>
        <v>0</v>
      </c>
      <c r="T17" s="901">
        <f t="shared" si="7"/>
        <v>22294.135976647209</v>
      </c>
      <c r="U17" s="905">
        <f>HLOOKUP($B$2,Factors!$J$12:$AB$26,Factors!$H26,FALSE)</f>
        <v>14.46520813937622</v>
      </c>
      <c r="V17" s="901">
        <f t="shared" si="18"/>
        <v>73.670133371983809</v>
      </c>
      <c r="W17" s="901">
        <f t="shared" si="19"/>
        <v>47.522837604455482</v>
      </c>
      <c r="X17" s="901">
        <f t="shared" si="20"/>
        <v>130.33258095817095</v>
      </c>
      <c r="Y17" s="901">
        <f t="shared" si="21"/>
        <v>11.287375493652936</v>
      </c>
      <c r="Z17" s="901">
        <f t="shared" si="22"/>
        <v>59.676389761494264</v>
      </c>
      <c r="AA17" s="901">
        <f t="shared" si="23"/>
        <v>0</v>
      </c>
      <c r="AB17" s="901">
        <f t="shared" si="37"/>
        <v>322.4893171897574</v>
      </c>
      <c r="AC17" s="906">
        <f>Factors!E19</f>
        <v>1</v>
      </c>
      <c r="AD17" s="904">
        <f t="shared" si="24"/>
        <v>73.670133371983809</v>
      </c>
      <c r="AE17" s="901">
        <f t="shared" si="25"/>
        <v>47.522837604455482</v>
      </c>
      <c r="AF17" s="901">
        <f t="shared" si="26"/>
        <v>130.33258095817095</v>
      </c>
      <c r="AG17" s="901">
        <f t="shared" si="27"/>
        <v>11.287375493652936</v>
      </c>
      <c r="AH17" s="901">
        <f t="shared" si="28"/>
        <v>59.676389761494264</v>
      </c>
      <c r="AI17" s="901">
        <f t="shared" si="29"/>
        <v>0</v>
      </c>
      <c r="AJ17" s="901">
        <f t="shared" si="9"/>
        <v>322.4893171897574</v>
      </c>
      <c r="AK17" s="904">
        <f t="shared" si="30"/>
        <v>270.12382236394063</v>
      </c>
      <c r="AL17" s="901">
        <f t="shared" si="31"/>
        <v>174.25040454967009</v>
      </c>
      <c r="AM17" s="901">
        <f t="shared" si="32"/>
        <v>477.88613017996011</v>
      </c>
      <c r="AN17" s="901">
        <f t="shared" si="33"/>
        <v>41.387043476727435</v>
      </c>
      <c r="AO17" s="901">
        <f t="shared" si="34"/>
        <v>218.81342912547896</v>
      </c>
      <c r="AP17" s="901">
        <f t="shared" si="35"/>
        <v>0</v>
      </c>
      <c r="AQ17" s="907">
        <f t="shared" si="38"/>
        <v>1182.4608296957772</v>
      </c>
    </row>
    <row r="18" spans="1:43">
      <c r="A18" s="817"/>
      <c r="B18" s="864" t="s">
        <v>1440</v>
      </c>
      <c r="C18" s="908">
        <f t="shared" ref="C18:H18" si="39">SUM(C19:C41)</f>
        <v>1331.9994289960048</v>
      </c>
      <c r="D18" s="908">
        <f t="shared" si="39"/>
        <v>712.33484513234953</v>
      </c>
      <c r="E18" s="908">
        <f t="shared" si="39"/>
        <v>8844.6123383649337</v>
      </c>
      <c r="F18" s="908">
        <f t="shared" si="39"/>
        <v>23951.273802663331</v>
      </c>
      <c r="G18" s="908">
        <f t="shared" si="39"/>
        <v>926.70600000000002</v>
      </c>
      <c r="H18" s="908">
        <f t="shared" si="39"/>
        <v>346.71706611177433</v>
      </c>
      <c r="I18" s="908">
        <f t="shared" si="36"/>
        <v>36113.643481268387</v>
      </c>
      <c r="J18" s="966">
        <f t="shared" ref="J18:S18" si="40">SUM(J19:J41)</f>
        <v>1456.5354439425926</v>
      </c>
      <c r="K18" s="967">
        <f t="shared" si="40"/>
        <v>4930.2368500835919</v>
      </c>
      <c r="L18" s="967">
        <f t="shared" si="40"/>
        <v>172.14599999999999</v>
      </c>
      <c r="M18" s="967">
        <f t="shared" si="40"/>
        <v>77.404311671140903</v>
      </c>
      <c r="N18" s="910">
        <f t="shared" si="40"/>
        <v>1331.9994289960048</v>
      </c>
      <c r="O18" s="908">
        <f t="shared" si="40"/>
        <v>712.33484513234953</v>
      </c>
      <c r="P18" s="908">
        <f t="shared" si="40"/>
        <v>3914.3754882813437</v>
      </c>
      <c r="Q18" s="908">
        <f t="shared" si="40"/>
        <v>22322.59235872074</v>
      </c>
      <c r="R18" s="908">
        <f t="shared" si="40"/>
        <v>926.70600000000002</v>
      </c>
      <c r="S18" s="911">
        <f t="shared" si="40"/>
        <v>269.31275444063346</v>
      </c>
      <c r="T18" s="889">
        <f t="shared" si="7"/>
        <v>29477.320875571069</v>
      </c>
      <c r="U18" s="912" t="s">
        <v>1731</v>
      </c>
      <c r="V18" s="908">
        <f t="shared" ref="V18:AA18" si="41">SUM(V19:V41)</f>
        <v>25.470370533520509</v>
      </c>
      <c r="W18" s="908">
        <f t="shared" si="41"/>
        <v>13.98680628573859</v>
      </c>
      <c r="X18" s="908">
        <f t="shared" si="41"/>
        <v>80.224584393867076</v>
      </c>
      <c r="Y18" s="908">
        <f t="shared" si="41"/>
        <v>436.94413916226569</v>
      </c>
      <c r="Z18" s="908">
        <f t="shared" si="41"/>
        <v>19.692928427634914</v>
      </c>
      <c r="AA18" s="908">
        <f t="shared" si="41"/>
        <v>5.354403433306965</v>
      </c>
      <c r="AB18" s="908">
        <f t="shared" si="37"/>
        <v>581.67323223633377</v>
      </c>
      <c r="AC18" s="913" t="s">
        <v>1731</v>
      </c>
      <c r="AD18" s="910">
        <f t="shared" ref="AD18:AI18" si="42">SUM(AD19:AD41)</f>
        <v>25.470370533520509</v>
      </c>
      <c r="AE18" s="908">
        <f t="shared" si="42"/>
        <v>13.98680628573859</v>
      </c>
      <c r="AF18" s="908">
        <f t="shared" si="42"/>
        <v>80.224584393867076</v>
      </c>
      <c r="AG18" s="908">
        <f t="shared" si="42"/>
        <v>436.94413916226569</v>
      </c>
      <c r="AH18" s="908">
        <f t="shared" si="42"/>
        <v>19.692928427634914</v>
      </c>
      <c r="AI18" s="908">
        <f t="shared" si="42"/>
        <v>5.354403433306965</v>
      </c>
      <c r="AJ18" s="908">
        <f t="shared" si="9"/>
        <v>581.67323223633377</v>
      </c>
      <c r="AK18" s="914">
        <f t="shared" si="30"/>
        <v>93.391358622908527</v>
      </c>
      <c r="AL18" s="889">
        <f t="shared" si="31"/>
        <v>51.284956381041496</v>
      </c>
      <c r="AM18" s="889">
        <f t="shared" si="32"/>
        <v>294.15680944417926</v>
      </c>
      <c r="AN18" s="889">
        <f t="shared" si="33"/>
        <v>1602.1285102616407</v>
      </c>
      <c r="AO18" s="889">
        <f t="shared" si="34"/>
        <v>72.207404234661354</v>
      </c>
      <c r="AP18" s="889">
        <f t="shared" si="35"/>
        <v>19.632812588792206</v>
      </c>
      <c r="AQ18" s="915">
        <f t="shared" si="38"/>
        <v>2132.8018515332233</v>
      </c>
    </row>
    <row r="19" spans="1:43">
      <c r="A19" s="817"/>
      <c r="B19" s="860" t="s">
        <v>1608</v>
      </c>
      <c r="C19" s="883"/>
      <c r="D19" s="883"/>
      <c r="E19" s="883">
        <f>HLOOKUP($B$2,'Consumption Input'!$E$5:$AQ$82,'Consumption Input'!$B27)</f>
        <v>1223.5659999999998</v>
      </c>
      <c r="F19" s="883"/>
      <c r="G19" s="883"/>
      <c r="H19" s="883"/>
      <c r="I19" s="883">
        <f t="shared" si="36"/>
        <v>1223.5659999999998</v>
      </c>
      <c r="J19" s="961"/>
      <c r="K19" s="940">
        <f>HLOOKUP($B$2,NEUConsumption,'Non-Energy Use'!$C$10)</f>
        <v>1223.5659999999998</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7"/>
        <v>0</v>
      </c>
      <c r="AC19" s="888">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39.697000000000003</v>
      </c>
      <c r="G20" s="883"/>
      <c r="H20" s="883"/>
      <c r="I20" s="883">
        <f t="shared" si="36"/>
        <v>39.697000000000003</v>
      </c>
      <c r="J20" s="961"/>
      <c r="K20" s="940"/>
      <c r="L20" s="940"/>
      <c r="M20" s="940"/>
      <c r="N20" s="885">
        <f t="shared" si="43"/>
        <v>0</v>
      </c>
      <c r="O20" s="883">
        <f t="shared" si="44"/>
        <v>0</v>
      </c>
      <c r="P20" s="883">
        <f t="shared" si="45"/>
        <v>0</v>
      </c>
      <c r="Q20" s="883">
        <f t="shared" si="46"/>
        <v>39.697000000000003</v>
      </c>
      <c r="R20" s="883">
        <f t="shared" si="47"/>
        <v>0</v>
      </c>
      <c r="S20" s="886">
        <f t="shared" si="48"/>
        <v>0</v>
      </c>
      <c r="T20" s="883">
        <f t="shared" si="7"/>
        <v>39.697000000000003</v>
      </c>
      <c r="U20" s="887">
        <f>Factors!D25</f>
        <v>18.855352254718337</v>
      </c>
      <c r="V20" s="885">
        <f t="shared" si="49"/>
        <v>0</v>
      </c>
      <c r="W20" s="883">
        <f t="shared" si="50"/>
        <v>0</v>
      </c>
      <c r="X20" s="883">
        <f t="shared" si="51"/>
        <v>0</v>
      </c>
      <c r="Y20" s="883">
        <f t="shared" si="52"/>
        <v>0.74850091845555389</v>
      </c>
      <c r="Z20" s="883">
        <f t="shared" si="53"/>
        <v>0</v>
      </c>
      <c r="AA20" s="883">
        <f t="shared" si="54"/>
        <v>0</v>
      </c>
      <c r="AB20" s="883">
        <f t="shared" si="37"/>
        <v>0.74850091845555389</v>
      </c>
      <c r="AC20" s="888">
        <f>Factors!E25</f>
        <v>1</v>
      </c>
      <c r="AD20" s="885">
        <f t="shared" si="55"/>
        <v>0</v>
      </c>
      <c r="AE20" s="883">
        <f t="shared" si="56"/>
        <v>0</v>
      </c>
      <c r="AF20" s="883">
        <f t="shared" si="57"/>
        <v>0</v>
      </c>
      <c r="AG20" s="883">
        <f t="shared" si="58"/>
        <v>0.74850091845555389</v>
      </c>
      <c r="AH20" s="883">
        <f t="shared" si="59"/>
        <v>0</v>
      </c>
      <c r="AI20" s="883">
        <f t="shared" si="60"/>
        <v>0</v>
      </c>
      <c r="AJ20" s="889">
        <f t="shared" si="9"/>
        <v>0.74850091845555389</v>
      </c>
      <c r="AK20" s="885">
        <f t="shared" si="30"/>
        <v>0</v>
      </c>
      <c r="AL20" s="883">
        <f t="shared" si="31"/>
        <v>0</v>
      </c>
      <c r="AM20" s="883">
        <f t="shared" si="32"/>
        <v>0</v>
      </c>
      <c r="AN20" s="883">
        <f t="shared" si="33"/>
        <v>2.7445033676703643</v>
      </c>
      <c r="AO20" s="883">
        <f t="shared" si="34"/>
        <v>0</v>
      </c>
      <c r="AP20" s="883">
        <f t="shared" si="35"/>
        <v>0</v>
      </c>
      <c r="AQ20" s="890">
        <f t="shared" si="38"/>
        <v>2.7445033676703643</v>
      </c>
    </row>
    <row r="21" spans="1:43">
      <c r="A21" s="817"/>
      <c r="B21" s="860" t="s">
        <v>1738</v>
      </c>
      <c r="C21" s="883">
        <f>HLOOKUP($B$2,'Consumption Input'!$E$5:$AQ$82,'Consumption Input'!$B9)</f>
        <v>783.72642899600487</v>
      </c>
      <c r="D21" s="883">
        <f>HLOOKUP($B$2,'Consumption Input'!$E$5:$AQ$82,'Consumption Input'!$B15)</f>
        <v>397.77238150633514</v>
      </c>
      <c r="E21" s="883">
        <f>HLOOKUP($B$2,'Consumption Input'!$E$5:$AQ$82,'Consumption Input'!$B28)</f>
        <v>1061.1738389024224</v>
      </c>
      <c r="F21" s="883">
        <f>HLOOKUP($B$2,'Consumption Input'!$E$5:$AQ$82,'Consumption Input'!$B51)</f>
        <v>4927.6624946428565</v>
      </c>
      <c r="G21" s="883">
        <f>HLOOKUP($B$2,'Consumption Input'!$E$5:$AQ$82,'Consumption Input'!$B60)</f>
        <v>110.514</v>
      </c>
      <c r="H21" s="883">
        <f>HLOOKUP($B$2,'US Territories'!$D$28:$Z$38,'US Territories'!$B31)</f>
        <v>54.82222006559423</v>
      </c>
      <c r="I21" s="883">
        <f t="shared" si="36"/>
        <v>7335.6713641132137</v>
      </c>
      <c r="J21" s="961">
        <f>HLOOKUP($B$2,IBFConsumption,'International Bunker Fuels'!$B$10)</f>
        <v>125.50521382260119</v>
      </c>
      <c r="K21" s="940">
        <f>HLOOKUP($B$2,NEUConsumption,'Non-Energy Use'!$C$20)</f>
        <v>10.448593750000002</v>
      </c>
      <c r="L21" s="940"/>
      <c r="M21" s="940"/>
      <c r="N21" s="885">
        <f t="shared" si="43"/>
        <v>783.72642899600487</v>
      </c>
      <c r="O21" s="883">
        <f t="shared" si="44"/>
        <v>397.77238150633514</v>
      </c>
      <c r="P21" s="883">
        <f t="shared" si="45"/>
        <v>1050.7252451524223</v>
      </c>
      <c r="Q21" s="883">
        <f t="shared" si="46"/>
        <v>4802.1572808202554</v>
      </c>
      <c r="R21" s="883">
        <f t="shared" si="47"/>
        <v>110.514</v>
      </c>
      <c r="S21" s="886">
        <f t="shared" si="48"/>
        <v>54.82222006559423</v>
      </c>
      <c r="T21" s="883">
        <f t="shared" si="7"/>
        <v>7199.7175565406123</v>
      </c>
      <c r="U21" s="887">
        <f>HLOOKUP($B$2,Factors!$J$12:$BE$27,Factors!$H27,FALSE)</f>
        <v>20.170000000000002</v>
      </c>
      <c r="V21" s="885">
        <f t="shared" si="49"/>
        <v>15.807762072849421</v>
      </c>
      <c r="W21" s="883">
        <f t="shared" si="50"/>
        <v>8.0230689349827813</v>
      </c>
      <c r="X21" s="883">
        <f t="shared" si="51"/>
        <v>21.193128194724359</v>
      </c>
      <c r="Y21" s="883">
        <f t="shared" si="52"/>
        <v>96.85951235414457</v>
      </c>
      <c r="Z21" s="883">
        <f t="shared" si="53"/>
        <v>2.22906738</v>
      </c>
      <c r="AA21" s="883">
        <f t="shared" si="54"/>
        <v>1.1057641787230357</v>
      </c>
      <c r="AB21" s="883">
        <f t="shared" si="37"/>
        <v>145.21830311542416</v>
      </c>
      <c r="AC21" s="888">
        <f>Factors!E26</f>
        <v>1</v>
      </c>
      <c r="AD21" s="885">
        <f t="shared" si="55"/>
        <v>15.807762072849421</v>
      </c>
      <c r="AE21" s="883">
        <f t="shared" si="56"/>
        <v>8.0230689349827813</v>
      </c>
      <c r="AF21" s="883">
        <f t="shared" si="57"/>
        <v>21.193128194724359</v>
      </c>
      <c r="AG21" s="883">
        <f t="shared" si="58"/>
        <v>96.85951235414457</v>
      </c>
      <c r="AH21" s="883">
        <f t="shared" si="59"/>
        <v>2.22906738</v>
      </c>
      <c r="AI21" s="883">
        <f t="shared" si="60"/>
        <v>1.1057641787230357</v>
      </c>
      <c r="AJ21" s="889">
        <f t="shared" si="9"/>
        <v>145.21830311542416</v>
      </c>
      <c r="AK21" s="885">
        <f t="shared" si="30"/>
        <v>57.961794267114541</v>
      </c>
      <c r="AL21" s="883">
        <f t="shared" si="31"/>
        <v>29.417919428270196</v>
      </c>
      <c r="AM21" s="883">
        <f t="shared" si="32"/>
        <v>77.708136713989319</v>
      </c>
      <c r="AN21" s="883">
        <f t="shared" si="33"/>
        <v>355.1515452985301</v>
      </c>
      <c r="AO21" s="883">
        <f t="shared" si="34"/>
        <v>8.1732470599999996</v>
      </c>
      <c r="AP21" s="883">
        <f t="shared" si="35"/>
        <v>4.0544686553177973</v>
      </c>
      <c r="AQ21" s="890">
        <f t="shared" si="38"/>
        <v>532.46711142322192</v>
      </c>
    </row>
    <row r="22" spans="1:43">
      <c r="A22" s="817"/>
      <c r="B22" s="860" t="s">
        <v>1623</v>
      </c>
      <c r="C22" s="883"/>
      <c r="D22" s="883"/>
      <c r="E22" s="883"/>
      <c r="F22" s="883">
        <f>HLOOKUP($B$2,'Consumption Input'!$E$5:$AQ$82,'Consumption Input'!$B52)</f>
        <v>3308.1669999999999</v>
      </c>
      <c r="G22" s="883"/>
      <c r="H22" s="883">
        <f>HLOOKUP($B$2,'US Territories'!$D$28:$Z$38,'US Territories'!$B32)</f>
        <v>47.191722758842047</v>
      </c>
      <c r="I22" s="883">
        <f t="shared" si="36"/>
        <v>3355.3587227588419</v>
      </c>
      <c r="J22" s="961">
        <f>HLOOKUP($B$2,IBFConsumption,'International Bunker Fuels'!$B$8)</f>
        <v>755.82884678099151</v>
      </c>
      <c r="K22" s="940"/>
      <c r="L22" s="940"/>
      <c r="M22" s="940"/>
      <c r="N22" s="885">
        <f t="shared" si="43"/>
        <v>0</v>
      </c>
      <c r="O22" s="883">
        <f t="shared" si="44"/>
        <v>0</v>
      </c>
      <c r="P22" s="883">
        <f t="shared" si="45"/>
        <v>0</v>
      </c>
      <c r="Q22" s="883">
        <f t="shared" si="46"/>
        <v>2552.3381532190083</v>
      </c>
      <c r="R22" s="883">
        <f t="shared" si="47"/>
        <v>0</v>
      </c>
      <c r="S22" s="886">
        <f t="shared" si="48"/>
        <v>47.191722758842047</v>
      </c>
      <c r="T22" s="883">
        <f t="shared" si="7"/>
        <v>2599.5298759778502</v>
      </c>
      <c r="U22" s="887">
        <f>HLOOKUP($B$2,Factors!$J$12:$Y$25,Factors!$H21)</f>
        <v>19.696969696969692</v>
      </c>
      <c r="V22" s="885">
        <f t="shared" si="49"/>
        <v>0</v>
      </c>
      <c r="W22" s="883">
        <f t="shared" si="50"/>
        <v>0</v>
      </c>
      <c r="X22" s="883">
        <f t="shared" si="51"/>
        <v>0</v>
      </c>
      <c r="Y22" s="883">
        <f t="shared" si="52"/>
        <v>50.273327260374394</v>
      </c>
      <c r="Z22" s="883">
        <f t="shared" si="53"/>
        <v>0</v>
      </c>
      <c r="AA22" s="883">
        <f t="shared" si="54"/>
        <v>0.9295339331287068</v>
      </c>
      <c r="AB22" s="883">
        <f t="shared" si="37"/>
        <v>51.202861193503104</v>
      </c>
      <c r="AC22" s="888">
        <f>Factors!E27</f>
        <v>1</v>
      </c>
      <c r="AD22" s="885">
        <f t="shared" si="55"/>
        <v>0</v>
      </c>
      <c r="AE22" s="883">
        <f t="shared" si="56"/>
        <v>0</v>
      </c>
      <c r="AF22" s="883">
        <f t="shared" si="57"/>
        <v>0</v>
      </c>
      <c r="AG22" s="883">
        <f t="shared" si="58"/>
        <v>50.273327260374394</v>
      </c>
      <c r="AH22" s="883">
        <f t="shared" si="59"/>
        <v>0</v>
      </c>
      <c r="AI22" s="883">
        <f t="shared" si="60"/>
        <v>0.9295339331287068</v>
      </c>
      <c r="AJ22" s="889">
        <f t="shared" si="9"/>
        <v>51.202861193503104</v>
      </c>
      <c r="AK22" s="885">
        <f t="shared" si="30"/>
        <v>0</v>
      </c>
      <c r="AL22" s="883">
        <f t="shared" si="31"/>
        <v>0</v>
      </c>
      <c r="AM22" s="883">
        <f t="shared" si="32"/>
        <v>0</v>
      </c>
      <c r="AN22" s="883">
        <f t="shared" si="33"/>
        <v>184.33553328803944</v>
      </c>
      <c r="AO22" s="883">
        <f t="shared" si="34"/>
        <v>0</v>
      </c>
      <c r="AP22" s="883">
        <f t="shared" si="35"/>
        <v>3.4082910881385913</v>
      </c>
      <c r="AQ22" s="890">
        <f t="shared" si="38"/>
        <v>187.74382437617803</v>
      </c>
    </row>
    <row r="23" spans="1:43">
      <c r="A23" s="817"/>
      <c r="B23" s="860" t="s">
        <v>1599</v>
      </c>
      <c r="C23" s="883">
        <f>HLOOKUP($B$2,'Consumption Input'!$E$5:$AQ$82,'Consumption Input'!$B10)</f>
        <v>92.882999999999996</v>
      </c>
      <c r="D23" s="883">
        <f>HLOOKUP($B$2,'Consumption Input'!$E$5:$AQ$82,'Consumption Input'!$B16)</f>
        <v>24.645</v>
      </c>
      <c r="E23" s="883">
        <f>HLOOKUP($B$2,'Consumption Input'!$E$5:$AQ$82,'Consumption Input'!$B29)</f>
        <v>18.812000000000001</v>
      </c>
      <c r="F23" s="883"/>
      <c r="G23" s="883"/>
      <c r="H23" s="883">
        <f>HLOOKUP($B$2,'US Territories'!$D$28:$Z$38,'US Territories'!$B33)</f>
        <v>2.0915422101681309</v>
      </c>
      <c r="I23" s="883">
        <f t="shared" si="36"/>
        <v>138.43154221016815</v>
      </c>
      <c r="J23" s="961"/>
      <c r="K23" s="940"/>
      <c r="L23" s="940"/>
      <c r="M23" s="940"/>
      <c r="N23" s="885">
        <f t="shared" si="43"/>
        <v>92.882999999999996</v>
      </c>
      <c r="O23" s="883">
        <f t="shared" si="44"/>
        <v>24.645</v>
      </c>
      <c r="P23" s="883">
        <f t="shared" si="45"/>
        <v>18.812000000000001</v>
      </c>
      <c r="Q23" s="883">
        <f t="shared" si="46"/>
        <v>0</v>
      </c>
      <c r="R23" s="883">
        <f t="shared" si="47"/>
        <v>0</v>
      </c>
      <c r="S23" s="886">
        <f t="shared" si="48"/>
        <v>2.0915422101681309</v>
      </c>
      <c r="T23" s="883">
        <f t="shared" si="7"/>
        <v>138.43154221016815</v>
      </c>
      <c r="U23" s="887">
        <f>Factors!D28</f>
        <v>19.964104564962931</v>
      </c>
      <c r="V23" s="885">
        <f t="shared" si="49"/>
        <v>1.8543259243074517</v>
      </c>
      <c r="W23" s="883">
        <f t="shared" si="50"/>
        <v>0.49201535700351146</v>
      </c>
      <c r="X23" s="883">
        <f t="shared" si="51"/>
        <v>0.37556473507608268</v>
      </c>
      <c r="Y23" s="883">
        <f t="shared" si="52"/>
        <v>0</v>
      </c>
      <c r="Z23" s="883">
        <f t="shared" si="53"/>
        <v>0</v>
      </c>
      <c r="AA23" s="883">
        <f t="shared" si="54"/>
        <v>4.1755767385830242E-2</v>
      </c>
      <c r="AB23" s="883">
        <f t="shared" si="37"/>
        <v>2.7636617837728763</v>
      </c>
      <c r="AC23" s="888">
        <f>Factors!E28</f>
        <v>1</v>
      </c>
      <c r="AD23" s="885">
        <f t="shared" si="55"/>
        <v>1.8543259243074517</v>
      </c>
      <c r="AE23" s="883">
        <f t="shared" si="56"/>
        <v>0.49201535700351146</v>
      </c>
      <c r="AF23" s="883">
        <f t="shared" si="57"/>
        <v>0.37556473507608268</v>
      </c>
      <c r="AG23" s="883">
        <f t="shared" si="58"/>
        <v>0</v>
      </c>
      <c r="AH23" s="883">
        <f t="shared" si="59"/>
        <v>0</v>
      </c>
      <c r="AI23" s="883">
        <f t="shared" si="60"/>
        <v>4.1755767385830242E-2</v>
      </c>
      <c r="AJ23" s="889">
        <f t="shared" si="9"/>
        <v>2.7636617837728763</v>
      </c>
      <c r="AK23" s="885">
        <f t="shared" si="30"/>
        <v>6.7991950557939891</v>
      </c>
      <c r="AL23" s="883">
        <f t="shared" si="31"/>
        <v>1.8040563090128752</v>
      </c>
      <c r="AM23" s="883">
        <f t="shared" si="32"/>
        <v>1.3770706952789697</v>
      </c>
      <c r="AN23" s="883">
        <f t="shared" si="33"/>
        <v>0</v>
      </c>
      <c r="AO23" s="883">
        <f t="shared" si="34"/>
        <v>0</v>
      </c>
      <c r="AP23" s="883">
        <f t="shared" si="35"/>
        <v>0.15310448041471089</v>
      </c>
      <c r="AQ23" s="890">
        <f t="shared" si="38"/>
        <v>10.133426540500546</v>
      </c>
    </row>
    <row r="24" spans="1:43">
      <c r="A24" s="817"/>
      <c r="B24" s="860" t="s">
        <v>1600</v>
      </c>
      <c r="C24" s="883">
        <f>HLOOKUP($B$2,'Consumption Input'!$E$5:$AQ$82,'Consumption Input'!$B11)</f>
        <v>455.38999999999993</v>
      </c>
      <c r="D24" s="883">
        <f>HLOOKUP($B$2,'Consumption Input'!$E$5:$AQ$82,'Consumption Input'!$B17)</f>
        <v>120.39700000000001</v>
      </c>
      <c r="E24"/>
      <c r="F24" s="883">
        <f>HLOOKUP($B$2,'Consumption Input'!$E$5:$AQ$82,'Consumption Input'!$B53)</f>
        <v>14.241</v>
      </c>
      <c r="G24" s="883"/>
      <c r="H24"/>
      <c r="I24" s="883">
        <f>SUM(C24:H24)</f>
        <v>590.02799999999991</v>
      </c>
      <c r="J24" s="884"/>
      <c r="K24"/>
      <c r="L24" s="883"/>
      <c r="M24" s="883"/>
      <c r="N24" s="885">
        <f>C24</f>
        <v>455.38999999999993</v>
      </c>
      <c r="O24" s="883">
        <f t="shared" si="44"/>
        <v>120.39700000000001</v>
      </c>
      <c r="P24"/>
      <c r="Q24" s="883">
        <f t="shared" si="46"/>
        <v>14.241</v>
      </c>
      <c r="R24" s="883">
        <f t="shared" si="47"/>
        <v>0</v>
      </c>
      <c r="S24" s="1007"/>
      <c r="T24" s="883">
        <f t="shared" si="7"/>
        <v>590.02799999999991</v>
      </c>
      <c r="U24" s="1005">
        <f>HLOOKUP($B$2,Factors!$J$12:$BE$25,Factors!$H17,FALSE)</f>
        <v>17.146363636363635</v>
      </c>
      <c r="V24" s="885">
        <f>N24*$U24*TbtuToQBtu</f>
        <v>7.8082825363636346</v>
      </c>
      <c r="W24" s="883">
        <f>O24*$U24*TbtuToQBtu</f>
        <v>2.0643707427272724</v>
      </c>
      <c r="X24"/>
      <c r="Y24" s="883">
        <f>Q24*$U24*TbtuToQBtu</f>
        <v>0.24418136454545453</v>
      </c>
      <c r="Z24" s="883">
        <f t="shared" ref="Z24" si="61">R24*$U24*TbtuToQBtu</f>
        <v>0</v>
      </c>
      <c r="AA24"/>
      <c r="AB24" s="883">
        <f>SUM(V24:AA24)</f>
        <v>10.116834643636361</v>
      </c>
      <c r="AC24" s="888">
        <f>Factors!E30</f>
        <v>1</v>
      </c>
      <c r="AD24" s="885">
        <f>V24*$AC24</f>
        <v>7.8082825363636346</v>
      </c>
      <c r="AE24" s="883">
        <f t="shared" si="56"/>
        <v>2.0643707427272724</v>
      </c>
      <c r="AF24"/>
      <c r="AG24" s="883">
        <f t="shared" si="56"/>
        <v>0.24418136454545453</v>
      </c>
      <c r="AH24" s="883">
        <f t="shared" si="56"/>
        <v>0</v>
      </c>
      <c r="AI24"/>
      <c r="AJ24" s="889">
        <f t="shared" si="9"/>
        <v>10.116834643636361</v>
      </c>
      <c r="AK24" s="885">
        <f>AD24*CtoCO2</f>
        <v>28.630369299999991</v>
      </c>
      <c r="AL24" s="883">
        <f t="shared" ref="AL24" si="62">AE24*CtoCO2</f>
        <v>7.569359389999998</v>
      </c>
      <c r="AN24" s="883">
        <f t="shared" ref="AN24" si="63">AG24*CtoCO2</f>
        <v>0.89533166999999991</v>
      </c>
      <c r="AO24" s="883">
        <f t="shared" ref="AO24" si="64">AH24*CtoCO2</f>
        <v>0</v>
      </c>
      <c r="AQ24" s="890">
        <f t="shared" si="38"/>
        <v>37.095060359999984</v>
      </c>
    </row>
    <row r="25" spans="1:43">
      <c r="A25" s="817"/>
      <c r="B25" s="860" t="s">
        <v>1609</v>
      </c>
      <c r="C25" s="883"/>
      <c r="D25" s="883"/>
      <c r="E25" s="883">
        <f>HLOOKUP($B$2,'Consumption Input'!$E$5:$AQ$82,'Consumption Input'!$B30)</f>
        <v>2035.4176398889997</v>
      </c>
      <c r="F25" s="883"/>
      <c r="G25" s="883"/>
      <c r="H25" s="883">
        <f>HLOOKUP($B$2,'US Territories'!$D$28:$AO$38,'US Territories'!$B34)</f>
        <v>2.4082561556224524</v>
      </c>
      <c r="I25" s="883">
        <f>SUM(C25:H25)</f>
        <v>2037.8258960446221</v>
      </c>
      <c r="J25" s="884"/>
      <c r="K25" s="883">
        <f>HLOOKUP($B$2,NEUConsumption,'Non-Energy Use'!$C$11)</f>
        <v>1802.9688194746766</v>
      </c>
      <c r="L25" s="883"/>
      <c r="M25" s="883"/>
      <c r="N25" s="885"/>
      <c r="O25" s="883"/>
      <c r="P25" s="883">
        <f>E25-K25</f>
        <v>232.44882041432311</v>
      </c>
      <c r="Q25" s="883"/>
      <c r="R25" s="883"/>
      <c r="S25" s="886">
        <f>H25-M25</f>
        <v>2.4082561556224524</v>
      </c>
      <c r="T25" s="883">
        <f t="shared" si="7"/>
        <v>234.85707656994555</v>
      </c>
      <c r="U25" s="1005">
        <f>HLOOKUP($B$2,Factors!$J$12:$BE$25,Factors!$H18,FALSE)</f>
        <v>17.456898398309974</v>
      </c>
      <c r="V25" s="885"/>
      <c r="W25" s="883"/>
      <c r="X25" s="883">
        <f>P25*$U25*TbtuToQBtu</f>
        <v>4.05783544077984</v>
      </c>
      <c r="Y25" s="883"/>
      <c r="Z25" s="883"/>
      <c r="AA25" s="883">
        <f>S25*$U25*TbtuToQBtu</f>
        <v>4.2040683025805728E-2</v>
      </c>
      <c r="AB25" s="883">
        <f>SUM(V25:AA25)</f>
        <v>4.0998761238056458</v>
      </c>
      <c r="AC25" s="888">
        <f>Factors!E31</f>
        <v>1</v>
      </c>
      <c r="AD25" s="885"/>
      <c r="AE25" s="883"/>
      <c r="AF25" s="883">
        <f>X25*$AC25</f>
        <v>4.05783544077984</v>
      </c>
      <c r="AG25" s="883"/>
      <c r="AH25" s="883"/>
      <c r="AI25" s="883">
        <f>AA25*$AC25</f>
        <v>4.2040683025805728E-2</v>
      </c>
      <c r="AJ25" s="889">
        <f t="shared" si="9"/>
        <v>4.0998761238056458</v>
      </c>
      <c r="AK25" s="885"/>
      <c r="AL25" s="883"/>
      <c r="AM25" s="883">
        <f>AF25*CtoCO2</f>
        <v>14.878729949526079</v>
      </c>
      <c r="AN25" s="883"/>
      <c r="AO25" s="883"/>
      <c r="AP25" s="883">
        <f>AI25*CtoCO2</f>
        <v>0.15414917109462101</v>
      </c>
      <c r="AQ25" s="890">
        <f t="shared" si="38"/>
        <v>15.0328791206207</v>
      </c>
    </row>
    <row r="26" spans="1:43">
      <c r="A26" s="817"/>
      <c r="B26" s="860" t="s">
        <v>1610</v>
      </c>
      <c r="C26" s="883"/>
      <c r="D26" s="883"/>
      <c r="E26" s="883">
        <f>HLOOKUP($B$2,'Consumption Input'!$E$5:$AQ$82,'Consumption Input'!$B31)</f>
        <v>182.262</v>
      </c>
      <c r="F26" s="883">
        <f>HLOOKUP($B$2,'Consumption Input'!$E$5:$AQ$82,'Consumption Input'!$B54)</f>
        <v>172.14599999999999</v>
      </c>
      <c r="G26" s="883"/>
      <c r="H26" s="883">
        <f>HLOOKUP($B$2,'US Territories'!$D$28:$Z$38,'US Territories'!$B35)</f>
        <v>2.4699939937500002</v>
      </c>
      <c r="I26" s="883">
        <f t="shared" si="36"/>
        <v>356.87799399375001</v>
      </c>
      <c r="J26" s="961"/>
      <c r="K26" s="940">
        <f>HLOOKUP($B$2,NEUConsumption,'Non-Energy Use'!$C$12)</f>
        <v>182.262</v>
      </c>
      <c r="L26" s="940">
        <f>HLOOKUP($B$2,NEUConsumption,'Non-Energy Use'!$C$24)</f>
        <v>172.14599999999999</v>
      </c>
      <c r="M26" s="940">
        <f>HLOOKUP($B$2,NEUConsumption,'Non-Energy Use'!$C$26)</f>
        <v>2.4699939937500002</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7"/>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58.145463626014312</v>
      </c>
      <c r="E27" s="883">
        <f>HLOOKUP($B$2,'Consumption Input'!$E$5:$AQ$82,'Consumption Input'!$B32)</f>
        <v>288.24879807351357</v>
      </c>
      <c r="F27" s="883">
        <f>HLOOKUP($B$2,'Consumption Input'!$E$5:$AQ$82,'Consumption Input'!$B55)</f>
        <v>14777.650308020475</v>
      </c>
      <c r="G27" s="883"/>
      <c r="H27" s="883">
        <f>HLOOKUP($B$2,'US Territories'!$D$28:$Z$38,'US Territories'!$B36)</f>
        <v>87.84340568116896</v>
      </c>
      <c r="I27" s="883">
        <f t="shared" si="36"/>
        <v>15211.887975401172</v>
      </c>
      <c r="J27" s="961"/>
      <c r="K27" s="940"/>
      <c r="L27" s="940"/>
      <c r="M27" s="940"/>
      <c r="N27" s="885">
        <f t="shared" si="43"/>
        <v>0</v>
      </c>
      <c r="O27" s="883">
        <f t="shared" si="44"/>
        <v>58.145463626014312</v>
      </c>
      <c r="P27" s="883">
        <f t="shared" si="45"/>
        <v>288.24879807351357</v>
      </c>
      <c r="Q27" s="883">
        <f t="shared" si="46"/>
        <v>14777.650308020475</v>
      </c>
      <c r="R27" s="883">
        <f t="shared" si="47"/>
        <v>0</v>
      </c>
      <c r="S27" s="886">
        <f t="shared" si="48"/>
        <v>87.84340568116896</v>
      </c>
      <c r="T27" s="883">
        <f t="shared" si="7"/>
        <v>15211.887975401172</v>
      </c>
      <c r="U27" s="887">
        <f>HLOOKUP($B$2,Factors!$J$12:$Y$25,Factors!$H20)</f>
        <v>19.355101442635394</v>
      </c>
      <c r="V27" s="885">
        <f t="shared" si="49"/>
        <v>0</v>
      </c>
      <c r="W27" s="883">
        <f t="shared" si="50"/>
        <v>1.1254113469105735</v>
      </c>
      <c r="X27" s="883">
        <f t="shared" si="51"/>
        <v>5.5790847274305806</v>
      </c>
      <c r="Y27" s="883">
        <f t="shared" si="52"/>
        <v>286.02292079552848</v>
      </c>
      <c r="Z27" s="883">
        <f t="shared" si="53"/>
        <v>0</v>
      </c>
      <c r="AA27" s="883">
        <f t="shared" si="54"/>
        <v>1.7002180280255996</v>
      </c>
      <c r="AB27" s="883">
        <f t="shared" si="37"/>
        <v>294.42763489789519</v>
      </c>
      <c r="AC27" s="888">
        <f>Factors!E34</f>
        <v>1</v>
      </c>
      <c r="AD27" s="885">
        <f t="shared" si="55"/>
        <v>0</v>
      </c>
      <c r="AE27" s="883">
        <f t="shared" si="56"/>
        <v>1.1254113469105735</v>
      </c>
      <c r="AF27" s="883">
        <f t="shared" si="57"/>
        <v>5.5790847274305806</v>
      </c>
      <c r="AG27" s="883">
        <f>Y27*$AC44</f>
        <v>286.02292079552848</v>
      </c>
      <c r="AH27" s="883">
        <f t="shared" si="59"/>
        <v>0</v>
      </c>
      <c r="AI27" s="883">
        <f t="shared" si="60"/>
        <v>1.7002180280255996</v>
      </c>
      <c r="AJ27" s="889">
        <f t="shared" si="9"/>
        <v>294.42763489789519</v>
      </c>
      <c r="AK27" s="885">
        <f t="shared" si="30"/>
        <v>0</v>
      </c>
      <c r="AL27" s="883">
        <f t="shared" si="31"/>
        <v>4.1265082720054362</v>
      </c>
      <c r="AM27" s="883">
        <f t="shared" si="32"/>
        <v>20.456644000578795</v>
      </c>
      <c r="AN27" s="883">
        <f t="shared" si="33"/>
        <v>1048.7507095836045</v>
      </c>
      <c r="AO27" s="883">
        <f t="shared" si="34"/>
        <v>0</v>
      </c>
      <c r="AP27" s="883">
        <f t="shared" si="35"/>
        <v>6.2341327694271982</v>
      </c>
      <c r="AQ27" s="890">
        <f t="shared" si="38"/>
        <v>1079.5679946256157</v>
      </c>
    </row>
    <row r="28" spans="1:43">
      <c r="A28" s="817"/>
      <c r="B28" s="860" t="s">
        <v>1602</v>
      </c>
      <c r="C28" s="883"/>
      <c r="D28" s="883">
        <f>HLOOKUP($B$2,'Consumption Input'!$E$5:$AQ$82,'Consumption Input'!$B19)</f>
        <v>111.242</v>
      </c>
      <c r="E28" s="883">
        <f>HLOOKUP($B$2,'Consumption Input'!$E$5:$AQ$82,'Consumption Input'!$B33)</f>
        <v>235.56173650000002</v>
      </c>
      <c r="F28" s="883">
        <f>HLOOKUP($B$2,'Consumption Input'!$E$5:$AQ$82,'Consumption Input'!$B56)</f>
        <v>711.71</v>
      </c>
      <c r="G28" s="883">
        <f>HLOOKUP($B$2,'Consumption Input'!$E$5:$AQ$82,'Consumption Input'!$B61)</f>
        <v>714.63400000000001</v>
      </c>
      <c r="H28" s="883">
        <f>HLOOKUP($B$2,'US Territories'!$D$28:$Z$38,'US Territories'!$B37)</f>
        <v>74.955607569237657</v>
      </c>
      <c r="I28" s="883">
        <f t="shared" si="36"/>
        <v>1848.1033440692377</v>
      </c>
      <c r="J28" s="961">
        <f>HLOOKUP($B$2,IBFConsumption,'International Bunker Fuels'!$B$9)</f>
        <v>575.2013833389999</v>
      </c>
      <c r="K28" s="940"/>
      <c r="L28" s="940"/>
      <c r="M28" s="940"/>
      <c r="N28" s="885">
        <f t="shared" si="43"/>
        <v>0</v>
      </c>
      <c r="O28" s="883">
        <f t="shared" si="44"/>
        <v>111.242</v>
      </c>
      <c r="P28" s="883">
        <f t="shared" si="45"/>
        <v>235.56173650000002</v>
      </c>
      <c r="Q28" s="883">
        <f t="shared" si="46"/>
        <v>136.50861666100013</v>
      </c>
      <c r="R28" s="883">
        <f t="shared" si="47"/>
        <v>714.63400000000001</v>
      </c>
      <c r="S28" s="886">
        <f t="shared" si="48"/>
        <v>74.955607569237657</v>
      </c>
      <c r="T28" s="883">
        <f t="shared" si="7"/>
        <v>1272.9019607302378</v>
      </c>
      <c r="U28" s="887">
        <f>Factors!D36</f>
        <v>20.48</v>
      </c>
      <c r="V28" s="885">
        <f t="shared" si="49"/>
        <v>0</v>
      </c>
      <c r="W28" s="883">
        <f t="shared" si="50"/>
        <v>2.2782361600000001</v>
      </c>
      <c r="X28" s="883">
        <f t="shared" si="51"/>
        <v>4.8243043635200005</v>
      </c>
      <c r="Y28" s="883">
        <f t="shared" si="52"/>
        <v>2.7956964692172828</v>
      </c>
      <c r="Z28" s="883">
        <f t="shared" si="53"/>
        <v>14.63570432</v>
      </c>
      <c r="AA28" s="883">
        <f t="shared" si="54"/>
        <v>1.5350908430179873</v>
      </c>
      <c r="AB28" s="883">
        <f t="shared" si="37"/>
        <v>26.06903215575527</v>
      </c>
      <c r="AC28" s="888">
        <f>Factors!E36</f>
        <v>1</v>
      </c>
      <c r="AD28" s="885">
        <f t="shared" si="55"/>
        <v>0</v>
      </c>
      <c r="AE28" s="883">
        <f t="shared" si="56"/>
        <v>2.2782361600000001</v>
      </c>
      <c r="AF28" s="883">
        <f t="shared" si="57"/>
        <v>4.8243043635200005</v>
      </c>
      <c r="AG28" s="883">
        <f t="shared" si="58"/>
        <v>2.7956964692172828</v>
      </c>
      <c r="AH28" s="883">
        <f t="shared" si="59"/>
        <v>14.63570432</v>
      </c>
      <c r="AI28" s="883">
        <f t="shared" si="60"/>
        <v>1.5350908430179873</v>
      </c>
      <c r="AJ28" s="889">
        <f t="shared" si="9"/>
        <v>26.06903215575527</v>
      </c>
      <c r="AK28" s="885">
        <f t="shared" si="30"/>
        <v>0</v>
      </c>
      <c r="AL28" s="883">
        <f t="shared" si="31"/>
        <v>8.3535325866666668</v>
      </c>
      <c r="AM28" s="883">
        <f t="shared" si="32"/>
        <v>17.689115999573335</v>
      </c>
      <c r="AN28" s="883">
        <f t="shared" si="33"/>
        <v>10.250887053796703</v>
      </c>
      <c r="AO28" s="883">
        <f t="shared" si="34"/>
        <v>53.664249173333332</v>
      </c>
      <c r="AP28" s="883">
        <f t="shared" si="35"/>
        <v>5.6286664243992863</v>
      </c>
      <c r="AQ28" s="890">
        <f t="shared" si="38"/>
        <v>95.586451237769325</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7"/>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9.0561119999999988</v>
      </c>
      <c r="F30" s="883"/>
      <c r="G30" s="883"/>
      <c r="H30" s="883"/>
      <c r="I30" s="883">
        <f t="shared" si="36"/>
        <v>9.0561119999999988</v>
      </c>
      <c r="J30" s="961"/>
      <c r="K30" s="940"/>
      <c r="L30" s="940"/>
      <c r="M30" s="940"/>
      <c r="N30" s="885">
        <f t="shared" si="43"/>
        <v>0</v>
      </c>
      <c r="O30" s="883">
        <f t="shared" si="44"/>
        <v>0</v>
      </c>
      <c r="P30" s="883">
        <f t="shared" si="45"/>
        <v>9.0561119999999988</v>
      </c>
      <c r="Q30" s="883">
        <f t="shared" si="46"/>
        <v>0</v>
      </c>
      <c r="R30" s="883">
        <f t="shared" si="47"/>
        <v>0</v>
      </c>
      <c r="S30" s="886">
        <f t="shared" si="48"/>
        <v>0</v>
      </c>
      <c r="T30" s="883">
        <f t="shared" si="7"/>
        <v>9.0561119999999988</v>
      </c>
      <c r="U30" s="887">
        <f>Factors!D39</f>
        <v>18.87</v>
      </c>
      <c r="V30" s="885">
        <f t="shared" si="49"/>
        <v>0</v>
      </c>
      <c r="W30" s="883">
        <f t="shared" si="50"/>
        <v>0</v>
      </c>
      <c r="X30" s="883">
        <f t="shared" si="51"/>
        <v>0.17088883344</v>
      </c>
      <c r="Y30" s="883">
        <f t="shared" si="52"/>
        <v>0</v>
      </c>
      <c r="Z30" s="883">
        <f t="shared" si="53"/>
        <v>0</v>
      </c>
      <c r="AA30" s="883">
        <f t="shared" si="54"/>
        <v>0</v>
      </c>
      <c r="AB30" s="883">
        <f t="shared" si="37"/>
        <v>0.17088883344</v>
      </c>
      <c r="AC30" s="888">
        <f>Factors!E39</f>
        <v>1</v>
      </c>
      <c r="AD30" s="885">
        <f t="shared" si="55"/>
        <v>0</v>
      </c>
      <c r="AE30" s="883">
        <f t="shared" si="56"/>
        <v>0</v>
      </c>
      <c r="AF30" s="883">
        <f t="shared" si="57"/>
        <v>0.17088883344</v>
      </c>
      <c r="AG30" s="883">
        <f t="shared" si="58"/>
        <v>0</v>
      </c>
      <c r="AH30" s="883">
        <f t="shared" si="59"/>
        <v>0</v>
      </c>
      <c r="AI30" s="883">
        <f t="shared" si="60"/>
        <v>0</v>
      </c>
      <c r="AJ30" s="889">
        <f t="shared" si="9"/>
        <v>0.17088883344</v>
      </c>
      <c r="AK30" s="885">
        <f t="shared" si="30"/>
        <v>0</v>
      </c>
      <c r="AL30" s="883">
        <f t="shared" si="31"/>
        <v>0</v>
      </c>
      <c r="AM30" s="883">
        <f t="shared" si="32"/>
        <v>0.62659238927999994</v>
      </c>
      <c r="AN30" s="883">
        <f t="shared" si="33"/>
        <v>0</v>
      </c>
      <c r="AO30" s="883">
        <f t="shared" si="34"/>
        <v>0</v>
      </c>
      <c r="AP30" s="883">
        <f t="shared" si="35"/>
        <v>0</v>
      </c>
      <c r="AQ30" s="890">
        <f t="shared" si="38"/>
        <v>0.62659238927999994</v>
      </c>
    </row>
    <row r="31" spans="1:43">
      <c r="A31" s="817"/>
      <c r="B31" s="865" t="s">
        <v>1612</v>
      </c>
      <c r="C31" s="883"/>
      <c r="D31" s="883"/>
      <c r="E31" s="883">
        <f>HLOOKUP($B$2,'Consumption Input'!$E$5:$AQ$82,'Consumption Input'!$B36)</f>
        <v>4.6226000000000003</v>
      </c>
      <c r="F31" s="883"/>
      <c r="G31" s="883"/>
      <c r="H31" s="883"/>
      <c r="I31" s="883">
        <f t="shared" si="36"/>
        <v>4.6226000000000003</v>
      </c>
      <c r="J31" s="961"/>
      <c r="K31" s="940"/>
      <c r="L31" s="940"/>
      <c r="M31" s="940"/>
      <c r="N31" s="885">
        <f t="shared" si="43"/>
        <v>0</v>
      </c>
      <c r="O31" s="883">
        <f t="shared" si="44"/>
        <v>0</v>
      </c>
      <c r="P31" s="883">
        <f t="shared" si="45"/>
        <v>4.6226000000000003</v>
      </c>
      <c r="Q31" s="883">
        <f t="shared" si="46"/>
        <v>0</v>
      </c>
      <c r="R31" s="883">
        <f t="shared" si="47"/>
        <v>0</v>
      </c>
      <c r="S31" s="886">
        <f t="shared" si="48"/>
        <v>0</v>
      </c>
      <c r="T31" s="883">
        <f t="shared" si="7"/>
        <v>4.6226000000000003</v>
      </c>
      <c r="U31" s="887">
        <f>HLOOKUP($B$2,Factors!$J$12:$Y$25,Factors!$H25)</f>
        <v>20.217215216551722</v>
      </c>
      <c r="V31" s="885">
        <f t="shared" si="49"/>
        <v>0</v>
      </c>
      <c r="W31" s="883">
        <f t="shared" si="50"/>
        <v>0</v>
      </c>
      <c r="X31" s="883">
        <f t="shared" si="51"/>
        <v>9.3456099060031994E-2</v>
      </c>
      <c r="Y31" s="883">
        <f t="shared" si="52"/>
        <v>0</v>
      </c>
      <c r="Z31" s="883">
        <f t="shared" si="53"/>
        <v>0</v>
      </c>
      <c r="AA31" s="883">
        <f t="shared" si="54"/>
        <v>0</v>
      </c>
      <c r="AB31" s="883">
        <f t="shared" si="37"/>
        <v>9.3456099060031994E-2</v>
      </c>
      <c r="AC31" s="888">
        <f>Factors!E40</f>
        <v>1</v>
      </c>
      <c r="AD31" s="885">
        <f t="shared" si="55"/>
        <v>0</v>
      </c>
      <c r="AE31" s="883">
        <f t="shared" si="56"/>
        <v>0</v>
      </c>
      <c r="AF31" s="883">
        <f t="shared" si="57"/>
        <v>9.3456099060031994E-2</v>
      </c>
      <c r="AG31" s="883">
        <f t="shared" si="58"/>
        <v>0</v>
      </c>
      <c r="AH31" s="883">
        <f t="shared" si="59"/>
        <v>0</v>
      </c>
      <c r="AI31" s="883">
        <f t="shared" si="60"/>
        <v>0</v>
      </c>
      <c r="AJ31" s="889">
        <f t="shared" si="9"/>
        <v>9.3456099060031994E-2</v>
      </c>
      <c r="AK31" s="885">
        <f t="shared" si="30"/>
        <v>0</v>
      </c>
      <c r="AL31" s="883">
        <f t="shared" si="31"/>
        <v>0</v>
      </c>
      <c r="AM31" s="883">
        <f t="shared" si="32"/>
        <v>0.34267236322011729</v>
      </c>
      <c r="AN31" s="883">
        <f t="shared" si="33"/>
        <v>0</v>
      </c>
      <c r="AO31" s="883">
        <f t="shared" si="34"/>
        <v>0</v>
      </c>
      <c r="AP31" s="883">
        <f t="shared" si="35"/>
        <v>0</v>
      </c>
      <c r="AQ31" s="890">
        <f t="shared" si="38"/>
        <v>0.34267236322011729</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887">
        <f>HLOOKUP($B$2,Factors!$J$12:$Y$25,Factors!$H22)</f>
        <v>19.355101442635394</v>
      </c>
      <c r="V32" s="885">
        <f t="shared" si="49"/>
        <v>0</v>
      </c>
      <c r="W32" s="883">
        <f t="shared" si="50"/>
        <v>0</v>
      </c>
      <c r="X32" s="883">
        <f t="shared" si="51"/>
        <v>0</v>
      </c>
      <c r="Y32" s="883">
        <f t="shared" si="52"/>
        <v>0</v>
      </c>
      <c r="Z32" s="883">
        <f t="shared" si="53"/>
        <v>0</v>
      </c>
      <c r="AA32" s="883">
        <f t="shared" si="54"/>
        <v>0</v>
      </c>
      <c r="AB32" s="883">
        <f t="shared" si="37"/>
        <v>0</v>
      </c>
      <c r="AC32" s="888">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30"/>
        <v>0</v>
      </c>
      <c r="AL32" s="883">
        <f t="shared" si="31"/>
        <v>0</v>
      </c>
      <c r="AM32" s="883">
        <f t="shared" si="32"/>
        <v>0</v>
      </c>
      <c r="AN32" s="883">
        <f t="shared" si="33"/>
        <v>0</v>
      </c>
      <c r="AO32" s="883">
        <f t="shared" si="34"/>
        <v>0</v>
      </c>
      <c r="AP32" s="883">
        <f t="shared" si="35"/>
        <v>0</v>
      </c>
      <c r="AQ32" s="890">
        <f t="shared" si="38"/>
        <v>0</v>
      </c>
    </row>
    <row r="33" spans="1:43">
      <c r="A33" s="817"/>
      <c r="B33" s="865" t="s">
        <v>1739</v>
      </c>
      <c r="C33" s="883"/>
      <c r="D33" s="883"/>
      <c r="E33" s="883">
        <f>HLOOKUP($B$2,'Consumption Input'!$E$5:$AQ$82,'Consumption Input'!$B38)</f>
        <v>97.749539999999996</v>
      </c>
      <c r="F33" s="883"/>
      <c r="G33" s="883"/>
      <c r="H33" s="883">
        <f>HLOOKUP($B$2,'US Territories'!$D$28:$Z$38,'US Territories'!$B$38)</f>
        <v>74.934317677390908</v>
      </c>
      <c r="I33" s="883">
        <f t="shared" si="36"/>
        <v>172.6838576773909</v>
      </c>
      <c r="J33" s="961"/>
      <c r="K33" s="940">
        <f>HLOOKUP($B$2,NEUConsumption,'Non-Energy Use'!C22)</f>
        <v>97.749539999999996</v>
      </c>
      <c r="L33" s="940"/>
      <c r="M33" s="940">
        <f>HLOOKUP($B$2,NEUConsumption,'Non-Energy Use'!$C$27)</f>
        <v>74.934317677390908</v>
      </c>
      <c r="N33" s="885">
        <f t="shared" si="43"/>
        <v>0</v>
      </c>
      <c r="O33" s="883">
        <f t="shared" si="44"/>
        <v>0</v>
      </c>
      <c r="P33" s="883">
        <f t="shared" si="45"/>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7"/>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536.37708799999996</v>
      </c>
      <c r="F34" s="883"/>
      <c r="G34" s="883"/>
      <c r="H34" s="883"/>
      <c r="I34" s="883">
        <f t="shared" si="36"/>
        <v>536.37708799999996</v>
      </c>
      <c r="J34" s="961"/>
      <c r="K34" s="940">
        <f>HLOOKUP($B$2,NEUConsumption,'Non-Energy Use'!C14)</f>
        <v>536.37708799999996</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7"/>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861.24372500000004</v>
      </c>
      <c r="F35" s="883"/>
      <c r="G35" s="883"/>
      <c r="H35" s="883"/>
      <c r="I35" s="883">
        <f t="shared" si="36"/>
        <v>861.24372500000004</v>
      </c>
      <c r="J35" s="961"/>
      <c r="K35" s="940">
        <f>HLOOKUP($B$2,NEUConsumption,'Non-Energy Use'!$C$15)</f>
        <v>861.24372500000004</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7"/>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7"/>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0.13300000000000001</v>
      </c>
      <c r="E37" s="883">
        <f>HLOOKUP($B$2,'Consumption Input'!$E$5:$AQ$82,'Consumption Input'!$B42)</f>
        <v>727.41</v>
      </c>
      <c r="F37" s="883"/>
      <c r="G37" s="883">
        <f>HLOOKUP($B$2,'Consumption Input'!$E$5:$AQ$82,'Consumption Input'!$B63)</f>
        <v>101.55800000000001</v>
      </c>
      <c r="H37" s="883"/>
      <c r="I37" s="883">
        <f t="shared" si="36"/>
        <v>829.101</v>
      </c>
      <c r="J37" s="961"/>
      <c r="K37" s="940">
        <f>HLOOKUP($B$2,NEUConsumption,'Non-Energy Use'!$C$17)</f>
        <v>87.499823858914766</v>
      </c>
      <c r="L37" s="940"/>
      <c r="M37" s="940"/>
      <c r="N37" s="885">
        <f t="shared" si="43"/>
        <v>0</v>
      </c>
      <c r="O37" s="883">
        <f t="shared" si="44"/>
        <v>0.13300000000000001</v>
      </c>
      <c r="P37" s="883">
        <f t="shared" si="45"/>
        <v>639.91017614108523</v>
      </c>
      <c r="Q37" s="883">
        <f t="shared" si="46"/>
        <v>0</v>
      </c>
      <c r="R37" s="883">
        <f t="shared" si="47"/>
        <v>101.55800000000001</v>
      </c>
      <c r="S37" s="886">
        <f t="shared" si="48"/>
        <v>0</v>
      </c>
      <c r="T37" s="883">
        <f t="shared" si="7"/>
        <v>741.60117614108526</v>
      </c>
      <c r="U37" s="887">
        <f>Factors!D48</f>
        <v>27.84770010865628</v>
      </c>
      <c r="V37" s="885">
        <f t="shared" si="49"/>
        <v>0</v>
      </c>
      <c r="W37" s="883">
        <f t="shared" si="50"/>
        <v>3.7037441144512854E-3</v>
      </c>
      <c r="X37" s="883">
        <f t="shared" si="51"/>
        <v>17.820026681654358</v>
      </c>
      <c r="Y37" s="883">
        <f t="shared" si="52"/>
        <v>0</v>
      </c>
      <c r="Z37" s="883">
        <f t="shared" si="53"/>
        <v>2.8281567276349149</v>
      </c>
      <c r="AA37" s="883">
        <f t="shared" si="54"/>
        <v>0</v>
      </c>
      <c r="AB37" s="883">
        <f t="shared" si="37"/>
        <v>20.651887153403724</v>
      </c>
      <c r="AC37" s="888">
        <f>Factors!E48</f>
        <v>1</v>
      </c>
      <c r="AD37" s="885">
        <f t="shared" si="55"/>
        <v>0</v>
      </c>
      <c r="AE37" s="883">
        <f t="shared" si="56"/>
        <v>3.7037441144512854E-3</v>
      </c>
      <c r="AF37" s="883">
        <f t="shared" si="57"/>
        <v>17.820026681654358</v>
      </c>
      <c r="AG37" s="883">
        <f t="shared" si="58"/>
        <v>0</v>
      </c>
      <c r="AH37" s="883">
        <f t="shared" si="59"/>
        <v>2.8281567276349149</v>
      </c>
      <c r="AI37" s="883">
        <f t="shared" si="60"/>
        <v>0</v>
      </c>
      <c r="AJ37" s="889">
        <f t="shared" si="9"/>
        <v>20.651887153403724</v>
      </c>
      <c r="AK37" s="885">
        <f t="shared" si="30"/>
        <v>0</v>
      </c>
      <c r="AL37" s="883">
        <f t="shared" si="31"/>
        <v>1.3580395086321379E-2</v>
      </c>
      <c r="AM37" s="883">
        <f t="shared" si="32"/>
        <v>65.340097832732638</v>
      </c>
      <c r="AN37" s="883">
        <f t="shared" si="33"/>
        <v>0</v>
      </c>
      <c r="AO37" s="883">
        <f t="shared" si="34"/>
        <v>10.369908001328021</v>
      </c>
      <c r="AP37" s="883">
        <f t="shared" si="35"/>
        <v>0</v>
      </c>
      <c r="AQ37" s="890">
        <f t="shared" si="38"/>
        <v>75.723586229146974</v>
      </c>
    </row>
    <row r="38" spans="1:43">
      <c r="A38" s="817"/>
      <c r="B38" s="865" t="s">
        <v>1618</v>
      </c>
      <c r="C38" s="883"/>
      <c r="D38" s="883"/>
      <c r="E38" s="883">
        <f>HLOOKUP($B$2,'Consumption Input'!$E$5:$AQ$82,'Consumption Input'!$B43)</f>
        <v>1447.1039999999998</v>
      </c>
      <c r="F38" s="883"/>
      <c r="G38" s="883"/>
      <c r="H38" s="883"/>
      <c r="I38" s="883">
        <f t="shared" si="36"/>
        <v>1447.1039999999998</v>
      </c>
      <c r="J38" s="961"/>
      <c r="K38" s="940">
        <f>HLOOKUP($B$2,NEUConsumption,'Non-Energy Use'!$C$16)</f>
        <v>12.113999999999985</v>
      </c>
      <c r="L38" s="940"/>
      <c r="M38" s="940"/>
      <c r="N38" s="885">
        <f t="shared" si="43"/>
        <v>0</v>
      </c>
      <c r="O38" s="883">
        <f t="shared" si="44"/>
        <v>0</v>
      </c>
      <c r="P38" s="883">
        <f t="shared" si="45"/>
        <v>1434.9899999999998</v>
      </c>
      <c r="Q38" s="883">
        <f t="shared" si="46"/>
        <v>0</v>
      </c>
      <c r="R38" s="883">
        <f t="shared" si="47"/>
        <v>0</v>
      </c>
      <c r="S38" s="886">
        <f t="shared" si="48"/>
        <v>0</v>
      </c>
      <c r="T38" s="883">
        <f t="shared" si="7"/>
        <v>1434.9899999999998</v>
      </c>
      <c r="U38" s="887">
        <f>Factors!D51</f>
        <v>18.195454545454545</v>
      </c>
      <c r="V38" s="885">
        <f t="shared" si="49"/>
        <v>0</v>
      </c>
      <c r="W38" s="883">
        <f t="shared" si="50"/>
        <v>0</v>
      </c>
      <c r="X38" s="883">
        <f t="shared" si="51"/>
        <v>26.110295318181816</v>
      </c>
      <c r="Y38" s="883">
        <f t="shared" si="52"/>
        <v>0</v>
      </c>
      <c r="Z38" s="883">
        <f t="shared" si="53"/>
        <v>0</v>
      </c>
      <c r="AA38" s="883">
        <f t="shared" si="54"/>
        <v>0</v>
      </c>
      <c r="AB38" s="883">
        <f t="shared" si="37"/>
        <v>26.110295318181816</v>
      </c>
      <c r="AC38" s="888">
        <f>Factors!E51</f>
        <v>1</v>
      </c>
      <c r="AD38" s="885">
        <f t="shared" si="55"/>
        <v>0</v>
      </c>
      <c r="AE38" s="883">
        <f t="shared" si="56"/>
        <v>0</v>
      </c>
      <c r="AF38" s="883">
        <f t="shared" si="57"/>
        <v>26.110295318181816</v>
      </c>
      <c r="AG38" s="883">
        <f t="shared" si="58"/>
        <v>0</v>
      </c>
      <c r="AH38" s="883">
        <f t="shared" si="59"/>
        <v>0</v>
      </c>
      <c r="AI38" s="883">
        <f t="shared" si="60"/>
        <v>0</v>
      </c>
      <c r="AJ38" s="889">
        <f t="shared" si="9"/>
        <v>26.110295318181816</v>
      </c>
      <c r="AK38" s="885">
        <f t="shared" si="30"/>
        <v>0</v>
      </c>
      <c r="AL38" s="883">
        <f t="shared" si="31"/>
        <v>0</v>
      </c>
      <c r="AM38" s="883">
        <f t="shared" si="32"/>
        <v>95.737749499999993</v>
      </c>
      <c r="AN38" s="883">
        <f t="shared" si="33"/>
        <v>0</v>
      </c>
      <c r="AO38" s="883">
        <f t="shared" si="34"/>
        <v>0</v>
      </c>
      <c r="AP38" s="883">
        <f t="shared" si="35"/>
        <v>0</v>
      </c>
      <c r="AQ38" s="890">
        <f t="shared" si="38"/>
        <v>95.737749499999993</v>
      </c>
    </row>
    <row r="39" spans="1:43">
      <c r="A39" s="817"/>
      <c r="B39" s="865" t="s">
        <v>1619</v>
      </c>
      <c r="C39" s="883"/>
      <c r="D39" s="883"/>
      <c r="E39" s="883">
        <f>HLOOKUP($B$2,'Consumption Input'!$E$5:$AQ$82,'Consumption Input'!$B44)</f>
        <v>72.264960000000002</v>
      </c>
      <c r="F39" s="883"/>
      <c r="G39" s="883"/>
      <c r="H39" s="883"/>
      <c r="I39" s="883">
        <f t="shared" si="36"/>
        <v>72.264960000000002</v>
      </c>
      <c r="J39" s="961"/>
      <c r="K39" s="940">
        <f>HLOOKUP($B$2,NEUConsumption,'Non-Energy Use'!$C$18)</f>
        <v>72.264960000000002</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7"/>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20.217215216551722</v>
      </c>
      <c r="V40" s="885">
        <f t="shared" si="49"/>
        <v>0</v>
      </c>
      <c r="W40" s="883">
        <f t="shared" si="50"/>
        <v>0</v>
      </c>
      <c r="X40" s="883">
        <f t="shared" si="51"/>
        <v>0</v>
      </c>
      <c r="Y40" s="883">
        <f t="shared" si="52"/>
        <v>0</v>
      </c>
      <c r="Z40" s="883">
        <f t="shared" si="53"/>
        <v>0</v>
      </c>
      <c r="AA40" s="883">
        <f t="shared" si="54"/>
        <v>0</v>
      </c>
      <c r="AB40" s="883">
        <f t="shared" si="37"/>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43.7423</v>
      </c>
      <c r="F41" s="883"/>
      <c r="G41" s="883"/>
      <c r="H41" s="883"/>
      <c r="I41" s="883">
        <f t="shared" si="36"/>
        <v>43.7423</v>
      </c>
      <c r="J41" s="961"/>
      <c r="K41" s="940">
        <f>HLOOKUP($B$2,NEUConsumption,'Non-Energy Use'!$C$21)</f>
        <v>43.7423</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7"/>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50.245459942111999</v>
      </c>
      <c r="H42" s="917"/>
      <c r="I42" s="917">
        <f>G42</f>
        <v>50.245459942111999</v>
      </c>
      <c r="J42" s="968"/>
      <c r="K42" s="969"/>
      <c r="L42" s="970"/>
      <c r="M42" s="971"/>
      <c r="N42" s="917">
        <f t="shared" si="43"/>
        <v>0</v>
      </c>
      <c r="O42" s="917">
        <f t="shared" si="44"/>
        <v>0</v>
      </c>
      <c r="P42" s="917">
        <f>E42</f>
        <v>0</v>
      </c>
      <c r="Q42" s="917">
        <f>F42</f>
        <v>0</v>
      </c>
      <c r="R42" s="917">
        <f t="shared" si="47"/>
        <v>50.245459942111999</v>
      </c>
      <c r="S42" s="917">
        <f>H42</f>
        <v>0</v>
      </c>
      <c r="T42" s="917">
        <f t="shared" si="7"/>
        <v>50.245459942111999</v>
      </c>
      <c r="U42" s="921">
        <f>Factors!D56</f>
        <v>2.6974658424810825</v>
      </c>
      <c r="V42" s="917"/>
      <c r="W42" s="917"/>
      <c r="X42" s="917"/>
      <c r="Y42" s="917"/>
      <c r="Z42" s="917">
        <f>INDEX(Geothermal!$C$14:$AE$18,MATCH("Total",Geothermal!$C$14:$C$18,0),MATCH($B$2,Geothermal!$C$14:$AE$14,0))/CtoCO2</f>
        <v>0.13093212333391985</v>
      </c>
      <c r="AA42" s="917"/>
      <c r="AB42" s="917">
        <f t="shared" si="37"/>
        <v>0.13093212333391985</v>
      </c>
      <c r="AC42" s="921">
        <f>Factors!$E$56</f>
        <v>1</v>
      </c>
      <c r="AD42" s="917">
        <f t="shared" si="55"/>
        <v>0</v>
      </c>
      <c r="AE42" s="917">
        <f t="shared" si="56"/>
        <v>0</v>
      </c>
      <c r="AF42" s="917">
        <f t="shared" si="57"/>
        <v>0</v>
      </c>
      <c r="AG42" s="917">
        <f t="shared" si="58"/>
        <v>0</v>
      </c>
      <c r="AH42" s="917">
        <f t="shared" si="59"/>
        <v>0.13093212333391985</v>
      </c>
      <c r="AI42" s="917">
        <f t="shared" si="60"/>
        <v>0</v>
      </c>
      <c r="AJ42" s="920">
        <f t="shared" si="9"/>
        <v>0.13093212333391985</v>
      </c>
      <c r="AK42" s="919">
        <f t="shared" si="30"/>
        <v>0</v>
      </c>
      <c r="AL42" s="917">
        <f t="shared" si="31"/>
        <v>0</v>
      </c>
      <c r="AM42" s="917">
        <f t="shared" si="32"/>
        <v>0</v>
      </c>
      <c r="AN42" s="917">
        <f t="shared" si="33"/>
        <v>0</v>
      </c>
      <c r="AO42" s="917">
        <f t="shared" si="34"/>
        <v>0.48008445222437274</v>
      </c>
      <c r="AP42" s="917">
        <f t="shared" si="35"/>
        <v>0</v>
      </c>
      <c r="AQ42" s="920">
        <f t="shared" si="38"/>
        <v>0.48008445222437274</v>
      </c>
    </row>
    <row r="43" spans="1:43" ht="11.1" thickBot="1">
      <c r="A43" s="817"/>
      <c r="B43" s="867" t="s">
        <v>1740</v>
      </c>
      <c r="C43" s="922">
        <f>C8+C17+C18+C42</f>
        <v>6440.9104289960051</v>
      </c>
      <c r="D43" s="922">
        <f>D8+D17+D18+D42</f>
        <v>4127.0458451323502</v>
      </c>
      <c r="E43" s="922">
        <f>E8+E17+E18+E42</f>
        <v>19756.983395204465</v>
      </c>
      <c r="F43" s="922">
        <f>F8+F17+F18+F42</f>
        <v>24731.585802663332</v>
      </c>
      <c r="G43" s="922">
        <f>G8+G17+G18+G42</f>
        <v>24007.001459942105</v>
      </c>
      <c r="H43" s="922">
        <f>H16+H17+H18+H42</f>
        <v>351.58912809857435</v>
      </c>
      <c r="I43" s="922">
        <f>SUM(C43:H43)</f>
        <v>79415.116060036831</v>
      </c>
      <c r="J43" s="972">
        <f t="shared" ref="J43:S43" si="65">J8+J17+J18+J42</f>
        <v>1456.5354439425926</v>
      </c>
      <c r="K43" s="973">
        <f t="shared" si="65"/>
        <v>5347.0336144083212</v>
      </c>
      <c r="L43" s="974">
        <f t="shared" si="65"/>
        <v>172.14599999999999</v>
      </c>
      <c r="M43" s="975">
        <f t="shared" si="65"/>
        <v>77.404311671140903</v>
      </c>
      <c r="N43" s="922">
        <f t="shared" si="65"/>
        <v>6440.9104289960051</v>
      </c>
      <c r="O43" s="922">
        <f t="shared" si="65"/>
        <v>4127.0458451323502</v>
      </c>
      <c r="P43" s="922">
        <f t="shared" si="65"/>
        <v>14409.949780796142</v>
      </c>
      <c r="Q43" s="922">
        <f t="shared" si="65"/>
        <v>23102.904358720742</v>
      </c>
      <c r="R43" s="922">
        <f t="shared" si="65"/>
        <v>24007.001459942105</v>
      </c>
      <c r="S43" s="922">
        <f t="shared" si="65"/>
        <v>274.18481642743347</v>
      </c>
      <c r="T43" s="922">
        <f t="shared" si="7"/>
        <v>72361.99669001477</v>
      </c>
      <c r="U43" s="956" t="s">
        <v>1731</v>
      </c>
      <c r="V43" s="957">
        <f t="shared" ref="V43:AA43" si="66">V8+V17+V18+V42</f>
        <v>99.55455069731066</v>
      </c>
      <c r="W43" s="957">
        <f t="shared" si="66"/>
        <v>64.859689440382539</v>
      </c>
      <c r="X43" s="957">
        <f t="shared" si="66"/>
        <v>248.80434347417059</v>
      </c>
      <c r="Y43" s="957">
        <f t="shared" si="66"/>
        <v>448.2315146559186</v>
      </c>
      <c r="Z43" s="957">
        <f t="shared" si="66"/>
        <v>569.32358269196948</v>
      </c>
      <c r="AA43" s="957">
        <f t="shared" si="66"/>
        <v>5.4768870716551179</v>
      </c>
      <c r="AB43" s="957">
        <f t="shared" si="37"/>
        <v>1436.2505680314068</v>
      </c>
      <c r="AC43" s="958" t="s">
        <v>1731</v>
      </c>
      <c r="AD43" s="922">
        <f t="shared" ref="AD43:AQ43" si="67">AD8+AD17+AD18+AD42</f>
        <v>99.55455069731066</v>
      </c>
      <c r="AE43" s="922">
        <f t="shared" si="67"/>
        <v>64.859689440382539</v>
      </c>
      <c r="AF43" s="922">
        <f t="shared" si="67"/>
        <v>248.80434347417059</v>
      </c>
      <c r="AG43" s="922">
        <f t="shared" si="67"/>
        <v>448.2315146559186</v>
      </c>
      <c r="AH43" s="922">
        <f t="shared" si="67"/>
        <v>569.32358269196948</v>
      </c>
      <c r="AI43" s="922">
        <f t="shared" si="67"/>
        <v>5.4768870716551179</v>
      </c>
      <c r="AJ43" s="925">
        <f t="shared" si="67"/>
        <v>1436.2505680314071</v>
      </c>
      <c r="AK43" s="922">
        <f t="shared" si="67"/>
        <v>365.03335255680571</v>
      </c>
      <c r="AL43" s="922">
        <f t="shared" si="67"/>
        <v>237.81886128140263</v>
      </c>
      <c r="AM43" s="922">
        <f t="shared" si="67"/>
        <v>912.28259273862545</v>
      </c>
      <c r="AN43" s="922">
        <f t="shared" si="67"/>
        <v>1643.5155537383682</v>
      </c>
      <c r="AO43" s="922">
        <f t="shared" si="67"/>
        <v>2087.5198032038879</v>
      </c>
      <c r="AP43" s="922">
        <f t="shared" si="67"/>
        <v>20.081919262735433</v>
      </c>
      <c r="AQ43" s="925">
        <f t="shared" si="67"/>
        <v>5266.2520827818253</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ransitionEvaluation="1" transitionEntry="1" codeName="Sheet22">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3" width="7" style="152" customWidth="1"/>
    <col min="14" max="14" width="8.6640625" style="152" customWidth="1"/>
    <col min="15" max="15" width="9.16406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1998</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1749</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11.547999999999998</v>
      </c>
      <c r="D8" s="876">
        <f t="shared" si="4"/>
        <v>93.436000000000007</v>
      </c>
      <c r="E8" s="876">
        <f t="shared" si="4"/>
        <v>1519.9380921932566</v>
      </c>
      <c r="F8" s="876">
        <f t="shared" si="4"/>
        <v>0</v>
      </c>
      <c r="G8" s="876">
        <f t="shared" si="4"/>
        <v>19215.682000000001</v>
      </c>
      <c r="H8" s="876">
        <f t="shared" si="4"/>
        <v>4.9261413376999998</v>
      </c>
      <c r="I8" s="876">
        <f t="shared" ref="I8:I14" si="5">SUM(C8:H8)</f>
        <v>20845.530233530957</v>
      </c>
      <c r="J8" s="959"/>
      <c r="K8" s="960">
        <f>SUM(K9:K16)</f>
        <v>20.580770330150102</v>
      </c>
      <c r="L8" s="960">
        <f>SUM(L9:L16)</f>
        <v>0</v>
      </c>
      <c r="M8" s="960"/>
      <c r="N8" s="878">
        <f t="shared" ref="N8:S8" si="6">SUM(N9:N16)</f>
        <v>11.547999999999998</v>
      </c>
      <c r="O8" s="876">
        <f t="shared" si="6"/>
        <v>93.436000000000007</v>
      </c>
      <c r="P8" s="876">
        <f t="shared" si="6"/>
        <v>1499.3573218631066</v>
      </c>
      <c r="Q8" s="876">
        <f t="shared" si="6"/>
        <v>0</v>
      </c>
      <c r="R8" s="876">
        <f t="shared" si="6"/>
        <v>19215.682000000001</v>
      </c>
      <c r="S8" s="879">
        <f t="shared" si="6"/>
        <v>4.9261413376999998</v>
      </c>
      <c r="T8" s="876">
        <f t="shared" ref="T8:T43" si="7">SUM(N8:S8)</f>
        <v>20824.949463200806</v>
      </c>
      <c r="U8" s="880" t="s">
        <v>1731</v>
      </c>
      <c r="V8" s="876">
        <f>SUM(V9:V16)</f>
        <v>0.3008850982957148</v>
      </c>
      <c r="W8" s="876">
        <f>SUM(W9:W16)</f>
        <v>2.4344908247625923</v>
      </c>
      <c r="X8" s="876">
        <f>SUM(X9:X16)</f>
        <v>38.660619130061967</v>
      </c>
      <c r="Y8" s="876"/>
      <c r="Z8" s="876">
        <f>SUM(Z9:Z16)</f>
        <v>498.31300815643164</v>
      </c>
      <c r="AA8" s="876">
        <f>SUM(AA9:AA16)</f>
        <v>0.12384319322977799</v>
      </c>
      <c r="AB8" s="876">
        <f t="shared" ref="AB8:AB13" si="8">SUM(V8:AA8)</f>
        <v>539.83284640278168</v>
      </c>
      <c r="AC8" s="881" t="s">
        <v>1731</v>
      </c>
      <c r="AD8" s="878">
        <f>SUM(AD9:AD16)</f>
        <v>0.3008850982957148</v>
      </c>
      <c r="AE8" s="876">
        <f>SUM(AE9:AE16)</f>
        <v>2.4344908247625923</v>
      </c>
      <c r="AF8" s="876">
        <f>SUM(AF9:AF16)</f>
        <v>38.660619130061967</v>
      </c>
      <c r="AG8" s="876" t="s">
        <v>108</v>
      </c>
      <c r="AH8" s="876">
        <f>SUM(AH9:AH16)</f>
        <v>498.31300815643164</v>
      </c>
      <c r="AI8" s="876">
        <f>SUM(AI9:AI16)</f>
        <v>0.12384319322977799</v>
      </c>
      <c r="AJ8" s="876">
        <f t="shared" ref="AJ8:AJ42" si="9">SUM(AD8:AI8)</f>
        <v>539.83284640278168</v>
      </c>
      <c r="AK8" s="878">
        <f t="shared" ref="AK8:AP8" si="10">SUM(AK9:AK16)</f>
        <v>1.1032453604176209</v>
      </c>
      <c r="AL8" s="876">
        <f t="shared" si="10"/>
        <v>8.9264663574628376</v>
      </c>
      <c r="AM8" s="876">
        <f t="shared" si="10"/>
        <v>141.75560347689387</v>
      </c>
      <c r="AN8" s="876">
        <f t="shared" si="10"/>
        <v>0</v>
      </c>
      <c r="AO8" s="876">
        <f t="shared" si="10"/>
        <v>1827.1476965735826</v>
      </c>
      <c r="AP8" s="876">
        <f t="shared" si="10"/>
        <v>0.45409170850918595</v>
      </c>
      <c r="AQ8" s="882">
        <f t="shared" ref="AQ8:AQ14" si="11">SUM(AK8:AP8)</f>
        <v>1979.3871034768661</v>
      </c>
    </row>
    <row r="9" spans="1:43">
      <c r="A9" s="817"/>
      <c r="B9" s="860" t="s">
        <v>1732</v>
      </c>
      <c r="C9" s="883">
        <f>HLOOKUP($B$2,'Consumption Input'!$E$5:$AQ$82,'Consumption Input'!$B7)</f>
        <v>11.547999999999998</v>
      </c>
      <c r="D9" s="883"/>
      <c r="E9" s="883"/>
      <c r="F9" s="883"/>
      <c r="G9" s="883"/>
      <c r="H9" s="883"/>
      <c r="I9" s="883">
        <f t="shared" si="5"/>
        <v>11.547999999999998</v>
      </c>
      <c r="J9" s="961"/>
      <c r="K9" s="940"/>
      <c r="L9" s="940"/>
      <c r="M9" s="940"/>
      <c r="N9" s="885">
        <f t="shared" ref="N9:N17" si="12">C9</f>
        <v>11.547999999999998</v>
      </c>
      <c r="O9" s="883">
        <f t="shared" ref="O9:O17" si="13">D9</f>
        <v>0</v>
      </c>
      <c r="P9" s="883">
        <f t="shared" ref="P9:P17" si="14">E9-K9</f>
        <v>0</v>
      </c>
      <c r="Q9" s="883">
        <f t="shared" ref="Q9:Q17" si="15">F9</f>
        <v>0</v>
      </c>
      <c r="R9" s="883">
        <f t="shared" ref="R9:R17" si="16">G9</f>
        <v>0</v>
      </c>
      <c r="S9" s="886">
        <f t="shared" ref="S9:S17" si="17">H9</f>
        <v>0</v>
      </c>
      <c r="T9" s="883">
        <f t="shared" si="7"/>
        <v>11.547999999999998</v>
      </c>
      <c r="U9" s="887">
        <f>HLOOKUP($B$2,Factors!$J$12:$Y$25,Factors!$H13)</f>
        <v>26.05516957877683</v>
      </c>
      <c r="V9" s="885">
        <f t="shared" ref="V9:V17" si="18">N9*$U9*TbtuToQBtu</f>
        <v>0.3008850982957148</v>
      </c>
      <c r="W9" s="883">
        <f t="shared" ref="W9:W17" si="19">O9*$U9*TbtuToQBtu</f>
        <v>0</v>
      </c>
      <c r="X9" s="883">
        <f t="shared" ref="X9:X17" si="20">P9*$U9*TbtuToQBtu</f>
        <v>0</v>
      </c>
      <c r="Y9" s="883">
        <f t="shared" ref="Y9:Y17" si="21">Q9*$U9*TbtuToQBtu</f>
        <v>0</v>
      </c>
      <c r="Z9" s="883">
        <f t="shared" ref="Z9:Z17" si="22">R9*$U9*TbtuToQBtu</f>
        <v>0</v>
      </c>
      <c r="AA9" s="883">
        <f t="shared" ref="AA9:AA17" si="23">S9*$U9*TbtuToQBtu</f>
        <v>0</v>
      </c>
      <c r="AB9" s="883">
        <f t="shared" si="8"/>
        <v>0.3008850982957148</v>
      </c>
      <c r="AC9" s="888">
        <f>Factors!E10</f>
        <v>1</v>
      </c>
      <c r="AD9" s="885">
        <f t="shared" ref="AD9:AD17" si="24">V9*$AC9</f>
        <v>0.3008850982957148</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0.3008850982957148</v>
      </c>
      <c r="AK9" s="885">
        <f t="shared" ref="AK9:AK42" si="30">AD9*CtoCO2</f>
        <v>1.1032453604176209</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1.1032453604176209</v>
      </c>
    </row>
    <row r="10" spans="1:43">
      <c r="A10" s="817"/>
      <c r="B10" s="860" t="s">
        <v>1733</v>
      </c>
      <c r="C10" s="883"/>
      <c r="D10" s="883">
        <f>HLOOKUP($B$2,'Consumption Input'!$E$5:$AQ$82,'Consumption Input'!$B13)</f>
        <v>93.436000000000007</v>
      </c>
      <c r="E10" s="883"/>
      <c r="F10" s="883"/>
      <c r="G10" s="883"/>
      <c r="H10" s="883"/>
      <c r="I10" s="883">
        <f t="shared" si="5"/>
        <v>93.436000000000007</v>
      </c>
      <c r="J10" s="961"/>
      <c r="K10" s="940"/>
      <c r="L10" s="940"/>
      <c r="M10" s="940"/>
      <c r="N10" s="885">
        <f t="shared" si="12"/>
        <v>0</v>
      </c>
      <c r="O10" s="883">
        <f t="shared" si="13"/>
        <v>93.436000000000007</v>
      </c>
      <c r="P10" s="883">
        <f t="shared" si="14"/>
        <v>0</v>
      </c>
      <c r="Q10" s="883">
        <f t="shared" si="15"/>
        <v>0</v>
      </c>
      <c r="R10" s="883">
        <f t="shared" si="16"/>
        <v>0</v>
      </c>
      <c r="S10" s="886">
        <f t="shared" si="17"/>
        <v>0</v>
      </c>
      <c r="T10" s="883">
        <f t="shared" si="7"/>
        <v>93.436000000000007</v>
      </c>
      <c r="U10" s="887">
        <f>HLOOKUP($B$2,Factors!$J$12:$Y$25,Factors!$H14)</f>
        <v>26.05516957877683</v>
      </c>
      <c r="V10" s="885">
        <f t="shared" si="18"/>
        <v>0</v>
      </c>
      <c r="W10" s="883">
        <f t="shared" si="19"/>
        <v>2.4344908247625923</v>
      </c>
      <c r="X10" s="883">
        <f t="shared" si="20"/>
        <v>0</v>
      </c>
      <c r="Y10" s="883">
        <f t="shared" si="21"/>
        <v>0</v>
      </c>
      <c r="Z10" s="883">
        <f t="shared" si="22"/>
        <v>0</v>
      </c>
      <c r="AA10" s="883">
        <f t="shared" si="23"/>
        <v>0</v>
      </c>
      <c r="AB10" s="883">
        <f t="shared" si="8"/>
        <v>2.4344908247625923</v>
      </c>
      <c r="AC10" s="888">
        <f>Factors!E11</f>
        <v>1</v>
      </c>
      <c r="AD10" s="885">
        <f t="shared" si="24"/>
        <v>0</v>
      </c>
      <c r="AE10" s="883">
        <f t="shared" si="25"/>
        <v>2.4344908247625923</v>
      </c>
      <c r="AF10" s="883">
        <f t="shared" si="26"/>
        <v>0</v>
      </c>
      <c r="AG10" s="883">
        <f t="shared" si="27"/>
        <v>0</v>
      </c>
      <c r="AH10" s="883">
        <f t="shared" si="28"/>
        <v>0</v>
      </c>
      <c r="AI10" s="883">
        <f t="shared" si="29"/>
        <v>0</v>
      </c>
      <c r="AJ10" s="889">
        <f t="shared" si="9"/>
        <v>2.4344908247625923</v>
      </c>
      <c r="AK10" s="885">
        <f t="shared" si="30"/>
        <v>0</v>
      </c>
      <c r="AL10" s="883">
        <f t="shared" si="31"/>
        <v>8.9264663574628376</v>
      </c>
      <c r="AM10" s="883">
        <f t="shared" si="32"/>
        <v>0</v>
      </c>
      <c r="AN10" s="883">
        <f t="shared" si="33"/>
        <v>0</v>
      </c>
      <c r="AO10" s="883">
        <f t="shared" si="34"/>
        <v>0</v>
      </c>
      <c r="AP10" s="883">
        <f t="shared" si="35"/>
        <v>0</v>
      </c>
      <c r="AQ10" s="890">
        <f t="shared" si="11"/>
        <v>8.9264663574628376</v>
      </c>
    </row>
    <row r="11" spans="1:43" s="244" customFormat="1" hidden="1">
      <c r="A11" s="861"/>
      <c r="B11" s="862" t="s">
        <v>1734</v>
      </c>
      <c r="C11" s="891"/>
      <c r="D11" s="891"/>
      <c r="E11" s="891">
        <f>HLOOKUP($B$2,'Consumption Input'!$E$5:$AQ$82,'Consumption Input'!$B23)</f>
        <v>10.911311877562298</v>
      </c>
      <c r="F11" s="891"/>
      <c r="G11" s="891"/>
      <c r="H11" s="891"/>
      <c r="I11" s="891">
        <f t="shared" si="5"/>
        <v>10.911311877562298</v>
      </c>
      <c r="J11" s="962"/>
      <c r="K11" s="963">
        <f>HLOOKUP($B$2,NEUConsumption,'Non-Energy Use'!$C$7)</f>
        <v>10.911311877562298</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25.616489835056033</v>
      </c>
      <c r="V11" s="893">
        <f t="shared" si="18"/>
        <v>0</v>
      </c>
      <c r="W11" s="891">
        <f t="shared" si="19"/>
        <v>0</v>
      </c>
      <c r="X11" s="891">
        <f t="shared" si="20"/>
        <v>0</v>
      </c>
      <c r="Y11" s="891">
        <f t="shared" si="21"/>
        <v>0</v>
      </c>
      <c r="Z11" s="891">
        <f t="shared" si="22"/>
        <v>0</v>
      </c>
      <c r="AA11" s="891">
        <f t="shared" si="23"/>
        <v>0</v>
      </c>
      <c r="AB11" s="891">
        <f t="shared" si="8"/>
        <v>0</v>
      </c>
      <c r="AC11" s="896">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3">
      <c r="A12" s="817"/>
      <c r="B12" s="860" t="s">
        <v>1701</v>
      </c>
      <c r="C12" s="883"/>
      <c r="D12" s="883"/>
      <c r="E12" s="883">
        <f>HLOOKUP($B$2,'Consumption Input'!$E$5:$AQ$82,'Consumption Input'!$B24)</f>
        <v>1509.0267803156944</v>
      </c>
      <c r="F12" s="883"/>
      <c r="G12" s="883"/>
      <c r="H12" s="883"/>
      <c r="I12" s="883">
        <f t="shared" si="5"/>
        <v>1509.0267803156944</v>
      </c>
      <c r="J12" s="961"/>
      <c r="K12" s="940">
        <f>HLOOKUP($B$2,NEUConsumption,'Non-Energy Use'!$C$8)</f>
        <v>9.669458452587806</v>
      </c>
      <c r="L12" s="940"/>
      <c r="M12" s="940"/>
      <c r="N12" s="885">
        <f t="shared" si="12"/>
        <v>0</v>
      </c>
      <c r="O12" s="883">
        <f t="shared" si="13"/>
        <v>0</v>
      </c>
      <c r="P12" s="883">
        <f t="shared" si="14"/>
        <v>1499.3573218631066</v>
      </c>
      <c r="Q12" s="883">
        <f t="shared" si="15"/>
        <v>0</v>
      </c>
      <c r="R12" s="883">
        <f t="shared" si="16"/>
        <v>0</v>
      </c>
      <c r="S12" s="886">
        <f t="shared" si="17"/>
        <v>0</v>
      </c>
      <c r="T12" s="883">
        <f t="shared" si="7"/>
        <v>1499.3573218631066</v>
      </c>
      <c r="U12" s="887">
        <f>HLOOKUP($B$2,Factors!$J$12:$Y$25,Factors!$H15)</f>
        <v>25.78479363546386</v>
      </c>
      <c r="V12" s="885">
        <f t="shared" si="18"/>
        <v>0</v>
      </c>
      <c r="W12" s="883">
        <f t="shared" si="19"/>
        <v>0</v>
      </c>
      <c r="X12" s="883">
        <f t="shared" si="20"/>
        <v>38.660619130061967</v>
      </c>
      <c r="Y12" s="883">
        <f t="shared" si="21"/>
        <v>0</v>
      </c>
      <c r="Z12" s="883">
        <f t="shared" si="22"/>
        <v>0</v>
      </c>
      <c r="AA12" s="883">
        <f t="shared" si="23"/>
        <v>0</v>
      </c>
      <c r="AB12" s="883">
        <f t="shared" si="8"/>
        <v>38.660619130061967</v>
      </c>
      <c r="AC12" s="888">
        <f>Factors!E13</f>
        <v>1</v>
      </c>
      <c r="AD12" s="885">
        <f t="shared" si="24"/>
        <v>0</v>
      </c>
      <c r="AE12" s="883">
        <f t="shared" si="25"/>
        <v>0</v>
      </c>
      <c r="AF12" s="883">
        <f t="shared" si="26"/>
        <v>38.660619130061967</v>
      </c>
      <c r="AG12" s="883">
        <f t="shared" si="27"/>
        <v>0</v>
      </c>
      <c r="AH12" s="883">
        <f t="shared" si="28"/>
        <v>0</v>
      </c>
      <c r="AI12" s="883">
        <f t="shared" si="29"/>
        <v>0</v>
      </c>
      <c r="AJ12" s="889">
        <f t="shared" si="9"/>
        <v>38.660619130061967</v>
      </c>
      <c r="AK12" s="885">
        <f t="shared" si="30"/>
        <v>0</v>
      </c>
      <c r="AL12" s="883">
        <f t="shared" si="31"/>
        <v>0</v>
      </c>
      <c r="AM12" s="883">
        <f t="shared" si="32"/>
        <v>141.75560347689387</v>
      </c>
      <c r="AN12" s="883">
        <f t="shared" si="33"/>
        <v>0</v>
      </c>
      <c r="AO12" s="883">
        <f t="shared" si="34"/>
        <v>0</v>
      </c>
      <c r="AP12" s="883">
        <f t="shared" si="35"/>
        <v>0</v>
      </c>
      <c r="AQ12" s="890">
        <f t="shared" si="11"/>
        <v>141.75560347689387</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91">
        <f t="shared" si="7"/>
        <v>0</v>
      </c>
      <c r="U13" s="895">
        <f>Factors!D14</f>
        <v>27.85</v>
      </c>
      <c r="V13" s="893">
        <f t="shared" si="18"/>
        <v>0</v>
      </c>
      <c r="W13" s="891">
        <f t="shared" si="19"/>
        <v>0</v>
      </c>
      <c r="X13" s="891">
        <f t="shared" si="20"/>
        <v>0</v>
      </c>
      <c r="Y13" s="891">
        <f t="shared" si="21"/>
        <v>0</v>
      </c>
      <c r="Z13" s="891">
        <f t="shared" si="22"/>
        <v>0</v>
      </c>
      <c r="AA13" s="891">
        <f t="shared" si="23"/>
        <v>0</v>
      </c>
      <c r="AB13" s="891">
        <f t="shared" si="8"/>
        <v>0</v>
      </c>
      <c r="AC13" s="896">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887" t="str">
        <f>Factors!D15</f>
        <v>NC</v>
      </c>
      <c r="V14" s="885">
        <f t="shared" si="18"/>
        <v>0</v>
      </c>
      <c r="W14" s="883">
        <f t="shared" si="19"/>
        <v>0</v>
      </c>
      <c r="X14" s="883">
        <f t="shared" si="20"/>
        <v>0</v>
      </c>
      <c r="Y14" s="883">
        <f t="shared" si="21"/>
        <v>0</v>
      </c>
      <c r="Z14" s="883">
        <f t="shared" si="22"/>
        <v>0</v>
      </c>
      <c r="AA14" s="883">
        <f t="shared" si="23"/>
        <v>0</v>
      </c>
      <c r="AB14" s="883" t="s">
        <v>103</v>
      </c>
      <c r="AC14" s="888"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3">
      <c r="A15" s="817"/>
      <c r="B15" s="860" t="s">
        <v>1736</v>
      </c>
      <c r="C15" s="883"/>
      <c r="D15" s="883"/>
      <c r="E15" s="883"/>
      <c r="F15" s="883"/>
      <c r="G15" s="883">
        <f>HLOOKUP($B$2,'Consumption Input'!$E$5:$AQ$82,'Consumption Input'!$B58)</f>
        <v>19215.682000000001</v>
      </c>
      <c r="H15" s="883"/>
      <c r="I15" s="883">
        <f t="shared" ref="I15:I41" si="36">SUM(C15:H15)</f>
        <v>19215.682000000001</v>
      </c>
      <c r="J15" s="961"/>
      <c r="K15" s="940"/>
      <c r="L15" s="940"/>
      <c r="M15" s="940"/>
      <c r="N15" s="885">
        <f t="shared" si="12"/>
        <v>0</v>
      </c>
      <c r="O15" s="883">
        <f t="shared" si="13"/>
        <v>0</v>
      </c>
      <c r="P15" s="883">
        <f t="shared" si="14"/>
        <v>0</v>
      </c>
      <c r="Q15" s="883">
        <f t="shared" si="15"/>
        <v>0</v>
      </c>
      <c r="R15" s="883">
        <f t="shared" si="16"/>
        <v>19215.682000000001</v>
      </c>
      <c r="S15" s="886">
        <f t="shared" si="17"/>
        <v>0</v>
      </c>
      <c r="T15" s="883">
        <f t="shared" si="7"/>
        <v>19215.682000000001</v>
      </c>
      <c r="U15" s="887">
        <f>HLOOKUP($B$2,Factors!$J$12:$Y$25,Factors!$H16)</f>
        <v>25.932621499274997</v>
      </c>
      <c r="V15" s="885">
        <f t="shared" si="18"/>
        <v>0</v>
      </c>
      <c r="W15" s="883">
        <f t="shared" si="19"/>
        <v>0</v>
      </c>
      <c r="X15" s="883">
        <f t="shared" si="20"/>
        <v>0</v>
      </c>
      <c r="Y15" s="883">
        <f t="shared" si="21"/>
        <v>0</v>
      </c>
      <c r="Z15" s="883">
        <f t="shared" si="22"/>
        <v>498.31300815643164</v>
      </c>
      <c r="AA15" s="883">
        <f t="shared" si="23"/>
        <v>0</v>
      </c>
      <c r="AB15" s="883">
        <f t="shared" ref="AB15:AB43" si="37">SUM(V15:AA15)</f>
        <v>498.31300815643164</v>
      </c>
      <c r="AC15" s="888">
        <f>Factors!E16</f>
        <v>1</v>
      </c>
      <c r="AD15" s="885">
        <f t="shared" si="24"/>
        <v>0</v>
      </c>
      <c r="AE15" s="883">
        <f t="shared" si="25"/>
        <v>0</v>
      </c>
      <c r="AF15" s="883">
        <f t="shared" si="26"/>
        <v>0</v>
      </c>
      <c r="AG15" s="883">
        <f t="shared" si="27"/>
        <v>0</v>
      </c>
      <c r="AH15" s="883">
        <f t="shared" si="28"/>
        <v>498.31300815643164</v>
      </c>
      <c r="AI15" s="883">
        <f t="shared" si="29"/>
        <v>0</v>
      </c>
      <c r="AJ15" s="889">
        <f t="shared" si="9"/>
        <v>498.31300815643164</v>
      </c>
      <c r="AK15" s="885">
        <f t="shared" si="30"/>
        <v>0</v>
      </c>
      <c r="AL15" s="883">
        <f t="shared" si="31"/>
        <v>0</v>
      </c>
      <c r="AM15" s="883">
        <f t="shared" si="32"/>
        <v>0</v>
      </c>
      <c r="AN15" s="883">
        <f t="shared" si="33"/>
        <v>0</v>
      </c>
      <c r="AO15" s="883">
        <f t="shared" si="34"/>
        <v>1827.1476965735826</v>
      </c>
      <c r="AP15" s="883">
        <f t="shared" si="35"/>
        <v>0</v>
      </c>
      <c r="AQ15" s="890">
        <f t="shared" ref="AQ15:AQ42" si="38">SUM(AK15:AP15)</f>
        <v>1827.1476965735826</v>
      </c>
    </row>
    <row r="16" spans="1:43">
      <c r="A16" s="817"/>
      <c r="B16" s="860" t="s">
        <v>1737</v>
      </c>
      <c r="C16" s="883"/>
      <c r="D16" s="883"/>
      <c r="E16" s="883"/>
      <c r="F16" s="883"/>
      <c r="G16" s="883"/>
      <c r="H16" s="883">
        <f>HLOOKUP($B$2,'US Territories'!$D$28:$Z$38,'US Territories'!$B29)</f>
        <v>4.9261413376999998</v>
      </c>
      <c r="I16" s="883">
        <f t="shared" si="36"/>
        <v>4.9261413376999998</v>
      </c>
      <c r="J16" s="961"/>
      <c r="K16" s="940"/>
      <c r="L16" s="940"/>
      <c r="M16" s="940"/>
      <c r="N16" s="885">
        <f t="shared" si="12"/>
        <v>0</v>
      </c>
      <c r="O16" s="883">
        <f t="shared" si="13"/>
        <v>0</v>
      </c>
      <c r="P16" s="883">
        <f t="shared" si="14"/>
        <v>0</v>
      </c>
      <c r="Q16" s="883">
        <f t="shared" si="15"/>
        <v>0</v>
      </c>
      <c r="R16" s="883">
        <f t="shared" si="16"/>
        <v>0</v>
      </c>
      <c r="S16" s="886">
        <f t="shared" si="17"/>
        <v>4.9261413376999998</v>
      </c>
      <c r="T16" s="883">
        <f t="shared" si="7"/>
        <v>4.9261413376999998</v>
      </c>
      <c r="U16" s="887">
        <f>Factors!D17</f>
        <v>25.14</v>
      </c>
      <c r="V16" s="899">
        <f t="shared" si="18"/>
        <v>0</v>
      </c>
      <c r="W16" s="900">
        <f t="shared" si="19"/>
        <v>0</v>
      </c>
      <c r="X16" s="900">
        <f t="shared" si="20"/>
        <v>0</v>
      </c>
      <c r="Y16" s="900">
        <f t="shared" si="21"/>
        <v>0</v>
      </c>
      <c r="Z16" s="900">
        <f t="shared" si="22"/>
        <v>0</v>
      </c>
      <c r="AA16" s="900">
        <f t="shared" si="23"/>
        <v>0.12384319322977799</v>
      </c>
      <c r="AB16" s="883">
        <f t="shared" si="37"/>
        <v>0.12384319322977799</v>
      </c>
      <c r="AC16" s="888">
        <f>Factors!E17</f>
        <v>1</v>
      </c>
      <c r="AD16" s="899">
        <f t="shared" si="24"/>
        <v>0</v>
      </c>
      <c r="AE16" s="900">
        <f t="shared" si="25"/>
        <v>0</v>
      </c>
      <c r="AF16" s="900">
        <f t="shared" si="26"/>
        <v>0</v>
      </c>
      <c r="AG16" s="900">
        <f t="shared" si="27"/>
        <v>0</v>
      </c>
      <c r="AH16" s="900">
        <f t="shared" si="28"/>
        <v>0</v>
      </c>
      <c r="AI16" s="900">
        <f t="shared" si="29"/>
        <v>0.12384319322977799</v>
      </c>
      <c r="AJ16" s="889">
        <f t="shared" si="9"/>
        <v>0.12384319322977799</v>
      </c>
      <c r="AK16" s="885">
        <f t="shared" si="30"/>
        <v>0</v>
      </c>
      <c r="AL16" s="883">
        <f t="shared" si="31"/>
        <v>0</v>
      </c>
      <c r="AM16" s="883">
        <f t="shared" si="32"/>
        <v>0</v>
      </c>
      <c r="AN16" s="883">
        <f t="shared" si="33"/>
        <v>0</v>
      </c>
      <c r="AO16" s="883">
        <f t="shared" si="34"/>
        <v>0</v>
      </c>
      <c r="AP16" s="883">
        <f t="shared" si="35"/>
        <v>0.45409170850918595</v>
      </c>
      <c r="AQ16" s="890">
        <f t="shared" si="38"/>
        <v>0.45409170850918595</v>
      </c>
    </row>
    <row r="17" spans="1:43">
      <c r="A17" s="817"/>
      <c r="B17" s="863" t="s">
        <v>1439</v>
      </c>
      <c r="C17" s="901">
        <f>HLOOKUP($B$2,'Consumption Input'!$E$5:$AQ$82,'Consumption Input'!$B8)</f>
        <v>4646.0870000000004</v>
      </c>
      <c r="D17" s="901">
        <f>HLOOKUP($B$2,'Consumption Input'!$E$5:$AQ$82,'Consumption Input'!$B14)</f>
        <v>3082.9749999999999</v>
      </c>
      <c r="E17" s="901">
        <f>HLOOKUP($B$2,'Consumption Input'!$E$5:$AQ$82,'Consumption Input'!$B26)</f>
        <v>9227.0733414263941</v>
      </c>
      <c r="F17" s="901">
        <f>HLOOKUP($B$2,'Consumption Input'!$E$5:$AQ$82,'Consumption Input'!$B49)</f>
        <v>666.09699999999998</v>
      </c>
      <c r="G17" s="901">
        <f>HLOOKUP($B$2,'Consumption Input'!$E$5:$AQ$82,'Consumption Input'!$B59)</f>
        <v>4674.8999999999996</v>
      </c>
      <c r="H17" s="944">
        <f>HLOOKUP($B$2,'US Territories'!$D$28:$Z$38,'US Territories'!$B30)</f>
        <v>0</v>
      </c>
      <c r="I17" s="901">
        <f t="shared" si="36"/>
        <v>22297.132341426397</v>
      </c>
      <c r="J17" s="964"/>
      <c r="K17" s="965">
        <f>HLOOKUP($B$2,NEUConsumption,'Non-Energy Use'!$C$9)</f>
        <v>426.62899999999996</v>
      </c>
      <c r="L17" s="965"/>
      <c r="M17" s="965"/>
      <c r="N17" s="904">
        <f t="shared" si="12"/>
        <v>4646.0870000000004</v>
      </c>
      <c r="O17" s="901">
        <f t="shared" si="13"/>
        <v>3082.9749999999999</v>
      </c>
      <c r="P17" s="901">
        <f t="shared" si="14"/>
        <v>8800.4443414263933</v>
      </c>
      <c r="Q17" s="901">
        <f t="shared" si="15"/>
        <v>666.09699999999998</v>
      </c>
      <c r="R17" s="901">
        <f t="shared" si="16"/>
        <v>4674.8999999999996</v>
      </c>
      <c r="S17" s="902">
        <f t="shared" si="17"/>
        <v>0</v>
      </c>
      <c r="T17" s="901">
        <f t="shared" si="7"/>
        <v>21870.503341426396</v>
      </c>
      <c r="U17" s="905">
        <f>HLOOKUP($B$2,Factors!$J$12:$AB$26,Factors!$H26,FALSE)</f>
        <v>14.448503279340446</v>
      </c>
      <c r="V17" s="901">
        <f t="shared" si="18"/>
        <v>67.129003255601035</v>
      </c>
      <c r="W17" s="901">
        <f t="shared" si="19"/>
        <v>44.544374397624615</v>
      </c>
      <c r="X17" s="901">
        <f t="shared" si="20"/>
        <v>127.15324892675233</v>
      </c>
      <c r="Y17" s="901">
        <f t="shared" si="21"/>
        <v>9.624104688858834</v>
      </c>
      <c r="Z17" s="901">
        <f t="shared" si="22"/>
        <v>67.54530798058866</v>
      </c>
      <c r="AA17" s="901">
        <f t="shared" si="23"/>
        <v>0</v>
      </c>
      <c r="AB17" s="901">
        <f t="shared" si="37"/>
        <v>315.99603924942551</v>
      </c>
      <c r="AC17" s="906">
        <f>Factors!E19</f>
        <v>1</v>
      </c>
      <c r="AD17" s="904">
        <f t="shared" si="24"/>
        <v>67.129003255601035</v>
      </c>
      <c r="AE17" s="901">
        <f t="shared" si="25"/>
        <v>44.544374397624615</v>
      </c>
      <c r="AF17" s="901">
        <f t="shared" si="26"/>
        <v>127.15324892675233</v>
      </c>
      <c r="AG17" s="901">
        <f t="shared" si="27"/>
        <v>9.624104688858834</v>
      </c>
      <c r="AH17" s="901">
        <f t="shared" si="28"/>
        <v>67.54530798058866</v>
      </c>
      <c r="AI17" s="901">
        <f t="shared" si="29"/>
        <v>0</v>
      </c>
      <c r="AJ17" s="901">
        <f t="shared" si="9"/>
        <v>315.99603924942551</v>
      </c>
      <c r="AK17" s="904">
        <f t="shared" si="30"/>
        <v>246.13967860387044</v>
      </c>
      <c r="AL17" s="901">
        <f t="shared" si="31"/>
        <v>163.32937279129024</v>
      </c>
      <c r="AM17" s="901">
        <f t="shared" si="32"/>
        <v>466.22857939809182</v>
      </c>
      <c r="AN17" s="901">
        <f t="shared" si="33"/>
        <v>35.288383859149057</v>
      </c>
      <c r="AO17" s="901">
        <f t="shared" si="34"/>
        <v>247.66612926215842</v>
      </c>
      <c r="AP17" s="901">
        <f t="shared" si="35"/>
        <v>0</v>
      </c>
      <c r="AQ17" s="907">
        <f t="shared" si="38"/>
        <v>1158.6521439145599</v>
      </c>
    </row>
    <row r="18" spans="1:43">
      <c r="A18" s="817"/>
      <c r="B18" s="864" t="s">
        <v>1440</v>
      </c>
      <c r="C18" s="908">
        <f t="shared" ref="C18:H18" si="39">SUM(C19:C41)</f>
        <v>1205.4981198696548</v>
      </c>
      <c r="D18" s="908">
        <f t="shared" si="39"/>
        <v>666.08800735744876</v>
      </c>
      <c r="E18" s="908">
        <f t="shared" si="39"/>
        <v>8906.9085358140746</v>
      </c>
      <c r="F18" s="908">
        <f t="shared" si="39"/>
        <v>24578.558594583297</v>
      </c>
      <c r="G18" s="908">
        <f t="shared" si="39"/>
        <v>1306.095</v>
      </c>
      <c r="H18" s="908">
        <f t="shared" si="39"/>
        <v>336.89166468871895</v>
      </c>
      <c r="I18" s="908">
        <f t="shared" si="36"/>
        <v>37000.03992231319</v>
      </c>
      <c r="J18" s="966">
        <f t="shared" ref="J18:S18" si="40">SUM(J19:J41)</f>
        <v>1503.8475432209721</v>
      </c>
      <c r="K18" s="967">
        <f t="shared" si="40"/>
        <v>5010.7273103841071</v>
      </c>
      <c r="L18" s="967">
        <f t="shared" si="40"/>
        <v>180.21199999999999</v>
      </c>
      <c r="M18" s="967">
        <f t="shared" si="40"/>
        <v>76.60236589583549</v>
      </c>
      <c r="N18" s="910">
        <f t="shared" si="40"/>
        <v>1205.4981198696548</v>
      </c>
      <c r="O18" s="908">
        <f t="shared" si="40"/>
        <v>666.08800735744876</v>
      </c>
      <c r="P18" s="908">
        <f t="shared" si="40"/>
        <v>3896.1812254299675</v>
      </c>
      <c r="Q18" s="908">
        <f t="shared" si="40"/>
        <v>22894.499051362327</v>
      </c>
      <c r="R18" s="908">
        <f t="shared" si="40"/>
        <v>1306.095</v>
      </c>
      <c r="S18" s="911">
        <f t="shared" si="40"/>
        <v>260.28929879288341</v>
      </c>
      <c r="T18" s="889">
        <f t="shared" si="7"/>
        <v>30228.650702812283</v>
      </c>
      <c r="U18" s="912" t="s">
        <v>1731</v>
      </c>
      <c r="V18" s="908">
        <f t="shared" ref="V18:AA18" si="41">SUM(V19:V41)</f>
        <v>23.009245907388575</v>
      </c>
      <c r="W18" s="908">
        <f t="shared" si="41"/>
        <v>13.053318640854657</v>
      </c>
      <c r="X18" s="908">
        <f t="shared" si="41"/>
        <v>80.364494868614258</v>
      </c>
      <c r="Y18" s="908">
        <f t="shared" si="41"/>
        <v>448.26326010516328</v>
      </c>
      <c r="Z18" s="908">
        <f t="shared" si="41"/>
        <v>27.617104309224917</v>
      </c>
      <c r="AA18" s="908">
        <f t="shared" si="41"/>
        <v>5.1794111961246649</v>
      </c>
      <c r="AB18" s="908">
        <f t="shared" si="37"/>
        <v>597.48683502737038</v>
      </c>
      <c r="AC18" s="913" t="s">
        <v>1731</v>
      </c>
      <c r="AD18" s="910">
        <f t="shared" ref="AD18:AI18" si="42">SUM(AD19:AD41)</f>
        <v>23.009245907388575</v>
      </c>
      <c r="AE18" s="908">
        <f t="shared" si="42"/>
        <v>13.053318640854657</v>
      </c>
      <c r="AF18" s="908">
        <f t="shared" si="42"/>
        <v>80.364494868614258</v>
      </c>
      <c r="AG18" s="908">
        <f t="shared" si="42"/>
        <v>448.26326010516328</v>
      </c>
      <c r="AH18" s="908">
        <f t="shared" si="42"/>
        <v>27.617104309224917</v>
      </c>
      <c r="AI18" s="908">
        <f t="shared" si="42"/>
        <v>5.1794111961246649</v>
      </c>
      <c r="AJ18" s="908">
        <f t="shared" si="9"/>
        <v>597.48683502737038</v>
      </c>
      <c r="AK18" s="914">
        <f t="shared" si="30"/>
        <v>84.367234993758103</v>
      </c>
      <c r="AL18" s="889">
        <f t="shared" si="31"/>
        <v>47.862168349800406</v>
      </c>
      <c r="AM18" s="889">
        <f t="shared" si="32"/>
        <v>294.66981451825228</v>
      </c>
      <c r="AN18" s="889">
        <f t="shared" si="33"/>
        <v>1643.631953718932</v>
      </c>
      <c r="AO18" s="889">
        <f t="shared" si="34"/>
        <v>101.26271580049136</v>
      </c>
      <c r="AP18" s="889">
        <f t="shared" si="35"/>
        <v>18.991174385790437</v>
      </c>
      <c r="AQ18" s="915">
        <f t="shared" si="38"/>
        <v>2190.7850617670247</v>
      </c>
    </row>
    <row r="19" spans="1:43">
      <c r="A19" s="817"/>
      <c r="B19" s="860" t="s">
        <v>1608</v>
      </c>
      <c r="C19" s="883"/>
      <c r="D19" s="883"/>
      <c r="E19" s="883">
        <f>HLOOKUP($B$2,'Consumption Input'!$E$5:$AQ$82,'Consumption Input'!$B27)</f>
        <v>1262.5519999999999</v>
      </c>
      <c r="F19" s="883"/>
      <c r="G19" s="883"/>
      <c r="H19" s="883"/>
      <c r="I19" s="883">
        <f t="shared" si="36"/>
        <v>1262.5519999999999</v>
      </c>
      <c r="J19" s="961"/>
      <c r="K19" s="940">
        <f>HLOOKUP($B$2,NEUConsumption,'Non-Energy Use'!$C$10)</f>
        <v>1262.5519999999999</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7"/>
        <v>0</v>
      </c>
      <c r="AC19" s="888">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35.497999999999998</v>
      </c>
      <c r="G20" s="883"/>
      <c r="H20" s="883"/>
      <c r="I20" s="883">
        <f t="shared" si="36"/>
        <v>35.497999999999998</v>
      </c>
      <c r="J20" s="961"/>
      <c r="K20" s="940"/>
      <c r="L20" s="940"/>
      <c r="M20" s="940"/>
      <c r="N20" s="885">
        <f t="shared" si="43"/>
        <v>0</v>
      </c>
      <c r="O20" s="883">
        <f t="shared" si="44"/>
        <v>0</v>
      </c>
      <c r="P20" s="883">
        <f t="shared" si="45"/>
        <v>0</v>
      </c>
      <c r="Q20" s="883">
        <f t="shared" si="46"/>
        <v>35.497999999999998</v>
      </c>
      <c r="R20" s="883">
        <f t="shared" si="47"/>
        <v>0</v>
      </c>
      <c r="S20" s="886">
        <f t="shared" si="48"/>
        <v>0</v>
      </c>
      <c r="T20" s="883">
        <f t="shared" si="7"/>
        <v>35.497999999999998</v>
      </c>
      <c r="U20" s="887">
        <f>Factors!D25</f>
        <v>18.855352254718337</v>
      </c>
      <c r="V20" s="885">
        <f t="shared" si="49"/>
        <v>0</v>
      </c>
      <c r="W20" s="883">
        <f t="shared" si="50"/>
        <v>0</v>
      </c>
      <c r="X20" s="883">
        <f t="shared" si="51"/>
        <v>0</v>
      </c>
      <c r="Y20" s="883">
        <f t="shared" si="52"/>
        <v>0.66932729433799154</v>
      </c>
      <c r="Z20" s="883">
        <f t="shared" si="53"/>
        <v>0</v>
      </c>
      <c r="AA20" s="883">
        <f t="shared" si="54"/>
        <v>0</v>
      </c>
      <c r="AB20" s="883">
        <f t="shared" si="37"/>
        <v>0.66932729433799154</v>
      </c>
      <c r="AC20" s="888">
        <f>Factors!E25</f>
        <v>1</v>
      </c>
      <c r="AD20" s="885">
        <f t="shared" si="55"/>
        <v>0</v>
      </c>
      <c r="AE20" s="883">
        <f t="shared" si="56"/>
        <v>0</v>
      </c>
      <c r="AF20" s="883">
        <f t="shared" si="57"/>
        <v>0</v>
      </c>
      <c r="AG20" s="883">
        <f t="shared" si="58"/>
        <v>0.66932729433799154</v>
      </c>
      <c r="AH20" s="883">
        <f t="shared" si="59"/>
        <v>0</v>
      </c>
      <c r="AI20" s="883">
        <f t="shared" si="60"/>
        <v>0</v>
      </c>
      <c r="AJ20" s="889">
        <f t="shared" si="9"/>
        <v>0.66932729433799154</v>
      </c>
      <c r="AK20" s="885">
        <f t="shared" si="30"/>
        <v>0</v>
      </c>
      <c r="AL20" s="883">
        <f t="shared" si="31"/>
        <v>0</v>
      </c>
      <c r="AM20" s="883">
        <f t="shared" si="32"/>
        <v>0</v>
      </c>
      <c r="AN20" s="883">
        <f t="shared" si="33"/>
        <v>2.4542000792393024</v>
      </c>
      <c r="AO20" s="883">
        <f t="shared" si="34"/>
        <v>0</v>
      </c>
      <c r="AP20" s="883">
        <f t="shared" si="35"/>
        <v>0</v>
      </c>
      <c r="AQ20" s="890">
        <f t="shared" si="38"/>
        <v>2.4542000792393024</v>
      </c>
    </row>
    <row r="21" spans="1:43">
      <c r="A21" s="817"/>
      <c r="B21" s="860" t="s">
        <v>1738</v>
      </c>
      <c r="C21" s="883">
        <f>HLOOKUP($B$2,'Consumption Input'!$E$5:$AQ$82,'Consumption Input'!$B9)</f>
        <v>672.74211986965486</v>
      </c>
      <c r="D21" s="883">
        <f>HLOOKUP($B$2,'Consumption Input'!$E$5:$AQ$82,'Consumption Input'!$B15)</f>
        <v>373.75037205267205</v>
      </c>
      <c r="E21" s="883">
        <f>HLOOKUP($B$2,'Consumption Input'!$E$5:$AQ$82,'Consumption Input'!$B28)</f>
        <v>1035.789643791959</v>
      </c>
      <c r="F21" s="883">
        <f>HLOOKUP($B$2,'Consumption Input'!$E$5:$AQ$82,'Consumption Input'!$B51)</f>
        <v>5113.9790029761907</v>
      </c>
      <c r="G21" s="883">
        <f>HLOOKUP($B$2,'Consumption Input'!$E$5:$AQ$82,'Consumption Input'!$B60)</f>
        <v>135.58099999999999</v>
      </c>
      <c r="H21" s="883">
        <f>HLOOKUP($B$2,'US Territories'!$D$28:$Z$38,'US Territories'!$B31)</f>
        <v>45.691258287540037</v>
      </c>
      <c r="I21" s="883">
        <f t="shared" si="36"/>
        <v>7377.5333969780168</v>
      </c>
      <c r="J21" s="961">
        <f>HLOOKUP($B$2,IBFConsumption,'International Bunker Fuels'!$B$10)</f>
        <v>158.80061981404765</v>
      </c>
      <c r="K21" s="940">
        <f>HLOOKUP($B$2,NEUConsumption,'Non-Energy Use'!$C$20)</f>
        <v>11.65</v>
      </c>
      <c r="L21" s="940"/>
      <c r="M21" s="940"/>
      <c r="N21" s="885">
        <f t="shared" si="43"/>
        <v>672.74211986965486</v>
      </c>
      <c r="O21" s="883">
        <f t="shared" si="44"/>
        <v>373.75037205267205</v>
      </c>
      <c r="P21" s="883">
        <f t="shared" si="45"/>
        <v>1024.1396437919589</v>
      </c>
      <c r="Q21" s="883">
        <f t="shared" si="46"/>
        <v>4955.1783831621433</v>
      </c>
      <c r="R21" s="883">
        <f t="shared" si="47"/>
        <v>135.58099999999999</v>
      </c>
      <c r="S21" s="886">
        <f t="shared" si="48"/>
        <v>45.691258287540037</v>
      </c>
      <c r="T21" s="883">
        <f t="shared" si="7"/>
        <v>7207.0827771639697</v>
      </c>
      <c r="U21" s="887">
        <f>HLOOKUP($B$2,Factors!$J$12:$BE$27,Factors!$H27,FALSE)</f>
        <v>20.170000000000002</v>
      </c>
      <c r="V21" s="885">
        <f t="shared" si="49"/>
        <v>13.56920855777094</v>
      </c>
      <c r="W21" s="883">
        <f t="shared" si="50"/>
        <v>7.5385450043023958</v>
      </c>
      <c r="X21" s="883">
        <f t="shared" si="51"/>
        <v>20.656896615283813</v>
      </c>
      <c r="Y21" s="883">
        <f t="shared" si="52"/>
        <v>99.945947988380453</v>
      </c>
      <c r="Z21" s="883">
        <f t="shared" si="53"/>
        <v>2.7346687700000003</v>
      </c>
      <c r="AA21" s="883">
        <f t="shared" si="54"/>
        <v>0.92159267965968261</v>
      </c>
      <c r="AB21" s="883">
        <f t="shared" si="37"/>
        <v>145.36685961539729</v>
      </c>
      <c r="AC21" s="888">
        <f>Factors!E26</f>
        <v>1</v>
      </c>
      <c r="AD21" s="885">
        <f t="shared" si="55"/>
        <v>13.56920855777094</v>
      </c>
      <c r="AE21" s="883">
        <f t="shared" si="56"/>
        <v>7.5385450043023958</v>
      </c>
      <c r="AF21" s="883">
        <f t="shared" si="57"/>
        <v>20.656896615283813</v>
      </c>
      <c r="AG21" s="883">
        <f t="shared" si="58"/>
        <v>99.945947988380453</v>
      </c>
      <c r="AH21" s="883">
        <f t="shared" si="59"/>
        <v>2.7346687700000003</v>
      </c>
      <c r="AI21" s="883">
        <f t="shared" si="60"/>
        <v>0.92159267965968261</v>
      </c>
      <c r="AJ21" s="889">
        <f t="shared" si="9"/>
        <v>145.36685961539729</v>
      </c>
      <c r="AK21" s="885">
        <f t="shared" si="30"/>
        <v>49.753764711826776</v>
      </c>
      <c r="AL21" s="883">
        <f t="shared" si="31"/>
        <v>27.641331682442118</v>
      </c>
      <c r="AM21" s="883">
        <f t="shared" si="32"/>
        <v>75.741954256040643</v>
      </c>
      <c r="AN21" s="883">
        <f t="shared" si="33"/>
        <v>366.46847595739496</v>
      </c>
      <c r="AO21" s="883">
        <f t="shared" si="34"/>
        <v>10.027118823333334</v>
      </c>
      <c r="AP21" s="883">
        <f t="shared" si="35"/>
        <v>3.3791731587521694</v>
      </c>
      <c r="AQ21" s="890">
        <f t="shared" si="38"/>
        <v>533.0118185897901</v>
      </c>
    </row>
    <row r="22" spans="1:43">
      <c r="A22" s="817"/>
      <c r="B22" s="860" t="s">
        <v>1623</v>
      </c>
      <c r="C22" s="883"/>
      <c r="D22" s="883"/>
      <c r="E22" s="883"/>
      <c r="F22" s="883">
        <f>HLOOKUP($B$2,'Consumption Input'!$E$5:$AQ$82,'Consumption Input'!$B52)</f>
        <v>3356.7829999999999</v>
      </c>
      <c r="G22" s="883"/>
      <c r="H22" s="883">
        <f>HLOOKUP($B$2,'US Territories'!$D$28:$Z$38,'US Territories'!$B32)</f>
        <v>44.509927436415389</v>
      </c>
      <c r="I22" s="883">
        <f t="shared" si="36"/>
        <v>3401.2929274364151</v>
      </c>
      <c r="J22" s="961">
        <f>HLOOKUP($B$2,IBFConsumption,'International Bunker Fuels'!$B$8)</f>
        <v>750.24196992392456</v>
      </c>
      <c r="K22" s="940"/>
      <c r="L22" s="940"/>
      <c r="M22" s="940"/>
      <c r="N22" s="885">
        <f t="shared" si="43"/>
        <v>0</v>
      </c>
      <c r="O22" s="883">
        <f t="shared" si="44"/>
        <v>0</v>
      </c>
      <c r="P22" s="883">
        <f t="shared" si="45"/>
        <v>0</v>
      </c>
      <c r="Q22" s="883">
        <f t="shared" si="46"/>
        <v>2606.5410300760755</v>
      </c>
      <c r="R22" s="883">
        <f t="shared" si="47"/>
        <v>0</v>
      </c>
      <c r="S22" s="886">
        <f t="shared" si="48"/>
        <v>44.509927436415389</v>
      </c>
      <c r="T22" s="883">
        <f t="shared" si="7"/>
        <v>2651.0509575124906</v>
      </c>
      <c r="U22" s="887">
        <f>HLOOKUP($B$2,Factors!$J$12:$Y$25,Factors!$H21)</f>
        <v>19.696969696969692</v>
      </c>
      <c r="V22" s="885">
        <f t="shared" si="49"/>
        <v>0</v>
      </c>
      <c r="W22" s="883">
        <f t="shared" si="50"/>
        <v>0</v>
      </c>
      <c r="X22" s="883">
        <f t="shared" si="51"/>
        <v>0</v>
      </c>
      <c r="Y22" s="883">
        <f t="shared" si="52"/>
        <v>51.340959683316619</v>
      </c>
      <c r="Z22" s="883">
        <f t="shared" si="53"/>
        <v>0</v>
      </c>
      <c r="AA22" s="883">
        <f t="shared" si="54"/>
        <v>0.87671069192939377</v>
      </c>
      <c r="AB22" s="883">
        <f t="shared" si="37"/>
        <v>52.217670375246016</v>
      </c>
      <c r="AC22" s="888">
        <f>Factors!E27</f>
        <v>1</v>
      </c>
      <c r="AD22" s="885">
        <f t="shared" si="55"/>
        <v>0</v>
      </c>
      <c r="AE22" s="883">
        <f t="shared" si="56"/>
        <v>0</v>
      </c>
      <c r="AF22" s="883">
        <f t="shared" si="57"/>
        <v>0</v>
      </c>
      <c r="AG22" s="883">
        <f t="shared" si="58"/>
        <v>51.340959683316619</v>
      </c>
      <c r="AH22" s="883">
        <f t="shared" si="59"/>
        <v>0</v>
      </c>
      <c r="AI22" s="883">
        <f t="shared" si="60"/>
        <v>0.87671069192939377</v>
      </c>
      <c r="AJ22" s="889">
        <f t="shared" si="9"/>
        <v>52.217670375246016</v>
      </c>
      <c r="AK22" s="885">
        <f t="shared" si="30"/>
        <v>0</v>
      </c>
      <c r="AL22" s="883">
        <f t="shared" si="31"/>
        <v>0</v>
      </c>
      <c r="AM22" s="883">
        <f t="shared" si="32"/>
        <v>0</v>
      </c>
      <c r="AN22" s="883">
        <f t="shared" si="33"/>
        <v>188.25018550549427</v>
      </c>
      <c r="AO22" s="883">
        <f t="shared" si="34"/>
        <v>0</v>
      </c>
      <c r="AP22" s="883">
        <f t="shared" si="35"/>
        <v>3.2146058704077771</v>
      </c>
      <c r="AQ22" s="890">
        <f t="shared" si="38"/>
        <v>191.46479137590205</v>
      </c>
    </row>
    <row r="23" spans="1:43">
      <c r="A23" s="817"/>
      <c r="B23" s="860" t="s">
        <v>1599</v>
      </c>
      <c r="C23" s="883">
        <f>HLOOKUP($B$2,'Consumption Input'!$E$5:$AQ$82,'Consumption Input'!$B10)</f>
        <v>108.31699999999999</v>
      </c>
      <c r="D23" s="883">
        <f>HLOOKUP($B$2,'Consumption Input'!$E$5:$AQ$82,'Consumption Input'!$B16)</f>
        <v>31.149999999999995</v>
      </c>
      <c r="E23" s="883">
        <f>HLOOKUP($B$2,'Consumption Input'!$E$5:$AQ$82,'Consumption Input'!$B29)</f>
        <v>22.071000000000002</v>
      </c>
      <c r="F23" s="883"/>
      <c r="G23" s="883"/>
      <c r="H23" s="883">
        <f>HLOOKUP($B$2,'US Territories'!$D$28:$Z$38,'US Territories'!$B33)</f>
        <v>3.0258139705286884</v>
      </c>
      <c r="I23" s="883">
        <f t="shared" si="36"/>
        <v>164.56381397052868</v>
      </c>
      <c r="J23" s="961"/>
      <c r="K23" s="940"/>
      <c r="L23" s="940"/>
      <c r="M23" s="940"/>
      <c r="N23" s="885">
        <f t="shared" si="43"/>
        <v>108.31699999999999</v>
      </c>
      <c r="O23" s="883">
        <f t="shared" si="44"/>
        <v>31.149999999999995</v>
      </c>
      <c r="P23" s="883">
        <f t="shared" si="45"/>
        <v>22.071000000000002</v>
      </c>
      <c r="Q23" s="883">
        <f t="shared" si="46"/>
        <v>0</v>
      </c>
      <c r="R23" s="883">
        <f t="shared" si="47"/>
        <v>0</v>
      </c>
      <c r="S23" s="886">
        <f t="shared" si="48"/>
        <v>3.0258139705286884</v>
      </c>
      <c r="T23" s="883">
        <f t="shared" si="7"/>
        <v>164.56381397052868</v>
      </c>
      <c r="U23" s="887">
        <f>Factors!D28</f>
        <v>19.964104564962931</v>
      </c>
      <c r="V23" s="885">
        <f t="shared" si="49"/>
        <v>2.1624519141630896</v>
      </c>
      <c r="W23" s="883">
        <f t="shared" si="50"/>
        <v>0.62188185719859523</v>
      </c>
      <c r="X23" s="883">
        <f t="shared" si="51"/>
        <v>0.44062775185329683</v>
      </c>
      <c r="Y23" s="883">
        <f t="shared" si="52"/>
        <v>0</v>
      </c>
      <c r="Z23" s="883">
        <f t="shared" si="53"/>
        <v>0</v>
      </c>
      <c r="AA23" s="883">
        <f t="shared" si="54"/>
        <v>6.0407666501760396E-2</v>
      </c>
      <c r="AB23" s="883">
        <f t="shared" si="37"/>
        <v>3.2853691897167425</v>
      </c>
      <c r="AC23" s="888">
        <f>Factors!E28</f>
        <v>1</v>
      </c>
      <c r="AD23" s="885">
        <f t="shared" si="55"/>
        <v>2.1624519141630896</v>
      </c>
      <c r="AE23" s="883">
        <f t="shared" si="56"/>
        <v>0.62188185719859523</v>
      </c>
      <c r="AF23" s="883">
        <f t="shared" si="57"/>
        <v>0.44062775185329683</v>
      </c>
      <c r="AG23" s="883">
        <f t="shared" si="58"/>
        <v>0</v>
      </c>
      <c r="AH23" s="883">
        <f t="shared" si="59"/>
        <v>0</v>
      </c>
      <c r="AI23" s="883">
        <f t="shared" si="60"/>
        <v>6.0407666501760396E-2</v>
      </c>
      <c r="AJ23" s="889">
        <f t="shared" si="9"/>
        <v>3.2853691897167425</v>
      </c>
      <c r="AK23" s="885">
        <f t="shared" si="30"/>
        <v>7.9289903519313283</v>
      </c>
      <c r="AL23" s="883">
        <f t="shared" si="31"/>
        <v>2.2802334763948493</v>
      </c>
      <c r="AM23" s="883">
        <f t="shared" si="32"/>
        <v>1.6156350901287551</v>
      </c>
      <c r="AN23" s="883">
        <f t="shared" si="33"/>
        <v>0</v>
      </c>
      <c r="AO23" s="883">
        <f t="shared" si="34"/>
        <v>0</v>
      </c>
      <c r="AP23" s="883">
        <f t="shared" si="35"/>
        <v>0.22149477717312144</v>
      </c>
      <c r="AQ23" s="890">
        <f t="shared" si="38"/>
        <v>12.046353695628055</v>
      </c>
    </row>
    <row r="24" spans="1:43">
      <c r="A24" s="817"/>
      <c r="B24" s="860" t="s">
        <v>1600</v>
      </c>
      <c r="C24" s="883">
        <f>HLOOKUP($B$2,'Consumption Input'!$E$5:$AQ$82,'Consumption Input'!$B11)</f>
        <v>424.43900000000002</v>
      </c>
      <c r="D24" s="883">
        <f>HLOOKUP($B$2,'Consumption Input'!$E$5:$AQ$82,'Consumption Input'!$B17)</f>
        <v>117.72299999999998</v>
      </c>
      <c r="E24"/>
      <c r="F24" s="883">
        <f>HLOOKUP($B$2,'Consumption Input'!$E$5:$AQ$82,'Consumption Input'!$B53)</f>
        <v>17.667000000000002</v>
      </c>
      <c r="G24" s="883"/>
      <c r="H24"/>
      <c r="I24" s="883">
        <f>SUM(C24:H24)</f>
        <v>559.82900000000006</v>
      </c>
      <c r="J24" s="884"/>
      <c r="K24"/>
      <c r="L24" s="883"/>
      <c r="M24" s="883"/>
      <c r="N24" s="885">
        <f>C24</f>
        <v>424.43900000000002</v>
      </c>
      <c r="O24" s="883">
        <f t="shared" si="44"/>
        <v>117.72299999999998</v>
      </c>
      <c r="P24"/>
      <c r="Q24" s="883">
        <f t="shared" si="46"/>
        <v>17.667000000000002</v>
      </c>
      <c r="R24" s="883">
        <f t="shared" si="47"/>
        <v>0</v>
      </c>
      <c r="S24" s="1007"/>
      <c r="T24" s="883">
        <f t="shared" si="7"/>
        <v>559.82900000000006</v>
      </c>
      <c r="U24" s="1005">
        <f>HLOOKUP($B$2,Factors!$J$12:$BE$25,Factors!$H17,FALSE)</f>
        <v>17.146363636363635</v>
      </c>
      <c r="V24" s="885">
        <f>N24*$U24*TbtuToQBtu</f>
        <v>7.2775854354545455</v>
      </c>
      <c r="W24" s="883">
        <f>O24*$U24*TbtuToQBtu</f>
        <v>2.0185213663636361</v>
      </c>
      <c r="X24"/>
      <c r="Y24" s="883">
        <f>Q24*$U24*TbtuToQBtu</f>
        <v>0.30292480636363639</v>
      </c>
      <c r="Z24" s="883">
        <f t="shared" ref="Z24" si="61">R24*$U24*TbtuToQBtu</f>
        <v>0</v>
      </c>
      <c r="AA24"/>
      <c r="AB24" s="883">
        <f>SUM(V24:AA24)</f>
        <v>9.5990316081818179</v>
      </c>
      <c r="AC24" s="888">
        <f>Factors!E30</f>
        <v>1</v>
      </c>
      <c r="AD24" s="885">
        <f>V24*$AC24</f>
        <v>7.2775854354545455</v>
      </c>
      <c r="AE24" s="883">
        <f t="shared" si="56"/>
        <v>2.0185213663636361</v>
      </c>
      <c r="AF24"/>
      <c r="AG24" s="883">
        <f t="shared" si="56"/>
        <v>0.30292480636363639</v>
      </c>
      <c r="AH24" s="883">
        <f t="shared" si="56"/>
        <v>0</v>
      </c>
      <c r="AI24"/>
      <c r="AJ24" s="889">
        <f t="shared" si="9"/>
        <v>9.5990316081818179</v>
      </c>
      <c r="AK24" s="885">
        <f>AD24*CtoCO2</f>
        <v>26.684479929999998</v>
      </c>
      <c r="AL24" s="883">
        <f t="shared" ref="AL24" si="62">AE24*CtoCO2</f>
        <v>7.4012450099999985</v>
      </c>
      <c r="AN24" s="883">
        <f t="shared" ref="AN24" si="63">AG24*CtoCO2</f>
        <v>1.1107242900000001</v>
      </c>
      <c r="AO24" s="883">
        <f t="shared" ref="AO24" si="64">AH24*CtoCO2</f>
        <v>0</v>
      </c>
      <c r="AQ24" s="890">
        <f t="shared" si="38"/>
        <v>35.196449229999999</v>
      </c>
    </row>
    <row r="25" spans="1:43">
      <c r="A25" s="817"/>
      <c r="B25" s="860" t="s">
        <v>1609</v>
      </c>
      <c r="C25" s="883"/>
      <c r="D25" s="883"/>
      <c r="E25" s="883">
        <f>HLOOKUP($B$2,'Consumption Input'!$E$5:$AQ$82,'Consumption Input'!$B30)</f>
        <v>1953.9419755939998</v>
      </c>
      <c r="F25" s="883"/>
      <c r="G25" s="883"/>
      <c r="H25" s="883">
        <f>HLOOKUP($B$2,'US Territories'!$D$28:$AO$38,'US Territories'!$B34)</f>
        <v>2.2031048204187611</v>
      </c>
      <c r="I25" s="883">
        <f>SUM(C25:H25)</f>
        <v>1956.1450804144185</v>
      </c>
      <c r="J25" s="884"/>
      <c r="K25" s="883">
        <f>HLOOKUP($B$2,NEUConsumption,'Non-Energy Use'!$C$11)</f>
        <v>1717.4645571841068</v>
      </c>
      <c r="L25" s="883"/>
      <c r="M25" s="883"/>
      <c r="N25" s="885"/>
      <c r="O25" s="883"/>
      <c r="P25" s="883">
        <f>E25-K25</f>
        <v>236.47741840989306</v>
      </c>
      <c r="Q25" s="883"/>
      <c r="R25" s="883"/>
      <c r="S25" s="886">
        <f>H25-M25</f>
        <v>2.2031048204187611</v>
      </c>
      <c r="T25" s="883">
        <f t="shared" si="7"/>
        <v>238.68052323031182</v>
      </c>
      <c r="U25" s="1005">
        <f>HLOOKUP($B$2,Factors!$J$12:$BE$25,Factors!$H18,FALSE)</f>
        <v>17.486782178206113</v>
      </c>
      <c r="V25" s="885"/>
      <c r="W25" s="883"/>
      <c r="X25" s="883">
        <f>P25*$U25*TbtuToQBtu</f>
        <v>4.1352291057983086</v>
      </c>
      <c r="Y25" s="883"/>
      <c r="Z25" s="883"/>
      <c r="AA25" s="883">
        <f>S25*$U25*TbtuToQBtu</f>
        <v>3.8525214110418773E-2</v>
      </c>
      <c r="AB25" s="883">
        <f>SUM(V25:AA25)</f>
        <v>4.1737543199087277</v>
      </c>
      <c r="AC25" s="888">
        <f>Factors!E31</f>
        <v>1</v>
      </c>
      <c r="AD25" s="885"/>
      <c r="AE25" s="883"/>
      <c r="AF25" s="883">
        <f>X25*$AC25</f>
        <v>4.1352291057983086</v>
      </c>
      <c r="AG25" s="883"/>
      <c r="AH25" s="883"/>
      <c r="AI25" s="883">
        <f>AA25*$AC25</f>
        <v>3.8525214110418773E-2</v>
      </c>
      <c r="AJ25" s="889">
        <f t="shared" si="9"/>
        <v>4.1737543199087277</v>
      </c>
      <c r="AK25" s="885"/>
      <c r="AL25" s="883"/>
      <c r="AM25" s="883">
        <f>AF25*CtoCO2</f>
        <v>15.162506721260463</v>
      </c>
      <c r="AN25" s="883"/>
      <c r="AO25" s="883"/>
      <c r="AP25" s="883">
        <f>AI25*CtoCO2</f>
        <v>0.14125911840486882</v>
      </c>
      <c r="AQ25" s="890">
        <f t="shared" si="38"/>
        <v>15.303765839665331</v>
      </c>
    </row>
    <row r="26" spans="1:43">
      <c r="A26" s="817"/>
      <c r="B26" s="860" t="s">
        <v>1610</v>
      </c>
      <c r="C26" s="883"/>
      <c r="D26" s="883"/>
      <c r="E26" s="883">
        <f>HLOOKUP($B$2,'Consumption Input'!$E$5:$AQ$82,'Consumption Input'!$B31)</f>
        <v>190.80199999999999</v>
      </c>
      <c r="F26" s="883">
        <f>HLOOKUP($B$2,'Consumption Input'!$E$5:$AQ$82,'Consumption Input'!$B54)</f>
        <v>180.21199999999999</v>
      </c>
      <c r="G26" s="883"/>
      <c r="H26" s="883">
        <f>HLOOKUP($B$2,'US Territories'!$D$28:$Z$38,'US Territories'!$B35)</f>
        <v>1.2671179950000002</v>
      </c>
      <c r="I26" s="883">
        <f t="shared" si="36"/>
        <v>372.28111799499999</v>
      </c>
      <c r="J26" s="961"/>
      <c r="K26" s="940">
        <f>HLOOKUP($B$2,NEUConsumption,'Non-Energy Use'!$C$12)</f>
        <v>190.80199999999999</v>
      </c>
      <c r="L26" s="940">
        <f>HLOOKUP($B$2,NEUConsumption,'Non-Energy Use'!$C$24)</f>
        <v>180.21199999999999</v>
      </c>
      <c r="M26" s="940">
        <f>HLOOKUP($B$2,NEUConsumption,'Non-Energy Use'!$C$26)</f>
        <v>1.2671179950000002</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7"/>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58.129635304776826</v>
      </c>
      <c r="E27" s="883">
        <f>HLOOKUP($B$2,'Consumption Input'!$E$5:$AQ$82,'Consumption Input'!$B32)</f>
        <v>297.48128442811611</v>
      </c>
      <c r="F27" s="883">
        <f>HLOOKUP($B$2,'Consumption Input'!$E$5:$AQ$82,'Consumption Input'!$B55)</f>
        <v>15200.709591607108</v>
      </c>
      <c r="G27" s="883"/>
      <c r="H27" s="883">
        <f>HLOOKUP($B$2,'US Territories'!$D$28:$Z$38,'US Territories'!$B36)</f>
        <v>84.563345963455063</v>
      </c>
      <c r="I27" s="883">
        <f t="shared" si="36"/>
        <v>15640.883857303457</v>
      </c>
      <c r="J27" s="961"/>
      <c r="K27" s="940"/>
      <c r="L27" s="940"/>
      <c r="M27" s="940"/>
      <c r="N27" s="885">
        <f t="shared" si="43"/>
        <v>0</v>
      </c>
      <c r="O27" s="883">
        <f t="shared" si="44"/>
        <v>58.129635304776826</v>
      </c>
      <c r="P27" s="883">
        <f t="shared" si="45"/>
        <v>297.48128442811611</v>
      </c>
      <c r="Q27" s="883">
        <f t="shared" si="46"/>
        <v>15200.709591607108</v>
      </c>
      <c r="R27" s="883">
        <f t="shared" si="47"/>
        <v>0</v>
      </c>
      <c r="S27" s="886">
        <f t="shared" si="48"/>
        <v>84.563345963455063</v>
      </c>
      <c r="T27" s="883">
        <f t="shared" si="7"/>
        <v>15640.883857303457</v>
      </c>
      <c r="U27" s="887">
        <f>HLOOKUP($B$2,Factors!$J$12:$Y$25,Factors!$H20)</f>
        <v>19.366735691249527</v>
      </c>
      <c r="V27" s="885">
        <f t="shared" si="49"/>
        <v>0</v>
      </c>
      <c r="W27" s="883">
        <f t="shared" si="50"/>
        <v>1.12578128277634</v>
      </c>
      <c r="X27" s="883">
        <f t="shared" si="51"/>
        <v>5.7612414086127481</v>
      </c>
      <c r="Y27" s="883">
        <f t="shared" si="52"/>
        <v>294.38812498009639</v>
      </c>
      <c r="Z27" s="883">
        <f t="shared" si="53"/>
        <v>0</v>
      </c>
      <c r="AA27" s="883">
        <f t="shared" si="54"/>
        <v>1.6377159704419268</v>
      </c>
      <c r="AB27" s="883">
        <f t="shared" si="37"/>
        <v>302.9128636419274</v>
      </c>
      <c r="AC27" s="888">
        <f>Factors!E34</f>
        <v>1</v>
      </c>
      <c r="AD27" s="885">
        <f t="shared" si="55"/>
        <v>0</v>
      </c>
      <c r="AE27" s="883">
        <f t="shared" si="56"/>
        <v>1.12578128277634</v>
      </c>
      <c r="AF27" s="883">
        <f t="shared" si="57"/>
        <v>5.7612414086127481</v>
      </c>
      <c r="AG27" s="883">
        <f>Y27*$AC44</f>
        <v>294.38812498009639</v>
      </c>
      <c r="AH27" s="883">
        <f t="shared" si="59"/>
        <v>0</v>
      </c>
      <c r="AI27" s="883">
        <f t="shared" si="60"/>
        <v>1.6377159704419268</v>
      </c>
      <c r="AJ27" s="889">
        <f t="shared" si="9"/>
        <v>302.9128636419274</v>
      </c>
      <c r="AK27" s="885">
        <f t="shared" si="30"/>
        <v>0</v>
      </c>
      <c r="AL27" s="883">
        <f t="shared" si="31"/>
        <v>4.1278647035132465</v>
      </c>
      <c r="AM27" s="883">
        <f t="shared" si="32"/>
        <v>21.124551831580074</v>
      </c>
      <c r="AN27" s="883">
        <f t="shared" si="33"/>
        <v>1079.4231249270201</v>
      </c>
      <c r="AO27" s="883">
        <f t="shared" si="34"/>
        <v>0</v>
      </c>
      <c r="AP27" s="883">
        <f t="shared" si="35"/>
        <v>6.0049585582870648</v>
      </c>
      <c r="AQ27" s="890">
        <f t="shared" si="38"/>
        <v>1110.6805000204006</v>
      </c>
    </row>
    <row r="28" spans="1:43">
      <c r="A28" s="817"/>
      <c r="B28" s="860" t="s">
        <v>1602</v>
      </c>
      <c r="C28" s="883"/>
      <c r="D28" s="883">
        <f>HLOOKUP($B$2,'Consumption Input'!$E$5:$AQ$82,'Consumption Input'!$B19)</f>
        <v>85.209000000000003</v>
      </c>
      <c r="E28" s="883">
        <f>HLOOKUP($B$2,'Consumption Input'!$E$5:$AQ$82,'Consumption Input'!$B33)</f>
        <v>173.25800000000001</v>
      </c>
      <c r="F28" s="883">
        <f>HLOOKUP($B$2,'Consumption Input'!$E$5:$AQ$82,'Consumption Input'!$B56)</f>
        <v>673.71</v>
      </c>
      <c r="G28" s="883">
        <f>HLOOKUP($B$2,'Consumption Input'!$E$5:$AQ$82,'Consumption Input'!$B61)</f>
        <v>1046.96</v>
      </c>
      <c r="H28" s="883">
        <f>HLOOKUP($B$2,'US Territories'!$D$28:$Z$38,'US Territories'!$B37)</f>
        <v>80.295848314525486</v>
      </c>
      <c r="I28" s="883">
        <f t="shared" si="36"/>
        <v>2059.4328483145255</v>
      </c>
      <c r="J28" s="961">
        <f>HLOOKUP($B$2,IBFConsumption,'International Bunker Fuels'!$B$9)</f>
        <v>594.80495348299996</v>
      </c>
      <c r="K28" s="940"/>
      <c r="L28" s="940"/>
      <c r="M28" s="940"/>
      <c r="N28" s="885">
        <f t="shared" si="43"/>
        <v>0</v>
      </c>
      <c r="O28" s="883">
        <f t="shared" si="44"/>
        <v>85.209000000000003</v>
      </c>
      <c r="P28" s="883">
        <f t="shared" si="45"/>
        <v>173.25800000000001</v>
      </c>
      <c r="Q28" s="883">
        <f t="shared" si="46"/>
        <v>78.905046517000073</v>
      </c>
      <c r="R28" s="883">
        <f t="shared" si="47"/>
        <v>1046.96</v>
      </c>
      <c r="S28" s="886">
        <f t="shared" si="48"/>
        <v>80.295848314525486</v>
      </c>
      <c r="T28" s="883">
        <f t="shared" si="7"/>
        <v>1464.6278948315255</v>
      </c>
      <c r="U28" s="887">
        <f>Factors!D36</f>
        <v>20.48</v>
      </c>
      <c r="V28" s="885">
        <f t="shared" si="49"/>
        <v>0</v>
      </c>
      <c r="W28" s="883">
        <f t="shared" si="50"/>
        <v>1.74508032</v>
      </c>
      <c r="X28" s="883">
        <f t="shared" si="51"/>
        <v>3.5483238400000006</v>
      </c>
      <c r="Y28" s="883">
        <f t="shared" si="52"/>
        <v>1.6159753526681615</v>
      </c>
      <c r="Z28" s="883">
        <f t="shared" si="53"/>
        <v>21.441740800000002</v>
      </c>
      <c r="AA28" s="883">
        <f t="shared" si="54"/>
        <v>1.6444589734814821</v>
      </c>
      <c r="AB28" s="883">
        <f t="shared" si="37"/>
        <v>29.995579286149646</v>
      </c>
      <c r="AC28" s="888">
        <f>Factors!E36</f>
        <v>1</v>
      </c>
      <c r="AD28" s="885">
        <f t="shared" si="55"/>
        <v>0</v>
      </c>
      <c r="AE28" s="883">
        <f t="shared" si="56"/>
        <v>1.74508032</v>
      </c>
      <c r="AF28" s="883">
        <f t="shared" si="57"/>
        <v>3.5483238400000006</v>
      </c>
      <c r="AG28" s="883">
        <f t="shared" si="58"/>
        <v>1.6159753526681615</v>
      </c>
      <c r="AH28" s="883">
        <f t="shared" si="59"/>
        <v>21.441740800000002</v>
      </c>
      <c r="AI28" s="883">
        <f t="shared" si="60"/>
        <v>1.6444589734814821</v>
      </c>
      <c r="AJ28" s="889">
        <f t="shared" si="9"/>
        <v>29.995579286149646</v>
      </c>
      <c r="AK28" s="885">
        <f t="shared" si="30"/>
        <v>0</v>
      </c>
      <c r="AL28" s="883">
        <f t="shared" si="31"/>
        <v>6.3986278399999996</v>
      </c>
      <c r="AM28" s="883">
        <f t="shared" si="32"/>
        <v>13.010520746666668</v>
      </c>
      <c r="AN28" s="883">
        <f t="shared" si="33"/>
        <v>5.925242959783259</v>
      </c>
      <c r="AO28" s="883">
        <f t="shared" si="34"/>
        <v>78.619716266666671</v>
      </c>
      <c r="AP28" s="883">
        <f t="shared" si="35"/>
        <v>6.0296829027654342</v>
      </c>
      <c r="AQ28" s="890">
        <f t="shared" si="38"/>
        <v>109.98379071588202</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7"/>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4.0030639999999993</v>
      </c>
      <c r="F30" s="883"/>
      <c r="G30" s="883"/>
      <c r="H30" s="883"/>
      <c r="I30" s="883">
        <f t="shared" si="36"/>
        <v>4.0030639999999993</v>
      </c>
      <c r="J30" s="961"/>
      <c r="K30" s="940"/>
      <c r="L30" s="940"/>
      <c r="M30" s="940"/>
      <c r="N30" s="885">
        <f t="shared" si="43"/>
        <v>0</v>
      </c>
      <c r="O30" s="883">
        <f t="shared" si="44"/>
        <v>0</v>
      </c>
      <c r="P30" s="883">
        <f t="shared" si="45"/>
        <v>4.0030639999999993</v>
      </c>
      <c r="Q30" s="883">
        <f t="shared" si="46"/>
        <v>0</v>
      </c>
      <c r="R30" s="883">
        <f t="shared" si="47"/>
        <v>0</v>
      </c>
      <c r="S30" s="886">
        <f t="shared" si="48"/>
        <v>0</v>
      </c>
      <c r="T30" s="883">
        <f t="shared" si="7"/>
        <v>4.0030639999999993</v>
      </c>
      <c r="U30" s="887">
        <f>Factors!D39</f>
        <v>18.87</v>
      </c>
      <c r="V30" s="885">
        <f t="shared" si="49"/>
        <v>0</v>
      </c>
      <c r="W30" s="883">
        <f t="shared" si="50"/>
        <v>0</v>
      </c>
      <c r="X30" s="883">
        <f t="shared" si="51"/>
        <v>7.5537817679999994E-2</v>
      </c>
      <c r="Y30" s="883">
        <f t="shared" si="52"/>
        <v>0</v>
      </c>
      <c r="Z30" s="883">
        <f t="shared" si="53"/>
        <v>0</v>
      </c>
      <c r="AA30" s="883">
        <f t="shared" si="54"/>
        <v>0</v>
      </c>
      <c r="AB30" s="883">
        <f t="shared" si="37"/>
        <v>7.5537817679999994E-2</v>
      </c>
      <c r="AC30" s="888">
        <f>Factors!E39</f>
        <v>1</v>
      </c>
      <c r="AD30" s="885">
        <f t="shared" si="55"/>
        <v>0</v>
      </c>
      <c r="AE30" s="883">
        <f t="shared" si="56"/>
        <v>0</v>
      </c>
      <c r="AF30" s="883">
        <f t="shared" si="57"/>
        <v>7.5537817679999994E-2</v>
      </c>
      <c r="AG30" s="883">
        <f t="shared" si="58"/>
        <v>0</v>
      </c>
      <c r="AH30" s="883">
        <f t="shared" si="59"/>
        <v>0</v>
      </c>
      <c r="AI30" s="883">
        <f t="shared" si="60"/>
        <v>0</v>
      </c>
      <c r="AJ30" s="889">
        <f t="shared" si="9"/>
        <v>7.5537817679999994E-2</v>
      </c>
      <c r="AK30" s="885">
        <f t="shared" si="30"/>
        <v>0</v>
      </c>
      <c r="AL30" s="883">
        <f t="shared" si="31"/>
        <v>0</v>
      </c>
      <c r="AM30" s="883">
        <f t="shared" si="32"/>
        <v>0.27697199815999995</v>
      </c>
      <c r="AN30" s="883">
        <f t="shared" si="33"/>
        <v>0</v>
      </c>
      <c r="AO30" s="883">
        <f t="shared" si="34"/>
        <v>0</v>
      </c>
      <c r="AP30" s="883">
        <f t="shared" si="35"/>
        <v>0</v>
      </c>
      <c r="AQ30" s="890">
        <f t="shared" si="38"/>
        <v>0.27697199815999995</v>
      </c>
    </row>
    <row r="31" spans="1:43">
      <c r="A31" s="817"/>
      <c r="B31" s="865" t="s">
        <v>1612</v>
      </c>
      <c r="C31" s="883"/>
      <c r="D31" s="883"/>
      <c r="E31" s="883">
        <f>HLOOKUP($B$2,'Consumption Input'!$E$5:$AQ$82,'Consumption Input'!$B36)</f>
        <v>0</v>
      </c>
      <c r="F31" s="883"/>
      <c r="G31" s="883"/>
      <c r="H31" s="883"/>
      <c r="I31" s="883">
        <f t="shared" si="36"/>
        <v>0</v>
      </c>
      <c r="J31" s="961"/>
      <c r="K31" s="940"/>
      <c r="L31" s="940"/>
      <c r="M31" s="940"/>
      <c r="N31" s="885">
        <f t="shared" si="43"/>
        <v>0</v>
      </c>
      <c r="O31" s="883">
        <f t="shared" si="44"/>
        <v>0</v>
      </c>
      <c r="P31" s="883">
        <f t="shared" si="45"/>
        <v>0</v>
      </c>
      <c r="Q31" s="883">
        <f t="shared" si="46"/>
        <v>0</v>
      </c>
      <c r="R31" s="883">
        <f t="shared" si="47"/>
        <v>0</v>
      </c>
      <c r="S31" s="886">
        <f t="shared" si="48"/>
        <v>0</v>
      </c>
      <c r="T31" s="883">
        <f t="shared" si="7"/>
        <v>0</v>
      </c>
      <c r="U31" s="887">
        <f>HLOOKUP($B$2,Factors!$J$12:$Y$25,Factors!$H25)</f>
        <v>20.222203400344828</v>
      </c>
      <c r="V31" s="885">
        <f t="shared" si="49"/>
        <v>0</v>
      </c>
      <c r="W31" s="883">
        <f t="shared" si="50"/>
        <v>0</v>
      </c>
      <c r="X31" s="883">
        <f t="shared" si="51"/>
        <v>0</v>
      </c>
      <c r="Y31" s="883">
        <f t="shared" si="52"/>
        <v>0</v>
      </c>
      <c r="Z31" s="883">
        <f t="shared" si="53"/>
        <v>0</v>
      </c>
      <c r="AA31" s="883">
        <f t="shared" si="54"/>
        <v>0</v>
      </c>
      <c r="AB31" s="883">
        <f t="shared" si="37"/>
        <v>0</v>
      </c>
      <c r="AC31" s="888">
        <f>Factors!E40</f>
        <v>1</v>
      </c>
      <c r="AD31" s="885">
        <f t="shared" si="55"/>
        <v>0</v>
      </c>
      <c r="AE31" s="883">
        <f t="shared" si="56"/>
        <v>0</v>
      </c>
      <c r="AF31" s="883">
        <f t="shared" si="57"/>
        <v>0</v>
      </c>
      <c r="AG31" s="883">
        <f t="shared" si="58"/>
        <v>0</v>
      </c>
      <c r="AH31" s="883">
        <f t="shared" si="59"/>
        <v>0</v>
      </c>
      <c r="AI31" s="883">
        <f t="shared" si="60"/>
        <v>0</v>
      </c>
      <c r="AJ31" s="889">
        <f t="shared" si="9"/>
        <v>0</v>
      </c>
      <c r="AK31" s="885">
        <f t="shared" si="30"/>
        <v>0</v>
      </c>
      <c r="AL31" s="883">
        <f t="shared" si="31"/>
        <v>0</v>
      </c>
      <c r="AM31" s="883">
        <f t="shared" si="32"/>
        <v>0</v>
      </c>
      <c r="AN31" s="883">
        <f t="shared" si="33"/>
        <v>0</v>
      </c>
      <c r="AO31" s="883">
        <f t="shared" si="34"/>
        <v>0</v>
      </c>
      <c r="AP31" s="883">
        <f t="shared" si="35"/>
        <v>0</v>
      </c>
      <c r="AQ31" s="890">
        <f t="shared" si="38"/>
        <v>0</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887">
        <f>HLOOKUP($B$2,Factors!$J$12:$Y$25,Factors!$H22)</f>
        <v>19.366735691249527</v>
      </c>
      <c r="V32" s="885">
        <f t="shared" si="49"/>
        <v>0</v>
      </c>
      <c r="W32" s="883">
        <f t="shared" si="50"/>
        <v>0</v>
      </c>
      <c r="X32" s="883">
        <f t="shared" si="51"/>
        <v>0</v>
      </c>
      <c r="Y32" s="883">
        <f t="shared" si="52"/>
        <v>0</v>
      </c>
      <c r="Z32" s="883">
        <f t="shared" si="53"/>
        <v>0</v>
      </c>
      <c r="AA32" s="883">
        <f t="shared" si="54"/>
        <v>0</v>
      </c>
      <c r="AB32" s="883">
        <f t="shared" si="37"/>
        <v>0</v>
      </c>
      <c r="AC32" s="888">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30"/>
        <v>0</v>
      </c>
      <c r="AL32" s="883">
        <f t="shared" si="31"/>
        <v>0</v>
      </c>
      <c r="AM32" s="883">
        <f t="shared" si="32"/>
        <v>0</v>
      </c>
      <c r="AN32" s="883">
        <f t="shared" si="33"/>
        <v>0</v>
      </c>
      <c r="AO32" s="883">
        <f t="shared" si="34"/>
        <v>0</v>
      </c>
      <c r="AP32" s="883">
        <f t="shared" si="35"/>
        <v>0</v>
      </c>
      <c r="AQ32" s="890">
        <f t="shared" si="38"/>
        <v>0</v>
      </c>
    </row>
    <row r="33" spans="1:43">
      <c r="A33" s="817"/>
      <c r="B33" s="865" t="s">
        <v>1739</v>
      </c>
      <c r="C33" s="883"/>
      <c r="D33" s="883"/>
      <c r="E33" s="883">
        <f>HLOOKUP($B$2,'Consumption Input'!$E$5:$AQ$82,'Consumption Input'!$B38)</f>
        <v>118.98608400000001</v>
      </c>
      <c r="F33" s="883"/>
      <c r="G33" s="883"/>
      <c r="H33" s="883">
        <f>HLOOKUP($B$2,'US Territories'!$D$28:$Z$38,'US Territories'!$B$38)</f>
        <v>75.335247900835483</v>
      </c>
      <c r="I33" s="883">
        <f t="shared" si="36"/>
        <v>194.3213319008355</v>
      </c>
      <c r="J33" s="961"/>
      <c r="K33" s="940">
        <f>HLOOKUP($B$2,NEUConsumption,'Non-Energy Use'!C22)</f>
        <v>118.98608400000001</v>
      </c>
      <c r="L33" s="940"/>
      <c r="M33" s="940">
        <f>HLOOKUP($B$2,NEUConsumption,'Non-Energy Use'!$C$27)</f>
        <v>75.335247900835483</v>
      </c>
      <c r="N33" s="885">
        <f t="shared" si="43"/>
        <v>0</v>
      </c>
      <c r="O33" s="883">
        <f t="shared" si="44"/>
        <v>0</v>
      </c>
      <c r="P33" s="883">
        <f t="shared" si="45"/>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7"/>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583.99219200000005</v>
      </c>
      <c r="F34" s="883"/>
      <c r="G34" s="883"/>
      <c r="H34" s="883"/>
      <c r="I34" s="883">
        <f t="shared" si="36"/>
        <v>583.99219200000005</v>
      </c>
      <c r="J34" s="961"/>
      <c r="K34" s="940">
        <f>HLOOKUP($B$2,NEUConsumption,'Non-Energy Use'!C14)</f>
        <v>583.99219200000005</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7"/>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818.66880000000003</v>
      </c>
      <c r="F35" s="883"/>
      <c r="G35" s="883"/>
      <c r="H35" s="883"/>
      <c r="I35" s="883">
        <f t="shared" si="36"/>
        <v>818.66880000000003</v>
      </c>
      <c r="J35" s="961"/>
      <c r="K35" s="940">
        <f>HLOOKUP($B$2,NEUConsumption,'Non-Energy Use'!$C$15)</f>
        <v>818.66880000000003</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7"/>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7"/>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0.126</v>
      </c>
      <c r="E37" s="883">
        <f>HLOOKUP($B$2,'Consumption Input'!$E$5:$AQ$82,'Consumption Input'!$B42)</f>
        <v>858.48500000000001</v>
      </c>
      <c r="F37" s="883"/>
      <c r="G37" s="883">
        <f>HLOOKUP($B$2,'Consumption Input'!$E$5:$AQ$82,'Consumption Input'!$B63)</f>
        <v>123.55399999999999</v>
      </c>
      <c r="H37" s="883"/>
      <c r="I37" s="883">
        <f t="shared" si="36"/>
        <v>982.16499999999996</v>
      </c>
      <c r="J37" s="961"/>
      <c r="K37" s="940">
        <f>HLOOKUP($B$2,NEUConsumption,'Non-Energy Use'!$C$17)</f>
        <v>150.76418520000007</v>
      </c>
      <c r="L37" s="940"/>
      <c r="M37" s="940"/>
      <c r="N37" s="885">
        <f t="shared" si="43"/>
        <v>0</v>
      </c>
      <c r="O37" s="883">
        <f t="shared" si="44"/>
        <v>0.126</v>
      </c>
      <c r="P37" s="883">
        <f t="shared" si="45"/>
        <v>707.72081479999997</v>
      </c>
      <c r="Q37" s="883">
        <f t="shared" si="46"/>
        <v>0</v>
      </c>
      <c r="R37" s="883">
        <f t="shared" si="47"/>
        <v>123.55399999999999</v>
      </c>
      <c r="S37" s="886">
        <f t="shared" si="48"/>
        <v>0</v>
      </c>
      <c r="T37" s="883">
        <f t="shared" si="7"/>
        <v>831.40081479999992</v>
      </c>
      <c r="U37" s="887">
        <f>Factors!D48</f>
        <v>27.84770010865628</v>
      </c>
      <c r="V37" s="885">
        <f t="shared" si="49"/>
        <v>0</v>
      </c>
      <c r="W37" s="883">
        <f t="shared" si="50"/>
        <v>3.5088102136906912E-3</v>
      </c>
      <c r="X37" s="883">
        <f t="shared" si="51"/>
        <v>19.708397011204269</v>
      </c>
      <c r="Y37" s="883">
        <f t="shared" si="52"/>
        <v>0</v>
      </c>
      <c r="Z37" s="883">
        <f t="shared" si="53"/>
        <v>3.4406947392249179</v>
      </c>
      <c r="AA37" s="883">
        <f t="shared" si="54"/>
        <v>0</v>
      </c>
      <c r="AB37" s="883">
        <f t="shared" si="37"/>
        <v>23.152600560642878</v>
      </c>
      <c r="AC37" s="888">
        <f>Factors!E48</f>
        <v>1</v>
      </c>
      <c r="AD37" s="885">
        <f t="shared" si="55"/>
        <v>0</v>
      </c>
      <c r="AE37" s="883">
        <f t="shared" si="56"/>
        <v>3.5088102136906912E-3</v>
      </c>
      <c r="AF37" s="883">
        <f t="shared" si="57"/>
        <v>19.708397011204269</v>
      </c>
      <c r="AG37" s="883">
        <f t="shared" si="58"/>
        <v>0</v>
      </c>
      <c r="AH37" s="883">
        <f t="shared" si="59"/>
        <v>3.4406947392249179</v>
      </c>
      <c r="AI37" s="883">
        <f t="shared" si="60"/>
        <v>0</v>
      </c>
      <c r="AJ37" s="889">
        <f t="shared" si="9"/>
        <v>23.152600560642878</v>
      </c>
      <c r="AK37" s="885">
        <f t="shared" si="30"/>
        <v>0</v>
      </c>
      <c r="AL37" s="883">
        <f t="shared" si="31"/>
        <v>1.28656374501992E-2</v>
      </c>
      <c r="AM37" s="883">
        <f t="shared" si="32"/>
        <v>72.264122374415649</v>
      </c>
      <c r="AN37" s="883">
        <f t="shared" si="33"/>
        <v>0</v>
      </c>
      <c r="AO37" s="883">
        <f t="shared" si="34"/>
        <v>12.615880710491364</v>
      </c>
      <c r="AP37" s="883">
        <f t="shared" si="35"/>
        <v>0</v>
      </c>
      <c r="AQ37" s="890">
        <f t="shared" si="38"/>
        <v>84.892868722357221</v>
      </c>
    </row>
    <row r="38" spans="1:43">
      <c r="A38" s="817"/>
      <c r="B38" s="865" t="s">
        <v>1618</v>
      </c>
      <c r="C38" s="883"/>
      <c r="D38" s="883"/>
      <c r="E38" s="883">
        <f>HLOOKUP($B$2,'Consumption Input'!$E$5:$AQ$82,'Consumption Input'!$B43)</f>
        <v>1437.2339999999999</v>
      </c>
      <c r="F38" s="883"/>
      <c r="G38" s="883"/>
      <c r="H38" s="883"/>
      <c r="I38" s="883">
        <f t="shared" si="36"/>
        <v>1437.2339999999999</v>
      </c>
      <c r="J38" s="961"/>
      <c r="K38" s="940">
        <f>HLOOKUP($B$2,NEUConsumption,'Non-Energy Use'!$C$16)</f>
        <v>6.2039999999999154</v>
      </c>
      <c r="L38" s="940"/>
      <c r="M38" s="940"/>
      <c r="N38" s="885">
        <f t="shared" si="43"/>
        <v>0</v>
      </c>
      <c r="O38" s="883">
        <f t="shared" si="44"/>
        <v>0</v>
      </c>
      <c r="P38" s="883">
        <f t="shared" si="45"/>
        <v>1431.03</v>
      </c>
      <c r="Q38" s="883">
        <f t="shared" si="46"/>
        <v>0</v>
      </c>
      <c r="R38" s="883">
        <f t="shared" si="47"/>
        <v>0</v>
      </c>
      <c r="S38" s="886">
        <f t="shared" si="48"/>
        <v>0</v>
      </c>
      <c r="T38" s="883">
        <f t="shared" si="7"/>
        <v>1431.03</v>
      </c>
      <c r="U38" s="887">
        <f>Factors!D51</f>
        <v>18.195454545454545</v>
      </c>
      <c r="V38" s="885">
        <f t="shared" si="49"/>
        <v>0</v>
      </c>
      <c r="W38" s="883">
        <f t="shared" si="50"/>
        <v>0</v>
      </c>
      <c r="X38" s="883">
        <f t="shared" si="51"/>
        <v>26.038241318181822</v>
      </c>
      <c r="Y38" s="883">
        <f t="shared" si="52"/>
        <v>0</v>
      </c>
      <c r="Z38" s="883">
        <f t="shared" si="53"/>
        <v>0</v>
      </c>
      <c r="AA38" s="883">
        <f t="shared" si="54"/>
        <v>0</v>
      </c>
      <c r="AB38" s="883">
        <f t="shared" si="37"/>
        <v>26.038241318181822</v>
      </c>
      <c r="AC38" s="888">
        <f>Factors!E51</f>
        <v>1</v>
      </c>
      <c r="AD38" s="885">
        <f t="shared" si="55"/>
        <v>0</v>
      </c>
      <c r="AE38" s="883">
        <f t="shared" si="56"/>
        <v>0</v>
      </c>
      <c r="AF38" s="883">
        <f t="shared" si="57"/>
        <v>26.038241318181822</v>
      </c>
      <c r="AG38" s="883">
        <f t="shared" si="58"/>
        <v>0</v>
      </c>
      <c r="AH38" s="883">
        <f t="shared" si="59"/>
        <v>0</v>
      </c>
      <c r="AI38" s="883">
        <f t="shared" si="60"/>
        <v>0</v>
      </c>
      <c r="AJ38" s="889">
        <f t="shared" si="9"/>
        <v>26.038241318181822</v>
      </c>
      <c r="AK38" s="885">
        <f t="shared" si="30"/>
        <v>0</v>
      </c>
      <c r="AL38" s="883">
        <f t="shared" si="31"/>
        <v>0</v>
      </c>
      <c r="AM38" s="883">
        <f t="shared" si="32"/>
        <v>95.473551500000013</v>
      </c>
      <c r="AN38" s="883">
        <f t="shared" si="33"/>
        <v>0</v>
      </c>
      <c r="AO38" s="883">
        <f t="shared" si="34"/>
        <v>0</v>
      </c>
      <c r="AP38" s="883">
        <f t="shared" si="35"/>
        <v>0</v>
      </c>
      <c r="AQ38" s="890">
        <f t="shared" si="38"/>
        <v>95.473551500000013</v>
      </c>
    </row>
    <row r="39" spans="1:43">
      <c r="A39" s="817"/>
      <c r="B39" s="865" t="s">
        <v>1619</v>
      </c>
      <c r="C39" s="883"/>
      <c r="D39" s="883"/>
      <c r="E39" s="883">
        <f>HLOOKUP($B$2,'Consumption Input'!$E$5:$AQ$82,'Consumption Input'!$B44)</f>
        <v>107.274368</v>
      </c>
      <c r="F39" s="883"/>
      <c r="G39" s="883"/>
      <c r="H39" s="883"/>
      <c r="I39" s="883">
        <f t="shared" si="36"/>
        <v>107.274368</v>
      </c>
      <c r="J39" s="961"/>
      <c r="K39" s="940">
        <f>HLOOKUP($B$2,NEUConsumption,'Non-Energy Use'!$C$18)</f>
        <v>107.274368</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7"/>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20.222203400344828</v>
      </c>
      <c r="V40" s="885">
        <f t="shared" si="49"/>
        <v>0</v>
      </c>
      <c r="W40" s="883">
        <f t="shared" si="50"/>
        <v>0</v>
      </c>
      <c r="X40" s="883">
        <f t="shared" si="51"/>
        <v>0</v>
      </c>
      <c r="Y40" s="883">
        <f t="shared" si="52"/>
        <v>0</v>
      </c>
      <c r="Z40" s="883">
        <f t="shared" si="53"/>
        <v>0</v>
      </c>
      <c r="AA40" s="883">
        <f t="shared" si="54"/>
        <v>0</v>
      </c>
      <c r="AB40" s="883">
        <f t="shared" si="37"/>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42.369123999999999</v>
      </c>
      <c r="F41" s="883"/>
      <c r="G41" s="883"/>
      <c r="H41" s="883"/>
      <c r="I41" s="883">
        <f t="shared" si="36"/>
        <v>42.369123999999999</v>
      </c>
      <c r="J41" s="961"/>
      <c r="K41" s="940">
        <f>HLOOKUP($B$2,NEUConsumption,'Non-Energy Use'!$C$21)</f>
        <v>42.369123999999999</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7"/>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50.408609775284006</v>
      </c>
      <c r="H42" s="917"/>
      <c r="I42" s="917">
        <f>G42</f>
        <v>50.408609775284006</v>
      </c>
      <c r="J42" s="968"/>
      <c r="K42" s="969"/>
      <c r="L42" s="970"/>
      <c r="M42" s="971"/>
      <c r="N42" s="917">
        <f t="shared" si="43"/>
        <v>0</v>
      </c>
      <c r="O42" s="917">
        <f t="shared" si="44"/>
        <v>0</v>
      </c>
      <c r="P42" s="917">
        <f>E42</f>
        <v>0</v>
      </c>
      <c r="Q42" s="917">
        <f>F42</f>
        <v>0</v>
      </c>
      <c r="R42" s="917">
        <f t="shared" si="47"/>
        <v>50.408609775284006</v>
      </c>
      <c r="S42" s="917">
        <f>H42</f>
        <v>0</v>
      </c>
      <c r="T42" s="917">
        <f t="shared" si="7"/>
        <v>50.408609775284006</v>
      </c>
      <c r="U42" s="921">
        <f>Factors!D56</f>
        <v>2.6974658424810825</v>
      </c>
      <c r="V42" s="917"/>
      <c r="W42" s="917"/>
      <c r="X42" s="917"/>
      <c r="Y42" s="917"/>
      <c r="Z42" s="917">
        <f>INDEX(Geothermal!$C$14:$AE$18,MATCH("Total",Geothermal!$C$14:$C$18,0),MATCH($B$2,Geothermal!$C$14:$AE$14,0))/CtoCO2</f>
        <v>0.13038641373359539</v>
      </c>
      <c r="AA42" s="917"/>
      <c r="AB42" s="917">
        <f t="shared" si="37"/>
        <v>0.13038641373359539</v>
      </c>
      <c r="AC42" s="921">
        <f>Factors!$E$56</f>
        <v>1</v>
      </c>
      <c r="AD42" s="917">
        <f t="shared" si="55"/>
        <v>0</v>
      </c>
      <c r="AE42" s="917">
        <f t="shared" si="56"/>
        <v>0</v>
      </c>
      <c r="AF42" s="917">
        <f t="shared" si="57"/>
        <v>0</v>
      </c>
      <c r="AG42" s="917">
        <f t="shared" si="58"/>
        <v>0</v>
      </c>
      <c r="AH42" s="917">
        <f t="shared" si="59"/>
        <v>0.13038641373359539</v>
      </c>
      <c r="AI42" s="917">
        <f t="shared" si="60"/>
        <v>0</v>
      </c>
      <c r="AJ42" s="920">
        <f t="shared" si="9"/>
        <v>0.13038641373359539</v>
      </c>
      <c r="AK42" s="919">
        <f t="shared" si="30"/>
        <v>0</v>
      </c>
      <c r="AL42" s="917">
        <f t="shared" si="31"/>
        <v>0</v>
      </c>
      <c r="AM42" s="917">
        <f t="shared" si="32"/>
        <v>0</v>
      </c>
      <c r="AN42" s="917">
        <f t="shared" si="33"/>
        <v>0</v>
      </c>
      <c r="AO42" s="917">
        <f t="shared" si="34"/>
        <v>0.47808351702318308</v>
      </c>
      <c r="AP42" s="917">
        <f t="shared" si="35"/>
        <v>0</v>
      </c>
      <c r="AQ42" s="920">
        <f t="shared" si="38"/>
        <v>0.47808351702318308</v>
      </c>
    </row>
    <row r="43" spans="1:43" ht="11.1" thickBot="1">
      <c r="A43" s="817"/>
      <c r="B43" s="867" t="s">
        <v>1740</v>
      </c>
      <c r="C43" s="922">
        <f>C8+C17+C18+C42</f>
        <v>5863.1331198696553</v>
      </c>
      <c r="D43" s="922">
        <f>D8+D17+D18+D42</f>
        <v>3842.499007357449</v>
      </c>
      <c r="E43" s="922">
        <f>E8+E17+E18+E42</f>
        <v>19653.919969433726</v>
      </c>
      <c r="F43" s="922">
        <f>F8+F17+F18+F42</f>
        <v>25244.655594583299</v>
      </c>
      <c r="G43" s="922">
        <f>G8+G17+G18+G42</f>
        <v>25247.085609775288</v>
      </c>
      <c r="H43" s="922">
        <f>H16+H17+H18+H42</f>
        <v>341.81780602641896</v>
      </c>
      <c r="I43" s="922">
        <f>SUM(C43:H43)</f>
        <v>80193.111107045828</v>
      </c>
      <c r="J43" s="972">
        <f t="shared" ref="J43:S43" si="65">J8+J17+J18+J42</f>
        <v>1503.8475432209721</v>
      </c>
      <c r="K43" s="973">
        <f t="shared" si="65"/>
        <v>5457.9370807142568</v>
      </c>
      <c r="L43" s="974">
        <f t="shared" si="65"/>
        <v>180.21199999999999</v>
      </c>
      <c r="M43" s="975">
        <f t="shared" si="65"/>
        <v>76.60236589583549</v>
      </c>
      <c r="N43" s="922">
        <f t="shared" si="65"/>
        <v>5863.1331198696553</v>
      </c>
      <c r="O43" s="922">
        <f t="shared" si="65"/>
        <v>3842.499007357449</v>
      </c>
      <c r="P43" s="922">
        <f t="shared" si="65"/>
        <v>14195.982888719467</v>
      </c>
      <c r="Q43" s="922">
        <f t="shared" si="65"/>
        <v>23560.596051362329</v>
      </c>
      <c r="R43" s="922">
        <f t="shared" si="65"/>
        <v>25247.085609775288</v>
      </c>
      <c r="S43" s="922">
        <f t="shared" si="65"/>
        <v>265.21544013058343</v>
      </c>
      <c r="T43" s="922">
        <f t="shared" si="7"/>
        <v>72974.512117214777</v>
      </c>
      <c r="U43" s="926" t="s">
        <v>1731</v>
      </c>
      <c r="V43" s="922">
        <f t="shared" ref="V43:AA43" si="66">V8+V17+V18+V42</f>
        <v>90.439134261285318</v>
      </c>
      <c r="W43" s="922">
        <f t="shared" si="66"/>
        <v>60.032183863241862</v>
      </c>
      <c r="X43" s="922">
        <f t="shared" si="66"/>
        <v>246.17836292542856</v>
      </c>
      <c r="Y43" s="922">
        <f t="shared" si="66"/>
        <v>457.88736479402212</v>
      </c>
      <c r="Z43" s="922">
        <f t="shared" si="66"/>
        <v>593.60580685997888</v>
      </c>
      <c r="AA43" s="922">
        <f t="shared" si="66"/>
        <v>5.3032543893544428</v>
      </c>
      <c r="AB43" s="922">
        <f t="shared" si="37"/>
        <v>1453.4461070933112</v>
      </c>
      <c r="AC43" s="926" t="s">
        <v>1731</v>
      </c>
      <c r="AD43" s="922">
        <f t="shared" ref="AD43:AQ43" si="67">AD8+AD17+AD18+AD42</f>
        <v>90.439134261285318</v>
      </c>
      <c r="AE43" s="922">
        <f t="shared" si="67"/>
        <v>60.032183863241862</v>
      </c>
      <c r="AF43" s="922">
        <f t="shared" si="67"/>
        <v>246.17836292542856</v>
      </c>
      <c r="AG43" s="922">
        <f t="shared" si="67"/>
        <v>457.88736479402212</v>
      </c>
      <c r="AH43" s="922">
        <f t="shared" si="67"/>
        <v>593.60580685997888</v>
      </c>
      <c r="AI43" s="922">
        <f t="shared" si="67"/>
        <v>5.3032543893544428</v>
      </c>
      <c r="AJ43" s="925">
        <f t="shared" si="67"/>
        <v>1453.4461070933112</v>
      </c>
      <c r="AK43" s="922">
        <f t="shared" si="67"/>
        <v>331.61015895804616</v>
      </c>
      <c r="AL43" s="922">
        <f t="shared" si="67"/>
        <v>220.11800749855348</v>
      </c>
      <c r="AM43" s="922">
        <f t="shared" si="67"/>
        <v>902.65399739323789</v>
      </c>
      <c r="AN43" s="922">
        <f t="shared" si="67"/>
        <v>1678.920337578081</v>
      </c>
      <c r="AO43" s="922">
        <f t="shared" si="67"/>
        <v>2176.5546251532555</v>
      </c>
      <c r="AP43" s="922">
        <f t="shared" si="67"/>
        <v>19.445266094299622</v>
      </c>
      <c r="AQ43" s="925">
        <f t="shared" si="67"/>
        <v>5329.302392675474</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2"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ransitionEvaluation="1" transitionEntry="1" codeName="Sheet21">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3" width="7" style="152" customWidth="1"/>
    <col min="14" max="14" width="8.6640625" style="152" customWidth="1"/>
    <col min="15" max="15" width="9.66406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1999</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1750</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13.981</v>
      </c>
      <c r="D8" s="876">
        <f t="shared" si="4"/>
        <v>102.524</v>
      </c>
      <c r="E8" s="876">
        <f t="shared" si="4"/>
        <v>1451.0195799134322</v>
      </c>
      <c r="F8" s="876">
        <f t="shared" si="4"/>
        <v>0</v>
      </c>
      <c r="G8" s="876">
        <f t="shared" si="4"/>
        <v>19279.487000000001</v>
      </c>
      <c r="H8" s="876">
        <f t="shared" si="4"/>
        <v>4.5598763479999995</v>
      </c>
      <c r="I8" s="876">
        <f t="shared" ref="I8:I14" si="5">SUM(C8:H8)</f>
        <v>20851.571456261434</v>
      </c>
      <c r="J8" s="959"/>
      <c r="K8" s="960">
        <f>SUM(K9:K16)</f>
        <v>50.366419540700434</v>
      </c>
      <c r="L8" s="960">
        <f>SUM(L9:L16)</f>
        <v>0</v>
      </c>
      <c r="M8" s="960"/>
      <c r="N8" s="878">
        <f t="shared" ref="N8:S8" si="6">SUM(N9:N16)</f>
        <v>13.981</v>
      </c>
      <c r="O8" s="876">
        <f t="shared" si="6"/>
        <v>102.524</v>
      </c>
      <c r="P8" s="876">
        <f t="shared" si="6"/>
        <v>1400.6531603727317</v>
      </c>
      <c r="Q8" s="876">
        <f t="shared" si="6"/>
        <v>0</v>
      </c>
      <c r="R8" s="876">
        <f t="shared" si="6"/>
        <v>19279.487000000001</v>
      </c>
      <c r="S8" s="879">
        <f t="shared" si="6"/>
        <v>4.5598763479999995</v>
      </c>
      <c r="T8" s="876">
        <f t="shared" ref="T8:T43" si="7">SUM(N8:S8)</f>
        <v>20801.205036720734</v>
      </c>
      <c r="U8" s="880" t="s">
        <v>1731</v>
      </c>
      <c r="V8" s="876">
        <f>SUM(V9:V16)</f>
        <v>0.36311947601733591</v>
      </c>
      <c r="W8" s="876">
        <f>SUM(W9:W16)</f>
        <v>2.6627895829483839</v>
      </c>
      <c r="X8" s="876">
        <f>SUM(X9:X16)</f>
        <v>36.131097127168566</v>
      </c>
      <c r="Y8" s="876"/>
      <c r="Z8" s="876">
        <f>SUM(Z9:Z16)</f>
        <v>500.56424564434161</v>
      </c>
      <c r="AA8" s="876">
        <f>SUM(AA9:AA16)</f>
        <v>0.11463529138872</v>
      </c>
      <c r="AB8" s="876">
        <f t="shared" ref="AB8:AB13" si="8">SUM(V8:AA8)</f>
        <v>539.83588712186463</v>
      </c>
      <c r="AC8" s="881" t="s">
        <v>1731</v>
      </c>
      <c r="AD8" s="878">
        <f>SUM(AD9:AD16)</f>
        <v>0.36311947601733591</v>
      </c>
      <c r="AE8" s="876">
        <f>SUM(AE9:AE16)</f>
        <v>2.6627895829483839</v>
      </c>
      <c r="AF8" s="876">
        <f>SUM(AF9:AF16)</f>
        <v>36.131097127168566</v>
      </c>
      <c r="AG8" s="876" t="s">
        <v>108</v>
      </c>
      <c r="AH8" s="876">
        <f>SUM(AH9:AH16)</f>
        <v>500.56424564434161</v>
      </c>
      <c r="AI8" s="876">
        <f>SUM(AI9:AI16)</f>
        <v>0.11463529138872</v>
      </c>
      <c r="AJ8" s="876">
        <f t="shared" ref="AJ8:AJ42" si="9">SUM(AD8:AI8)</f>
        <v>539.83588712186463</v>
      </c>
      <c r="AK8" s="878">
        <f t="shared" ref="AK8:AP8" si="10">SUM(AK9:AK16)</f>
        <v>1.3314380787302316</v>
      </c>
      <c r="AL8" s="876">
        <f t="shared" si="10"/>
        <v>9.7635618041440733</v>
      </c>
      <c r="AM8" s="876">
        <f t="shared" si="10"/>
        <v>132.48068946628473</v>
      </c>
      <c r="AN8" s="876">
        <f t="shared" si="10"/>
        <v>0</v>
      </c>
      <c r="AO8" s="876">
        <f t="shared" si="10"/>
        <v>1835.4022340292524</v>
      </c>
      <c r="AP8" s="876">
        <f t="shared" si="10"/>
        <v>0.42032940175863998</v>
      </c>
      <c r="AQ8" s="882">
        <f t="shared" ref="AQ8:AQ14" si="11">SUM(AK8:AP8)</f>
        <v>1979.3982527801702</v>
      </c>
    </row>
    <row r="9" spans="1:43">
      <c r="A9" s="817"/>
      <c r="B9" s="860" t="s">
        <v>1732</v>
      </c>
      <c r="C9" s="883">
        <f>HLOOKUP($B$2,'Consumption Input'!$E$5:$AQ$82,'Consumption Input'!$B7)</f>
        <v>13.981</v>
      </c>
      <c r="D9" s="883"/>
      <c r="E9" s="883"/>
      <c r="F9" s="883"/>
      <c r="G9" s="883"/>
      <c r="H9" s="883"/>
      <c r="I9" s="883">
        <f t="shared" si="5"/>
        <v>13.981</v>
      </c>
      <c r="J9" s="961"/>
      <c r="K9" s="940"/>
      <c r="L9" s="940"/>
      <c r="M9" s="940"/>
      <c r="N9" s="885">
        <f t="shared" ref="N9:N17" si="12">C9</f>
        <v>13.981</v>
      </c>
      <c r="O9" s="883">
        <f t="shared" ref="O9:O17" si="13">D9</f>
        <v>0</v>
      </c>
      <c r="P9" s="883">
        <f t="shared" ref="P9:P17" si="14">E9-K9</f>
        <v>0</v>
      </c>
      <c r="Q9" s="883">
        <f t="shared" ref="Q9:Q17" si="15">F9</f>
        <v>0</v>
      </c>
      <c r="R9" s="883">
        <f t="shared" ref="R9:R17" si="16">G9</f>
        <v>0</v>
      </c>
      <c r="S9" s="886">
        <f t="shared" ref="S9:S17" si="17">H9</f>
        <v>0</v>
      </c>
      <c r="T9" s="883">
        <f t="shared" si="7"/>
        <v>13.981</v>
      </c>
      <c r="U9" s="887">
        <f>HLOOKUP($B$2,Factors!$J$12:$Y$25,Factors!$H13)</f>
        <v>25.972353624013728</v>
      </c>
      <c r="V9" s="885">
        <f t="shared" ref="V9:V17" si="18">N9*$U9*TbtuToQBtu</f>
        <v>0.36311947601733591</v>
      </c>
      <c r="W9" s="883">
        <f t="shared" ref="W9:W17" si="19">O9*$U9*TbtuToQBtu</f>
        <v>0</v>
      </c>
      <c r="X9" s="883">
        <f t="shared" ref="X9:X17" si="20">P9*$U9*TbtuToQBtu</f>
        <v>0</v>
      </c>
      <c r="Y9" s="883">
        <f t="shared" ref="Y9:Y17" si="21">Q9*$U9*TbtuToQBtu</f>
        <v>0</v>
      </c>
      <c r="Z9" s="883">
        <f t="shared" ref="Z9:Z17" si="22">R9*$U9*TbtuToQBtu</f>
        <v>0</v>
      </c>
      <c r="AA9" s="883">
        <f t="shared" ref="AA9:AA17" si="23">S9*$U9*TbtuToQBtu</f>
        <v>0</v>
      </c>
      <c r="AB9" s="883">
        <f t="shared" si="8"/>
        <v>0.36311947601733591</v>
      </c>
      <c r="AC9" s="888">
        <f>Factors!E10</f>
        <v>1</v>
      </c>
      <c r="AD9" s="885">
        <f t="shared" ref="AD9:AD17" si="24">V9*$AC9</f>
        <v>0.36311947601733591</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0.36311947601733591</v>
      </c>
      <c r="AK9" s="885">
        <f t="shared" ref="AK9:AK42" si="30">AD9*CtoCO2</f>
        <v>1.3314380787302316</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1.3314380787302316</v>
      </c>
    </row>
    <row r="10" spans="1:43">
      <c r="A10" s="817"/>
      <c r="B10" s="860" t="s">
        <v>1733</v>
      </c>
      <c r="C10" s="883"/>
      <c r="D10" s="883">
        <f>HLOOKUP($B$2,'Consumption Input'!$E$5:$AQ$82,'Consumption Input'!$B13)</f>
        <v>102.524</v>
      </c>
      <c r="E10" s="883"/>
      <c r="F10" s="883"/>
      <c r="G10" s="883"/>
      <c r="H10" s="883"/>
      <c r="I10" s="883">
        <f t="shared" si="5"/>
        <v>102.524</v>
      </c>
      <c r="J10" s="961"/>
      <c r="K10" s="940"/>
      <c r="L10" s="940"/>
      <c r="M10" s="940"/>
      <c r="N10" s="885">
        <f t="shared" si="12"/>
        <v>0</v>
      </c>
      <c r="O10" s="883">
        <f t="shared" si="13"/>
        <v>102.524</v>
      </c>
      <c r="P10" s="883">
        <f t="shared" si="14"/>
        <v>0</v>
      </c>
      <c r="Q10" s="883">
        <f t="shared" si="15"/>
        <v>0</v>
      </c>
      <c r="R10" s="883">
        <f t="shared" si="16"/>
        <v>0</v>
      </c>
      <c r="S10" s="886">
        <f t="shared" si="17"/>
        <v>0</v>
      </c>
      <c r="T10" s="883">
        <f t="shared" si="7"/>
        <v>102.524</v>
      </c>
      <c r="U10" s="887">
        <f>HLOOKUP($B$2,Factors!$J$12:$Y$25,Factors!$H14)</f>
        <v>25.972353624013728</v>
      </c>
      <c r="V10" s="885">
        <f t="shared" si="18"/>
        <v>0</v>
      </c>
      <c r="W10" s="883">
        <f t="shared" si="19"/>
        <v>2.6627895829483839</v>
      </c>
      <c r="X10" s="883">
        <f t="shared" si="20"/>
        <v>0</v>
      </c>
      <c r="Y10" s="883">
        <f t="shared" si="21"/>
        <v>0</v>
      </c>
      <c r="Z10" s="883">
        <f t="shared" si="22"/>
        <v>0</v>
      </c>
      <c r="AA10" s="883">
        <f t="shared" si="23"/>
        <v>0</v>
      </c>
      <c r="AB10" s="883">
        <f t="shared" si="8"/>
        <v>2.6627895829483839</v>
      </c>
      <c r="AC10" s="888">
        <f>Factors!E11</f>
        <v>1</v>
      </c>
      <c r="AD10" s="885">
        <f t="shared" si="24"/>
        <v>0</v>
      </c>
      <c r="AE10" s="883">
        <f t="shared" si="25"/>
        <v>2.6627895829483839</v>
      </c>
      <c r="AF10" s="883">
        <f t="shared" si="26"/>
        <v>0</v>
      </c>
      <c r="AG10" s="883">
        <f t="shared" si="27"/>
        <v>0</v>
      </c>
      <c r="AH10" s="883">
        <f t="shared" si="28"/>
        <v>0</v>
      </c>
      <c r="AI10" s="883">
        <f t="shared" si="29"/>
        <v>0</v>
      </c>
      <c r="AJ10" s="889">
        <f t="shared" si="9"/>
        <v>2.6627895829483839</v>
      </c>
      <c r="AK10" s="885">
        <f t="shared" si="30"/>
        <v>0</v>
      </c>
      <c r="AL10" s="883">
        <f t="shared" si="31"/>
        <v>9.7635618041440733</v>
      </c>
      <c r="AM10" s="883">
        <f t="shared" si="32"/>
        <v>0</v>
      </c>
      <c r="AN10" s="883">
        <f t="shared" si="33"/>
        <v>0</v>
      </c>
      <c r="AO10" s="883">
        <f t="shared" si="34"/>
        <v>0</v>
      </c>
      <c r="AP10" s="883">
        <f t="shared" si="35"/>
        <v>0</v>
      </c>
      <c r="AQ10" s="890">
        <f t="shared" si="11"/>
        <v>9.7635618041440733</v>
      </c>
    </row>
    <row r="11" spans="1:43" s="244" customFormat="1" hidden="1">
      <c r="A11" s="861"/>
      <c r="B11" s="862" t="s">
        <v>1734</v>
      </c>
      <c r="C11" s="891"/>
      <c r="D11" s="891"/>
      <c r="E11" s="891">
        <f>HLOOKUP($B$2,'Consumption Input'!$E$5:$AQ$82,'Consumption Input'!$B23)</f>
        <v>40.077270031991247</v>
      </c>
      <c r="F11" s="891"/>
      <c r="G11" s="891"/>
      <c r="H11" s="891"/>
      <c r="I11" s="891">
        <f t="shared" si="5"/>
        <v>40.077270031991247</v>
      </c>
      <c r="J11" s="962"/>
      <c r="K11" s="963">
        <f>HLOOKUP($B$2,NEUConsumption,'Non-Energy Use'!$C$7)</f>
        <v>40.077270031991247</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25.591188788895408</v>
      </c>
      <c r="V11" s="893">
        <f t="shared" si="18"/>
        <v>0</v>
      </c>
      <c r="W11" s="891">
        <f t="shared" si="19"/>
        <v>0</v>
      </c>
      <c r="X11" s="891">
        <f t="shared" si="20"/>
        <v>0</v>
      </c>
      <c r="Y11" s="891">
        <f t="shared" si="21"/>
        <v>0</v>
      </c>
      <c r="Z11" s="891">
        <f t="shared" si="22"/>
        <v>0</v>
      </c>
      <c r="AA11" s="891">
        <f t="shared" si="23"/>
        <v>0</v>
      </c>
      <c r="AB11" s="891">
        <f t="shared" si="8"/>
        <v>0</v>
      </c>
      <c r="AC11" s="896">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3">
      <c r="A12" s="817"/>
      <c r="B12" s="860" t="s">
        <v>1701</v>
      </c>
      <c r="C12" s="883"/>
      <c r="D12" s="883"/>
      <c r="E12" s="883">
        <f>HLOOKUP($B$2,'Consumption Input'!$E$5:$AQ$82,'Consumption Input'!$B24)</f>
        <v>1410.9423098814409</v>
      </c>
      <c r="F12" s="883"/>
      <c r="G12" s="883"/>
      <c r="H12" s="883"/>
      <c r="I12" s="883">
        <f t="shared" si="5"/>
        <v>1410.9423098814409</v>
      </c>
      <c r="J12" s="961"/>
      <c r="K12" s="940">
        <f>HLOOKUP($B$2,NEUConsumption,'Non-Energy Use'!$C$8)</f>
        <v>10.28914950870919</v>
      </c>
      <c r="L12" s="940"/>
      <c r="M12" s="940"/>
      <c r="N12" s="885">
        <f t="shared" si="12"/>
        <v>0</v>
      </c>
      <c r="O12" s="883">
        <f t="shared" si="13"/>
        <v>0</v>
      </c>
      <c r="P12" s="883">
        <f t="shared" si="14"/>
        <v>1400.6531603727317</v>
      </c>
      <c r="Q12" s="883">
        <f t="shared" si="15"/>
        <v>0</v>
      </c>
      <c r="R12" s="883">
        <f t="shared" si="16"/>
        <v>0</v>
      </c>
      <c r="S12" s="886">
        <f t="shared" si="17"/>
        <v>0</v>
      </c>
      <c r="T12" s="883">
        <f t="shared" si="7"/>
        <v>1400.6531603727317</v>
      </c>
      <c r="U12" s="887">
        <f>HLOOKUP($B$2,Factors!$J$12:$Y$25,Factors!$H15)</f>
        <v>25.795891623557694</v>
      </c>
      <c r="V12" s="885">
        <f t="shared" si="18"/>
        <v>0</v>
      </c>
      <c r="W12" s="883">
        <f t="shared" si="19"/>
        <v>0</v>
      </c>
      <c r="X12" s="883">
        <f t="shared" si="20"/>
        <v>36.131097127168566</v>
      </c>
      <c r="Y12" s="883">
        <f t="shared" si="21"/>
        <v>0</v>
      </c>
      <c r="Z12" s="883">
        <f t="shared" si="22"/>
        <v>0</v>
      </c>
      <c r="AA12" s="883">
        <f t="shared" si="23"/>
        <v>0</v>
      </c>
      <c r="AB12" s="883">
        <f t="shared" si="8"/>
        <v>36.131097127168566</v>
      </c>
      <c r="AC12" s="888">
        <f>Factors!E13</f>
        <v>1</v>
      </c>
      <c r="AD12" s="885">
        <f t="shared" si="24"/>
        <v>0</v>
      </c>
      <c r="AE12" s="883">
        <f t="shared" si="25"/>
        <v>0</v>
      </c>
      <c r="AF12" s="883">
        <f t="shared" si="26"/>
        <v>36.131097127168566</v>
      </c>
      <c r="AG12" s="883">
        <f t="shared" si="27"/>
        <v>0</v>
      </c>
      <c r="AH12" s="883">
        <f t="shared" si="28"/>
        <v>0</v>
      </c>
      <c r="AI12" s="883">
        <f t="shared" si="29"/>
        <v>0</v>
      </c>
      <c r="AJ12" s="889">
        <f t="shared" si="9"/>
        <v>36.131097127168566</v>
      </c>
      <c r="AK12" s="885">
        <f t="shared" si="30"/>
        <v>0</v>
      </c>
      <c r="AL12" s="883">
        <f t="shared" si="31"/>
        <v>0</v>
      </c>
      <c r="AM12" s="883">
        <f t="shared" si="32"/>
        <v>132.48068946628473</v>
      </c>
      <c r="AN12" s="883">
        <f t="shared" si="33"/>
        <v>0</v>
      </c>
      <c r="AO12" s="883">
        <f t="shared" si="34"/>
        <v>0</v>
      </c>
      <c r="AP12" s="883">
        <f t="shared" si="35"/>
        <v>0</v>
      </c>
      <c r="AQ12" s="890">
        <f t="shared" si="11"/>
        <v>132.48068946628473</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91">
        <f t="shared" si="7"/>
        <v>0</v>
      </c>
      <c r="U13" s="895">
        <f>Factors!D14</f>
        <v>27.85</v>
      </c>
      <c r="V13" s="893">
        <f t="shared" si="18"/>
        <v>0</v>
      </c>
      <c r="W13" s="891">
        <f t="shared" si="19"/>
        <v>0</v>
      </c>
      <c r="X13" s="891">
        <f t="shared" si="20"/>
        <v>0</v>
      </c>
      <c r="Y13" s="891">
        <f t="shared" si="21"/>
        <v>0</v>
      </c>
      <c r="Z13" s="891">
        <f t="shared" si="22"/>
        <v>0</v>
      </c>
      <c r="AA13" s="891">
        <f t="shared" si="23"/>
        <v>0</v>
      </c>
      <c r="AB13" s="891">
        <f t="shared" si="8"/>
        <v>0</v>
      </c>
      <c r="AC13" s="896">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887" t="str">
        <f>Factors!D15</f>
        <v>NC</v>
      </c>
      <c r="V14" s="885">
        <f t="shared" si="18"/>
        <v>0</v>
      </c>
      <c r="W14" s="883">
        <f t="shared" si="19"/>
        <v>0</v>
      </c>
      <c r="X14" s="883">
        <f t="shared" si="20"/>
        <v>0</v>
      </c>
      <c r="Y14" s="883">
        <f t="shared" si="21"/>
        <v>0</v>
      </c>
      <c r="Z14" s="883">
        <f t="shared" si="22"/>
        <v>0</v>
      </c>
      <c r="AA14" s="883">
        <f t="shared" si="23"/>
        <v>0</v>
      </c>
      <c r="AB14" s="883" t="s">
        <v>103</v>
      </c>
      <c r="AC14" s="888"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3">
      <c r="A15" s="817"/>
      <c r="B15" s="860" t="s">
        <v>1736</v>
      </c>
      <c r="C15" s="883"/>
      <c r="D15" s="883"/>
      <c r="E15" s="883"/>
      <c r="F15" s="883"/>
      <c r="G15" s="883">
        <f>HLOOKUP($B$2,'Consumption Input'!$E$5:$AQ$82,'Consumption Input'!$B58)</f>
        <v>19279.487000000001</v>
      </c>
      <c r="H15" s="883"/>
      <c r="I15" s="883">
        <f t="shared" ref="I15:I41" si="36">SUM(C15:H15)</f>
        <v>19279.487000000001</v>
      </c>
      <c r="J15" s="961"/>
      <c r="K15" s="940"/>
      <c r="L15" s="940"/>
      <c r="M15" s="940"/>
      <c r="N15" s="885">
        <f t="shared" si="12"/>
        <v>0</v>
      </c>
      <c r="O15" s="883">
        <f t="shared" si="13"/>
        <v>0</v>
      </c>
      <c r="P15" s="883">
        <f t="shared" si="14"/>
        <v>0</v>
      </c>
      <c r="Q15" s="883">
        <f t="shared" si="15"/>
        <v>0</v>
      </c>
      <c r="R15" s="883">
        <f t="shared" si="16"/>
        <v>19279.487000000001</v>
      </c>
      <c r="S15" s="886">
        <f t="shared" si="17"/>
        <v>0</v>
      </c>
      <c r="T15" s="883">
        <f t="shared" si="7"/>
        <v>19279.487000000001</v>
      </c>
      <c r="U15" s="887">
        <f>HLOOKUP($B$2,Factors!$J$12:$Y$25,Factors!$H16)</f>
        <v>25.963566646993332</v>
      </c>
      <c r="V15" s="885">
        <f t="shared" si="18"/>
        <v>0</v>
      </c>
      <c r="W15" s="883">
        <f t="shared" si="19"/>
        <v>0</v>
      </c>
      <c r="X15" s="883">
        <f t="shared" si="20"/>
        <v>0</v>
      </c>
      <c r="Y15" s="883">
        <f t="shared" si="21"/>
        <v>0</v>
      </c>
      <c r="Z15" s="883">
        <f t="shared" si="22"/>
        <v>500.56424564434161</v>
      </c>
      <c r="AA15" s="883">
        <f t="shared" si="23"/>
        <v>0</v>
      </c>
      <c r="AB15" s="883">
        <f t="shared" ref="AB15:AB43" si="37">SUM(V15:AA15)</f>
        <v>500.56424564434161</v>
      </c>
      <c r="AC15" s="888">
        <f>Factors!E16</f>
        <v>1</v>
      </c>
      <c r="AD15" s="885">
        <f t="shared" si="24"/>
        <v>0</v>
      </c>
      <c r="AE15" s="883">
        <f t="shared" si="25"/>
        <v>0</v>
      </c>
      <c r="AF15" s="883">
        <f t="shared" si="26"/>
        <v>0</v>
      </c>
      <c r="AG15" s="883">
        <f t="shared" si="27"/>
        <v>0</v>
      </c>
      <c r="AH15" s="883">
        <f t="shared" si="28"/>
        <v>500.56424564434161</v>
      </c>
      <c r="AI15" s="883">
        <f t="shared" si="29"/>
        <v>0</v>
      </c>
      <c r="AJ15" s="889">
        <f t="shared" si="9"/>
        <v>500.56424564434161</v>
      </c>
      <c r="AK15" s="885">
        <f t="shared" si="30"/>
        <v>0</v>
      </c>
      <c r="AL15" s="883">
        <f t="shared" si="31"/>
        <v>0</v>
      </c>
      <c r="AM15" s="883">
        <f t="shared" si="32"/>
        <v>0</v>
      </c>
      <c r="AN15" s="883">
        <f t="shared" si="33"/>
        <v>0</v>
      </c>
      <c r="AO15" s="883">
        <f t="shared" si="34"/>
        <v>1835.4022340292524</v>
      </c>
      <c r="AP15" s="883">
        <f t="shared" si="35"/>
        <v>0</v>
      </c>
      <c r="AQ15" s="890">
        <f t="shared" ref="AQ15:AQ42" si="38">SUM(AK15:AP15)</f>
        <v>1835.4022340292524</v>
      </c>
    </row>
    <row r="16" spans="1:43">
      <c r="A16" s="817"/>
      <c r="B16" s="860" t="s">
        <v>1737</v>
      </c>
      <c r="C16" s="883"/>
      <c r="D16" s="883"/>
      <c r="E16" s="883"/>
      <c r="F16" s="883"/>
      <c r="G16" s="883"/>
      <c r="H16" s="883">
        <f>HLOOKUP($B$2,'US Territories'!$D$28:$Z$38,'US Territories'!$B29)</f>
        <v>4.5598763479999995</v>
      </c>
      <c r="I16" s="883">
        <f t="shared" si="36"/>
        <v>4.5598763479999995</v>
      </c>
      <c r="J16" s="961"/>
      <c r="K16" s="940"/>
      <c r="L16" s="940"/>
      <c r="M16" s="940"/>
      <c r="N16" s="885">
        <f t="shared" si="12"/>
        <v>0</v>
      </c>
      <c r="O16" s="883">
        <f t="shared" si="13"/>
        <v>0</v>
      </c>
      <c r="P16" s="883">
        <f t="shared" si="14"/>
        <v>0</v>
      </c>
      <c r="Q16" s="883">
        <f t="shared" si="15"/>
        <v>0</v>
      </c>
      <c r="R16" s="883">
        <f t="shared" si="16"/>
        <v>0</v>
      </c>
      <c r="S16" s="886">
        <f t="shared" si="17"/>
        <v>4.5598763479999995</v>
      </c>
      <c r="T16" s="883">
        <f t="shared" si="7"/>
        <v>4.5598763479999995</v>
      </c>
      <c r="U16" s="887">
        <f>Factors!D17</f>
        <v>25.14</v>
      </c>
      <c r="V16" s="899">
        <f t="shared" si="18"/>
        <v>0</v>
      </c>
      <c r="W16" s="900">
        <f t="shared" si="19"/>
        <v>0</v>
      </c>
      <c r="X16" s="900">
        <f t="shared" si="20"/>
        <v>0</v>
      </c>
      <c r="Y16" s="900">
        <f t="shared" si="21"/>
        <v>0</v>
      </c>
      <c r="Z16" s="900">
        <f t="shared" si="22"/>
        <v>0</v>
      </c>
      <c r="AA16" s="900">
        <f t="shared" si="23"/>
        <v>0.11463529138872</v>
      </c>
      <c r="AB16" s="883">
        <f t="shared" si="37"/>
        <v>0.11463529138872</v>
      </c>
      <c r="AC16" s="888">
        <f>Factors!E17</f>
        <v>1</v>
      </c>
      <c r="AD16" s="899">
        <f t="shared" si="24"/>
        <v>0</v>
      </c>
      <c r="AE16" s="900">
        <f t="shared" si="25"/>
        <v>0</v>
      </c>
      <c r="AF16" s="900">
        <f t="shared" si="26"/>
        <v>0</v>
      </c>
      <c r="AG16" s="900">
        <f t="shared" si="27"/>
        <v>0</v>
      </c>
      <c r="AH16" s="900">
        <f t="shared" si="28"/>
        <v>0</v>
      </c>
      <c r="AI16" s="900">
        <f t="shared" si="29"/>
        <v>0.11463529138872</v>
      </c>
      <c r="AJ16" s="889">
        <f t="shared" si="9"/>
        <v>0.11463529138872</v>
      </c>
      <c r="AK16" s="885">
        <f t="shared" si="30"/>
        <v>0</v>
      </c>
      <c r="AL16" s="883">
        <f t="shared" si="31"/>
        <v>0</v>
      </c>
      <c r="AM16" s="883">
        <f t="shared" si="32"/>
        <v>0</v>
      </c>
      <c r="AN16" s="883">
        <f t="shared" si="33"/>
        <v>0</v>
      </c>
      <c r="AO16" s="883">
        <f t="shared" si="34"/>
        <v>0</v>
      </c>
      <c r="AP16" s="883">
        <f t="shared" si="35"/>
        <v>0.42032940175863998</v>
      </c>
      <c r="AQ16" s="890">
        <f t="shared" si="38"/>
        <v>0.42032940175863998</v>
      </c>
    </row>
    <row r="17" spans="1:43">
      <c r="A17" s="817"/>
      <c r="B17" s="863" t="s">
        <v>1439</v>
      </c>
      <c r="C17" s="901">
        <f>HLOOKUP($B$2,'Consumption Input'!$E$5:$AQ$82,'Consumption Input'!$B8)</f>
        <v>4834.8990000000003</v>
      </c>
      <c r="D17" s="901">
        <f>HLOOKUP($B$2,'Consumption Input'!$E$5:$AQ$82,'Consumption Input'!$B14)</f>
        <v>3115.0309999999999</v>
      </c>
      <c r="E17" s="901">
        <f>HLOOKUP($B$2,'Consumption Input'!$E$5:$AQ$82,'Consumption Input'!$B26)</f>
        <v>8817.2157531256053</v>
      </c>
      <c r="F17" s="901">
        <f>HLOOKUP($B$2,'Consumption Input'!$E$5:$AQ$82,'Consumption Input'!$B49)</f>
        <v>675.33500000000004</v>
      </c>
      <c r="G17" s="901">
        <f>HLOOKUP($B$2,'Consumption Input'!$E$5:$AQ$82,'Consumption Input'!$B59)</f>
        <v>4902.1480000000001</v>
      </c>
      <c r="H17" s="944">
        <f>HLOOKUP($B$2,'US Territories'!$D$28:$Z$38,'US Territories'!$B30)</f>
        <v>0</v>
      </c>
      <c r="I17" s="901">
        <f t="shared" si="36"/>
        <v>22344.628753125606</v>
      </c>
      <c r="J17" s="964"/>
      <c r="K17" s="965">
        <f>HLOOKUP($B$2,NEUConsumption,'Non-Energy Use'!$C$9)</f>
        <v>413.51300000000003</v>
      </c>
      <c r="L17" s="965"/>
      <c r="M17" s="965"/>
      <c r="N17" s="904">
        <f t="shared" si="12"/>
        <v>4834.8990000000003</v>
      </c>
      <c r="O17" s="901">
        <f t="shared" si="13"/>
        <v>3115.0309999999999</v>
      </c>
      <c r="P17" s="901">
        <f t="shared" si="14"/>
        <v>8403.7027531256044</v>
      </c>
      <c r="Q17" s="901">
        <f t="shared" si="15"/>
        <v>675.33500000000004</v>
      </c>
      <c r="R17" s="901">
        <f t="shared" si="16"/>
        <v>4902.1480000000001</v>
      </c>
      <c r="S17" s="902">
        <f t="shared" si="17"/>
        <v>0</v>
      </c>
      <c r="T17" s="901">
        <f t="shared" si="7"/>
        <v>21931.115753125607</v>
      </c>
      <c r="U17" s="905">
        <f>HLOOKUP($B$2,Factors!$J$12:$AB$26,Factors!$H26,FALSE)</f>
        <v>14.461854154819864</v>
      </c>
      <c r="V17" s="901">
        <f t="shared" si="18"/>
        <v>69.921604191284416</v>
      </c>
      <c r="W17" s="901">
        <f t="shared" si="19"/>
        <v>45.049124009742677</v>
      </c>
      <c r="X17" s="901">
        <f t="shared" si="20"/>
        <v>121.53312357616065</v>
      </c>
      <c r="Y17" s="901">
        <f t="shared" si="21"/>
        <v>9.7665962756452736</v>
      </c>
      <c r="Z17" s="901">
        <f t="shared" si="22"/>
        <v>70.894149421341893</v>
      </c>
      <c r="AA17" s="901">
        <f t="shared" si="23"/>
        <v>0</v>
      </c>
      <c r="AB17" s="901">
        <f t="shared" si="37"/>
        <v>317.16459747417491</v>
      </c>
      <c r="AC17" s="906">
        <f>Factors!E19</f>
        <v>1</v>
      </c>
      <c r="AD17" s="904">
        <f t="shared" si="24"/>
        <v>69.921604191284416</v>
      </c>
      <c r="AE17" s="901">
        <f t="shared" si="25"/>
        <v>45.049124009742677</v>
      </c>
      <c r="AF17" s="901">
        <f t="shared" si="26"/>
        <v>121.53312357616065</v>
      </c>
      <c r="AG17" s="901">
        <f t="shared" si="27"/>
        <v>9.7665962756452736</v>
      </c>
      <c r="AH17" s="901">
        <f t="shared" si="28"/>
        <v>70.894149421341893</v>
      </c>
      <c r="AI17" s="901">
        <f t="shared" si="29"/>
        <v>0</v>
      </c>
      <c r="AJ17" s="901">
        <f t="shared" si="9"/>
        <v>317.16459747417491</v>
      </c>
      <c r="AK17" s="904">
        <f t="shared" si="30"/>
        <v>256.37921536804282</v>
      </c>
      <c r="AL17" s="901">
        <f t="shared" si="31"/>
        <v>165.18012136905648</v>
      </c>
      <c r="AM17" s="901">
        <f t="shared" si="32"/>
        <v>445.62145311258905</v>
      </c>
      <c r="AN17" s="901">
        <f t="shared" si="33"/>
        <v>35.810853010699333</v>
      </c>
      <c r="AO17" s="901">
        <f t="shared" si="34"/>
        <v>259.94521454492025</v>
      </c>
      <c r="AP17" s="901">
        <f t="shared" si="35"/>
        <v>0</v>
      </c>
      <c r="AQ17" s="907">
        <f t="shared" si="38"/>
        <v>1162.936857405308</v>
      </c>
    </row>
    <row r="18" spans="1:43">
      <c r="A18" s="817"/>
      <c r="B18" s="864" t="s">
        <v>1440</v>
      </c>
      <c r="C18" s="908">
        <f t="shared" ref="C18:H18" si="39">SUM(C19:C41)</f>
        <v>1340.2315367682581</v>
      </c>
      <c r="D18" s="908">
        <f t="shared" si="39"/>
        <v>640.40639351174241</v>
      </c>
      <c r="E18" s="908">
        <f t="shared" si="39"/>
        <v>8955.936870782898</v>
      </c>
      <c r="F18" s="908">
        <f t="shared" si="39"/>
        <v>25437.85307500296</v>
      </c>
      <c r="G18" s="908">
        <f t="shared" si="39"/>
        <v>1211.2059999999999</v>
      </c>
      <c r="H18" s="908">
        <f t="shared" si="39"/>
        <v>341.81282152053143</v>
      </c>
      <c r="I18" s="908">
        <f t="shared" si="36"/>
        <v>37927.446697586391</v>
      </c>
      <c r="J18" s="966">
        <f t="shared" ref="J18:S18" si="40">SUM(J19:J41)</f>
        <v>1401.6560592428302</v>
      </c>
      <c r="K18" s="967">
        <f t="shared" si="40"/>
        <v>5377.2836994180534</v>
      </c>
      <c r="L18" s="967">
        <f t="shared" si="40"/>
        <v>182.09700000000001</v>
      </c>
      <c r="M18" s="967">
        <f t="shared" si="40"/>
        <v>135.24424760711611</v>
      </c>
      <c r="N18" s="910">
        <f t="shared" si="40"/>
        <v>1340.2315367682581</v>
      </c>
      <c r="O18" s="908">
        <f t="shared" si="40"/>
        <v>640.40639351174241</v>
      </c>
      <c r="P18" s="908">
        <f t="shared" si="40"/>
        <v>3578.6531713648446</v>
      </c>
      <c r="Q18" s="908">
        <f t="shared" si="40"/>
        <v>23854.10001576013</v>
      </c>
      <c r="R18" s="908">
        <f t="shared" si="40"/>
        <v>1211.2059999999999</v>
      </c>
      <c r="S18" s="911">
        <f t="shared" si="40"/>
        <v>206.56857391341529</v>
      </c>
      <c r="T18" s="889">
        <f t="shared" si="7"/>
        <v>30831.165691318391</v>
      </c>
      <c r="U18" s="912" t="s">
        <v>1731</v>
      </c>
      <c r="V18" s="908">
        <f t="shared" ref="V18:AA18" si="41">SUM(V19:V41)</f>
        <v>25.417126396475304</v>
      </c>
      <c r="W18" s="908">
        <f t="shared" si="41"/>
        <v>12.487280690022338</v>
      </c>
      <c r="X18" s="908">
        <f t="shared" si="41"/>
        <v>74.439256199855762</v>
      </c>
      <c r="Y18" s="908">
        <f t="shared" si="41"/>
        <v>466.50912834944671</v>
      </c>
      <c r="Z18" s="908">
        <f t="shared" si="41"/>
        <v>25.590901312922853</v>
      </c>
      <c r="AA18" s="908">
        <f t="shared" si="41"/>
        <v>4.104808865033613</v>
      </c>
      <c r="AB18" s="908">
        <f t="shared" si="37"/>
        <v>608.54850181375662</v>
      </c>
      <c r="AC18" s="913" t="s">
        <v>1731</v>
      </c>
      <c r="AD18" s="910">
        <f t="shared" ref="AD18:AI18" si="42">SUM(AD19:AD41)</f>
        <v>25.417126396475304</v>
      </c>
      <c r="AE18" s="908">
        <f t="shared" si="42"/>
        <v>12.487280690022338</v>
      </c>
      <c r="AF18" s="908">
        <f t="shared" si="42"/>
        <v>74.439256199855762</v>
      </c>
      <c r="AG18" s="908">
        <f t="shared" si="42"/>
        <v>466.50912834944671</v>
      </c>
      <c r="AH18" s="908">
        <f t="shared" si="42"/>
        <v>25.590901312922853</v>
      </c>
      <c r="AI18" s="908">
        <f t="shared" si="42"/>
        <v>4.104808865033613</v>
      </c>
      <c r="AJ18" s="908">
        <f t="shared" si="9"/>
        <v>608.54850181375662</v>
      </c>
      <c r="AK18" s="914">
        <f t="shared" si="30"/>
        <v>93.19613012040945</v>
      </c>
      <c r="AL18" s="889">
        <f t="shared" si="31"/>
        <v>45.78669586341524</v>
      </c>
      <c r="AM18" s="889">
        <f t="shared" si="32"/>
        <v>272.94393939947111</v>
      </c>
      <c r="AN18" s="889">
        <f t="shared" si="33"/>
        <v>1710.533470614638</v>
      </c>
      <c r="AO18" s="889">
        <f t="shared" si="34"/>
        <v>93.83330481405045</v>
      </c>
      <c r="AP18" s="889">
        <f t="shared" si="35"/>
        <v>15.05096583845658</v>
      </c>
      <c r="AQ18" s="915">
        <f t="shared" si="38"/>
        <v>2231.3445066504405</v>
      </c>
    </row>
    <row r="19" spans="1:43">
      <c r="A19" s="817"/>
      <c r="B19" s="860" t="s">
        <v>1608</v>
      </c>
      <c r="C19" s="883"/>
      <c r="D19" s="883"/>
      <c r="E19" s="883">
        <f>HLOOKUP($B$2,'Consumption Input'!$E$5:$AQ$82,'Consumption Input'!$B27)</f>
        <v>1324.413</v>
      </c>
      <c r="F19" s="883"/>
      <c r="G19" s="883"/>
      <c r="H19" s="883"/>
      <c r="I19" s="883">
        <f t="shared" si="36"/>
        <v>1324.413</v>
      </c>
      <c r="J19" s="961"/>
      <c r="K19" s="940">
        <f>HLOOKUP($B$2,NEUConsumption,'Non-Energy Use'!$C$10)</f>
        <v>1324.413</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7"/>
        <v>0</v>
      </c>
      <c r="AC19" s="888">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39.171999999999997</v>
      </c>
      <c r="G20" s="883"/>
      <c r="H20" s="883"/>
      <c r="I20" s="883">
        <f t="shared" si="36"/>
        <v>39.171999999999997</v>
      </c>
      <c r="J20" s="961"/>
      <c r="K20" s="940"/>
      <c r="L20" s="940"/>
      <c r="M20" s="940"/>
      <c r="N20" s="885">
        <f t="shared" si="43"/>
        <v>0</v>
      </c>
      <c r="O20" s="883">
        <f t="shared" si="44"/>
        <v>0</v>
      </c>
      <c r="P20" s="883">
        <f t="shared" si="45"/>
        <v>0</v>
      </c>
      <c r="Q20" s="883">
        <f t="shared" si="46"/>
        <v>39.171999999999997</v>
      </c>
      <c r="R20" s="883">
        <f t="shared" si="47"/>
        <v>0</v>
      </c>
      <c r="S20" s="886">
        <f t="shared" si="48"/>
        <v>0</v>
      </c>
      <c r="T20" s="883">
        <f t="shared" si="7"/>
        <v>39.171999999999997</v>
      </c>
      <c r="U20" s="887">
        <f>Factors!D25</f>
        <v>18.855352254718337</v>
      </c>
      <c r="V20" s="885">
        <f t="shared" si="49"/>
        <v>0</v>
      </c>
      <c r="W20" s="883">
        <f t="shared" si="50"/>
        <v>0</v>
      </c>
      <c r="X20" s="883">
        <f t="shared" si="51"/>
        <v>0</v>
      </c>
      <c r="Y20" s="883">
        <f t="shared" si="52"/>
        <v>0.73860185852182669</v>
      </c>
      <c r="Z20" s="883">
        <f t="shared" si="53"/>
        <v>0</v>
      </c>
      <c r="AA20" s="883">
        <f t="shared" si="54"/>
        <v>0</v>
      </c>
      <c r="AB20" s="883">
        <f t="shared" si="37"/>
        <v>0.73860185852182669</v>
      </c>
      <c r="AC20" s="888">
        <f>Factors!E25</f>
        <v>1</v>
      </c>
      <c r="AD20" s="885">
        <f t="shared" si="55"/>
        <v>0</v>
      </c>
      <c r="AE20" s="883">
        <f t="shared" si="56"/>
        <v>0</v>
      </c>
      <c r="AF20" s="883">
        <f t="shared" si="57"/>
        <v>0</v>
      </c>
      <c r="AG20" s="883">
        <f t="shared" si="58"/>
        <v>0.73860185852182669</v>
      </c>
      <c r="AH20" s="883">
        <f t="shared" si="59"/>
        <v>0</v>
      </c>
      <c r="AI20" s="883">
        <f t="shared" si="60"/>
        <v>0</v>
      </c>
      <c r="AJ20" s="889">
        <f t="shared" si="9"/>
        <v>0.73860185852182669</v>
      </c>
      <c r="AK20" s="885">
        <f t="shared" si="30"/>
        <v>0</v>
      </c>
      <c r="AL20" s="883">
        <f t="shared" si="31"/>
        <v>0</v>
      </c>
      <c r="AM20" s="883">
        <f t="shared" si="32"/>
        <v>0</v>
      </c>
      <c r="AN20" s="883">
        <f t="shared" si="33"/>
        <v>2.7082068145800311</v>
      </c>
      <c r="AO20" s="883">
        <f t="shared" si="34"/>
        <v>0</v>
      </c>
      <c r="AP20" s="883">
        <f t="shared" si="35"/>
        <v>0</v>
      </c>
      <c r="AQ20" s="890">
        <f t="shared" si="38"/>
        <v>2.7082068145800311</v>
      </c>
    </row>
    <row r="21" spans="1:43">
      <c r="A21" s="817"/>
      <c r="B21" s="860" t="s">
        <v>1738</v>
      </c>
      <c r="C21" s="883">
        <f>HLOOKUP($B$2,'Consumption Input'!$E$5:$AQ$82,'Consumption Input'!$B9)</f>
        <v>702.39853676825817</v>
      </c>
      <c r="D21" s="883">
        <f>HLOOKUP($B$2,'Consumption Input'!$E$5:$AQ$82,'Consumption Input'!$B15)</f>
        <v>372.04137646381236</v>
      </c>
      <c r="E21" s="883">
        <f>HLOOKUP($B$2,'Consumption Input'!$E$5:$AQ$82,'Consumption Input'!$B28)</f>
        <v>991.33075760126269</v>
      </c>
      <c r="F21" s="883">
        <f>HLOOKUP($B$2,'Consumption Input'!$E$5:$AQ$82,'Consumption Input'!$B51)</f>
        <v>5364.8889363095241</v>
      </c>
      <c r="G21" s="883">
        <f>HLOOKUP($B$2,'Consumption Input'!$E$5:$AQ$82,'Consumption Input'!$B60)</f>
        <v>139.99199999999996</v>
      </c>
      <c r="H21" s="883">
        <f>HLOOKUP($B$2,'US Territories'!$D$28:$Z$38,'US Territories'!$B31)</f>
        <v>54.205233443921365</v>
      </c>
      <c r="I21" s="883">
        <f t="shared" si="36"/>
        <v>7624.8568405867791</v>
      </c>
      <c r="J21" s="961">
        <f>HLOOKUP($B$2,IBFConsumption,'International Bunker Fuels'!$B$10)</f>
        <v>113.58632542480953</v>
      </c>
      <c r="K21" s="940">
        <f>HLOOKUP($B$2,NEUConsumption,'Non-Energy Use'!$C$20)</f>
        <v>11.65</v>
      </c>
      <c r="L21" s="940"/>
      <c r="M21" s="940"/>
      <c r="N21" s="885">
        <f t="shared" si="43"/>
        <v>702.39853676825817</v>
      </c>
      <c r="O21" s="883">
        <f t="shared" si="44"/>
        <v>372.04137646381236</v>
      </c>
      <c r="P21" s="883">
        <f t="shared" si="45"/>
        <v>979.68075760126271</v>
      </c>
      <c r="Q21" s="883">
        <f t="shared" si="46"/>
        <v>5251.3026108847143</v>
      </c>
      <c r="R21" s="883">
        <f t="shared" si="47"/>
        <v>139.99199999999996</v>
      </c>
      <c r="S21" s="886">
        <f t="shared" si="48"/>
        <v>54.205233443921365</v>
      </c>
      <c r="T21" s="883">
        <f t="shared" si="7"/>
        <v>7499.6205151619688</v>
      </c>
      <c r="U21" s="887">
        <f>HLOOKUP($B$2,Factors!$J$12:$BE$27,Factors!$H27,FALSE)</f>
        <v>20.170000000000002</v>
      </c>
      <c r="V21" s="885">
        <f t="shared" si="49"/>
        <v>14.167378486615767</v>
      </c>
      <c r="W21" s="883">
        <f t="shared" si="50"/>
        <v>7.504074563275096</v>
      </c>
      <c r="X21" s="883">
        <f t="shared" si="51"/>
        <v>19.760160880817473</v>
      </c>
      <c r="Y21" s="883">
        <f t="shared" si="52"/>
        <v>105.91877366154469</v>
      </c>
      <c r="Z21" s="883">
        <f t="shared" si="53"/>
        <v>2.8236386399999995</v>
      </c>
      <c r="AA21" s="883">
        <f t="shared" si="54"/>
        <v>1.0933195585638942</v>
      </c>
      <c r="AB21" s="883">
        <f t="shared" si="37"/>
        <v>151.26734579081693</v>
      </c>
      <c r="AC21" s="888">
        <f>Factors!E26</f>
        <v>1</v>
      </c>
      <c r="AD21" s="885">
        <f t="shared" si="55"/>
        <v>14.167378486615767</v>
      </c>
      <c r="AE21" s="883">
        <f t="shared" si="56"/>
        <v>7.504074563275096</v>
      </c>
      <c r="AF21" s="883">
        <f t="shared" si="57"/>
        <v>19.760160880817473</v>
      </c>
      <c r="AG21" s="883">
        <f t="shared" si="58"/>
        <v>105.91877366154469</v>
      </c>
      <c r="AH21" s="883">
        <f t="shared" si="59"/>
        <v>2.8236386399999995</v>
      </c>
      <c r="AI21" s="883">
        <f t="shared" si="60"/>
        <v>1.0933195585638942</v>
      </c>
      <c r="AJ21" s="889">
        <f t="shared" si="9"/>
        <v>151.26734579081693</v>
      </c>
      <c r="AK21" s="885">
        <f t="shared" si="30"/>
        <v>51.947054450924476</v>
      </c>
      <c r="AL21" s="883">
        <f t="shared" si="31"/>
        <v>27.514940065342017</v>
      </c>
      <c r="AM21" s="883">
        <f t="shared" si="32"/>
        <v>72.453923229664071</v>
      </c>
      <c r="AN21" s="883">
        <f t="shared" si="33"/>
        <v>388.36883675899719</v>
      </c>
      <c r="AO21" s="883">
        <f t="shared" si="34"/>
        <v>10.353341679999998</v>
      </c>
      <c r="AP21" s="883">
        <f t="shared" si="35"/>
        <v>4.0088383814009454</v>
      </c>
      <c r="AQ21" s="890">
        <f t="shared" si="38"/>
        <v>554.64693456632858</v>
      </c>
    </row>
    <row r="22" spans="1:43">
      <c r="A22" s="817"/>
      <c r="B22" s="860" t="s">
        <v>1623</v>
      </c>
      <c r="C22" s="883"/>
      <c r="D22" s="883"/>
      <c r="E22" s="883"/>
      <c r="F22" s="883">
        <f>HLOOKUP($B$2,'Consumption Input'!$E$5:$AQ$82,'Consumption Input'!$B52)</f>
        <v>3461.7829999999999</v>
      </c>
      <c r="G22" s="883"/>
      <c r="H22" s="883">
        <f>HLOOKUP($B$2,'US Territories'!$D$28:$Z$38,'US Territories'!$B32)</f>
        <v>39.251088695034895</v>
      </c>
      <c r="I22" s="883">
        <f t="shared" si="36"/>
        <v>3501.0340886950348</v>
      </c>
      <c r="J22" s="961">
        <f>HLOOKUP($B$2,IBFConsumption,'International Bunker Fuels'!$B$8)</f>
        <v>798.34012176602073</v>
      </c>
      <c r="K22" s="940"/>
      <c r="L22" s="940"/>
      <c r="M22" s="940"/>
      <c r="N22" s="885">
        <f t="shared" si="43"/>
        <v>0</v>
      </c>
      <c r="O22" s="883">
        <f t="shared" si="44"/>
        <v>0</v>
      </c>
      <c r="P22" s="883">
        <f t="shared" si="45"/>
        <v>0</v>
      </c>
      <c r="Q22" s="883">
        <f t="shared" si="46"/>
        <v>2663.4428782339792</v>
      </c>
      <c r="R22" s="883">
        <f t="shared" si="47"/>
        <v>0</v>
      </c>
      <c r="S22" s="886">
        <f t="shared" si="48"/>
        <v>39.251088695034895</v>
      </c>
      <c r="T22" s="883">
        <f t="shared" si="7"/>
        <v>2702.6939669290141</v>
      </c>
      <c r="U22" s="887">
        <f>HLOOKUP($B$2,Factors!$J$12:$Y$25,Factors!$H21)</f>
        <v>19.696969696969692</v>
      </c>
      <c r="V22" s="885">
        <f t="shared" si="49"/>
        <v>0</v>
      </c>
      <c r="W22" s="883">
        <f t="shared" si="50"/>
        <v>0</v>
      </c>
      <c r="X22" s="883">
        <f t="shared" si="51"/>
        <v>0</v>
      </c>
      <c r="Y22" s="883">
        <f t="shared" si="52"/>
        <v>52.461753662184428</v>
      </c>
      <c r="Z22" s="883">
        <f t="shared" si="53"/>
        <v>0</v>
      </c>
      <c r="AA22" s="883">
        <f t="shared" si="54"/>
        <v>0.77312750459917201</v>
      </c>
      <c r="AB22" s="883">
        <f t="shared" si="37"/>
        <v>53.234881166783602</v>
      </c>
      <c r="AC22" s="888">
        <f>Factors!E27</f>
        <v>1</v>
      </c>
      <c r="AD22" s="885">
        <f t="shared" si="55"/>
        <v>0</v>
      </c>
      <c r="AE22" s="883">
        <f t="shared" si="56"/>
        <v>0</v>
      </c>
      <c r="AF22" s="883">
        <f t="shared" si="57"/>
        <v>0</v>
      </c>
      <c r="AG22" s="883">
        <f t="shared" si="58"/>
        <v>52.461753662184428</v>
      </c>
      <c r="AH22" s="883">
        <f t="shared" si="59"/>
        <v>0</v>
      </c>
      <c r="AI22" s="883">
        <f t="shared" si="60"/>
        <v>0.77312750459917201</v>
      </c>
      <c r="AJ22" s="889">
        <f t="shared" si="9"/>
        <v>53.234881166783602</v>
      </c>
      <c r="AK22" s="885">
        <f t="shared" si="30"/>
        <v>0</v>
      </c>
      <c r="AL22" s="883">
        <f t="shared" si="31"/>
        <v>0</v>
      </c>
      <c r="AM22" s="883">
        <f t="shared" si="32"/>
        <v>0</v>
      </c>
      <c r="AN22" s="883">
        <f t="shared" si="33"/>
        <v>192.35976342800956</v>
      </c>
      <c r="AO22" s="883">
        <f t="shared" si="34"/>
        <v>0</v>
      </c>
      <c r="AP22" s="883">
        <f t="shared" si="35"/>
        <v>2.8348008501969639</v>
      </c>
      <c r="AQ22" s="890">
        <f t="shared" si="38"/>
        <v>195.19456427820651</v>
      </c>
    </row>
    <row r="23" spans="1:43">
      <c r="A23" s="817"/>
      <c r="B23" s="860" t="s">
        <v>1599</v>
      </c>
      <c r="C23" s="883">
        <f>HLOOKUP($B$2,'Consumption Input'!$E$5:$AQ$82,'Consumption Input'!$B10)</f>
        <v>111.164</v>
      </c>
      <c r="D23" s="883">
        <f>HLOOKUP($B$2,'Consumption Input'!$E$5:$AQ$82,'Consumption Input'!$B16)</f>
        <v>26.943000000000001</v>
      </c>
      <c r="E23" s="883">
        <f>HLOOKUP($B$2,'Consumption Input'!$E$5:$AQ$82,'Consumption Input'!$B29)</f>
        <v>12.84</v>
      </c>
      <c r="F23" s="883"/>
      <c r="G23" s="883"/>
      <c r="H23" s="883">
        <f>HLOOKUP($B$2,'US Territories'!$D$28:$Z$38,'US Territories'!$B33)</f>
        <v>2.5726106318863646</v>
      </c>
      <c r="I23" s="883">
        <f t="shared" si="36"/>
        <v>153.51961063188637</v>
      </c>
      <c r="J23" s="961"/>
      <c r="K23" s="940"/>
      <c r="L23" s="940"/>
      <c r="M23" s="940"/>
      <c r="N23" s="885">
        <f t="shared" si="43"/>
        <v>111.164</v>
      </c>
      <c r="O23" s="883">
        <f t="shared" si="44"/>
        <v>26.943000000000001</v>
      </c>
      <c r="P23" s="883">
        <f t="shared" si="45"/>
        <v>12.84</v>
      </c>
      <c r="Q23" s="883">
        <f t="shared" si="46"/>
        <v>0</v>
      </c>
      <c r="R23" s="883">
        <f t="shared" si="47"/>
        <v>0</v>
      </c>
      <c r="S23" s="886">
        <f t="shared" si="48"/>
        <v>2.5726106318863646</v>
      </c>
      <c r="T23" s="883">
        <f t="shared" si="7"/>
        <v>153.51961063188637</v>
      </c>
      <c r="U23" s="887">
        <f>Factors!D28</f>
        <v>19.964104564962931</v>
      </c>
      <c r="V23" s="885">
        <f t="shared" si="49"/>
        <v>2.2192897198595394</v>
      </c>
      <c r="W23" s="883">
        <f t="shared" si="50"/>
        <v>0.53789286929379632</v>
      </c>
      <c r="X23" s="883">
        <f t="shared" si="51"/>
        <v>0.25633910261412407</v>
      </c>
      <c r="Y23" s="883">
        <f t="shared" si="52"/>
        <v>0</v>
      </c>
      <c r="Z23" s="883">
        <f t="shared" si="53"/>
        <v>0</v>
      </c>
      <c r="AA23" s="883">
        <f t="shared" si="54"/>
        <v>5.1359867659914744E-2</v>
      </c>
      <c r="AB23" s="883">
        <f t="shared" si="37"/>
        <v>3.0648815594273744</v>
      </c>
      <c r="AC23" s="888">
        <f>Factors!E28</f>
        <v>1</v>
      </c>
      <c r="AD23" s="885">
        <f t="shared" si="55"/>
        <v>2.2192897198595394</v>
      </c>
      <c r="AE23" s="883">
        <f t="shared" si="56"/>
        <v>0.53789286929379632</v>
      </c>
      <c r="AF23" s="883">
        <f t="shared" si="57"/>
        <v>0.25633910261412407</v>
      </c>
      <c r="AG23" s="883">
        <f t="shared" si="58"/>
        <v>0</v>
      </c>
      <c r="AH23" s="883">
        <f t="shared" si="59"/>
        <v>0</v>
      </c>
      <c r="AI23" s="883">
        <f t="shared" si="60"/>
        <v>5.1359867659914744E-2</v>
      </c>
      <c r="AJ23" s="889">
        <f t="shared" si="9"/>
        <v>3.0648815594273744</v>
      </c>
      <c r="AK23" s="885">
        <f t="shared" si="30"/>
        <v>8.1373956394849767</v>
      </c>
      <c r="AL23" s="883">
        <f t="shared" si="31"/>
        <v>1.9722738540772531</v>
      </c>
      <c r="AM23" s="883">
        <f t="shared" si="32"/>
        <v>0.93991004291845492</v>
      </c>
      <c r="AN23" s="883">
        <f t="shared" si="33"/>
        <v>0</v>
      </c>
      <c r="AO23" s="883">
        <f t="shared" si="34"/>
        <v>0</v>
      </c>
      <c r="AP23" s="883">
        <f t="shared" si="35"/>
        <v>0.18831951475302072</v>
      </c>
      <c r="AQ23" s="890">
        <f t="shared" si="38"/>
        <v>11.237899051233706</v>
      </c>
    </row>
    <row r="24" spans="1:43">
      <c r="A24" s="817"/>
      <c r="B24" s="860" t="s">
        <v>1600</v>
      </c>
      <c r="C24" s="883">
        <f>HLOOKUP($B$2,'Consumption Input'!$E$5:$AQ$82,'Consumption Input'!$B11)</f>
        <v>526.66899999999998</v>
      </c>
      <c r="D24" s="883">
        <f>HLOOKUP($B$2,'Consumption Input'!$E$5:$AQ$82,'Consumption Input'!$B17)</f>
        <v>140.345</v>
      </c>
      <c r="E24"/>
      <c r="F24" s="883">
        <f>HLOOKUP($B$2,'Consumption Input'!$E$5:$AQ$82,'Consumption Input'!$B53)</f>
        <v>14.29</v>
      </c>
      <c r="G24" s="883"/>
      <c r="H24"/>
      <c r="I24" s="883">
        <f>SUM(C24:H24)</f>
        <v>681.30399999999997</v>
      </c>
      <c r="J24" s="884"/>
      <c r="K24"/>
      <c r="L24" s="883"/>
      <c r="M24" s="883"/>
      <c r="N24" s="885">
        <f>C24</f>
        <v>526.66899999999998</v>
      </c>
      <c r="O24" s="883">
        <f t="shared" si="44"/>
        <v>140.345</v>
      </c>
      <c r="P24"/>
      <c r="Q24" s="883">
        <f t="shared" si="46"/>
        <v>14.29</v>
      </c>
      <c r="R24" s="883">
        <f t="shared" si="47"/>
        <v>0</v>
      </c>
      <c r="S24" s="1007"/>
      <c r="T24" s="883">
        <f t="shared" si="7"/>
        <v>681.30399999999997</v>
      </c>
      <c r="U24" s="1005">
        <f>HLOOKUP($B$2,Factors!$J$12:$BE$25,Factors!$H17,FALSE)</f>
        <v>17.146363636363635</v>
      </c>
      <c r="V24" s="885">
        <f>N24*$U24*TbtuToQBtu</f>
        <v>9.0304581899999992</v>
      </c>
      <c r="W24" s="883">
        <f>O24*$U24*TbtuToQBtu</f>
        <v>2.4064064045454545</v>
      </c>
      <c r="X24"/>
      <c r="Y24" s="883">
        <f>Q24*$U24*TbtuToQBtu</f>
        <v>0.24502153636363633</v>
      </c>
      <c r="Z24" s="883">
        <f t="shared" ref="Z24" si="61">R24*$U24*TbtuToQBtu</f>
        <v>0</v>
      </c>
      <c r="AA24"/>
      <c r="AB24" s="883">
        <f>SUM(V24:AA24)</f>
        <v>11.68188613090909</v>
      </c>
      <c r="AC24" s="888">
        <f>Factors!E30</f>
        <v>1</v>
      </c>
      <c r="AD24" s="885">
        <f>V24*$AC24</f>
        <v>9.0304581899999992</v>
      </c>
      <c r="AE24" s="883">
        <f t="shared" si="56"/>
        <v>2.4064064045454545</v>
      </c>
      <c r="AF24"/>
      <c r="AG24" s="883">
        <f t="shared" si="56"/>
        <v>0.24502153636363633</v>
      </c>
      <c r="AH24" s="883">
        <f t="shared" si="56"/>
        <v>0</v>
      </c>
      <c r="AI24"/>
      <c r="AJ24" s="889">
        <f t="shared" si="9"/>
        <v>11.68188613090909</v>
      </c>
      <c r="AK24" s="885">
        <f>AD24*CtoCO2</f>
        <v>33.111680029999995</v>
      </c>
      <c r="AL24" s="883">
        <f t="shared" ref="AL24" si="62">AE24*CtoCO2</f>
        <v>8.8234901499999996</v>
      </c>
      <c r="AN24" s="883">
        <f t="shared" ref="AN24" si="63">AG24*CtoCO2</f>
        <v>0.89841229999999983</v>
      </c>
      <c r="AO24" s="883">
        <f t="shared" ref="AO24" si="64">AH24*CtoCO2</f>
        <v>0</v>
      </c>
      <c r="AQ24" s="890">
        <f t="shared" si="38"/>
        <v>42.83358247999999</v>
      </c>
    </row>
    <row r="25" spans="1:43">
      <c r="A25" s="817"/>
      <c r="B25" s="860" t="s">
        <v>1609</v>
      </c>
      <c r="C25" s="883"/>
      <c r="D25" s="883"/>
      <c r="E25" s="883">
        <f>HLOOKUP($B$2,'Consumption Input'!$E$5:$AQ$82,'Consumption Input'!$B30)</f>
        <v>2145.6808347430001</v>
      </c>
      <c r="F25" s="883"/>
      <c r="G25" s="883"/>
      <c r="H25" s="883">
        <f>HLOOKUP($B$2,'US Territories'!$D$28:$AO$38,'US Territories'!$B34)</f>
        <v>2.3628925898964828</v>
      </c>
      <c r="I25" s="883">
        <f>SUM(C25:H25)</f>
        <v>2148.0437273328967</v>
      </c>
      <c r="J25" s="884"/>
      <c r="K25" s="883">
        <f>HLOOKUP($B$2,NEUConsumption,'Non-Energy Use'!$C$11)</f>
        <v>2001.4533227973809</v>
      </c>
      <c r="L25" s="883"/>
      <c r="M25" s="883"/>
      <c r="N25" s="885"/>
      <c r="O25" s="883"/>
      <c r="P25" s="883">
        <f>E25-K25</f>
        <v>144.2275119456192</v>
      </c>
      <c r="Q25" s="883"/>
      <c r="R25" s="883"/>
      <c r="S25" s="886">
        <f>H25-M25</f>
        <v>2.3628925898964828</v>
      </c>
      <c r="T25" s="883">
        <f t="shared" si="7"/>
        <v>146.59040453551569</v>
      </c>
      <c r="U25" s="1005">
        <f>HLOOKUP($B$2,Factors!$J$12:$BE$25,Factors!$H18,FALSE)</f>
        <v>17.481293204534854</v>
      </c>
      <c r="V25" s="885"/>
      <c r="W25" s="883"/>
      <c r="X25" s="883">
        <f>P25*$U25*TbtuToQBtu</f>
        <v>2.5212834244819224</v>
      </c>
      <c r="Y25" s="883"/>
      <c r="Z25" s="883"/>
      <c r="AA25" s="883">
        <f>S25*$U25*TbtuToQBtu</f>
        <v>4.1306418174803149E-2</v>
      </c>
      <c r="AB25" s="883">
        <f>SUM(V25:AA25)</f>
        <v>2.5625898426567257</v>
      </c>
      <c r="AC25" s="888">
        <f>Factors!E31</f>
        <v>1</v>
      </c>
      <c r="AD25" s="885"/>
      <c r="AE25" s="883"/>
      <c r="AF25" s="883">
        <f>X25*$AC25</f>
        <v>2.5212834244819224</v>
      </c>
      <c r="AG25" s="883"/>
      <c r="AH25" s="883"/>
      <c r="AI25" s="883">
        <f>AA25*$AC25</f>
        <v>4.1306418174803149E-2</v>
      </c>
      <c r="AJ25" s="889">
        <f t="shared" si="9"/>
        <v>2.5625898426567257</v>
      </c>
      <c r="AK25" s="885"/>
      <c r="AL25" s="883"/>
      <c r="AM25" s="883">
        <f>AF25*CtoCO2</f>
        <v>9.2447058897670491</v>
      </c>
      <c r="AN25" s="883"/>
      <c r="AO25" s="883"/>
      <c r="AP25" s="883">
        <f>AI25*CtoCO2</f>
        <v>0.15145686664094488</v>
      </c>
      <c r="AQ25" s="890">
        <f t="shared" si="38"/>
        <v>9.3961627564079944</v>
      </c>
    </row>
    <row r="26" spans="1:43">
      <c r="A26" s="817"/>
      <c r="B26" s="860" t="s">
        <v>1610</v>
      </c>
      <c r="C26" s="883"/>
      <c r="D26" s="883"/>
      <c r="E26" s="883">
        <f>HLOOKUP($B$2,'Consumption Input'!$E$5:$AQ$82,'Consumption Input'!$B31)</f>
        <v>192.79900000000001</v>
      </c>
      <c r="F26" s="883">
        <f>HLOOKUP($B$2,'Consumption Input'!$E$5:$AQ$82,'Consumption Input'!$B54)</f>
        <v>182.09700000000001</v>
      </c>
      <c r="G26" s="883"/>
      <c r="H26" s="883">
        <f>HLOOKUP($B$2,'US Territories'!$D$28:$Z$38,'US Territories'!$B35)</f>
        <v>1.3778800575000003</v>
      </c>
      <c r="I26" s="883">
        <f t="shared" si="36"/>
        <v>376.27388005750004</v>
      </c>
      <c r="J26" s="961"/>
      <c r="K26" s="940">
        <f>HLOOKUP($B$2,NEUConsumption,'Non-Energy Use'!$C$12)</f>
        <v>192.79900000000001</v>
      </c>
      <c r="L26" s="940">
        <f>HLOOKUP($B$2,NEUConsumption,'Non-Energy Use'!$C$24)</f>
        <v>182.09700000000001</v>
      </c>
      <c r="M26" s="940">
        <f>HLOOKUP($B$2,NEUConsumption,'Non-Energy Use'!$C$26)</f>
        <v>1.3778800575000003</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7"/>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27.655017047930102</v>
      </c>
      <c r="E27" s="883">
        <f>HLOOKUP($B$2,'Consumption Input'!$E$5:$AQ$82,'Consumption Input'!$B32)</f>
        <v>147.60023743863499</v>
      </c>
      <c r="F27" s="883">
        <f>HLOOKUP($B$2,'Consumption Input'!$E$5:$AQ$82,'Consumption Input'!$B55)</f>
        <v>15710.173138693437</v>
      </c>
      <c r="G27" s="883"/>
      <c r="H27" s="883">
        <f>HLOOKUP($B$2,'US Territories'!$D$28:$Z$38,'US Territories'!$B36)</f>
        <v>60.226565604530919</v>
      </c>
      <c r="I27" s="883">
        <f t="shared" si="36"/>
        <v>15945.654958784533</v>
      </c>
      <c r="J27" s="961"/>
      <c r="K27" s="940"/>
      <c r="L27" s="940"/>
      <c r="M27" s="940"/>
      <c r="N27" s="885">
        <f t="shared" si="43"/>
        <v>0</v>
      </c>
      <c r="O27" s="883">
        <f t="shared" si="44"/>
        <v>27.655017047930102</v>
      </c>
      <c r="P27" s="883">
        <f t="shared" si="45"/>
        <v>147.60023743863499</v>
      </c>
      <c r="Q27" s="883">
        <f t="shared" si="46"/>
        <v>15710.173138693437</v>
      </c>
      <c r="R27" s="883">
        <f t="shared" si="47"/>
        <v>0</v>
      </c>
      <c r="S27" s="886">
        <f t="shared" si="48"/>
        <v>60.226565604530919</v>
      </c>
      <c r="T27" s="883">
        <f t="shared" si="7"/>
        <v>15945.654958784533</v>
      </c>
      <c r="U27" s="887">
        <f>HLOOKUP($B$2,Factors!$J$12:$Y$25,Factors!$H20)</f>
        <v>19.321635852506081</v>
      </c>
      <c r="V27" s="885">
        <f t="shared" si="49"/>
        <v>0</v>
      </c>
      <c r="W27" s="883">
        <f t="shared" si="50"/>
        <v>0.53434016889495306</v>
      </c>
      <c r="X27" s="883">
        <f t="shared" si="51"/>
        <v>2.8518780395327399</v>
      </c>
      <c r="Y27" s="883">
        <f t="shared" si="52"/>
        <v>303.5462445656571</v>
      </c>
      <c r="Z27" s="883">
        <f t="shared" si="53"/>
        <v>0</v>
      </c>
      <c r="AA27" s="883">
        <f t="shared" si="54"/>
        <v>1.1636757692578141</v>
      </c>
      <c r="AB27" s="883">
        <f t="shared" si="37"/>
        <v>308.09613854334259</v>
      </c>
      <c r="AC27" s="888">
        <f>Factors!E34</f>
        <v>1</v>
      </c>
      <c r="AD27" s="885">
        <f t="shared" si="55"/>
        <v>0</v>
      </c>
      <c r="AE27" s="883">
        <f t="shared" si="56"/>
        <v>0.53434016889495306</v>
      </c>
      <c r="AF27" s="883">
        <f t="shared" si="57"/>
        <v>2.8518780395327399</v>
      </c>
      <c r="AG27" s="883">
        <f>Y27*$AC44</f>
        <v>303.5462445656571</v>
      </c>
      <c r="AH27" s="883">
        <f t="shared" si="59"/>
        <v>0</v>
      </c>
      <c r="AI27" s="883">
        <f t="shared" si="60"/>
        <v>1.1636757692578141</v>
      </c>
      <c r="AJ27" s="889">
        <f t="shared" si="9"/>
        <v>308.09613854334259</v>
      </c>
      <c r="AK27" s="885">
        <f t="shared" si="30"/>
        <v>0</v>
      </c>
      <c r="AL27" s="883">
        <f t="shared" si="31"/>
        <v>1.9592472859481611</v>
      </c>
      <c r="AM27" s="883">
        <f t="shared" si="32"/>
        <v>10.45688614495338</v>
      </c>
      <c r="AN27" s="883">
        <f t="shared" si="33"/>
        <v>1113.0028967407427</v>
      </c>
      <c r="AO27" s="883">
        <f t="shared" si="34"/>
        <v>0</v>
      </c>
      <c r="AP27" s="883">
        <f t="shared" si="35"/>
        <v>4.2668111539453184</v>
      </c>
      <c r="AQ27" s="890">
        <f t="shared" si="38"/>
        <v>1129.6858413255895</v>
      </c>
    </row>
    <row r="28" spans="1:43">
      <c r="A28" s="817"/>
      <c r="B28" s="860" t="s">
        <v>1602</v>
      </c>
      <c r="C28" s="883"/>
      <c r="D28" s="883">
        <f>HLOOKUP($B$2,'Consumption Input'!$E$5:$AQ$82,'Consumption Input'!$B19)</f>
        <v>73.302000000000007</v>
      </c>
      <c r="E28" s="883">
        <f>HLOOKUP($B$2,'Consumption Input'!$E$5:$AQ$82,'Consumption Input'!$B33)</f>
        <v>154.0335</v>
      </c>
      <c r="F28" s="883">
        <f>HLOOKUP($B$2,'Consumption Input'!$E$5:$AQ$82,'Consumption Input'!$B56)</f>
        <v>665.44899999999996</v>
      </c>
      <c r="G28" s="883">
        <f>HLOOKUP($B$2,'Consumption Input'!$E$5:$AQ$82,'Consumption Input'!$B61)</f>
        <v>958.72299999999996</v>
      </c>
      <c r="H28" s="883">
        <f>HLOOKUP($B$2,'US Territories'!$D$28:$Z$38,'US Territories'!$B37)</f>
        <v>47.950182948145262</v>
      </c>
      <c r="I28" s="883">
        <f t="shared" si="36"/>
        <v>1899.4576829481452</v>
      </c>
      <c r="J28" s="961">
        <f>HLOOKUP($B$2,IBFConsumption,'International Bunker Fuels'!$B$9)</f>
        <v>489.72961205199994</v>
      </c>
      <c r="K28" s="940"/>
      <c r="L28" s="940"/>
      <c r="M28" s="940"/>
      <c r="N28" s="885">
        <f t="shared" si="43"/>
        <v>0</v>
      </c>
      <c r="O28" s="883">
        <f t="shared" si="44"/>
        <v>73.302000000000007</v>
      </c>
      <c r="P28" s="883">
        <f t="shared" si="45"/>
        <v>154.0335</v>
      </c>
      <c r="Q28" s="883">
        <f t="shared" si="46"/>
        <v>175.71938794800002</v>
      </c>
      <c r="R28" s="883">
        <f t="shared" si="47"/>
        <v>958.72299999999996</v>
      </c>
      <c r="S28" s="886">
        <f t="shared" si="48"/>
        <v>47.950182948145262</v>
      </c>
      <c r="T28" s="883">
        <f t="shared" si="7"/>
        <v>1409.7280708961453</v>
      </c>
      <c r="U28" s="887">
        <f>Factors!D36</f>
        <v>20.48</v>
      </c>
      <c r="V28" s="885">
        <f t="shared" si="49"/>
        <v>0</v>
      </c>
      <c r="W28" s="883">
        <f t="shared" si="50"/>
        <v>1.5012249600000003</v>
      </c>
      <c r="X28" s="883">
        <f t="shared" si="51"/>
        <v>3.1546060800000002</v>
      </c>
      <c r="Y28" s="883">
        <f t="shared" si="52"/>
        <v>3.5987330651750402</v>
      </c>
      <c r="Z28" s="883">
        <f t="shared" si="53"/>
        <v>19.634647040000001</v>
      </c>
      <c r="AA28" s="883">
        <f t="shared" si="54"/>
        <v>0.98201974677801507</v>
      </c>
      <c r="AB28" s="883">
        <f t="shared" si="37"/>
        <v>28.871230891953054</v>
      </c>
      <c r="AC28" s="888">
        <f>Factors!E36</f>
        <v>1</v>
      </c>
      <c r="AD28" s="885">
        <f t="shared" si="55"/>
        <v>0</v>
      </c>
      <c r="AE28" s="883">
        <f t="shared" si="56"/>
        <v>1.5012249600000003</v>
      </c>
      <c r="AF28" s="883">
        <f t="shared" si="57"/>
        <v>3.1546060800000002</v>
      </c>
      <c r="AG28" s="883">
        <f t="shared" si="58"/>
        <v>3.5987330651750402</v>
      </c>
      <c r="AH28" s="883">
        <f t="shared" si="59"/>
        <v>19.634647040000001</v>
      </c>
      <c r="AI28" s="883">
        <f t="shared" si="60"/>
        <v>0.98201974677801507</v>
      </c>
      <c r="AJ28" s="889">
        <f t="shared" si="9"/>
        <v>28.871230891953054</v>
      </c>
      <c r="AK28" s="885">
        <f t="shared" si="30"/>
        <v>0</v>
      </c>
      <c r="AL28" s="883">
        <f t="shared" si="31"/>
        <v>5.5044915200000011</v>
      </c>
      <c r="AM28" s="883">
        <f t="shared" si="32"/>
        <v>11.56688896</v>
      </c>
      <c r="AN28" s="883">
        <f t="shared" si="33"/>
        <v>13.19535457230848</v>
      </c>
      <c r="AO28" s="883">
        <f t="shared" si="34"/>
        <v>71.993705813333335</v>
      </c>
      <c r="AP28" s="883">
        <f t="shared" si="35"/>
        <v>3.6007390715193885</v>
      </c>
      <c r="AQ28" s="890">
        <f t="shared" si="38"/>
        <v>105.8611799371612</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7"/>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6.3958159999999999</v>
      </c>
      <c r="F30" s="883"/>
      <c r="G30" s="883"/>
      <c r="H30" s="883"/>
      <c r="I30" s="883">
        <f t="shared" si="36"/>
        <v>6.3958159999999999</v>
      </c>
      <c r="J30" s="961"/>
      <c r="K30" s="940"/>
      <c r="L30" s="940"/>
      <c r="M30" s="940"/>
      <c r="N30" s="885">
        <f t="shared" si="43"/>
        <v>0</v>
      </c>
      <c r="O30" s="883">
        <f t="shared" si="44"/>
        <v>0</v>
      </c>
      <c r="P30" s="883">
        <f t="shared" si="45"/>
        <v>6.3958159999999999</v>
      </c>
      <c r="Q30" s="883">
        <f t="shared" si="46"/>
        <v>0</v>
      </c>
      <c r="R30" s="883">
        <f t="shared" si="47"/>
        <v>0</v>
      </c>
      <c r="S30" s="886">
        <f t="shared" si="48"/>
        <v>0</v>
      </c>
      <c r="T30" s="883">
        <f t="shared" si="7"/>
        <v>6.3958159999999999</v>
      </c>
      <c r="U30" s="887">
        <f>Factors!D39</f>
        <v>18.87</v>
      </c>
      <c r="V30" s="885">
        <f t="shared" si="49"/>
        <v>0</v>
      </c>
      <c r="W30" s="883">
        <f t="shared" si="50"/>
        <v>0</v>
      </c>
      <c r="X30" s="883">
        <f t="shared" si="51"/>
        <v>0.12068904792000001</v>
      </c>
      <c r="Y30" s="883">
        <f t="shared" si="52"/>
        <v>0</v>
      </c>
      <c r="Z30" s="883">
        <f t="shared" si="53"/>
        <v>0</v>
      </c>
      <c r="AA30" s="883">
        <f t="shared" si="54"/>
        <v>0</v>
      </c>
      <c r="AB30" s="883">
        <f t="shared" si="37"/>
        <v>0.12068904792000001</v>
      </c>
      <c r="AC30" s="888">
        <f>Factors!E39</f>
        <v>1</v>
      </c>
      <c r="AD30" s="885">
        <f t="shared" si="55"/>
        <v>0</v>
      </c>
      <c r="AE30" s="883">
        <f t="shared" si="56"/>
        <v>0</v>
      </c>
      <c r="AF30" s="883">
        <f t="shared" si="57"/>
        <v>0.12068904792000001</v>
      </c>
      <c r="AG30" s="883">
        <f t="shared" si="58"/>
        <v>0</v>
      </c>
      <c r="AH30" s="883">
        <f t="shared" si="59"/>
        <v>0</v>
      </c>
      <c r="AI30" s="883">
        <f t="shared" si="60"/>
        <v>0</v>
      </c>
      <c r="AJ30" s="889">
        <f t="shared" si="9"/>
        <v>0.12068904792000001</v>
      </c>
      <c r="AK30" s="885">
        <f t="shared" si="30"/>
        <v>0</v>
      </c>
      <c r="AL30" s="883">
        <f t="shared" si="31"/>
        <v>0</v>
      </c>
      <c r="AM30" s="883">
        <f t="shared" si="32"/>
        <v>0.44252650904000002</v>
      </c>
      <c r="AN30" s="883">
        <f t="shared" si="33"/>
        <v>0</v>
      </c>
      <c r="AO30" s="883">
        <f t="shared" si="34"/>
        <v>0</v>
      </c>
      <c r="AP30" s="883">
        <f t="shared" si="35"/>
        <v>0</v>
      </c>
      <c r="AQ30" s="890">
        <f t="shared" si="38"/>
        <v>0.44252650904000002</v>
      </c>
    </row>
    <row r="31" spans="1:43">
      <c r="A31" s="817"/>
      <c r="B31" s="865" t="s">
        <v>1612</v>
      </c>
      <c r="C31" s="883"/>
      <c r="D31" s="883"/>
      <c r="E31" s="883">
        <f>HLOOKUP($B$2,'Consumption Input'!$E$5:$AQ$82,'Consumption Input'!$B36)</f>
        <v>0</v>
      </c>
      <c r="F31" s="883"/>
      <c r="G31" s="883"/>
      <c r="H31" s="883"/>
      <c r="I31" s="883">
        <f t="shared" si="36"/>
        <v>0</v>
      </c>
      <c r="J31" s="961"/>
      <c r="K31" s="940"/>
      <c r="L31" s="940"/>
      <c r="M31" s="940"/>
      <c r="N31" s="885">
        <f t="shared" si="43"/>
        <v>0</v>
      </c>
      <c r="O31" s="883">
        <f t="shared" si="44"/>
        <v>0</v>
      </c>
      <c r="P31" s="883">
        <f t="shared" si="45"/>
        <v>0</v>
      </c>
      <c r="Q31" s="883">
        <f t="shared" si="46"/>
        <v>0</v>
      </c>
      <c r="R31" s="883">
        <f t="shared" si="47"/>
        <v>0</v>
      </c>
      <c r="S31" s="886">
        <f t="shared" si="48"/>
        <v>0</v>
      </c>
      <c r="T31" s="883">
        <f t="shared" si="7"/>
        <v>0</v>
      </c>
      <c r="U31" s="887">
        <f>HLOOKUP($B$2,Factors!$J$12:$Y$25,Factors!$H25)</f>
        <v>20.170330808793103</v>
      </c>
      <c r="V31" s="885">
        <f t="shared" si="49"/>
        <v>0</v>
      </c>
      <c r="W31" s="883">
        <f t="shared" si="50"/>
        <v>0</v>
      </c>
      <c r="X31" s="883">
        <f t="shared" si="51"/>
        <v>0</v>
      </c>
      <c r="Y31" s="883">
        <f t="shared" si="52"/>
        <v>0</v>
      </c>
      <c r="Z31" s="883">
        <f t="shared" si="53"/>
        <v>0</v>
      </c>
      <c r="AA31" s="883">
        <f t="shared" si="54"/>
        <v>0</v>
      </c>
      <c r="AB31" s="883">
        <f t="shared" si="37"/>
        <v>0</v>
      </c>
      <c r="AC31" s="888">
        <f>Factors!E40</f>
        <v>1</v>
      </c>
      <c r="AD31" s="885">
        <f t="shared" si="55"/>
        <v>0</v>
      </c>
      <c r="AE31" s="883">
        <f t="shared" si="56"/>
        <v>0</v>
      </c>
      <c r="AF31" s="883">
        <f t="shared" si="57"/>
        <v>0</v>
      </c>
      <c r="AG31" s="883">
        <f t="shared" si="58"/>
        <v>0</v>
      </c>
      <c r="AH31" s="883">
        <f t="shared" si="59"/>
        <v>0</v>
      </c>
      <c r="AI31" s="883">
        <f t="shared" si="60"/>
        <v>0</v>
      </c>
      <c r="AJ31" s="889">
        <f t="shared" si="9"/>
        <v>0</v>
      </c>
      <c r="AK31" s="885">
        <f t="shared" si="30"/>
        <v>0</v>
      </c>
      <c r="AL31" s="883">
        <f t="shared" si="31"/>
        <v>0</v>
      </c>
      <c r="AM31" s="883">
        <f t="shared" si="32"/>
        <v>0</v>
      </c>
      <c r="AN31" s="883">
        <f t="shared" si="33"/>
        <v>0</v>
      </c>
      <c r="AO31" s="883">
        <f t="shared" si="34"/>
        <v>0</v>
      </c>
      <c r="AP31" s="883">
        <f t="shared" si="35"/>
        <v>0</v>
      </c>
      <c r="AQ31" s="890">
        <f t="shared" si="38"/>
        <v>0</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887">
        <f>HLOOKUP($B$2,Factors!$J$12:$Y$25,Factors!$H22)</f>
        <v>19.321635852506081</v>
      </c>
      <c r="V32" s="885">
        <f t="shared" si="49"/>
        <v>0</v>
      </c>
      <c r="W32" s="883">
        <f t="shared" si="50"/>
        <v>0</v>
      </c>
      <c r="X32" s="883">
        <f t="shared" si="51"/>
        <v>0</v>
      </c>
      <c r="Y32" s="883">
        <f t="shared" si="52"/>
        <v>0</v>
      </c>
      <c r="Z32" s="883">
        <f t="shared" si="53"/>
        <v>0</v>
      </c>
      <c r="AA32" s="883">
        <f t="shared" si="54"/>
        <v>0</v>
      </c>
      <c r="AB32" s="883">
        <f t="shared" si="37"/>
        <v>0</v>
      </c>
      <c r="AC32" s="888">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30"/>
        <v>0</v>
      </c>
      <c r="AL32" s="883">
        <f t="shared" si="31"/>
        <v>0</v>
      </c>
      <c r="AM32" s="883">
        <f t="shared" si="32"/>
        <v>0</v>
      </c>
      <c r="AN32" s="883">
        <f t="shared" si="33"/>
        <v>0</v>
      </c>
      <c r="AO32" s="883">
        <f t="shared" si="34"/>
        <v>0</v>
      </c>
      <c r="AP32" s="883">
        <f t="shared" si="35"/>
        <v>0</v>
      </c>
      <c r="AQ32" s="890">
        <f t="shared" si="38"/>
        <v>0</v>
      </c>
    </row>
    <row r="33" spans="1:43">
      <c r="A33" s="817"/>
      <c r="B33" s="865" t="s">
        <v>1739</v>
      </c>
      <c r="C33" s="883"/>
      <c r="D33" s="883"/>
      <c r="E33" s="883">
        <f>HLOOKUP($B$2,'Consumption Input'!$E$5:$AQ$82,'Consumption Input'!$B38)</f>
        <v>111.90916799999999</v>
      </c>
      <c r="F33" s="883"/>
      <c r="G33" s="883"/>
      <c r="H33" s="883">
        <f>HLOOKUP($B$2,'US Territories'!$D$28:$Z$38,'US Territories'!$B$38)</f>
        <v>133.86636754961611</v>
      </c>
      <c r="I33" s="883">
        <f t="shared" si="36"/>
        <v>245.77553554961611</v>
      </c>
      <c r="J33" s="961"/>
      <c r="K33" s="940">
        <f>HLOOKUP($B$2,NEUConsumption,'Non-Energy Use'!C22)</f>
        <v>111.90916799999999</v>
      </c>
      <c r="L33" s="940"/>
      <c r="M33" s="940">
        <f>HLOOKUP($B$2,NEUConsumption,'Non-Energy Use'!$C$27)</f>
        <v>133.86636754961611</v>
      </c>
      <c r="N33" s="885">
        <f t="shared" si="43"/>
        <v>0</v>
      </c>
      <c r="O33" s="883">
        <f t="shared" si="44"/>
        <v>0</v>
      </c>
      <c r="P33" s="883">
        <f t="shared" si="45"/>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7"/>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502.07615999999996</v>
      </c>
      <c r="F34" s="883"/>
      <c r="G34" s="883"/>
      <c r="H34" s="883"/>
      <c r="I34" s="883">
        <f t="shared" si="36"/>
        <v>502.07615999999996</v>
      </c>
      <c r="J34" s="961"/>
      <c r="K34" s="940">
        <f>HLOOKUP($B$2,NEUConsumption,'Non-Energy Use'!C14)</f>
        <v>502.07615999999996</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7"/>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811.14289999999994</v>
      </c>
      <c r="F35" s="883"/>
      <c r="G35" s="883"/>
      <c r="H35" s="883"/>
      <c r="I35" s="883">
        <f t="shared" si="36"/>
        <v>811.14289999999994</v>
      </c>
      <c r="J35" s="961"/>
      <c r="K35" s="940">
        <f>HLOOKUP($B$2,NEUConsumption,'Non-Energy Use'!$C$15)</f>
        <v>811.14289999999994</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7"/>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7"/>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0.11999999999999998</v>
      </c>
      <c r="E37" s="883">
        <f>HLOOKUP($B$2,'Consumption Input'!$E$5:$AQ$82,'Consumption Input'!$B42)</f>
        <v>935.76400000000001</v>
      </c>
      <c r="F37" s="883"/>
      <c r="G37" s="883">
        <f>HLOOKUP($B$2,'Consumption Input'!$E$5:$AQ$82,'Consumption Input'!$B63)</f>
        <v>112.49099999999999</v>
      </c>
      <c r="H37" s="883"/>
      <c r="I37" s="883">
        <f t="shared" si="36"/>
        <v>1048.375</v>
      </c>
      <c r="J37" s="961"/>
      <c r="K37" s="940">
        <f>HLOOKUP($B$2,NEUConsumption,'Non-Energy Use'!$C$17)</f>
        <v>215.9866516206726</v>
      </c>
      <c r="L37" s="940"/>
      <c r="M37" s="940"/>
      <c r="N37" s="885">
        <f t="shared" si="43"/>
        <v>0</v>
      </c>
      <c r="O37" s="883">
        <f t="shared" si="44"/>
        <v>0.11999999999999998</v>
      </c>
      <c r="P37" s="883">
        <f t="shared" si="45"/>
        <v>719.77734837932735</v>
      </c>
      <c r="Q37" s="883">
        <f t="shared" si="46"/>
        <v>0</v>
      </c>
      <c r="R37" s="883">
        <f t="shared" si="47"/>
        <v>112.49099999999999</v>
      </c>
      <c r="S37" s="886">
        <f t="shared" si="48"/>
        <v>0</v>
      </c>
      <c r="T37" s="883">
        <f t="shared" si="7"/>
        <v>832.38834837932734</v>
      </c>
      <c r="U37" s="887">
        <f>Factors!D48</f>
        <v>27.84770010865628</v>
      </c>
      <c r="V37" s="885">
        <f t="shared" si="49"/>
        <v>0</v>
      </c>
      <c r="W37" s="883">
        <f t="shared" si="50"/>
        <v>3.3417240130387531E-3</v>
      </c>
      <c r="X37" s="883">
        <f t="shared" si="51"/>
        <v>20.044143742671324</v>
      </c>
      <c r="Y37" s="883">
        <f t="shared" si="52"/>
        <v>0</v>
      </c>
      <c r="Z37" s="883">
        <f t="shared" si="53"/>
        <v>3.1326156329228536</v>
      </c>
      <c r="AA37" s="883">
        <f t="shared" si="54"/>
        <v>0</v>
      </c>
      <c r="AB37" s="883">
        <f t="shared" si="37"/>
        <v>23.180101099607217</v>
      </c>
      <c r="AC37" s="888">
        <f>Factors!E48</f>
        <v>1</v>
      </c>
      <c r="AD37" s="885">
        <f t="shared" si="55"/>
        <v>0</v>
      </c>
      <c r="AE37" s="883">
        <f t="shared" si="56"/>
        <v>3.3417240130387531E-3</v>
      </c>
      <c r="AF37" s="883">
        <f t="shared" si="57"/>
        <v>20.044143742671324</v>
      </c>
      <c r="AG37" s="883">
        <f t="shared" si="58"/>
        <v>0</v>
      </c>
      <c r="AH37" s="883">
        <f t="shared" si="59"/>
        <v>3.1326156329228536</v>
      </c>
      <c r="AI37" s="883">
        <f t="shared" si="60"/>
        <v>0</v>
      </c>
      <c r="AJ37" s="889">
        <f t="shared" si="9"/>
        <v>23.180101099607217</v>
      </c>
      <c r="AK37" s="885">
        <f t="shared" si="30"/>
        <v>0</v>
      </c>
      <c r="AL37" s="883">
        <f t="shared" si="31"/>
        <v>1.2252988047808762E-2</v>
      </c>
      <c r="AM37" s="883">
        <f t="shared" si="32"/>
        <v>73.495193723128182</v>
      </c>
      <c r="AN37" s="883">
        <f t="shared" si="33"/>
        <v>0</v>
      </c>
      <c r="AO37" s="883">
        <f t="shared" si="34"/>
        <v>11.486257320717129</v>
      </c>
      <c r="AP37" s="883">
        <f t="shared" si="35"/>
        <v>0</v>
      </c>
      <c r="AQ37" s="890">
        <f t="shared" si="38"/>
        <v>84.993704031893117</v>
      </c>
    </row>
    <row r="38" spans="1:43">
      <c r="A38" s="817"/>
      <c r="B38" s="865" t="s">
        <v>1618</v>
      </c>
      <c r="C38" s="883"/>
      <c r="D38" s="883"/>
      <c r="E38" s="883">
        <f>HLOOKUP($B$2,'Consumption Input'!$E$5:$AQ$82,'Consumption Input'!$B43)</f>
        <v>1437.12</v>
      </c>
      <c r="F38" s="883"/>
      <c r="G38" s="883"/>
      <c r="H38" s="883"/>
      <c r="I38" s="883">
        <f t="shared" si="36"/>
        <v>1437.12</v>
      </c>
      <c r="J38" s="961"/>
      <c r="K38" s="940">
        <f>HLOOKUP($B$2,NEUConsumption,'Non-Energy Use'!$C$16)</f>
        <v>23.022000000000041</v>
      </c>
      <c r="L38" s="940"/>
      <c r="M38" s="940"/>
      <c r="N38" s="885">
        <f t="shared" si="43"/>
        <v>0</v>
      </c>
      <c r="O38" s="883">
        <f t="shared" si="44"/>
        <v>0</v>
      </c>
      <c r="P38" s="883">
        <f t="shared" si="45"/>
        <v>1414.098</v>
      </c>
      <c r="Q38" s="883">
        <f t="shared" si="46"/>
        <v>0</v>
      </c>
      <c r="R38" s="883">
        <f t="shared" si="47"/>
        <v>0</v>
      </c>
      <c r="S38" s="886">
        <f t="shared" si="48"/>
        <v>0</v>
      </c>
      <c r="T38" s="883">
        <f t="shared" si="7"/>
        <v>1414.098</v>
      </c>
      <c r="U38" s="887">
        <f>Factors!D51</f>
        <v>18.195454545454545</v>
      </c>
      <c r="V38" s="885">
        <f t="shared" si="49"/>
        <v>0</v>
      </c>
      <c r="W38" s="883">
        <f t="shared" si="50"/>
        <v>0</v>
      </c>
      <c r="X38" s="883">
        <f t="shared" si="51"/>
        <v>25.730155881818181</v>
      </c>
      <c r="Y38" s="883">
        <f t="shared" si="52"/>
        <v>0</v>
      </c>
      <c r="Z38" s="883">
        <f t="shared" si="53"/>
        <v>0</v>
      </c>
      <c r="AA38" s="883">
        <f t="shared" si="54"/>
        <v>0</v>
      </c>
      <c r="AB38" s="883">
        <f t="shared" si="37"/>
        <v>25.730155881818181</v>
      </c>
      <c r="AC38" s="888">
        <f>Factors!E51</f>
        <v>1</v>
      </c>
      <c r="AD38" s="885">
        <f t="shared" si="55"/>
        <v>0</v>
      </c>
      <c r="AE38" s="883">
        <f t="shared" si="56"/>
        <v>0</v>
      </c>
      <c r="AF38" s="883">
        <f t="shared" si="57"/>
        <v>25.730155881818181</v>
      </c>
      <c r="AG38" s="883">
        <f t="shared" si="58"/>
        <v>0</v>
      </c>
      <c r="AH38" s="883">
        <f t="shared" si="59"/>
        <v>0</v>
      </c>
      <c r="AI38" s="883">
        <f t="shared" si="60"/>
        <v>0</v>
      </c>
      <c r="AJ38" s="889">
        <f t="shared" si="9"/>
        <v>25.730155881818181</v>
      </c>
      <c r="AK38" s="885">
        <f t="shared" si="30"/>
        <v>0</v>
      </c>
      <c r="AL38" s="883">
        <f t="shared" si="31"/>
        <v>0</v>
      </c>
      <c r="AM38" s="883">
        <f t="shared" si="32"/>
        <v>94.343904899999998</v>
      </c>
      <c r="AN38" s="883">
        <f t="shared" si="33"/>
        <v>0</v>
      </c>
      <c r="AO38" s="883">
        <f t="shared" si="34"/>
        <v>0</v>
      </c>
      <c r="AP38" s="883">
        <f t="shared" si="35"/>
        <v>0</v>
      </c>
      <c r="AQ38" s="890">
        <f t="shared" si="38"/>
        <v>94.343904899999998</v>
      </c>
    </row>
    <row r="39" spans="1:43">
      <c r="A39" s="817"/>
      <c r="B39" s="865" t="s">
        <v>1619</v>
      </c>
      <c r="C39" s="883"/>
      <c r="D39" s="883"/>
      <c r="E39" s="883">
        <f>HLOOKUP($B$2,'Consumption Input'!$E$5:$AQ$82,'Consumption Input'!$B44)</f>
        <v>145.39583999999999</v>
      </c>
      <c r="F39" s="883"/>
      <c r="G39" s="883"/>
      <c r="H39" s="883"/>
      <c r="I39" s="883">
        <f t="shared" si="36"/>
        <v>145.39583999999999</v>
      </c>
      <c r="J39" s="961"/>
      <c r="K39" s="940">
        <f>HLOOKUP($B$2,NEUConsumption,'Non-Energy Use'!$C$18)</f>
        <v>145.39583999999999</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7"/>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20.170330808793103</v>
      </c>
      <c r="V40" s="885">
        <f t="shared" si="49"/>
        <v>0</v>
      </c>
      <c r="W40" s="883">
        <f t="shared" si="50"/>
        <v>0</v>
      </c>
      <c r="X40" s="883">
        <f t="shared" si="51"/>
        <v>0</v>
      </c>
      <c r="Y40" s="883">
        <f t="shared" si="52"/>
        <v>0</v>
      </c>
      <c r="Z40" s="883">
        <f t="shared" si="53"/>
        <v>0</v>
      </c>
      <c r="AA40" s="883">
        <f t="shared" si="54"/>
        <v>0</v>
      </c>
      <c r="AB40" s="883">
        <f t="shared" si="37"/>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37.435656999999999</v>
      </c>
      <c r="F41" s="883"/>
      <c r="G41" s="883"/>
      <c r="H41" s="883"/>
      <c r="I41" s="883">
        <f t="shared" si="36"/>
        <v>37.435656999999999</v>
      </c>
      <c r="J41" s="961"/>
      <c r="K41" s="940">
        <f>HLOOKUP($B$2,NEUConsumption,'Non-Energy Use'!$C$21)</f>
        <v>37.435656999999999</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7"/>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50.589768356</v>
      </c>
      <c r="H42" s="917"/>
      <c r="I42" s="917">
        <f>G42</f>
        <v>50.589768356</v>
      </c>
      <c r="J42" s="968"/>
      <c r="K42" s="969"/>
      <c r="L42" s="970"/>
      <c r="M42" s="971"/>
      <c r="N42" s="917">
        <f t="shared" si="43"/>
        <v>0</v>
      </c>
      <c r="O42" s="917">
        <f t="shared" si="44"/>
        <v>0</v>
      </c>
      <c r="P42" s="917">
        <f>E42</f>
        <v>0</v>
      </c>
      <c r="Q42" s="917">
        <f>F42</f>
        <v>0</v>
      </c>
      <c r="R42" s="917">
        <f t="shared" si="47"/>
        <v>50.589768356</v>
      </c>
      <c r="S42" s="917">
        <f>H42</f>
        <v>0</v>
      </c>
      <c r="T42" s="917">
        <f t="shared" si="7"/>
        <v>50.589768356</v>
      </c>
      <c r="U42" s="921">
        <f>Factors!D56</f>
        <v>2.6974658424810825</v>
      </c>
      <c r="V42" s="917"/>
      <c r="W42" s="917"/>
      <c r="X42" s="917"/>
      <c r="Y42" s="917"/>
      <c r="Z42" s="917">
        <f>INDEX(Geothermal!$C$14:$AE$18,MATCH("Total",Geothermal!$C$14:$C$18,0),MATCH($B$2,Geothermal!$C$14:$AE$14,0))/CtoCO2</f>
        <v>0.13229162681492998</v>
      </c>
      <c r="AA42" s="917"/>
      <c r="AB42" s="917">
        <f t="shared" si="37"/>
        <v>0.13229162681492998</v>
      </c>
      <c r="AC42" s="921">
        <f>Factors!$E$56</f>
        <v>1</v>
      </c>
      <c r="AD42" s="917">
        <f t="shared" si="55"/>
        <v>0</v>
      </c>
      <c r="AE42" s="917">
        <f t="shared" si="56"/>
        <v>0</v>
      </c>
      <c r="AF42" s="917">
        <f t="shared" si="57"/>
        <v>0</v>
      </c>
      <c r="AG42" s="917">
        <f t="shared" si="58"/>
        <v>0</v>
      </c>
      <c r="AH42" s="917">
        <f t="shared" si="59"/>
        <v>0.13229162681492998</v>
      </c>
      <c r="AI42" s="917">
        <f t="shared" si="60"/>
        <v>0</v>
      </c>
      <c r="AJ42" s="920">
        <f t="shared" si="9"/>
        <v>0.13229162681492998</v>
      </c>
      <c r="AK42" s="919">
        <f t="shared" si="30"/>
        <v>0</v>
      </c>
      <c r="AL42" s="917">
        <f t="shared" si="31"/>
        <v>0</v>
      </c>
      <c r="AM42" s="917">
        <f t="shared" si="32"/>
        <v>0</v>
      </c>
      <c r="AN42" s="917">
        <f t="shared" si="33"/>
        <v>0</v>
      </c>
      <c r="AO42" s="917">
        <f t="shared" si="34"/>
        <v>0.48506929832140988</v>
      </c>
      <c r="AP42" s="917">
        <f t="shared" si="35"/>
        <v>0</v>
      </c>
      <c r="AQ42" s="920">
        <f t="shared" si="38"/>
        <v>0.48506929832140988</v>
      </c>
    </row>
    <row r="43" spans="1:43" ht="11.1" thickBot="1">
      <c r="A43" s="817"/>
      <c r="B43" s="867" t="s">
        <v>1740</v>
      </c>
      <c r="C43" s="922">
        <f>C8+C17+C18+C42</f>
        <v>6189.1115367682578</v>
      </c>
      <c r="D43" s="922">
        <f>D8+D17+D18+D42</f>
        <v>3857.9613935117422</v>
      </c>
      <c r="E43" s="922">
        <f>E8+E17+E18+E42</f>
        <v>19224.172203821938</v>
      </c>
      <c r="F43" s="922">
        <f>F8+F17+F18+F42</f>
        <v>26113.18807500296</v>
      </c>
      <c r="G43" s="922">
        <f>G8+G17+G18+G42</f>
        <v>25443.430768356</v>
      </c>
      <c r="H43" s="922">
        <f>H16+H17+H18+H42</f>
        <v>346.37269786853142</v>
      </c>
      <c r="I43" s="922">
        <f>SUM(C43:H43)</f>
        <v>81174.236675329434</v>
      </c>
      <c r="J43" s="972">
        <f t="shared" ref="J43:S43" si="65">J8+J17+J18+J42</f>
        <v>1401.6560592428302</v>
      </c>
      <c r="K43" s="973">
        <f t="shared" si="65"/>
        <v>5841.1631189587542</v>
      </c>
      <c r="L43" s="974">
        <f t="shared" si="65"/>
        <v>182.09700000000001</v>
      </c>
      <c r="M43" s="975">
        <f t="shared" si="65"/>
        <v>135.24424760711611</v>
      </c>
      <c r="N43" s="922">
        <f t="shared" si="65"/>
        <v>6189.1115367682578</v>
      </c>
      <c r="O43" s="922">
        <f t="shared" si="65"/>
        <v>3857.9613935117422</v>
      </c>
      <c r="P43" s="922">
        <f t="shared" si="65"/>
        <v>13383.009084863181</v>
      </c>
      <c r="Q43" s="922">
        <f t="shared" si="65"/>
        <v>24529.435015760129</v>
      </c>
      <c r="R43" s="922">
        <f t="shared" si="65"/>
        <v>25443.430768356</v>
      </c>
      <c r="S43" s="922">
        <f t="shared" si="65"/>
        <v>211.12845026141528</v>
      </c>
      <c r="T43" s="922">
        <f t="shared" si="7"/>
        <v>73614.076249520731</v>
      </c>
      <c r="U43" s="926" t="s">
        <v>1731</v>
      </c>
      <c r="V43" s="922">
        <f t="shared" ref="V43:AA43" si="66">V8+V17+V18+V42</f>
        <v>95.701850063777044</v>
      </c>
      <c r="W43" s="922">
        <f t="shared" si="66"/>
        <v>60.1991942827134</v>
      </c>
      <c r="X43" s="922">
        <f t="shared" si="66"/>
        <v>232.10347690318497</v>
      </c>
      <c r="Y43" s="922">
        <f t="shared" si="66"/>
        <v>476.27572462509198</v>
      </c>
      <c r="Z43" s="922">
        <f t="shared" si="66"/>
        <v>597.18158800542119</v>
      </c>
      <c r="AA43" s="922">
        <f t="shared" si="66"/>
        <v>4.2194441564223331</v>
      </c>
      <c r="AB43" s="922">
        <f t="shared" si="37"/>
        <v>1465.6812780366108</v>
      </c>
      <c r="AC43" s="926" t="s">
        <v>1731</v>
      </c>
      <c r="AD43" s="922">
        <f t="shared" ref="AD43:AQ43" si="67">AD8+AD17+AD18+AD42</f>
        <v>95.701850063777044</v>
      </c>
      <c r="AE43" s="922">
        <f t="shared" si="67"/>
        <v>60.1991942827134</v>
      </c>
      <c r="AF43" s="922">
        <f t="shared" si="67"/>
        <v>232.10347690318497</v>
      </c>
      <c r="AG43" s="922">
        <f t="shared" si="67"/>
        <v>476.27572462509198</v>
      </c>
      <c r="AH43" s="922">
        <f t="shared" si="67"/>
        <v>597.18158800542119</v>
      </c>
      <c r="AI43" s="922">
        <f t="shared" si="67"/>
        <v>4.2194441564223331</v>
      </c>
      <c r="AJ43" s="925">
        <f t="shared" si="67"/>
        <v>1465.6812780366113</v>
      </c>
      <c r="AK43" s="922">
        <f t="shared" si="67"/>
        <v>350.90678356718252</v>
      </c>
      <c r="AL43" s="922">
        <f t="shared" si="67"/>
        <v>220.7303790366158</v>
      </c>
      <c r="AM43" s="922">
        <f t="shared" si="67"/>
        <v>851.04608197834489</v>
      </c>
      <c r="AN43" s="922">
        <f t="shared" si="67"/>
        <v>1746.3443236253372</v>
      </c>
      <c r="AO43" s="922">
        <f t="shared" si="67"/>
        <v>2189.6658226865443</v>
      </c>
      <c r="AP43" s="922">
        <f t="shared" si="67"/>
        <v>15.47129524021522</v>
      </c>
      <c r="AQ43" s="925">
        <f t="shared" si="67"/>
        <v>5374.1646861342406</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2"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ransitionEvaluation="1" transitionEntry="1" codeName="Sheet20">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3" width="7" style="152" customWidth="1"/>
    <col min="14" max="14" width="8.6640625" style="152" customWidth="1"/>
    <col min="15" max="15" width="11"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2000</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1751</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S4+1</f>
        <v>19</v>
      </c>
      <c r="U4" s="829">
        <f>T4+1</f>
        <v>20</v>
      </c>
      <c r="V4" s="829">
        <f t="shared" si="0"/>
        <v>21</v>
      </c>
      <c r="W4" s="829">
        <f t="shared" si="0"/>
        <v>22</v>
      </c>
      <c r="X4" s="829">
        <f t="shared" si="0"/>
        <v>23</v>
      </c>
      <c r="Y4" s="829">
        <f t="shared" si="0"/>
        <v>24</v>
      </c>
      <c r="Z4" s="829">
        <f t="shared" si="0"/>
        <v>25</v>
      </c>
      <c r="AA4" s="829">
        <f t="shared" si="0"/>
        <v>26</v>
      </c>
      <c r="AB4" s="829">
        <f t="shared" si="0"/>
        <v>27</v>
      </c>
      <c r="AC4" s="829">
        <f t="shared" si="0"/>
        <v>28</v>
      </c>
      <c r="AD4" s="829">
        <f t="shared" si="0"/>
        <v>29</v>
      </c>
      <c r="AE4" s="829">
        <f t="shared" si="0"/>
        <v>30</v>
      </c>
      <c r="AF4" s="829">
        <f t="shared" si="0"/>
        <v>31</v>
      </c>
      <c r="AG4" s="829">
        <f t="shared" si="0"/>
        <v>32</v>
      </c>
      <c r="AH4" s="829">
        <f t="shared" si="0"/>
        <v>33</v>
      </c>
      <c r="AI4" s="829">
        <f t="shared" si="0"/>
        <v>34</v>
      </c>
      <c r="AJ4" s="829">
        <f t="shared" si="0"/>
        <v>35</v>
      </c>
      <c r="AK4" s="829">
        <f t="shared" si="0"/>
        <v>36</v>
      </c>
      <c r="AL4" s="829">
        <f t="shared" si="0"/>
        <v>37</v>
      </c>
      <c r="AM4" s="829">
        <f t="shared" si="0"/>
        <v>38</v>
      </c>
      <c r="AN4" s="829">
        <f t="shared" si="0"/>
        <v>39</v>
      </c>
      <c r="AO4" s="829">
        <f t="shared" si="0"/>
        <v>40</v>
      </c>
      <c r="AP4" s="829">
        <f t="shared" si="0"/>
        <v>41</v>
      </c>
      <c r="AQ4" s="829">
        <f t="shared" si="0"/>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11.358000000000001</v>
      </c>
      <c r="D8" s="876">
        <f t="shared" si="1"/>
        <v>91.894999999999982</v>
      </c>
      <c r="E8" s="876">
        <f t="shared" si="1"/>
        <v>1426.5833720153305</v>
      </c>
      <c r="F8" s="876">
        <f t="shared" si="1"/>
        <v>0</v>
      </c>
      <c r="G8" s="876">
        <f t="shared" si="1"/>
        <v>20220.170999999995</v>
      </c>
      <c r="H8" s="876">
        <f t="shared" si="1"/>
        <v>5.1530037646000668</v>
      </c>
      <c r="I8" s="876">
        <f t="shared" ref="I8:I14" si="2">SUM(C8:H8)</f>
        <v>21755.160375779928</v>
      </c>
      <c r="J8" s="959"/>
      <c r="K8" s="960">
        <f>SUM(K9:K16)</f>
        <v>65.049952033045997</v>
      </c>
      <c r="L8" s="960">
        <f>SUM(L9:L16)</f>
        <v>0</v>
      </c>
      <c r="M8" s="960"/>
      <c r="N8" s="878">
        <f t="shared" ref="N8:S8" si="3">SUM(N9:N16)</f>
        <v>11.358000000000001</v>
      </c>
      <c r="O8" s="876">
        <f t="shared" si="3"/>
        <v>91.894999999999982</v>
      </c>
      <c r="P8" s="876">
        <f t="shared" si="3"/>
        <v>1361.5334199822846</v>
      </c>
      <c r="Q8" s="876">
        <f t="shared" si="3"/>
        <v>0</v>
      </c>
      <c r="R8" s="876">
        <f t="shared" si="3"/>
        <v>20220.170999999995</v>
      </c>
      <c r="S8" s="879">
        <f t="shared" si="3"/>
        <v>5.1530037646000668</v>
      </c>
      <c r="T8" s="876">
        <f t="shared" ref="T8:T43" si="4">SUM(N8:S8)</f>
        <v>21690.110423746879</v>
      </c>
      <c r="U8" s="880" t="s">
        <v>1731</v>
      </c>
      <c r="V8" s="876">
        <f>SUM(V9:V16)</f>
        <v>0.29529732995005609</v>
      </c>
      <c r="W8" s="876">
        <f>SUM(W9:W16)</f>
        <v>2.3891836710477543</v>
      </c>
      <c r="X8" s="876">
        <f>SUM(X9:X16)</f>
        <v>35.041065719329843</v>
      </c>
      <c r="Y8" s="876"/>
      <c r="Z8" s="876">
        <f>SUM(Z9:Z16)</f>
        <v>525.37230933160845</v>
      </c>
      <c r="AA8" s="876">
        <f>SUM(AA9:AA16)</f>
        <v>0.12954651464204567</v>
      </c>
      <c r="AB8" s="876">
        <f t="shared" ref="AB8:AB13" si="5">SUM(V8:AA8)</f>
        <v>563.22740256657812</v>
      </c>
      <c r="AC8" s="881" t="s">
        <v>1731</v>
      </c>
      <c r="AD8" s="878">
        <f>SUM(AD9:AD16)</f>
        <v>0.29529732995005609</v>
      </c>
      <c r="AE8" s="876">
        <f>SUM(AE9:AE16)</f>
        <v>2.3891836710477543</v>
      </c>
      <c r="AF8" s="876">
        <f>SUM(AF9:AF16)</f>
        <v>35.041065719329843</v>
      </c>
      <c r="AG8" s="876" t="s">
        <v>108</v>
      </c>
      <c r="AH8" s="876">
        <f>SUM(AH9:AH16)</f>
        <v>525.37230933160845</v>
      </c>
      <c r="AI8" s="876">
        <f>SUM(AI9:AI16)</f>
        <v>0.12954651464204567</v>
      </c>
      <c r="AJ8" s="876">
        <f t="shared" ref="AJ8:AJ42" si="6">SUM(AD8:AI8)</f>
        <v>563.22740256657812</v>
      </c>
      <c r="AK8" s="878">
        <f t="shared" ref="AK8:AP8" si="7">SUM(AK9:AK16)</f>
        <v>1.0827568764835389</v>
      </c>
      <c r="AL8" s="876">
        <f t="shared" si="7"/>
        <v>8.7603401271750982</v>
      </c>
      <c r="AM8" s="876">
        <f t="shared" si="7"/>
        <v>128.48390763754276</v>
      </c>
      <c r="AN8" s="876">
        <f t="shared" si="7"/>
        <v>0</v>
      </c>
      <c r="AO8" s="876">
        <f t="shared" si="7"/>
        <v>1926.3651342158976</v>
      </c>
      <c r="AP8" s="876">
        <f t="shared" si="7"/>
        <v>0.47500388702083407</v>
      </c>
      <c r="AQ8" s="882">
        <f t="shared" ref="AQ8:AQ14" si="8">SUM(AK8:AP8)</f>
        <v>2065.1671427441197</v>
      </c>
    </row>
    <row r="9" spans="1:43">
      <c r="A9" s="817"/>
      <c r="B9" s="860" t="s">
        <v>1732</v>
      </c>
      <c r="C9" s="883">
        <f>HLOOKUP($B$2,'Consumption Input'!$E$5:$AQ$82,'Consumption Input'!$B7)</f>
        <v>11.358000000000001</v>
      </c>
      <c r="D9" s="883"/>
      <c r="E9" s="883"/>
      <c r="F9" s="883"/>
      <c r="G9" s="883"/>
      <c r="H9" s="883"/>
      <c r="I9" s="883">
        <f t="shared" si="2"/>
        <v>11.358000000000001</v>
      </c>
      <c r="J9" s="961"/>
      <c r="K9" s="940"/>
      <c r="L9" s="940"/>
      <c r="M9" s="940"/>
      <c r="N9" s="885">
        <f t="shared" ref="N9:N17" si="9">C9</f>
        <v>11.358000000000001</v>
      </c>
      <c r="O9" s="883">
        <f t="shared" ref="O9:O17" si="10">D9</f>
        <v>0</v>
      </c>
      <c r="P9" s="883">
        <f t="shared" ref="P9:P17" si="11">E9-K9</f>
        <v>0</v>
      </c>
      <c r="Q9" s="883">
        <f t="shared" ref="Q9:Q17" si="12">F9</f>
        <v>0</v>
      </c>
      <c r="R9" s="883">
        <f t="shared" ref="R9:R17" si="13">G9</f>
        <v>0</v>
      </c>
      <c r="S9" s="886">
        <f t="shared" ref="S9:S17" si="14">H9</f>
        <v>0</v>
      </c>
      <c r="T9" s="883">
        <f t="shared" si="4"/>
        <v>11.358000000000001</v>
      </c>
      <c r="U9" s="887">
        <f>HLOOKUP($B$2,Factors!$J$12:$Y$25,Factors!$H13)</f>
        <v>25.999060569647476</v>
      </c>
      <c r="V9" s="885">
        <f t="shared" ref="V9:V17" si="15">N9*$U9*TbtuToQBtu</f>
        <v>0.29529732995005609</v>
      </c>
      <c r="W9" s="883">
        <f t="shared" ref="W9:W17" si="16">O9*$U9*TbtuToQBtu</f>
        <v>0</v>
      </c>
      <c r="X9" s="883">
        <f t="shared" ref="X9:X17" si="17">P9*$U9*TbtuToQBtu</f>
        <v>0</v>
      </c>
      <c r="Y9" s="883">
        <f t="shared" ref="Y9:Y17" si="18">Q9*$U9*TbtuToQBtu</f>
        <v>0</v>
      </c>
      <c r="Z9" s="883">
        <f t="shared" ref="Z9:Z17" si="19">R9*$U9*TbtuToQBtu</f>
        <v>0</v>
      </c>
      <c r="AA9" s="883">
        <f t="shared" ref="AA9:AA17" si="20">S9*$U9*TbtuToQBtu</f>
        <v>0</v>
      </c>
      <c r="AB9" s="883">
        <f t="shared" si="5"/>
        <v>0.29529732995005609</v>
      </c>
      <c r="AC9" s="888">
        <f>Factors!E10</f>
        <v>1</v>
      </c>
      <c r="AD9" s="885">
        <f t="shared" ref="AD9:AD17" si="21">V9*$AC9</f>
        <v>0.29529732995005609</v>
      </c>
      <c r="AE9" s="883">
        <f t="shared" ref="AE9:AE17" si="22">W9*$AC9</f>
        <v>0</v>
      </c>
      <c r="AF9" s="883">
        <f t="shared" ref="AF9:AF17" si="23">X9*$AC9</f>
        <v>0</v>
      </c>
      <c r="AG9" s="883">
        <f t="shared" ref="AG9:AG17" si="24">Y9*$AC9</f>
        <v>0</v>
      </c>
      <c r="AH9" s="883">
        <f t="shared" ref="AH9:AH17" si="25">Z9*$AC9</f>
        <v>0</v>
      </c>
      <c r="AI9" s="883">
        <f t="shared" ref="AI9:AI17" si="26">AA9*$AC9</f>
        <v>0</v>
      </c>
      <c r="AJ9" s="889">
        <f t="shared" si="6"/>
        <v>0.29529732995005609</v>
      </c>
      <c r="AK9" s="885">
        <f t="shared" ref="AK9:AK42" si="27">AD9*CtoCO2</f>
        <v>1.0827568764835389</v>
      </c>
      <c r="AL9" s="883">
        <f t="shared" ref="AL9:AL42" si="28">AE9*CtoCO2</f>
        <v>0</v>
      </c>
      <c r="AM9" s="883">
        <f t="shared" ref="AM9:AM42" si="29">AF9*CtoCO2</f>
        <v>0</v>
      </c>
      <c r="AN9" s="883">
        <f t="shared" ref="AN9:AN42" si="30">AG9*CtoCO2</f>
        <v>0</v>
      </c>
      <c r="AO9" s="883">
        <f t="shared" ref="AO9:AO42" si="31">AH9*CtoCO2</f>
        <v>0</v>
      </c>
      <c r="AP9" s="883">
        <f t="shared" ref="AP9:AP42" si="32">AI9*CtoCO2</f>
        <v>0</v>
      </c>
      <c r="AQ9" s="890">
        <f t="shared" si="8"/>
        <v>1.0827568764835389</v>
      </c>
    </row>
    <row r="10" spans="1:43">
      <c r="A10" s="817"/>
      <c r="B10" s="860" t="s">
        <v>1733</v>
      </c>
      <c r="C10" s="883"/>
      <c r="D10" s="883">
        <f>HLOOKUP($B$2,'Consumption Input'!$E$5:$AQ$82,'Consumption Input'!$B13)</f>
        <v>91.894999999999982</v>
      </c>
      <c r="E10" s="883"/>
      <c r="F10" s="883"/>
      <c r="G10" s="883"/>
      <c r="H10" s="883"/>
      <c r="I10" s="883">
        <f t="shared" si="2"/>
        <v>91.894999999999982</v>
      </c>
      <c r="J10" s="961"/>
      <c r="K10" s="940"/>
      <c r="L10" s="940"/>
      <c r="M10" s="940"/>
      <c r="N10" s="885">
        <f t="shared" si="9"/>
        <v>0</v>
      </c>
      <c r="O10" s="883">
        <f t="shared" si="10"/>
        <v>91.894999999999982</v>
      </c>
      <c r="P10" s="883">
        <f t="shared" si="11"/>
        <v>0</v>
      </c>
      <c r="Q10" s="883">
        <f t="shared" si="12"/>
        <v>0</v>
      </c>
      <c r="R10" s="883">
        <f t="shared" si="13"/>
        <v>0</v>
      </c>
      <c r="S10" s="886">
        <f t="shared" si="14"/>
        <v>0</v>
      </c>
      <c r="T10" s="883">
        <f t="shared" si="4"/>
        <v>91.894999999999982</v>
      </c>
      <c r="U10" s="887">
        <f>HLOOKUP($B$2,Factors!$J$12:$Y$25,Factors!$H14)</f>
        <v>25.999060569647476</v>
      </c>
      <c r="V10" s="885">
        <f t="shared" si="15"/>
        <v>0</v>
      </c>
      <c r="W10" s="883">
        <f t="shared" si="16"/>
        <v>2.3891836710477543</v>
      </c>
      <c r="X10" s="883">
        <f t="shared" si="17"/>
        <v>0</v>
      </c>
      <c r="Y10" s="883">
        <f t="shared" si="18"/>
        <v>0</v>
      </c>
      <c r="Z10" s="883">
        <f t="shared" si="19"/>
        <v>0</v>
      </c>
      <c r="AA10" s="883">
        <f t="shared" si="20"/>
        <v>0</v>
      </c>
      <c r="AB10" s="883">
        <f t="shared" si="5"/>
        <v>2.3891836710477543</v>
      </c>
      <c r="AC10" s="888">
        <f>Factors!E11</f>
        <v>1</v>
      </c>
      <c r="AD10" s="885">
        <f t="shared" si="21"/>
        <v>0</v>
      </c>
      <c r="AE10" s="883">
        <f t="shared" si="22"/>
        <v>2.3891836710477543</v>
      </c>
      <c r="AF10" s="883">
        <f t="shared" si="23"/>
        <v>0</v>
      </c>
      <c r="AG10" s="883">
        <f t="shared" si="24"/>
        <v>0</v>
      </c>
      <c r="AH10" s="883">
        <f t="shared" si="25"/>
        <v>0</v>
      </c>
      <c r="AI10" s="883">
        <f t="shared" si="26"/>
        <v>0</v>
      </c>
      <c r="AJ10" s="889">
        <f t="shared" si="6"/>
        <v>2.3891836710477543</v>
      </c>
      <c r="AK10" s="885">
        <f t="shared" si="27"/>
        <v>0</v>
      </c>
      <c r="AL10" s="883">
        <f t="shared" si="28"/>
        <v>8.7603401271750982</v>
      </c>
      <c r="AM10" s="883">
        <f t="shared" si="29"/>
        <v>0</v>
      </c>
      <c r="AN10" s="883">
        <f t="shared" si="30"/>
        <v>0</v>
      </c>
      <c r="AO10" s="883">
        <f t="shared" si="31"/>
        <v>0</v>
      </c>
      <c r="AP10" s="883">
        <f t="shared" si="32"/>
        <v>0</v>
      </c>
      <c r="AQ10" s="890">
        <f t="shared" si="8"/>
        <v>8.7603401271750982</v>
      </c>
    </row>
    <row r="11" spans="1:43" s="244" customFormat="1" hidden="1">
      <c r="A11" s="861"/>
      <c r="B11" s="862" t="s">
        <v>1734</v>
      </c>
      <c r="C11" s="891"/>
      <c r="D11" s="891"/>
      <c r="E11" s="891">
        <f>HLOOKUP($B$2,'Consumption Input'!$E$5:$AQ$82,'Consumption Input'!$B23)</f>
        <v>53.543709066435099</v>
      </c>
      <c r="F11" s="891"/>
      <c r="G11" s="891"/>
      <c r="H11" s="891"/>
      <c r="I11" s="891">
        <f t="shared" si="2"/>
        <v>53.543709066435099</v>
      </c>
      <c r="J11" s="962"/>
      <c r="K11" s="963">
        <f>HLOOKUP($B$2,NEUConsumption,'Non-Energy Use'!$C$7)</f>
        <v>53.543709066435099</v>
      </c>
      <c r="L11" s="963"/>
      <c r="M11" s="963"/>
      <c r="N11" s="893">
        <f t="shared" si="9"/>
        <v>0</v>
      </c>
      <c r="O11" s="891">
        <f t="shared" si="10"/>
        <v>0</v>
      </c>
      <c r="P11" s="891">
        <f t="shared" si="11"/>
        <v>0</v>
      </c>
      <c r="Q11" s="891">
        <f t="shared" si="12"/>
        <v>0</v>
      </c>
      <c r="R11" s="891">
        <f t="shared" si="13"/>
        <v>0</v>
      </c>
      <c r="S11" s="894">
        <f t="shared" si="14"/>
        <v>0</v>
      </c>
      <c r="T11" s="891">
        <f t="shared" si="4"/>
        <v>0</v>
      </c>
      <c r="U11" s="1013">
        <f>HLOOKUP($B$2,Factors!$J$12:$BE$28,Factors!$H28,FALSE)</f>
        <v>25.628425193088074</v>
      </c>
      <c r="V11" s="893">
        <f t="shared" si="15"/>
        <v>0</v>
      </c>
      <c r="W11" s="891">
        <f t="shared" si="16"/>
        <v>0</v>
      </c>
      <c r="X11" s="891">
        <f t="shared" si="17"/>
        <v>0</v>
      </c>
      <c r="Y11" s="891">
        <f t="shared" si="18"/>
        <v>0</v>
      </c>
      <c r="Z11" s="891">
        <f t="shared" si="19"/>
        <v>0</v>
      </c>
      <c r="AA11" s="891">
        <f t="shared" si="20"/>
        <v>0</v>
      </c>
      <c r="AB11" s="891">
        <f t="shared" si="5"/>
        <v>0</v>
      </c>
      <c r="AC11" s="896">
        <f>Factors!E12</f>
        <v>1</v>
      </c>
      <c r="AD11" s="893">
        <f t="shared" si="21"/>
        <v>0</v>
      </c>
      <c r="AE11" s="891">
        <f t="shared" si="22"/>
        <v>0</v>
      </c>
      <c r="AF11" s="891">
        <f t="shared" si="23"/>
        <v>0</v>
      </c>
      <c r="AG11" s="891">
        <f t="shared" si="24"/>
        <v>0</v>
      </c>
      <c r="AH11" s="891">
        <f t="shared" si="25"/>
        <v>0</v>
      </c>
      <c r="AI11" s="891">
        <f t="shared" si="26"/>
        <v>0</v>
      </c>
      <c r="AJ11" s="897">
        <f t="shared" si="6"/>
        <v>0</v>
      </c>
      <c r="AK11" s="893">
        <f t="shared" si="27"/>
        <v>0</v>
      </c>
      <c r="AL11" s="891">
        <f t="shared" si="28"/>
        <v>0</v>
      </c>
      <c r="AM11" s="891">
        <f t="shared" si="29"/>
        <v>0</v>
      </c>
      <c r="AN11" s="891">
        <f t="shared" si="30"/>
        <v>0</v>
      </c>
      <c r="AO11" s="891">
        <f t="shared" si="31"/>
        <v>0</v>
      </c>
      <c r="AP11" s="891">
        <f t="shared" si="32"/>
        <v>0</v>
      </c>
      <c r="AQ11" s="898">
        <f t="shared" si="8"/>
        <v>0</v>
      </c>
    </row>
    <row r="12" spans="1:43">
      <c r="A12" s="817"/>
      <c r="B12" s="860" t="s">
        <v>1701</v>
      </c>
      <c r="C12" s="883"/>
      <c r="D12" s="883"/>
      <c r="E12" s="883">
        <f>HLOOKUP($B$2,'Consumption Input'!$E$5:$AQ$82,'Consumption Input'!$B24)</f>
        <v>1373.0396629488955</v>
      </c>
      <c r="F12" s="883"/>
      <c r="G12" s="883"/>
      <c r="H12" s="883"/>
      <c r="I12" s="883">
        <f t="shared" si="2"/>
        <v>1373.0396629488955</v>
      </c>
      <c r="J12" s="961"/>
      <c r="K12" s="940">
        <f>HLOOKUP($B$2,NEUConsumption,'Non-Energy Use'!$C$8)</f>
        <v>11.506242966610891</v>
      </c>
      <c r="L12" s="940"/>
      <c r="M12" s="940"/>
      <c r="N12" s="885">
        <f t="shared" si="9"/>
        <v>0</v>
      </c>
      <c r="O12" s="883">
        <f t="shared" si="10"/>
        <v>0</v>
      </c>
      <c r="P12" s="883">
        <f t="shared" si="11"/>
        <v>1361.5334199822846</v>
      </c>
      <c r="Q12" s="883">
        <f t="shared" si="12"/>
        <v>0</v>
      </c>
      <c r="R12" s="883">
        <f t="shared" si="13"/>
        <v>0</v>
      </c>
      <c r="S12" s="886">
        <f t="shared" si="14"/>
        <v>0</v>
      </c>
      <c r="T12" s="883">
        <f t="shared" si="4"/>
        <v>1361.5334199822846</v>
      </c>
      <c r="U12" s="887">
        <f>HLOOKUP($B$2,Factors!$J$12:$Y$25,Factors!$H15)</f>
        <v>25.736471250030551</v>
      </c>
      <c r="V12" s="885">
        <f t="shared" si="15"/>
        <v>0</v>
      </c>
      <c r="W12" s="883">
        <f t="shared" si="16"/>
        <v>0</v>
      </c>
      <c r="X12" s="883">
        <f t="shared" si="17"/>
        <v>35.041065719329843</v>
      </c>
      <c r="Y12" s="883">
        <f t="shared" si="18"/>
        <v>0</v>
      </c>
      <c r="Z12" s="883">
        <f t="shared" si="19"/>
        <v>0</v>
      </c>
      <c r="AA12" s="883">
        <f t="shared" si="20"/>
        <v>0</v>
      </c>
      <c r="AB12" s="883">
        <f t="shared" si="5"/>
        <v>35.041065719329843</v>
      </c>
      <c r="AC12" s="888">
        <f>Factors!E13</f>
        <v>1</v>
      </c>
      <c r="AD12" s="885">
        <f t="shared" si="21"/>
        <v>0</v>
      </c>
      <c r="AE12" s="883">
        <f t="shared" si="22"/>
        <v>0</v>
      </c>
      <c r="AF12" s="883">
        <f t="shared" si="23"/>
        <v>35.041065719329843</v>
      </c>
      <c r="AG12" s="883">
        <f t="shared" si="24"/>
        <v>0</v>
      </c>
      <c r="AH12" s="883">
        <f t="shared" si="25"/>
        <v>0</v>
      </c>
      <c r="AI12" s="883">
        <f t="shared" si="26"/>
        <v>0</v>
      </c>
      <c r="AJ12" s="889">
        <f t="shared" si="6"/>
        <v>35.041065719329843</v>
      </c>
      <c r="AK12" s="885">
        <f t="shared" si="27"/>
        <v>0</v>
      </c>
      <c r="AL12" s="883">
        <f t="shared" si="28"/>
        <v>0</v>
      </c>
      <c r="AM12" s="883">
        <f t="shared" si="29"/>
        <v>128.48390763754276</v>
      </c>
      <c r="AN12" s="883">
        <f t="shared" si="30"/>
        <v>0</v>
      </c>
      <c r="AO12" s="883">
        <f t="shared" si="31"/>
        <v>0</v>
      </c>
      <c r="AP12" s="883">
        <f t="shared" si="32"/>
        <v>0</v>
      </c>
      <c r="AQ12" s="890">
        <f t="shared" si="8"/>
        <v>128.48390763754276</v>
      </c>
    </row>
    <row r="13" spans="1:43" s="244" customFormat="1" hidden="1">
      <c r="A13" s="861"/>
      <c r="B13" s="862" t="s">
        <v>1607</v>
      </c>
      <c r="C13" s="891"/>
      <c r="D13" s="891"/>
      <c r="E13" s="891">
        <f>HLOOKUP($B$2,'Consumption Input'!$E$5:$AQ$82,'Consumption Input'!$B25)</f>
        <v>0</v>
      </c>
      <c r="F13" s="891"/>
      <c r="G13" s="891"/>
      <c r="H13" s="891"/>
      <c r="I13" s="883">
        <f t="shared" si="2"/>
        <v>0</v>
      </c>
      <c r="J13" s="962"/>
      <c r="K13" s="963"/>
      <c r="L13" s="963"/>
      <c r="M13" s="963"/>
      <c r="N13" s="893">
        <f t="shared" si="9"/>
        <v>0</v>
      </c>
      <c r="O13" s="891">
        <f t="shared" si="10"/>
        <v>0</v>
      </c>
      <c r="P13" s="891">
        <f t="shared" si="11"/>
        <v>0</v>
      </c>
      <c r="Q13" s="891">
        <f t="shared" si="12"/>
        <v>0</v>
      </c>
      <c r="R13" s="891">
        <f t="shared" si="13"/>
        <v>0</v>
      </c>
      <c r="S13" s="894">
        <f t="shared" si="14"/>
        <v>0</v>
      </c>
      <c r="T13" s="883">
        <f t="shared" si="4"/>
        <v>0</v>
      </c>
      <c r="U13" s="895">
        <f>Factors!D14</f>
        <v>27.85</v>
      </c>
      <c r="V13" s="893">
        <f t="shared" si="15"/>
        <v>0</v>
      </c>
      <c r="W13" s="891">
        <f t="shared" si="16"/>
        <v>0</v>
      </c>
      <c r="X13" s="891">
        <f t="shared" si="17"/>
        <v>0</v>
      </c>
      <c r="Y13" s="891">
        <f t="shared" si="18"/>
        <v>0</v>
      </c>
      <c r="Z13" s="891">
        <f t="shared" si="19"/>
        <v>0</v>
      </c>
      <c r="AA13" s="891">
        <f t="shared" si="20"/>
        <v>0</v>
      </c>
      <c r="AB13" s="891">
        <f t="shared" si="5"/>
        <v>0</v>
      </c>
      <c r="AC13" s="896">
        <f>Factors!E14</f>
        <v>1</v>
      </c>
      <c r="AD13" s="893">
        <f t="shared" si="21"/>
        <v>0</v>
      </c>
      <c r="AE13" s="891">
        <f t="shared" si="22"/>
        <v>0</v>
      </c>
      <c r="AF13" s="891">
        <f t="shared" si="23"/>
        <v>0</v>
      </c>
      <c r="AG13" s="891">
        <f t="shared" si="24"/>
        <v>0</v>
      </c>
      <c r="AH13" s="891">
        <f t="shared" si="25"/>
        <v>0</v>
      </c>
      <c r="AI13" s="891">
        <f t="shared" si="26"/>
        <v>0</v>
      </c>
      <c r="AJ13" s="897">
        <f t="shared" si="6"/>
        <v>0</v>
      </c>
      <c r="AK13" s="893">
        <f t="shared" si="27"/>
        <v>0</v>
      </c>
      <c r="AL13" s="891">
        <f t="shared" si="28"/>
        <v>0</v>
      </c>
      <c r="AM13" s="891">
        <f t="shared" si="29"/>
        <v>0</v>
      </c>
      <c r="AN13" s="891">
        <f t="shared" si="30"/>
        <v>0</v>
      </c>
      <c r="AO13" s="891">
        <f t="shared" si="31"/>
        <v>0</v>
      </c>
      <c r="AP13" s="891">
        <f t="shared" si="32"/>
        <v>0</v>
      </c>
      <c r="AQ13" s="890">
        <f t="shared" si="8"/>
        <v>0</v>
      </c>
    </row>
    <row r="14" spans="1:43">
      <c r="A14" s="817"/>
      <c r="B14" s="860" t="s">
        <v>1735</v>
      </c>
      <c r="C14" s="883"/>
      <c r="D14" s="883"/>
      <c r="E14" s="883"/>
      <c r="F14" s="883">
        <f>HLOOKUP($B$2,'Consumption Input'!$E$5:$AQ$82,'Consumption Input'!$B48)</f>
        <v>0</v>
      </c>
      <c r="G14" s="883"/>
      <c r="H14" s="883"/>
      <c r="I14" s="883">
        <f t="shared" si="2"/>
        <v>0</v>
      </c>
      <c r="J14" s="961"/>
      <c r="K14" s="940"/>
      <c r="L14" s="940"/>
      <c r="M14" s="940"/>
      <c r="N14" s="885">
        <f t="shared" si="9"/>
        <v>0</v>
      </c>
      <c r="O14" s="883">
        <f t="shared" si="10"/>
        <v>0</v>
      </c>
      <c r="P14" s="883">
        <f t="shared" si="11"/>
        <v>0</v>
      </c>
      <c r="Q14" s="883">
        <f t="shared" si="12"/>
        <v>0</v>
      </c>
      <c r="R14" s="883">
        <f t="shared" si="13"/>
        <v>0</v>
      </c>
      <c r="S14" s="886">
        <f t="shared" si="14"/>
        <v>0</v>
      </c>
      <c r="T14" s="883">
        <f t="shared" si="4"/>
        <v>0</v>
      </c>
      <c r="U14" s="887" t="str">
        <f>Factors!D15</f>
        <v>NC</v>
      </c>
      <c r="V14" s="885">
        <f t="shared" si="15"/>
        <v>0</v>
      </c>
      <c r="W14" s="883">
        <f t="shared" si="16"/>
        <v>0</v>
      </c>
      <c r="X14" s="883">
        <f t="shared" si="17"/>
        <v>0</v>
      </c>
      <c r="Y14" s="883">
        <f t="shared" si="18"/>
        <v>0</v>
      </c>
      <c r="Z14" s="883">
        <f t="shared" si="19"/>
        <v>0</v>
      </c>
      <c r="AA14" s="883">
        <f t="shared" si="20"/>
        <v>0</v>
      </c>
      <c r="AB14" s="883" t="s">
        <v>103</v>
      </c>
      <c r="AC14" s="888" t="str">
        <f>Factors!E15</f>
        <v>NC</v>
      </c>
      <c r="AD14" s="885">
        <f t="shared" si="21"/>
        <v>0</v>
      </c>
      <c r="AE14" s="883">
        <f t="shared" si="22"/>
        <v>0</v>
      </c>
      <c r="AF14" s="883">
        <f t="shared" si="23"/>
        <v>0</v>
      </c>
      <c r="AG14" s="883">
        <f t="shared" si="24"/>
        <v>0</v>
      </c>
      <c r="AH14" s="883">
        <f t="shared" si="25"/>
        <v>0</v>
      </c>
      <c r="AI14" s="883">
        <f t="shared" si="26"/>
        <v>0</v>
      </c>
      <c r="AJ14" s="889">
        <f t="shared" si="6"/>
        <v>0</v>
      </c>
      <c r="AK14" s="885">
        <f t="shared" si="27"/>
        <v>0</v>
      </c>
      <c r="AL14" s="883">
        <f t="shared" si="28"/>
        <v>0</v>
      </c>
      <c r="AM14" s="883">
        <f t="shared" si="29"/>
        <v>0</v>
      </c>
      <c r="AN14" s="883">
        <f t="shared" si="30"/>
        <v>0</v>
      </c>
      <c r="AO14" s="883">
        <f t="shared" si="31"/>
        <v>0</v>
      </c>
      <c r="AP14" s="883">
        <f t="shared" si="32"/>
        <v>0</v>
      </c>
      <c r="AQ14" s="890">
        <f t="shared" si="8"/>
        <v>0</v>
      </c>
    </row>
    <row r="15" spans="1:43">
      <c r="A15" s="817"/>
      <c r="B15" s="860" t="s">
        <v>1736</v>
      </c>
      <c r="C15" s="883"/>
      <c r="D15" s="883"/>
      <c r="E15" s="883"/>
      <c r="F15" s="883"/>
      <c r="G15" s="883">
        <f>HLOOKUP($B$2,'Consumption Input'!$E$5:$AQ$82,'Consumption Input'!$B58)</f>
        <v>20220.170999999995</v>
      </c>
      <c r="H15" s="883"/>
      <c r="I15" s="883">
        <f t="shared" ref="I15:I41" si="33">SUM(C15:H15)</f>
        <v>20220.170999999995</v>
      </c>
      <c r="J15" s="961"/>
      <c r="K15" s="940"/>
      <c r="L15" s="940"/>
      <c r="M15" s="940"/>
      <c r="N15" s="885">
        <f t="shared" si="9"/>
        <v>0</v>
      </c>
      <c r="O15" s="883">
        <f t="shared" si="10"/>
        <v>0</v>
      </c>
      <c r="P15" s="883">
        <f t="shared" si="11"/>
        <v>0</v>
      </c>
      <c r="Q15" s="883">
        <f t="shared" si="12"/>
        <v>0</v>
      </c>
      <c r="R15" s="883">
        <f t="shared" si="13"/>
        <v>20220.170999999995</v>
      </c>
      <c r="S15" s="886">
        <f t="shared" si="14"/>
        <v>0</v>
      </c>
      <c r="T15" s="883">
        <f t="shared" si="4"/>
        <v>20220.170999999995</v>
      </c>
      <c r="U15" s="887">
        <f>HLOOKUP($B$2,Factors!$J$12:$Y$25,Factors!$H16)</f>
        <v>25.982584881780109</v>
      </c>
      <c r="V15" s="885">
        <f t="shared" si="15"/>
        <v>0</v>
      </c>
      <c r="W15" s="883">
        <f t="shared" si="16"/>
        <v>0</v>
      </c>
      <c r="X15" s="883">
        <f t="shared" si="17"/>
        <v>0</v>
      </c>
      <c r="Y15" s="883">
        <f t="shared" si="18"/>
        <v>0</v>
      </c>
      <c r="Z15" s="883">
        <f t="shared" si="19"/>
        <v>525.37230933160845</v>
      </c>
      <c r="AA15" s="883">
        <f t="shared" si="20"/>
        <v>0</v>
      </c>
      <c r="AB15" s="883">
        <f t="shared" ref="AB15:AB43" si="34">SUM(V15:AA15)</f>
        <v>525.37230933160845</v>
      </c>
      <c r="AC15" s="888">
        <f>Factors!E16</f>
        <v>1</v>
      </c>
      <c r="AD15" s="885">
        <f t="shared" si="21"/>
        <v>0</v>
      </c>
      <c r="AE15" s="883">
        <f t="shared" si="22"/>
        <v>0</v>
      </c>
      <c r="AF15" s="883">
        <f t="shared" si="23"/>
        <v>0</v>
      </c>
      <c r="AG15" s="883">
        <f t="shared" si="24"/>
        <v>0</v>
      </c>
      <c r="AH15" s="883">
        <f t="shared" si="25"/>
        <v>525.37230933160845</v>
      </c>
      <c r="AI15" s="883">
        <f t="shared" si="26"/>
        <v>0</v>
      </c>
      <c r="AJ15" s="889">
        <f t="shared" si="6"/>
        <v>525.37230933160845</v>
      </c>
      <c r="AK15" s="885">
        <f t="shared" si="27"/>
        <v>0</v>
      </c>
      <c r="AL15" s="883">
        <f t="shared" si="28"/>
        <v>0</v>
      </c>
      <c r="AM15" s="883">
        <f t="shared" si="29"/>
        <v>0</v>
      </c>
      <c r="AN15" s="883">
        <f t="shared" si="30"/>
        <v>0</v>
      </c>
      <c r="AO15" s="883">
        <f t="shared" si="31"/>
        <v>1926.3651342158976</v>
      </c>
      <c r="AP15" s="883">
        <f t="shared" si="32"/>
        <v>0</v>
      </c>
      <c r="AQ15" s="890">
        <f t="shared" ref="AQ15:AQ42" si="35">SUM(AK15:AP15)</f>
        <v>1926.3651342158976</v>
      </c>
    </row>
    <row r="16" spans="1:43">
      <c r="A16" s="817"/>
      <c r="B16" s="860" t="s">
        <v>1737</v>
      </c>
      <c r="C16" s="883"/>
      <c r="D16" s="883"/>
      <c r="E16" s="883"/>
      <c r="F16" s="883"/>
      <c r="G16" s="883"/>
      <c r="H16" s="883">
        <f>HLOOKUP($B$2,'US Territories'!$D$28:$Z$38,'US Territories'!$B29)</f>
        <v>5.1530037646000668</v>
      </c>
      <c r="I16" s="883">
        <f t="shared" si="33"/>
        <v>5.1530037646000668</v>
      </c>
      <c r="J16" s="961"/>
      <c r="K16" s="940"/>
      <c r="L16" s="940"/>
      <c r="M16" s="940"/>
      <c r="N16" s="885">
        <f t="shared" si="9"/>
        <v>0</v>
      </c>
      <c r="O16" s="883">
        <f t="shared" si="10"/>
        <v>0</v>
      </c>
      <c r="P16" s="883">
        <f t="shared" si="11"/>
        <v>0</v>
      </c>
      <c r="Q16" s="883">
        <f t="shared" si="12"/>
        <v>0</v>
      </c>
      <c r="R16" s="883">
        <f t="shared" si="13"/>
        <v>0</v>
      </c>
      <c r="S16" s="886">
        <f t="shared" si="14"/>
        <v>5.1530037646000668</v>
      </c>
      <c r="T16" s="883">
        <f t="shared" si="4"/>
        <v>5.1530037646000668</v>
      </c>
      <c r="U16" s="887">
        <f>Factors!D17</f>
        <v>25.14</v>
      </c>
      <c r="V16" s="899">
        <f t="shared" si="15"/>
        <v>0</v>
      </c>
      <c r="W16" s="900">
        <f t="shared" si="16"/>
        <v>0</v>
      </c>
      <c r="X16" s="900">
        <f t="shared" si="17"/>
        <v>0</v>
      </c>
      <c r="Y16" s="900">
        <f t="shared" si="18"/>
        <v>0</v>
      </c>
      <c r="Z16" s="900">
        <f t="shared" si="19"/>
        <v>0</v>
      </c>
      <c r="AA16" s="900">
        <f t="shared" si="20"/>
        <v>0.12954651464204567</v>
      </c>
      <c r="AB16" s="883">
        <f t="shared" si="34"/>
        <v>0.12954651464204567</v>
      </c>
      <c r="AC16" s="888">
        <f>Factors!E17</f>
        <v>1</v>
      </c>
      <c r="AD16" s="899">
        <f t="shared" si="21"/>
        <v>0</v>
      </c>
      <c r="AE16" s="900">
        <f t="shared" si="22"/>
        <v>0</v>
      </c>
      <c r="AF16" s="900">
        <f t="shared" si="23"/>
        <v>0</v>
      </c>
      <c r="AG16" s="900">
        <f t="shared" si="24"/>
        <v>0</v>
      </c>
      <c r="AH16" s="900">
        <f t="shared" si="25"/>
        <v>0</v>
      </c>
      <c r="AI16" s="900">
        <f t="shared" si="26"/>
        <v>0.12954651464204567</v>
      </c>
      <c r="AJ16" s="889">
        <f t="shared" si="6"/>
        <v>0.12954651464204567</v>
      </c>
      <c r="AK16" s="885">
        <f t="shared" si="27"/>
        <v>0</v>
      </c>
      <c r="AL16" s="883">
        <f t="shared" si="28"/>
        <v>0</v>
      </c>
      <c r="AM16" s="883">
        <f t="shared" si="29"/>
        <v>0</v>
      </c>
      <c r="AN16" s="883">
        <f t="shared" si="30"/>
        <v>0</v>
      </c>
      <c r="AO16" s="883">
        <f t="shared" si="31"/>
        <v>0</v>
      </c>
      <c r="AP16" s="883">
        <f t="shared" si="32"/>
        <v>0.47500388702083407</v>
      </c>
      <c r="AQ16" s="890">
        <f t="shared" si="35"/>
        <v>0.47500388702083407</v>
      </c>
    </row>
    <row r="17" spans="1:43">
      <c r="A17" s="817"/>
      <c r="B17" s="863" t="s">
        <v>1439</v>
      </c>
      <c r="C17" s="901">
        <f>HLOOKUP($B$2,'Consumption Input'!$E$5:$AQ$82,'Consumption Input'!$B8)</f>
        <v>5104.5929999999989</v>
      </c>
      <c r="D17" s="901">
        <f>HLOOKUP($B$2,'Consumption Input'!$E$5:$AQ$82,'Consumption Input'!$B14)</f>
        <v>3251.5259999999998</v>
      </c>
      <c r="E17" s="901">
        <f>HLOOKUP($B$2,'Consumption Input'!$E$5:$AQ$82,'Consumption Input'!$B26)</f>
        <v>9038.2946285140843</v>
      </c>
      <c r="F17" s="901">
        <f>HLOOKUP($B$2,'Consumption Input'!$E$5:$AQ$82,'Consumption Input'!$B49)</f>
        <v>671.99099999999999</v>
      </c>
      <c r="G17" s="901">
        <f>HLOOKUP($B$2,'Consumption Input'!$E$5:$AQ$82,'Consumption Input'!$B59)</f>
        <v>5293.375</v>
      </c>
      <c r="H17" s="944">
        <f>HLOOKUP($B$2,'US Territories'!$D$28:$Z$38,'US Territories'!$B30)</f>
        <v>12.66925625</v>
      </c>
      <c r="I17" s="901">
        <f t="shared" si="33"/>
        <v>23372.448884764086</v>
      </c>
      <c r="J17" s="964"/>
      <c r="K17" s="965">
        <f>HLOOKUP($B$2,NEUConsumption,'Non-Energy Use'!$C$9)</f>
        <v>401.67900000000003</v>
      </c>
      <c r="L17" s="965"/>
      <c r="M17" s="965"/>
      <c r="N17" s="904">
        <f t="shared" si="9"/>
        <v>5104.5929999999989</v>
      </c>
      <c r="O17" s="901">
        <f t="shared" si="10"/>
        <v>3251.5259999999998</v>
      </c>
      <c r="P17" s="901">
        <f t="shared" si="11"/>
        <v>8636.6156285140842</v>
      </c>
      <c r="Q17" s="901">
        <f t="shared" si="12"/>
        <v>671.99099999999999</v>
      </c>
      <c r="R17" s="901">
        <f t="shared" si="13"/>
        <v>5293.375</v>
      </c>
      <c r="S17" s="902">
        <f t="shared" si="14"/>
        <v>12.66925625</v>
      </c>
      <c r="T17" s="901">
        <f t="shared" si="4"/>
        <v>22970.769884764082</v>
      </c>
      <c r="U17" s="905">
        <f>HLOOKUP($B$2,Factors!$J$12:$AB$26,Factors!$H26,FALSE)</f>
        <v>14.468568668292685</v>
      </c>
      <c r="V17" s="901">
        <f t="shared" si="15"/>
        <v>73.856154344186152</v>
      </c>
      <c r="W17" s="901">
        <f t="shared" si="16"/>
        <v>47.044927207739036</v>
      </c>
      <c r="X17" s="901">
        <f t="shared" si="17"/>
        <v>124.95946628280581</v>
      </c>
      <c r="Y17" s="901">
        <f t="shared" si="18"/>
        <v>9.7227479279746696</v>
      </c>
      <c r="Z17" s="901">
        <f t="shared" si="19"/>
        <v>76.587559674523789</v>
      </c>
      <c r="AA17" s="901">
        <f t="shared" si="20"/>
        <v>0.18330600402932129</v>
      </c>
      <c r="AB17" s="901">
        <f t="shared" si="34"/>
        <v>332.35416144125873</v>
      </c>
      <c r="AC17" s="906">
        <f>Factors!E19</f>
        <v>1</v>
      </c>
      <c r="AD17" s="904">
        <f t="shared" si="21"/>
        <v>73.856154344186152</v>
      </c>
      <c r="AE17" s="901">
        <f t="shared" si="22"/>
        <v>47.044927207739036</v>
      </c>
      <c r="AF17" s="901">
        <f t="shared" si="23"/>
        <v>124.95946628280581</v>
      </c>
      <c r="AG17" s="901">
        <f t="shared" si="24"/>
        <v>9.7227479279746696</v>
      </c>
      <c r="AH17" s="901">
        <f t="shared" si="25"/>
        <v>76.587559674523789</v>
      </c>
      <c r="AI17" s="901">
        <f t="shared" si="26"/>
        <v>0.18330600402932129</v>
      </c>
      <c r="AJ17" s="901">
        <f t="shared" si="6"/>
        <v>332.35416144125873</v>
      </c>
      <c r="AK17" s="904">
        <f t="shared" si="27"/>
        <v>270.80589926201588</v>
      </c>
      <c r="AL17" s="901">
        <f t="shared" si="28"/>
        <v>172.49806642837646</v>
      </c>
      <c r="AM17" s="901">
        <f t="shared" si="29"/>
        <v>458.18470970362125</v>
      </c>
      <c r="AN17" s="901">
        <f t="shared" si="30"/>
        <v>35.650075735907123</v>
      </c>
      <c r="AO17" s="901">
        <f t="shared" si="31"/>
        <v>280.82105213992054</v>
      </c>
      <c r="AP17" s="901">
        <f t="shared" si="32"/>
        <v>0.67212201477417799</v>
      </c>
      <c r="AQ17" s="907">
        <f t="shared" si="35"/>
        <v>1218.6319252846156</v>
      </c>
    </row>
    <row r="18" spans="1:43">
      <c r="A18" s="817"/>
      <c r="B18" s="864" t="s">
        <v>1440</v>
      </c>
      <c r="C18" s="908">
        <f t="shared" ref="C18:H18" si="36">SUM(C19:C41)</f>
        <v>1425.4323985358319</v>
      </c>
      <c r="D18" s="908">
        <f t="shared" si="36"/>
        <v>766.74852466700406</v>
      </c>
      <c r="E18" s="908">
        <f t="shared" si="36"/>
        <v>8919.6505316667372</v>
      </c>
      <c r="F18" s="908">
        <f t="shared" si="36"/>
        <v>25886.694909046997</v>
      </c>
      <c r="G18" s="908">
        <f t="shared" si="36"/>
        <v>1144.1400000000001</v>
      </c>
      <c r="H18" s="908">
        <f t="shared" si="36"/>
        <v>632.06776593763004</v>
      </c>
      <c r="I18" s="908">
        <f t="shared" si="33"/>
        <v>38774.734129854201</v>
      </c>
      <c r="J18" s="966">
        <f t="shared" ref="J18:S18" si="37">SUM(J19:J41)</f>
        <v>1411.3834198269512</v>
      </c>
      <c r="K18" s="967">
        <f t="shared" si="37"/>
        <v>4937.5712484020451</v>
      </c>
      <c r="L18" s="967">
        <f t="shared" si="37"/>
        <v>179.36600000000001</v>
      </c>
      <c r="M18" s="967">
        <f t="shared" si="37"/>
        <v>140.82437068440578</v>
      </c>
      <c r="N18" s="910">
        <f t="shared" si="37"/>
        <v>1425.4323985358319</v>
      </c>
      <c r="O18" s="908">
        <f t="shared" si="37"/>
        <v>766.74852466700406</v>
      </c>
      <c r="P18" s="908">
        <f t="shared" si="37"/>
        <v>3982.0792832646916</v>
      </c>
      <c r="Q18" s="908">
        <f t="shared" si="37"/>
        <v>24295.945489220048</v>
      </c>
      <c r="R18" s="908">
        <f t="shared" si="37"/>
        <v>1144.1400000000001</v>
      </c>
      <c r="S18" s="911">
        <f t="shared" si="37"/>
        <v>491.24339525322421</v>
      </c>
      <c r="T18" s="889">
        <f t="shared" si="4"/>
        <v>32105.589090940797</v>
      </c>
      <c r="U18" s="912" t="s">
        <v>1731</v>
      </c>
      <c r="V18" s="908">
        <f t="shared" ref="V18:AA18" si="38">SUM(V19:V41)</f>
        <v>27.222075804881463</v>
      </c>
      <c r="W18" s="908">
        <f t="shared" si="38"/>
        <v>15.074250625261772</v>
      </c>
      <c r="X18" s="908">
        <f t="shared" si="38"/>
        <v>81.890642979864069</v>
      </c>
      <c r="Y18" s="908">
        <f t="shared" si="38"/>
        <v>479.05958621478368</v>
      </c>
      <c r="Z18" s="908">
        <f t="shared" si="38"/>
        <v>24.143024656417964</v>
      </c>
      <c r="AA18" s="908">
        <f t="shared" si="38"/>
        <v>9.786122695335699</v>
      </c>
      <c r="AB18" s="908">
        <f t="shared" si="34"/>
        <v>637.1757029765447</v>
      </c>
      <c r="AC18" s="913" t="s">
        <v>1731</v>
      </c>
      <c r="AD18" s="910">
        <f t="shared" ref="AD18:AI18" si="39">SUM(AD19:AD41)</f>
        <v>27.222075804881463</v>
      </c>
      <c r="AE18" s="908">
        <f t="shared" si="39"/>
        <v>15.074250625261772</v>
      </c>
      <c r="AF18" s="908">
        <f t="shared" si="39"/>
        <v>81.890642979864069</v>
      </c>
      <c r="AG18" s="908">
        <f t="shared" si="39"/>
        <v>479.05958621478368</v>
      </c>
      <c r="AH18" s="908">
        <f t="shared" si="39"/>
        <v>24.143024656417964</v>
      </c>
      <c r="AI18" s="908">
        <f t="shared" si="39"/>
        <v>9.786122695335699</v>
      </c>
      <c r="AJ18" s="908">
        <f t="shared" si="6"/>
        <v>637.1757029765447</v>
      </c>
      <c r="AK18" s="914">
        <f t="shared" si="27"/>
        <v>99.814277951232029</v>
      </c>
      <c r="AL18" s="889">
        <f t="shared" si="28"/>
        <v>55.272252292626497</v>
      </c>
      <c r="AM18" s="889">
        <f t="shared" si="29"/>
        <v>300.26569092616825</v>
      </c>
      <c r="AN18" s="889">
        <f t="shared" si="30"/>
        <v>1756.5518161208734</v>
      </c>
      <c r="AO18" s="889">
        <f t="shared" si="31"/>
        <v>88.524423740199197</v>
      </c>
      <c r="AP18" s="889">
        <f t="shared" si="32"/>
        <v>35.882449882897561</v>
      </c>
      <c r="AQ18" s="915">
        <f t="shared" si="35"/>
        <v>2336.3109109139973</v>
      </c>
    </row>
    <row r="19" spans="1:43">
      <c r="A19" s="817"/>
      <c r="B19" s="860" t="s">
        <v>1608</v>
      </c>
      <c r="C19" s="883"/>
      <c r="D19" s="883"/>
      <c r="E19" s="883">
        <f>HLOOKUP($B$2,'Consumption Input'!$E$5:$AQ$82,'Consumption Input'!$B27)</f>
        <v>1275.6780000000001</v>
      </c>
      <c r="F19" s="883"/>
      <c r="G19" s="883"/>
      <c r="H19" s="883"/>
      <c r="I19" s="883">
        <f t="shared" si="33"/>
        <v>1275.6780000000001</v>
      </c>
      <c r="J19" s="961"/>
      <c r="K19" s="940">
        <f>HLOOKUP($B$2,NEUConsumption,'Non-Energy Use'!$C$10)</f>
        <v>1275.6780000000001</v>
      </c>
      <c r="L19" s="940"/>
      <c r="M19" s="940"/>
      <c r="N19" s="885">
        <f t="shared" ref="N19:N42" si="40">C19</f>
        <v>0</v>
      </c>
      <c r="O19" s="883">
        <f t="shared" ref="O19:O42" si="41">D19</f>
        <v>0</v>
      </c>
      <c r="P19" s="883">
        <f t="shared" ref="P19:P41" si="42">E19-K19</f>
        <v>0</v>
      </c>
      <c r="Q19" s="883">
        <f t="shared" ref="Q19:Q41" si="43">F19-J19-L19</f>
        <v>0</v>
      </c>
      <c r="R19" s="883">
        <f t="shared" ref="R19:R42" si="44">G19</f>
        <v>0</v>
      </c>
      <c r="S19" s="886">
        <f t="shared" ref="S19:S41" si="45">H19-M19</f>
        <v>0</v>
      </c>
      <c r="T19" s="883">
        <f t="shared" si="4"/>
        <v>0</v>
      </c>
      <c r="U19" s="887">
        <f>Factors!D24</f>
        <v>20.55318099621897</v>
      </c>
      <c r="V19" s="885">
        <f t="shared" ref="V19:V41" si="46">N19*$U19*TbtuToQBtu</f>
        <v>0</v>
      </c>
      <c r="W19" s="883">
        <f t="shared" ref="W19:W41" si="47">O19*$U19*TbtuToQBtu</f>
        <v>0</v>
      </c>
      <c r="X19" s="883">
        <f t="shared" ref="X19:X41" si="48">P19*$U19*TbtuToQBtu</f>
        <v>0</v>
      </c>
      <c r="Y19" s="883">
        <f t="shared" ref="Y19:Y41" si="49">Q19*$U19*TbtuToQBtu</f>
        <v>0</v>
      </c>
      <c r="Z19" s="883">
        <f t="shared" ref="Z19:Z41" si="50">R19*$U19*TbtuToQBtu</f>
        <v>0</v>
      </c>
      <c r="AA19" s="883">
        <f t="shared" ref="AA19:AA41" si="51">S19*$U19*TbtuToQBtu</f>
        <v>0</v>
      </c>
      <c r="AB19" s="883">
        <f t="shared" si="34"/>
        <v>0</v>
      </c>
      <c r="AC19" s="888">
        <f>Factors!E24</f>
        <v>1</v>
      </c>
      <c r="AD19" s="885">
        <f t="shared" ref="AD19:AD42" si="52">V19*$AC19</f>
        <v>0</v>
      </c>
      <c r="AE19" s="883">
        <f t="shared" ref="AE19:AH42" si="53">W19*$AC19</f>
        <v>0</v>
      </c>
      <c r="AF19" s="883">
        <f t="shared" ref="AF19:AF42" si="54">X19*$AC19</f>
        <v>0</v>
      </c>
      <c r="AG19" s="883">
        <f t="shared" ref="AG19:AG42" si="55">Y19*$AC19</f>
        <v>0</v>
      </c>
      <c r="AH19" s="883">
        <f t="shared" ref="AH19:AH42" si="56">Z19*$AC19</f>
        <v>0</v>
      </c>
      <c r="AI19" s="883">
        <f t="shared" ref="AI19:AI42" si="57">AA19*$AC19</f>
        <v>0</v>
      </c>
      <c r="AJ19" s="889">
        <f t="shared" si="6"/>
        <v>0</v>
      </c>
      <c r="AK19" s="885">
        <f t="shared" si="27"/>
        <v>0</v>
      </c>
      <c r="AL19" s="883">
        <f t="shared" si="28"/>
        <v>0</v>
      </c>
      <c r="AM19" s="883">
        <f t="shared" si="29"/>
        <v>0</v>
      </c>
      <c r="AN19" s="883">
        <f t="shared" si="30"/>
        <v>0</v>
      </c>
      <c r="AO19" s="883">
        <f t="shared" si="31"/>
        <v>0</v>
      </c>
      <c r="AP19" s="883">
        <f t="shared" si="32"/>
        <v>0</v>
      </c>
      <c r="AQ19" s="890">
        <f t="shared" si="35"/>
        <v>0</v>
      </c>
    </row>
    <row r="20" spans="1:43">
      <c r="A20" s="817"/>
      <c r="B20" s="860" t="s">
        <v>1622</v>
      </c>
      <c r="C20" s="883"/>
      <c r="D20" s="883"/>
      <c r="E20" s="883"/>
      <c r="F20" s="883">
        <f>HLOOKUP($B$2,'Consumption Input'!$E$5:$AQ$82,'Consumption Input'!$B50)</f>
        <v>36.284999999999997</v>
      </c>
      <c r="G20" s="883"/>
      <c r="H20" s="883"/>
      <c r="I20" s="883">
        <f t="shared" si="33"/>
        <v>36.284999999999997</v>
      </c>
      <c r="J20" s="961"/>
      <c r="K20" s="940"/>
      <c r="L20" s="940"/>
      <c r="M20" s="940"/>
      <c r="N20" s="885">
        <f t="shared" si="40"/>
        <v>0</v>
      </c>
      <c r="O20" s="883">
        <f t="shared" si="41"/>
        <v>0</v>
      </c>
      <c r="P20" s="883">
        <f t="shared" si="42"/>
        <v>0</v>
      </c>
      <c r="Q20" s="883">
        <f t="shared" si="43"/>
        <v>36.284999999999997</v>
      </c>
      <c r="R20" s="883">
        <f t="shared" si="44"/>
        <v>0</v>
      </c>
      <c r="S20" s="886">
        <f t="shared" si="45"/>
        <v>0</v>
      </c>
      <c r="T20" s="883">
        <f t="shared" si="4"/>
        <v>36.284999999999997</v>
      </c>
      <c r="U20" s="887">
        <f>Factors!D25</f>
        <v>18.855352254718337</v>
      </c>
      <c r="V20" s="885">
        <f t="shared" si="46"/>
        <v>0</v>
      </c>
      <c r="W20" s="883">
        <f t="shared" si="47"/>
        <v>0</v>
      </c>
      <c r="X20" s="883">
        <f t="shared" si="48"/>
        <v>0</v>
      </c>
      <c r="Y20" s="883">
        <f t="shared" si="49"/>
        <v>0.68416645656245478</v>
      </c>
      <c r="Z20" s="883">
        <f t="shared" si="50"/>
        <v>0</v>
      </c>
      <c r="AA20" s="883">
        <f t="shared" si="51"/>
        <v>0</v>
      </c>
      <c r="AB20" s="883">
        <f t="shared" si="34"/>
        <v>0.68416645656245478</v>
      </c>
      <c r="AC20" s="888">
        <f>Factors!E25</f>
        <v>1</v>
      </c>
      <c r="AD20" s="885">
        <f t="shared" si="52"/>
        <v>0</v>
      </c>
      <c r="AE20" s="883">
        <f t="shared" si="53"/>
        <v>0</v>
      </c>
      <c r="AF20" s="883">
        <f t="shared" si="54"/>
        <v>0</v>
      </c>
      <c r="AG20" s="883">
        <f t="shared" si="55"/>
        <v>0.68416645656245478</v>
      </c>
      <c r="AH20" s="883">
        <f t="shared" si="56"/>
        <v>0</v>
      </c>
      <c r="AI20" s="883">
        <f t="shared" si="57"/>
        <v>0</v>
      </c>
      <c r="AJ20" s="889">
        <f t="shared" si="6"/>
        <v>0.68416645656245478</v>
      </c>
      <c r="AK20" s="885">
        <f t="shared" si="27"/>
        <v>0</v>
      </c>
      <c r="AL20" s="883">
        <f t="shared" si="28"/>
        <v>0</v>
      </c>
      <c r="AM20" s="883">
        <f t="shared" si="29"/>
        <v>0</v>
      </c>
      <c r="AN20" s="883">
        <f t="shared" si="30"/>
        <v>2.5086103407290006</v>
      </c>
      <c r="AO20" s="883">
        <f t="shared" si="31"/>
        <v>0</v>
      </c>
      <c r="AP20" s="883">
        <f t="shared" si="32"/>
        <v>0</v>
      </c>
      <c r="AQ20" s="890">
        <f t="shared" si="35"/>
        <v>2.5086103407290006</v>
      </c>
    </row>
    <row r="21" spans="1:43">
      <c r="A21" s="817"/>
      <c r="B21" s="860" t="s">
        <v>1738</v>
      </c>
      <c r="C21" s="883">
        <f>HLOOKUP($B$2,'Consumption Input'!$E$5:$AQ$82,'Consumption Input'!$B9)</f>
        <v>775.2453985358319</v>
      </c>
      <c r="D21" s="883">
        <f>HLOOKUP($B$2,'Consumption Input'!$E$5:$AQ$82,'Consumption Input'!$B15)</f>
        <v>420.66424864464409</v>
      </c>
      <c r="E21" s="883">
        <f>HLOOKUP($B$2,'Consumption Input'!$E$5:$AQ$82,'Consumption Input'!$B28)</f>
        <v>1011.7034372899376</v>
      </c>
      <c r="F21" s="883">
        <f>HLOOKUP($B$2,'Consumption Input'!$E$5:$AQ$82,'Consumption Input'!$B51)</f>
        <v>5528.261324458158</v>
      </c>
      <c r="G21" s="883">
        <f>HLOOKUP($B$2,'Consumption Input'!$E$5:$AQ$82,'Consumption Input'!$B60)</f>
        <v>174.66499999999999</v>
      </c>
      <c r="H21" s="883">
        <f>HLOOKUP($B$2,'US Territories'!$D$28:$Z$38,'US Territories'!$B31)</f>
        <v>87.523370765343159</v>
      </c>
      <c r="I21" s="883">
        <f t="shared" si="33"/>
        <v>7998.0627796939152</v>
      </c>
      <c r="J21" s="961">
        <f>HLOOKUP($B$2,IBFConsumption,'International Bunker Fuels'!$B$10)</f>
        <v>85.858733881526433</v>
      </c>
      <c r="K21" s="940">
        <f>HLOOKUP($B$2,NEUConsumption,'Non-Energy Use'!$C$20)</f>
        <v>11.65</v>
      </c>
      <c r="L21" s="940"/>
      <c r="M21" s="940"/>
      <c r="N21" s="885">
        <f t="shared" si="40"/>
        <v>775.2453985358319</v>
      </c>
      <c r="O21" s="883">
        <f t="shared" si="41"/>
        <v>420.66424864464409</v>
      </c>
      <c r="P21" s="883">
        <f t="shared" si="42"/>
        <v>1000.0534372899376</v>
      </c>
      <c r="Q21" s="883">
        <f t="shared" si="43"/>
        <v>5442.4025905766312</v>
      </c>
      <c r="R21" s="883">
        <f t="shared" si="44"/>
        <v>174.66499999999999</v>
      </c>
      <c r="S21" s="886">
        <f t="shared" si="45"/>
        <v>87.523370765343159</v>
      </c>
      <c r="T21" s="883">
        <f t="shared" si="4"/>
        <v>7900.5540458123878</v>
      </c>
      <c r="U21" s="887">
        <f>HLOOKUP($B$2,Factors!$J$12:$BE$27,Factors!$H27,FALSE)</f>
        <v>20.39</v>
      </c>
      <c r="V21" s="885">
        <f t="shared" si="46"/>
        <v>15.807253676145612</v>
      </c>
      <c r="W21" s="883">
        <f t="shared" si="47"/>
        <v>8.5773440298642925</v>
      </c>
      <c r="X21" s="883">
        <f t="shared" si="48"/>
        <v>20.391089586341831</v>
      </c>
      <c r="Y21" s="883">
        <f t="shared" si="49"/>
        <v>110.97058882185752</v>
      </c>
      <c r="Z21" s="883">
        <f t="shared" si="50"/>
        <v>3.56141935</v>
      </c>
      <c r="AA21" s="883">
        <f t="shared" si="51"/>
        <v>1.784601529905347</v>
      </c>
      <c r="AB21" s="883">
        <f t="shared" si="34"/>
        <v>161.09229699411461</v>
      </c>
      <c r="AC21" s="888">
        <f>Factors!E26</f>
        <v>1</v>
      </c>
      <c r="AD21" s="885">
        <f t="shared" si="52"/>
        <v>15.807253676145612</v>
      </c>
      <c r="AE21" s="883">
        <f t="shared" si="53"/>
        <v>8.5773440298642925</v>
      </c>
      <c r="AF21" s="883">
        <f t="shared" si="54"/>
        <v>20.391089586341831</v>
      </c>
      <c r="AG21" s="883">
        <f t="shared" si="55"/>
        <v>110.97058882185752</v>
      </c>
      <c r="AH21" s="883">
        <f t="shared" si="56"/>
        <v>3.56141935</v>
      </c>
      <c r="AI21" s="883">
        <f t="shared" si="57"/>
        <v>1.784601529905347</v>
      </c>
      <c r="AJ21" s="889">
        <f t="shared" si="6"/>
        <v>161.09229699411461</v>
      </c>
      <c r="AK21" s="885">
        <f t="shared" si="27"/>
        <v>57.95993014586724</v>
      </c>
      <c r="AL21" s="883">
        <f t="shared" si="28"/>
        <v>31.450261442835739</v>
      </c>
      <c r="AM21" s="883">
        <f t="shared" si="29"/>
        <v>74.76732848325338</v>
      </c>
      <c r="AN21" s="883">
        <f t="shared" si="30"/>
        <v>406.89215901347757</v>
      </c>
      <c r="AO21" s="883">
        <f t="shared" si="31"/>
        <v>13.058537616666666</v>
      </c>
      <c r="AP21" s="883">
        <f t="shared" si="32"/>
        <v>6.543538942986272</v>
      </c>
      <c r="AQ21" s="890">
        <f t="shared" si="35"/>
        <v>590.67175564508682</v>
      </c>
    </row>
    <row r="22" spans="1:43">
      <c r="A22" s="817"/>
      <c r="B22" s="860" t="s">
        <v>1623</v>
      </c>
      <c r="C22" s="883"/>
      <c r="D22" s="883"/>
      <c r="E22" s="883"/>
      <c r="F22" s="883">
        <f>HLOOKUP($B$2,'Consumption Input'!$E$5:$AQ$82,'Consumption Input'!$B52)</f>
        <v>3580.3499999999995</v>
      </c>
      <c r="G22" s="883"/>
      <c r="H22" s="883">
        <f>HLOOKUP($B$2,'US Territories'!$D$28:$Z$38,'US Territories'!$B32)</f>
        <v>68.583333844088202</v>
      </c>
      <c r="I22" s="883">
        <f t="shared" si="33"/>
        <v>3648.9333338440874</v>
      </c>
      <c r="J22" s="961">
        <f>HLOOKUP($B$2,IBFConsumption,'International Bunker Fuels'!$B$8)</f>
        <v>881.45014880742485</v>
      </c>
      <c r="K22" s="940"/>
      <c r="L22" s="940"/>
      <c r="M22" s="940"/>
      <c r="N22" s="885">
        <f t="shared" si="40"/>
        <v>0</v>
      </c>
      <c r="O22" s="883">
        <f t="shared" si="41"/>
        <v>0</v>
      </c>
      <c r="P22" s="883">
        <f t="shared" si="42"/>
        <v>0</v>
      </c>
      <c r="Q22" s="883">
        <f t="shared" si="43"/>
        <v>2698.8998511925747</v>
      </c>
      <c r="R22" s="883">
        <f t="shared" si="44"/>
        <v>0</v>
      </c>
      <c r="S22" s="886">
        <f t="shared" si="45"/>
        <v>68.583333844088202</v>
      </c>
      <c r="T22" s="883">
        <f t="shared" si="4"/>
        <v>2767.4831850366627</v>
      </c>
      <c r="U22" s="887">
        <f>HLOOKUP($B$2,Factors!$J$12:$Y$25,Factors!$H21)</f>
        <v>19.696969696969692</v>
      </c>
      <c r="V22" s="885">
        <f t="shared" si="46"/>
        <v>0</v>
      </c>
      <c r="W22" s="883">
        <f t="shared" si="47"/>
        <v>0</v>
      </c>
      <c r="X22" s="883">
        <f t="shared" si="48"/>
        <v>0</v>
      </c>
      <c r="Y22" s="883">
        <f t="shared" si="49"/>
        <v>53.160148584096156</v>
      </c>
      <c r="Z22" s="883">
        <f t="shared" si="50"/>
        <v>0</v>
      </c>
      <c r="AA22" s="883">
        <f t="shared" si="51"/>
        <v>1.3508838484441612</v>
      </c>
      <c r="AB22" s="883">
        <f t="shared" si="34"/>
        <v>54.511032432540318</v>
      </c>
      <c r="AC22" s="888">
        <f>Factors!E27</f>
        <v>1</v>
      </c>
      <c r="AD22" s="885">
        <f t="shared" si="52"/>
        <v>0</v>
      </c>
      <c r="AE22" s="883">
        <f t="shared" si="53"/>
        <v>0</v>
      </c>
      <c r="AF22" s="883">
        <f t="shared" si="54"/>
        <v>0</v>
      </c>
      <c r="AG22" s="883">
        <f t="shared" si="55"/>
        <v>53.160148584096156</v>
      </c>
      <c r="AH22" s="883">
        <f t="shared" si="56"/>
        <v>0</v>
      </c>
      <c r="AI22" s="883">
        <f t="shared" si="57"/>
        <v>1.3508838484441612</v>
      </c>
      <c r="AJ22" s="889">
        <f t="shared" si="6"/>
        <v>54.511032432540318</v>
      </c>
      <c r="AK22" s="885">
        <f t="shared" si="27"/>
        <v>0</v>
      </c>
      <c r="AL22" s="883">
        <f t="shared" si="28"/>
        <v>0</v>
      </c>
      <c r="AM22" s="883">
        <f t="shared" si="29"/>
        <v>0</v>
      </c>
      <c r="AN22" s="883">
        <f t="shared" si="30"/>
        <v>194.92054480835256</v>
      </c>
      <c r="AO22" s="883">
        <f t="shared" si="31"/>
        <v>0</v>
      </c>
      <c r="AP22" s="883">
        <f t="shared" si="32"/>
        <v>4.9532407776285909</v>
      </c>
      <c r="AQ22" s="890">
        <f t="shared" si="35"/>
        <v>199.87378558598115</v>
      </c>
    </row>
    <row r="23" spans="1:43">
      <c r="A23" s="817"/>
      <c r="B23" s="860" t="s">
        <v>1599</v>
      </c>
      <c r="C23" s="883">
        <f>HLOOKUP($B$2,'Consumption Input'!$E$5:$AQ$82,'Consumption Input'!$B10)</f>
        <v>94.572000000000003</v>
      </c>
      <c r="D23" s="883">
        <f>HLOOKUP($B$2,'Consumption Input'!$E$5:$AQ$82,'Consumption Input'!$B16)</f>
        <v>29.65</v>
      </c>
      <c r="E23" s="883">
        <f>HLOOKUP($B$2,'Consumption Input'!$E$5:$AQ$82,'Consumption Input'!$B29)</f>
        <v>15.64</v>
      </c>
      <c r="F23" s="883"/>
      <c r="G23" s="883"/>
      <c r="H23" s="883">
        <f>HLOOKUP($B$2,'US Territories'!$D$28:$Z$38,'US Territories'!$B33)</f>
        <v>2.3861393299180369</v>
      </c>
      <c r="I23" s="883">
        <f t="shared" si="33"/>
        <v>142.24813932991805</v>
      </c>
      <c r="J23" s="961"/>
      <c r="K23" s="940"/>
      <c r="L23" s="940"/>
      <c r="M23" s="940"/>
      <c r="N23" s="885">
        <f t="shared" si="40"/>
        <v>94.572000000000003</v>
      </c>
      <c r="O23" s="883">
        <f t="shared" si="41"/>
        <v>29.65</v>
      </c>
      <c r="P23" s="883">
        <f t="shared" si="42"/>
        <v>15.64</v>
      </c>
      <c r="Q23" s="883">
        <f t="shared" si="43"/>
        <v>0</v>
      </c>
      <c r="R23" s="883">
        <f t="shared" si="44"/>
        <v>0</v>
      </c>
      <c r="S23" s="886">
        <f t="shared" si="45"/>
        <v>2.3861393299180369</v>
      </c>
      <c r="T23" s="883">
        <f t="shared" si="4"/>
        <v>142.24813932991805</v>
      </c>
      <c r="U23" s="887">
        <f>Factors!D28</f>
        <v>19.964104564962931</v>
      </c>
      <c r="V23" s="885">
        <f t="shared" si="46"/>
        <v>1.8880452969176742</v>
      </c>
      <c r="W23" s="883">
        <f t="shared" si="47"/>
        <v>0.59193570035115095</v>
      </c>
      <c r="X23" s="883">
        <f t="shared" si="48"/>
        <v>0.31223859539602022</v>
      </c>
      <c r="Y23" s="883">
        <f t="shared" si="49"/>
        <v>0</v>
      </c>
      <c r="Z23" s="883">
        <f t="shared" si="50"/>
        <v>0</v>
      </c>
      <c r="AA23" s="883">
        <f t="shared" si="51"/>
        <v>4.7637135089054268E-2</v>
      </c>
      <c r="AB23" s="883">
        <f t="shared" si="34"/>
        <v>2.8398567277538995</v>
      </c>
      <c r="AC23" s="888">
        <f>Factors!E28</f>
        <v>1</v>
      </c>
      <c r="AD23" s="885">
        <f t="shared" si="52"/>
        <v>1.8880452969176742</v>
      </c>
      <c r="AE23" s="883">
        <f t="shared" si="53"/>
        <v>0.59193570035115095</v>
      </c>
      <c r="AF23" s="883">
        <f t="shared" si="54"/>
        <v>0.31223859539602022</v>
      </c>
      <c r="AG23" s="883">
        <f t="shared" si="55"/>
        <v>0</v>
      </c>
      <c r="AH23" s="883">
        <f t="shared" si="56"/>
        <v>0</v>
      </c>
      <c r="AI23" s="883">
        <f t="shared" si="57"/>
        <v>4.7637135089054268E-2</v>
      </c>
      <c r="AJ23" s="889">
        <f t="shared" si="6"/>
        <v>2.8398567277538995</v>
      </c>
      <c r="AK23" s="885">
        <f t="shared" si="27"/>
        <v>6.922832755364805</v>
      </c>
      <c r="AL23" s="883">
        <f t="shared" si="28"/>
        <v>2.1704309012875536</v>
      </c>
      <c r="AM23" s="883">
        <f t="shared" si="29"/>
        <v>1.1448748497854075</v>
      </c>
      <c r="AN23" s="883">
        <f t="shared" si="30"/>
        <v>0</v>
      </c>
      <c r="AO23" s="883">
        <f t="shared" si="31"/>
        <v>0</v>
      </c>
      <c r="AP23" s="883">
        <f t="shared" si="32"/>
        <v>0.17466949532653231</v>
      </c>
      <c r="AQ23" s="890">
        <f t="shared" si="35"/>
        <v>10.412808001764297</v>
      </c>
    </row>
    <row r="24" spans="1:43">
      <c r="A24" s="817"/>
      <c r="B24" s="860" t="s">
        <v>1600</v>
      </c>
      <c r="C24" s="883">
        <f>HLOOKUP($B$2,'Consumption Input'!$E$5:$AQ$82,'Consumption Input'!$B11)</f>
        <v>555.61500000000001</v>
      </c>
      <c r="D24" s="883">
        <f>HLOOKUP($B$2,'Consumption Input'!$E$5:$AQ$82,'Consumption Input'!$B17)</f>
        <v>150.58799999999999</v>
      </c>
      <c r="E24"/>
      <c r="F24" s="883">
        <f>HLOOKUP($B$2,'Consumption Input'!$E$5:$AQ$82,'Consumption Input'!$B53)</f>
        <v>11.898999999999999</v>
      </c>
      <c r="G24" s="883"/>
      <c r="H24"/>
      <c r="I24" s="883">
        <f>SUM(C24:H24)</f>
        <v>718.10199999999998</v>
      </c>
      <c r="J24" s="884"/>
      <c r="K24"/>
      <c r="L24" s="883"/>
      <c r="M24" s="883"/>
      <c r="N24" s="885">
        <f>C24</f>
        <v>555.61500000000001</v>
      </c>
      <c r="O24" s="883">
        <f t="shared" si="41"/>
        <v>150.58799999999999</v>
      </c>
      <c r="P24"/>
      <c r="Q24" s="883">
        <f t="shared" si="43"/>
        <v>11.898999999999999</v>
      </c>
      <c r="R24" s="883">
        <f t="shared" si="44"/>
        <v>0</v>
      </c>
      <c r="S24" s="1007"/>
      <c r="T24" s="883">
        <f t="shared" si="4"/>
        <v>718.10199999999998</v>
      </c>
      <c r="U24" s="1005">
        <f>HLOOKUP($B$2,Factors!$J$12:$BE$25,Factors!$H17,FALSE)</f>
        <v>17.146363636363635</v>
      </c>
      <c r="V24" s="885">
        <f>N24*$U24*TbtuToQBtu</f>
        <v>9.5267768318181805</v>
      </c>
      <c r="W24" s="883">
        <f>O24*$U24*TbtuToQBtu</f>
        <v>2.5820366072727272</v>
      </c>
      <c r="X24"/>
      <c r="Y24" s="883">
        <f>Q24*$U24*TbtuToQBtu</f>
        <v>0.20402458090909087</v>
      </c>
      <c r="Z24" s="883">
        <f t="shared" ref="Z24" si="58">R24*$U24*TbtuToQBtu</f>
        <v>0</v>
      </c>
      <c r="AA24"/>
      <c r="AB24" s="883">
        <f>SUM(V24:AA24)</f>
        <v>12.312838019999997</v>
      </c>
      <c r="AC24" s="888">
        <f>Factors!E30</f>
        <v>1</v>
      </c>
      <c r="AD24" s="885">
        <f>V24*$AC24</f>
        <v>9.5267768318181805</v>
      </c>
      <c r="AE24" s="883">
        <f t="shared" si="53"/>
        <v>2.5820366072727272</v>
      </c>
      <c r="AF24"/>
      <c r="AG24" s="883">
        <f t="shared" si="53"/>
        <v>0.20402458090909087</v>
      </c>
      <c r="AH24" s="883">
        <f t="shared" si="53"/>
        <v>0</v>
      </c>
      <c r="AI24"/>
      <c r="AJ24" s="889">
        <f t="shared" si="6"/>
        <v>12.312838019999997</v>
      </c>
      <c r="AK24" s="885">
        <f>AD24*CtoCO2</f>
        <v>34.931515049999994</v>
      </c>
      <c r="AL24" s="883">
        <f t="shared" ref="AL24" si="59">AE24*CtoCO2</f>
        <v>9.4674675599999993</v>
      </c>
      <c r="AN24" s="883">
        <f t="shared" ref="AN24" si="60">AG24*CtoCO2</f>
        <v>0.7480901299999998</v>
      </c>
      <c r="AO24" s="883">
        <f t="shared" ref="AO24" si="61">AH24*CtoCO2</f>
        <v>0</v>
      </c>
      <c r="AQ24" s="890">
        <f t="shared" si="35"/>
        <v>45.147072739999992</v>
      </c>
    </row>
    <row r="25" spans="1:43">
      <c r="A25" s="817"/>
      <c r="B25" s="860" t="s">
        <v>1609</v>
      </c>
      <c r="C25" s="883"/>
      <c r="D25" s="883"/>
      <c r="E25" s="883">
        <f>HLOOKUP($B$2,'Consumption Input'!$E$5:$AQ$82,'Consumption Input'!$B30)</f>
        <v>2153.0463699279999</v>
      </c>
      <c r="F25" s="883"/>
      <c r="G25" s="883"/>
      <c r="H25" s="883">
        <f>HLOOKUP($B$2,'US Territories'!$D$28:$AO$38,'US Territories'!$B34)</f>
        <v>7.913420875819674</v>
      </c>
      <c r="I25" s="883">
        <f>SUM(C25:H25)</f>
        <v>2160.9597908038195</v>
      </c>
      <c r="J25" s="884"/>
      <c r="K25" s="883">
        <f>HLOOKUP($B$2,NEUConsumption,'Non-Energy Use'!$C$11)</f>
        <v>1759.2793713654823</v>
      </c>
      <c r="L25" s="883"/>
      <c r="M25" s="883"/>
      <c r="N25" s="885"/>
      <c r="O25" s="883"/>
      <c r="P25" s="883">
        <f>E25-K25</f>
        <v>393.76699856251753</v>
      </c>
      <c r="Q25" s="883"/>
      <c r="R25" s="883"/>
      <c r="S25" s="886">
        <f>H25-M25</f>
        <v>7.913420875819674</v>
      </c>
      <c r="T25" s="883">
        <f t="shared" si="4"/>
        <v>401.6804194383372</v>
      </c>
      <c r="U25" s="1005">
        <f>HLOOKUP($B$2,Factors!$J$12:$BE$25,Factors!$H18,FALSE)</f>
        <v>17.498812340308277</v>
      </c>
      <c r="V25" s="885"/>
      <c r="W25" s="883"/>
      <c r="X25" s="883">
        <f>P25*$U25*TbtuToQBtu</f>
        <v>6.8904548136519335</v>
      </c>
      <c r="Y25" s="883"/>
      <c r="Z25" s="883"/>
      <c r="AA25" s="883">
        <f>S25*$U25*TbtuToQBtu</f>
        <v>0.13847546687584644</v>
      </c>
      <c r="AB25" s="883">
        <f>SUM(V25:AA25)</f>
        <v>7.0289302805277796</v>
      </c>
      <c r="AC25" s="888">
        <f>Factors!E31</f>
        <v>1</v>
      </c>
      <c r="AD25" s="885"/>
      <c r="AE25" s="883"/>
      <c r="AF25" s="883">
        <f>X25*$AC25</f>
        <v>6.8904548136519335</v>
      </c>
      <c r="AG25" s="883"/>
      <c r="AH25" s="883"/>
      <c r="AI25" s="883">
        <f>AA25*$AC25</f>
        <v>0.13847546687584644</v>
      </c>
      <c r="AJ25" s="889">
        <f t="shared" si="6"/>
        <v>7.0289302805277796</v>
      </c>
      <c r="AK25" s="885"/>
      <c r="AL25" s="883"/>
      <c r="AM25" s="883">
        <f>AF25*CtoCO2</f>
        <v>25.265000983390422</v>
      </c>
      <c r="AN25" s="883"/>
      <c r="AO25" s="883"/>
      <c r="AP25" s="883">
        <f>AI25*CtoCO2</f>
        <v>0.50774337854477025</v>
      </c>
      <c r="AQ25" s="890">
        <f t="shared" si="35"/>
        <v>25.772744361935192</v>
      </c>
    </row>
    <row r="26" spans="1:43">
      <c r="A26" s="817"/>
      <c r="B26" s="860" t="s">
        <v>1610</v>
      </c>
      <c r="C26" s="883"/>
      <c r="D26" s="883"/>
      <c r="E26" s="883">
        <f>HLOOKUP($B$2,'Consumption Input'!$E$5:$AQ$82,'Consumption Input'!$B31)</f>
        <v>189.90700000000001</v>
      </c>
      <c r="F26" s="883">
        <f>HLOOKUP($B$2,'Consumption Input'!$E$5:$AQ$82,'Consumption Input'!$B54)</f>
        <v>179.36600000000001</v>
      </c>
      <c r="G26" s="883"/>
      <c r="H26" s="883">
        <f>HLOOKUP($B$2,'US Territories'!$D$28:$Z$38,'US Territories'!$B35)</f>
        <v>3.1041098278483639</v>
      </c>
      <c r="I26" s="883">
        <f t="shared" si="33"/>
        <v>372.37710982784841</v>
      </c>
      <c r="J26" s="961"/>
      <c r="K26" s="940">
        <f>HLOOKUP($B$2,NEUConsumption,'Non-Energy Use'!$C$12)</f>
        <v>189.90700000000001</v>
      </c>
      <c r="L26" s="940">
        <f>HLOOKUP($B$2,NEUConsumption,'Non-Energy Use'!$C$24)</f>
        <v>179.36600000000001</v>
      </c>
      <c r="M26" s="940">
        <f>HLOOKUP($B$2,NEUConsumption,'Non-Energy Use'!$C$26)</f>
        <v>3.1041098278483639</v>
      </c>
      <c r="N26" s="885">
        <f t="shared" si="40"/>
        <v>0</v>
      </c>
      <c r="O26" s="883">
        <f t="shared" si="41"/>
        <v>0</v>
      </c>
      <c r="P26" s="883">
        <f t="shared" si="42"/>
        <v>0</v>
      </c>
      <c r="Q26" s="883">
        <f t="shared" si="43"/>
        <v>0</v>
      </c>
      <c r="R26" s="883">
        <f t="shared" si="44"/>
        <v>0</v>
      </c>
      <c r="S26" s="886">
        <f t="shared" si="45"/>
        <v>0</v>
      </c>
      <c r="T26" s="883">
        <f t="shared" si="4"/>
        <v>0</v>
      </c>
      <c r="U26" s="887">
        <f>Factors!D33</f>
        <v>20.199355467286214</v>
      </c>
      <c r="V26" s="885">
        <f t="shared" si="46"/>
        <v>0</v>
      </c>
      <c r="W26" s="883">
        <f t="shared" si="47"/>
        <v>0</v>
      </c>
      <c r="X26" s="883">
        <f t="shared" si="48"/>
        <v>0</v>
      </c>
      <c r="Y26" s="883">
        <f t="shared" si="49"/>
        <v>0</v>
      </c>
      <c r="Z26" s="883">
        <f t="shared" si="50"/>
        <v>0</v>
      </c>
      <c r="AA26" s="883">
        <f t="shared" si="51"/>
        <v>0</v>
      </c>
      <c r="AB26" s="883">
        <f t="shared" si="34"/>
        <v>0</v>
      </c>
      <c r="AC26" s="888">
        <f>Factors!E33</f>
        <v>1</v>
      </c>
      <c r="AD26" s="885">
        <f t="shared" si="52"/>
        <v>0</v>
      </c>
      <c r="AE26" s="883">
        <f t="shared" si="53"/>
        <v>0</v>
      </c>
      <c r="AF26" s="883">
        <f t="shared" si="54"/>
        <v>0</v>
      </c>
      <c r="AG26" s="883">
        <f t="shared" si="55"/>
        <v>0</v>
      </c>
      <c r="AH26" s="883">
        <f t="shared" si="56"/>
        <v>0</v>
      </c>
      <c r="AI26" s="883">
        <f t="shared" si="57"/>
        <v>0</v>
      </c>
      <c r="AJ26" s="889">
        <f t="shared" si="6"/>
        <v>0</v>
      </c>
      <c r="AK26" s="885">
        <f t="shared" si="27"/>
        <v>0</v>
      </c>
      <c r="AL26" s="883">
        <f t="shared" si="28"/>
        <v>0</v>
      </c>
      <c r="AM26" s="883">
        <f t="shared" si="29"/>
        <v>0</v>
      </c>
      <c r="AN26" s="883">
        <f t="shared" si="30"/>
        <v>0</v>
      </c>
      <c r="AO26" s="883">
        <f t="shared" si="31"/>
        <v>0</v>
      </c>
      <c r="AP26" s="883">
        <f t="shared" si="32"/>
        <v>0</v>
      </c>
      <c r="AQ26" s="890">
        <f t="shared" si="35"/>
        <v>0</v>
      </c>
    </row>
    <row r="27" spans="1:43">
      <c r="A27" s="817"/>
      <c r="B27" s="860" t="s">
        <v>1601</v>
      </c>
      <c r="C27" s="883"/>
      <c r="D27" s="883">
        <f>HLOOKUP($B$2,'Consumption Input'!$E$5:$AQ$82,'Consumption Input'!$B18)</f>
        <v>74.094276022359935</v>
      </c>
      <c r="E27" s="883">
        <f>HLOOKUP($B$2,'Consumption Input'!$E$5:$AQ$82,'Consumption Input'!$B32)</f>
        <v>249.90433044879916</v>
      </c>
      <c r="F27" s="883">
        <f>HLOOKUP($B$2,'Consumption Input'!$E$5:$AQ$82,'Consumption Input'!$B55)</f>
        <v>15662.993584588839</v>
      </c>
      <c r="G27" s="883"/>
      <c r="H27" s="883">
        <f>HLOOKUP($B$2,'US Territories'!$D$28:$Z$38,'US Territories'!$B36)</f>
        <v>186.27694688126729</v>
      </c>
      <c r="I27" s="883">
        <f t="shared" si="33"/>
        <v>16173.269137941266</v>
      </c>
      <c r="J27" s="961"/>
      <c r="K27" s="940"/>
      <c r="L27" s="940"/>
      <c r="M27" s="940"/>
      <c r="N27" s="885">
        <f t="shared" si="40"/>
        <v>0</v>
      </c>
      <c r="O27" s="883">
        <f t="shared" si="41"/>
        <v>74.094276022359935</v>
      </c>
      <c r="P27" s="883">
        <f t="shared" si="42"/>
        <v>249.90433044879916</v>
      </c>
      <c r="Q27" s="883">
        <f t="shared" si="43"/>
        <v>15662.993584588839</v>
      </c>
      <c r="R27" s="883">
        <f t="shared" si="44"/>
        <v>0</v>
      </c>
      <c r="S27" s="886">
        <f t="shared" si="45"/>
        <v>186.27694688126729</v>
      </c>
      <c r="T27" s="883">
        <f t="shared" si="4"/>
        <v>16173.269137941266</v>
      </c>
      <c r="U27" s="887">
        <f>HLOOKUP($B$2,Factors!$J$12:$Y$25,Factors!$H20)</f>
        <v>19.47</v>
      </c>
      <c r="V27" s="885">
        <f t="shared" si="46"/>
        <v>0</v>
      </c>
      <c r="W27" s="883">
        <f t="shared" si="47"/>
        <v>1.4426155541553478</v>
      </c>
      <c r="X27" s="883">
        <f t="shared" si="48"/>
        <v>4.8656373138381195</v>
      </c>
      <c r="Y27" s="883">
        <f t="shared" si="49"/>
        <v>304.95848509194468</v>
      </c>
      <c r="Z27" s="883">
        <f t="shared" si="50"/>
        <v>0</v>
      </c>
      <c r="AA27" s="883">
        <f t="shared" si="51"/>
        <v>3.626812155778274</v>
      </c>
      <c r="AB27" s="883">
        <f t="shared" si="34"/>
        <v>314.89355011571644</v>
      </c>
      <c r="AC27" s="888">
        <f>Factors!E34</f>
        <v>1</v>
      </c>
      <c r="AD27" s="885">
        <f t="shared" si="52"/>
        <v>0</v>
      </c>
      <c r="AE27" s="883">
        <f t="shared" si="53"/>
        <v>1.4426155541553478</v>
      </c>
      <c r="AF27" s="883">
        <f t="shared" si="54"/>
        <v>4.8656373138381195</v>
      </c>
      <c r="AG27" s="883">
        <f>Y27*$AC44</f>
        <v>304.95848509194468</v>
      </c>
      <c r="AH27" s="883">
        <f t="shared" si="56"/>
        <v>0</v>
      </c>
      <c r="AI27" s="883">
        <f t="shared" si="57"/>
        <v>3.626812155778274</v>
      </c>
      <c r="AJ27" s="889">
        <f t="shared" si="6"/>
        <v>314.89355011571644</v>
      </c>
      <c r="AK27" s="885">
        <f t="shared" si="27"/>
        <v>0</v>
      </c>
      <c r="AL27" s="883">
        <f t="shared" si="28"/>
        <v>5.2895903652362755</v>
      </c>
      <c r="AM27" s="883">
        <f t="shared" si="29"/>
        <v>17.840670150739772</v>
      </c>
      <c r="AN27" s="883">
        <f t="shared" si="30"/>
        <v>1118.1811120037971</v>
      </c>
      <c r="AO27" s="883">
        <f t="shared" si="31"/>
        <v>0</v>
      </c>
      <c r="AP27" s="883">
        <f t="shared" si="32"/>
        <v>13.298311237853671</v>
      </c>
      <c r="AQ27" s="890">
        <f t="shared" si="35"/>
        <v>1154.6096837576267</v>
      </c>
    </row>
    <row r="28" spans="1:43">
      <c r="A28" s="817"/>
      <c r="B28" s="860" t="s">
        <v>1602</v>
      </c>
      <c r="C28" s="883"/>
      <c r="D28" s="883">
        <f>HLOOKUP($B$2,'Consumption Input'!$E$5:$AQ$82,'Consumption Input'!$B19)</f>
        <v>91.584000000000003</v>
      </c>
      <c r="E28" s="883">
        <f>HLOOKUP($B$2,'Consumption Input'!$E$5:$AQ$82,'Consumption Input'!$B33)</f>
        <v>190.34200000000001</v>
      </c>
      <c r="F28" s="883">
        <f>HLOOKUP($B$2,'Consumption Input'!$E$5:$AQ$82,'Consumption Input'!$B56)</f>
        <v>887.54</v>
      </c>
      <c r="G28" s="883">
        <f>HLOOKUP($B$2,'Consumption Input'!$E$5:$AQ$82,'Consumption Input'!$B61)</f>
        <v>870.83399999999995</v>
      </c>
      <c r="H28" s="883">
        <f>HLOOKUP($B$2,'US Territories'!$D$28:$Z$38,'US Territories'!$B37)</f>
        <v>138.56018355678788</v>
      </c>
      <c r="I28" s="883">
        <f t="shared" si="33"/>
        <v>2178.8601835567874</v>
      </c>
      <c r="J28" s="961">
        <f>HLOOKUP($B$2,IBFConsumption,'International Bunker Fuels'!$B$9)</f>
        <v>444.07453713799998</v>
      </c>
      <c r="K28" s="940"/>
      <c r="L28" s="940"/>
      <c r="M28" s="940"/>
      <c r="N28" s="885">
        <f t="shared" si="40"/>
        <v>0</v>
      </c>
      <c r="O28" s="883">
        <f t="shared" si="41"/>
        <v>91.584000000000003</v>
      </c>
      <c r="P28" s="883">
        <f t="shared" si="42"/>
        <v>190.34200000000001</v>
      </c>
      <c r="Q28" s="883">
        <f t="shared" si="43"/>
        <v>443.46546286199998</v>
      </c>
      <c r="R28" s="883">
        <f t="shared" si="44"/>
        <v>870.83399999999995</v>
      </c>
      <c r="S28" s="886">
        <f t="shared" si="45"/>
        <v>138.56018355678788</v>
      </c>
      <c r="T28" s="883">
        <f t="shared" si="4"/>
        <v>1734.7856464187878</v>
      </c>
      <c r="U28" s="887">
        <f>Factors!D36</f>
        <v>20.48</v>
      </c>
      <c r="V28" s="885">
        <f t="shared" si="46"/>
        <v>0</v>
      </c>
      <c r="W28" s="883">
        <f t="shared" si="47"/>
        <v>1.8756403200000002</v>
      </c>
      <c r="X28" s="883">
        <f t="shared" si="48"/>
        <v>3.8982041600000001</v>
      </c>
      <c r="Y28" s="883">
        <f t="shared" si="49"/>
        <v>9.0821726794137589</v>
      </c>
      <c r="Z28" s="883">
        <f t="shared" si="50"/>
        <v>17.83468032</v>
      </c>
      <c r="AA28" s="883">
        <f t="shared" si="51"/>
        <v>2.8377125592430157</v>
      </c>
      <c r="AB28" s="883">
        <f t="shared" si="34"/>
        <v>35.528410038656773</v>
      </c>
      <c r="AC28" s="888">
        <f>Factors!E36</f>
        <v>1</v>
      </c>
      <c r="AD28" s="885">
        <f t="shared" si="52"/>
        <v>0</v>
      </c>
      <c r="AE28" s="883">
        <f t="shared" si="53"/>
        <v>1.8756403200000002</v>
      </c>
      <c r="AF28" s="883">
        <f t="shared" si="54"/>
        <v>3.8982041600000001</v>
      </c>
      <c r="AG28" s="883">
        <f t="shared" si="55"/>
        <v>9.0821726794137589</v>
      </c>
      <c r="AH28" s="883">
        <f t="shared" si="56"/>
        <v>17.83468032</v>
      </c>
      <c r="AI28" s="883">
        <f t="shared" si="57"/>
        <v>2.8377125592430157</v>
      </c>
      <c r="AJ28" s="889">
        <f t="shared" si="6"/>
        <v>35.528410038656773</v>
      </c>
      <c r="AK28" s="885">
        <f t="shared" si="27"/>
        <v>0</v>
      </c>
      <c r="AL28" s="883">
        <f t="shared" si="28"/>
        <v>6.8773478400000005</v>
      </c>
      <c r="AM28" s="883">
        <f t="shared" si="29"/>
        <v>14.293415253333333</v>
      </c>
      <c r="AN28" s="883">
        <f t="shared" si="30"/>
        <v>33.301299824517116</v>
      </c>
      <c r="AO28" s="883">
        <f t="shared" si="31"/>
        <v>65.39382784</v>
      </c>
      <c r="AP28" s="883">
        <f t="shared" si="32"/>
        <v>10.404946050557724</v>
      </c>
      <c r="AQ28" s="890">
        <f t="shared" si="35"/>
        <v>130.27083680840818</v>
      </c>
    </row>
    <row r="29" spans="1:43">
      <c r="A29" s="817"/>
      <c r="B29" s="860" t="s">
        <v>1603</v>
      </c>
      <c r="C29" s="883"/>
      <c r="D29" s="883"/>
      <c r="E29" s="883"/>
      <c r="F29" s="883"/>
      <c r="G29" s="883"/>
      <c r="H29" s="883"/>
      <c r="I29" s="940"/>
      <c r="J29" s="961"/>
      <c r="K29" s="940"/>
      <c r="L29" s="940"/>
      <c r="M29" s="940"/>
      <c r="N29" s="885">
        <f t="shared" si="40"/>
        <v>0</v>
      </c>
      <c r="O29" s="883">
        <f t="shared" si="41"/>
        <v>0</v>
      </c>
      <c r="P29" s="883">
        <f t="shared" si="42"/>
        <v>0</v>
      </c>
      <c r="Q29" s="883">
        <f t="shared" si="43"/>
        <v>0</v>
      </c>
      <c r="R29" s="883">
        <f t="shared" si="44"/>
        <v>0</v>
      </c>
      <c r="S29" s="886">
        <f t="shared" si="45"/>
        <v>0</v>
      </c>
      <c r="T29" s="883">
        <f t="shared" si="4"/>
        <v>0</v>
      </c>
      <c r="U29" s="887"/>
      <c r="V29" s="885">
        <f t="shared" si="46"/>
        <v>0</v>
      </c>
      <c r="W29" s="883">
        <f t="shared" si="47"/>
        <v>0</v>
      </c>
      <c r="X29" s="883">
        <f t="shared" si="48"/>
        <v>0</v>
      </c>
      <c r="Y29" s="883">
        <f t="shared" si="49"/>
        <v>0</v>
      </c>
      <c r="Z29" s="883">
        <f t="shared" si="50"/>
        <v>0</v>
      </c>
      <c r="AA29" s="883">
        <f t="shared" si="51"/>
        <v>0</v>
      </c>
      <c r="AB29" s="883">
        <f t="shared" si="34"/>
        <v>0</v>
      </c>
      <c r="AC29" s="888"/>
      <c r="AD29" s="885">
        <f t="shared" si="52"/>
        <v>0</v>
      </c>
      <c r="AE29" s="883">
        <f t="shared" si="53"/>
        <v>0</v>
      </c>
      <c r="AF29" s="883">
        <f t="shared" si="54"/>
        <v>0</v>
      </c>
      <c r="AG29" s="883">
        <f t="shared" si="55"/>
        <v>0</v>
      </c>
      <c r="AH29" s="883">
        <f t="shared" si="56"/>
        <v>0</v>
      </c>
      <c r="AI29" s="883">
        <f t="shared" si="57"/>
        <v>0</v>
      </c>
      <c r="AJ29" s="889">
        <f t="shared" si="6"/>
        <v>0</v>
      </c>
      <c r="AK29" s="885">
        <f t="shared" si="27"/>
        <v>0</v>
      </c>
      <c r="AL29" s="883">
        <f t="shared" si="28"/>
        <v>0</v>
      </c>
      <c r="AM29" s="883">
        <f t="shared" si="29"/>
        <v>0</v>
      </c>
      <c r="AN29" s="883">
        <f t="shared" si="30"/>
        <v>0</v>
      </c>
      <c r="AO29" s="883">
        <f t="shared" si="31"/>
        <v>0</v>
      </c>
      <c r="AP29" s="883">
        <f t="shared" si="32"/>
        <v>0</v>
      </c>
      <c r="AQ29" s="890">
        <f t="shared" si="35"/>
        <v>0</v>
      </c>
    </row>
    <row r="30" spans="1:43">
      <c r="A30" s="817"/>
      <c r="B30" s="865" t="s">
        <v>1611</v>
      </c>
      <c r="C30" s="883"/>
      <c r="D30" s="883"/>
      <c r="E30" s="883">
        <f>HLOOKUP($B$2,'Consumption Input'!$E$5:$AQ$82,'Consumption Input'!$B35)</f>
        <v>3.8162880000000001</v>
      </c>
      <c r="F30" s="883"/>
      <c r="G30" s="883"/>
      <c r="H30" s="883"/>
      <c r="I30" s="883">
        <f t="shared" si="33"/>
        <v>3.8162880000000001</v>
      </c>
      <c r="J30" s="961"/>
      <c r="K30" s="940"/>
      <c r="L30" s="940"/>
      <c r="M30" s="940"/>
      <c r="N30" s="885">
        <f t="shared" si="40"/>
        <v>0</v>
      </c>
      <c r="O30" s="883">
        <f t="shared" si="41"/>
        <v>0</v>
      </c>
      <c r="P30" s="883">
        <f t="shared" si="42"/>
        <v>3.8162880000000001</v>
      </c>
      <c r="Q30" s="883">
        <f t="shared" si="43"/>
        <v>0</v>
      </c>
      <c r="R30" s="883">
        <f t="shared" si="44"/>
        <v>0</v>
      </c>
      <c r="S30" s="886">
        <f t="shared" si="45"/>
        <v>0</v>
      </c>
      <c r="T30" s="883">
        <f t="shared" si="4"/>
        <v>3.8162880000000001</v>
      </c>
      <c r="U30" s="887">
        <f>Factors!D39</f>
        <v>18.87</v>
      </c>
      <c r="V30" s="885">
        <f t="shared" si="46"/>
        <v>0</v>
      </c>
      <c r="W30" s="883">
        <f t="shared" si="47"/>
        <v>0</v>
      </c>
      <c r="X30" s="883">
        <f t="shared" si="48"/>
        <v>7.2013354560000006E-2</v>
      </c>
      <c r="Y30" s="883">
        <f t="shared" si="49"/>
        <v>0</v>
      </c>
      <c r="Z30" s="883">
        <f t="shared" si="50"/>
        <v>0</v>
      </c>
      <c r="AA30" s="883">
        <f t="shared" si="51"/>
        <v>0</v>
      </c>
      <c r="AB30" s="883">
        <f t="shared" si="34"/>
        <v>7.2013354560000006E-2</v>
      </c>
      <c r="AC30" s="888">
        <f>Factors!E39</f>
        <v>1</v>
      </c>
      <c r="AD30" s="885">
        <f t="shared" si="52"/>
        <v>0</v>
      </c>
      <c r="AE30" s="883">
        <f t="shared" si="53"/>
        <v>0</v>
      </c>
      <c r="AF30" s="883">
        <f t="shared" si="54"/>
        <v>7.2013354560000006E-2</v>
      </c>
      <c r="AG30" s="883">
        <f t="shared" si="55"/>
        <v>0</v>
      </c>
      <c r="AH30" s="883">
        <f t="shared" si="56"/>
        <v>0</v>
      </c>
      <c r="AI30" s="883">
        <f t="shared" si="57"/>
        <v>0</v>
      </c>
      <c r="AJ30" s="889">
        <f t="shared" si="6"/>
        <v>7.2013354560000006E-2</v>
      </c>
      <c r="AK30" s="885">
        <f t="shared" si="27"/>
        <v>0</v>
      </c>
      <c r="AL30" s="883">
        <f t="shared" si="28"/>
        <v>0</v>
      </c>
      <c r="AM30" s="883">
        <f t="shared" si="29"/>
        <v>0.26404896672</v>
      </c>
      <c r="AN30" s="883">
        <f t="shared" si="30"/>
        <v>0</v>
      </c>
      <c r="AO30" s="883">
        <f t="shared" si="31"/>
        <v>0</v>
      </c>
      <c r="AP30" s="883">
        <f t="shared" si="32"/>
        <v>0</v>
      </c>
      <c r="AQ30" s="890">
        <f t="shared" si="35"/>
        <v>0.26404896672</v>
      </c>
    </row>
    <row r="31" spans="1:43">
      <c r="A31" s="817"/>
      <c r="B31" s="865" t="s">
        <v>1612</v>
      </c>
      <c r="C31" s="883"/>
      <c r="D31" s="883"/>
      <c r="E31" s="883">
        <f>HLOOKUP($B$2,'Consumption Input'!$E$5:$AQ$82,'Consumption Input'!$B36)</f>
        <v>0</v>
      </c>
      <c r="F31" s="883"/>
      <c r="G31" s="883"/>
      <c r="H31" s="883"/>
      <c r="I31" s="883">
        <f t="shared" si="33"/>
        <v>0</v>
      </c>
      <c r="J31" s="961"/>
      <c r="K31" s="940"/>
      <c r="L31" s="940"/>
      <c r="M31" s="940"/>
      <c r="N31" s="885">
        <f t="shared" si="40"/>
        <v>0</v>
      </c>
      <c r="O31" s="883">
        <f t="shared" si="41"/>
        <v>0</v>
      </c>
      <c r="P31" s="883">
        <f t="shared" si="42"/>
        <v>0</v>
      </c>
      <c r="Q31" s="883">
        <f t="shared" si="43"/>
        <v>0</v>
      </c>
      <c r="R31" s="883">
        <f t="shared" si="44"/>
        <v>0</v>
      </c>
      <c r="S31" s="886">
        <f t="shared" si="45"/>
        <v>0</v>
      </c>
      <c r="T31" s="883">
        <f t="shared" si="4"/>
        <v>0</v>
      </c>
      <c r="U31" s="887">
        <f>HLOOKUP($B$2,Factors!$J$12:$Y$25,Factors!$H25)</f>
        <v>20.216527907586205</v>
      </c>
      <c r="V31" s="885">
        <f t="shared" si="46"/>
        <v>0</v>
      </c>
      <c r="W31" s="883">
        <f t="shared" si="47"/>
        <v>0</v>
      </c>
      <c r="X31" s="883">
        <f t="shared" si="48"/>
        <v>0</v>
      </c>
      <c r="Y31" s="883">
        <f t="shared" si="49"/>
        <v>0</v>
      </c>
      <c r="Z31" s="883">
        <f t="shared" si="50"/>
        <v>0</v>
      </c>
      <c r="AA31" s="883">
        <f t="shared" si="51"/>
        <v>0</v>
      </c>
      <c r="AB31" s="883">
        <f t="shared" si="34"/>
        <v>0</v>
      </c>
      <c r="AC31" s="888">
        <f>Factors!E40</f>
        <v>1</v>
      </c>
      <c r="AD31" s="885">
        <f t="shared" si="52"/>
        <v>0</v>
      </c>
      <c r="AE31" s="883">
        <f t="shared" si="53"/>
        <v>0</v>
      </c>
      <c r="AF31" s="883">
        <f t="shared" si="54"/>
        <v>0</v>
      </c>
      <c r="AG31" s="883">
        <f t="shared" si="55"/>
        <v>0</v>
      </c>
      <c r="AH31" s="883">
        <f t="shared" si="56"/>
        <v>0</v>
      </c>
      <c r="AI31" s="883">
        <f t="shared" si="57"/>
        <v>0</v>
      </c>
      <c r="AJ31" s="889">
        <f t="shared" si="6"/>
        <v>0</v>
      </c>
      <c r="AK31" s="885">
        <f t="shared" si="27"/>
        <v>0</v>
      </c>
      <c r="AL31" s="883">
        <f t="shared" si="28"/>
        <v>0</v>
      </c>
      <c r="AM31" s="883">
        <f t="shared" si="29"/>
        <v>0</v>
      </c>
      <c r="AN31" s="883">
        <f t="shared" si="30"/>
        <v>0</v>
      </c>
      <c r="AO31" s="883">
        <f t="shared" si="31"/>
        <v>0</v>
      </c>
      <c r="AP31" s="883">
        <f t="shared" si="32"/>
        <v>0</v>
      </c>
      <c r="AQ31" s="890">
        <f t="shared" si="35"/>
        <v>0</v>
      </c>
    </row>
    <row r="32" spans="1:43">
      <c r="A32" s="817"/>
      <c r="B32" s="865" t="s">
        <v>1613</v>
      </c>
      <c r="C32" s="883"/>
      <c r="D32" s="883"/>
      <c r="E32" s="883">
        <f>HLOOKUP($B$2,'Consumption Input'!$E$5:$AQ$82,'Consumption Input'!$B37)</f>
        <v>0</v>
      </c>
      <c r="F32" s="883"/>
      <c r="G32" s="883"/>
      <c r="H32" s="883"/>
      <c r="I32" s="883">
        <f t="shared" si="33"/>
        <v>0</v>
      </c>
      <c r="J32" s="961"/>
      <c r="K32" s="940"/>
      <c r="L32" s="940"/>
      <c r="M32" s="940"/>
      <c r="N32" s="885">
        <f t="shared" si="40"/>
        <v>0</v>
      </c>
      <c r="O32" s="883">
        <f t="shared" si="41"/>
        <v>0</v>
      </c>
      <c r="P32" s="883">
        <f t="shared" si="42"/>
        <v>0</v>
      </c>
      <c r="Q32" s="883">
        <f t="shared" si="43"/>
        <v>0</v>
      </c>
      <c r="R32" s="883">
        <f t="shared" si="44"/>
        <v>0</v>
      </c>
      <c r="S32" s="886">
        <f t="shared" si="45"/>
        <v>0</v>
      </c>
      <c r="T32" s="883">
        <f t="shared" si="4"/>
        <v>0</v>
      </c>
      <c r="U32" s="887">
        <f>HLOOKUP($B$2,Factors!$J$12:$Y$25,Factors!$H22)</f>
        <v>19.329231484827364</v>
      </c>
      <c r="V32" s="885">
        <f t="shared" si="46"/>
        <v>0</v>
      </c>
      <c r="W32" s="883">
        <f t="shared" si="47"/>
        <v>0</v>
      </c>
      <c r="X32" s="883">
        <f t="shared" si="48"/>
        <v>0</v>
      </c>
      <c r="Y32" s="883">
        <f t="shared" si="49"/>
        <v>0</v>
      </c>
      <c r="Z32" s="883">
        <f t="shared" si="50"/>
        <v>0</v>
      </c>
      <c r="AA32" s="883">
        <f t="shared" si="51"/>
        <v>0</v>
      </c>
      <c r="AB32" s="883">
        <f t="shared" si="34"/>
        <v>0</v>
      </c>
      <c r="AC32" s="888">
        <f>Factors!E41</f>
        <v>1</v>
      </c>
      <c r="AD32" s="885">
        <f t="shared" si="52"/>
        <v>0</v>
      </c>
      <c r="AE32" s="883">
        <f t="shared" si="53"/>
        <v>0</v>
      </c>
      <c r="AF32" s="883">
        <f t="shared" si="54"/>
        <v>0</v>
      </c>
      <c r="AG32" s="883">
        <f t="shared" si="55"/>
        <v>0</v>
      </c>
      <c r="AH32" s="883">
        <f t="shared" si="56"/>
        <v>0</v>
      </c>
      <c r="AI32" s="883">
        <f t="shared" si="57"/>
        <v>0</v>
      </c>
      <c r="AJ32" s="889">
        <f t="shared" si="6"/>
        <v>0</v>
      </c>
      <c r="AK32" s="885">
        <f t="shared" si="27"/>
        <v>0</v>
      </c>
      <c r="AL32" s="883">
        <f t="shared" si="28"/>
        <v>0</v>
      </c>
      <c r="AM32" s="883">
        <f t="shared" si="29"/>
        <v>0</v>
      </c>
      <c r="AN32" s="883">
        <f t="shared" si="30"/>
        <v>0</v>
      </c>
      <c r="AO32" s="883">
        <f t="shared" si="31"/>
        <v>0</v>
      </c>
      <c r="AP32" s="883">
        <f t="shared" si="32"/>
        <v>0</v>
      </c>
      <c r="AQ32" s="890">
        <f t="shared" si="35"/>
        <v>0</v>
      </c>
    </row>
    <row r="33" spans="1:43">
      <c r="A33" s="817"/>
      <c r="B33" s="865" t="s">
        <v>1739</v>
      </c>
      <c r="C33" s="883"/>
      <c r="D33" s="883"/>
      <c r="E33" s="883">
        <f>HLOOKUP($B$2,'Consumption Input'!$E$5:$AQ$82,'Consumption Input'!$B38)</f>
        <v>119.20633199999999</v>
      </c>
      <c r="F33" s="883"/>
      <c r="G33" s="883"/>
      <c r="H33" s="883">
        <f>HLOOKUP($B$2,'US Territories'!$D$28:$Z$38,'US Territories'!$B$38)</f>
        <v>137.72026085655742</v>
      </c>
      <c r="I33" s="883">
        <f t="shared" si="33"/>
        <v>256.92659285655742</v>
      </c>
      <c r="J33" s="961"/>
      <c r="K33" s="940">
        <f>HLOOKUP($B$2,NEUConsumption,'Non-Energy Use'!C22)</f>
        <v>119.20633199999999</v>
      </c>
      <c r="L33" s="940"/>
      <c r="M33" s="940">
        <f>HLOOKUP($B$2,NEUConsumption,'Non-Energy Use'!$C$27)</f>
        <v>137.72026085655742</v>
      </c>
      <c r="N33" s="885">
        <f t="shared" si="40"/>
        <v>0</v>
      </c>
      <c r="O33" s="883">
        <f t="shared" si="41"/>
        <v>0</v>
      </c>
      <c r="P33" s="883">
        <f t="shared" si="42"/>
        <v>0</v>
      </c>
      <c r="Q33" s="883">
        <f t="shared" si="43"/>
        <v>0</v>
      </c>
      <c r="R33" s="883">
        <f t="shared" si="44"/>
        <v>0</v>
      </c>
      <c r="S33" s="886">
        <f t="shared" si="45"/>
        <v>0</v>
      </c>
      <c r="T33" s="883">
        <f t="shared" si="4"/>
        <v>0</v>
      </c>
      <c r="U33" s="887">
        <f>HLOOKUP($B$2,Factors!$J$12:$Y$25,Factors!$H23)</f>
        <v>0</v>
      </c>
      <c r="V33" s="885">
        <f t="shared" si="46"/>
        <v>0</v>
      </c>
      <c r="W33" s="883">
        <f t="shared" si="47"/>
        <v>0</v>
      </c>
      <c r="X33" s="883">
        <f t="shared" si="48"/>
        <v>0</v>
      </c>
      <c r="Y33" s="883">
        <f t="shared" si="49"/>
        <v>0</v>
      </c>
      <c r="Z33" s="883">
        <f t="shared" si="50"/>
        <v>0</v>
      </c>
      <c r="AA33" s="883">
        <f t="shared" si="51"/>
        <v>0</v>
      </c>
      <c r="AB33" s="883">
        <f t="shared" si="34"/>
        <v>0</v>
      </c>
      <c r="AC33" s="888">
        <f>Factors!E42</f>
        <v>1</v>
      </c>
      <c r="AD33" s="885">
        <f t="shared" si="52"/>
        <v>0</v>
      </c>
      <c r="AE33" s="883">
        <f t="shared" si="53"/>
        <v>0</v>
      </c>
      <c r="AF33" s="883">
        <f t="shared" si="54"/>
        <v>0</v>
      </c>
      <c r="AG33" s="883">
        <f t="shared" si="55"/>
        <v>0</v>
      </c>
      <c r="AH33" s="883">
        <f t="shared" si="56"/>
        <v>0</v>
      </c>
      <c r="AI33" s="883">
        <f t="shared" si="57"/>
        <v>0</v>
      </c>
      <c r="AJ33" s="889">
        <f t="shared" si="6"/>
        <v>0</v>
      </c>
      <c r="AK33" s="885">
        <f t="shared" si="27"/>
        <v>0</v>
      </c>
      <c r="AL33" s="883">
        <f t="shared" si="28"/>
        <v>0</v>
      </c>
      <c r="AM33" s="883">
        <f t="shared" si="29"/>
        <v>0</v>
      </c>
      <c r="AN33" s="883">
        <f t="shared" si="30"/>
        <v>0</v>
      </c>
      <c r="AO33" s="883">
        <f t="shared" si="31"/>
        <v>0</v>
      </c>
      <c r="AP33" s="883">
        <f t="shared" si="32"/>
        <v>0</v>
      </c>
      <c r="AQ33" s="890">
        <f t="shared" si="35"/>
        <v>0</v>
      </c>
    </row>
    <row r="34" spans="1:43">
      <c r="A34" s="817"/>
      <c r="B34" s="865" t="s">
        <v>1615</v>
      </c>
      <c r="C34" s="883"/>
      <c r="D34" s="883"/>
      <c r="E34" s="883">
        <f>HLOOKUP($B$2,'Consumption Input'!$E$5:$AQ$82,'Consumption Input'!$B39)</f>
        <v>613.53318400000001</v>
      </c>
      <c r="F34" s="883"/>
      <c r="G34" s="883"/>
      <c r="H34" s="883"/>
      <c r="I34" s="883">
        <f t="shared" si="33"/>
        <v>613.53318400000001</v>
      </c>
      <c r="J34" s="961"/>
      <c r="K34" s="940">
        <f>HLOOKUP($B$2,NEUConsumption,'Non-Energy Use'!C14)</f>
        <v>613.53318400000001</v>
      </c>
      <c r="L34" s="940"/>
      <c r="M34" s="940"/>
      <c r="N34" s="885">
        <f t="shared" si="40"/>
        <v>0</v>
      </c>
      <c r="O34" s="883">
        <f t="shared" si="41"/>
        <v>0</v>
      </c>
      <c r="P34" s="883">
        <f t="shared" si="42"/>
        <v>0</v>
      </c>
      <c r="Q34" s="883">
        <f t="shared" si="43"/>
        <v>0</v>
      </c>
      <c r="R34" s="883">
        <f t="shared" si="44"/>
        <v>0</v>
      </c>
      <c r="S34" s="886">
        <f t="shared" si="45"/>
        <v>0</v>
      </c>
      <c r="T34" s="883">
        <f t="shared" si="4"/>
        <v>0</v>
      </c>
      <c r="U34" s="887">
        <f>Factors!D44</f>
        <v>18.550649350649344</v>
      </c>
      <c r="V34" s="885">
        <f t="shared" si="46"/>
        <v>0</v>
      </c>
      <c r="W34" s="883">
        <f t="shared" si="47"/>
        <v>0</v>
      </c>
      <c r="X34" s="883">
        <f t="shared" si="48"/>
        <v>0</v>
      </c>
      <c r="Y34" s="883">
        <f t="shared" si="49"/>
        <v>0</v>
      </c>
      <c r="Z34" s="883">
        <f t="shared" si="50"/>
        <v>0</v>
      </c>
      <c r="AA34" s="883">
        <f t="shared" si="51"/>
        <v>0</v>
      </c>
      <c r="AB34" s="883">
        <f t="shared" si="34"/>
        <v>0</v>
      </c>
      <c r="AC34" s="888">
        <f>Factors!E44</f>
        <v>1</v>
      </c>
      <c r="AD34" s="885">
        <f t="shared" si="52"/>
        <v>0</v>
      </c>
      <c r="AE34" s="883">
        <f t="shared" si="53"/>
        <v>0</v>
      </c>
      <c r="AF34" s="883">
        <f t="shared" si="54"/>
        <v>0</v>
      </c>
      <c r="AG34" s="883">
        <f t="shared" si="55"/>
        <v>0</v>
      </c>
      <c r="AH34" s="883">
        <f t="shared" si="56"/>
        <v>0</v>
      </c>
      <c r="AI34" s="883">
        <f t="shared" si="57"/>
        <v>0</v>
      </c>
      <c r="AJ34" s="889">
        <f t="shared" si="6"/>
        <v>0</v>
      </c>
      <c r="AK34" s="885">
        <f t="shared" si="27"/>
        <v>0</v>
      </c>
      <c r="AL34" s="883">
        <f t="shared" si="28"/>
        <v>0</v>
      </c>
      <c r="AM34" s="883">
        <f t="shared" si="29"/>
        <v>0</v>
      </c>
      <c r="AN34" s="883">
        <f t="shared" si="30"/>
        <v>0</v>
      </c>
      <c r="AO34" s="883">
        <f t="shared" si="31"/>
        <v>0</v>
      </c>
      <c r="AP34" s="883">
        <f t="shared" si="32"/>
        <v>0</v>
      </c>
      <c r="AQ34" s="890">
        <f t="shared" si="35"/>
        <v>0</v>
      </c>
    </row>
    <row r="35" spans="1:43">
      <c r="A35" s="817"/>
      <c r="B35" s="865" t="s">
        <v>1616</v>
      </c>
      <c r="C35" s="883"/>
      <c r="D35" s="883"/>
      <c r="E35" s="883">
        <f>HLOOKUP($B$2,'Consumption Input'!$E$5:$AQ$82,'Consumption Input'!$B40)</f>
        <v>722.15437499999985</v>
      </c>
      <c r="F35" s="883"/>
      <c r="G35" s="883"/>
      <c r="H35" s="883"/>
      <c r="I35" s="883">
        <f t="shared" si="33"/>
        <v>722.15437499999985</v>
      </c>
      <c r="J35" s="961"/>
      <c r="K35" s="940">
        <f>HLOOKUP($B$2,NEUConsumption,'Non-Energy Use'!$C$15)</f>
        <v>722.15437499999985</v>
      </c>
      <c r="L35" s="940"/>
      <c r="M35" s="940"/>
      <c r="N35" s="885">
        <f t="shared" si="40"/>
        <v>0</v>
      </c>
      <c r="O35" s="883">
        <f t="shared" si="41"/>
        <v>0</v>
      </c>
      <c r="P35" s="883">
        <f t="shared" si="42"/>
        <v>0</v>
      </c>
      <c r="Q35" s="883">
        <f t="shared" si="43"/>
        <v>0</v>
      </c>
      <c r="R35" s="883">
        <f t="shared" si="44"/>
        <v>0</v>
      </c>
      <c r="S35" s="886">
        <f t="shared" si="45"/>
        <v>0</v>
      </c>
      <c r="T35" s="883">
        <f t="shared" si="4"/>
        <v>0</v>
      </c>
      <c r="U35" s="887">
        <f>Factors!D45</f>
        <v>20.170000000000002</v>
      </c>
      <c r="V35" s="885">
        <f t="shared" si="46"/>
        <v>0</v>
      </c>
      <c r="W35" s="883">
        <f t="shared" si="47"/>
        <v>0</v>
      </c>
      <c r="X35" s="883">
        <f t="shared" si="48"/>
        <v>0</v>
      </c>
      <c r="Y35" s="883">
        <f t="shared" si="49"/>
        <v>0</v>
      </c>
      <c r="Z35" s="883">
        <f t="shared" si="50"/>
        <v>0</v>
      </c>
      <c r="AA35" s="883">
        <f t="shared" si="51"/>
        <v>0</v>
      </c>
      <c r="AB35" s="883">
        <f t="shared" si="34"/>
        <v>0</v>
      </c>
      <c r="AC35" s="888">
        <f>Factors!E45</f>
        <v>1</v>
      </c>
      <c r="AD35" s="885">
        <f t="shared" si="52"/>
        <v>0</v>
      </c>
      <c r="AE35" s="883">
        <f t="shared" si="53"/>
        <v>0</v>
      </c>
      <c r="AF35" s="883">
        <f t="shared" si="54"/>
        <v>0</v>
      </c>
      <c r="AG35" s="883">
        <f t="shared" si="55"/>
        <v>0</v>
      </c>
      <c r="AH35" s="883">
        <f t="shared" si="56"/>
        <v>0</v>
      </c>
      <c r="AI35" s="883">
        <f t="shared" si="57"/>
        <v>0</v>
      </c>
      <c r="AJ35" s="889">
        <f t="shared" si="6"/>
        <v>0</v>
      </c>
      <c r="AK35" s="885">
        <f t="shared" si="27"/>
        <v>0</v>
      </c>
      <c r="AL35" s="883">
        <f t="shared" si="28"/>
        <v>0</v>
      </c>
      <c r="AM35" s="883">
        <f t="shared" si="29"/>
        <v>0</v>
      </c>
      <c r="AN35" s="883">
        <f t="shared" si="30"/>
        <v>0</v>
      </c>
      <c r="AO35" s="883">
        <f t="shared" si="31"/>
        <v>0</v>
      </c>
      <c r="AP35" s="883">
        <f t="shared" si="32"/>
        <v>0</v>
      </c>
      <c r="AQ35" s="890">
        <f t="shared" si="35"/>
        <v>0</v>
      </c>
    </row>
    <row r="36" spans="1:43">
      <c r="A36" s="817"/>
      <c r="B36" s="865" t="s">
        <v>1617</v>
      </c>
      <c r="C36" s="883"/>
      <c r="D36" s="883"/>
      <c r="E36" s="883">
        <f>HLOOKUP($B$2,'Consumption Input'!$E$5:$AQ$82,'Consumption Input'!$B41)</f>
        <v>0</v>
      </c>
      <c r="F36" s="883"/>
      <c r="G36" s="883"/>
      <c r="H36" s="883"/>
      <c r="I36" s="883">
        <f t="shared" si="33"/>
        <v>0</v>
      </c>
      <c r="J36" s="961"/>
      <c r="K36" s="940">
        <f>HLOOKUP($B$2,NEUConsumption,'Non-Energy Use'!$C$13)</f>
        <v>0</v>
      </c>
      <c r="L36" s="940"/>
      <c r="M36" s="940"/>
      <c r="N36" s="885">
        <f t="shared" si="40"/>
        <v>0</v>
      </c>
      <c r="O36" s="883">
        <f t="shared" si="41"/>
        <v>0</v>
      </c>
      <c r="P36" s="883">
        <f t="shared" si="42"/>
        <v>0</v>
      </c>
      <c r="Q36" s="883">
        <f t="shared" si="43"/>
        <v>0</v>
      </c>
      <c r="R36" s="883">
        <f t="shared" si="44"/>
        <v>0</v>
      </c>
      <c r="S36" s="886">
        <f t="shared" si="45"/>
        <v>0</v>
      </c>
      <c r="T36" s="883">
        <f t="shared" si="4"/>
        <v>0</v>
      </c>
      <c r="U36" s="887">
        <f>Factors!D46</f>
        <v>18.239999999999998</v>
      </c>
      <c r="V36" s="885">
        <f t="shared" si="46"/>
        <v>0</v>
      </c>
      <c r="W36" s="883">
        <f t="shared" si="47"/>
        <v>0</v>
      </c>
      <c r="X36" s="883">
        <f t="shared" si="48"/>
        <v>0</v>
      </c>
      <c r="Y36" s="883">
        <f t="shared" si="49"/>
        <v>0</v>
      </c>
      <c r="Z36" s="883">
        <f t="shared" si="50"/>
        <v>0</v>
      </c>
      <c r="AA36" s="883">
        <f t="shared" si="51"/>
        <v>0</v>
      </c>
      <c r="AB36" s="883">
        <f t="shared" si="34"/>
        <v>0</v>
      </c>
      <c r="AC36" s="888">
        <f>Factors!E46</f>
        <v>1</v>
      </c>
      <c r="AD36" s="885">
        <f t="shared" si="52"/>
        <v>0</v>
      </c>
      <c r="AE36" s="883">
        <f t="shared" si="53"/>
        <v>0</v>
      </c>
      <c r="AF36" s="883">
        <f t="shared" si="54"/>
        <v>0</v>
      </c>
      <c r="AG36" s="883">
        <f t="shared" si="55"/>
        <v>0</v>
      </c>
      <c r="AH36" s="883">
        <f t="shared" si="56"/>
        <v>0</v>
      </c>
      <c r="AI36" s="883">
        <f t="shared" si="57"/>
        <v>0</v>
      </c>
      <c r="AJ36" s="889">
        <f t="shared" si="6"/>
        <v>0</v>
      </c>
      <c r="AK36" s="885">
        <f t="shared" si="27"/>
        <v>0</v>
      </c>
      <c r="AL36" s="883">
        <f t="shared" si="28"/>
        <v>0</v>
      </c>
      <c r="AM36" s="883">
        <f t="shared" si="29"/>
        <v>0</v>
      </c>
      <c r="AN36" s="883">
        <f t="shared" si="30"/>
        <v>0</v>
      </c>
      <c r="AO36" s="883">
        <f t="shared" si="31"/>
        <v>0</v>
      </c>
      <c r="AP36" s="883">
        <f t="shared" si="32"/>
        <v>0</v>
      </c>
      <c r="AQ36" s="890">
        <f t="shared" si="35"/>
        <v>0</v>
      </c>
    </row>
    <row r="37" spans="1:43">
      <c r="A37" s="817"/>
      <c r="B37" s="865" t="s">
        <v>1604</v>
      </c>
      <c r="C37" s="883"/>
      <c r="D37" s="883">
        <f>HLOOKUP($B$2,'Consumption Input'!$E$5:$AQ$82,'Consumption Input'!$B21)</f>
        <v>0.16800000000000001</v>
      </c>
      <c r="E37" s="883">
        <f>HLOOKUP($B$2,'Consumption Input'!$E$5:$AQ$82,'Consumption Input'!$B42)</f>
        <v>796.06899999999985</v>
      </c>
      <c r="F37" s="883"/>
      <c r="G37" s="883">
        <f>HLOOKUP($B$2,'Consumption Input'!$E$5:$AQ$82,'Consumption Input'!$B63)</f>
        <v>98.641000000000005</v>
      </c>
      <c r="H37" s="883"/>
      <c r="I37" s="883">
        <f t="shared" si="33"/>
        <v>894.87799999999982</v>
      </c>
      <c r="J37" s="961"/>
      <c r="K37" s="940">
        <f>HLOOKUP($B$2,NEUConsumption,'Non-Energy Use'!$C$17)</f>
        <v>98.722771036562733</v>
      </c>
      <c r="L37" s="940"/>
      <c r="M37" s="940"/>
      <c r="N37" s="885">
        <f t="shared" si="40"/>
        <v>0</v>
      </c>
      <c r="O37" s="883">
        <f t="shared" si="41"/>
        <v>0.16800000000000001</v>
      </c>
      <c r="P37" s="883">
        <f t="shared" si="42"/>
        <v>697.34622896343717</v>
      </c>
      <c r="Q37" s="883">
        <f t="shared" si="43"/>
        <v>0</v>
      </c>
      <c r="R37" s="883">
        <f t="shared" si="44"/>
        <v>98.641000000000005</v>
      </c>
      <c r="S37" s="886">
        <f t="shared" si="45"/>
        <v>0</v>
      </c>
      <c r="T37" s="883">
        <f t="shared" si="4"/>
        <v>796.15522896343714</v>
      </c>
      <c r="U37" s="887">
        <f>Factors!D48</f>
        <v>27.84770010865628</v>
      </c>
      <c r="V37" s="885">
        <f t="shared" si="46"/>
        <v>0</v>
      </c>
      <c r="W37" s="883">
        <f t="shared" si="47"/>
        <v>4.6784136182542561E-3</v>
      </c>
      <c r="X37" s="883">
        <f t="shared" si="48"/>
        <v>19.419488656076155</v>
      </c>
      <c r="Y37" s="883">
        <f t="shared" si="49"/>
        <v>0</v>
      </c>
      <c r="Z37" s="883">
        <f t="shared" si="50"/>
        <v>2.7469249864179641</v>
      </c>
      <c r="AA37" s="883">
        <f t="shared" si="51"/>
        <v>0</v>
      </c>
      <c r="AB37" s="883">
        <f t="shared" si="34"/>
        <v>22.171092056112371</v>
      </c>
      <c r="AC37" s="888">
        <f>Factors!E48</f>
        <v>1</v>
      </c>
      <c r="AD37" s="885">
        <f t="shared" si="52"/>
        <v>0</v>
      </c>
      <c r="AE37" s="883">
        <f t="shared" si="53"/>
        <v>4.6784136182542561E-3</v>
      </c>
      <c r="AF37" s="883">
        <f t="shared" si="54"/>
        <v>19.419488656076155</v>
      </c>
      <c r="AG37" s="883">
        <f t="shared" si="55"/>
        <v>0</v>
      </c>
      <c r="AH37" s="883">
        <f t="shared" si="56"/>
        <v>2.7469249864179641</v>
      </c>
      <c r="AI37" s="883">
        <f t="shared" si="57"/>
        <v>0</v>
      </c>
      <c r="AJ37" s="889">
        <f t="shared" si="6"/>
        <v>22.171092056112371</v>
      </c>
      <c r="AK37" s="885">
        <f t="shared" si="27"/>
        <v>0</v>
      </c>
      <c r="AL37" s="883">
        <f t="shared" si="28"/>
        <v>1.7154183266932271E-2</v>
      </c>
      <c r="AM37" s="883">
        <f t="shared" si="29"/>
        <v>71.2047917389459</v>
      </c>
      <c r="AN37" s="883">
        <f t="shared" si="30"/>
        <v>0</v>
      </c>
      <c r="AO37" s="883">
        <f t="shared" si="31"/>
        <v>10.072058283532535</v>
      </c>
      <c r="AP37" s="883">
        <f t="shared" si="32"/>
        <v>0</v>
      </c>
      <c r="AQ37" s="890">
        <f t="shared" si="35"/>
        <v>81.294004205745381</v>
      </c>
    </row>
    <row r="38" spans="1:43">
      <c r="A38" s="817"/>
      <c r="B38" s="865" t="s">
        <v>1618</v>
      </c>
      <c r="C38" s="883"/>
      <c r="D38" s="883"/>
      <c r="E38" s="883">
        <f>HLOOKUP($B$2,'Consumption Input'!$E$5:$AQ$82,'Consumption Input'!$B43)</f>
        <v>1448.19</v>
      </c>
      <c r="F38" s="883"/>
      <c r="G38" s="883"/>
      <c r="H38" s="883"/>
      <c r="I38" s="883">
        <f t="shared" si="33"/>
        <v>1448.19</v>
      </c>
      <c r="J38" s="961"/>
      <c r="K38" s="940">
        <f>HLOOKUP($B$2,NEUConsumption,'Non-Energy Use'!$C$16)</f>
        <v>16.980000000000114</v>
      </c>
      <c r="L38" s="940"/>
      <c r="M38" s="940"/>
      <c r="N38" s="885">
        <f t="shared" si="40"/>
        <v>0</v>
      </c>
      <c r="O38" s="883">
        <f t="shared" si="41"/>
        <v>0</v>
      </c>
      <c r="P38" s="883">
        <f t="shared" si="42"/>
        <v>1431.21</v>
      </c>
      <c r="Q38" s="883">
        <f t="shared" si="43"/>
        <v>0</v>
      </c>
      <c r="R38" s="883">
        <f t="shared" si="44"/>
        <v>0</v>
      </c>
      <c r="S38" s="886">
        <f t="shared" si="45"/>
        <v>0</v>
      </c>
      <c r="T38" s="883">
        <f t="shared" si="4"/>
        <v>1431.21</v>
      </c>
      <c r="U38" s="887">
        <f>Factors!D51</f>
        <v>18.195454545454545</v>
      </c>
      <c r="V38" s="885">
        <f t="shared" si="46"/>
        <v>0</v>
      </c>
      <c r="W38" s="883">
        <f t="shared" si="47"/>
        <v>0</v>
      </c>
      <c r="X38" s="883">
        <f t="shared" si="48"/>
        <v>26.041516500000004</v>
      </c>
      <c r="Y38" s="883">
        <f t="shared" si="49"/>
        <v>0</v>
      </c>
      <c r="Z38" s="883">
        <f t="shared" si="50"/>
        <v>0</v>
      </c>
      <c r="AA38" s="883">
        <f t="shared" si="51"/>
        <v>0</v>
      </c>
      <c r="AB38" s="883">
        <f t="shared" si="34"/>
        <v>26.041516500000004</v>
      </c>
      <c r="AC38" s="888">
        <f>Factors!E51</f>
        <v>1</v>
      </c>
      <c r="AD38" s="885">
        <f t="shared" si="52"/>
        <v>0</v>
      </c>
      <c r="AE38" s="883">
        <f t="shared" si="53"/>
        <v>0</v>
      </c>
      <c r="AF38" s="883">
        <f t="shared" si="54"/>
        <v>26.041516500000004</v>
      </c>
      <c r="AG38" s="883">
        <f t="shared" si="55"/>
        <v>0</v>
      </c>
      <c r="AH38" s="883">
        <f t="shared" si="56"/>
        <v>0</v>
      </c>
      <c r="AI38" s="883">
        <f t="shared" si="57"/>
        <v>0</v>
      </c>
      <c r="AJ38" s="889">
        <f t="shared" si="6"/>
        <v>26.041516500000004</v>
      </c>
      <c r="AK38" s="885">
        <f t="shared" si="27"/>
        <v>0</v>
      </c>
      <c r="AL38" s="883">
        <f t="shared" si="28"/>
        <v>0</v>
      </c>
      <c r="AM38" s="883">
        <f t="shared" si="29"/>
        <v>95.485560500000005</v>
      </c>
      <c r="AN38" s="883">
        <f t="shared" si="30"/>
        <v>0</v>
      </c>
      <c r="AO38" s="883">
        <f t="shared" si="31"/>
        <v>0</v>
      </c>
      <c r="AP38" s="883">
        <f t="shared" si="32"/>
        <v>0</v>
      </c>
      <c r="AQ38" s="890">
        <f t="shared" si="35"/>
        <v>95.485560500000005</v>
      </c>
    </row>
    <row r="39" spans="1:43">
      <c r="A39" s="817"/>
      <c r="B39" s="865" t="s">
        <v>1619</v>
      </c>
      <c r="C39" s="883"/>
      <c r="D39" s="883"/>
      <c r="E39" s="883">
        <f>HLOOKUP($B$2,'Consumption Input'!$E$5:$AQ$82,'Consumption Input'!$B44)</f>
        <v>97.376639999999995</v>
      </c>
      <c r="F39" s="883"/>
      <c r="G39" s="883"/>
      <c r="H39" s="883"/>
      <c r="I39" s="883">
        <f t="shared" si="33"/>
        <v>97.376639999999995</v>
      </c>
      <c r="J39" s="961"/>
      <c r="K39" s="940">
        <f>HLOOKUP($B$2,NEUConsumption,'Non-Energy Use'!$C$18)</f>
        <v>97.376639999999995</v>
      </c>
      <c r="L39" s="940"/>
      <c r="M39" s="940"/>
      <c r="N39" s="885">
        <f t="shared" si="40"/>
        <v>0</v>
      </c>
      <c r="O39" s="883">
        <f t="shared" si="41"/>
        <v>0</v>
      </c>
      <c r="P39" s="883">
        <f t="shared" si="42"/>
        <v>0</v>
      </c>
      <c r="Q39" s="883">
        <f t="shared" si="43"/>
        <v>0</v>
      </c>
      <c r="R39" s="883">
        <f t="shared" si="44"/>
        <v>0</v>
      </c>
      <c r="S39" s="886">
        <f t="shared" si="45"/>
        <v>0</v>
      </c>
      <c r="T39" s="883">
        <f t="shared" si="4"/>
        <v>0</v>
      </c>
      <c r="U39" s="887">
        <f>Factors!D37</f>
        <v>19.737389135254986</v>
      </c>
      <c r="V39" s="885">
        <f t="shared" si="46"/>
        <v>0</v>
      </c>
      <c r="W39" s="883">
        <f t="shared" si="47"/>
        <v>0</v>
      </c>
      <c r="X39" s="883">
        <f t="shared" si="48"/>
        <v>0</v>
      </c>
      <c r="Y39" s="883">
        <f t="shared" si="49"/>
        <v>0</v>
      </c>
      <c r="Z39" s="883">
        <f t="shared" si="50"/>
        <v>0</v>
      </c>
      <c r="AA39" s="883">
        <f t="shared" si="51"/>
        <v>0</v>
      </c>
      <c r="AB39" s="883">
        <f t="shared" si="34"/>
        <v>0</v>
      </c>
      <c r="AC39" s="888">
        <f>Factors!E37</f>
        <v>1</v>
      </c>
      <c r="AD39" s="885">
        <f t="shared" si="52"/>
        <v>0</v>
      </c>
      <c r="AE39" s="883">
        <f t="shared" si="53"/>
        <v>0</v>
      </c>
      <c r="AF39" s="883">
        <f t="shared" si="54"/>
        <v>0</v>
      </c>
      <c r="AG39" s="883">
        <f t="shared" si="55"/>
        <v>0</v>
      </c>
      <c r="AH39" s="883">
        <f t="shared" si="56"/>
        <v>0</v>
      </c>
      <c r="AI39" s="883">
        <f t="shared" si="57"/>
        <v>0</v>
      </c>
      <c r="AJ39" s="889">
        <f t="shared" si="6"/>
        <v>0</v>
      </c>
      <c r="AK39" s="885">
        <f t="shared" si="27"/>
        <v>0</v>
      </c>
      <c r="AL39" s="883">
        <f t="shared" si="28"/>
        <v>0</v>
      </c>
      <c r="AM39" s="883">
        <f t="shared" si="29"/>
        <v>0</v>
      </c>
      <c r="AN39" s="883">
        <f t="shared" si="30"/>
        <v>0</v>
      </c>
      <c r="AO39" s="883">
        <f t="shared" si="31"/>
        <v>0</v>
      </c>
      <c r="AP39" s="883">
        <f t="shared" si="32"/>
        <v>0</v>
      </c>
      <c r="AQ39" s="890">
        <f t="shared" si="35"/>
        <v>0</v>
      </c>
    </row>
    <row r="40" spans="1:43">
      <c r="A40" s="817"/>
      <c r="B40" s="865" t="s">
        <v>1620</v>
      </c>
      <c r="C40" s="883"/>
      <c r="D40" s="883"/>
      <c r="E40" s="883">
        <f>HLOOKUP($B$2,'Consumption Input'!$E$5:$AQ$82,'Consumption Input'!$B45)</f>
        <v>0</v>
      </c>
      <c r="F40" s="883"/>
      <c r="G40" s="883"/>
      <c r="H40" s="883"/>
      <c r="I40" s="883">
        <f t="shared" si="33"/>
        <v>0</v>
      </c>
      <c r="J40" s="961"/>
      <c r="K40" s="940"/>
      <c r="L40" s="940"/>
      <c r="M40" s="940"/>
      <c r="N40" s="885">
        <f t="shared" si="40"/>
        <v>0</v>
      </c>
      <c r="O40" s="883">
        <f t="shared" si="41"/>
        <v>0</v>
      </c>
      <c r="P40" s="883">
        <f t="shared" si="42"/>
        <v>0</v>
      </c>
      <c r="Q40" s="883">
        <f t="shared" si="43"/>
        <v>0</v>
      </c>
      <c r="R40" s="883">
        <f t="shared" si="44"/>
        <v>0</v>
      </c>
      <c r="S40" s="886">
        <f t="shared" si="45"/>
        <v>0</v>
      </c>
      <c r="T40" s="883">
        <f t="shared" si="4"/>
        <v>0</v>
      </c>
      <c r="U40" s="887">
        <f>HLOOKUP($B$2,Factors!$J$12:$Y$25,Factors!$H24)</f>
        <v>20.216527907586205</v>
      </c>
      <c r="V40" s="885">
        <f t="shared" si="46"/>
        <v>0</v>
      </c>
      <c r="W40" s="883">
        <f t="shared" si="47"/>
        <v>0</v>
      </c>
      <c r="X40" s="883">
        <f t="shared" si="48"/>
        <v>0</v>
      </c>
      <c r="Y40" s="883">
        <f t="shared" si="49"/>
        <v>0</v>
      </c>
      <c r="Z40" s="883">
        <f t="shared" si="50"/>
        <v>0</v>
      </c>
      <c r="AA40" s="883">
        <f t="shared" si="51"/>
        <v>0</v>
      </c>
      <c r="AB40" s="883">
        <f t="shared" si="34"/>
        <v>0</v>
      </c>
      <c r="AC40" s="888">
        <f>Factors!E53</f>
        <v>1</v>
      </c>
      <c r="AD40" s="885">
        <f t="shared" si="52"/>
        <v>0</v>
      </c>
      <c r="AE40" s="883">
        <f t="shared" si="53"/>
        <v>0</v>
      </c>
      <c r="AF40" s="883">
        <f t="shared" si="54"/>
        <v>0</v>
      </c>
      <c r="AG40" s="883">
        <f t="shared" si="55"/>
        <v>0</v>
      </c>
      <c r="AH40" s="883">
        <f t="shared" si="56"/>
        <v>0</v>
      </c>
      <c r="AI40" s="883">
        <f t="shared" si="57"/>
        <v>0</v>
      </c>
      <c r="AJ40" s="889">
        <f t="shared" si="6"/>
        <v>0</v>
      </c>
      <c r="AK40" s="885">
        <f t="shared" si="27"/>
        <v>0</v>
      </c>
      <c r="AL40" s="883">
        <f t="shared" si="28"/>
        <v>0</v>
      </c>
      <c r="AM40" s="883">
        <f t="shared" si="29"/>
        <v>0</v>
      </c>
      <c r="AN40" s="883">
        <f t="shared" si="30"/>
        <v>0</v>
      </c>
      <c r="AO40" s="883">
        <f t="shared" si="31"/>
        <v>0</v>
      </c>
      <c r="AP40" s="883">
        <f t="shared" si="32"/>
        <v>0</v>
      </c>
      <c r="AQ40" s="890">
        <f t="shared" si="35"/>
        <v>0</v>
      </c>
    </row>
    <row r="41" spans="1:43">
      <c r="A41" s="817"/>
      <c r="B41" s="865" t="s">
        <v>1621</v>
      </c>
      <c r="C41" s="883"/>
      <c r="D41" s="883"/>
      <c r="E41" s="883">
        <f>HLOOKUP($B$2,'Consumption Input'!$E$5:$AQ$82,'Consumption Input'!$B46)</f>
        <v>33.083575000000003</v>
      </c>
      <c r="F41" s="883"/>
      <c r="G41" s="883"/>
      <c r="H41" s="883"/>
      <c r="I41" s="883">
        <f t="shared" si="33"/>
        <v>33.083575000000003</v>
      </c>
      <c r="J41" s="961"/>
      <c r="K41" s="940">
        <f>HLOOKUP($B$2,NEUConsumption,'Non-Energy Use'!$C$21)</f>
        <v>33.083575000000003</v>
      </c>
      <c r="L41" s="940"/>
      <c r="M41" s="940"/>
      <c r="N41" s="885">
        <f t="shared" si="40"/>
        <v>0</v>
      </c>
      <c r="O41" s="883">
        <f t="shared" si="41"/>
        <v>0</v>
      </c>
      <c r="P41" s="883">
        <f t="shared" si="42"/>
        <v>0</v>
      </c>
      <c r="Q41" s="883">
        <f t="shared" si="43"/>
        <v>0</v>
      </c>
      <c r="R41" s="883">
        <f t="shared" si="44"/>
        <v>0</v>
      </c>
      <c r="S41" s="886">
        <f t="shared" si="45"/>
        <v>0</v>
      </c>
      <c r="T41" s="883">
        <f t="shared" si="4"/>
        <v>0</v>
      </c>
      <c r="U41" s="887">
        <f>Factors!D55</f>
        <v>19.795754182606267</v>
      </c>
      <c r="V41" s="899">
        <f t="shared" si="46"/>
        <v>0</v>
      </c>
      <c r="W41" s="900">
        <f t="shared" si="47"/>
        <v>0</v>
      </c>
      <c r="X41" s="900">
        <f t="shared" si="48"/>
        <v>0</v>
      </c>
      <c r="Y41" s="900">
        <f t="shared" si="49"/>
        <v>0</v>
      </c>
      <c r="Z41" s="900">
        <f t="shared" si="50"/>
        <v>0</v>
      </c>
      <c r="AA41" s="900">
        <f t="shared" si="51"/>
        <v>0</v>
      </c>
      <c r="AB41" s="883">
        <f t="shared" si="34"/>
        <v>0</v>
      </c>
      <c r="AC41" s="888">
        <f>Factors!E55</f>
        <v>1</v>
      </c>
      <c r="AD41" s="885">
        <f t="shared" si="52"/>
        <v>0</v>
      </c>
      <c r="AE41" s="883">
        <f t="shared" si="53"/>
        <v>0</v>
      </c>
      <c r="AF41" s="883">
        <f t="shared" si="54"/>
        <v>0</v>
      </c>
      <c r="AG41" s="883">
        <f t="shared" si="55"/>
        <v>0</v>
      </c>
      <c r="AH41" s="883">
        <f t="shared" si="56"/>
        <v>0</v>
      </c>
      <c r="AI41" s="883">
        <f t="shared" si="57"/>
        <v>0</v>
      </c>
      <c r="AJ41" s="889">
        <f t="shared" si="6"/>
        <v>0</v>
      </c>
      <c r="AK41" s="885">
        <f t="shared" si="27"/>
        <v>0</v>
      </c>
      <c r="AL41" s="883">
        <f t="shared" si="28"/>
        <v>0</v>
      </c>
      <c r="AM41" s="883">
        <f t="shared" si="29"/>
        <v>0</v>
      </c>
      <c r="AN41" s="883">
        <f t="shared" si="30"/>
        <v>0</v>
      </c>
      <c r="AO41" s="883">
        <f t="shared" si="31"/>
        <v>0</v>
      </c>
      <c r="AP41" s="883">
        <f t="shared" si="32"/>
        <v>0</v>
      </c>
      <c r="AQ41" s="890">
        <f t="shared" si="35"/>
        <v>0</v>
      </c>
    </row>
    <row r="42" spans="1:43" ht="11.1" thickBot="1">
      <c r="A42" s="817"/>
      <c r="B42" s="866" t="s">
        <v>82</v>
      </c>
      <c r="C42" s="917"/>
      <c r="D42" s="917"/>
      <c r="E42" s="917"/>
      <c r="F42" s="917"/>
      <c r="G42" s="917">
        <f>INDEX(Geothermal!$C$6:$AE$10,MATCH("Total",Geothermal!$C$6:$C$10,0),MATCH($B$2,Geothermal!$C$6:$AE$6,0))/Factors!$J$61*Factors!$J$55/BBtuToBtu*BBtuToTBtu</f>
        <v>48.085855096000003</v>
      </c>
      <c r="H42" s="917"/>
      <c r="I42" s="917">
        <f>G42</f>
        <v>48.085855096000003</v>
      </c>
      <c r="J42" s="968"/>
      <c r="K42" s="969"/>
      <c r="L42" s="970"/>
      <c r="M42" s="971"/>
      <c r="N42" s="917">
        <f t="shared" si="40"/>
        <v>0</v>
      </c>
      <c r="O42" s="917">
        <f t="shared" si="41"/>
        <v>0</v>
      </c>
      <c r="P42" s="917">
        <f>E42</f>
        <v>0</v>
      </c>
      <c r="Q42" s="917">
        <f>F42</f>
        <v>0</v>
      </c>
      <c r="R42" s="917">
        <f t="shared" si="44"/>
        <v>48.085855096000003</v>
      </c>
      <c r="S42" s="917">
        <f>H42</f>
        <v>0</v>
      </c>
      <c r="T42" s="917">
        <f t="shared" si="4"/>
        <v>48.085855096000003</v>
      </c>
      <c r="U42" s="921">
        <f>Factors!D56</f>
        <v>2.6974658424810825</v>
      </c>
      <c r="V42" s="917"/>
      <c r="W42" s="917"/>
      <c r="X42" s="917"/>
      <c r="Y42" s="917"/>
      <c r="Z42" s="917">
        <f>INDEX(Geothermal!$C$14:$AE$18,MATCH("Total",Geothermal!$C$14:$C$18,0),MATCH($B$2,Geothermal!$C$14:$AE$14,0))/CtoCO2</f>
        <v>0.1257439241996918</v>
      </c>
      <c r="AA42" s="917"/>
      <c r="AB42" s="917">
        <f t="shared" si="34"/>
        <v>0.1257439241996918</v>
      </c>
      <c r="AC42" s="921">
        <f>Factors!$E$56</f>
        <v>1</v>
      </c>
      <c r="AD42" s="917">
        <f t="shared" si="52"/>
        <v>0</v>
      </c>
      <c r="AE42" s="917">
        <f t="shared" si="53"/>
        <v>0</v>
      </c>
      <c r="AF42" s="917">
        <f t="shared" si="54"/>
        <v>0</v>
      </c>
      <c r="AG42" s="917">
        <f t="shared" si="55"/>
        <v>0</v>
      </c>
      <c r="AH42" s="917">
        <f t="shared" si="56"/>
        <v>0.1257439241996918</v>
      </c>
      <c r="AI42" s="917">
        <f t="shared" si="57"/>
        <v>0</v>
      </c>
      <c r="AJ42" s="920">
        <f t="shared" si="6"/>
        <v>0.1257439241996918</v>
      </c>
      <c r="AK42" s="919">
        <f t="shared" si="27"/>
        <v>0</v>
      </c>
      <c r="AL42" s="917">
        <f t="shared" si="28"/>
        <v>0</v>
      </c>
      <c r="AM42" s="917">
        <f t="shared" si="29"/>
        <v>0</v>
      </c>
      <c r="AN42" s="917">
        <f t="shared" si="30"/>
        <v>0</v>
      </c>
      <c r="AO42" s="917">
        <f t="shared" si="31"/>
        <v>0.46106105539886988</v>
      </c>
      <c r="AP42" s="917">
        <f t="shared" si="32"/>
        <v>0</v>
      </c>
      <c r="AQ42" s="920">
        <f t="shared" si="35"/>
        <v>0.46106105539886988</v>
      </c>
    </row>
    <row r="43" spans="1:43" ht="11.1" thickBot="1">
      <c r="A43" s="817"/>
      <c r="B43" s="867" t="s">
        <v>1740</v>
      </c>
      <c r="C43" s="922">
        <f>C8+C17+C18+C42</f>
        <v>6541.3833985358306</v>
      </c>
      <c r="D43" s="922">
        <f>D8+D17+D18+D42</f>
        <v>4110.1695246670042</v>
      </c>
      <c r="E43" s="922">
        <f>E8+E17+E18+E42</f>
        <v>19384.528532196149</v>
      </c>
      <c r="F43" s="922">
        <f>F8+F17+F18+F42</f>
        <v>26558.685909046995</v>
      </c>
      <c r="G43" s="922">
        <f>G8+G17+G18+G42</f>
        <v>26705.771855095994</v>
      </c>
      <c r="H43" s="922">
        <f>H16+H17+H18+H42</f>
        <v>649.89002595223008</v>
      </c>
      <c r="I43" s="922">
        <f>SUM(C43:H43)</f>
        <v>83950.429245494204</v>
      </c>
      <c r="J43" s="972">
        <f t="shared" ref="J43:S43" si="62">J8+J17+J18+J42</f>
        <v>1411.3834198269512</v>
      </c>
      <c r="K43" s="973">
        <f t="shared" si="62"/>
        <v>5404.300200435091</v>
      </c>
      <c r="L43" s="974">
        <f t="shared" si="62"/>
        <v>179.36600000000001</v>
      </c>
      <c r="M43" s="975">
        <f t="shared" si="62"/>
        <v>140.82437068440578</v>
      </c>
      <c r="N43" s="922">
        <f t="shared" si="62"/>
        <v>6541.3833985358306</v>
      </c>
      <c r="O43" s="922">
        <f t="shared" si="62"/>
        <v>4110.1695246670042</v>
      </c>
      <c r="P43" s="922">
        <f t="shared" si="62"/>
        <v>13980.22833176106</v>
      </c>
      <c r="Q43" s="922">
        <f t="shared" si="62"/>
        <v>24967.936489220046</v>
      </c>
      <c r="R43" s="922">
        <f t="shared" si="62"/>
        <v>26705.771855095994</v>
      </c>
      <c r="S43" s="922">
        <f t="shared" si="62"/>
        <v>509.0656552678243</v>
      </c>
      <c r="T43" s="922">
        <f t="shared" si="4"/>
        <v>76814.555254547769</v>
      </c>
      <c r="U43" s="926" t="s">
        <v>1731</v>
      </c>
      <c r="V43" s="922">
        <f t="shared" ref="V43:AA43" si="63">V8+V17+V18+V42</f>
        <v>101.37352747901767</v>
      </c>
      <c r="W43" s="922">
        <f t="shared" si="63"/>
        <v>64.508361504048565</v>
      </c>
      <c r="X43" s="922">
        <f t="shared" si="63"/>
        <v>241.89117498199971</v>
      </c>
      <c r="Y43" s="922">
        <f t="shared" si="63"/>
        <v>488.78233414275837</v>
      </c>
      <c r="Z43" s="922">
        <f t="shared" si="63"/>
        <v>626.22863758674998</v>
      </c>
      <c r="AA43" s="922">
        <f t="shared" si="63"/>
        <v>10.098975214007066</v>
      </c>
      <c r="AB43" s="922">
        <f t="shared" si="34"/>
        <v>1532.8830109085816</v>
      </c>
      <c r="AC43" s="926" t="s">
        <v>1731</v>
      </c>
      <c r="AD43" s="922">
        <f t="shared" ref="AD43:AQ43" si="64">AD8+AD17+AD18+AD42</f>
        <v>101.37352747901767</v>
      </c>
      <c r="AE43" s="922">
        <f t="shared" si="64"/>
        <v>64.508361504048565</v>
      </c>
      <c r="AF43" s="922">
        <f t="shared" si="64"/>
        <v>241.89117498199971</v>
      </c>
      <c r="AG43" s="922">
        <f t="shared" si="64"/>
        <v>488.78233414275837</v>
      </c>
      <c r="AH43" s="922">
        <f t="shared" si="64"/>
        <v>626.22863758674998</v>
      </c>
      <c r="AI43" s="922">
        <f t="shared" si="64"/>
        <v>10.098975214007066</v>
      </c>
      <c r="AJ43" s="925">
        <f t="shared" si="64"/>
        <v>1532.8830109085814</v>
      </c>
      <c r="AK43" s="922">
        <f t="shared" si="64"/>
        <v>371.70293408973146</v>
      </c>
      <c r="AL43" s="922">
        <f t="shared" si="64"/>
        <v>236.53065884817806</v>
      </c>
      <c r="AM43" s="922">
        <f t="shared" si="64"/>
        <v>886.9343082673322</v>
      </c>
      <c r="AN43" s="922">
        <f t="shared" si="64"/>
        <v>1792.2018918567805</v>
      </c>
      <c r="AO43" s="922">
        <f t="shared" si="64"/>
        <v>2296.1716711514159</v>
      </c>
      <c r="AP43" s="922">
        <f t="shared" si="64"/>
        <v>37.029575784692575</v>
      </c>
      <c r="AQ43" s="925">
        <f t="shared" si="64"/>
        <v>5620.5710399981317</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ransitionEvaluation="1" transitionEntry="1" codeName="Sheet29">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3" width="7" style="152" customWidth="1"/>
    <col min="14" max="14" width="8.6640625" style="152" customWidth="1"/>
    <col min="15" max="15" width="10.332031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2001</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1752</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11.971</v>
      </c>
      <c r="D8" s="876">
        <f t="shared" si="4"/>
        <v>96.858000000000004</v>
      </c>
      <c r="E8" s="876">
        <f t="shared" si="4"/>
        <v>1419.2318511344968</v>
      </c>
      <c r="F8" s="876">
        <f t="shared" si="4"/>
        <v>0</v>
      </c>
      <c r="G8" s="876">
        <f t="shared" si="4"/>
        <v>19613.672999999999</v>
      </c>
      <c r="H8" s="876">
        <f t="shared" si="4"/>
        <v>6.4746043000000659</v>
      </c>
      <c r="I8" s="876">
        <f t="shared" ref="I8:I14" si="5">SUM(C8:H8)</f>
        <v>21148.208455434498</v>
      </c>
      <c r="J8" s="959"/>
      <c r="K8" s="960">
        <f>SUM(K9:K16)</f>
        <v>35.291436925755285</v>
      </c>
      <c r="L8" s="960">
        <f>SUM(L9:L16)</f>
        <v>0</v>
      </c>
      <c r="M8" s="960"/>
      <c r="N8" s="878">
        <f t="shared" ref="N8:S8" si="6">SUM(N9:N16)</f>
        <v>11.971</v>
      </c>
      <c r="O8" s="876">
        <f t="shared" si="6"/>
        <v>96.858000000000004</v>
      </c>
      <c r="P8" s="876">
        <f t="shared" si="6"/>
        <v>1383.9404142087415</v>
      </c>
      <c r="Q8" s="876">
        <f t="shared" si="6"/>
        <v>0</v>
      </c>
      <c r="R8" s="876">
        <f t="shared" si="6"/>
        <v>19613.672999999999</v>
      </c>
      <c r="S8" s="879">
        <f t="shared" si="6"/>
        <v>6.4746043000000659</v>
      </c>
      <c r="T8" s="876">
        <f t="shared" ref="T8:T43" si="7">SUM(N8:S8)</f>
        <v>21112.917018508742</v>
      </c>
      <c r="U8" s="880" t="s">
        <v>1731</v>
      </c>
      <c r="V8" s="876">
        <f>SUM(V9:V16)</f>
        <v>0.31113955046419722</v>
      </c>
      <c r="W8" s="876">
        <f>SUM(W9:W16)</f>
        <v>2.5174467111236498</v>
      </c>
      <c r="X8" s="876">
        <f>SUM(X9:X16)</f>
        <v>35.504075798190122</v>
      </c>
      <c r="Y8" s="876"/>
      <c r="Z8" s="876">
        <f>SUM(Z9:Z16)</f>
        <v>509.68214006165073</v>
      </c>
      <c r="AA8" s="876">
        <f>SUM(AA9:AA16)</f>
        <v>0.16277155210200167</v>
      </c>
      <c r="AB8" s="876">
        <f t="shared" ref="AB8:AB13" si="8">SUM(V8:AA8)</f>
        <v>548.17757367353067</v>
      </c>
      <c r="AC8" s="881" t="s">
        <v>1731</v>
      </c>
      <c r="AD8" s="878">
        <f>SUM(AD9:AD16)</f>
        <v>0.31113955046419722</v>
      </c>
      <c r="AE8" s="876">
        <f>SUM(AE9:AE16)</f>
        <v>2.5174467111236498</v>
      </c>
      <c r="AF8" s="876">
        <f>SUM(AF9:AF16)</f>
        <v>35.504075798190122</v>
      </c>
      <c r="AG8" s="876" t="s">
        <v>108</v>
      </c>
      <c r="AH8" s="876">
        <f>SUM(AH9:AH16)</f>
        <v>509.68214006165073</v>
      </c>
      <c r="AI8" s="876">
        <f>SUM(AI9:AI16)</f>
        <v>0.16277155210200167</v>
      </c>
      <c r="AJ8" s="876">
        <f t="shared" ref="AJ8:AJ42" si="9">SUM(AD8:AI8)</f>
        <v>548.17757367353067</v>
      </c>
      <c r="AK8" s="878">
        <f t="shared" ref="AK8:AP8" si="10">SUM(AK9:AK16)</f>
        <v>1.1408450183687231</v>
      </c>
      <c r="AL8" s="876">
        <f t="shared" si="10"/>
        <v>9.2306379407867158</v>
      </c>
      <c r="AM8" s="876">
        <f t="shared" si="10"/>
        <v>130.18161126003045</v>
      </c>
      <c r="AN8" s="876">
        <f t="shared" si="10"/>
        <v>0</v>
      </c>
      <c r="AO8" s="876">
        <f t="shared" si="10"/>
        <v>1868.8345135593859</v>
      </c>
      <c r="AP8" s="876">
        <f t="shared" si="10"/>
        <v>0.59682902437400609</v>
      </c>
      <c r="AQ8" s="882">
        <f t="shared" ref="AQ8:AQ14" si="11">SUM(AK8:AP8)</f>
        <v>2009.9844368029458</v>
      </c>
    </row>
    <row r="9" spans="1:43">
      <c r="A9" s="817"/>
      <c r="B9" s="860" t="s">
        <v>1732</v>
      </c>
      <c r="C9" s="883">
        <f>HLOOKUP($B$2,'Consumption Input'!$E$5:$AQ$82,'Consumption Input'!$B7)</f>
        <v>11.971</v>
      </c>
      <c r="D9" s="883"/>
      <c r="E9" s="883"/>
      <c r="F9" s="883"/>
      <c r="G9" s="883"/>
      <c r="H9" s="883"/>
      <c r="I9" s="883">
        <f t="shared" si="5"/>
        <v>11.971</v>
      </c>
      <c r="J9" s="961"/>
      <c r="K9" s="940"/>
      <c r="L9" s="940"/>
      <c r="M9" s="940"/>
      <c r="N9" s="885">
        <f t="shared" ref="N9:N17" si="12">C9</f>
        <v>11.971</v>
      </c>
      <c r="O9" s="883">
        <f t="shared" ref="O9:O17" si="13">D9</f>
        <v>0</v>
      </c>
      <c r="P9" s="883">
        <f t="shared" ref="P9:P17" si="14">E9-K9</f>
        <v>0</v>
      </c>
      <c r="Q9" s="883">
        <f t="shared" ref="Q9:Q17" si="15">F9</f>
        <v>0</v>
      </c>
      <c r="R9" s="883">
        <f t="shared" ref="R9:R17" si="16">G9</f>
        <v>0</v>
      </c>
      <c r="S9" s="886">
        <f t="shared" ref="S9:S17" si="17">H9</f>
        <v>0</v>
      </c>
      <c r="T9" s="883">
        <f t="shared" si="7"/>
        <v>11.971</v>
      </c>
      <c r="U9" s="887">
        <f>HLOOKUP($B$2,Factors!$J$12:$Y$25,Factors!$H13)</f>
        <v>25.991107715662618</v>
      </c>
      <c r="V9" s="885">
        <f t="shared" ref="V9:V17" si="18">N9*$U9*TbtuToQBtu</f>
        <v>0.31113955046419722</v>
      </c>
      <c r="W9" s="883">
        <f t="shared" ref="W9:W17" si="19">O9*$U9*TbtuToQBtu</f>
        <v>0</v>
      </c>
      <c r="X9" s="883">
        <f t="shared" ref="X9:X17" si="20">P9*$U9*TbtuToQBtu</f>
        <v>0</v>
      </c>
      <c r="Y9" s="883">
        <f t="shared" ref="Y9:Y17" si="21">Q9*$U9*TbtuToQBtu</f>
        <v>0</v>
      </c>
      <c r="Z9" s="883">
        <f t="shared" ref="Z9:Z17" si="22">R9*$U9*TbtuToQBtu</f>
        <v>0</v>
      </c>
      <c r="AA9" s="883">
        <f t="shared" ref="AA9:AA17" si="23">S9*$U9*TbtuToQBtu</f>
        <v>0</v>
      </c>
      <c r="AB9" s="883">
        <f t="shared" si="8"/>
        <v>0.31113955046419722</v>
      </c>
      <c r="AC9" s="888">
        <f>Factors!E10</f>
        <v>1</v>
      </c>
      <c r="AD9" s="885">
        <f t="shared" ref="AD9:AD17" si="24">V9*$AC9</f>
        <v>0.31113955046419722</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0.31113955046419722</v>
      </c>
      <c r="AK9" s="885">
        <f t="shared" ref="AK9:AK42" si="30">AD9*CtoCO2</f>
        <v>1.1408450183687231</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1.1408450183687231</v>
      </c>
    </row>
    <row r="10" spans="1:43">
      <c r="A10" s="817"/>
      <c r="B10" s="860" t="s">
        <v>1733</v>
      </c>
      <c r="C10" s="883"/>
      <c r="D10" s="883">
        <f>HLOOKUP($B$2,'Consumption Input'!$E$5:$AQ$82,'Consumption Input'!$B13)</f>
        <v>96.858000000000004</v>
      </c>
      <c r="E10" s="883"/>
      <c r="F10" s="883"/>
      <c r="G10" s="883"/>
      <c r="H10" s="883"/>
      <c r="I10" s="883">
        <f t="shared" si="5"/>
        <v>96.858000000000004</v>
      </c>
      <c r="J10" s="961"/>
      <c r="K10" s="940"/>
      <c r="L10" s="940"/>
      <c r="M10" s="940"/>
      <c r="N10" s="885">
        <f t="shared" si="12"/>
        <v>0</v>
      </c>
      <c r="O10" s="883">
        <f t="shared" si="13"/>
        <v>96.858000000000004</v>
      </c>
      <c r="P10" s="883">
        <f t="shared" si="14"/>
        <v>0</v>
      </c>
      <c r="Q10" s="883">
        <f t="shared" si="15"/>
        <v>0</v>
      </c>
      <c r="R10" s="883">
        <f t="shared" si="16"/>
        <v>0</v>
      </c>
      <c r="S10" s="886">
        <f t="shared" si="17"/>
        <v>0</v>
      </c>
      <c r="T10" s="883">
        <f t="shared" si="7"/>
        <v>96.858000000000004</v>
      </c>
      <c r="U10" s="887">
        <f>HLOOKUP($B$2,Factors!$J$12:$Y$25,Factors!$H14)</f>
        <v>25.991107715662618</v>
      </c>
      <c r="V10" s="885">
        <f t="shared" si="18"/>
        <v>0</v>
      </c>
      <c r="W10" s="883">
        <f t="shared" si="19"/>
        <v>2.5174467111236498</v>
      </c>
      <c r="X10" s="883">
        <f t="shared" si="20"/>
        <v>0</v>
      </c>
      <c r="Y10" s="883">
        <f t="shared" si="21"/>
        <v>0</v>
      </c>
      <c r="Z10" s="883">
        <f t="shared" si="22"/>
        <v>0</v>
      </c>
      <c r="AA10" s="883">
        <f t="shared" si="23"/>
        <v>0</v>
      </c>
      <c r="AB10" s="883">
        <f t="shared" si="8"/>
        <v>2.5174467111236498</v>
      </c>
      <c r="AC10" s="888">
        <f>Factors!E11</f>
        <v>1</v>
      </c>
      <c r="AD10" s="885">
        <f t="shared" si="24"/>
        <v>0</v>
      </c>
      <c r="AE10" s="883">
        <f t="shared" si="25"/>
        <v>2.5174467111236498</v>
      </c>
      <c r="AF10" s="883">
        <f t="shared" si="26"/>
        <v>0</v>
      </c>
      <c r="AG10" s="883">
        <f t="shared" si="27"/>
        <v>0</v>
      </c>
      <c r="AH10" s="883">
        <f t="shared" si="28"/>
        <v>0</v>
      </c>
      <c r="AI10" s="883">
        <f t="shared" si="29"/>
        <v>0</v>
      </c>
      <c r="AJ10" s="889">
        <f t="shared" si="9"/>
        <v>2.5174467111236498</v>
      </c>
      <c r="AK10" s="885">
        <f t="shared" si="30"/>
        <v>0</v>
      </c>
      <c r="AL10" s="883">
        <f t="shared" si="31"/>
        <v>9.2306379407867158</v>
      </c>
      <c r="AM10" s="883">
        <f t="shared" si="32"/>
        <v>0</v>
      </c>
      <c r="AN10" s="883">
        <f t="shared" si="33"/>
        <v>0</v>
      </c>
      <c r="AO10" s="883">
        <f t="shared" si="34"/>
        <v>0</v>
      </c>
      <c r="AP10" s="883">
        <f t="shared" si="35"/>
        <v>0</v>
      </c>
      <c r="AQ10" s="890">
        <f t="shared" si="11"/>
        <v>9.2306379407867158</v>
      </c>
    </row>
    <row r="11" spans="1:43" s="244" customFormat="1" hidden="1">
      <c r="A11" s="861"/>
      <c r="B11" s="862" t="s">
        <v>1734</v>
      </c>
      <c r="C11" s="891"/>
      <c r="D11" s="891"/>
      <c r="E11" s="891">
        <f>HLOOKUP($B$2,'Consumption Input'!$E$5:$AQ$82,'Consumption Input'!$B23)</f>
        <v>24.764394990510937</v>
      </c>
      <c r="F11" s="891"/>
      <c r="G11" s="891"/>
      <c r="H11" s="891"/>
      <c r="I11" s="891">
        <f t="shared" si="5"/>
        <v>24.764394990510937</v>
      </c>
      <c r="J11" s="962"/>
      <c r="K11" s="963">
        <f>HLOOKUP($B$2,NEUConsumption,'Non-Energy Use'!$C$7)</f>
        <v>24.764394990510937</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25.629598258977765</v>
      </c>
      <c r="V11" s="893">
        <f t="shared" si="18"/>
        <v>0</v>
      </c>
      <c r="W11" s="891">
        <f t="shared" si="19"/>
        <v>0</v>
      </c>
      <c r="X11" s="891">
        <f t="shared" si="20"/>
        <v>0</v>
      </c>
      <c r="Y11" s="891">
        <f t="shared" si="21"/>
        <v>0</v>
      </c>
      <c r="Z11" s="891">
        <f t="shared" si="22"/>
        <v>0</v>
      </c>
      <c r="AA11" s="891">
        <f t="shared" si="23"/>
        <v>0</v>
      </c>
      <c r="AB11" s="891">
        <f t="shared" si="8"/>
        <v>0</v>
      </c>
      <c r="AC11" s="896">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3">
      <c r="A12" s="817"/>
      <c r="B12" s="860" t="s">
        <v>1701</v>
      </c>
      <c r="C12" s="883"/>
      <c r="D12" s="883"/>
      <c r="E12" s="883">
        <f>HLOOKUP($B$2,'Consumption Input'!$E$5:$AQ$82,'Consumption Input'!$B24)</f>
        <v>1394.4674561439858</v>
      </c>
      <c r="F12" s="883"/>
      <c r="G12" s="883"/>
      <c r="H12" s="883"/>
      <c r="I12" s="883">
        <f t="shared" si="5"/>
        <v>1394.4674561439858</v>
      </c>
      <c r="J12" s="961"/>
      <c r="K12" s="940">
        <f>HLOOKUP($B$2,NEUConsumption,'Non-Energy Use'!$C$8)</f>
        <v>10.527041935244348</v>
      </c>
      <c r="L12" s="940"/>
      <c r="M12" s="940"/>
      <c r="N12" s="885">
        <f t="shared" si="12"/>
        <v>0</v>
      </c>
      <c r="O12" s="883">
        <f t="shared" si="13"/>
        <v>0</v>
      </c>
      <c r="P12" s="883">
        <f t="shared" si="14"/>
        <v>1383.9404142087415</v>
      </c>
      <c r="Q12" s="883">
        <f t="shared" si="15"/>
        <v>0</v>
      </c>
      <c r="R12" s="883">
        <f t="shared" si="16"/>
        <v>0</v>
      </c>
      <c r="S12" s="886">
        <f t="shared" si="17"/>
        <v>0</v>
      </c>
      <c r="T12" s="883">
        <f t="shared" si="7"/>
        <v>1383.9404142087415</v>
      </c>
      <c r="U12" s="887">
        <f>HLOOKUP($B$2,Factors!$J$12:$Y$25,Factors!$H15)</f>
        <v>25.654338462605946</v>
      </c>
      <c r="V12" s="885">
        <f t="shared" si="18"/>
        <v>0</v>
      </c>
      <c r="W12" s="883">
        <f t="shared" si="19"/>
        <v>0</v>
      </c>
      <c r="X12" s="883">
        <f t="shared" si="20"/>
        <v>35.504075798190122</v>
      </c>
      <c r="Y12" s="883">
        <f t="shared" si="21"/>
        <v>0</v>
      </c>
      <c r="Z12" s="883">
        <f t="shared" si="22"/>
        <v>0</v>
      </c>
      <c r="AA12" s="883">
        <f t="shared" si="23"/>
        <v>0</v>
      </c>
      <c r="AB12" s="883">
        <f t="shared" si="8"/>
        <v>35.504075798190122</v>
      </c>
      <c r="AC12" s="888">
        <f>Factors!E13</f>
        <v>1</v>
      </c>
      <c r="AD12" s="885">
        <f t="shared" si="24"/>
        <v>0</v>
      </c>
      <c r="AE12" s="883">
        <f t="shared" si="25"/>
        <v>0</v>
      </c>
      <c r="AF12" s="883">
        <f t="shared" si="26"/>
        <v>35.504075798190122</v>
      </c>
      <c r="AG12" s="883">
        <f t="shared" si="27"/>
        <v>0</v>
      </c>
      <c r="AH12" s="883">
        <f t="shared" si="28"/>
        <v>0</v>
      </c>
      <c r="AI12" s="883">
        <f t="shared" si="29"/>
        <v>0</v>
      </c>
      <c r="AJ12" s="889">
        <f t="shared" si="9"/>
        <v>35.504075798190122</v>
      </c>
      <c r="AK12" s="885">
        <f t="shared" si="30"/>
        <v>0</v>
      </c>
      <c r="AL12" s="883">
        <f t="shared" si="31"/>
        <v>0</v>
      </c>
      <c r="AM12" s="883">
        <f t="shared" si="32"/>
        <v>130.18161126003045</v>
      </c>
      <c r="AN12" s="883">
        <f t="shared" si="33"/>
        <v>0</v>
      </c>
      <c r="AO12" s="883">
        <f t="shared" si="34"/>
        <v>0</v>
      </c>
      <c r="AP12" s="883">
        <f t="shared" si="35"/>
        <v>0</v>
      </c>
      <c r="AQ12" s="890">
        <f t="shared" si="11"/>
        <v>130.18161126003045</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91">
        <f t="shared" si="7"/>
        <v>0</v>
      </c>
      <c r="U13" s="895">
        <f>Factors!D14</f>
        <v>27.85</v>
      </c>
      <c r="V13" s="893">
        <f t="shared" si="18"/>
        <v>0</v>
      </c>
      <c r="W13" s="891">
        <f t="shared" si="19"/>
        <v>0</v>
      </c>
      <c r="X13" s="891">
        <f t="shared" si="20"/>
        <v>0</v>
      </c>
      <c r="Y13" s="891">
        <f t="shared" si="21"/>
        <v>0</v>
      </c>
      <c r="Z13" s="891">
        <f t="shared" si="22"/>
        <v>0</v>
      </c>
      <c r="AA13" s="891">
        <f t="shared" si="23"/>
        <v>0</v>
      </c>
      <c r="AB13" s="891">
        <f t="shared" si="8"/>
        <v>0</v>
      </c>
      <c r="AC13" s="896">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887" t="str">
        <f>Factors!D15</f>
        <v>NC</v>
      </c>
      <c r="V14" s="885">
        <f t="shared" si="18"/>
        <v>0</v>
      </c>
      <c r="W14" s="883">
        <f t="shared" si="19"/>
        <v>0</v>
      </c>
      <c r="X14" s="883">
        <f t="shared" si="20"/>
        <v>0</v>
      </c>
      <c r="Y14" s="883">
        <f t="shared" si="21"/>
        <v>0</v>
      </c>
      <c r="Z14" s="883">
        <f t="shared" si="22"/>
        <v>0</v>
      </c>
      <c r="AA14" s="883">
        <f t="shared" si="23"/>
        <v>0</v>
      </c>
      <c r="AB14" s="883" t="s">
        <v>103</v>
      </c>
      <c r="AC14" s="888"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3">
      <c r="A15" s="817"/>
      <c r="B15" s="860" t="s">
        <v>1736</v>
      </c>
      <c r="C15" s="883"/>
      <c r="D15" s="883"/>
      <c r="E15" s="883"/>
      <c r="F15" s="883"/>
      <c r="G15" s="883">
        <f>HLOOKUP($B$2,'Consumption Input'!$E$5:$AQ$82,'Consumption Input'!$B58)</f>
        <v>19613.672999999999</v>
      </c>
      <c r="H15" s="883"/>
      <c r="I15" s="883">
        <f t="shared" ref="I15:I41" si="36">SUM(C15:H15)</f>
        <v>19613.672999999999</v>
      </c>
      <c r="J15" s="961"/>
      <c r="K15" s="940"/>
      <c r="L15" s="940"/>
      <c r="M15" s="940"/>
      <c r="N15" s="885">
        <f t="shared" si="12"/>
        <v>0</v>
      </c>
      <c r="O15" s="883">
        <f t="shared" si="13"/>
        <v>0</v>
      </c>
      <c r="P15" s="883">
        <f t="shared" si="14"/>
        <v>0</v>
      </c>
      <c r="Q15" s="883">
        <f t="shared" si="15"/>
        <v>0</v>
      </c>
      <c r="R15" s="883">
        <f t="shared" si="16"/>
        <v>19613.672999999999</v>
      </c>
      <c r="S15" s="886">
        <f t="shared" si="17"/>
        <v>0</v>
      </c>
      <c r="T15" s="883">
        <f t="shared" si="7"/>
        <v>19613.672999999999</v>
      </c>
      <c r="U15" s="887">
        <f>HLOOKUP($B$2,Factors!$J$12:$Y$25,Factors!$H16)</f>
        <v>25.986062888967851</v>
      </c>
      <c r="V15" s="885">
        <f t="shared" si="18"/>
        <v>0</v>
      </c>
      <c r="W15" s="883">
        <f t="shared" si="19"/>
        <v>0</v>
      </c>
      <c r="X15" s="883">
        <f t="shared" si="20"/>
        <v>0</v>
      </c>
      <c r="Y15" s="883">
        <f t="shared" si="21"/>
        <v>0</v>
      </c>
      <c r="Z15" s="883">
        <f t="shared" si="22"/>
        <v>509.68214006165073</v>
      </c>
      <c r="AA15" s="883">
        <f t="shared" si="23"/>
        <v>0</v>
      </c>
      <c r="AB15" s="883">
        <f t="shared" ref="AB15:AB43" si="37">SUM(V15:AA15)</f>
        <v>509.68214006165073</v>
      </c>
      <c r="AC15" s="888">
        <f>Factors!E16</f>
        <v>1</v>
      </c>
      <c r="AD15" s="885">
        <f t="shared" si="24"/>
        <v>0</v>
      </c>
      <c r="AE15" s="883">
        <f t="shared" si="25"/>
        <v>0</v>
      </c>
      <c r="AF15" s="883">
        <f t="shared" si="26"/>
        <v>0</v>
      </c>
      <c r="AG15" s="883">
        <f t="shared" si="27"/>
        <v>0</v>
      </c>
      <c r="AH15" s="883">
        <f t="shared" si="28"/>
        <v>509.68214006165073</v>
      </c>
      <c r="AI15" s="883">
        <f t="shared" si="29"/>
        <v>0</v>
      </c>
      <c r="AJ15" s="889">
        <f t="shared" si="9"/>
        <v>509.68214006165073</v>
      </c>
      <c r="AK15" s="885">
        <f t="shared" si="30"/>
        <v>0</v>
      </c>
      <c r="AL15" s="883">
        <f t="shared" si="31"/>
        <v>0</v>
      </c>
      <c r="AM15" s="883">
        <f t="shared" si="32"/>
        <v>0</v>
      </c>
      <c r="AN15" s="883">
        <f t="shared" si="33"/>
        <v>0</v>
      </c>
      <c r="AO15" s="883">
        <f t="shared" si="34"/>
        <v>1868.8345135593859</v>
      </c>
      <c r="AP15" s="883">
        <f t="shared" si="35"/>
        <v>0</v>
      </c>
      <c r="AQ15" s="890">
        <f t="shared" ref="AQ15:AQ42" si="38">SUM(AK15:AP15)</f>
        <v>1868.8345135593859</v>
      </c>
    </row>
    <row r="16" spans="1:43">
      <c r="A16" s="817"/>
      <c r="B16" s="860" t="s">
        <v>1737</v>
      </c>
      <c r="C16" s="883"/>
      <c r="D16" s="883"/>
      <c r="E16" s="883"/>
      <c r="F16" s="883"/>
      <c r="G16" s="883"/>
      <c r="H16" s="883">
        <f>HLOOKUP($B$2,'US Territories'!$D$28:$Z$38,'US Territories'!$B29)</f>
        <v>6.4746043000000659</v>
      </c>
      <c r="I16" s="883">
        <f t="shared" si="36"/>
        <v>6.4746043000000659</v>
      </c>
      <c r="J16" s="961"/>
      <c r="K16" s="940"/>
      <c r="L16" s="940"/>
      <c r="M16" s="940"/>
      <c r="N16" s="885">
        <f t="shared" si="12"/>
        <v>0</v>
      </c>
      <c r="O16" s="883">
        <f t="shared" si="13"/>
        <v>0</v>
      </c>
      <c r="P16" s="883">
        <f t="shared" si="14"/>
        <v>0</v>
      </c>
      <c r="Q16" s="883">
        <f t="shared" si="15"/>
        <v>0</v>
      </c>
      <c r="R16" s="883">
        <f t="shared" si="16"/>
        <v>0</v>
      </c>
      <c r="S16" s="886">
        <f t="shared" si="17"/>
        <v>6.4746043000000659</v>
      </c>
      <c r="T16" s="883">
        <f t="shared" si="7"/>
        <v>6.4746043000000659</v>
      </c>
      <c r="U16" s="887">
        <f>Factors!D17</f>
        <v>25.14</v>
      </c>
      <c r="V16" s="899">
        <f t="shared" si="18"/>
        <v>0</v>
      </c>
      <c r="W16" s="900">
        <f t="shared" si="19"/>
        <v>0</v>
      </c>
      <c r="X16" s="900">
        <f t="shared" si="20"/>
        <v>0</v>
      </c>
      <c r="Y16" s="900">
        <f t="shared" si="21"/>
        <v>0</v>
      </c>
      <c r="Z16" s="900">
        <f t="shared" si="22"/>
        <v>0</v>
      </c>
      <c r="AA16" s="900">
        <f t="shared" si="23"/>
        <v>0.16277155210200167</v>
      </c>
      <c r="AB16" s="883">
        <f t="shared" si="37"/>
        <v>0.16277155210200167</v>
      </c>
      <c r="AC16" s="888">
        <f>Factors!E17</f>
        <v>1</v>
      </c>
      <c r="AD16" s="899">
        <f t="shared" si="24"/>
        <v>0</v>
      </c>
      <c r="AE16" s="900">
        <f t="shared" si="25"/>
        <v>0</v>
      </c>
      <c r="AF16" s="900">
        <f t="shared" si="26"/>
        <v>0</v>
      </c>
      <c r="AG16" s="900">
        <f t="shared" si="27"/>
        <v>0</v>
      </c>
      <c r="AH16" s="900">
        <f t="shared" si="28"/>
        <v>0</v>
      </c>
      <c r="AI16" s="900">
        <f t="shared" si="29"/>
        <v>0.16277155210200167</v>
      </c>
      <c r="AJ16" s="889">
        <f t="shared" si="9"/>
        <v>0.16277155210200167</v>
      </c>
      <c r="AK16" s="885">
        <f t="shared" si="30"/>
        <v>0</v>
      </c>
      <c r="AL16" s="883">
        <f t="shared" si="31"/>
        <v>0</v>
      </c>
      <c r="AM16" s="883">
        <f t="shared" si="32"/>
        <v>0</v>
      </c>
      <c r="AN16" s="883">
        <f t="shared" si="33"/>
        <v>0</v>
      </c>
      <c r="AO16" s="883">
        <f t="shared" si="34"/>
        <v>0</v>
      </c>
      <c r="AP16" s="883">
        <f t="shared" si="35"/>
        <v>0.59682902437400609</v>
      </c>
      <c r="AQ16" s="890">
        <f t="shared" si="38"/>
        <v>0.59682902437400609</v>
      </c>
    </row>
    <row r="17" spans="1:43">
      <c r="A17" s="817"/>
      <c r="B17" s="863" t="s">
        <v>1439</v>
      </c>
      <c r="C17" s="901">
        <f>HLOOKUP($B$2,'Consumption Input'!$E$5:$AQ$82,'Consumption Input'!$B8)</f>
        <v>4889.018</v>
      </c>
      <c r="D17" s="901">
        <f>HLOOKUP($B$2,'Consumption Input'!$E$5:$AQ$82,'Consumption Input'!$B14)</f>
        <v>3097.2620000000002</v>
      </c>
      <c r="E17" s="901">
        <f>HLOOKUP($B$2,'Consumption Input'!$E$5:$AQ$82,'Consumption Input'!$B26)</f>
        <v>8325.4690296393874</v>
      </c>
      <c r="F17" s="901">
        <f>HLOOKUP($B$2,'Consumption Input'!$E$5:$AQ$82,'Consumption Input'!$B49)</f>
        <v>658.04600000000005</v>
      </c>
      <c r="G17" s="901">
        <f>HLOOKUP($B$2,'Consumption Input'!$E$5:$AQ$82,'Consumption Input'!$B59)</f>
        <v>5458.1009999999997</v>
      </c>
      <c r="H17" s="944">
        <f>HLOOKUP($B$2,'US Territories'!$D$28:$Z$38,'US Territories'!$B30)</f>
        <v>22.871406599999997</v>
      </c>
      <c r="I17" s="901">
        <f t="shared" si="36"/>
        <v>22450.767436239385</v>
      </c>
      <c r="J17" s="964"/>
      <c r="K17" s="965">
        <f>HLOOKUP($B$2,NEUConsumption,'Non-Energy Use'!$C$9)</f>
        <v>391.79174999999998</v>
      </c>
      <c r="L17" s="965"/>
      <c r="M17" s="965"/>
      <c r="N17" s="904">
        <f t="shared" si="12"/>
        <v>4889.018</v>
      </c>
      <c r="O17" s="901">
        <f t="shared" si="13"/>
        <v>3097.2620000000002</v>
      </c>
      <c r="P17" s="901">
        <f t="shared" si="14"/>
        <v>7933.6772796393871</v>
      </c>
      <c r="Q17" s="901">
        <f t="shared" si="15"/>
        <v>658.04600000000005</v>
      </c>
      <c r="R17" s="901">
        <f t="shared" si="16"/>
        <v>5458.1009999999997</v>
      </c>
      <c r="S17" s="902">
        <f t="shared" si="17"/>
        <v>22.871406599999997</v>
      </c>
      <c r="T17" s="901">
        <f t="shared" si="7"/>
        <v>22058.975686239384</v>
      </c>
      <c r="U17" s="905">
        <f>HLOOKUP($B$2,Factors!$J$12:$AB$26,Factors!$H26,FALSE)</f>
        <v>14.458506695525291</v>
      </c>
      <c r="V17" s="901">
        <f t="shared" si="18"/>
        <v>70.68789948754366</v>
      </c>
      <c r="W17" s="901">
        <f t="shared" si="19"/>
        <v>44.781783364796055</v>
      </c>
      <c r="X17" s="901">
        <f t="shared" si="20"/>
        <v>114.70912606780296</v>
      </c>
      <c r="Y17" s="901">
        <f t="shared" si="21"/>
        <v>9.5143624969636367</v>
      </c>
      <c r="Z17" s="901">
        <f t="shared" si="22"/>
        <v>78.915989853353281</v>
      </c>
      <c r="AA17" s="901">
        <f t="shared" si="23"/>
        <v>0.33068638546218126</v>
      </c>
      <c r="AB17" s="901">
        <f t="shared" si="37"/>
        <v>318.93984765592177</v>
      </c>
      <c r="AC17" s="906">
        <f>Factors!E19</f>
        <v>1</v>
      </c>
      <c r="AD17" s="904">
        <f t="shared" si="24"/>
        <v>70.68789948754366</v>
      </c>
      <c r="AE17" s="901">
        <f t="shared" si="25"/>
        <v>44.781783364796055</v>
      </c>
      <c r="AF17" s="901">
        <f t="shared" si="26"/>
        <v>114.70912606780296</v>
      </c>
      <c r="AG17" s="901">
        <f t="shared" si="27"/>
        <v>9.5143624969636367</v>
      </c>
      <c r="AH17" s="901">
        <f t="shared" si="28"/>
        <v>78.915989853353281</v>
      </c>
      <c r="AI17" s="901">
        <f t="shared" si="29"/>
        <v>0.33068638546218126</v>
      </c>
      <c r="AJ17" s="901">
        <f t="shared" si="9"/>
        <v>318.93984765592177</v>
      </c>
      <c r="AK17" s="904">
        <f t="shared" si="30"/>
        <v>259.1889647876601</v>
      </c>
      <c r="AL17" s="901">
        <f t="shared" si="31"/>
        <v>164.19987233758553</v>
      </c>
      <c r="AM17" s="901">
        <f t="shared" si="32"/>
        <v>420.60012891527748</v>
      </c>
      <c r="AN17" s="901">
        <f t="shared" si="33"/>
        <v>34.885995822200002</v>
      </c>
      <c r="AO17" s="901">
        <f t="shared" si="34"/>
        <v>289.35862946229537</v>
      </c>
      <c r="AP17" s="901">
        <f t="shared" si="35"/>
        <v>1.2125167466946647</v>
      </c>
      <c r="AQ17" s="907">
        <f t="shared" si="38"/>
        <v>1169.4461080717133</v>
      </c>
    </row>
    <row r="18" spans="1:43">
      <c r="A18" s="817"/>
      <c r="B18" s="864" t="s">
        <v>1440</v>
      </c>
      <c r="C18" s="908">
        <f t="shared" ref="C18:H18" si="39">SUM(C19:C41)</f>
        <v>1460.4936877685618</v>
      </c>
      <c r="D18" s="908">
        <f t="shared" si="39"/>
        <v>761.92408972412886</v>
      </c>
      <c r="E18" s="908">
        <f t="shared" si="39"/>
        <v>8851.1345727571188</v>
      </c>
      <c r="F18" s="908">
        <f t="shared" si="39"/>
        <v>25484.661080207094</v>
      </c>
      <c r="G18" s="908">
        <f t="shared" si="39"/>
        <v>1276.3759999999997</v>
      </c>
      <c r="H18" s="908">
        <f t="shared" si="39"/>
        <v>738.59537884898862</v>
      </c>
      <c r="I18" s="908">
        <f t="shared" si="36"/>
        <v>38573.184809305887</v>
      </c>
      <c r="J18" s="966">
        <f t="shared" ref="J18:S18" si="40">SUM(J19:J41)</f>
        <v>1299.6071748791023</v>
      </c>
      <c r="K18" s="967">
        <f t="shared" si="40"/>
        <v>4704.3077982089126</v>
      </c>
      <c r="L18" s="967">
        <f t="shared" si="40"/>
        <v>164.33899999999997</v>
      </c>
      <c r="M18" s="967">
        <f t="shared" si="40"/>
        <v>85.513379103072083</v>
      </c>
      <c r="N18" s="910">
        <f t="shared" si="40"/>
        <v>1460.4936877685618</v>
      </c>
      <c r="O18" s="908">
        <f t="shared" si="40"/>
        <v>761.92408972412886</v>
      </c>
      <c r="P18" s="908">
        <f t="shared" si="40"/>
        <v>4146.8267745482044</v>
      </c>
      <c r="Q18" s="908">
        <f t="shared" si="40"/>
        <v>24020.714905327994</v>
      </c>
      <c r="R18" s="908">
        <f t="shared" si="40"/>
        <v>1276.3759999999997</v>
      </c>
      <c r="S18" s="911">
        <f t="shared" si="40"/>
        <v>653.08199974591651</v>
      </c>
      <c r="T18" s="889">
        <f t="shared" si="7"/>
        <v>32319.417457114803</v>
      </c>
      <c r="U18" s="912" t="s">
        <v>1731</v>
      </c>
      <c r="V18" s="908">
        <f t="shared" ref="V18:AA18" si="41">SUM(V19:V41)</f>
        <v>28.006455633709237</v>
      </c>
      <c r="W18" s="908">
        <f t="shared" si="41"/>
        <v>15.002053377106867</v>
      </c>
      <c r="X18" s="908">
        <f t="shared" si="41"/>
        <v>85.229203909910936</v>
      </c>
      <c r="Y18" s="908">
        <f t="shared" si="41"/>
        <v>471.15765610919135</v>
      </c>
      <c r="Z18" s="908">
        <f t="shared" si="41"/>
        <v>26.880277051416154</v>
      </c>
      <c r="AA18" s="908">
        <f t="shared" si="41"/>
        <v>13.047616772161616</v>
      </c>
      <c r="AB18" s="908">
        <f t="shared" si="37"/>
        <v>639.32326285349609</v>
      </c>
      <c r="AC18" s="913" t="s">
        <v>1731</v>
      </c>
      <c r="AD18" s="910">
        <f t="shared" ref="AD18:AI18" si="42">SUM(AD19:AD41)</f>
        <v>28.006455633709237</v>
      </c>
      <c r="AE18" s="908">
        <f t="shared" si="42"/>
        <v>15.002053377106867</v>
      </c>
      <c r="AF18" s="908">
        <f t="shared" si="42"/>
        <v>85.229203909910936</v>
      </c>
      <c r="AG18" s="908">
        <f t="shared" si="42"/>
        <v>471.15765610919135</v>
      </c>
      <c r="AH18" s="908">
        <f t="shared" si="42"/>
        <v>26.880277051416154</v>
      </c>
      <c r="AI18" s="908">
        <f t="shared" si="42"/>
        <v>13.047616772161616</v>
      </c>
      <c r="AJ18" s="908">
        <f t="shared" si="9"/>
        <v>639.32326285349609</v>
      </c>
      <c r="AK18" s="914">
        <f t="shared" si="30"/>
        <v>102.69033732360053</v>
      </c>
      <c r="AL18" s="889">
        <f t="shared" si="31"/>
        <v>55.007529049391842</v>
      </c>
      <c r="AM18" s="889">
        <f t="shared" si="32"/>
        <v>312.50708100300676</v>
      </c>
      <c r="AN18" s="889">
        <f t="shared" si="33"/>
        <v>1727.5780724003682</v>
      </c>
      <c r="AO18" s="889">
        <f t="shared" si="34"/>
        <v>98.561015855192565</v>
      </c>
      <c r="AP18" s="889">
        <f t="shared" si="35"/>
        <v>47.84126149792592</v>
      </c>
      <c r="AQ18" s="915">
        <f t="shared" si="38"/>
        <v>2344.1852971294861</v>
      </c>
    </row>
    <row r="19" spans="1:43">
      <c r="A19" s="817"/>
      <c r="B19" s="860" t="s">
        <v>1608</v>
      </c>
      <c r="C19" s="883"/>
      <c r="D19" s="883"/>
      <c r="E19" s="883">
        <f>HLOOKUP($B$2,'Consumption Input'!$E$5:$AQ$82,'Consumption Input'!$B27)</f>
        <v>1256.8649999999998</v>
      </c>
      <c r="F19" s="883"/>
      <c r="G19" s="883"/>
      <c r="H19" s="883"/>
      <c r="I19" s="883">
        <f t="shared" si="36"/>
        <v>1256.8649999999998</v>
      </c>
      <c r="J19" s="961"/>
      <c r="K19" s="940">
        <f>HLOOKUP($B$2,NEUConsumption,'Non-Energy Use'!$C$10)</f>
        <v>1256.8649999999998</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7"/>
        <v>0</v>
      </c>
      <c r="AC19" s="888">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34.936999999999998</v>
      </c>
      <c r="G20" s="883"/>
      <c r="H20" s="883"/>
      <c r="I20" s="883">
        <f t="shared" si="36"/>
        <v>34.936999999999998</v>
      </c>
      <c r="J20" s="961"/>
      <c r="K20" s="940"/>
      <c r="L20" s="940"/>
      <c r="M20" s="940"/>
      <c r="N20" s="885">
        <f t="shared" si="43"/>
        <v>0</v>
      </c>
      <c r="O20" s="883">
        <f t="shared" si="44"/>
        <v>0</v>
      </c>
      <c r="P20" s="883">
        <f t="shared" si="45"/>
        <v>0</v>
      </c>
      <c r="Q20" s="883">
        <f t="shared" si="46"/>
        <v>34.936999999999998</v>
      </c>
      <c r="R20" s="883">
        <f t="shared" si="47"/>
        <v>0</v>
      </c>
      <c r="S20" s="886">
        <f t="shared" si="48"/>
        <v>0</v>
      </c>
      <c r="T20" s="883">
        <f t="shared" si="7"/>
        <v>34.936999999999998</v>
      </c>
      <c r="U20" s="887">
        <f>Factors!D25</f>
        <v>18.855352254718337</v>
      </c>
      <c r="V20" s="885">
        <f t="shared" si="49"/>
        <v>0</v>
      </c>
      <c r="W20" s="883">
        <f t="shared" si="50"/>
        <v>0</v>
      </c>
      <c r="X20" s="883">
        <f t="shared" si="51"/>
        <v>0</v>
      </c>
      <c r="Y20" s="883">
        <f t="shared" si="52"/>
        <v>0.65874944172309446</v>
      </c>
      <c r="Z20" s="883">
        <f t="shared" si="53"/>
        <v>0</v>
      </c>
      <c r="AA20" s="883">
        <f t="shared" si="54"/>
        <v>0</v>
      </c>
      <c r="AB20" s="883">
        <f t="shared" si="37"/>
        <v>0.65874944172309446</v>
      </c>
      <c r="AC20" s="888">
        <f>Factors!E25</f>
        <v>1</v>
      </c>
      <c r="AD20" s="885">
        <f t="shared" si="55"/>
        <v>0</v>
      </c>
      <c r="AE20" s="883">
        <f t="shared" si="56"/>
        <v>0</v>
      </c>
      <c r="AF20" s="883">
        <f t="shared" si="57"/>
        <v>0</v>
      </c>
      <c r="AG20" s="883">
        <f t="shared" si="58"/>
        <v>0.65874944172309446</v>
      </c>
      <c r="AH20" s="883">
        <f t="shared" si="59"/>
        <v>0</v>
      </c>
      <c r="AI20" s="883">
        <f t="shared" si="60"/>
        <v>0</v>
      </c>
      <c r="AJ20" s="889">
        <f t="shared" si="9"/>
        <v>0.65874944172309446</v>
      </c>
      <c r="AK20" s="885">
        <f t="shared" si="30"/>
        <v>0</v>
      </c>
      <c r="AL20" s="883">
        <f t="shared" si="31"/>
        <v>0</v>
      </c>
      <c r="AM20" s="883">
        <f t="shared" si="32"/>
        <v>0</v>
      </c>
      <c r="AN20" s="883">
        <f t="shared" si="33"/>
        <v>2.4154146196513464</v>
      </c>
      <c r="AO20" s="883">
        <f t="shared" si="34"/>
        <v>0</v>
      </c>
      <c r="AP20" s="883">
        <f t="shared" si="35"/>
        <v>0</v>
      </c>
      <c r="AQ20" s="890">
        <f t="shared" si="38"/>
        <v>2.4154146196513464</v>
      </c>
    </row>
    <row r="21" spans="1:43">
      <c r="A21" s="817"/>
      <c r="B21" s="860" t="s">
        <v>1738</v>
      </c>
      <c r="C21" s="883">
        <f>HLOOKUP($B$2,'Consumption Input'!$E$5:$AQ$82,'Consumption Input'!$B9)</f>
        <v>839.04168776856193</v>
      </c>
      <c r="D21" s="883">
        <f>HLOOKUP($B$2,'Consumption Input'!$E$5:$AQ$82,'Consumption Input'!$B15)</f>
        <v>469.58701469237423</v>
      </c>
      <c r="E21" s="883">
        <f>HLOOKUP($B$2,'Consumption Input'!$E$5:$AQ$82,'Consumption Input'!$B28)</f>
        <v>1188.8289219438229</v>
      </c>
      <c r="F21" s="883">
        <f>HLOOKUP($B$2,'Consumption Input'!$E$5:$AQ$82,'Consumption Input'!$B51)</f>
        <v>5489.3510178571441</v>
      </c>
      <c r="G21" s="883">
        <f>HLOOKUP($B$2,'Consumption Input'!$E$5:$AQ$82,'Consumption Input'!$B60)</f>
        <v>170.34700000000001</v>
      </c>
      <c r="H21" s="883">
        <f>HLOOKUP($B$2,'US Territories'!$D$28:$Z$38,'US Territories'!$B31)</f>
        <v>119.96955571260042</v>
      </c>
      <c r="I21" s="883">
        <f t="shared" si="36"/>
        <v>8277.125197974503</v>
      </c>
      <c r="J21" s="961">
        <f>HLOOKUP($B$2,IBFConsumption,'International Bunker Fuels'!$B$10)</f>
        <v>72.397487179080514</v>
      </c>
      <c r="K21" s="940">
        <f>HLOOKUP($B$2,NEUConsumption,'Non-Energy Use'!$C$20)</f>
        <v>11.65</v>
      </c>
      <c r="L21" s="940"/>
      <c r="M21" s="940"/>
      <c r="N21" s="885">
        <f t="shared" si="43"/>
        <v>839.04168776856193</v>
      </c>
      <c r="O21" s="883">
        <f t="shared" si="44"/>
        <v>469.58701469237423</v>
      </c>
      <c r="P21" s="883">
        <f t="shared" si="45"/>
        <v>1177.1789219438228</v>
      </c>
      <c r="Q21" s="883">
        <f t="shared" si="46"/>
        <v>5416.9535306780635</v>
      </c>
      <c r="R21" s="883">
        <f t="shared" si="47"/>
        <v>170.34700000000001</v>
      </c>
      <c r="S21" s="886">
        <f t="shared" si="48"/>
        <v>119.96955571260042</v>
      </c>
      <c r="T21" s="883">
        <f t="shared" si="7"/>
        <v>8193.0777107954218</v>
      </c>
      <c r="U21" s="887">
        <f>HLOOKUP($B$2,Factors!$J$12:$BE$27,Factors!$H27,FALSE)</f>
        <v>20.36</v>
      </c>
      <c r="V21" s="885">
        <f t="shared" si="49"/>
        <v>17.082888762967919</v>
      </c>
      <c r="W21" s="883">
        <f t="shared" si="50"/>
        <v>9.5607916191367384</v>
      </c>
      <c r="X21" s="883">
        <f t="shared" si="51"/>
        <v>23.967362850776233</v>
      </c>
      <c r="Y21" s="883">
        <f t="shared" si="52"/>
        <v>110.28917388460538</v>
      </c>
      <c r="Z21" s="883">
        <f t="shared" si="53"/>
        <v>3.4682649200000002</v>
      </c>
      <c r="AA21" s="883">
        <f t="shared" si="54"/>
        <v>2.4425801543085446</v>
      </c>
      <c r="AB21" s="883">
        <f t="shared" si="37"/>
        <v>166.8110621917948</v>
      </c>
      <c r="AC21" s="888">
        <f>Factors!E26</f>
        <v>1</v>
      </c>
      <c r="AD21" s="885">
        <f t="shared" si="55"/>
        <v>17.082888762967919</v>
      </c>
      <c r="AE21" s="883">
        <f t="shared" si="56"/>
        <v>9.5607916191367384</v>
      </c>
      <c r="AF21" s="883">
        <f t="shared" si="57"/>
        <v>23.967362850776233</v>
      </c>
      <c r="AG21" s="883">
        <f t="shared" si="58"/>
        <v>110.28917388460538</v>
      </c>
      <c r="AH21" s="883">
        <f t="shared" si="59"/>
        <v>3.4682649200000002</v>
      </c>
      <c r="AI21" s="883">
        <f t="shared" si="60"/>
        <v>2.4425801543085446</v>
      </c>
      <c r="AJ21" s="889">
        <f t="shared" si="9"/>
        <v>166.8110621917948</v>
      </c>
      <c r="AK21" s="885">
        <f t="shared" si="30"/>
        <v>62.63725879754903</v>
      </c>
      <c r="AL21" s="883">
        <f t="shared" si="31"/>
        <v>35.056235936834703</v>
      </c>
      <c r="AM21" s="883">
        <f t="shared" si="32"/>
        <v>87.880330452846181</v>
      </c>
      <c r="AN21" s="883">
        <f t="shared" si="33"/>
        <v>404.39363757688636</v>
      </c>
      <c r="AO21" s="883">
        <f t="shared" si="34"/>
        <v>12.716971373333333</v>
      </c>
      <c r="AP21" s="883">
        <f t="shared" si="35"/>
        <v>8.956127232464663</v>
      </c>
      <c r="AQ21" s="890">
        <f t="shared" si="38"/>
        <v>611.64056136991417</v>
      </c>
    </row>
    <row r="22" spans="1:43">
      <c r="A22" s="817"/>
      <c r="B22" s="860" t="s">
        <v>1623</v>
      </c>
      <c r="C22" s="883"/>
      <c r="D22" s="883"/>
      <c r="E22" s="883"/>
      <c r="F22" s="883">
        <f>HLOOKUP($B$2,'Consumption Input'!$E$5:$AQ$82,'Consumption Input'!$B52)</f>
        <v>3425.9859999999999</v>
      </c>
      <c r="G22" s="883"/>
      <c r="H22" s="883">
        <f>HLOOKUP($B$2,'US Territories'!$D$28:$Z$38,'US Territories'!$B32)</f>
        <v>99.874949635052999</v>
      </c>
      <c r="I22" s="883">
        <f t="shared" si="36"/>
        <v>3525.8609496350527</v>
      </c>
      <c r="J22" s="961">
        <f>HLOOKUP($B$2,IBFConsumption,'International Bunker Fuels'!$B$8)</f>
        <v>801.17289306002192</v>
      </c>
      <c r="K22" s="940"/>
      <c r="L22" s="940"/>
      <c r="M22" s="940"/>
      <c r="N22" s="885">
        <f t="shared" si="43"/>
        <v>0</v>
      </c>
      <c r="O22" s="883">
        <f t="shared" si="44"/>
        <v>0</v>
      </c>
      <c r="P22" s="883">
        <f t="shared" si="45"/>
        <v>0</v>
      </c>
      <c r="Q22" s="883">
        <f t="shared" si="46"/>
        <v>2624.8131069399778</v>
      </c>
      <c r="R22" s="883">
        <f t="shared" si="47"/>
        <v>0</v>
      </c>
      <c r="S22" s="886">
        <f t="shared" si="48"/>
        <v>99.874949635052999</v>
      </c>
      <c r="T22" s="883">
        <f t="shared" si="7"/>
        <v>2724.6880565750307</v>
      </c>
      <c r="U22" s="887">
        <f>HLOOKUP($B$2,Factors!$J$12:$Y$25,Factors!$H21)</f>
        <v>19.696969696969692</v>
      </c>
      <c r="V22" s="885">
        <f t="shared" si="49"/>
        <v>0</v>
      </c>
      <c r="W22" s="883">
        <f t="shared" si="50"/>
        <v>0</v>
      </c>
      <c r="X22" s="883">
        <f t="shared" si="51"/>
        <v>0</v>
      </c>
      <c r="Y22" s="883">
        <f t="shared" si="52"/>
        <v>51.700864227605614</v>
      </c>
      <c r="Z22" s="883">
        <f t="shared" si="53"/>
        <v>0</v>
      </c>
      <c r="AA22" s="883">
        <f t="shared" si="54"/>
        <v>1.9672338564480132</v>
      </c>
      <c r="AB22" s="883">
        <f t="shared" si="37"/>
        <v>53.668098084053625</v>
      </c>
      <c r="AC22" s="888">
        <f>Factors!E27</f>
        <v>1</v>
      </c>
      <c r="AD22" s="885">
        <f t="shared" si="55"/>
        <v>0</v>
      </c>
      <c r="AE22" s="883">
        <f t="shared" si="56"/>
        <v>0</v>
      </c>
      <c r="AF22" s="883">
        <f t="shared" si="57"/>
        <v>0</v>
      </c>
      <c r="AG22" s="883">
        <f t="shared" si="58"/>
        <v>51.700864227605614</v>
      </c>
      <c r="AH22" s="883">
        <f t="shared" si="59"/>
        <v>0</v>
      </c>
      <c r="AI22" s="883">
        <f t="shared" si="60"/>
        <v>1.9672338564480132</v>
      </c>
      <c r="AJ22" s="889">
        <f t="shared" si="9"/>
        <v>53.668098084053625</v>
      </c>
      <c r="AK22" s="885">
        <f t="shared" si="30"/>
        <v>0</v>
      </c>
      <c r="AL22" s="883">
        <f t="shared" si="31"/>
        <v>0</v>
      </c>
      <c r="AM22" s="883">
        <f t="shared" si="32"/>
        <v>0</v>
      </c>
      <c r="AN22" s="883">
        <f t="shared" si="33"/>
        <v>189.56983550122058</v>
      </c>
      <c r="AO22" s="883">
        <f t="shared" si="34"/>
        <v>0</v>
      </c>
      <c r="AP22" s="883">
        <f t="shared" si="35"/>
        <v>7.2131908069760478</v>
      </c>
      <c r="AQ22" s="890">
        <f t="shared" si="38"/>
        <v>196.78302630819664</v>
      </c>
    </row>
    <row r="23" spans="1:43">
      <c r="A23" s="817"/>
      <c r="B23" s="860" t="s">
        <v>1599</v>
      </c>
      <c r="C23" s="883">
        <f>HLOOKUP($B$2,'Consumption Input'!$E$5:$AQ$82,'Consumption Input'!$B10)</f>
        <v>95.084999999999994</v>
      </c>
      <c r="D23" s="883">
        <f>HLOOKUP($B$2,'Consumption Input'!$E$5:$AQ$82,'Consumption Input'!$B16)</f>
        <v>31.402999999999999</v>
      </c>
      <c r="E23" s="883">
        <f>HLOOKUP($B$2,'Consumption Input'!$E$5:$AQ$82,'Consumption Input'!$B29)</f>
        <v>23.222999999999999</v>
      </c>
      <c r="F23" s="883"/>
      <c r="G23" s="883"/>
      <c r="H23" s="883">
        <f>HLOOKUP($B$2,'US Territories'!$D$28:$Z$38,'US Territories'!$B33)</f>
        <v>0.88135270304794511</v>
      </c>
      <c r="I23" s="883">
        <f t="shared" si="36"/>
        <v>150.59235270304796</v>
      </c>
      <c r="J23" s="961"/>
      <c r="K23" s="940"/>
      <c r="L23" s="940"/>
      <c r="M23" s="940"/>
      <c r="N23" s="885">
        <f t="shared" si="43"/>
        <v>95.084999999999994</v>
      </c>
      <c r="O23" s="883">
        <f t="shared" si="44"/>
        <v>31.402999999999999</v>
      </c>
      <c r="P23" s="883">
        <f t="shared" si="45"/>
        <v>23.222999999999999</v>
      </c>
      <c r="Q23" s="883">
        <f t="shared" si="46"/>
        <v>0</v>
      </c>
      <c r="R23" s="883">
        <f t="shared" si="47"/>
        <v>0</v>
      </c>
      <c r="S23" s="886">
        <f t="shared" si="48"/>
        <v>0.88135270304794511</v>
      </c>
      <c r="T23" s="883">
        <f t="shared" si="7"/>
        <v>150.59235270304796</v>
      </c>
      <c r="U23" s="887">
        <f>Factors!D28</f>
        <v>19.964104564962931</v>
      </c>
      <c r="V23" s="885">
        <f t="shared" si="49"/>
        <v>1.8982868825595001</v>
      </c>
      <c r="W23" s="883">
        <f t="shared" si="50"/>
        <v>0.62693277565353089</v>
      </c>
      <c r="X23" s="883">
        <f t="shared" si="51"/>
        <v>0.46362640031213415</v>
      </c>
      <c r="Y23" s="883">
        <f t="shared" si="52"/>
        <v>0</v>
      </c>
      <c r="Z23" s="883">
        <f t="shared" si="53"/>
        <v>0</v>
      </c>
      <c r="AA23" s="883">
        <f t="shared" si="54"/>
        <v>1.7595417522261902E-2</v>
      </c>
      <c r="AB23" s="883">
        <f t="shared" si="37"/>
        <v>3.006441476047427</v>
      </c>
      <c r="AC23" s="888">
        <f>Factors!E28</f>
        <v>1</v>
      </c>
      <c r="AD23" s="885">
        <f t="shared" si="55"/>
        <v>1.8982868825595001</v>
      </c>
      <c r="AE23" s="883">
        <f t="shared" si="56"/>
        <v>0.62693277565353089</v>
      </c>
      <c r="AF23" s="883">
        <f t="shared" si="57"/>
        <v>0.46362640031213415</v>
      </c>
      <c r="AG23" s="883">
        <f t="shared" si="58"/>
        <v>0</v>
      </c>
      <c r="AH23" s="883">
        <f t="shared" si="59"/>
        <v>0</v>
      </c>
      <c r="AI23" s="883">
        <f t="shared" si="60"/>
        <v>1.7595417522261902E-2</v>
      </c>
      <c r="AJ23" s="889">
        <f t="shared" si="9"/>
        <v>3.006441476047427</v>
      </c>
      <c r="AK23" s="885">
        <f t="shared" si="30"/>
        <v>6.9603852360514997</v>
      </c>
      <c r="AL23" s="883">
        <f t="shared" si="31"/>
        <v>2.2987535107296133</v>
      </c>
      <c r="AM23" s="883">
        <f t="shared" si="32"/>
        <v>1.6999634678111584</v>
      </c>
      <c r="AN23" s="883">
        <f t="shared" si="33"/>
        <v>0</v>
      </c>
      <c r="AO23" s="883">
        <f t="shared" si="34"/>
        <v>0</v>
      </c>
      <c r="AP23" s="883">
        <f t="shared" si="35"/>
        <v>6.4516530914960304E-2</v>
      </c>
      <c r="AQ23" s="890">
        <f t="shared" si="38"/>
        <v>11.023618745507234</v>
      </c>
    </row>
    <row r="24" spans="1:43">
      <c r="A24" s="817"/>
      <c r="B24" s="860" t="s">
        <v>1600</v>
      </c>
      <c r="C24" s="883">
        <f>HLOOKUP($B$2,'Consumption Input'!$E$5:$AQ$82,'Consumption Input'!$B11)</f>
        <v>526.36699999999996</v>
      </c>
      <c r="D24" s="883">
        <f>HLOOKUP($B$2,'Consumption Input'!$E$5:$AQ$82,'Consumption Input'!$B17)</f>
        <v>142.863</v>
      </c>
      <c r="E24"/>
      <c r="F24" s="883">
        <f>HLOOKUP($B$2,'Consumption Input'!$E$5:$AQ$82,'Consumption Input'!$B53)</f>
        <v>13.738</v>
      </c>
      <c r="G24" s="883"/>
      <c r="H24"/>
      <c r="I24" s="883">
        <f>SUM(C24:H24)</f>
        <v>682.96800000000007</v>
      </c>
      <c r="J24" s="884"/>
      <c r="K24"/>
      <c r="L24" s="883"/>
      <c r="M24" s="883"/>
      <c r="N24" s="885">
        <f>C24</f>
        <v>526.36699999999996</v>
      </c>
      <c r="O24" s="883">
        <f t="shared" si="44"/>
        <v>142.863</v>
      </c>
      <c r="P24"/>
      <c r="Q24" s="883">
        <f t="shared" si="46"/>
        <v>13.738</v>
      </c>
      <c r="R24" s="883">
        <f t="shared" si="47"/>
        <v>0</v>
      </c>
      <c r="S24" s="1007"/>
      <c r="T24" s="883">
        <f t="shared" si="7"/>
        <v>682.96800000000007</v>
      </c>
      <c r="U24" s="1005">
        <f>HLOOKUP($B$2,Factors!$J$12:$BE$25,Factors!$H17,FALSE)</f>
        <v>17.146363636363635</v>
      </c>
      <c r="V24" s="885">
        <f>N24*$U24*TbtuToQBtu</f>
        <v>9.0252799881818166</v>
      </c>
      <c r="W24" s="883">
        <f>O24*$U24*TbtuToQBtu</f>
        <v>2.449580948181818</v>
      </c>
      <c r="X24"/>
      <c r="Y24" s="883">
        <f>Q24*$U24*TbtuToQBtu</f>
        <v>0.23555674363636359</v>
      </c>
      <c r="Z24" s="883">
        <f t="shared" ref="Z24" si="61">R24*$U24*TbtuToQBtu</f>
        <v>0</v>
      </c>
      <c r="AA24"/>
      <c r="AB24" s="883">
        <f>SUM(V24:AA24)</f>
        <v>11.710417679999999</v>
      </c>
      <c r="AC24" s="888">
        <f>Factors!E30</f>
        <v>1</v>
      </c>
      <c r="AD24" s="885">
        <f>V24*$AC24</f>
        <v>9.0252799881818166</v>
      </c>
      <c r="AE24" s="883">
        <f t="shared" si="56"/>
        <v>2.449580948181818</v>
      </c>
      <c r="AF24"/>
      <c r="AG24" s="883">
        <f t="shared" si="56"/>
        <v>0.23555674363636359</v>
      </c>
      <c r="AH24" s="883">
        <f t="shared" si="56"/>
        <v>0</v>
      </c>
      <c r="AI24"/>
      <c r="AJ24" s="889">
        <f t="shared" si="9"/>
        <v>11.710417679999999</v>
      </c>
      <c r="AK24" s="885">
        <f>AD24*CtoCO2</f>
        <v>33.092693289999993</v>
      </c>
      <c r="AL24" s="883">
        <f t="shared" ref="AL24" si="62">AE24*CtoCO2</f>
        <v>8.9817968099999987</v>
      </c>
      <c r="AN24" s="883">
        <f t="shared" ref="AN24" si="63">AG24*CtoCO2</f>
        <v>0.86370805999999978</v>
      </c>
      <c r="AO24" s="883">
        <f t="shared" ref="AO24" si="64">AH24*CtoCO2</f>
        <v>0</v>
      </c>
      <c r="AQ24" s="890">
        <f t="shared" si="38"/>
        <v>42.938198159999992</v>
      </c>
    </row>
    <row r="25" spans="1:43">
      <c r="A25" s="817"/>
      <c r="B25" s="860" t="s">
        <v>1609</v>
      </c>
      <c r="C25" s="883"/>
      <c r="D25" s="883"/>
      <c r="E25" s="883">
        <f>HLOOKUP($B$2,'Consumption Input'!$E$5:$AQ$82,'Consumption Input'!$B30)</f>
        <v>1947.4696663549998</v>
      </c>
      <c r="F25" s="883"/>
      <c r="G25" s="883"/>
      <c r="H25" s="883">
        <f>HLOOKUP($B$2,'US Territories'!$D$28:$AO$38,'US Territories'!$B34)</f>
        <v>6.9277042441294503</v>
      </c>
      <c r="I25" s="883">
        <f>SUM(C25:H25)</f>
        <v>1954.3973705991293</v>
      </c>
      <c r="J25" s="884"/>
      <c r="K25" s="883">
        <f>HLOOKUP($B$2,NEUConsumption,'Non-Energy Use'!$C$11)</f>
        <v>1642.346635941163</v>
      </c>
      <c r="L25" s="883"/>
      <c r="M25" s="883"/>
      <c r="N25" s="885"/>
      <c r="O25" s="883"/>
      <c r="P25" s="883">
        <f>E25-K25</f>
        <v>305.12303041383689</v>
      </c>
      <c r="Q25" s="883"/>
      <c r="R25" s="883"/>
      <c r="S25" s="886">
        <f>H25-M25</f>
        <v>6.9277042441294503</v>
      </c>
      <c r="T25" s="883">
        <f t="shared" si="7"/>
        <v>312.05073465796636</v>
      </c>
      <c r="U25" s="1005">
        <f>HLOOKUP($B$2,Factors!$J$12:$BE$25,Factors!$H18,FALSE)</f>
        <v>17.531675652497988</v>
      </c>
      <c r="V25" s="885"/>
      <c r="W25" s="883"/>
      <c r="X25" s="883">
        <f>P25*$U25*TbtuToQBtu</f>
        <v>5.3493180033226677</v>
      </c>
      <c r="Y25" s="883"/>
      <c r="Z25" s="883"/>
      <c r="AA25" s="883">
        <f>S25*$U25*TbtuToQBtu</f>
        <v>0.12145426382451126</v>
      </c>
      <c r="AB25" s="883">
        <f>SUM(V25:AA25)</f>
        <v>5.4707722671471792</v>
      </c>
      <c r="AC25" s="888">
        <f>Factors!E31</f>
        <v>1</v>
      </c>
      <c r="AD25" s="885"/>
      <c r="AE25" s="883"/>
      <c r="AF25" s="883">
        <f>X25*$AC25</f>
        <v>5.3493180033226677</v>
      </c>
      <c r="AG25" s="883"/>
      <c r="AH25" s="883"/>
      <c r="AI25" s="883">
        <f>AA25*$AC25</f>
        <v>0.12145426382451126</v>
      </c>
      <c r="AJ25" s="889">
        <f t="shared" si="9"/>
        <v>5.4707722671471792</v>
      </c>
      <c r="AK25" s="885"/>
      <c r="AL25" s="883"/>
      <c r="AM25" s="883">
        <f>AF25*CtoCO2</f>
        <v>19.614166012183116</v>
      </c>
      <c r="AN25" s="883"/>
      <c r="AO25" s="883"/>
      <c r="AP25" s="883">
        <f>AI25*CtoCO2</f>
        <v>0.44533230068987462</v>
      </c>
      <c r="AQ25" s="890">
        <f t="shared" si="38"/>
        <v>20.059498312872989</v>
      </c>
    </row>
    <row r="26" spans="1:43">
      <c r="A26" s="817"/>
      <c r="B26" s="860" t="s">
        <v>1610</v>
      </c>
      <c r="C26" s="883"/>
      <c r="D26" s="883"/>
      <c r="E26" s="883">
        <f>HLOOKUP($B$2,'Consumption Input'!$E$5:$AQ$82,'Consumption Input'!$B31)</f>
        <v>173.99700000000001</v>
      </c>
      <c r="F26" s="883">
        <f>HLOOKUP($B$2,'Consumption Input'!$E$5:$AQ$82,'Consumption Input'!$B54)</f>
        <v>164.33899999999997</v>
      </c>
      <c r="G26" s="883"/>
      <c r="H26" s="883">
        <f>HLOOKUP($B$2,'US Territories'!$D$28:$Z$38,'US Territories'!$B35)</f>
        <v>2.514626553071917</v>
      </c>
      <c r="I26" s="883">
        <f t="shared" si="36"/>
        <v>340.85062655307195</v>
      </c>
      <c r="J26" s="961"/>
      <c r="K26" s="940">
        <f>HLOOKUP($B$2,NEUConsumption,'Non-Energy Use'!$C$12)</f>
        <v>173.99700000000001</v>
      </c>
      <c r="L26" s="940">
        <f>HLOOKUP($B$2,NEUConsumption,'Non-Energy Use'!$C$24)</f>
        <v>164.33899999999997</v>
      </c>
      <c r="M26" s="940">
        <f>HLOOKUP($B$2,NEUConsumption,'Non-Energy Use'!$C$26)</f>
        <v>2.514626553071917</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7"/>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48.024075031754613</v>
      </c>
      <c r="E27" s="883">
        <f>HLOOKUP($B$2,'Consumption Input'!$E$5:$AQ$82,'Consumption Input'!$B32)</f>
        <v>378.51501245829439</v>
      </c>
      <c r="F27" s="883">
        <f>HLOOKUP($B$2,'Consumption Input'!$E$5:$AQ$82,'Consumption Input'!$B55)</f>
        <v>15770.776062349951</v>
      </c>
      <c r="G27" s="883"/>
      <c r="H27" s="883">
        <f>HLOOKUP($B$2,'US Territories'!$D$28:$Z$38,'US Territories'!$B36)</f>
        <v>187.73799907013219</v>
      </c>
      <c r="I27" s="883">
        <f t="shared" si="36"/>
        <v>16385.053148910134</v>
      </c>
      <c r="J27" s="961"/>
      <c r="K27" s="940"/>
      <c r="L27" s="940"/>
      <c r="M27" s="940"/>
      <c r="N27" s="885">
        <f t="shared" si="43"/>
        <v>0</v>
      </c>
      <c r="O27" s="883">
        <f t="shared" si="44"/>
        <v>48.024075031754613</v>
      </c>
      <c r="P27" s="883">
        <f t="shared" si="45"/>
        <v>378.51501245829439</v>
      </c>
      <c r="Q27" s="883">
        <f t="shared" si="46"/>
        <v>15770.776062349951</v>
      </c>
      <c r="R27" s="883">
        <f t="shared" si="47"/>
        <v>0</v>
      </c>
      <c r="S27" s="886">
        <f t="shared" si="48"/>
        <v>187.73799907013219</v>
      </c>
      <c r="T27" s="883">
        <f t="shared" si="7"/>
        <v>16385.053148910134</v>
      </c>
      <c r="U27" s="887">
        <f>HLOOKUP($B$2,Factors!$J$12:$Y$25,Factors!$H20)</f>
        <v>19.34</v>
      </c>
      <c r="V27" s="885">
        <f t="shared" si="49"/>
        <v>0</v>
      </c>
      <c r="W27" s="883">
        <f t="shared" si="50"/>
        <v>0.92878561111413427</v>
      </c>
      <c r="X27" s="883">
        <f t="shared" si="51"/>
        <v>7.3204803409434138</v>
      </c>
      <c r="Y27" s="883">
        <f t="shared" si="52"/>
        <v>305.00680904584806</v>
      </c>
      <c r="Z27" s="883">
        <f t="shared" si="53"/>
        <v>0</v>
      </c>
      <c r="AA27" s="883">
        <f t="shared" si="54"/>
        <v>3.6308529020163567</v>
      </c>
      <c r="AB27" s="883">
        <f t="shared" si="37"/>
        <v>316.88692789992194</v>
      </c>
      <c r="AC27" s="888">
        <f>Factors!E34</f>
        <v>1</v>
      </c>
      <c r="AD27" s="885">
        <f t="shared" si="55"/>
        <v>0</v>
      </c>
      <c r="AE27" s="883">
        <f t="shared" si="56"/>
        <v>0.92878561111413427</v>
      </c>
      <c r="AF27" s="883">
        <f t="shared" si="57"/>
        <v>7.3204803409434138</v>
      </c>
      <c r="AG27" s="883">
        <f>Y27*$AC44</f>
        <v>305.00680904584806</v>
      </c>
      <c r="AH27" s="883">
        <f t="shared" si="59"/>
        <v>0</v>
      </c>
      <c r="AI27" s="883">
        <f t="shared" si="60"/>
        <v>3.6308529020163567</v>
      </c>
      <c r="AJ27" s="889">
        <f t="shared" si="9"/>
        <v>316.88692789992194</v>
      </c>
      <c r="AK27" s="885">
        <f t="shared" si="30"/>
        <v>0</v>
      </c>
      <c r="AL27" s="883">
        <f t="shared" si="31"/>
        <v>3.4055472407518255</v>
      </c>
      <c r="AM27" s="883">
        <f t="shared" si="32"/>
        <v>26.841761250125849</v>
      </c>
      <c r="AN27" s="883">
        <f t="shared" si="33"/>
        <v>1118.3582998347761</v>
      </c>
      <c r="AO27" s="883">
        <f t="shared" si="34"/>
        <v>0</v>
      </c>
      <c r="AP27" s="883">
        <f t="shared" si="35"/>
        <v>13.313127307393307</v>
      </c>
      <c r="AQ27" s="890">
        <f t="shared" si="38"/>
        <v>1161.9187356330472</v>
      </c>
    </row>
    <row r="28" spans="1:43">
      <c r="A28" s="817"/>
      <c r="B28" s="860" t="s">
        <v>1602</v>
      </c>
      <c r="C28" s="883"/>
      <c r="D28" s="883">
        <f>HLOOKUP($B$2,'Consumption Input'!$E$5:$AQ$82,'Consumption Input'!$B19)</f>
        <v>69.856999999999999</v>
      </c>
      <c r="E28" s="883">
        <f>HLOOKUP($B$2,'Consumption Input'!$E$5:$AQ$82,'Consumption Input'!$B33)</f>
        <v>156.09950000000001</v>
      </c>
      <c r="F28" s="883">
        <f>HLOOKUP($B$2,'Consumption Input'!$E$5:$AQ$82,'Consumption Input'!$B56)</f>
        <v>585.53399999999999</v>
      </c>
      <c r="G28" s="883">
        <f>HLOOKUP($B$2,'Consumption Input'!$E$5:$AQ$82,'Consumption Input'!$B61)</f>
        <v>1002.8029999999999</v>
      </c>
      <c r="H28" s="883">
        <f>HLOOKUP($B$2,'US Territories'!$D$28:$Z$38,'US Territories'!$B37)</f>
        <v>237.69043838095354</v>
      </c>
      <c r="I28" s="883">
        <f t="shared" si="36"/>
        <v>2051.9839383809531</v>
      </c>
      <c r="J28" s="961">
        <f>HLOOKUP($B$2,IBFConsumption,'International Bunker Fuels'!$B$9)</f>
        <v>426.03679463999998</v>
      </c>
      <c r="K28" s="940"/>
      <c r="L28" s="940"/>
      <c r="M28" s="940"/>
      <c r="N28" s="885">
        <f t="shared" si="43"/>
        <v>0</v>
      </c>
      <c r="O28" s="883">
        <f t="shared" si="44"/>
        <v>69.856999999999999</v>
      </c>
      <c r="P28" s="883">
        <f t="shared" si="45"/>
        <v>156.09950000000001</v>
      </c>
      <c r="Q28" s="883">
        <f t="shared" si="46"/>
        <v>159.49720536000001</v>
      </c>
      <c r="R28" s="883">
        <f t="shared" si="47"/>
        <v>1002.8029999999999</v>
      </c>
      <c r="S28" s="886">
        <f t="shared" si="48"/>
        <v>237.69043838095354</v>
      </c>
      <c r="T28" s="883">
        <f t="shared" si="7"/>
        <v>1625.9471437409534</v>
      </c>
      <c r="U28" s="887">
        <f>Factors!D36</f>
        <v>20.48</v>
      </c>
      <c r="V28" s="885">
        <f t="shared" si="49"/>
        <v>0</v>
      </c>
      <c r="W28" s="883">
        <f t="shared" si="50"/>
        <v>1.4306713600000001</v>
      </c>
      <c r="X28" s="883">
        <f t="shared" si="51"/>
        <v>3.1969177600000003</v>
      </c>
      <c r="Y28" s="883">
        <f t="shared" si="52"/>
        <v>3.2665027657728003</v>
      </c>
      <c r="Z28" s="883">
        <f t="shared" si="53"/>
        <v>20.537405440000001</v>
      </c>
      <c r="AA28" s="883">
        <f t="shared" si="54"/>
        <v>4.8679001780419284</v>
      </c>
      <c r="AB28" s="883">
        <f t="shared" si="37"/>
        <v>33.299397503814731</v>
      </c>
      <c r="AC28" s="888">
        <f>Factors!E36</f>
        <v>1</v>
      </c>
      <c r="AD28" s="885">
        <f t="shared" si="55"/>
        <v>0</v>
      </c>
      <c r="AE28" s="883">
        <f t="shared" si="56"/>
        <v>1.4306713600000001</v>
      </c>
      <c r="AF28" s="883">
        <f t="shared" si="57"/>
        <v>3.1969177600000003</v>
      </c>
      <c r="AG28" s="883">
        <f t="shared" si="58"/>
        <v>3.2665027657728003</v>
      </c>
      <c r="AH28" s="883">
        <f t="shared" si="59"/>
        <v>20.537405440000001</v>
      </c>
      <c r="AI28" s="883">
        <f t="shared" si="60"/>
        <v>4.8679001780419284</v>
      </c>
      <c r="AJ28" s="889">
        <f t="shared" si="9"/>
        <v>33.299397503814731</v>
      </c>
      <c r="AK28" s="885">
        <f t="shared" si="30"/>
        <v>0</v>
      </c>
      <c r="AL28" s="883">
        <f t="shared" si="31"/>
        <v>5.2457949866666667</v>
      </c>
      <c r="AM28" s="883">
        <f t="shared" si="32"/>
        <v>11.722031786666667</v>
      </c>
      <c r="AN28" s="883">
        <f t="shared" si="33"/>
        <v>11.977176807833601</v>
      </c>
      <c r="AO28" s="883">
        <f t="shared" si="34"/>
        <v>75.303819946666664</v>
      </c>
      <c r="AP28" s="883">
        <f t="shared" si="35"/>
        <v>17.84896731948707</v>
      </c>
      <c r="AQ28" s="890">
        <f t="shared" si="38"/>
        <v>122.09779084732067</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7"/>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6.0727439999999993</v>
      </c>
      <c r="F30" s="883"/>
      <c r="G30" s="883"/>
      <c r="H30" s="883"/>
      <c r="I30" s="883">
        <f t="shared" si="36"/>
        <v>6.0727439999999993</v>
      </c>
      <c r="J30" s="961"/>
      <c r="K30" s="940"/>
      <c r="L30" s="940"/>
      <c r="M30" s="940"/>
      <c r="N30" s="885">
        <f t="shared" si="43"/>
        <v>0</v>
      </c>
      <c r="O30" s="883">
        <f t="shared" si="44"/>
        <v>0</v>
      </c>
      <c r="P30" s="883">
        <f t="shared" si="45"/>
        <v>6.0727439999999993</v>
      </c>
      <c r="Q30" s="883">
        <f t="shared" si="46"/>
        <v>0</v>
      </c>
      <c r="R30" s="883">
        <f t="shared" si="47"/>
        <v>0</v>
      </c>
      <c r="S30" s="886">
        <f t="shared" si="48"/>
        <v>0</v>
      </c>
      <c r="T30" s="883">
        <f t="shared" si="7"/>
        <v>6.0727439999999993</v>
      </c>
      <c r="U30" s="887">
        <f>Factors!D39</f>
        <v>18.87</v>
      </c>
      <c r="V30" s="885">
        <f t="shared" si="49"/>
        <v>0</v>
      </c>
      <c r="W30" s="883">
        <f t="shared" si="50"/>
        <v>0</v>
      </c>
      <c r="X30" s="883">
        <f t="shared" si="51"/>
        <v>0.11459267928</v>
      </c>
      <c r="Y30" s="883">
        <f t="shared" si="52"/>
        <v>0</v>
      </c>
      <c r="Z30" s="883">
        <f t="shared" si="53"/>
        <v>0</v>
      </c>
      <c r="AA30" s="883">
        <f t="shared" si="54"/>
        <v>0</v>
      </c>
      <c r="AB30" s="883">
        <f t="shared" si="37"/>
        <v>0.11459267928</v>
      </c>
      <c r="AC30" s="888">
        <f>Factors!E39</f>
        <v>1</v>
      </c>
      <c r="AD30" s="885">
        <f t="shared" si="55"/>
        <v>0</v>
      </c>
      <c r="AE30" s="883">
        <f t="shared" si="56"/>
        <v>0</v>
      </c>
      <c r="AF30" s="883">
        <f t="shared" si="57"/>
        <v>0.11459267928</v>
      </c>
      <c r="AG30" s="883">
        <f t="shared" si="58"/>
        <v>0</v>
      </c>
      <c r="AH30" s="883">
        <f t="shared" si="59"/>
        <v>0</v>
      </c>
      <c r="AI30" s="883">
        <f t="shared" si="60"/>
        <v>0</v>
      </c>
      <c r="AJ30" s="889">
        <f t="shared" si="9"/>
        <v>0.11459267928</v>
      </c>
      <c r="AK30" s="885">
        <f t="shared" si="30"/>
        <v>0</v>
      </c>
      <c r="AL30" s="883">
        <f t="shared" si="31"/>
        <v>0</v>
      </c>
      <c r="AM30" s="883">
        <f t="shared" si="32"/>
        <v>0.42017315735999999</v>
      </c>
      <c r="AN30" s="883">
        <f t="shared" si="33"/>
        <v>0</v>
      </c>
      <c r="AO30" s="883">
        <f t="shared" si="34"/>
        <v>0</v>
      </c>
      <c r="AP30" s="883">
        <f t="shared" si="35"/>
        <v>0</v>
      </c>
      <c r="AQ30" s="890">
        <f t="shared" si="38"/>
        <v>0.42017315735999999</v>
      </c>
    </row>
    <row r="31" spans="1:43">
      <c r="A31" s="817"/>
      <c r="B31" s="865" t="s">
        <v>1612</v>
      </c>
      <c r="C31" s="883"/>
      <c r="D31" s="883"/>
      <c r="E31" s="883">
        <f>HLOOKUP($B$2,'Consumption Input'!$E$5:$AQ$82,'Consumption Input'!$B36)</f>
        <v>0</v>
      </c>
      <c r="F31" s="883"/>
      <c r="G31" s="883"/>
      <c r="H31" s="883"/>
      <c r="I31" s="883">
        <f t="shared" si="36"/>
        <v>0</v>
      </c>
      <c r="J31" s="961"/>
      <c r="K31" s="940"/>
      <c r="L31" s="940"/>
      <c r="M31" s="940"/>
      <c r="N31" s="885">
        <f t="shared" si="43"/>
        <v>0</v>
      </c>
      <c r="O31" s="883">
        <f t="shared" si="44"/>
        <v>0</v>
      </c>
      <c r="P31" s="883">
        <f t="shared" si="45"/>
        <v>0</v>
      </c>
      <c r="Q31" s="883">
        <f t="shared" si="46"/>
        <v>0</v>
      </c>
      <c r="R31" s="883">
        <f t="shared" si="47"/>
        <v>0</v>
      </c>
      <c r="S31" s="886">
        <f t="shared" si="48"/>
        <v>0</v>
      </c>
      <c r="T31" s="883">
        <f t="shared" si="7"/>
        <v>0</v>
      </c>
      <c r="U31" s="887">
        <f>HLOOKUP($B$2,Factors!$J$12:$Y$25,Factors!$H25)</f>
        <v>20.267087291379308</v>
      </c>
      <c r="V31" s="885">
        <f t="shared" si="49"/>
        <v>0</v>
      </c>
      <c r="W31" s="883">
        <f t="shared" si="50"/>
        <v>0</v>
      </c>
      <c r="X31" s="883">
        <f t="shared" si="51"/>
        <v>0</v>
      </c>
      <c r="Y31" s="883">
        <f t="shared" si="52"/>
        <v>0</v>
      </c>
      <c r="Z31" s="883">
        <f t="shared" si="53"/>
        <v>0</v>
      </c>
      <c r="AA31" s="883">
        <f t="shared" si="54"/>
        <v>0</v>
      </c>
      <c r="AB31" s="883">
        <f t="shared" si="37"/>
        <v>0</v>
      </c>
      <c r="AC31" s="888">
        <f>Factors!E40</f>
        <v>1</v>
      </c>
      <c r="AD31" s="885">
        <f t="shared" si="55"/>
        <v>0</v>
      </c>
      <c r="AE31" s="883">
        <f t="shared" si="56"/>
        <v>0</v>
      </c>
      <c r="AF31" s="883">
        <f t="shared" si="57"/>
        <v>0</v>
      </c>
      <c r="AG31" s="883">
        <f t="shared" si="58"/>
        <v>0</v>
      </c>
      <c r="AH31" s="883">
        <f t="shared" si="59"/>
        <v>0</v>
      </c>
      <c r="AI31" s="883">
        <f t="shared" si="60"/>
        <v>0</v>
      </c>
      <c r="AJ31" s="889">
        <f t="shared" si="9"/>
        <v>0</v>
      </c>
      <c r="AK31" s="885">
        <f t="shared" si="30"/>
        <v>0</v>
      </c>
      <c r="AL31" s="883">
        <f t="shared" si="31"/>
        <v>0</v>
      </c>
      <c r="AM31" s="883">
        <f t="shared" si="32"/>
        <v>0</v>
      </c>
      <c r="AN31" s="883">
        <f t="shared" si="33"/>
        <v>0</v>
      </c>
      <c r="AO31" s="883">
        <f t="shared" si="34"/>
        <v>0</v>
      </c>
      <c r="AP31" s="883">
        <f t="shared" si="35"/>
        <v>0</v>
      </c>
      <c r="AQ31" s="890">
        <f t="shared" si="38"/>
        <v>0</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887">
        <f>HLOOKUP($B$2,Factors!$J$12:$Y$25,Factors!$H22)</f>
        <v>19.341164262812889</v>
      </c>
      <c r="V32" s="885">
        <f t="shared" si="49"/>
        <v>0</v>
      </c>
      <c r="W32" s="883">
        <f t="shared" si="50"/>
        <v>0</v>
      </c>
      <c r="X32" s="883">
        <f t="shared" si="51"/>
        <v>0</v>
      </c>
      <c r="Y32" s="883">
        <f t="shared" si="52"/>
        <v>0</v>
      </c>
      <c r="Z32" s="883">
        <f t="shared" si="53"/>
        <v>0</v>
      </c>
      <c r="AA32" s="883">
        <f t="shared" si="54"/>
        <v>0</v>
      </c>
      <c r="AB32" s="883">
        <f t="shared" si="37"/>
        <v>0</v>
      </c>
      <c r="AC32" s="888">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30"/>
        <v>0</v>
      </c>
      <c r="AL32" s="883">
        <f t="shared" si="31"/>
        <v>0</v>
      </c>
      <c r="AM32" s="883">
        <f t="shared" si="32"/>
        <v>0</v>
      </c>
      <c r="AN32" s="883">
        <f t="shared" si="33"/>
        <v>0</v>
      </c>
      <c r="AO32" s="883">
        <f t="shared" si="34"/>
        <v>0</v>
      </c>
      <c r="AP32" s="883">
        <f t="shared" si="35"/>
        <v>0</v>
      </c>
      <c r="AQ32" s="890">
        <f t="shared" si="38"/>
        <v>0</v>
      </c>
    </row>
    <row r="33" spans="1:43">
      <c r="A33" s="817"/>
      <c r="B33" s="865" t="s">
        <v>1739</v>
      </c>
      <c r="C33" s="883"/>
      <c r="D33" s="883"/>
      <c r="E33" s="883">
        <f>HLOOKUP($B$2,'Consumption Input'!$E$5:$AQ$82,'Consumption Input'!$B38)</f>
        <v>124.9038</v>
      </c>
      <c r="F33" s="883"/>
      <c r="G33" s="883"/>
      <c r="H33" s="883">
        <f>HLOOKUP($B$2,'US Territories'!$D$28:$Z$38,'US Territories'!$B$38)</f>
        <v>82.998752550000162</v>
      </c>
      <c r="I33" s="883">
        <f t="shared" si="36"/>
        <v>207.90255255000017</v>
      </c>
      <c r="J33" s="961"/>
      <c r="K33" s="940">
        <f>HLOOKUP($B$2,NEUConsumption,'Non-Energy Use'!C22)</f>
        <v>124.9038</v>
      </c>
      <c r="L33" s="940"/>
      <c r="M33" s="940">
        <f>HLOOKUP($B$2,NEUConsumption,'Non-Energy Use'!$C$27)</f>
        <v>82.998752550000162</v>
      </c>
      <c r="N33" s="885">
        <f t="shared" si="43"/>
        <v>0</v>
      </c>
      <c r="O33" s="883">
        <f t="shared" si="44"/>
        <v>0</v>
      </c>
      <c r="P33" s="883">
        <f t="shared" si="45"/>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7"/>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493.71609599999999</v>
      </c>
      <c r="F34" s="883"/>
      <c r="G34" s="883"/>
      <c r="H34" s="883"/>
      <c r="I34" s="883">
        <f t="shared" si="36"/>
        <v>493.71609599999999</v>
      </c>
      <c r="J34" s="961"/>
      <c r="K34" s="940">
        <f>HLOOKUP($B$2,NEUConsumption,'Non-Energy Use'!C14)</f>
        <v>493.71609599999999</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7"/>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662.45394999999996</v>
      </c>
      <c r="F35" s="883"/>
      <c r="G35" s="883"/>
      <c r="H35" s="883"/>
      <c r="I35" s="883">
        <f t="shared" si="36"/>
        <v>662.45394999999996</v>
      </c>
      <c r="J35" s="961"/>
      <c r="K35" s="940">
        <f>HLOOKUP($B$2,NEUConsumption,'Non-Energy Use'!$C$15)</f>
        <v>662.45394999999996</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7"/>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7"/>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0.19</v>
      </c>
      <c r="E37" s="883">
        <f>HLOOKUP($B$2,'Consumption Input'!$E$5:$AQ$82,'Consumption Input'!$B42)</f>
        <v>857.57500000000005</v>
      </c>
      <c r="F37" s="883"/>
      <c r="G37" s="883">
        <f>HLOOKUP($B$2,'Consumption Input'!$E$5:$AQ$82,'Consumption Input'!$B63)</f>
        <v>103.226</v>
      </c>
      <c r="H37" s="883"/>
      <c r="I37" s="883">
        <f t="shared" si="36"/>
        <v>960.9910000000001</v>
      </c>
      <c r="J37" s="961"/>
      <c r="K37" s="940">
        <f>HLOOKUP($B$2,NEUConsumption,'Non-Energy Use'!$C$17)</f>
        <v>174.28643426774994</v>
      </c>
      <c r="L37" s="940"/>
      <c r="M37" s="940"/>
      <c r="N37" s="885">
        <f t="shared" si="43"/>
        <v>0</v>
      </c>
      <c r="O37" s="883">
        <f t="shared" si="44"/>
        <v>0.19</v>
      </c>
      <c r="P37" s="883">
        <f t="shared" si="45"/>
        <v>683.28856573225016</v>
      </c>
      <c r="Q37" s="883">
        <f t="shared" si="46"/>
        <v>0</v>
      </c>
      <c r="R37" s="883">
        <f t="shared" si="47"/>
        <v>103.226</v>
      </c>
      <c r="S37" s="886">
        <f t="shared" si="48"/>
        <v>0</v>
      </c>
      <c r="T37" s="883">
        <f t="shared" si="7"/>
        <v>786.70456573225022</v>
      </c>
      <c r="U37" s="887">
        <f>Factors!D48</f>
        <v>27.84770010865628</v>
      </c>
      <c r="V37" s="885">
        <f t="shared" si="49"/>
        <v>0</v>
      </c>
      <c r="W37" s="883">
        <f t="shared" si="50"/>
        <v>5.2910630206446938E-3</v>
      </c>
      <c r="X37" s="883">
        <f t="shared" si="51"/>
        <v>19.028015066185578</v>
      </c>
      <c r="Y37" s="883">
        <f t="shared" si="52"/>
        <v>0</v>
      </c>
      <c r="Z37" s="883">
        <f t="shared" si="53"/>
        <v>2.8746066914161532</v>
      </c>
      <c r="AA37" s="883">
        <f t="shared" si="54"/>
        <v>0</v>
      </c>
      <c r="AB37" s="883">
        <f t="shared" si="37"/>
        <v>21.907912820622379</v>
      </c>
      <c r="AC37" s="888">
        <f>Factors!E48</f>
        <v>1</v>
      </c>
      <c r="AD37" s="885">
        <f t="shared" si="55"/>
        <v>0</v>
      </c>
      <c r="AE37" s="883">
        <f t="shared" si="56"/>
        <v>5.2910630206446938E-3</v>
      </c>
      <c r="AF37" s="883">
        <f t="shared" si="57"/>
        <v>19.028015066185578</v>
      </c>
      <c r="AG37" s="883">
        <f t="shared" si="58"/>
        <v>0</v>
      </c>
      <c r="AH37" s="883">
        <f t="shared" si="59"/>
        <v>2.8746066914161532</v>
      </c>
      <c r="AI37" s="883">
        <f t="shared" si="60"/>
        <v>0</v>
      </c>
      <c r="AJ37" s="889">
        <f t="shared" si="9"/>
        <v>21.907912820622379</v>
      </c>
      <c r="AK37" s="885">
        <f t="shared" si="30"/>
        <v>0</v>
      </c>
      <c r="AL37" s="883">
        <f t="shared" si="31"/>
        <v>1.9400564409030544E-2</v>
      </c>
      <c r="AM37" s="883">
        <f t="shared" si="32"/>
        <v>69.769388576013782</v>
      </c>
      <c r="AN37" s="883">
        <f t="shared" si="33"/>
        <v>0</v>
      </c>
      <c r="AO37" s="883">
        <f t="shared" si="34"/>
        <v>10.540224535192561</v>
      </c>
      <c r="AP37" s="883">
        <f t="shared" si="35"/>
        <v>0</v>
      </c>
      <c r="AQ37" s="890">
        <f t="shared" si="38"/>
        <v>80.329013675615371</v>
      </c>
    </row>
    <row r="38" spans="1:43">
      <c r="A38" s="817"/>
      <c r="B38" s="865" t="s">
        <v>1618</v>
      </c>
      <c r="C38" s="883"/>
      <c r="D38" s="883"/>
      <c r="E38" s="883">
        <f>HLOOKUP($B$2,'Consumption Input'!$E$5:$AQ$82,'Consumption Input'!$B43)</f>
        <v>1466.5920000000001</v>
      </c>
      <c r="F38" s="883"/>
      <c r="G38" s="883"/>
      <c r="H38" s="883"/>
      <c r="I38" s="883">
        <f t="shared" si="36"/>
        <v>1466.5920000000001</v>
      </c>
      <c r="J38" s="961"/>
      <c r="K38" s="940">
        <f>HLOOKUP($B$2,NEUConsumption,'Non-Energy Use'!$C$16)</f>
        <v>49.265999999999934</v>
      </c>
      <c r="L38" s="940"/>
      <c r="M38" s="940"/>
      <c r="N38" s="885">
        <f t="shared" si="43"/>
        <v>0</v>
      </c>
      <c r="O38" s="883">
        <f t="shared" si="44"/>
        <v>0</v>
      </c>
      <c r="P38" s="883">
        <f t="shared" si="45"/>
        <v>1417.3260000000002</v>
      </c>
      <c r="Q38" s="883">
        <f t="shared" si="46"/>
        <v>0</v>
      </c>
      <c r="R38" s="883">
        <f t="shared" si="47"/>
        <v>0</v>
      </c>
      <c r="S38" s="886">
        <f t="shared" si="48"/>
        <v>0</v>
      </c>
      <c r="T38" s="883">
        <f t="shared" si="7"/>
        <v>1417.3260000000002</v>
      </c>
      <c r="U38" s="887">
        <f>Factors!D51</f>
        <v>18.195454545454545</v>
      </c>
      <c r="V38" s="885">
        <f t="shared" si="49"/>
        <v>0</v>
      </c>
      <c r="W38" s="883">
        <f t="shared" si="50"/>
        <v>0</v>
      </c>
      <c r="X38" s="883">
        <f t="shared" si="51"/>
        <v>25.788890809090915</v>
      </c>
      <c r="Y38" s="883">
        <f t="shared" si="52"/>
        <v>0</v>
      </c>
      <c r="Z38" s="883">
        <f t="shared" si="53"/>
        <v>0</v>
      </c>
      <c r="AA38" s="883">
        <f t="shared" si="54"/>
        <v>0</v>
      </c>
      <c r="AB38" s="883">
        <f t="shared" si="37"/>
        <v>25.788890809090915</v>
      </c>
      <c r="AC38" s="888">
        <f>Factors!E51</f>
        <v>1</v>
      </c>
      <c r="AD38" s="885">
        <f t="shared" si="55"/>
        <v>0</v>
      </c>
      <c r="AE38" s="883">
        <f t="shared" si="56"/>
        <v>0</v>
      </c>
      <c r="AF38" s="883">
        <f t="shared" si="57"/>
        <v>25.788890809090915</v>
      </c>
      <c r="AG38" s="883">
        <f t="shared" si="58"/>
        <v>0</v>
      </c>
      <c r="AH38" s="883">
        <f t="shared" si="59"/>
        <v>0</v>
      </c>
      <c r="AI38" s="883">
        <f t="shared" si="60"/>
        <v>0</v>
      </c>
      <c r="AJ38" s="889">
        <f t="shared" si="9"/>
        <v>25.788890809090915</v>
      </c>
      <c r="AK38" s="885">
        <f t="shared" si="30"/>
        <v>0</v>
      </c>
      <c r="AL38" s="883">
        <f t="shared" si="31"/>
        <v>0</v>
      </c>
      <c r="AM38" s="883">
        <f t="shared" si="32"/>
        <v>94.559266300000019</v>
      </c>
      <c r="AN38" s="883">
        <f t="shared" si="33"/>
        <v>0</v>
      </c>
      <c r="AO38" s="883">
        <f t="shared" si="34"/>
        <v>0</v>
      </c>
      <c r="AP38" s="883">
        <f t="shared" si="35"/>
        <v>0</v>
      </c>
      <c r="AQ38" s="890">
        <f t="shared" si="38"/>
        <v>94.559266300000019</v>
      </c>
    </row>
    <row r="39" spans="1:43">
      <c r="A39" s="817"/>
      <c r="B39" s="865" t="s">
        <v>1619</v>
      </c>
      <c r="C39" s="883"/>
      <c r="D39" s="883"/>
      <c r="E39" s="883">
        <f>HLOOKUP($B$2,'Consumption Input'!$E$5:$AQ$82,'Consumption Input'!$B44)</f>
        <v>78.489087999999995</v>
      </c>
      <c r="F39" s="883"/>
      <c r="G39" s="883"/>
      <c r="H39" s="883"/>
      <c r="I39" s="883">
        <f t="shared" si="36"/>
        <v>78.489087999999995</v>
      </c>
      <c r="J39" s="961"/>
      <c r="K39" s="940">
        <f>HLOOKUP($B$2,NEUConsumption,'Non-Energy Use'!$C$18)</f>
        <v>78.489087999999995</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7"/>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20.267087291379308</v>
      </c>
      <c r="V40" s="885">
        <f t="shared" si="49"/>
        <v>0</v>
      </c>
      <c r="W40" s="883">
        <f t="shared" si="50"/>
        <v>0</v>
      </c>
      <c r="X40" s="883">
        <f t="shared" si="51"/>
        <v>0</v>
      </c>
      <c r="Y40" s="883">
        <f t="shared" si="52"/>
        <v>0</v>
      </c>
      <c r="Z40" s="883">
        <f t="shared" si="53"/>
        <v>0</v>
      </c>
      <c r="AA40" s="883">
        <f t="shared" si="54"/>
        <v>0</v>
      </c>
      <c r="AB40" s="883">
        <f t="shared" si="37"/>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36.333793999999997</v>
      </c>
      <c r="F41" s="883"/>
      <c r="G41" s="883"/>
      <c r="H41" s="883"/>
      <c r="I41" s="883">
        <f t="shared" si="36"/>
        <v>36.333793999999997</v>
      </c>
      <c r="J41" s="961"/>
      <c r="K41" s="940">
        <f>HLOOKUP($B$2,NEUConsumption,'Non-Energy Use'!$C$21)</f>
        <v>36.333793999999997</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7"/>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46.88259662838</v>
      </c>
      <c r="H42" s="917"/>
      <c r="I42" s="917">
        <f>G42</f>
        <v>46.88259662838</v>
      </c>
      <c r="J42" s="968"/>
      <c r="K42" s="969"/>
      <c r="L42" s="970"/>
      <c r="M42" s="971"/>
      <c r="N42" s="917">
        <f t="shared" si="43"/>
        <v>0</v>
      </c>
      <c r="O42" s="917">
        <f t="shared" si="44"/>
        <v>0</v>
      </c>
      <c r="P42" s="917">
        <f>E42</f>
        <v>0</v>
      </c>
      <c r="Q42" s="917">
        <f>F42</f>
        <v>0</v>
      </c>
      <c r="R42" s="917">
        <f t="shared" si="47"/>
        <v>46.88259662838</v>
      </c>
      <c r="S42" s="917">
        <f>H42</f>
        <v>0</v>
      </c>
      <c r="T42" s="917">
        <f t="shared" si="7"/>
        <v>46.88259662838</v>
      </c>
      <c r="U42" s="921">
        <f>Factors!D56</f>
        <v>2.6974658424810825</v>
      </c>
      <c r="V42" s="917"/>
      <c r="W42" s="917"/>
      <c r="X42" s="917"/>
      <c r="Y42" s="917"/>
      <c r="Z42" s="917">
        <f>INDEX(Geothermal!$C$14:$AE$18,MATCH("Total",Geothermal!$C$14:$C$18,0),MATCH($B$2,Geothermal!$C$14:$AE$14,0))/CtoCO2</f>
        <v>0.12259741799234698</v>
      </c>
      <c r="AA42" s="917"/>
      <c r="AB42" s="917">
        <f t="shared" si="37"/>
        <v>0.12259741799234698</v>
      </c>
      <c r="AC42" s="921">
        <f>Factors!$E$56</f>
        <v>1</v>
      </c>
      <c r="AD42" s="917">
        <f t="shared" si="55"/>
        <v>0</v>
      </c>
      <c r="AE42" s="917">
        <f t="shared" si="56"/>
        <v>0</v>
      </c>
      <c r="AF42" s="917">
        <f t="shared" si="57"/>
        <v>0</v>
      </c>
      <c r="AG42" s="917">
        <f t="shared" si="58"/>
        <v>0</v>
      </c>
      <c r="AH42" s="917">
        <f t="shared" si="59"/>
        <v>0.12259741799234698</v>
      </c>
      <c r="AI42" s="917">
        <f t="shared" si="60"/>
        <v>0</v>
      </c>
      <c r="AJ42" s="920">
        <f t="shared" si="9"/>
        <v>0.12259741799234698</v>
      </c>
      <c r="AK42" s="919">
        <f t="shared" si="30"/>
        <v>0</v>
      </c>
      <c r="AL42" s="917">
        <f t="shared" si="31"/>
        <v>0</v>
      </c>
      <c r="AM42" s="917">
        <f t="shared" si="32"/>
        <v>0</v>
      </c>
      <c r="AN42" s="917">
        <f t="shared" si="33"/>
        <v>0</v>
      </c>
      <c r="AO42" s="917">
        <f t="shared" si="34"/>
        <v>0.44952386597193894</v>
      </c>
      <c r="AP42" s="917">
        <f t="shared" si="35"/>
        <v>0</v>
      </c>
      <c r="AQ42" s="920">
        <f t="shared" si="38"/>
        <v>0.44952386597193894</v>
      </c>
    </row>
    <row r="43" spans="1:43" ht="11.1" thickBot="1">
      <c r="A43" s="817"/>
      <c r="B43" s="867" t="s">
        <v>1740</v>
      </c>
      <c r="C43" s="922">
        <f>C8+C17+C18+C42</f>
        <v>6361.4826877685609</v>
      </c>
      <c r="D43" s="922">
        <f>D8+D17+D18+D42</f>
        <v>3956.0440897241292</v>
      </c>
      <c r="E43" s="922">
        <f>E8+E17+E18+E42</f>
        <v>18595.835453531003</v>
      </c>
      <c r="F43" s="922">
        <f>F8+F17+F18+F42</f>
        <v>26142.707080207092</v>
      </c>
      <c r="G43" s="922">
        <f>G8+G17+G18+G42</f>
        <v>26395.032596628378</v>
      </c>
      <c r="H43" s="922">
        <f>H16+H17+H18+H42</f>
        <v>767.94138974898863</v>
      </c>
      <c r="I43" s="922">
        <f>SUM(C43:H43)</f>
        <v>82219.04329760815</v>
      </c>
      <c r="J43" s="972">
        <f t="shared" ref="J43:S43" si="65">J8+J17+J18+J42</f>
        <v>1299.6071748791023</v>
      </c>
      <c r="K43" s="973">
        <f t="shared" si="65"/>
        <v>5131.390985134668</v>
      </c>
      <c r="L43" s="974">
        <f t="shared" si="65"/>
        <v>164.33899999999997</v>
      </c>
      <c r="M43" s="975">
        <f t="shared" si="65"/>
        <v>85.513379103072083</v>
      </c>
      <c r="N43" s="922">
        <f t="shared" si="65"/>
        <v>6361.4826877685609</v>
      </c>
      <c r="O43" s="922">
        <f t="shared" si="65"/>
        <v>3956.0440897241292</v>
      </c>
      <c r="P43" s="922">
        <f t="shared" si="65"/>
        <v>13464.444468396334</v>
      </c>
      <c r="Q43" s="922">
        <f t="shared" si="65"/>
        <v>24678.760905327992</v>
      </c>
      <c r="R43" s="922">
        <f t="shared" si="65"/>
        <v>26395.032596628378</v>
      </c>
      <c r="S43" s="922">
        <f t="shared" si="65"/>
        <v>682.42801064591652</v>
      </c>
      <c r="T43" s="922">
        <f t="shared" si="7"/>
        <v>75538.192758491306</v>
      </c>
      <c r="U43" s="926" t="s">
        <v>1731</v>
      </c>
      <c r="V43" s="922">
        <f t="shared" ref="V43:AA43" si="66">V8+V17+V18+V42</f>
        <v>99.005494671717088</v>
      </c>
      <c r="W43" s="922">
        <f t="shared" si="66"/>
        <v>62.301283453026571</v>
      </c>
      <c r="X43" s="922">
        <f t="shared" si="66"/>
        <v>235.44240577590404</v>
      </c>
      <c r="Y43" s="922">
        <f t="shared" si="66"/>
        <v>480.67201860615501</v>
      </c>
      <c r="Z43" s="922">
        <f t="shared" si="66"/>
        <v>615.60100438441248</v>
      </c>
      <c r="AA43" s="922">
        <f t="shared" si="66"/>
        <v>13.541074709725798</v>
      </c>
      <c r="AB43" s="922">
        <f t="shared" si="37"/>
        <v>1506.5632816009411</v>
      </c>
      <c r="AC43" s="926" t="s">
        <v>1731</v>
      </c>
      <c r="AD43" s="922">
        <f t="shared" ref="AD43:AQ43" si="67">AD8+AD17+AD18+AD42</f>
        <v>99.005494671717088</v>
      </c>
      <c r="AE43" s="922">
        <f t="shared" si="67"/>
        <v>62.301283453026571</v>
      </c>
      <c r="AF43" s="922">
        <f t="shared" si="67"/>
        <v>235.44240577590404</v>
      </c>
      <c r="AG43" s="922">
        <f t="shared" si="67"/>
        <v>480.67201860615501</v>
      </c>
      <c r="AH43" s="922">
        <f t="shared" si="67"/>
        <v>615.60100438441248</v>
      </c>
      <c r="AI43" s="922">
        <f t="shared" si="67"/>
        <v>13.541074709725798</v>
      </c>
      <c r="AJ43" s="925">
        <f t="shared" si="67"/>
        <v>1506.5632816009411</v>
      </c>
      <c r="AK43" s="922">
        <f t="shared" si="67"/>
        <v>363.02014712962938</v>
      </c>
      <c r="AL43" s="922">
        <f t="shared" si="67"/>
        <v>228.4380393277641</v>
      </c>
      <c r="AM43" s="922">
        <f t="shared" si="67"/>
        <v>863.28882117831472</v>
      </c>
      <c r="AN43" s="922">
        <f t="shared" si="67"/>
        <v>1762.4640682225681</v>
      </c>
      <c r="AO43" s="922">
        <f t="shared" si="67"/>
        <v>2257.203682742846</v>
      </c>
      <c r="AP43" s="922">
        <f t="shared" si="67"/>
        <v>49.650607268994591</v>
      </c>
      <c r="AQ43" s="925">
        <f t="shared" si="67"/>
        <v>5524.0653658701167</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ransitionEvaluation="1" transitionEntry="1" codeName="Sheet30">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0" style="152" customWidth="1"/>
    <col min="10" max="11" width="9" style="152" customWidth="1"/>
    <col min="12" max="13" width="7" style="152" customWidth="1"/>
    <col min="14" max="14" width="8.6640625" style="152" customWidth="1"/>
    <col min="15" max="15" width="9.66406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2002</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1753</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12.247999999999998</v>
      </c>
      <c r="D8" s="876">
        <f t="shared" si="4"/>
        <v>89.82</v>
      </c>
      <c r="E8" s="876">
        <f t="shared" si="4"/>
        <v>1321.8296825208117</v>
      </c>
      <c r="F8" s="876">
        <f t="shared" si="4"/>
        <v>0</v>
      </c>
      <c r="G8" s="876">
        <f t="shared" si="4"/>
        <v>19782.780999999999</v>
      </c>
      <c r="H8" s="876">
        <f t="shared" si="4"/>
        <v>21.950202199999911</v>
      </c>
      <c r="I8" s="876">
        <f t="shared" ref="I8:I14" si="5">SUM(C8:H8)</f>
        <v>21228.628884720812</v>
      </c>
      <c r="J8" s="959"/>
      <c r="K8" s="960">
        <f>SUM(K9:K16)</f>
        <v>51.563603583590492</v>
      </c>
      <c r="L8" s="960">
        <f>SUM(L9:L16)</f>
        <v>0</v>
      </c>
      <c r="M8" s="960"/>
      <c r="N8" s="878">
        <f t="shared" ref="N8:S8" si="6">SUM(N9:N16)</f>
        <v>12.247999999999998</v>
      </c>
      <c r="O8" s="876">
        <f t="shared" si="6"/>
        <v>89.82</v>
      </c>
      <c r="P8" s="876">
        <f t="shared" si="6"/>
        <v>1270.2660789372214</v>
      </c>
      <c r="Q8" s="876">
        <f t="shared" si="6"/>
        <v>0</v>
      </c>
      <c r="R8" s="876">
        <f t="shared" si="6"/>
        <v>19782.780999999999</v>
      </c>
      <c r="S8" s="879">
        <f t="shared" si="6"/>
        <v>21.950202199999911</v>
      </c>
      <c r="T8" s="876">
        <f t="shared" ref="T8:T43" si="7">SUM(N8:S8)</f>
        <v>21177.06528113722</v>
      </c>
      <c r="U8" s="880" t="s">
        <v>1731</v>
      </c>
      <c r="V8" s="876">
        <f>SUM(V9:V16)</f>
        <v>0.31801382964134439</v>
      </c>
      <c r="W8" s="876">
        <f>SUM(W9:W16)</f>
        <v>2.3321360367721713</v>
      </c>
      <c r="X8" s="876">
        <f>SUM(X9:X16)</f>
        <v>32.470293506116853</v>
      </c>
      <c r="Y8" s="876"/>
      <c r="Z8" s="876">
        <f>SUM(Z9:Z16)</f>
        <v>515.1530915746896</v>
      </c>
      <c r="AA8" s="876">
        <f>SUM(AA9:AA16)</f>
        <v>0.55182808330799782</v>
      </c>
      <c r="AB8" s="876">
        <f t="shared" ref="AB8:AB13" si="8">SUM(V8:AA8)</f>
        <v>550.82536303052802</v>
      </c>
      <c r="AC8" s="881" t="s">
        <v>1731</v>
      </c>
      <c r="AD8" s="878">
        <f>SUM(AD9:AD16)</f>
        <v>0.31801382964134439</v>
      </c>
      <c r="AE8" s="876">
        <f>SUM(AE9:AE16)</f>
        <v>2.3321360367721713</v>
      </c>
      <c r="AF8" s="876">
        <f>SUM(AF9:AF16)</f>
        <v>32.470293506116853</v>
      </c>
      <c r="AG8" s="876" t="s">
        <v>108</v>
      </c>
      <c r="AH8" s="876">
        <f>SUM(AH9:AH16)</f>
        <v>515.1530915746896</v>
      </c>
      <c r="AI8" s="876">
        <f>SUM(AI9:AI16)</f>
        <v>0.55182808330799782</v>
      </c>
      <c r="AJ8" s="876">
        <f t="shared" ref="AJ8:AJ42" si="9">SUM(AD8:AI8)</f>
        <v>550.82536303052802</v>
      </c>
      <c r="AK8" s="878">
        <f t="shared" ref="AK8:AP8" si="10">SUM(AK9:AK16)</f>
        <v>1.1660507086849294</v>
      </c>
      <c r="AL8" s="876">
        <f t="shared" si="10"/>
        <v>8.5511654681646281</v>
      </c>
      <c r="AM8" s="876">
        <f t="shared" si="10"/>
        <v>119.05774285576179</v>
      </c>
      <c r="AN8" s="876">
        <f t="shared" si="10"/>
        <v>0</v>
      </c>
      <c r="AO8" s="876">
        <f t="shared" si="10"/>
        <v>1888.8946691071951</v>
      </c>
      <c r="AP8" s="876">
        <f t="shared" si="10"/>
        <v>2.0233696387959919</v>
      </c>
      <c r="AQ8" s="882">
        <f t="shared" ref="AQ8:AQ14" si="11">SUM(AK8:AP8)</f>
        <v>2019.6929977786024</v>
      </c>
    </row>
    <row r="9" spans="1:43">
      <c r="A9" s="817"/>
      <c r="B9" s="860" t="s">
        <v>1732</v>
      </c>
      <c r="C9" s="883">
        <f>HLOOKUP($B$2,'Consumption Input'!$E$5:$AQ$82,'Consumption Input'!$B7)</f>
        <v>12.247999999999998</v>
      </c>
      <c r="D9" s="883"/>
      <c r="E9" s="883"/>
      <c r="F9" s="883"/>
      <c r="G9" s="883"/>
      <c r="H9" s="883"/>
      <c r="I9" s="883">
        <f t="shared" si="5"/>
        <v>12.247999999999998</v>
      </c>
      <c r="J9" s="961"/>
      <c r="K9" s="940"/>
      <c r="L9" s="940"/>
      <c r="M9" s="940"/>
      <c r="N9" s="885">
        <f t="shared" ref="N9:N17" si="12">C9</f>
        <v>12.247999999999998</v>
      </c>
      <c r="O9" s="883">
        <f t="shared" ref="O9:O17" si="13">D9</f>
        <v>0</v>
      </c>
      <c r="P9" s="883">
        <f t="shared" ref="P9:P17" si="14">E9-K9</f>
        <v>0</v>
      </c>
      <c r="Q9" s="883">
        <f t="shared" ref="Q9:Q17" si="15">F9</f>
        <v>0</v>
      </c>
      <c r="R9" s="883">
        <f t="shared" ref="R9:R17" si="16">G9</f>
        <v>0</v>
      </c>
      <c r="S9" s="886">
        <f t="shared" ref="S9:S17" si="17">H9</f>
        <v>0</v>
      </c>
      <c r="T9" s="883">
        <f t="shared" si="7"/>
        <v>12.247999999999998</v>
      </c>
      <c r="U9" s="887">
        <f>HLOOKUP($B$2,Factors!$J$12:$Y$25,Factors!$H13)</f>
        <v>25.964551734270447</v>
      </c>
      <c r="V9" s="885">
        <f t="shared" ref="V9:V17" si="18">N9*$U9*TbtuToQBtu</f>
        <v>0.31801382964134439</v>
      </c>
      <c r="W9" s="883">
        <f t="shared" ref="W9:W17" si="19">O9*$U9*TbtuToQBtu</f>
        <v>0</v>
      </c>
      <c r="X9" s="883">
        <f t="shared" ref="X9:X17" si="20">P9*$U9*TbtuToQBtu</f>
        <v>0</v>
      </c>
      <c r="Y9" s="883">
        <f t="shared" ref="Y9:Y17" si="21">Q9*$U9*TbtuToQBtu</f>
        <v>0</v>
      </c>
      <c r="Z9" s="883">
        <f t="shared" ref="Z9:Z17" si="22">R9*$U9*TbtuToQBtu</f>
        <v>0</v>
      </c>
      <c r="AA9" s="883">
        <f t="shared" ref="AA9:AA17" si="23">S9*$U9*TbtuToQBtu</f>
        <v>0</v>
      </c>
      <c r="AB9" s="883">
        <f t="shared" si="8"/>
        <v>0.31801382964134439</v>
      </c>
      <c r="AC9" s="888">
        <f>Factors!E10</f>
        <v>1</v>
      </c>
      <c r="AD9" s="885">
        <f t="shared" ref="AD9:AD17" si="24">V9*$AC9</f>
        <v>0.31801382964134439</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0.31801382964134439</v>
      </c>
      <c r="AK9" s="885">
        <f t="shared" ref="AK9:AK42" si="30">AD9*CtoCO2</f>
        <v>1.1660507086849294</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1.1660507086849294</v>
      </c>
    </row>
    <row r="10" spans="1:43">
      <c r="A10" s="817"/>
      <c r="B10" s="860" t="s">
        <v>1733</v>
      </c>
      <c r="C10" s="883"/>
      <c r="D10" s="883">
        <f>HLOOKUP($B$2,'Consumption Input'!$E$5:$AQ$82,'Consumption Input'!$B13)</f>
        <v>89.82</v>
      </c>
      <c r="E10" s="883"/>
      <c r="F10" s="883"/>
      <c r="G10" s="883"/>
      <c r="H10" s="883"/>
      <c r="I10" s="883">
        <f t="shared" si="5"/>
        <v>89.82</v>
      </c>
      <c r="J10" s="961"/>
      <c r="K10" s="940"/>
      <c r="L10" s="940"/>
      <c r="M10" s="940"/>
      <c r="N10" s="885">
        <f t="shared" si="12"/>
        <v>0</v>
      </c>
      <c r="O10" s="883">
        <f t="shared" si="13"/>
        <v>89.82</v>
      </c>
      <c r="P10" s="883">
        <f t="shared" si="14"/>
        <v>0</v>
      </c>
      <c r="Q10" s="883">
        <f t="shared" si="15"/>
        <v>0</v>
      </c>
      <c r="R10" s="883">
        <f t="shared" si="16"/>
        <v>0</v>
      </c>
      <c r="S10" s="886">
        <f t="shared" si="17"/>
        <v>0</v>
      </c>
      <c r="T10" s="883">
        <f t="shared" si="7"/>
        <v>89.82</v>
      </c>
      <c r="U10" s="887">
        <f>HLOOKUP($B$2,Factors!$J$12:$Y$25,Factors!$H14)</f>
        <v>25.964551734270447</v>
      </c>
      <c r="V10" s="885">
        <f t="shared" si="18"/>
        <v>0</v>
      </c>
      <c r="W10" s="883">
        <f t="shared" si="19"/>
        <v>2.3321360367721713</v>
      </c>
      <c r="X10" s="883">
        <f t="shared" si="20"/>
        <v>0</v>
      </c>
      <c r="Y10" s="883">
        <f t="shared" si="21"/>
        <v>0</v>
      </c>
      <c r="Z10" s="883">
        <f t="shared" si="22"/>
        <v>0</v>
      </c>
      <c r="AA10" s="883">
        <f t="shared" si="23"/>
        <v>0</v>
      </c>
      <c r="AB10" s="883">
        <f t="shared" si="8"/>
        <v>2.3321360367721713</v>
      </c>
      <c r="AC10" s="888">
        <f>Factors!E11</f>
        <v>1</v>
      </c>
      <c r="AD10" s="885">
        <f t="shared" si="24"/>
        <v>0</v>
      </c>
      <c r="AE10" s="883">
        <f t="shared" si="25"/>
        <v>2.3321360367721713</v>
      </c>
      <c r="AF10" s="883">
        <f t="shared" si="26"/>
        <v>0</v>
      </c>
      <c r="AG10" s="883">
        <f t="shared" si="27"/>
        <v>0</v>
      </c>
      <c r="AH10" s="883">
        <f t="shared" si="28"/>
        <v>0</v>
      </c>
      <c r="AI10" s="883">
        <f t="shared" si="29"/>
        <v>0</v>
      </c>
      <c r="AJ10" s="889">
        <f t="shared" si="9"/>
        <v>2.3321360367721713</v>
      </c>
      <c r="AK10" s="885">
        <f t="shared" si="30"/>
        <v>0</v>
      </c>
      <c r="AL10" s="883">
        <f t="shared" si="31"/>
        <v>8.5511654681646281</v>
      </c>
      <c r="AM10" s="883">
        <f t="shared" si="32"/>
        <v>0</v>
      </c>
      <c r="AN10" s="883">
        <f t="shared" si="33"/>
        <v>0</v>
      </c>
      <c r="AO10" s="883">
        <f t="shared" si="34"/>
        <v>0</v>
      </c>
      <c r="AP10" s="883">
        <f t="shared" si="35"/>
        <v>0</v>
      </c>
      <c r="AQ10" s="890">
        <f t="shared" si="11"/>
        <v>8.5511654681646281</v>
      </c>
    </row>
    <row r="11" spans="1:43" s="244" customFormat="1" hidden="1">
      <c r="A11" s="861"/>
      <c r="B11" s="862" t="s">
        <v>1734</v>
      </c>
      <c r="C11" s="891"/>
      <c r="D11" s="891"/>
      <c r="E11" s="891">
        <f>HLOOKUP($B$2,'Consumption Input'!$E$5:$AQ$82,'Consumption Input'!$B23)</f>
        <v>40.297952859316297</v>
      </c>
      <c r="F11" s="891"/>
      <c r="G11" s="891"/>
      <c r="H11" s="891"/>
      <c r="I11" s="891">
        <f t="shared" si="5"/>
        <v>40.297952859316297</v>
      </c>
      <c r="J11" s="962"/>
      <c r="K11" s="963">
        <f>HLOOKUP($B$2,NEUConsumption,'Non-Energy Use'!$C$7)</f>
        <v>40.297952859316297</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25.649069146612121</v>
      </c>
      <c r="V11" s="893">
        <f t="shared" si="18"/>
        <v>0</v>
      </c>
      <c r="W11" s="891">
        <f t="shared" si="19"/>
        <v>0</v>
      </c>
      <c r="X11" s="891">
        <f t="shared" si="20"/>
        <v>0</v>
      </c>
      <c r="Y11" s="891">
        <f t="shared" si="21"/>
        <v>0</v>
      </c>
      <c r="Z11" s="891">
        <f t="shared" si="22"/>
        <v>0</v>
      </c>
      <c r="AA11" s="891">
        <f t="shared" si="23"/>
        <v>0</v>
      </c>
      <c r="AB11" s="891">
        <f t="shared" si="8"/>
        <v>0</v>
      </c>
      <c r="AC11" s="896">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3">
      <c r="A12" s="817"/>
      <c r="B12" s="860" t="s">
        <v>1701</v>
      </c>
      <c r="C12" s="883"/>
      <c r="D12" s="883"/>
      <c r="E12" s="883">
        <f>HLOOKUP($B$2,'Consumption Input'!$E$5:$AQ$82,'Consumption Input'!$B24)</f>
        <v>1281.5317296614955</v>
      </c>
      <c r="F12" s="883"/>
      <c r="G12" s="883"/>
      <c r="H12" s="883"/>
      <c r="I12" s="883">
        <f t="shared" si="5"/>
        <v>1281.5317296614955</v>
      </c>
      <c r="J12" s="961"/>
      <c r="K12" s="940">
        <f>HLOOKUP($B$2,NEUConsumption,'Non-Energy Use'!$C$8)</f>
        <v>11.265650724274195</v>
      </c>
      <c r="L12" s="940"/>
      <c r="M12" s="940"/>
      <c r="N12" s="885">
        <f t="shared" si="12"/>
        <v>0</v>
      </c>
      <c r="O12" s="883">
        <f t="shared" si="13"/>
        <v>0</v>
      </c>
      <c r="P12" s="883">
        <f t="shared" si="14"/>
        <v>1270.2660789372214</v>
      </c>
      <c r="Q12" s="883">
        <f t="shared" si="15"/>
        <v>0</v>
      </c>
      <c r="R12" s="883">
        <f t="shared" si="16"/>
        <v>0</v>
      </c>
      <c r="S12" s="886">
        <f t="shared" si="17"/>
        <v>0</v>
      </c>
      <c r="T12" s="883">
        <f t="shared" si="7"/>
        <v>1270.2660789372214</v>
      </c>
      <c r="U12" s="887">
        <f>HLOOKUP($B$2,Factors!$J$12:$Y$25,Factors!$H15)</f>
        <v>25.561804762419062</v>
      </c>
      <c r="V12" s="885">
        <f t="shared" si="18"/>
        <v>0</v>
      </c>
      <c r="W12" s="883">
        <f t="shared" si="19"/>
        <v>0</v>
      </c>
      <c r="X12" s="883">
        <f t="shared" si="20"/>
        <v>32.470293506116853</v>
      </c>
      <c r="Y12" s="883">
        <f t="shared" si="21"/>
        <v>0</v>
      </c>
      <c r="Z12" s="883">
        <f t="shared" si="22"/>
        <v>0</v>
      </c>
      <c r="AA12" s="883">
        <f t="shared" si="23"/>
        <v>0</v>
      </c>
      <c r="AB12" s="883">
        <f t="shared" si="8"/>
        <v>32.470293506116853</v>
      </c>
      <c r="AC12" s="888">
        <f>Factors!E13</f>
        <v>1</v>
      </c>
      <c r="AD12" s="885">
        <f t="shared" si="24"/>
        <v>0</v>
      </c>
      <c r="AE12" s="883">
        <f t="shared" si="25"/>
        <v>0</v>
      </c>
      <c r="AF12" s="883">
        <f t="shared" si="26"/>
        <v>32.470293506116853</v>
      </c>
      <c r="AG12" s="883">
        <f t="shared" si="27"/>
        <v>0</v>
      </c>
      <c r="AH12" s="883">
        <f t="shared" si="28"/>
        <v>0</v>
      </c>
      <c r="AI12" s="883">
        <f t="shared" si="29"/>
        <v>0</v>
      </c>
      <c r="AJ12" s="889">
        <f t="shared" si="9"/>
        <v>32.470293506116853</v>
      </c>
      <c r="AK12" s="885">
        <f t="shared" si="30"/>
        <v>0</v>
      </c>
      <c r="AL12" s="883">
        <f t="shared" si="31"/>
        <v>0</v>
      </c>
      <c r="AM12" s="883">
        <f t="shared" si="32"/>
        <v>119.05774285576179</v>
      </c>
      <c r="AN12" s="883">
        <f t="shared" si="33"/>
        <v>0</v>
      </c>
      <c r="AO12" s="883">
        <f t="shared" si="34"/>
        <v>0</v>
      </c>
      <c r="AP12" s="883">
        <f t="shared" si="35"/>
        <v>0</v>
      </c>
      <c r="AQ12" s="890">
        <f t="shared" si="11"/>
        <v>119.05774285576179</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91">
        <f t="shared" si="7"/>
        <v>0</v>
      </c>
      <c r="U13" s="895">
        <f>Factors!D14</f>
        <v>27.85</v>
      </c>
      <c r="V13" s="893">
        <f t="shared" si="18"/>
        <v>0</v>
      </c>
      <c r="W13" s="891">
        <f t="shared" si="19"/>
        <v>0</v>
      </c>
      <c r="X13" s="891">
        <f t="shared" si="20"/>
        <v>0</v>
      </c>
      <c r="Y13" s="891">
        <f t="shared" si="21"/>
        <v>0</v>
      </c>
      <c r="Z13" s="891">
        <f t="shared" si="22"/>
        <v>0</v>
      </c>
      <c r="AA13" s="891">
        <f t="shared" si="23"/>
        <v>0</v>
      </c>
      <c r="AB13" s="891">
        <f t="shared" si="8"/>
        <v>0</v>
      </c>
      <c r="AC13" s="896">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887" t="str">
        <f>Factors!D15</f>
        <v>NC</v>
      </c>
      <c r="V14" s="885">
        <f t="shared" si="18"/>
        <v>0</v>
      </c>
      <c r="W14" s="883">
        <f t="shared" si="19"/>
        <v>0</v>
      </c>
      <c r="X14" s="883">
        <f t="shared" si="20"/>
        <v>0</v>
      </c>
      <c r="Y14" s="883">
        <f t="shared" si="21"/>
        <v>0</v>
      </c>
      <c r="Z14" s="883">
        <f t="shared" si="22"/>
        <v>0</v>
      </c>
      <c r="AA14" s="883">
        <f t="shared" si="23"/>
        <v>0</v>
      </c>
      <c r="AB14" s="883" t="s">
        <v>103</v>
      </c>
      <c r="AC14" s="888"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3">
      <c r="A15" s="817"/>
      <c r="B15" s="860" t="s">
        <v>1736</v>
      </c>
      <c r="C15" s="883"/>
      <c r="D15" s="883"/>
      <c r="E15" s="883"/>
      <c r="F15" s="883"/>
      <c r="G15" s="883">
        <f>HLOOKUP($B$2,'Consumption Input'!$E$5:$AQ$82,'Consumption Input'!$B58)</f>
        <v>19782.780999999999</v>
      </c>
      <c r="H15" s="883"/>
      <c r="I15" s="883">
        <f t="shared" ref="I15:I41" si="36">SUM(C15:H15)</f>
        <v>19782.780999999999</v>
      </c>
      <c r="J15" s="961"/>
      <c r="K15" s="940"/>
      <c r="L15" s="940"/>
      <c r="M15" s="940"/>
      <c r="N15" s="885">
        <f t="shared" si="12"/>
        <v>0</v>
      </c>
      <c r="O15" s="883">
        <f t="shared" si="13"/>
        <v>0</v>
      </c>
      <c r="P15" s="883">
        <f t="shared" si="14"/>
        <v>0</v>
      </c>
      <c r="Q15" s="883">
        <f t="shared" si="15"/>
        <v>0</v>
      </c>
      <c r="R15" s="883">
        <f t="shared" si="16"/>
        <v>19782.780999999999</v>
      </c>
      <c r="S15" s="886">
        <f t="shared" si="17"/>
        <v>0</v>
      </c>
      <c r="T15" s="883">
        <f t="shared" si="7"/>
        <v>19782.780999999999</v>
      </c>
      <c r="U15" s="887">
        <f>HLOOKUP($B$2,Factors!$J$12:$Y$25,Factors!$H16)</f>
        <v>26.040478918241558</v>
      </c>
      <c r="V15" s="885">
        <f t="shared" si="18"/>
        <v>0</v>
      </c>
      <c r="W15" s="883">
        <f t="shared" si="19"/>
        <v>0</v>
      </c>
      <c r="X15" s="883">
        <f t="shared" si="20"/>
        <v>0</v>
      </c>
      <c r="Y15" s="883">
        <f t="shared" si="21"/>
        <v>0</v>
      </c>
      <c r="Z15" s="883">
        <f t="shared" si="22"/>
        <v>515.1530915746896</v>
      </c>
      <c r="AA15" s="883">
        <f t="shared" si="23"/>
        <v>0</v>
      </c>
      <c r="AB15" s="883">
        <f t="shared" ref="AB15:AB43" si="37">SUM(V15:AA15)</f>
        <v>515.1530915746896</v>
      </c>
      <c r="AC15" s="888">
        <f>Factors!E16</f>
        <v>1</v>
      </c>
      <c r="AD15" s="885">
        <f t="shared" si="24"/>
        <v>0</v>
      </c>
      <c r="AE15" s="883">
        <f t="shared" si="25"/>
        <v>0</v>
      </c>
      <c r="AF15" s="883">
        <f t="shared" si="26"/>
        <v>0</v>
      </c>
      <c r="AG15" s="883">
        <f t="shared" si="27"/>
        <v>0</v>
      </c>
      <c r="AH15" s="883">
        <f t="shared" si="28"/>
        <v>515.1530915746896</v>
      </c>
      <c r="AI15" s="883">
        <f t="shared" si="29"/>
        <v>0</v>
      </c>
      <c r="AJ15" s="889">
        <f t="shared" si="9"/>
        <v>515.1530915746896</v>
      </c>
      <c r="AK15" s="885">
        <f t="shared" si="30"/>
        <v>0</v>
      </c>
      <c r="AL15" s="883">
        <f t="shared" si="31"/>
        <v>0</v>
      </c>
      <c r="AM15" s="883">
        <f t="shared" si="32"/>
        <v>0</v>
      </c>
      <c r="AN15" s="883">
        <f t="shared" si="33"/>
        <v>0</v>
      </c>
      <c r="AO15" s="883">
        <f t="shared" si="34"/>
        <v>1888.8946691071951</v>
      </c>
      <c r="AP15" s="883">
        <f t="shared" si="35"/>
        <v>0</v>
      </c>
      <c r="AQ15" s="890">
        <f t="shared" ref="AQ15:AQ42" si="38">SUM(AK15:AP15)</f>
        <v>1888.8946691071951</v>
      </c>
    </row>
    <row r="16" spans="1:43">
      <c r="A16" s="817"/>
      <c r="B16" s="860" t="s">
        <v>1737</v>
      </c>
      <c r="C16" s="883"/>
      <c r="D16" s="883"/>
      <c r="E16" s="883"/>
      <c r="F16" s="883"/>
      <c r="G16" s="883"/>
      <c r="H16" s="883">
        <f>HLOOKUP($B$2,'US Territories'!$D$28:$Z$38,'US Territories'!$B29)</f>
        <v>21.950202199999911</v>
      </c>
      <c r="I16" s="883">
        <f t="shared" si="36"/>
        <v>21.950202199999911</v>
      </c>
      <c r="J16" s="961"/>
      <c r="K16" s="940"/>
      <c r="L16" s="940"/>
      <c r="M16" s="940"/>
      <c r="N16" s="885">
        <f t="shared" si="12"/>
        <v>0</v>
      </c>
      <c r="O16" s="883">
        <f t="shared" si="13"/>
        <v>0</v>
      </c>
      <c r="P16" s="883">
        <f t="shared" si="14"/>
        <v>0</v>
      </c>
      <c r="Q16" s="883">
        <f t="shared" si="15"/>
        <v>0</v>
      </c>
      <c r="R16" s="883">
        <f t="shared" si="16"/>
        <v>0</v>
      </c>
      <c r="S16" s="886">
        <f t="shared" si="17"/>
        <v>21.950202199999911</v>
      </c>
      <c r="T16" s="883">
        <f t="shared" si="7"/>
        <v>21.950202199999911</v>
      </c>
      <c r="U16" s="887">
        <f>Factors!D17</f>
        <v>25.14</v>
      </c>
      <c r="V16" s="899">
        <f t="shared" si="18"/>
        <v>0</v>
      </c>
      <c r="W16" s="900">
        <f t="shared" si="19"/>
        <v>0</v>
      </c>
      <c r="X16" s="900">
        <f t="shared" si="20"/>
        <v>0</v>
      </c>
      <c r="Y16" s="900">
        <f t="shared" si="21"/>
        <v>0</v>
      </c>
      <c r="Z16" s="900">
        <f t="shared" si="22"/>
        <v>0</v>
      </c>
      <c r="AA16" s="900">
        <f t="shared" si="23"/>
        <v>0.55182808330799782</v>
      </c>
      <c r="AB16" s="883">
        <f t="shared" si="37"/>
        <v>0.55182808330799782</v>
      </c>
      <c r="AC16" s="888">
        <f>Factors!E17</f>
        <v>1</v>
      </c>
      <c r="AD16" s="899">
        <f t="shared" si="24"/>
        <v>0</v>
      </c>
      <c r="AE16" s="900">
        <f t="shared" si="25"/>
        <v>0</v>
      </c>
      <c r="AF16" s="900">
        <f t="shared" si="26"/>
        <v>0</v>
      </c>
      <c r="AG16" s="900">
        <f t="shared" si="27"/>
        <v>0</v>
      </c>
      <c r="AH16" s="900">
        <f t="shared" si="28"/>
        <v>0</v>
      </c>
      <c r="AI16" s="900">
        <f t="shared" si="29"/>
        <v>0.55182808330799782</v>
      </c>
      <c r="AJ16" s="889">
        <f t="shared" si="9"/>
        <v>0.55182808330799782</v>
      </c>
      <c r="AK16" s="885">
        <f t="shared" si="30"/>
        <v>0</v>
      </c>
      <c r="AL16" s="883">
        <f t="shared" si="31"/>
        <v>0</v>
      </c>
      <c r="AM16" s="883">
        <f t="shared" si="32"/>
        <v>0</v>
      </c>
      <c r="AN16" s="883">
        <f t="shared" si="33"/>
        <v>0</v>
      </c>
      <c r="AO16" s="883">
        <f t="shared" si="34"/>
        <v>0</v>
      </c>
      <c r="AP16" s="883">
        <f t="shared" si="35"/>
        <v>2.0233696387959919</v>
      </c>
      <c r="AQ16" s="890">
        <f t="shared" si="38"/>
        <v>2.0233696387959919</v>
      </c>
    </row>
    <row r="17" spans="1:43">
      <c r="A17" s="817"/>
      <c r="B17" s="863" t="s">
        <v>1439</v>
      </c>
      <c r="C17" s="901">
        <f>HLOOKUP($B$2,'Consumption Input'!$E$5:$AQ$82,'Consumption Input'!$B8)</f>
        <v>4994.9939999999988</v>
      </c>
      <c r="D17" s="901">
        <f>HLOOKUP($B$2,'Consumption Input'!$E$5:$AQ$82,'Consumption Input'!$B14)</f>
        <v>3212.4560000000001</v>
      </c>
      <c r="E17" s="901">
        <f>HLOOKUP($B$2,'Consumption Input'!$E$5:$AQ$82,'Consumption Input'!$B26)</f>
        <v>8448.5696850214154</v>
      </c>
      <c r="F17" s="901">
        <f>HLOOKUP($B$2,'Consumption Input'!$E$5:$AQ$82,'Consumption Input'!$B49)</f>
        <v>698.91600000000005</v>
      </c>
      <c r="G17" s="901">
        <f>HLOOKUP($B$2,'Consumption Input'!$E$5:$AQ$82,'Consumption Input'!$B59)</f>
        <v>5766.8119999999999</v>
      </c>
      <c r="H17" s="944">
        <f>HLOOKUP($B$2,'US Territories'!$D$28:$Z$38,'US Territories'!$B30)</f>
        <v>22.782412799999999</v>
      </c>
      <c r="I17" s="901">
        <f t="shared" si="36"/>
        <v>23144.530097821415</v>
      </c>
      <c r="J17" s="964"/>
      <c r="K17" s="965">
        <f>HLOOKUP($B$2,NEUConsumption,'Non-Energy Use'!$C$9)</f>
        <v>380.73</v>
      </c>
      <c r="L17" s="965"/>
      <c r="M17" s="965"/>
      <c r="N17" s="904">
        <f t="shared" si="12"/>
        <v>4994.9939999999988</v>
      </c>
      <c r="O17" s="901">
        <f t="shared" si="13"/>
        <v>3212.4560000000001</v>
      </c>
      <c r="P17" s="901">
        <f t="shared" si="14"/>
        <v>8067.8396850214158</v>
      </c>
      <c r="Q17" s="901">
        <f t="shared" si="15"/>
        <v>698.91600000000005</v>
      </c>
      <c r="R17" s="901">
        <f t="shared" si="16"/>
        <v>5766.8119999999999</v>
      </c>
      <c r="S17" s="902">
        <f t="shared" si="17"/>
        <v>22.782412799999999</v>
      </c>
      <c r="T17" s="901">
        <f t="shared" si="7"/>
        <v>22763.800097821411</v>
      </c>
      <c r="U17" s="905">
        <f>HLOOKUP($B$2,Factors!$J$12:$AB$26,Factors!$H26,FALSE)</f>
        <v>14.471935760742188</v>
      </c>
      <c r="V17" s="901">
        <f t="shared" si="18"/>
        <v>72.287232293292647</v>
      </c>
      <c r="W17" s="901">
        <f t="shared" si="19"/>
        <v>46.490456866210806</v>
      </c>
      <c r="X17" s="901">
        <f t="shared" si="20"/>
        <v>116.75725764959643</v>
      </c>
      <c r="Y17" s="901">
        <f t="shared" si="21"/>
        <v>10.114667454154887</v>
      </c>
      <c r="Z17" s="901">
        <f t="shared" si="22"/>
        <v>83.456932808277173</v>
      </c>
      <c r="AA17" s="901">
        <f t="shared" si="23"/>
        <v>0.32970561451631059</v>
      </c>
      <c r="AB17" s="901">
        <f t="shared" si="37"/>
        <v>329.43625268604825</v>
      </c>
      <c r="AC17" s="906">
        <f>Factors!E19</f>
        <v>1</v>
      </c>
      <c r="AD17" s="904">
        <f t="shared" si="24"/>
        <v>72.287232293292647</v>
      </c>
      <c r="AE17" s="901">
        <f t="shared" si="25"/>
        <v>46.490456866210806</v>
      </c>
      <c r="AF17" s="901">
        <f t="shared" si="26"/>
        <v>116.75725764959643</v>
      </c>
      <c r="AG17" s="901">
        <f t="shared" si="27"/>
        <v>10.114667454154887</v>
      </c>
      <c r="AH17" s="901">
        <f t="shared" si="28"/>
        <v>83.456932808277173</v>
      </c>
      <c r="AI17" s="901">
        <f t="shared" si="29"/>
        <v>0.32970561451631059</v>
      </c>
      <c r="AJ17" s="901">
        <f t="shared" si="9"/>
        <v>329.43625268604825</v>
      </c>
      <c r="AK17" s="904">
        <f t="shared" si="30"/>
        <v>265.05318507540636</v>
      </c>
      <c r="AL17" s="901">
        <f t="shared" si="31"/>
        <v>170.46500850943963</v>
      </c>
      <c r="AM17" s="901">
        <f t="shared" si="32"/>
        <v>428.10994471518688</v>
      </c>
      <c r="AN17" s="901">
        <f t="shared" si="33"/>
        <v>37.087113998567915</v>
      </c>
      <c r="AO17" s="901">
        <f t="shared" si="34"/>
        <v>306.00875363034964</v>
      </c>
      <c r="AP17" s="901">
        <f t="shared" si="35"/>
        <v>1.2089205865598054</v>
      </c>
      <c r="AQ17" s="907">
        <f t="shared" si="38"/>
        <v>1207.9329265155102</v>
      </c>
    </row>
    <row r="18" spans="1:43">
      <c r="A18" s="817"/>
      <c r="B18" s="864" t="s">
        <v>1440</v>
      </c>
      <c r="C18" s="908">
        <f t="shared" ref="C18:H18" si="39">SUM(C19:C41)</f>
        <v>1356.0609860058994</v>
      </c>
      <c r="D18" s="908">
        <f t="shared" si="39"/>
        <v>694.5142614225233</v>
      </c>
      <c r="E18" s="908">
        <f t="shared" si="39"/>
        <v>8960.9111165373433</v>
      </c>
      <c r="F18" s="908">
        <f t="shared" si="39"/>
        <v>26002.680939669714</v>
      </c>
      <c r="G18" s="908">
        <f t="shared" si="39"/>
        <v>961.18399999999997</v>
      </c>
      <c r="H18" s="908">
        <f t="shared" si="39"/>
        <v>713.92829040586105</v>
      </c>
      <c r="I18" s="908">
        <f t="shared" si="36"/>
        <v>38689.279594041342</v>
      </c>
      <c r="J18" s="966">
        <f t="shared" ref="J18:S18" si="40">SUM(J19:J41)</f>
        <v>1307.6873569324866</v>
      </c>
      <c r="K18" s="967">
        <f t="shared" si="40"/>
        <v>4880.7146476558491</v>
      </c>
      <c r="L18" s="967">
        <f t="shared" si="40"/>
        <v>162.392</v>
      </c>
      <c r="M18" s="967">
        <f t="shared" si="40"/>
        <v>140.23174983666777</v>
      </c>
      <c r="N18" s="910">
        <f t="shared" si="40"/>
        <v>1356.0609860058994</v>
      </c>
      <c r="O18" s="908">
        <f t="shared" si="40"/>
        <v>694.5142614225233</v>
      </c>
      <c r="P18" s="908">
        <f t="shared" si="40"/>
        <v>4080.1964688814924</v>
      </c>
      <c r="Q18" s="908">
        <f t="shared" si="40"/>
        <v>24532.601582737225</v>
      </c>
      <c r="R18" s="908">
        <f t="shared" si="40"/>
        <v>961.18399999999997</v>
      </c>
      <c r="S18" s="911">
        <f t="shared" si="40"/>
        <v>573.6965405691933</v>
      </c>
      <c r="T18" s="889">
        <f t="shared" si="7"/>
        <v>32198.253839616333</v>
      </c>
      <c r="U18" s="912" t="s">
        <v>1731</v>
      </c>
      <c r="V18" s="908">
        <f t="shared" ref="V18:AA18" si="41">SUM(V19:V41)</f>
        <v>25.8572249994812</v>
      </c>
      <c r="W18" s="908">
        <f t="shared" si="41"/>
        <v>13.626430166437945</v>
      </c>
      <c r="X18" s="908">
        <f t="shared" si="41"/>
        <v>83.894019139634395</v>
      </c>
      <c r="Y18" s="908">
        <f t="shared" si="41"/>
        <v>481.61760829222214</v>
      </c>
      <c r="Z18" s="908">
        <f t="shared" si="41"/>
        <v>20.960416794233971</v>
      </c>
      <c r="AA18" s="908">
        <f t="shared" si="41"/>
        <v>11.432433882182863</v>
      </c>
      <c r="AB18" s="908">
        <f t="shared" si="37"/>
        <v>637.38813327419257</v>
      </c>
      <c r="AC18" s="913" t="s">
        <v>1731</v>
      </c>
      <c r="AD18" s="910">
        <f t="shared" ref="AD18:AI18" si="42">SUM(AD19:AD41)</f>
        <v>25.8572249994812</v>
      </c>
      <c r="AE18" s="908">
        <f t="shared" si="42"/>
        <v>13.626430166437945</v>
      </c>
      <c r="AF18" s="908">
        <f t="shared" si="42"/>
        <v>83.894019139634395</v>
      </c>
      <c r="AG18" s="908">
        <f t="shared" si="42"/>
        <v>481.61760829222214</v>
      </c>
      <c r="AH18" s="908">
        <f t="shared" si="42"/>
        <v>20.960416794233971</v>
      </c>
      <c r="AI18" s="908">
        <f t="shared" si="42"/>
        <v>11.432433882182863</v>
      </c>
      <c r="AJ18" s="908">
        <f t="shared" si="9"/>
        <v>637.38813327419257</v>
      </c>
      <c r="AK18" s="914">
        <f t="shared" si="30"/>
        <v>94.809824998097724</v>
      </c>
      <c r="AL18" s="889">
        <f t="shared" si="31"/>
        <v>49.963577276939134</v>
      </c>
      <c r="AM18" s="889">
        <f t="shared" si="32"/>
        <v>307.61140351199276</v>
      </c>
      <c r="AN18" s="889">
        <f t="shared" si="33"/>
        <v>1765.9312304048144</v>
      </c>
      <c r="AO18" s="889">
        <f t="shared" si="34"/>
        <v>76.854861578857893</v>
      </c>
      <c r="AP18" s="889">
        <f t="shared" si="35"/>
        <v>41.918924234670499</v>
      </c>
      <c r="AQ18" s="915">
        <f t="shared" si="38"/>
        <v>2337.0898220053723</v>
      </c>
    </row>
    <row r="19" spans="1:43">
      <c r="A19" s="817"/>
      <c r="B19" s="860" t="s">
        <v>1608</v>
      </c>
      <c r="C19" s="883"/>
      <c r="D19" s="883"/>
      <c r="E19" s="883">
        <f>HLOOKUP($B$2,'Consumption Input'!$E$5:$AQ$82,'Consumption Input'!$B27)</f>
        <v>1239.9570000000001</v>
      </c>
      <c r="F19" s="883"/>
      <c r="G19" s="883"/>
      <c r="H19" s="883"/>
      <c r="I19" s="883">
        <f t="shared" si="36"/>
        <v>1239.9570000000001</v>
      </c>
      <c r="J19" s="961"/>
      <c r="K19" s="940">
        <f>HLOOKUP($B$2,NEUConsumption,'Non-Energy Use'!$C$10)</f>
        <v>1239.9570000000001</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7"/>
        <v>0</v>
      </c>
      <c r="AC19" s="888">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33.731000000000002</v>
      </c>
      <c r="G20" s="883"/>
      <c r="H20" s="883"/>
      <c r="I20" s="883">
        <f t="shared" si="36"/>
        <v>33.731000000000002</v>
      </c>
      <c r="J20" s="961"/>
      <c r="K20" s="940"/>
      <c r="L20" s="940"/>
      <c r="M20" s="940"/>
      <c r="N20" s="885">
        <f t="shared" si="43"/>
        <v>0</v>
      </c>
      <c r="O20" s="883">
        <f t="shared" si="44"/>
        <v>0</v>
      </c>
      <c r="P20" s="883">
        <f t="shared" si="45"/>
        <v>0</v>
      </c>
      <c r="Q20" s="883">
        <f t="shared" si="46"/>
        <v>33.731000000000002</v>
      </c>
      <c r="R20" s="883">
        <f t="shared" si="47"/>
        <v>0</v>
      </c>
      <c r="S20" s="886">
        <f t="shared" si="48"/>
        <v>0</v>
      </c>
      <c r="T20" s="883">
        <f t="shared" si="7"/>
        <v>33.731000000000002</v>
      </c>
      <c r="U20" s="887">
        <f>Factors!D25</f>
        <v>18.855352254718337</v>
      </c>
      <c r="V20" s="885">
        <f t="shared" si="49"/>
        <v>0</v>
      </c>
      <c r="W20" s="883">
        <f t="shared" si="50"/>
        <v>0</v>
      </c>
      <c r="X20" s="883">
        <f t="shared" si="51"/>
        <v>0</v>
      </c>
      <c r="Y20" s="883">
        <f t="shared" si="52"/>
        <v>0.63600988690390425</v>
      </c>
      <c r="Z20" s="883">
        <f t="shared" si="53"/>
        <v>0</v>
      </c>
      <c r="AA20" s="883">
        <f t="shared" si="54"/>
        <v>0</v>
      </c>
      <c r="AB20" s="883">
        <f t="shared" si="37"/>
        <v>0.63600988690390425</v>
      </c>
      <c r="AC20" s="888">
        <f>Factors!E25</f>
        <v>1</v>
      </c>
      <c r="AD20" s="885">
        <f t="shared" si="55"/>
        <v>0</v>
      </c>
      <c r="AE20" s="883">
        <f t="shared" si="56"/>
        <v>0</v>
      </c>
      <c r="AF20" s="883">
        <f t="shared" si="57"/>
        <v>0</v>
      </c>
      <c r="AG20" s="883">
        <f t="shared" si="58"/>
        <v>0.63600988690390425</v>
      </c>
      <c r="AH20" s="883">
        <f t="shared" si="59"/>
        <v>0</v>
      </c>
      <c r="AI20" s="883">
        <f t="shared" si="60"/>
        <v>0</v>
      </c>
      <c r="AJ20" s="889">
        <f t="shared" si="9"/>
        <v>0.63600988690390425</v>
      </c>
      <c r="AK20" s="885">
        <f t="shared" si="30"/>
        <v>0</v>
      </c>
      <c r="AL20" s="883">
        <f t="shared" si="31"/>
        <v>0</v>
      </c>
      <c r="AM20" s="883">
        <f t="shared" si="32"/>
        <v>0</v>
      </c>
      <c r="AN20" s="883">
        <f t="shared" si="33"/>
        <v>2.3320362519809823</v>
      </c>
      <c r="AO20" s="883">
        <f t="shared" si="34"/>
        <v>0</v>
      </c>
      <c r="AP20" s="883">
        <f t="shared" si="35"/>
        <v>0</v>
      </c>
      <c r="AQ20" s="890">
        <f t="shared" si="38"/>
        <v>2.3320362519809823</v>
      </c>
    </row>
    <row r="21" spans="1:43">
      <c r="A21" s="817"/>
      <c r="B21" s="860" t="s">
        <v>1738</v>
      </c>
      <c r="C21" s="883">
        <f>HLOOKUP($B$2,'Consumption Input'!$E$5:$AQ$82,'Consumption Input'!$B9)</f>
        <v>758.27598600589943</v>
      </c>
      <c r="D21" s="883">
        <f>HLOOKUP($B$2,'Consumption Input'!$E$5:$AQ$82,'Consumption Input'!$B15)</f>
        <v>391.63175094660932</v>
      </c>
      <c r="E21" s="883">
        <f>HLOOKUP($B$2,'Consumption Input'!$E$5:$AQ$82,'Consumption Input'!$B28)</f>
        <v>1055.160164237968</v>
      </c>
      <c r="F21" s="883">
        <f>HLOOKUP($B$2,'Consumption Input'!$E$5:$AQ$82,'Consumption Input'!$B51)</f>
        <v>5678.4138750000002</v>
      </c>
      <c r="G21" s="883">
        <f>HLOOKUP($B$2,'Consumption Input'!$E$5:$AQ$82,'Consumption Input'!$B60)</f>
        <v>127.29799999999999</v>
      </c>
      <c r="H21" s="883">
        <f>HLOOKUP($B$2,'US Territories'!$D$28:$Z$38,'US Territories'!$B31)</f>
        <v>92.038625110551408</v>
      </c>
      <c r="I21" s="883">
        <f t="shared" si="36"/>
        <v>8102.8184013010277</v>
      </c>
      <c r="J21" s="961">
        <f>HLOOKUP($B$2,IBFConsumption,'International Bunker Fuels'!$B$10)</f>
        <v>82.553591993078072</v>
      </c>
      <c r="K21" s="940">
        <f>HLOOKUP($B$2,NEUConsumption,'Non-Energy Use'!$C$20)</f>
        <v>11.65</v>
      </c>
      <c r="L21" s="940"/>
      <c r="M21" s="940"/>
      <c r="N21" s="885">
        <f t="shared" si="43"/>
        <v>758.27598600589943</v>
      </c>
      <c r="O21" s="883">
        <f t="shared" si="44"/>
        <v>391.63175094660932</v>
      </c>
      <c r="P21" s="883">
        <f t="shared" si="45"/>
        <v>1043.510164237968</v>
      </c>
      <c r="Q21" s="883">
        <f t="shared" si="46"/>
        <v>5595.8602830069221</v>
      </c>
      <c r="R21" s="883">
        <f t="shared" si="47"/>
        <v>127.29799999999999</v>
      </c>
      <c r="S21" s="886">
        <f t="shared" si="48"/>
        <v>92.038625110551408</v>
      </c>
      <c r="T21" s="883">
        <f t="shared" si="7"/>
        <v>8008.6148093079501</v>
      </c>
      <c r="U21" s="887">
        <f>HLOOKUP($B$2,Factors!$J$12:$BE$27,Factors!$H27,FALSE)</f>
        <v>20.36</v>
      </c>
      <c r="V21" s="885">
        <f t="shared" si="49"/>
        <v>15.438499075080111</v>
      </c>
      <c r="W21" s="883">
        <f t="shared" si="50"/>
        <v>7.9736224492729653</v>
      </c>
      <c r="X21" s="883">
        <f t="shared" si="51"/>
        <v>21.245866943885027</v>
      </c>
      <c r="Y21" s="883">
        <f t="shared" si="52"/>
        <v>113.93171536202092</v>
      </c>
      <c r="Z21" s="883">
        <f t="shared" si="53"/>
        <v>2.5917872799999997</v>
      </c>
      <c r="AA21" s="883">
        <f t="shared" si="54"/>
        <v>1.8739064072508265</v>
      </c>
      <c r="AB21" s="883">
        <f t="shared" si="37"/>
        <v>163.05539751750985</v>
      </c>
      <c r="AC21" s="888">
        <f>Factors!E26</f>
        <v>1</v>
      </c>
      <c r="AD21" s="885">
        <f t="shared" si="55"/>
        <v>15.438499075080111</v>
      </c>
      <c r="AE21" s="883">
        <f t="shared" si="56"/>
        <v>7.9736224492729653</v>
      </c>
      <c r="AF21" s="883">
        <f t="shared" si="57"/>
        <v>21.245866943885027</v>
      </c>
      <c r="AG21" s="883">
        <f t="shared" si="58"/>
        <v>113.93171536202092</v>
      </c>
      <c r="AH21" s="883">
        <f t="shared" si="59"/>
        <v>2.5917872799999997</v>
      </c>
      <c r="AI21" s="883">
        <f t="shared" si="60"/>
        <v>1.8739064072508265</v>
      </c>
      <c r="AJ21" s="889">
        <f t="shared" si="9"/>
        <v>163.05539751750985</v>
      </c>
      <c r="AK21" s="885">
        <f t="shared" si="30"/>
        <v>56.607829941960404</v>
      </c>
      <c r="AL21" s="883">
        <f t="shared" si="31"/>
        <v>29.236615647334204</v>
      </c>
      <c r="AM21" s="883">
        <f t="shared" si="32"/>
        <v>77.901512127578428</v>
      </c>
      <c r="AN21" s="883">
        <f t="shared" si="33"/>
        <v>417.74962299407673</v>
      </c>
      <c r="AO21" s="883">
        <f t="shared" si="34"/>
        <v>9.503220026666666</v>
      </c>
      <c r="AP21" s="883">
        <f t="shared" si="35"/>
        <v>6.870990159919697</v>
      </c>
      <c r="AQ21" s="890">
        <f t="shared" si="38"/>
        <v>597.86979089753606</v>
      </c>
    </row>
    <row r="22" spans="1:43">
      <c r="A22" s="817"/>
      <c r="B22" s="860" t="s">
        <v>1623</v>
      </c>
      <c r="C22" s="883"/>
      <c r="D22" s="883"/>
      <c r="E22" s="883"/>
      <c r="F22" s="883">
        <f>HLOOKUP($B$2,'Consumption Input'!$E$5:$AQ$82,'Consumption Input'!$B52)</f>
        <v>3340.3180000000002</v>
      </c>
      <c r="G22" s="883"/>
      <c r="H22" s="883">
        <f>HLOOKUP($B$2,'US Territories'!$D$28:$Z$38,'US Territories'!$B32)</f>
        <v>69.37519843541105</v>
      </c>
      <c r="I22" s="883">
        <f t="shared" si="36"/>
        <v>3409.6931984354114</v>
      </c>
      <c r="J22" s="961">
        <f>HLOOKUP($B$2,IBFConsumption,'International Bunker Fuels'!$B$8)</f>
        <v>776.20775422890858</v>
      </c>
      <c r="K22" s="940"/>
      <c r="L22" s="940"/>
      <c r="M22" s="940"/>
      <c r="N22" s="885">
        <f t="shared" si="43"/>
        <v>0</v>
      </c>
      <c r="O22" s="883">
        <f t="shared" si="44"/>
        <v>0</v>
      </c>
      <c r="P22" s="883">
        <f t="shared" si="45"/>
        <v>0</v>
      </c>
      <c r="Q22" s="883">
        <f t="shared" si="46"/>
        <v>2564.1102457710917</v>
      </c>
      <c r="R22" s="883">
        <f t="shared" si="47"/>
        <v>0</v>
      </c>
      <c r="S22" s="886">
        <f t="shared" si="48"/>
        <v>69.37519843541105</v>
      </c>
      <c r="T22" s="883">
        <f t="shared" si="7"/>
        <v>2633.485444206503</v>
      </c>
      <c r="U22" s="887">
        <f>HLOOKUP($B$2,Factors!$J$12:$Y$25,Factors!$H21)</f>
        <v>19.696969696969692</v>
      </c>
      <c r="V22" s="885">
        <f t="shared" si="49"/>
        <v>0</v>
      </c>
      <c r="W22" s="883">
        <f t="shared" si="50"/>
        <v>0</v>
      </c>
      <c r="X22" s="883">
        <f t="shared" si="51"/>
        <v>0</v>
      </c>
      <c r="Y22" s="883">
        <f t="shared" si="52"/>
        <v>50.50520181064271</v>
      </c>
      <c r="Z22" s="883">
        <f t="shared" si="53"/>
        <v>0</v>
      </c>
      <c r="AA22" s="883">
        <f t="shared" si="54"/>
        <v>1.3664811813035507</v>
      </c>
      <c r="AB22" s="883">
        <f t="shared" si="37"/>
        <v>51.871682991946258</v>
      </c>
      <c r="AC22" s="888">
        <f>Factors!E27</f>
        <v>1</v>
      </c>
      <c r="AD22" s="885">
        <f t="shared" si="55"/>
        <v>0</v>
      </c>
      <c r="AE22" s="883">
        <f t="shared" si="56"/>
        <v>0</v>
      </c>
      <c r="AF22" s="883">
        <f t="shared" si="57"/>
        <v>0</v>
      </c>
      <c r="AG22" s="883">
        <f t="shared" si="58"/>
        <v>50.50520181064271</v>
      </c>
      <c r="AH22" s="883">
        <f t="shared" si="59"/>
        <v>0</v>
      </c>
      <c r="AI22" s="883">
        <f t="shared" si="60"/>
        <v>1.3664811813035507</v>
      </c>
      <c r="AJ22" s="889">
        <f t="shared" si="9"/>
        <v>51.871682991946258</v>
      </c>
      <c r="AK22" s="885">
        <f t="shared" si="30"/>
        <v>0</v>
      </c>
      <c r="AL22" s="883">
        <f t="shared" si="31"/>
        <v>0</v>
      </c>
      <c r="AM22" s="883">
        <f t="shared" si="32"/>
        <v>0</v>
      </c>
      <c r="AN22" s="883">
        <f t="shared" si="33"/>
        <v>185.1857399723566</v>
      </c>
      <c r="AO22" s="883">
        <f t="shared" si="34"/>
        <v>0</v>
      </c>
      <c r="AP22" s="883">
        <f t="shared" si="35"/>
        <v>5.0104309981130193</v>
      </c>
      <c r="AQ22" s="890">
        <f t="shared" si="38"/>
        <v>190.19617097046961</v>
      </c>
    </row>
    <row r="23" spans="1:43">
      <c r="A23" s="817"/>
      <c r="B23" s="860" t="s">
        <v>1599</v>
      </c>
      <c r="C23" s="883">
        <f>HLOOKUP($B$2,'Consumption Input'!$E$5:$AQ$82,'Consumption Input'!$B10)</f>
        <v>59.936999999999998</v>
      </c>
      <c r="D23" s="883">
        <f>HLOOKUP($B$2,'Consumption Input'!$E$5:$AQ$82,'Consumption Input'!$B16)</f>
        <v>15.949000000000002</v>
      </c>
      <c r="E23" s="883">
        <f>HLOOKUP($B$2,'Consumption Input'!$E$5:$AQ$82,'Consumption Input'!$B29)</f>
        <v>13.807999999999998</v>
      </c>
      <c r="F23" s="883"/>
      <c r="G23" s="883"/>
      <c r="H23" s="883">
        <f>HLOOKUP($B$2,'US Territories'!$D$28:$Z$38,'US Territories'!$B33)</f>
        <v>8.1668745209589115</v>
      </c>
      <c r="I23" s="883">
        <f t="shared" si="36"/>
        <v>97.860874520958902</v>
      </c>
      <c r="J23" s="961"/>
      <c r="K23" s="940"/>
      <c r="L23" s="940"/>
      <c r="M23" s="940"/>
      <c r="N23" s="885">
        <f t="shared" si="43"/>
        <v>59.936999999999998</v>
      </c>
      <c r="O23" s="883">
        <f t="shared" si="44"/>
        <v>15.949000000000002</v>
      </c>
      <c r="P23" s="883">
        <f t="shared" si="45"/>
        <v>13.807999999999998</v>
      </c>
      <c r="Q23" s="883">
        <f t="shared" si="46"/>
        <v>0</v>
      </c>
      <c r="R23" s="883">
        <f t="shared" si="47"/>
        <v>0</v>
      </c>
      <c r="S23" s="886">
        <f t="shared" si="48"/>
        <v>8.1668745209589115</v>
      </c>
      <c r="T23" s="883">
        <f t="shared" si="7"/>
        <v>97.860874520958902</v>
      </c>
      <c r="U23" s="887">
        <f>Factors!D28</f>
        <v>19.964104564962931</v>
      </c>
      <c r="V23" s="885">
        <f t="shared" si="49"/>
        <v>1.1965885353101831</v>
      </c>
      <c r="W23" s="883">
        <f t="shared" si="50"/>
        <v>0.31840750370659382</v>
      </c>
      <c r="X23" s="883">
        <f t="shared" si="51"/>
        <v>0.27566435583300813</v>
      </c>
      <c r="Y23" s="883">
        <f t="shared" si="52"/>
        <v>0</v>
      </c>
      <c r="Z23" s="883">
        <f t="shared" si="53"/>
        <v>0</v>
      </c>
      <c r="AA23" s="883">
        <f t="shared" si="54"/>
        <v>0.16304433690535527</v>
      </c>
      <c r="AB23" s="883">
        <f t="shared" si="37"/>
        <v>1.9537047317551404</v>
      </c>
      <c r="AC23" s="888">
        <f>Factors!E28</f>
        <v>1</v>
      </c>
      <c r="AD23" s="885">
        <f t="shared" si="55"/>
        <v>1.1965885353101831</v>
      </c>
      <c r="AE23" s="883">
        <f t="shared" si="56"/>
        <v>0.31840750370659382</v>
      </c>
      <c r="AF23" s="883">
        <f t="shared" si="57"/>
        <v>0.27566435583300813</v>
      </c>
      <c r="AG23" s="883">
        <f t="shared" si="58"/>
        <v>0</v>
      </c>
      <c r="AH23" s="883">
        <f t="shared" si="59"/>
        <v>0</v>
      </c>
      <c r="AI23" s="883">
        <f t="shared" si="60"/>
        <v>0.16304433690535527</v>
      </c>
      <c r="AJ23" s="889">
        <f t="shared" si="9"/>
        <v>1.9537047317551404</v>
      </c>
      <c r="AK23" s="885">
        <f t="shared" si="30"/>
        <v>4.3874912961373376</v>
      </c>
      <c r="AL23" s="883">
        <f t="shared" si="31"/>
        <v>1.1674941802575107</v>
      </c>
      <c r="AM23" s="883">
        <f t="shared" si="32"/>
        <v>1.0107693047210298</v>
      </c>
      <c r="AN23" s="883">
        <f t="shared" si="33"/>
        <v>0</v>
      </c>
      <c r="AO23" s="883">
        <f t="shared" si="34"/>
        <v>0</v>
      </c>
      <c r="AP23" s="883">
        <f t="shared" si="35"/>
        <v>0.59782923531963594</v>
      </c>
      <c r="AQ23" s="890">
        <f t="shared" si="38"/>
        <v>7.1635840164355136</v>
      </c>
    </row>
    <row r="24" spans="1:43">
      <c r="A24" s="817"/>
      <c r="B24" s="860" t="s">
        <v>1600</v>
      </c>
      <c r="C24" s="883">
        <f>HLOOKUP($B$2,'Consumption Input'!$E$5:$AQ$82,'Consumption Input'!$B11)</f>
        <v>537.84799999999996</v>
      </c>
      <c r="D24" s="883">
        <f>HLOOKUP($B$2,'Consumption Input'!$E$5:$AQ$82,'Consumption Input'!$B17)</f>
        <v>140.98099999999999</v>
      </c>
      <c r="E24"/>
      <c r="F24" s="883">
        <f>HLOOKUP($B$2,'Consumption Input'!$E$5:$AQ$82,'Consumption Input'!$B53)</f>
        <v>14.3</v>
      </c>
      <c r="G24" s="883"/>
      <c r="H24"/>
      <c r="I24" s="883">
        <f>SUM(C24:H24)</f>
        <v>693.12899999999991</v>
      </c>
      <c r="J24" s="884"/>
      <c r="K24"/>
      <c r="L24" s="883"/>
      <c r="M24" s="883"/>
      <c r="N24" s="885">
        <f>C24</f>
        <v>537.84799999999996</v>
      </c>
      <c r="O24" s="883">
        <f t="shared" si="44"/>
        <v>140.98099999999999</v>
      </c>
      <c r="P24"/>
      <c r="Q24" s="883">
        <f t="shared" si="46"/>
        <v>14.3</v>
      </c>
      <c r="R24" s="883">
        <f t="shared" si="47"/>
        <v>0</v>
      </c>
      <c r="S24" s="1007"/>
      <c r="T24" s="883">
        <f t="shared" si="7"/>
        <v>693.12899999999991</v>
      </c>
      <c r="U24" s="1005">
        <f>HLOOKUP($B$2,Factors!$J$12:$BE$25,Factors!$H17,FALSE)</f>
        <v>17.146363636363635</v>
      </c>
      <c r="V24" s="885">
        <f>N24*$U24*TbtuToQBtu</f>
        <v>9.2221373890909071</v>
      </c>
      <c r="W24" s="883">
        <f>O24*$U24*TbtuToQBtu</f>
        <v>2.4173114918181815</v>
      </c>
      <c r="X24"/>
      <c r="Y24" s="883">
        <f>Q24*$U24*TbtuToQBtu</f>
        <v>0.24519299999999999</v>
      </c>
      <c r="Z24" s="883">
        <f t="shared" ref="Z24" si="61">R24*$U24*TbtuToQBtu</f>
        <v>0</v>
      </c>
      <c r="AA24"/>
      <c r="AB24" s="883">
        <f>SUM(V24:AA24)</f>
        <v>11.88464188090909</v>
      </c>
      <c r="AC24" s="888">
        <f>Factors!E30</f>
        <v>1</v>
      </c>
      <c r="AD24" s="885">
        <f>V24*$AC24</f>
        <v>9.2221373890909071</v>
      </c>
      <c r="AE24" s="883">
        <f t="shared" si="56"/>
        <v>2.4173114918181815</v>
      </c>
      <c r="AF24"/>
      <c r="AG24" s="883">
        <f t="shared" si="56"/>
        <v>0.24519299999999999</v>
      </c>
      <c r="AH24" s="883">
        <f t="shared" si="56"/>
        <v>0</v>
      </c>
      <c r="AI24"/>
      <c r="AJ24" s="889">
        <f t="shared" si="9"/>
        <v>11.88464188090909</v>
      </c>
      <c r="AK24" s="885">
        <f>AD24*CtoCO2</f>
        <v>33.814503759999994</v>
      </c>
      <c r="AL24" s="883">
        <f t="shared" ref="AL24" si="62">AE24*CtoCO2</f>
        <v>8.8634754699999991</v>
      </c>
      <c r="AN24" s="883">
        <f t="shared" ref="AN24" si="63">AG24*CtoCO2</f>
        <v>0.89904099999999998</v>
      </c>
      <c r="AO24" s="883">
        <f t="shared" ref="AO24" si="64">AH24*CtoCO2</f>
        <v>0</v>
      </c>
      <c r="AQ24" s="890">
        <f t="shared" si="38"/>
        <v>43.577020229999988</v>
      </c>
    </row>
    <row r="25" spans="1:43">
      <c r="A25" s="817"/>
      <c r="B25" s="860" t="s">
        <v>1609</v>
      </c>
      <c r="C25" s="883"/>
      <c r="D25" s="883"/>
      <c r="E25" s="883">
        <f>HLOOKUP($B$2,'Consumption Input'!$E$5:$AQ$82,'Consumption Input'!$B30)</f>
        <v>2088.4931587649999</v>
      </c>
      <c r="F25" s="883"/>
      <c r="G25" s="883"/>
      <c r="H25" s="883">
        <f>HLOOKUP($B$2,'US Territories'!$D$28:$AO$38,'US Territories'!$B34)</f>
        <v>11.133369169486024</v>
      </c>
      <c r="I25" s="883">
        <f>SUM(C25:H25)</f>
        <v>2099.6265279344857</v>
      </c>
      <c r="J25" s="884"/>
      <c r="K25" s="883">
        <f>HLOOKUP($B$2,NEUConsumption,'Non-Energy Use'!$C$11)</f>
        <v>1766.2851168840132</v>
      </c>
      <c r="L25" s="883"/>
      <c r="M25" s="883"/>
      <c r="N25" s="885"/>
      <c r="O25" s="883"/>
      <c r="P25" s="883">
        <f>E25-K25</f>
        <v>322.20804188098668</v>
      </c>
      <c r="Q25" s="883"/>
      <c r="R25" s="883"/>
      <c r="S25" s="886">
        <f>H25-M25</f>
        <v>11.133369169486024</v>
      </c>
      <c r="T25" s="883">
        <f t="shared" si="7"/>
        <v>333.34141105047269</v>
      </c>
      <c r="U25" s="1005">
        <f>HLOOKUP($B$2,Factors!$J$12:$BE$25,Factors!$H18,FALSE)</f>
        <v>17.527380437151844</v>
      </c>
      <c r="V25" s="885"/>
      <c r="W25" s="883"/>
      <c r="X25" s="883">
        <f>P25*$U25*TbtuToQBtu</f>
        <v>5.6474629299578085</v>
      </c>
      <c r="Y25" s="883"/>
      <c r="Z25" s="883"/>
      <c r="AA25" s="883">
        <f>S25*$U25*TbtuToQBtu</f>
        <v>0.1951387969808388</v>
      </c>
      <c r="AB25" s="883">
        <f>SUM(V25:AA25)</f>
        <v>5.8426017269386472</v>
      </c>
      <c r="AC25" s="888">
        <f>Factors!E31</f>
        <v>1</v>
      </c>
      <c r="AD25" s="885"/>
      <c r="AE25" s="883"/>
      <c r="AF25" s="883">
        <f>X25*$AC25</f>
        <v>5.6474629299578085</v>
      </c>
      <c r="AG25" s="883"/>
      <c r="AH25" s="883"/>
      <c r="AI25" s="883">
        <f>AA25*$AC25</f>
        <v>0.1951387969808388</v>
      </c>
      <c r="AJ25" s="889">
        <f t="shared" si="9"/>
        <v>5.8426017269386472</v>
      </c>
      <c r="AK25" s="885"/>
      <c r="AL25" s="883"/>
      <c r="AM25" s="883">
        <f>AF25*CtoCO2</f>
        <v>20.707364076511965</v>
      </c>
      <c r="AN25" s="883"/>
      <c r="AO25" s="883"/>
      <c r="AP25" s="883">
        <f>AI25*CtoCO2</f>
        <v>0.71550892226307561</v>
      </c>
      <c r="AQ25" s="890">
        <f t="shared" si="38"/>
        <v>21.422872998775041</v>
      </c>
    </row>
    <row r="26" spans="1:43">
      <c r="A26" s="817"/>
      <c r="B26" s="860" t="s">
        <v>1610</v>
      </c>
      <c r="C26" s="883"/>
      <c r="D26" s="883"/>
      <c r="E26" s="883">
        <f>HLOOKUP($B$2,'Consumption Input'!$E$5:$AQ$82,'Consumption Input'!$B31)</f>
        <v>171.935</v>
      </c>
      <c r="F26" s="883">
        <f>HLOOKUP($B$2,'Consumption Input'!$E$5:$AQ$82,'Consumption Input'!$B54)</f>
        <v>162.392</v>
      </c>
      <c r="G26" s="883"/>
      <c r="H26" s="883">
        <f>HLOOKUP($B$2,'US Territories'!$D$28:$Z$38,'US Territories'!$B35)</f>
        <v>3.0250545519965732</v>
      </c>
      <c r="I26" s="883">
        <f t="shared" si="36"/>
        <v>337.35205455199656</v>
      </c>
      <c r="J26" s="961"/>
      <c r="K26" s="940">
        <f>HLOOKUP($B$2,NEUConsumption,'Non-Energy Use'!$C$12)</f>
        <v>171.935</v>
      </c>
      <c r="L26" s="940">
        <f>HLOOKUP($B$2,NEUConsumption,'Non-Energy Use'!$C$24)</f>
        <v>162.392</v>
      </c>
      <c r="M26" s="940">
        <f>HLOOKUP($B$2,NEUConsumption,'Non-Energy Use'!$C$26)</f>
        <v>3.0250545519965732</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7"/>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65.907510475913895</v>
      </c>
      <c r="E27" s="883">
        <f>HLOOKUP($B$2,'Consumption Input'!$E$5:$AQ$82,'Consumption Input'!$B32)</f>
        <v>451.4043065343742</v>
      </c>
      <c r="F27" s="883">
        <f>HLOOKUP($B$2,'Consumption Input'!$E$5:$AQ$82,'Consumption Input'!$B55)</f>
        <v>16096.71506466971</v>
      </c>
      <c r="G27" s="883"/>
      <c r="H27" s="883">
        <f>HLOOKUP($B$2,'US Territories'!$D$28:$Z$38,'US Territories'!$B36)</f>
        <v>191.44454831532414</v>
      </c>
      <c r="I27" s="883">
        <f t="shared" si="36"/>
        <v>16805.471429995323</v>
      </c>
      <c r="J27" s="961"/>
      <c r="K27" s="940"/>
      <c r="L27" s="940"/>
      <c r="M27" s="940"/>
      <c r="N27" s="885">
        <f t="shared" si="43"/>
        <v>0</v>
      </c>
      <c r="O27" s="883">
        <f t="shared" si="44"/>
        <v>65.907510475913895</v>
      </c>
      <c r="P27" s="883">
        <f t="shared" si="45"/>
        <v>451.4043065343742</v>
      </c>
      <c r="Q27" s="883">
        <f t="shared" si="46"/>
        <v>16096.71506466971</v>
      </c>
      <c r="R27" s="883">
        <f t="shared" si="47"/>
        <v>0</v>
      </c>
      <c r="S27" s="886">
        <f t="shared" si="48"/>
        <v>191.44454831532414</v>
      </c>
      <c r="T27" s="883">
        <f t="shared" si="7"/>
        <v>16805.471429995323</v>
      </c>
      <c r="U27" s="887">
        <f>HLOOKUP($B$2,Factors!$J$12:$Y$25,Factors!$H20)</f>
        <v>19.36</v>
      </c>
      <c r="V27" s="885">
        <f t="shared" si="49"/>
        <v>0</v>
      </c>
      <c r="W27" s="883">
        <f t="shared" si="50"/>
        <v>1.275969402813693</v>
      </c>
      <c r="X27" s="883">
        <f t="shared" si="51"/>
        <v>8.7391873745054838</v>
      </c>
      <c r="Y27" s="883">
        <f t="shared" si="52"/>
        <v>311.63240365200562</v>
      </c>
      <c r="Z27" s="883">
        <f t="shared" si="53"/>
        <v>0</v>
      </c>
      <c r="AA27" s="883">
        <f t="shared" si="54"/>
        <v>3.7063664553846754</v>
      </c>
      <c r="AB27" s="883">
        <f t="shared" si="37"/>
        <v>325.35392688470949</v>
      </c>
      <c r="AC27" s="888">
        <f>Factors!E34</f>
        <v>1</v>
      </c>
      <c r="AD27" s="885">
        <f t="shared" si="55"/>
        <v>0</v>
      </c>
      <c r="AE27" s="883">
        <f t="shared" si="56"/>
        <v>1.275969402813693</v>
      </c>
      <c r="AF27" s="883">
        <f t="shared" si="57"/>
        <v>8.7391873745054838</v>
      </c>
      <c r="AG27" s="883">
        <f>Y27*$AC44</f>
        <v>311.63240365200562</v>
      </c>
      <c r="AH27" s="883">
        <f t="shared" si="59"/>
        <v>0</v>
      </c>
      <c r="AI27" s="883">
        <f t="shared" si="60"/>
        <v>3.7063664553846754</v>
      </c>
      <c r="AJ27" s="889">
        <f t="shared" si="9"/>
        <v>325.35392688470949</v>
      </c>
      <c r="AK27" s="885">
        <f t="shared" si="30"/>
        <v>0</v>
      </c>
      <c r="AL27" s="883">
        <f t="shared" si="31"/>
        <v>4.6785544769835408</v>
      </c>
      <c r="AM27" s="883">
        <f t="shared" si="32"/>
        <v>32.043687039853438</v>
      </c>
      <c r="AN27" s="883">
        <f t="shared" si="33"/>
        <v>1142.6521467240207</v>
      </c>
      <c r="AO27" s="883">
        <f t="shared" si="34"/>
        <v>0</v>
      </c>
      <c r="AP27" s="883">
        <f t="shared" si="35"/>
        <v>13.590010336410476</v>
      </c>
      <c r="AQ27" s="890">
        <f t="shared" si="38"/>
        <v>1192.964398577268</v>
      </c>
    </row>
    <row r="28" spans="1:43">
      <c r="A28" s="817"/>
      <c r="B28" s="860" t="s">
        <v>1602</v>
      </c>
      <c r="C28" s="883"/>
      <c r="D28" s="883">
        <f>HLOOKUP($B$2,'Consumption Input'!$E$5:$AQ$82,'Consumption Input'!$B19)</f>
        <v>79.801000000000002</v>
      </c>
      <c r="E28" s="883">
        <f>HLOOKUP($B$2,'Consumption Input'!$E$5:$AQ$82,'Consumption Input'!$B33)</f>
        <v>146.09800000000001</v>
      </c>
      <c r="F28" s="883">
        <f>HLOOKUP($B$2,'Consumption Input'!$E$5:$AQ$82,'Consumption Input'!$B56)</f>
        <v>676.81100000000004</v>
      </c>
      <c r="G28" s="883">
        <f>HLOOKUP($B$2,'Consumption Input'!$E$5:$AQ$82,'Consumption Input'!$B61)</f>
        <v>658.71</v>
      </c>
      <c r="H28" s="883">
        <f>HLOOKUP($B$2,'US Territories'!$D$28:$Z$38,'US Territories'!$B37)</f>
        <v>201.5379250174617</v>
      </c>
      <c r="I28" s="883">
        <f t="shared" si="36"/>
        <v>1762.9579250174618</v>
      </c>
      <c r="J28" s="961">
        <f>HLOOKUP($B$2,IBFConsumption,'International Bunker Fuels'!$B$9)</f>
        <v>448.92601071049995</v>
      </c>
      <c r="K28" s="940"/>
      <c r="L28" s="940"/>
      <c r="M28" s="940"/>
      <c r="N28" s="885">
        <f t="shared" si="43"/>
        <v>0</v>
      </c>
      <c r="O28" s="883">
        <f t="shared" si="44"/>
        <v>79.801000000000002</v>
      </c>
      <c r="P28" s="883">
        <f t="shared" si="45"/>
        <v>146.09800000000001</v>
      </c>
      <c r="Q28" s="883">
        <f t="shared" si="46"/>
        <v>227.88498928950008</v>
      </c>
      <c r="R28" s="883">
        <f t="shared" si="47"/>
        <v>658.71</v>
      </c>
      <c r="S28" s="886">
        <f t="shared" si="48"/>
        <v>201.5379250174617</v>
      </c>
      <c r="T28" s="883">
        <f t="shared" si="7"/>
        <v>1314.0319143069619</v>
      </c>
      <c r="U28" s="887">
        <f>Factors!D36</f>
        <v>20.48</v>
      </c>
      <c r="V28" s="885">
        <f t="shared" si="49"/>
        <v>0</v>
      </c>
      <c r="W28" s="883">
        <f t="shared" si="50"/>
        <v>1.6343244800000001</v>
      </c>
      <c r="X28" s="883">
        <f t="shared" si="51"/>
        <v>2.9920870400000004</v>
      </c>
      <c r="Y28" s="883">
        <f t="shared" si="52"/>
        <v>4.6670845806489618</v>
      </c>
      <c r="Z28" s="883">
        <f t="shared" si="53"/>
        <v>13.490380800000001</v>
      </c>
      <c r="AA28" s="883">
        <f t="shared" si="54"/>
        <v>4.1274967043576165</v>
      </c>
      <c r="AB28" s="883">
        <f t="shared" si="37"/>
        <v>26.911373605006581</v>
      </c>
      <c r="AC28" s="888">
        <f>Factors!E36</f>
        <v>1</v>
      </c>
      <c r="AD28" s="885">
        <f t="shared" si="55"/>
        <v>0</v>
      </c>
      <c r="AE28" s="883">
        <f t="shared" si="56"/>
        <v>1.6343244800000001</v>
      </c>
      <c r="AF28" s="883">
        <f t="shared" si="57"/>
        <v>2.9920870400000004</v>
      </c>
      <c r="AG28" s="883">
        <f t="shared" si="58"/>
        <v>4.6670845806489618</v>
      </c>
      <c r="AH28" s="883">
        <f t="shared" si="59"/>
        <v>13.490380800000001</v>
      </c>
      <c r="AI28" s="883">
        <f t="shared" si="60"/>
        <v>4.1274967043576165</v>
      </c>
      <c r="AJ28" s="889">
        <f t="shared" si="9"/>
        <v>26.911373605006581</v>
      </c>
      <c r="AK28" s="885">
        <f t="shared" si="30"/>
        <v>0</v>
      </c>
      <c r="AL28" s="883">
        <f t="shared" si="31"/>
        <v>5.9925230933333333</v>
      </c>
      <c r="AM28" s="883">
        <f t="shared" si="32"/>
        <v>10.970985813333334</v>
      </c>
      <c r="AN28" s="883">
        <f t="shared" si="33"/>
        <v>17.112643462379527</v>
      </c>
      <c r="AO28" s="883">
        <f t="shared" si="34"/>
        <v>49.464729599999998</v>
      </c>
      <c r="AP28" s="883">
        <f t="shared" si="35"/>
        <v>15.134154582644593</v>
      </c>
      <c r="AQ28" s="890">
        <f t="shared" si="38"/>
        <v>98.675036551690795</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7"/>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7.5164720000000003</v>
      </c>
      <c r="F30" s="883"/>
      <c r="G30" s="883"/>
      <c r="H30" s="883"/>
      <c r="I30" s="883">
        <f t="shared" si="36"/>
        <v>7.5164720000000003</v>
      </c>
      <c r="J30" s="961"/>
      <c r="K30" s="940"/>
      <c r="L30" s="940"/>
      <c r="M30" s="940"/>
      <c r="N30" s="885">
        <f t="shared" si="43"/>
        <v>0</v>
      </c>
      <c r="O30" s="883">
        <f t="shared" si="44"/>
        <v>0</v>
      </c>
      <c r="P30" s="883">
        <f t="shared" si="45"/>
        <v>7.5164720000000003</v>
      </c>
      <c r="Q30" s="883">
        <f t="shared" si="46"/>
        <v>0</v>
      </c>
      <c r="R30" s="883">
        <f t="shared" si="47"/>
        <v>0</v>
      </c>
      <c r="S30" s="886">
        <f t="shared" si="48"/>
        <v>0</v>
      </c>
      <c r="T30" s="883">
        <f t="shared" si="7"/>
        <v>7.5164720000000003</v>
      </c>
      <c r="U30" s="887">
        <f>Factors!D39</f>
        <v>18.87</v>
      </c>
      <c r="V30" s="885">
        <f t="shared" si="49"/>
        <v>0</v>
      </c>
      <c r="W30" s="883">
        <f t="shared" si="50"/>
        <v>0</v>
      </c>
      <c r="X30" s="883">
        <f t="shared" si="51"/>
        <v>0.14183582664000002</v>
      </c>
      <c r="Y30" s="883">
        <f t="shared" si="52"/>
        <v>0</v>
      </c>
      <c r="Z30" s="883">
        <f t="shared" si="53"/>
        <v>0</v>
      </c>
      <c r="AA30" s="883">
        <f t="shared" si="54"/>
        <v>0</v>
      </c>
      <c r="AB30" s="883">
        <f t="shared" si="37"/>
        <v>0.14183582664000002</v>
      </c>
      <c r="AC30" s="888">
        <f>Factors!E39</f>
        <v>1</v>
      </c>
      <c r="AD30" s="885">
        <f t="shared" si="55"/>
        <v>0</v>
      </c>
      <c r="AE30" s="883">
        <f t="shared" si="56"/>
        <v>0</v>
      </c>
      <c r="AF30" s="883">
        <f t="shared" si="57"/>
        <v>0.14183582664000002</v>
      </c>
      <c r="AG30" s="883">
        <f t="shared" si="58"/>
        <v>0</v>
      </c>
      <c r="AH30" s="883">
        <f t="shared" si="59"/>
        <v>0</v>
      </c>
      <c r="AI30" s="883">
        <f t="shared" si="60"/>
        <v>0</v>
      </c>
      <c r="AJ30" s="889">
        <f t="shared" si="9"/>
        <v>0.14183582664000002</v>
      </c>
      <c r="AK30" s="885">
        <f t="shared" si="30"/>
        <v>0</v>
      </c>
      <c r="AL30" s="883">
        <f t="shared" si="31"/>
        <v>0</v>
      </c>
      <c r="AM30" s="883">
        <f t="shared" si="32"/>
        <v>0.52006469768000008</v>
      </c>
      <c r="AN30" s="883">
        <f t="shared" si="33"/>
        <v>0</v>
      </c>
      <c r="AO30" s="883">
        <f t="shared" si="34"/>
        <v>0</v>
      </c>
      <c r="AP30" s="883">
        <f t="shared" si="35"/>
        <v>0</v>
      </c>
      <c r="AQ30" s="890">
        <f t="shared" si="38"/>
        <v>0.52006469768000008</v>
      </c>
    </row>
    <row r="31" spans="1:43">
      <c r="A31" s="817"/>
      <c r="B31" s="865" t="s">
        <v>1612</v>
      </c>
      <c r="C31" s="883"/>
      <c r="D31" s="883"/>
      <c r="E31" s="883">
        <f>HLOOKUP($B$2,'Consumption Input'!$E$5:$AQ$82,'Consumption Input'!$B36)</f>
        <v>0</v>
      </c>
      <c r="F31" s="883"/>
      <c r="G31" s="883"/>
      <c r="H31" s="883"/>
      <c r="I31" s="883">
        <f t="shared" si="36"/>
        <v>0</v>
      </c>
      <c r="J31" s="961"/>
      <c r="K31" s="940"/>
      <c r="L31" s="940"/>
      <c r="M31" s="940"/>
      <c r="N31" s="885">
        <f t="shared" si="43"/>
        <v>0</v>
      </c>
      <c r="O31" s="883">
        <f t="shared" si="44"/>
        <v>0</v>
      </c>
      <c r="P31" s="883">
        <f t="shared" si="45"/>
        <v>0</v>
      </c>
      <c r="Q31" s="883">
        <f t="shared" si="46"/>
        <v>0</v>
      </c>
      <c r="R31" s="883">
        <f t="shared" si="47"/>
        <v>0</v>
      </c>
      <c r="S31" s="886">
        <f t="shared" si="48"/>
        <v>0</v>
      </c>
      <c r="T31" s="883">
        <f t="shared" si="7"/>
        <v>0</v>
      </c>
      <c r="U31" s="887">
        <f>HLOOKUP($B$2,Factors!$J$12:$Y$25,Factors!$H25)</f>
        <v>20.284502183965511</v>
      </c>
      <c r="V31" s="885">
        <f t="shared" si="49"/>
        <v>0</v>
      </c>
      <c r="W31" s="883">
        <f t="shared" si="50"/>
        <v>0</v>
      </c>
      <c r="X31" s="883">
        <f t="shared" si="51"/>
        <v>0</v>
      </c>
      <c r="Y31" s="883">
        <f t="shared" si="52"/>
        <v>0</v>
      </c>
      <c r="Z31" s="883">
        <f t="shared" si="53"/>
        <v>0</v>
      </c>
      <c r="AA31" s="883">
        <f t="shared" si="54"/>
        <v>0</v>
      </c>
      <c r="AB31" s="883">
        <f t="shared" si="37"/>
        <v>0</v>
      </c>
      <c r="AC31" s="888">
        <f>Factors!E40</f>
        <v>1</v>
      </c>
      <c r="AD31" s="885">
        <f t="shared" si="55"/>
        <v>0</v>
      </c>
      <c r="AE31" s="883">
        <f t="shared" si="56"/>
        <v>0</v>
      </c>
      <c r="AF31" s="883">
        <f t="shared" si="57"/>
        <v>0</v>
      </c>
      <c r="AG31" s="883">
        <f t="shared" si="58"/>
        <v>0</v>
      </c>
      <c r="AH31" s="883">
        <f t="shared" si="59"/>
        <v>0</v>
      </c>
      <c r="AI31" s="883">
        <f t="shared" si="60"/>
        <v>0</v>
      </c>
      <c r="AJ31" s="889">
        <f t="shared" si="9"/>
        <v>0</v>
      </c>
      <c r="AK31" s="885">
        <f t="shared" si="30"/>
        <v>0</v>
      </c>
      <c r="AL31" s="883">
        <f t="shared" si="31"/>
        <v>0</v>
      </c>
      <c r="AM31" s="883">
        <f t="shared" si="32"/>
        <v>0</v>
      </c>
      <c r="AN31" s="883">
        <f t="shared" si="33"/>
        <v>0</v>
      </c>
      <c r="AO31" s="883">
        <f t="shared" si="34"/>
        <v>0</v>
      </c>
      <c r="AP31" s="883">
        <f t="shared" si="35"/>
        <v>0</v>
      </c>
      <c r="AQ31" s="890">
        <f t="shared" si="38"/>
        <v>0</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887">
        <f>HLOOKUP($B$2,Factors!$J$12:$Y$25,Factors!$H22)</f>
        <v>19.378431227340293</v>
      </c>
      <c r="V32" s="885">
        <f t="shared" si="49"/>
        <v>0</v>
      </c>
      <c r="W32" s="883">
        <f t="shared" si="50"/>
        <v>0</v>
      </c>
      <c r="X32" s="883">
        <f t="shared" si="51"/>
        <v>0</v>
      </c>
      <c r="Y32" s="883">
        <f t="shared" si="52"/>
        <v>0</v>
      </c>
      <c r="Z32" s="883">
        <f t="shared" si="53"/>
        <v>0</v>
      </c>
      <c r="AA32" s="883">
        <f t="shared" si="54"/>
        <v>0</v>
      </c>
      <c r="AB32" s="883">
        <f t="shared" si="37"/>
        <v>0</v>
      </c>
      <c r="AC32" s="888">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30"/>
        <v>0</v>
      </c>
      <c r="AL32" s="883">
        <f t="shared" si="31"/>
        <v>0</v>
      </c>
      <c r="AM32" s="883">
        <f t="shared" si="32"/>
        <v>0</v>
      </c>
      <c r="AN32" s="883">
        <f t="shared" si="33"/>
        <v>0</v>
      </c>
      <c r="AO32" s="883">
        <f t="shared" si="34"/>
        <v>0</v>
      </c>
      <c r="AP32" s="883">
        <f t="shared" si="35"/>
        <v>0</v>
      </c>
      <c r="AQ32" s="890">
        <f t="shared" si="38"/>
        <v>0</v>
      </c>
    </row>
    <row r="33" spans="1:43">
      <c r="A33" s="817"/>
      <c r="B33" s="865" t="s">
        <v>1739</v>
      </c>
      <c r="C33" s="883"/>
      <c r="D33" s="883"/>
      <c r="E33" s="883">
        <f>HLOOKUP($B$2,'Consumption Input'!$E$5:$AQ$82,'Consumption Input'!$B38)</f>
        <v>134.17740000000001</v>
      </c>
      <c r="F33" s="883"/>
      <c r="G33" s="883"/>
      <c r="H33" s="883">
        <f>HLOOKUP($B$2,'US Territories'!$D$28:$Z$38,'US Territories'!$B$38)</f>
        <v>137.20669528467121</v>
      </c>
      <c r="I33" s="883">
        <f t="shared" si="36"/>
        <v>271.38409528467122</v>
      </c>
      <c r="J33" s="961"/>
      <c r="K33" s="940">
        <f>HLOOKUP($B$2,NEUConsumption,'Non-Energy Use'!C22)</f>
        <v>134.17740000000001</v>
      </c>
      <c r="L33" s="940"/>
      <c r="M33" s="940">
        <f>HLOOKUP($B$2,NEUConsumption,'Non-Energy Use'!$C$27)</f>
        <v>137.20669528467121</v>
      </c>
      <c r="N33" s="885">
        <f t="shared" si="43"/>
        <v>0</v>
      </c>
      <c r="O33" s="883">
        <f t="shared" si="44"/>
        <v>0</v>
      </c>
      <c r="P33" s="883">
        <f t="shared" si="45"/>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7"/>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582.55423999999994</v>
      </c>
      <c r="F34" s="883"/>
      <c r="G34" s="883"/>
      <c r="H34" s="883"/>
      <c r="I34" s="883">
        <f t="shared" si="36"/>
        <v>582.55423999999994</v>
      </c>
      <c r="J34" s="961"/>
      <c r="K34" s="940">
        <f>HLOOKUP($B$2,NEUConsumption,'Non-Energy Use'!C14)</f>
        <v>582.55423999999994</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7"/>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883">
        <f>HLOOKUP($B$2,'Consumption Input'!$E$5:$AQ$82,'Consumption Input'!$B40)</f>
        <v>632.06492500000002</v>
      </c>
      <c r="F35" s="883"/>
      <c r="G35" s="883"/>
      <c r="H35" s="883"/>
      <c r="I35" s="883">
        <f t="shared" si="36"/>
        <v>632.06492500000002</v>
      </c>
      <c r="J35" s="961"/>
      <c r="K35" s="940">
        <f>HLOOKUP($B$2,NEUConsumption,'Non-Energy Use'!$C$15)</f>
        <v>632.06492500000002</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7"/>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7"/>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0.24399999999999999</v>
      </c>
      <c r="E37" s="883">
        <f>HLOOKUP($B$2,'Consumption Input'!$E$5:$AQ$82,'Consumption Input'!$B42)</f>
        <v>842.08199999999999</v>
      </c>
      <c r="F37" s="883"/>
      <c r="G37" s="883">
        <f>HLOOKUP($B$2,'Consumption Input'!$E$5:$AQ$82,'Consumption Input'!$B63)</f>
        <v>175.17599999999999</v>
      </c>
      <c r="H37" s="883"/>
      <c r="I37" s="883">
        <f t="shared" si="36"/>
        <v>1017.502</v>
      </c>
      <c r="J37" s="961"/>
      <c r="K37" s="940">
        <f>HLOOKUP($B$2,NEUConsumption,'Non-Energy Use'!$C$17)</f>
        <v>145.81051577183675</v>
      </c>
      <c r="L37" s="940"/>
      <c r="M37" s="940"/>
      <c r="N37" s="885">
        <f t="shared" si="43"/>
        <v>0</v>
      </c>
      <c r="O37" s="883">
        <f t="shared" si="44"/>
        <v>0.24399999999999999</v>
      </c>
      <c r="P37" s="883">
        <f t="shared" si="45"/>
        <v>696.27148422816322</v>
      </c>
      <c r="Q37" s="883">
        <f t="shared" si="46"/>
        <v>0</v>
      </c>
      <c r="R37" s="883">
        <f t="shared" si="47"/>
        <v>175.17599999999999</v>
      </c>
      <c r="S37" s="886">
        <f t="shared" si="48"/>
        <v>0</v>
      </c>
      <c r="T37" s="883">
        <f t="shared" si="7"/>
        <v>871.69148422816329</v>
      </c>
      <c r="U37" s="887">
        <f>Factors!D48</f>
        <v>27.84770010865628</v>
      </c>
      <c r="V37" s="885">
        <f t="shared" si="49"/>
        <v>0</v>
      </c>
      <c r="W37" s="883">
        <f t="shared" si="50"/>
        <v>6.7948388265121323E-3</v>
      </c>
      <c r="X37" s="883">
        <f t="shared" si="51"/>
        <v>19.389559486994891</v>
      </c>
      <c r="Y37" s="883">
        <f t="shared" si="52"/>
        <v>0</v>
      </c>
      <c r="Z37" s="883">
        <f t="shared" si="53"/>
        <v>4.8782487142339725</v>
      </c>
      <c r="AA37" s="883">
        <f t="shared" si="54"/>
        <v>0</v>
      </c>
      <c r="AB37" s="883">
        <f t="shared" si="37"/>
        <v>24.274603040055375</v>
      </c>
      <c r="AC37" s="888">
        <f>Factors!E48</f>
        <v>1</v>
      </c>
      <c r="AD37" s="885">
        <f t="shared" si="55"/>
        <v>0</v>
      </c>
      <c r="AE37" s="883">
        <f t="shared" si="56"/>
        <v>6.7948388265121323E-3</v>
      </c>
      <c r="AF37" s="883">
        <f t="shared" si="57"/>
        <v>19.389559486994891</v>
      </c>
      <c r="AG37" s="883">
        <f t="shared" si="58"/>
        <v>0</v>
      </c>
      <c r="AH37" s="883">
        <f t="shared" si="59"/>
        <v>4.8782487142339725</v>
      </c>
      <c r="AI37" s="883">
        <f t="shared" si="60"/>
        <v>0</v>
      </c>
      <c r="AJ37" s="889">
        <f t="shared" si="9"/>
        <v>24.274603040055375</v>
      </c>
      <c r="AK37" s="885">
        <f t="shared" si="30"/>
        <v>0</v>
      </c>
      <c r="AL37" s="883">
        <f t="shared" si="31"/>
        <v>2.4914409030544486E-2</v>
      </c>
      <c r="AM37" s="883">
        <f t="shared" si="32"/>
        <v>71.095051452314593</v>
      </c>
      <c r="AN37" s="883">
        <f t="shared" si="33"/>
        <v>0</v>
      </c>
      <c r="AO37" s="883">
        <f t="shared" si="34"/>
        <v>17.88691195219123</v>
      </c>
      <c r="AP37" s="883">
        <f t="shared" si="35"/>
        <v>0</v>
      </c>
      <c r="AQ37" s="890">
        <f t="shared" si="38"/>
        <v>89.006877813536363</v>
      </c>
    </row>
    <row r="38" spans="1:43">
      <c r="A38" s="817"/>
      <c r="B38" s="865" t="s">
        <v>1618</v>
      </c>
      <c r="C38" s="883"/>
      <c r="D38" s="883"/>
      <c r="E38" s="883">
        <f>HLOOKUP($B$2,'Consumption Input'!$E$5:$AQ$82,'Consumption Input'!$B43)</f>
        <v>1461.1020000000001</v>
      </c>
      <c r="F38" s="883"/>
      <c r="G38" s="883"/>
      <c r="H38" s="883"/>
      <c r="I38" s="883">
        <f t="shared" si="36"/>
        <v>1461.1020000000001</v>
      </c>
      <c r="J38" s="961"/>
      <c r="K38" s="940">
        <f>HLOOKUP($B$2,NEUConsumption,'Non-Energy Use'!$C$16)</f>
        <v>61.722000000000023</v>
      </c>
      <c r="L38" s="940"/>
      <c r="M38" s="940"/>
      <c r="N38" s="885">
        <f t="shared" si="43"/>
        <v>0</v>
      </c>
      <c r="O38" s="883">
        <f t="shared" si="44"/>
        <v>0</v>
      </c>
      <c r="P38" s="883">
        <f t="shared" si="45"/>
        <v>1399.38</v>
      </c>
      <c r="Q38" s="883">
        <f t="shared" si="46"/>
        <v>0</v>
      </c>
      <c r="R38" s="883">
        <f t="shared" si="47"/>
        <v>0</v>
      </c>
      <c r="S38" s="886">
        <f t="shared" si="48"/>
        <v>0</v>
      </c>
      <c r="T38" s="883">
        <f t="shared" si="7"/>
        <v>1399.38</v>
      </c>
      <c r="U38" s="887">
        <f>Factors!D51</f>
        <v>18.195454545454545</v>
      </c>
      <c r="V38" s="885">
        <f t="shared" si="49"/>
        <v>0</v>
      </c>
      <c r="W38" s="883">
        <f t="shared" si="50"/>
        <v>0</v>
      </c>
      <c r="X38" s="883">
        <f t="shared" si="51"/>
        <v>25.462355181818186</v>
      </c>
      <c r="Y38" s="883">
        <f t="shared" si="52"/>
        <v>0</v>
      </c>
      <c r="Z38" s="883">
        <f t="shared" si="53"/>
        <v>0</v>
      </c>
      <c r="AA38" s="883">
        <f t="shared" si="54"/>
        <v>0</v>
      </c>
      <c r="AB38" s="883">
        <f t="shared" si="37"/>
        <v>25.462355181818186</v>
      </c>
      <c r="AC38" s="888">
        <f>Factors!E51</f>
        <v>1</v>
      </c>
      <c r="AD38" s="885">
        <f t="shared" si="55"/>
        <v>0</v>
      </c>
      <c r="AE38" s="883">
        <f t="shared" si="56"/>
        <v>0</v>
      </c>
      <c r="AF38" s="883">
        <f t="shared" si="57"/>
        <v>25.462355181818186</v>
      </c>
      <c r="AG38" s="883">
        <f t="shared" si="58"/>
        <v>0</v>
      </c>
      <c r="AH38" s="883">
        <f t="shared" si="59"/>
        <v>0</v>
      </c>
      <c r="AI38" s="883">
        <f t="shared" si="60"/>
        <v>0</v>
      </c>
      <c r="AJ38" s="889">
        <f t="shared" si="9"/>
        <v>25.462355181818186</v>
      </c>
      <c r="AK38" s="885">
        <f t="shared" si="30"/>
        <v>0</v>
      </c>
      <c r="AL38" s="883">
        <f t="shared" si="31"/>
        <v>0</v>
      </c>
      <c r="AM38" s="883">
        <f t="shared" si="32"/>
        <v>93.361969000000016</v>
      </c>
      <c r="AN38" s="883">
        <f t="shared" si="33"/>
        <v>0</v>
      </c>
      <c r="AO38" s="883">
        <f t="shared" si="34"/>
        <v>0</v>
      </c>
      <c r="AP38" s="883">
        <f t="shared" si="35"/>
        <v>0</v>
      </c>
      <c r="AQ38" s="890">
        <f t="shared" si="38"/>
        <v>93.361969000000016</v>
      </c>
    </row>
    <row r="39" spans="1:43">
      <c r="A39" s="817"/>
      <c r="B39" s="865" t="s">
        <v>1619</v>
      </c>
      <c r="C39" s="883"/>
      <c r="D39" s="883"/>
      <c r="E39" s="883">
        <f>HLOOKUP($B$2,'Consumption Input'!$E$5:$AQ$82,'Consumption Input'!$B44)</f>
        <v>102.38848</v>
      </c>
      <c r="F39" s="883"/>
      <c r="G39" s="883"/>
      <c r="H39" s="883"/>
      <c r="I39" s="883">
        <f t="shared" si="36"/>
        <v>102.38848</v>
      </c>
      <c r="J39" s="961"/>
      <c r="K39" s="940">
        <f>HLOOKUP($B$2,NEUConsumption,'Non-Energy Use'!$C$18)</f>
        <v>102.38848</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7"/>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20.284502183965511</v>
      </c>
      <c r="V40" s="885">
        <f t="shared" si="49"/>
        <v>0</v>
      </c>
      <c r="W40" s="883">
        <f t="shared" si="50"/>
        <v>0</v>
      </c>
      <c r="X40" s="883">
        <f t="shared" si="51"/>
        <v>0</v>
      </c>
      <c r="Y40" s="883">
        <f t="shared" si="52"/>
        <v>0</v>
      </c>
      <c r="Z40" s="883">
        <f t="shared" si="53"/>
        <v>0</v>
      </c>
      <c r="AA40" s="883">
        <f t="shared" si="54"/>
        <v>0</v>
      </c>
      <c r="AB40" s="883">
        <f t="shared" si="37"/>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32.169969999999999</v>
      </c>
      <c r="F41" s="883"/>
      <c r="G41" s="883"/>
      <c r="H41" s="883"/>
      <c r="I41" s="883">
        <f t="shared" si="36"/>
        <v>32.169969999999999</v>
      </c>
      <c r="J41" s="961"/>
      <c r="K41" s="940">
        <f>HLOOKUP($B$2,NEUConsumption,'Non-Energy Use'!$C$21)</f>
        <v>32.169969999999999</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7"/>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49.444349348091997</v>
      </c>
      <c r="H42" s="917"/>
      <c r="I42" s="917">
        <f>G42</f>
        <v>49.444349348091997</v>
      </c>
      <c r="J42" s="968"/>
      <c r="K42" s="969"/>
      <c r="L42" s="970"/>
      <c r="M42" s="971"/>
      <c r="N42" s="917">
        <f t="shared" si="43"/>
        <v>0</v>
      </c>
      <c r="O42" s="917">
        <f t="shared" si="44"/>
        <v>0</v>
      </c>
      <c r="P42" s="917">
        <f>E42</f>
        <v>0</v>
      </c>
      <c r="Q42" s="917">
        <f>F42</f>
        <v>0</v>
      </c>
      <c r="R42" s="917">
        <f t="shared" si="47"/>
        <v>49.444349348091997</v>
      </c>
      <c r="S42" s="917">
        <f>H42</f>
        <v>0</v>
      </c>
      <c r="T42" s="917">
        <f t="shared" si="7"/>
        <v>49.444349348091997</v>
      </c>
      <c r="U42" s="921">
        <f>Factors!D56</f>
        <v>2.6974658424810825</v>
      </c>
      <c r="V42" s="917"/>
      <c r="W42" s="917"/>
      <c r="X42" s="917"/>
      <c r="Y42" s="917"/>
      <c r="Z42" s="917">
        <f>INDEX(Geothermal!$C$14:$AE$18,MATCH("Total",Geothermal!$C$14:$C$18,0),MATCH($B$2,Geothermal!$C$14:$AE$14,0))/CtoCO2</f>
        <v>0.12785836226297057</v>
      </c>
      <c r="AA42" s="917"/>
      <c r="AB42" s="917">
        <f t="shared" si="37"/>
        <v>0.12785836226297057</v>
      </c>
      <c r="AC42" s="921">
        <f>Factors!$E$56</f>
        <v>1</v>
      </c>
      <c r="AD42" s="917">
        <f t="shared" si="55"/>
        <v>0</v>
      </c>
      <c r="AE42" s="917">
        <f t="shared" si="56"/>
        <v>0</v>
      </c>
      <c r="AF42" s="917">
        <f t="shared" si="57"/>
        <v>0</v>
      </c>
      <c r="AG42" s="917">
        <f t="shared" si="58"/>
        <v>0</v>
      </c>
      <c r="AH42" s="917">
        <f t="shared" si="59"/>
        <v>0.12785836226297057</v>
      </c>
      <c r="AI42" s="917">
        <f t="shared" si="60"/>
        <v>0</v>
      </c>
      <c r="AJ42" s="920">
        <f t="shared" si="9"/>
        <v>0.12785836226297057</v>
      </c>
      <c r="AK42" s="919">
        <f t="shared" si="30"/>
        <v>0</v>
      </c>
      <c r="AL42" s="917">
        <f t="shared" si="31"/>
        <v>0</v>
      </c>
      <c r="AM42" s="917">
        <f t="shared" si="32"/>
        <v>0</v>
      </c>
      <c r="AN42" s="917">
        <f t="shared" si="33"/>
        <v>0</v>
      </c>
      <c r="AO42" s="917">
        <f t="shared" si="34"/>
        <v>0.46881399496422538</v>
      </c>
      <c r="AP42" s="917">
        <f t="shared" si="35"/>
        <v>0</v>
      </c>
      <c r="AQ42" s="920">
        <f t="shared" si="38"/>
        <v>0.46881399496422538</v>
      </c>
    </row>
    <row r="43" spans="1:43" ht="11.1" thickBot="1">
      <c r="A43" s="817"/>
      <c r="B43" s="867" t="s">
        <v>1740</v>
      </c>
      <c r="C43" s="922">
        <f>C8+C17+C18+C42</f>
        <v>6363.3029860058978</v>
      </c>
      <c r="D43" s="922">
        <f>D8+D17+D18+D42</f>
        <v>3996.7902614225236</v>
      </c>
      <c r="E43" s="922">
        <f>E8+E17+E18+E42</f>
        <v>18731.310484079571</v>
      </c>
      <c r="F43" s="922">
        <f>F8+F17+F18+F42</f>
        <v>26701.596939669715</v>
      </c>
      <c r="G43" s="922">
        <f>G8+G17+G18+G42</f>
        <v>26560.221349348092</v>
      </c>
      <c r="H43" s="922">
        <f>H16+H17+H18+H42</f>
        <v>758.66090540586094</v>
      </c>
      <c r="I43" s="922">
        <f>SUM(C43:H43)</f>
        <v>83111.88292593167</v>
      </c>
      <c r="J43" s="972">
        <f t="shared" ref="J43:S43" si="65">J8+J17+J18+J42</f>
        <v>1307.6873569324866</v>
      </c>
      <c r="K43" s="973">
        <f t="shared" si="65"/>
        <v>5313.0082512394401</v>
      </c>
      <c r="L43" s="974">
        <f t="shared" si="65"/>
        <v>162.392</v>
      </c>
      <c r="M43" s="975">
        <f t="shared" si="65"/>
        <v>140.23174983666777</v>
      </c>
      <c r="N43" s="922">
        <f t="shared" si="65"/>
        <v>6363.3029860058978</v>
      </c>
      <c r="O43" s="922">
        <f t="shared" si="65"/>
        <v>3996.7902614225236</v>
      </c>
      <c r="P43" s="922">
        <f t="shared" si="65"/>
        <v>13418.302232840131</v>
      </c>
      <c r="Q43" s="922">
        <f t="shared" si="65"/>
        <v>25231.517582737226</v>
      </c>
      <c r="R43" s="922">
        <f t="shared" si="65"/>
        <v>26560.221349348092</v>
      </c>
      <c r="S43" s="922">
        <f t="shared" si="65"/>
        <v>618.4291555691932</v>
      </c>
      <c r="T43" s="922">
        <f t="shared" si="7"/>
        <v>76188.563567923062</v>
      </c>
      <c r="U43" s="926" t="s">
        <v>1731</v>
      </c>
      <c r="V43" s="922">
        <f t="shared" ref="V43:AA43" si="66">V8+V17+V18+V42</f>
        <v>98.462471122415195</v>
      </c>
      <c r="W43" s="922">
        <f t="shared" si="66"/>
        <v>62.449023069420917</v>
      </c>
      <c r="X43" s="922">
        <f t="shared" si="66"/>
        <v>233.12157029534768</v>
      </c>
      <c r="Y43" s="922">
        <f t="shared" si="66"/>
        <v>491.73227574637701</v>
      </c>
      <c r="Z43" s="922">
        <f t="shared" si="66"/>
        <v>619.69829953946373</v>
      </c>
      <c r="AA43" s="922">
        <f t="shared" si="66"/>
        <v>12.313967580007171</v>
      </c>
      <c r="AB43" s="922">
        <f t="shared" si="37"/>
        <v>1517.7776073530317</v>
      </c>
      <c r="AC43" s="926" t="s">
        <v>1731</v>
      </c>
      <c r="AD43" s="922">
        <f t="shared" ref="AD43:AQ43" si="67">AD8+AD17+AD18+AD42</f>
        <v>98.462471122415195</v>
      </c>
      <c r="AE43" s="922">
        <f t="shared" si="67"/>
        <v>62.449023069420917</v>
      </c>
      <c r="AF43" s="922">
        <f t="shared" si="67"/>
        <v>233.12157029534768</v>
      </c>
      <c r="AG43" s="922">
        <f t="shared" si="67"/>
        <v>491.73227574637701</v>
      </c>
      <c r="AH43" s="922">
        <f t="shared" si="67"/>
        <v>619.69829953946373</v>
      </c>
      <c r="AI43" s="922">
        <f t="shared" si="67"/>
        <v>12.313967580007171</v>
      </c>
      <c r="AJ43" s="925">
        <f t="shared" si="67"/>
        <v>1517.7776073530317</v>
      </c>
      <c r="AK43" s="922">
        <f t="shared" si="67"/>
        <v>361.02906078218899</v>
      </c>
      <c r="AL43" s="922">
        <f t="shared" si="67"/>
        <v>228.9797512545434</v>
      </c>
      <c r="AM43" s="922">
        <f t="shared" si="67"/>
        <v>854.77909108294148</v>
      </c>
      <c r="AN43" s="922">
        <f t="shared" si="67"/>
        <v>1803.0183444033823</v>
      </c>
      <c r="AO43" s="922">
        <f t="shared" si="67"/>
        <v>2272.2270983113667</v>
      </c>
      <c r="AP43" s="922">
        <f t="shared" si="67"/>
        <v>45.151214460026296</v>
      </c>
      <c r="AQ43" s="925">
        <f t="shared" si="67"/>
        <v>5565.1845602944486</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2"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ransitionEvaluation="1" transitionEntry="1" codeName="Sheet31">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2" width="7" style="152" customWidth="1"/>
    <col min="13" max="13" width="9" style="152" customWidth="1"/>
    <col min="14" max="14" width="8.6640625" style="152" customWidth="1"/>
    <col min="15" max="15" width="10.16406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2003</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1754</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s="208" customFormat="1" ht="11.1" thickBot="1">
      <c r="A4" s="976"/>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29">
        <f t="shared" ref="V4:AB4" si="2">U4+1</f>
        <v>21</v>
      </c>
      <c r="W4" s="829">
        <f t="shared" si="2"/>
        <v>22</v>
      </c>
      <c r="X4" s="829">
        <f t="shared" si="2"/>
        <v>23</v>
      </c>
      <c r="Y4" s="829">
        <f t="shared" si="2"/>
        <v>24</v>
      </c>
      <c r="Z4" s="829">
        <f t="shared" si="2"/>
        <v>25</v>
      </c>
      <c r="AA4" s="829">
        <f t="shared" si="2"/>
        <v>26</v>
      </c>
      <c r="AB4" s="829">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12.246999999999998</v>
      </c>
      <c r="D8" s="876">
        <f t="shared" si="4"/>
        <v>81.962999999999994</v>
      </c>
      <c r="E8" s="876">
        <f t="shared" si="4"/>
        <v>1338.4078622960797</v>
      </c>
      <c r="F8" s="876">
        <f t="shared" si="4"/>
        <v>0</v>
      </c>
      <c r="G8" s="876">
        <f t="shared" si="4"/>
        <v>20184.742999999999</v>
      </c>
      <c r="H8" s="876">
        <f t="shared" si="4"/>
        <v>28.898837327166859</v>
      </c>
      <c r="I8" s="876">
        <f t="shared" ref="I8:I14" si="5">SUM(C8:H8)</f>
        <v>21646.259699623246</v>
      </c>
      <c r="J8" s="959"/>
      <c r="K8" s="960">
        <f>SUM(K9:K16)</f>
        <v>63.034860175951778</v>
      </c>
      <c r="L8" s="960">
        <f>SUM(L9:L16)</f>
        <v>0</v>
      </c>
      <c r="M8" s="960"/>
      <c r="N8" s="878">
        <f t="shared" ref="N8:S8" si="6">SUM(N9:N16)</f>
        <v>12.246999999999998</v>
      </c>
      <c r="O8" s="876">
        <f t="shared" si="6"/>
        <v>81.962999999999994</v>
      </c>
      <c r="P8" s="876">
        <f t="shared" si="6"/>
        <v>1275.3730021201279</v>
      </c>
      <c r="Q8" s="876">
        <f t="shared" si="6"/>
        <v>0</v>
      </c>
      <c r="R8" s="876">
        <f t="shared" si="6"/>
        <v>20184.742999999999</v>
      </c>
      <c r="S8" s="879">
        <f t="shared" si="6"/>
        <v>28.898837327166859</v>
      </c>
      <c r="T8" s="876">
        <f t="shared" ref="T8:T43" si="7">SUM(N8:S8)</f>
        <v>21583.224839447295</v>
      </c>
      <c r="U8" s="880" t="s">
        <v>1731</v>
      </c>
      <c r="V8" s="876">
        <f>SUM(V9:V16)</f>
        <v>0.31875471349859091</v>
      </c>
      <c r="W8" s="876">
        <f>SUM(W9:W16)</f>
        <v>2.13326468379889</v>
      </c>
      <c r="X8" s="876">
        <f>SUM(X9:X16)</f>
        <v>32.574147289804223</v>
      </c>
      <c r="Y8" s="876"/>
      <c r="Z8" s="876">
        <f>SUM(Z9:Z16)</f>
        <v>526.35181635353547</v>
      </c>
      <c r="AA8" s="876">
        <f>SUM(AA9:AA16)</f>
        <v>0.72651677040497487</v>
      </c>
      <c r="AB8" s="876">
        <f t="shared" ref="AB8:AB13" si="8">SUM(V8:AA8)</f>
        <v>562.10449981104216</v>
      </c>
      <c r="AC8" s="881" t="s">
        <v>1731</v>
      </c>
      <c r="AD8" s="878">
        <f>SUM(AD9:AD16)</f>
        <v>0.31875471349859091</v>
      </c>
      <c r="AE8" s="876">
        <f>SUM(AE9:AE16)</f>
        <v>2.13326468379889</v>
      </c>
      <c r="AF8" s="876">
        <f>SUM(AF9:AF16)</f>
        <v>32.574147289804223</v>
      </c>
      <c r="AG8" s="876" t="s">
        <v>108</v>
      </c>
      <c r="AH8" s="876">
        <f>SUM(AH9:AH16)</f>
        <v>526.35181635353547</v>
      </c>
      <c r="AI8" s="876">
        <f>SUM(AI9:AI16)</f>
        <v>0.72651677040497487</v>
      </c>
      <c r="AJ8" s="876">
        <f t="shared" ref="AJ8:AJ42" si="9">SUM(AD8:AI8)</f>
        <v>562.10449981104216</v>
      </c>
      <c r="AK8" s="878">
        <f t="shared" ref="AK8:AP8" si="10">SUM(AK9:AK16)</f>
        <v>1.1687672828281666</v>
      </c>
      <c r="AL8" s="876">
        <f t="shared" si="10"/>
        <v>7.8219705072625967</v>
      </c>
      <c r="AM8" s="876">
        <f t="shared" si="10"/>
        <v>119.43854006261547</v>
      </c>
      <c r="AN8" s="876">
        <f t="shared" si="10"/>
        <v>0</v>
      </c>
      <c r="AO8" s="876">
        <f t="shared" si="10"/>
        <v>1929.9566599629634</v>
      </c>
      <c r="AP8" s="876">
        <f t="shared" si="10"/>
        <v>2.6638948248182412</v>
      </c>
      <c r="AQ8" s="882">
        <f t="shared" ref="AQ8:AQ15" si="11">SUM(AK8:AP8)</f>
        <v>2061.0498326404877</v>
      </c>
    </row>
    <row r="9" spans="1:43">
      <c r="A9" s="817"/>
      <c r="B9" s="860" t="s">
        <v>1732</v>
      </c>
      <c r="C9" s="883">
        <f>HLOOKUP($B$2,'Consumption Input'!$E$5:$AQ$82,'Consumption Input'!$B7)</f>
        <v>12.246999999999998</v>
      </c>
      <c r="D9" s="883"/>
      <c r="E9" s="883"/>
      <c r="F9" s="883"/>
      <c r="G9" s="883"/>
      <c r="H9" s="883"/>
      <c r="I9" s="883">
        <f t="shared" si="5"/>
        <v>12.246999999999998</v>
      </c>
      <c r="J9" s="961"/>
      <c r="K9" s="940"/>
      <c r="L9" s="940"/>
      <c r="M9" s="940"/>
      <c r="N9" s="885">
        <f t="shared" ref="N9:N17" si="12">C9</f>
        <v>12.246999999999998</v>
      </c>
      <c r="O9" s="883">
        <f t="shared" ref="O9:O17" si="13">D9</f>
        <v>0</v>
      </c>
      <c r="P9" s="883">
        <f t="shared" ref="P9:P17" si="14">E9-K9</f>
        <v>0</v>
      </c>
      <c r="Q9" s="883">
        <f>F9</f>
        <v>0</v>
      </c>
      <c r="R9" s="883">
        <f t="shared" ref="R9:R17" si="15">G9</f>
        <v>0</v>
      </c>
      <c r="S9" s="886">
        <f t="shared" ref="S9:S17" si="16">H9</f>
        <v>0</v>
      </c>
      <c r="T9" s="883">
        <f t="shared" si="7"/>
        <v>12.246999999999998</v>
      </c>
      <c r="U9" s="887">
        <f>HLOOKUP($B$2,Factors!$J$12:$Y$25,Factors!$H13)</f>
        <v>26.02716693872711</v>
      </c>
      <c r="V9" s="885">
        <f t="shared" ref="V9:V17" si="17">N9*$U9*TbtuToQBtu</f>
        <v>0.31875471349859091</v>
      </c>
      <c r="W9" s="883">
        <f t="shared" ref="W9:W17" si="18">O9*$U9*TbtuToQBtu</f>
        <v>0</v>
      </c>
      <c r="X9" s="883">
        <f t="shared" ref="X9:X17" si="19">P9*$U9*TbtuToQBtu</f>
        <v>0</v>
      </c>
      <c r="Y9" s="883">
        <f t="shared" ref="Y9:Y17" si="20">Q9*$U9*TbtuToQBtu</f>
        <v>0</v>
      </c>
      <c r="Z9" s="883">
        <f t="shared" ref="Z9:Z17" si="21">R9*$U9*TbtuToQBtu</f>
        <v>0</v>
      </c>
      <c r="AA9" s="883">
        <f t="shared" ref="AA9:AA17" si="22">S9*$U9*TbtuToQBtu</f>
        <v>0</v>
      </c>
      <c r="AB9" s="883">
        <f t="shared" si="8"/>
        <v>0.31875471349859091</v>
      </c>
      <c r="AC9" s="888">
        <f>Factors!E10</f>
        <v>1</v>
      </c>
      <c r="AD9" s="885">
        <f t="shared" ref="AD9:AD17" si="23">V9*$AC9</f>
        <v>0.31875471349859091</v>
      </c>
      <c r="AE9" s="883">
        <f t="shared" ref="AE9:AE17" si="24">W9*$AC9</f>
        <v>0</v>
      </c>
      <c r="AF9" s="883">
        <f t="shared" ref="AF9:AF17" si="25">X9*$AC9</f>
        <v>0</v>
      </c>
      <c r="AG9" s="883">
        <f t="shared" ref="AG9:AG17" si="26">Y9*$AC9</f>
        <v>0</v>
      </c>
      <c r="AH9" s="883">
        <f t="shared" ref="AH9:AH17" si="27">Z9*$AC9</f>
        <v>0</v>
      </c>
      <c r="AI9" s="883">
        <f t="shared" ref="AI9:AI17" si="28">AA9*$AC9</f>
        <v>0</v>
      </c>
      <c r="AJ9" s="889">
        <f t="shared" si="9"/>
        <v>0.31875471349859091</v>
      </c>
      <c r="AK9" s="885">
        <f t="shared" ref="AK9:AK42" si="29">AD9*CtoCO2</f>
        <v>1.1687672828281666</v>
      </c>
      <c r="AL9" s="883">
        <f t="shared" ref="AL9:AL42" si="30">AE9*CtoCO2</f>
        <v>0</v>
      </c>
      <c r="AM9" s="883">
        <f t="shared" ref="AM9:AM42" si="31">AF9*CtoCO2</f>
        <v>0</v>
      </c>
      <c r="AN9" s="883">
        <f t="shared" ref="AN9:AN42" si="32">AG9*CtoCO2</f>
        <v>0</v>
      </c>
      <c r="AO9" s="883">
        <f t="shared" ref="AO9:AO42" si="33">AH9*CtoCO2</f>
        <v>0</v>
      </c>
      <c r="AP9" s="883">
        <f t="shared" ref="AP9:AP42" si="34">AI9*CtoCO2</f>
        <v>0</v>
      </c>
      <c r="AQ9" s="890">
        <f t="shared" si="11"/>
        <v>1.1687672828281666</v>
      </c>
    </row>
    <row r="10" spans="1:43">
      <c r="A10" s="817"/>
      <c r="B10" s="860" t="s">
        <v>1733</v>
      </c>
      <c r="C10" s="883"/>
      <c r="D10" s="883">
        <f>HLOOKUP($B$2,'Consumption Input'!$E$5:$AQ$82,'Consumption Input'!$B13)</f>
        <v>81.962999999999994</v>
      </c>
      <c r="E10" s="883"/>
      <c r="F10" s="883"/>
      <c r="G10" s="883"/>
      <c r="H10" s="883"/>
      <c r="I10" s="883">
        <f t="shared" si="5"/>
        <v>81.962999999999994</v>
      </c>
      <c r="J10" s="961"/>
      <c r="K10" s="940"/>
      <c r="L10" s="940"/>
      <c r="M10" s="940"/>
      <c r="N10" s="885">
        <f t="shared" si="12"/>
        <v>0</v>
      </c>
      <c r="O10" s="883">
        <f t="shared" si="13"/>
        <v>81.962999999999994</v>
      </c>
      <c r="P10" s="883">
        <f t="shared" si="14"/>
        <v>0</v>
      </c>
      <c r="Q10" s="883">
        <f>F10</f>
        <v>0</v>
      </c>
      <c r="R10" s="883">
        <f t="shared" si="15"/>
        <v>0</v>
      </c>
      <c r="S10" s="886">
        <f t="shared" si="16"/>
        <v>0</v>
      </c>
      <c r="T10" s="883">
        <f t="shared" si="7"/>
        <v>81.962999999999994</v>
      </c>
      <c r="U10" s="887">
        <f>HLOOKUP($B$2,Factors!$J$12:$Y$25,Factors!$H14)</f>
        <v>26.02716693872711</v>
      </c>
      <c r="V10" s="885">
        <f t="shared" si="17"/>
        <v>0</v>
      </c>
      <c r="W10" s="883">
        <f t="shared" si="18"/>
        <v>2.13326468379889</v>
      </c>
      <c r="X10" s="883">
        <f t="shared" si="19"/>
        <v>0</v>
      </c>
      <c r="Y10" s="883">
        <f t="shared" si="20"/>
        <v>0</v>
      </c>
      <c r="Z10" s="883">
        <f t="shared" si="21"/>
        <v>0</v>
      </c>
      <c r="AA10" s="883">
        <f t="shared" si="22"/>
        <v>0</v>
      </c>
      <c r="AB10" s="883">
        <f t="shared" si="8"/>
        <v>2.13326468379889</v>
      </c>
      <c r="AC10" s="888">
        <f>Factors!E11</f>
        <v>1</v>
      </c>
      <c r="AD10" s="885">
        <f t="shared" si="23"/>
        <v>0</v>
      </c>
      <c r="AE10" s="883">
        <f t="shared" si="24"/>
        <v>2.13326468379889</v>
      </c>
      <c r="AF10" s="883">
        <f t="shared" si="25"/>
        <v>0</v>
      </c>
      <c r="AG10" s="883">
        <f t="shared" si="26"/>
        <v>0</v>
      </c>
      <c r="AH10" s="883">
        <f t="shared" si="27"/>
        <v>0</v>
      </c>
      <c r="AI10" s="883">
        <f t="shared" si="28"/>
        <v>0</v>
      </c>
      <c r="AJ10" s="889">
        <f t="shared" si="9"/>
        <v>2.13326468379889</v>
      </c>
      <c r="AK10" s="885">
        <f t="shared" si="29"/>
        <v>0</v>
      </c>
      <c r="AL10" s="883">
        <f t="shared" si="30"/>
        <v>7.8219705072625967</v>
      </c>
      <c r="AM10" s="883">
        <f t="shared" si="31"/>
        <v>0</v>
      </c>
      <c r="AN10" s="883">
        <f t="shared" si="32"/>
        <v>0</v>
      </c>
      <c r="AO10" s="883">
        <f t="shared" si="33"/>
        <v>0</v>
      </c>
      <c r="AP10" s="883">
        <f t="shared" si="34"/>
        <v>0</v>
      </c>
      <c r="AQ10" s="890">
        <f t="shared" si="11"/>
        <v>7.8219705072625967</v>
      </c>
    </row>
    <row r="11" spans="1:43" s="244" customFormat="1" hidden="1">
      <c r="A11" s="861"/>
      <c r="B11" s="862" t="s">
        <v>1734</v>
      </c>
      <c r="C11" s="891"/>
      <c r="D11" s="891"/>
      <c r="E11" s="891">
        <f>HLOOKUP($B$2,'Consumption Input'!$E$5:$AQ$82,'Consumption Input'!$B23)</f>
        <v>51.888657662241599</v>
      </c>
      <c r="F11" s="891"/>
      <c r="G11" s="891"/>
      <c r="H11" s="891"/>
      <c r="I11" s="891">
        <f t="shared" si="5"/>
        <v>51.888657662241599</v>
      </c>
      <c r="J11" s="962"/>
      <c r="K11" s="963">
        <f>HLOOKUP($B$2,NEUConsumption,'Non-Energy Use'!$C$7)</f>
        <v>51.888657662241599</v>
      </c>
      <c r="L11" s="963"/>
      <c r="M11" s="963"/>
      <c r="N11" s="893">
        <f t="shared" si="12"/>
        <v>0</v>
      </c>
      <c r="O11" s="891">
        <f t="shared" si="13"/>
        <v>0</v>
      </c>
      <c r="P11" s="891">
        <f t="shared" si="14"/>
        <v>0</v>
      </c>
      <c r="Q11" s="891">
        <f t="shared" ref="Q11:Q17" si="35">F11</f>
        <v>0</v>
      </c>
      <c r="R11" s="891">
        <f t="shared" si="15"/>
        <v>0</v>
      </c>
      <c r="S11" s="894">
        <f t="shared" si="16"/>
        <v>0</v>
      </c>
      <c r="T11" s="891">
        <f t="shared" si="7"/>
        <v>0</v>
      </c>
      <c r="U11" s="1013">
        <f>HLOOKUP($B$2,Factors!$J$12:$BE$28,Factors!$H28,FALSE)</f>
        <v>25.631727459051351</v>
      </c>
      <c r="V11" s="893">
        <f t="shared" si="17"/>
        <v>0</v>
      </c>
      <c r="W11" s="891">
        <f t="shared" si="18"/>
        <v>0</v>
      </c>
      <c r="X11" s="891">
        <f t="shared" si="19"/>
        <v>0</v>
      </c>
      <c r="Y11" s="891">
        <f t="shared" si="20"/>
        <v>0</v>
      </c>
      <c r="Z11" s="891">
        <f t="shared" si="21"/>
        <v>0</v>
      </c>
      <c r="AA11" s="891">
        <f t="shared" si="22"/>
        <v>0</v>
      </c>
      <c r="AB11" s="891">
        <f t="shared" si="8"/>
        <v>0</v>
      </c>
      <c r="AC11" s="896">
        <f>Factors!E12</f>
        <v>1</v>
      </c>
      <c r="AD11" s="893">
        <f t="shared" si="23"/>
        <v>0</v>
      </c>
      <c r="AE11" s="891">
        <f t="shared" si="24"/>
        <v>0</v>
      </c>
      <c r="AF11" s="891">
        <f t="shared" si="25"/>
        <v>0</v>
      </c>
      <c r="AG11" s="891">
        <f t="shared" si="26"/>
        <v>0</v>
      </c>
      <c r="AH11" s="891">
        <f t="shared" si="27"/>
        <v>0</v>
      </c>
      <c r="AI11" s="891">
        <f t="shared" si="28"/>
        <v>0</v>
      </c>
      <c r="AJ11" s="897">
        <f t="shared" si="9"/>
        <v>0</v>
      </c>
      <c r="AK11" s="893">
        <f t="shared" si="29"/>
        <v>0</v>
      </c>
      <c r="AL11" s="891">
        <f t="shared" si="30"/>
        <v>0</v>
      </c>
      <c r="AM11" s="891">
        <f t="shared" si="31"/>
        <v>0</v>
      </c>
      <c r="AN11" s="891">
        <f t="shared" si="32"/>
        <v>0</v>
      </c>
      <c r="AO11" s="891">
        <f t="shared" si="33"/>
        <v>0</v>
      </c>
      <c r="AP11" s="891">
        <f t="shared" si="34"/>
        <v>0</v>
      </c>
      <c r="AQ11" s="898">
        <f t="shared" si="11"/>
        <v>0</v>
      </c>
    </row>
    <row r="12" spans="1:43">
      <c r="A12" s="817"/>
      <c r="B12" s="860" t="s">
        <v>1701</v>
      </c>
      <c r="C12" s="883"/>
      <c r="D12" s="883"/>
      <c r="E12" s="883">
        <f>HLOOKUP($B$2,'Consumption Input'!$E$5:$AQ$82,'Consumption Input'!$B24)</f>
        <v>1286.5192046338382</v>
      </c>
      <c r="F12" s="883"/>
      <c r="G12" s="883"/>
      <c r="H12" s="883"/>
      <c r="I12" s="883">
        <f t="shared" si="5"/>
        <v>1286.5192046338382</v>
      </c>
      <c r="J12" s="961"/>
      <c r="K12" s="940">
        <f>HLOOKUP($B$2,NEUConsumption,'Non-Energy Use'!$C$8)</f>
        <v>11.146202513710181</v>
      </c>
      <c r="L12" s="940"/>
      <c r="M12" s="940"/>
      <c r="N12" s="885">
        <f t="shared" si="12"/>
        <v>0</v>
      </c>
      <c r="O12" s="883">
        <f t="shared" si="13"/>
        <v>0</v>
      </c>
      <c r="P12" s="883">
        <f t="shared" si="14"/>
        <v>1275.3730021201279</v>
      </c>
      <c r="Q12" s="883">
        <f t="shared" si="35"/>
        <v>0</v>
      </c>
      <c r="R12" s="883">
        <f t="shared" si="15"/>
        <v>0</v>
      </c>
      <c r="S12" s="886">
        <f t="shared" si="16"/>
        <v>0</v>
      </c>
      <c r="T12" s="883">
        <f t="shared" si="7"/>
        <v>1275.3730021201279</v>
      </c>
      <c r="U12" s="887">
        <f>HLOOKUP($B$2,Factors!$J$12:$Y$25,Factors!$H15)</f>
        <v>25.540878814005229</v>
      </c>
      <c r="V12" s="885">
        <f t="shared" si="17"/>
        <v>0</v>
      </c>
      <c r="W12" s="883">
        <f t="shared" si="18"/>
        <v>0</v>
      </c>
      <c r="X12" s="883">
        <f t="shared" si="19"/>
        <v>32.574147289804223</v>
      </c>
      <c r="Y12" s="883">
        <f t="shared" si="20"/>
        <v>0</v>
      </c>
      <c r="Z12" s="883">
        <f t="shared" si="21"/>
        <v>0</v>
      </c>
      <c r="AA12" s="883">
        <f t="shared" si="22"/>
        <v>0</v>
      </c>
      <c r="AB12" s="883">
        <f t="shared" si="8"/>
        <v>32.574147289804223</v>
      </c>
      <c r="AC12" s="888">
        <f>Factors!E13</f>
        <v>1</v>
      </c>
      <c r="AD12" s="885">
        <f t="shared" si="23"/>
        <v>0</v>
      </c>
      <c r="AE12" s="883">
        <f t="shared" si="24"/>
        <v>0</v>
      </c>
      <c r="AF12" s="883">
        <f t="shared" si="25"/>
        <v>32.574147289804223</v>
      </c>
      <c r="AG12" s="883">
        <f t="shared" si="26"/>
        <v>0</v>
      </c>
      <c r="AH12" s="883">
        <f t="shared" si="27"/>
        <v>0</v>
      </c>
      <c r="AI12" s="883">
        <f t="shared" si="28"/>
        <v>0</v>
      </c>
      <c r="AJ12" s="889">
        <f t="shared" si="9"/>
        <v>32.574147289804223</v>
      </c>
      <c r="AK12" s="885">
        <f t="shared" si="29"/>
        <v>0</v>
      </c>
      <c r="AL12" s="883">
        <f t="shared" si="30"/>
        <v>0</v>
      </c>
      <c r="AM12" s="883">
        <f t="shared" si="31"/>
        <v>119.43854006261547</v>
      </c>
      <c r="AN12" s="883">
        <f t="shared" si="32"/>
        <v>0</v>
      </c>
      <c r="AO12" s="883">
        <f t="shared" si="33"/>
        <v>0</v>
      </c>
      <c r="AP12" s="883">
        <f t="shared" si="34"/>
        <v>0</v>
      </c>
      <c r="AQ12" s="890">
        <f t="shared" si="11"/>
        <v>119.43854006261547</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35"/>
        <v>0</v>
      </c>
      <c r="R13" s="891">
        <f t="shared" si="15"/>
        <v>0</v>
      </c>
      <c r="S13" s="894">
        <f t="shared" si="16"/>
        <v>0</v>
      </c>
      <c r="T13" s="891">
        <f t="shared" si="7"/>
        <v>0</v>
      </c>
      <c r="U13" s="895">
        <f>Factors!D14</f>
        <v>27.85</v>
      </c>
      <c r="V13" s="893">
        <f t="shared" si="17"/>
        <v>0</v>
      </c>
      <c r="W13" s="891">
        <f t="shared" si="18"/>
        <v>0</v>
      </c>
      <c r="X13" s="891">
        <f t="shared" si="19"/>
        <v>0</v>
      </c>
      <c r="Y13" s="891">
        <f t="shared" si="20"/>
        <v>0</v>
      </c>
      <c r="Z13" s="891">
        <f t="shared" si="21"/>
        <v>0</v>
      </c>
      <c r="AA13" s="891">
        <f t="shared" si="22"/>
        <v>0</v>
      </c>
      <c r="AB13" s="891">
        <f t="shared" si="8"/>
        <v>0</v>
      </c>
      <c r="AC13" s="896">
        <f>Factors!E14</f>
        <v>1</v>
      </c>
      <c r="AD13" s="893">
        <f t="shared" si="23"/>
        <v>0</v>
      </c>
      <c r="AE13" s="891">
        <f t="shared" si="24"/>
        <v>0</v>
      </c>
      <c r="AF13" s="891">
        <f t="shared" si="25"/>
        <v>0</v>
      </c>
      <c r="AG13" s="891">
        <f t="shared" si="26"/>
        <v>0</v>
      </c>
      <c r="AH13" s="891">
        <f t="shared" si="27"/>
        <v>0</v>
      </c>
      <c r="AI13" s="891">
        <f t="shared" si="28"/>
        <v>0</v>
      </c>
      <c r="AJ13" s="897">
        <f t="shared" si="9"/>
        <v>0</v>
      </c>
      <c r="AK13" s="893">
        <f t="shared" si="29"/>
        <v>0</v>
      </c>
      <c r="AL13" s="891">
        <f t="shared" si="30"/>
        <v>0</v>
      </c>
      <c r="AM13" s="891">
        <f t="shared" si="31"/>
        <v>0</v>
      </c>
      <c r="AN13" s="891">
        <f t="shared" si="32"/>
        <v>0</v>
      </c>
      <c r="AO13" s="891">
        <f t="shared" si="33"/>
        <v>0</v>
      </c>
      <c r="AP13" s="891">
        <f t="shared" si="34"/>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35"/>
        <v>0</v>
      </c>
      <c r="R14" s="883">
        <f t="shared" si="15"/>
        <v>0</v>
      </c>
      <c r="S14" s="886">
        <f t="shared" si="16"/>
        <v>0</v>
      </c>
      <c r="T14" s="883">
        <f t="shared" si="7"/>
        <v>0</v>
      </c>
      <c r="U14" s="887" t="str">
        <f>Factors!D15</f>
        <v>NC</v>
      </c>
      <c r="V14" s="885">
        <f t="shared" si="17"/>
        <v>0</v>
      </c>
      <c r="W14" s="883">
        <f t="shared" si="18"/>
        <v>0</v>
      </c>
      <c r="X14" s="883">
        <f t="shared" si="19"/>
        <v>0</v>
      </c>
      <c r="Y14" s="883">
        <f t="shared" si="20"/>
        <v>0</v>
      </c>
      <c r="Z14" s="883">
        <f t="shared" si="21"/>
        <v>0</v>
      </c>
      <c r="AA14" s="883">
        <f t="shared" si="22"/>
        <v>0</v>
      </c>
      <c r="AB14" s="883" t="s">
        <v>103</v>
      </c>
      <c r="AC14" s="888" t="str">
        <f>Factors!E15</f>
        <v>NC</v>
      </c>
      <c r="AD14" s="885">
        <f t="shared" si="23"/>
        <v>0</v>
      </c>
      <c r="AE14" s="883">
        <f t="shared" si="24"/>
        <v>0</v>
      </c>
      <c r="AF14" s="883">
        <f t="shared" si="25"/>
        <v>0</v>
      </c>
      <c r="AG14" s="883">
        <f t="shared" si="26"/>
        <v>0</v>
      </c>
      <c r="AH14" s="883">
        <f t="shared" si="27"/>
        <v>0</v>
      </c>
      <c r="AI14" s="883">
        <f t="shared" si="28"/>
        <v>0</v>
      </c>
      <c r="AJ14" s="889">
        <f t="shared" si="9"/>
        <v>0</v>
      </c>
      <c r="AK14" s="885">
        <f t="shared" si="29"/>
        <v>0</v>
      </c>
      <c r="AL14" s="883">
        <f t="shared" si="30"/>
        <v>0</v>
      </c>
      <c r="AM14" s="883">
        <f t="shared" si="31"/>
        <v>0</v>
      </c>
      <c r="AN14" s="883">
        <f t="shared" si="32"/>
        <v>0</v>
      </c>
      <c r="AO14" s="883">
        <f t="shared" si="33"/>
        <v>0</v>
      </c>
      <c r="AP14" s="883">
        <f t="shared" si="34"/>
        <v>0</v>
      </c>
      <c r="AQ14" s="890">
        <f t="shared" si="11"/>
        <v>0</v>
      </c>
    </row>
    <row r="15" spans="1:43">
      <c r="A15" s="817"/>
      <c r="B15" s="860" t="s">
        <v>1736</v>
      </c>
      <c r="C15" s="883"/>
      <c r="D15" s="883"/>
      <c r="E15" s="883"/>
      <c r="F15" s="883"/>
      <c r="G15" s="883">
        <f>HLOOKUP($B$2,'Consumption Input'!$E$5:$AQ$82,'Consumption Input'!$B58)</f>
        <v>20184.742999999999</v>
      </c>
      <c r="H15" s="883"/>
      <c r="I15" s="883">
        <f t="shared" ref="I15:I41" si="36">SUM(C15:H15)</f>
        <v>20184.742999999999</v>
      </c>
      <c r="J15" s="961"/>
      <c r="K15" s="940"/>
      <c r="L15" s="940"/>
      <c r="M15" s="940"/>
      <c r="N15" s="885">
        <f t="shared" si="12"/>
        <v>0</v>
      </c>
      <c r="O15" s="883">
        <f t="shared" si="13"/>
        <v>0</v>
      </c>
      <c r="P15" s="883">
        <f t="shared" si="14"/>
        <v>0</v>
      </c>
      <c r="Q15" s="883">
        <f t="shared" si="35"/>
        <v>0</v>
      </c>
      <c r="R15" s="883">
        <f t="shared" si="15"/>
        <v>20184.742999999999</v>
      </c>
      <c r="S15" s="886">
        <f t="shared" si="16"/>
        <v>0</v>
      </c>
      <c r="T15" s="883">
        <f t="shared" si="7"/>
        <v>20184.742999999999</v>
      </c>
      <c r="U15" s="887">
        <f>HLOOKUP($B$2,Factors!$J$12:$Y$25,Factors!$H16)</f>
        <v>26.076716277910279</v>
      </c>
      <c r="V15" s="885">
        <f t="shared" si="17"/>
        <v>0</v>
      </c>
      <c r="W15" s="883">
        <f t="shared" si="18"/>
        <v>0</v>
      </c>
      <c r="X15" s="883">
        <f t="shared" si="19"/>
        <v>0</v>
      </c>
      <c r="Y15" s="883">
        <f t="shared" si="20"/>
        <v>0</v>
      </c>
      <c r="Z15" s="883">
        <f t="shared" si="21"/>
        <v>526.35181635353547</v>
      </c>
      <c r="AA15" s="883">
        <f t="shared" si="22"/>
        <v>0</v>
      </c>
      <c r="AB15" s="883">
        <f t="shared" ref="AB15:AB43" si="37">SUM(V15:AA15)</f>
        <v>526.35181635353547</v>
      </c>
      <c r="AC15" s="888">
        <f>Factors!E16</f>
        <v>1</v>
      </c>
      <c r="AD15" s="885">
        <f t="shared" si="23"/>
        <v>0</v>
      </c>
      <c r="AE15" s="883">
        <f t="shared" si="24"/>
        <v>0</v>
      </c>
      <c r="AF15" s="883">
        <f t="shared" si="25"/>
        <v>0</v>
      </c>
      <c r="AG15" s="883">
        <f t="shared" si="26"/>
        <v>0</v>
      </c>
      <c r="AH15" s="883">
        <f t="shared" si="27"/>
        <v>526.35181635353547</v>
      </c>
      <c r="AI15" s="883">
        <f t="shared" si="28"/>
        <v>0</v>
      </c>
      <c r="AJ15" s="889">
        <f t="shared" si="9"/>
        <v>526.35181635353547</v>
      </c>
      <c r="AK15" s="885">
        <f t="shared" si="29"/>
        <v>0</v>
      </c>
      <c r="AL15" s="883">
        <f t="shared" si="30"/>
        <v>0</v>
      </c>
      <c r="AM15" s="883">
        <f t="shared" si="31"/>
        <v>0</v>
      </c>
      <c r="AN15" s="883">
        <f t="shared" si="32"/>
        <v>0</v>
      </c>
      <c r="AO15" s="883">
        <f t="shared" si="33"/>
        <v>1929.9566599629634</v>
      </c>
      <c r="AP15" s="883">
        <f t="shared" si="34"/>
        <v>0</v>
      </c>
      <c r="AQ15" s="890">
        <f t="shared" si="11"/>
        <v>1929.9566599629634</v>
      </c>
    </row>
    <row r="16" spans="1:43">
      <c r="A16" s="817"/>
      <c r="B16" s="860" t="s">
        <v>1737</v>
      </c>
      <c r="C16" s="883"/>
      <c r="D16" s="883"/>
      <c r="E16" s="883"/>
      <c r="F16" s="883"/>
      <c r="G16" s="883"/>
      <c r="H16" s="883">
        <f>HLOOKUP($B$2,'US Territories'!$D$28:$Z$38,'US Territories'!$B29)</f>
        <v>28.898837327166859</v>
      </c>
      <c r="I16" s="883">
        <f t="shared" si="36"/>
        <v>28.898837327166859</v>
      </c>
      <c r="J16" s="961"/>
      <c r="K16" s="940"/>
      <c r="L16" s="940"/>
      <c r="M16" s="940"/>
      <c r="N16" s="885">
        <f t="shared" si="12"/>
        <v>0</v>
      </c>
      <c r="O16" s="883">
        <f t="shared" si="13"/>
        <v>0</v>
      </c>
      <c r="P16" s="883">
        <f t="shared" si="14"/>
        <v>0</v>
      </c>
      <c r="Q16" s="883">
        <f t="shared" si="35"/>
        <v>0</v>
      </c>
      <c r="R16" s="883">
        <f t="shared" si="15"/>
        <v>0</v>
      </c>
      <c r="S16" s="886">
        <f t="shared" si="16"/>
        <v>28.898837327166859</v>
      </c>
      <c r="T16" s="883">
        <f t="shared" si="7"/>
        <v>28.898837327166859</v>
      </c>
      <c r="U16" s="887">
        <f>Factors!D17</f>
        <v>25.14</v>
      </c>
      <c r="V16" s="899">
        <f t="shared" si="17"/>
        <v>0</v>
      </c>
      <c r="W16" s="900">
        <f t="shared" si="18"/>
        <v>0</v>
      </c>
      <c r="X16" s="900">
        <f t="shared" si="19"/>
        <v>0</v>
      </c>
      <c r="Y16" s="900">
        <f t="shared" si="20"/>
        <v>0</v>
      </c>
      <c r="Z16" s="900">
        <f t="shared" si="21"/>
        <v>0</v>
      </c>
      <c r="AA16" s="900">
        <f t="shared" si="22"/>
        <v>0.72651677040497487</v>
      </c>
      <c r="AB16" s="883">
        <f t="shared" si="37"/>
        <v>0.72651677040497487</v>
      </c>
      <c r="AC16" s="888">
        <f>Factors!E17</f>
        <v>1</v>
      </c>
      <c r="AD16" s="899">
        <f t="shared" si="23"/>
        <v>0</v>
      </c>
      <c r="AE16" s="900">
        <f t="shared" si="24"/>
        <v>0</v>
      </c>
      <c r="AF16" s="900">
        <f t="shared" si="25"/>
        <v>0</v>
      </c>
      <c r="AG16" s="900">
        <f t="shared" si="26"/>
        <v>0</v>
      </c>
      <c r="AH16" s="900">
        <f t="shared" si="27"/>
        <v>0</v>
      </c>
      <c r="AI16" s="900">
        <f t="shared" si="28"/>
        <v>0.72651677040497487</v>
      </c>
      <c r="AJ16" s="889">
        <f t="shared" si="9"/>
        <v>0.72651677040497487</v>
      </c>
      <c r="AK16" s="885">
        <f t="shared" si="29"/>
        <v>0</v>
      </c>
      <c r="AL16" s="883">
        <f t="shared" si="30"/>
        <v>0</v>
      </c>
      <c r="AM16" s="883">
        <f t="shared" si="31"/>
        <v>0</v>
      </c>
      <c r="AN16" s="883">
        <f t="shared" si="32"/>
        <v>0</v>
      </c>
      <c r="AO16" s="883">
        <f t="shared" si="33"/>
        <v>0</v>
      </c>
      <c r="AP16" s="883">
        <f t="shared" si="34"/>
        <v>2.6638948248182412</v>
      </c>
      <c r="AQ16" s="890">
        <f t="shared" ref="AQ16:AQ42" si="38">SUM(AK16:AP16)</f>
        <v>2.6638948248182412</v>
      </c>
    </row>
    <row r="17" spans="1:43">
      <c r="A17" s="817"/>
      <c r="B17" s="863" t="s">
        <v>1439</v>
      </c>
      <c r="C17" s="901">
        <f>HLOOKUP($B$2,'Consumption Input'!$E$5:$AQ$82,'Consumption Input'!$B8)</f>
        <v>5209.4279999999999</v>
      </c>
      <c r="D17" s="901">
        <f>HLOOKUP($B$2,'Consumption Input'!$E$5:$AQ$82,'Consumption Input'!$B14)</f>
        <v>3260.9160000000002</v>
      </c>
      <c r="E17" s="901">
        <f>HLOOKUP($B$2,'Consumption Input'!$E$5:$AQ$82,'Consumption Input'!$B26)</f>
        <v>8174.946676384684</v>
      </c>
      <c r="F17" s="901">
        <f>HLOOKUP($B$2,'Consumption Input'!$E$5:$AQ$82,'Consumption Input'!$B49)</f>
        <v>627.44600000000003</v>
      </c>
      <c r="G17" s="901">
        <f>HLOOKUP($B$2,'Consumption Input'!$E$5:$AQ$82,'Consumption Input'!$B59)</f>
        <v>5246.2489999999998</v>
      </c>
      <c r="H17" s="944">
        <f>HLOOKUP($B$2,'US Territories'!$D$28:$Z$38,'US Territories'!$B30)</f>
        <v>26.864826799999999</v>
      </c>
      <c r="I17" s="901">
        <f t="shared" si="36"/>
        <v>22545.850503184683</v>
      </c>
      <c r="J17" s="964"/>
      <c r="K17" s="965">
        <f>HLOOKUP($B$2,NEUConsumption,'Non-Energy Use'!$C$9)</f>
        <v>345.28025000000002</v>
      </c>
      <c r="L17" s="965"/>
      <c r="M17" s="965"/>
      <c r="N17" s="904">
        <f t="shared" si="12"/>
        <v>5209.4279999999999</v>
      </c>
      <c r="O17" s="901">
        <f t="shared" si="13"/>
        <v>3260.9160000000002</v>
      </c>
      <c r="P17" s="901">
        <f t="shared" si="14"/>
        <v>7829.6664263846842</v>
      </c>
      <c r="Q17" s="901">
        <f t="shared" si="35"/>
        <v>627.44600000000003</v>
      </c>
      <c r="R17" s="901">
        <f t="shared" si="15"/>
        <v>5246.2489999999998</v>
      </c>
      <c r="S17" s="902">
        <f t="shared" si="16"/>
        <v>26.864826799999999</v>
      </c>
      <c r="T17" s="901">
        <f t="shared" si="7"/>
        <v>22200.570253184684</v>
      </c>
      <c r="U17" s="905">
        <f>HLOOKUP($B$2,Factors!$J$12:$AB$26,Factors!$H26,FALSE)</f>
        <v>14.458506695525291</v>
      </c>
      <c r="V17" s="901">
        <f t="shared" si="17"/>
        <v>75.320549617856912</v>
      </c>
      <c r="W17" s="901">
        <f t="shared" si="18"/>
        <v>47.14797581954555</v>
      </c>
      <c r="X17" s="901">
        <f t="shared" si="19"/>
        <v>113.20528444961253</v>
      </c>
      <c r="Y17" s="901">
        <f t="shared" si="20"/>
        <v>9.0719321920805616</v>
      </c>
      <c r="Z17" s="901">
        <f t="shared" si="21"/>
        <v>75.852926292892846</v>
      </c>
      <c r="AA17" s="901">
        <f t="shared" si="22"/>
        <v>0.38842527816192729</v>
      </c>
      <c r="AB17" s="901">
        <f t="shared" si="37"/>
        <v>320.98709365015037</v>
      </c>
      <c r="AC17" s="906">
        <f>Factors!E19</f>
        <v>1</v>
      </c>
      <c r="AD17" s="904">
        <f t="shared" si="23"/>
        <v>75.320549617856912</v>
      </c>
      <c r="AE17" s="901">
        <f t="shared" si="24"/>
        <v>47.14797581954555</v>
      </c>
      <c r="AF17" s="901">
        <f t="shared" si="25"/>
        <v>113.20528444961253</v>
      </c>
      <c r="AG17" s="901">
        <f t="shared" si="26"/>
        <v>9.0719321920805616</v>
      </c>
      <c r="AH17" s="901">
        <f t="shared" si="27"/>
        <v>75.852926292892846</v>
      </c>
      <c r="AI17" s="901">
        <f t="shared" si="28"/>
        <v>0.38842527816192729</v>
      </c>
      <c r="AJ17" s="901">
        <f t="shared" si="9"/>
        <v>320.98709365015037</v>
      </c>
      <c r="AK17" s="904">
        <f t="shared" si="29"/>
        <v>276.17534859880868</v>
      </c>
      <c r="AL17" s="901">
        <f t="shared" si="30"/>
        <v>172.87591133833368</v>
      </c>
      <c r="AM17" s="901">
        <f t="shared" si="31"/>
        <v>415.08604298191261</v>
      </c>
      <c r="AN17" s="901">
        <f t="shared" si="32"/>
        <v>33.263751370962055</v>
      </c>
      <c r="AO17" s="901">
        <f t="shared" si="33"/>
        <v>278.12739640727375</v>
      </c>
      <c r="AP17" s="901">
        <f t="shared" si="34"/>
        <v>1.4242260199270667</v>
      </c>
      <c r="AQ17" s="907">
        <f t="shared" si="38"/>
        <v>1176.9526767172179</v>
      </c>
    </row>
    <row r="18" spans="1:43">
      <c r="A18" s="817"/>
      <c r="B18" s="864" t="s">
        <v>1440</v>
      </c>
      <c r="C18" s="908">
        <f t="shared" ref="C18:H18" si="39">SUM(C19:C41)</f>
        <v>1463.1679471630052</v>
      </c>
      <c r="D18" s="908">
        <f t="shared" si="39"/>
        <v>823.13869058089324</v>
      </c>
      <c r="E18" s="908">
        <f t="shared" si="39"/>
        <v>8977.7227591745814</v>
      </c>
      <c r="F18" s="908">
        <f t="shared" si="39"/>
        <v>26014.50378761809</v>
      </c>
      <c r="G18" s="908">
        <f t="shared" si="39"/>
        <v>1204.819</v>
      </c>
      <c r="H18" s="908">
        <f t="shared" si="39"/>
        <v>751.15512536801907</v>
      </c>
      <c r="I18" s="908">
        <f t="shared" si="36"/>
        <v>39234.507309904599</v>
      </c>
      <c r="J18" s="966">
        <f t="shared" ref="J18:S18" si="40">SUM(J19:J41)</f>
        <v>1360.0245187106057</v>
      </c>
      <c r="K18" s="967">
        <f t="shared" si="40"/>
        <v>4824.8564713918277</v>
      </c>
      <c r="L18" s="967">
        <f t="shared" si="40"/>
        <v>150.13399999999999</v>
      </c>
      <c r="M18" s="967">
        <f t="shared" si="40"/>
        <v>120.62307560578336</v>
      </c>
      <c r="N18" s="910">
        <f t="shared" si="40"/>
        <v>1463.1679471630052</v>
      </c>
      <c r="O18" s="908">
        <f t="shared" si="40"/>
        <v>823.13869058089324</v>
      </c>
      <c r="P18" s="908">
        <f t="shared" si="40"/>
        <v>4152.8662877827528</v>
      </c>
      <c r="Q18" s="908">
        <f t="shared" si="40"/>
        <v>24504.345268907487</v>
      </c>
      <c r="R18" s="908">
        <f t="shared" si="40"/>
        <v>1204.819</v>
      </c>
      <c r="S18" s="911">
        <f t="shared" si="40"/>
        <v>630.53204976223583</v>
      </c>
      <c r="T18" s="889">
        <f t="shared" si="7"/>
        <v>32778.869244196372</v>
      </c>
      <c r="U18" s="912" t="s">
        <v>1731</v>
      </c>
      <c r="V18" s="908">
        <f t="shared" ref="V18:AA18" si="41">SUM(V19:V41)</f>
        <v>28.018701919640968</v>
      </c>
      <c r="W18" s="908">
        <f t="shared" si="41"/>
        <v>16.203647102756133</v>
      </c>
      <c r="X18" s="908">
        <f t="shared" si="41"/>
        <v>85.546837820786649</v>
      </c>
      <c r="Y18" s="908">
        <f t="shared" si="41"/>
        <v>485.10560064030307</v>
      </c>
      <c r="Z18" s="908">
        <f t="shared" si="41"/>
        <v>25.943900404878669</v>
      </c>
      <c r="AA18" s="908">
        <f t="shared" si="41"/>
        <v>12.620698957232364</v>
      </c>
      <c r="AB18" s="908">
        <f t="shared" si="37"/>
        <v>653.43938684559782</v>
      </c>
      <c r="AC18" s="913" t="s">
        <v>1731</v>
      </c>
      <c r="AD18" s="910">
        <f t="shared" ref="AD18:AI18" si="42">SUM(AD19:AD41)</f>
        <v>28.018701919640968</v>
      </c>
      <c r="AE18" s="908">
        <f t="shared" si="42"/>
        <v>16.203647102756133</v>
      </c>
      <c r="AF18" s="908">
        <f t="shared" si="42"/>
        <v>85.546837820786649</v>
      </c>
      <c r="AG18" s="908">
        <f t="shared" si="42"/>
        <v>485.10560064030307</v>
      </c>
      <c r="AH18" s="908">
        <f t="shared" si="42"/>
        <v>25.943900404878669</v>
      </c>
      <c r="AI18" s="908">
        <f t="shared" si="42"/>
        <v>12.620698957232364</v>
      </c>
      <c r="AJ18" s="908">
        <f t="shared" si="9"/>
        <v>653.43938684559782</v>
      </c>
      <c r="AK18" s="914">
        <f t="shared" si="29"/>
        <v>102.73524037201688</v>
      </c>
      <c r="AL18" s="889">
        <f t="shared" si="30"/>
        <v>59.413372710105818</v>
      </c>
      <c r="AM18" s="889">
        <f t="shared" si="31"/>
        <v>313.67173867621773</v>
      </c>
      <c r="AN18" s="889">
        <f t="shared" si="32"/>
        <v>1778.7205356811112</v>
      </c>
      <c r="AO18" s="889">
        <f t="shared" si="33"/>
        <v>95.127634817888449</v>
      </c>
      <c r="AP18" s="889">
        <f t="shared" si="34"/>
        <v>46.275896176518664</v>
      </c>
      <c r="AQ18" s="915">
        <f t="shared" si="38"/>
        <v>2395.9444184338586</v>
      </c>
    </row>
    <row r="19" spans="1:43">
      <c r="A19" s="817"/>
      <c r="B19" s="860" t="s">
        <v>1608</v>
      </c>
      <c r="C19" s="883"/>
      <c r="D19" s="883"/>
      <c r="E19" s="883">
        <f>HLOOKUP($B$2,'Consumption Input'!$E$5:$AQ$82,'Consumption Input'!$B27)</f>
        <v>1219.538</v>
      </c>
      <c r="F19" s="883"/>
      <c r="G19" s="883"/>
      <c r="H19" s="883"/>
      <c r="I19" s="883">
        <f t="shared" si="36"/>
        <v>1219.538</v>
      </c>
      <c r="J19" s="961"/>
      <c r="K19" s="940">
        <f>HLOOKUP($B$2,NEUConsumption,'Non-Energy Use'!$C$10)</f>
        <v>1219.538</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7"/>
        <v>0</v>
      </c>
      <c r="AC19" s="888">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29"/>
        <v>0</v>
      </c>
      <c r="AL19" s="883">
        <f t="shared" si="30"/>
        <v>0</v>
      </c>
      <c r="AM19" s="883">
        <f t="shared" si="31"/>
        <v>0</v>
      </c>
      <c r="AN19" s="883">
        <f t="shared" si="32"/>
        <v>0</v>
      </c>
      <c r="AO19" s="883">
        <f t="shared" si="33"/>
        <v>0</v>
      </c>
      <c r="AP19" s="883">
        <f t="shared" si="34"/>
        <v>0</v>
      </c>
      <c r="AQ19" s="890">
        <f t="shared" si="38"/>
        <v>0</v>
      </c>
    </row>
    <row r="20" spans="1:43">
      <c r="A20" s="817"/>
      <c r="B20" s="860" t="s">
        <v>1622</v>
      </c>
      <c r="C20" s="883"/>
      <c r="D20" s="883"/>
      <c r="E20" s="883"/>
      <c r="F20" s="883">
        <f>HLOOKUP($B$2,'Consumption Input'!$E$5:$AQ$82,'Consumption Input'!$B50)</f>
        <v>30.222000000000001</v>
      </c>
      <c r="G20" s="883"/>
      <c r="H20" s="883"/>
      <c r="I20" s="883">
        <f t="shared" si="36"/>
        <v>30.222000000000001</v>
      </c>
      <c r="J20" s="961"/>
      <c r="K20" s="940"/>
      <c r="L20" s="940"/>
      <c r="M20" s="940"/>
      <c r="N20" s="885">
        <f t="shared" si="43"/>
        <v>0</v>
      </c>
      <c r="O20" s="883">
        <f t="shared" si="44"/>
        <v>0</v>
      </c>
      <c r="P20" s="883">
        <f t="shared" si="45"/>
        <v>0</v>
      </c>
      <c r="Q20" s="883">
        <f t="shared" si="46"/>
        <v>30.222000000000001</v>
      </c>
      <c r="R20" s="883">
        <f t="shared" si="47"/>
        <v>0</v>
      </c>
      <c r="S20" s="886">
        <f t="shared" si="48"/>
        <v>0</v>
      </c>
      <c r="T20" s="883">
        <f t="shared" si="7"/>
        <v>30.222000000000001</v>
      </c>
      <c r="U20" s="887">
        <f>Factors!D25</f>
        <v>18.855352254718337</v>
      </c>
      <c r="V20" s="885">
        <f t="shared" si="49"/>
        <v>0</v>
      </c>
      <c r="W20" s="883">
        <f t="shared" si="50"/>
        <v>0</v>
      </c>
      <c r="X20" s="883">
        <f t="shared" si="51"/>
        <v>0</v>
      </c>
      <c r="Y20" s="883">
        <f t="shared" si="52"/>
        <v>0.56984645584209759</v>
      </c>
      <c r="Z20" s="883">
        <f t="shared" si="53"/>
        <v>0</v>
      </c>
      <c r="AA20" s="883">
        <f t="shared" si="54"/>
        <v>0</v>
      </c>
      <c r="AB20" s="883">
        <f t="shared" si="37"/>
        <v>0.56984645584209759</v>
      </c>
      <c r="AC20" s="888">
        <f>Factors!E25</f>
        <v>1</v>
      </c>
      <c r="AD20" s="885">
        <f t="shared" si="55"/>
        <v>0</v>
      </c>
      <c r="AE20" s="883">
        <f t="shared" si="56"/>
        <v>0</v>
      </c>
      <c r="AF20" s="883">
        <f t="shared" si="57"/>
        <v>0</v>
      </c>
      <c r="AG20" s="883">
        <f t="shared" si="58"/>
        <v>0.56984645584209759</v>
      </c>
      <c r="AH20" s="883">
        <f t="shared" si="59"/>
        <v>0</v>
      </c>
      <c r="AI20" s="883">
        <f t="shared" si="60"/>
        <v>0</v>
      </c>
      <c r="AJ20" s="889">
        <f t="shared" si="9"/>
        <v>0.56984645584209759</v>
      </c>
      <c r="AK20" s="885">
        <f t="shared" si="29"/>
        <v>0</v>
      </c>
      <c r="AL20" s="883">
        <f t="shared" si="30"/>
        <v>0</v>
      </c>
      <c r="AM20" s="883">
        <f t="shared" si="31"/>
        <v>0</v>
      </c>
      <c r="AN20" s="883">
        <f t="shared" si="32"/>
        <v>2.0894370047543576</v>
      </c>
      <c r="AO20" s="883">
        <f t="shared" si="33"/>
        <v>0</v>
      </c>
      <c r="AP20" s="883">
        <f t="shared" si="34"/>
        <v>0</v>
      </c>
      <c r="AQ20" s="890">
        <f t="shared" si="38"/>
        <v>2.0894370047543576</v>
      </c>
    </row>
    <row r="21" spans="1:43">
      <c r="A21" s="817"/>
      <c r="B21" s="860" t="s">
        <v>1738</v>
      </c>
      <c r="C21" s="883">
        <f>HLOOKUP($B$2,'Consumption Input'!$E$5:$AQ$82,'Consumption Input'!$B9)</f>
        <v>847.67694716300514</v>
      </c>
      <c r="D21" s="883">
        <f>HLOOKUP($B$2,'Consumption Input'!$E$5:$AQ$82,'Consumption Input'!$B15)</f>
        <v>451.12756086985428</v>
      </c>
      <c r="E21" s="883">
        <f>HLOOKUP($B$2,'Consumption Input'!$E$5:$AQ$82,'Consumption Input'!$B28)</f>
        <v>1062.583227681426</v>
      </c>
      <c r="F21" s="883">
        <f>HLOOKUP($B$2,'Consumption Input'!$E$5:$AQ$82,'Consumption Input'!$B51)</f>
        <v>5814.7696357142859</v>
      </c>
      <c r="G21" s="883">
        <f>HLOOKUP($B$2,'Consumption Input'!$E$5:$AQ$82,'Consumption Input'!$B60)</f>
        <v>160.78899999999999</v>
      </c>
      <c r="H21" s="883">
        <f>HLOOKUP($B$2,'US Territories'!$D$28:$Z$38,'US Territories'!$B31)</f>
        <v>116.55185617279118</v>
      </c>
      <c r="I21" s="883">
        <f t="shared" si="36"/>
        <v>8453.4982276013634</v>
      </c>
      <c r="J21" s="961">
        <f>HLOOKUP($B$2,IBFConsumption,'International Bunker Fuels'!$B$10)</f>
        <v>103.89016370482545</v>
      </c>
      <c r="K21" s="940">
        <f>HLOOKUP($B$2,NEUConsumption,'Non-Energy Use'!$C$20)</f>
        <v>13.106249999999999</v>
      </c>
      <c r="L21" s="940"/>
      <c r="M21" s="940"/>
      <c r="N21" s="885">
        <f t="shared" si="43"/>
        <v>847.67694716300514</v>
      </c>
      <c r="O21" s="883">
        <f t="shared" si="44"/>
        <v>451.12756086985428</v>
      </c>
      <c r="P21" s="883">
        <f t="shared" si="45"/>
        <v>1049.476977681426</v>
      </c>
      <c r="Q21" s="883">
        <f t="shared" si="46"/>
        <v>5710.8794720094602</v>
      </c>
      <c r="R21" s="883">
        <f t="shared" si="47"/>
        <v>160.78899999999999</v>
      </c>
      <c r="S21" s="886">
        <f t="shared" si="48"/>
        <v>116.55185617279118</v>
      </c>
      <c r="T21" s="883">
        <f t="shared" si="7"/>
        <v>8336.501813896537</v>
      </c>
      <c r="U21" s="887">
        <f>HLOOKUP($B$2,Factors!$J$12:$BE$27,Factors!$H27,FALSE)</f>
        <v>20.37</v>
      </c>
      <c r="V21" s="885">
        <f t="shared" si="49"/>
        <v>17.267179413710416</v>
      </c>
      <c r="W21" s="883">
        <f t="shared" si="50"/>
        <v>9.1894684149189327</v>
      </c>
      <c r="X21" s="883">
        <f t="shared" si="51"/>
        <v>21.377846035370649</v>
      </c>
      <c r="Y21" s="883">
        <f t="shared" si="52"/>
        <v>116.33061484483272</v>
      </c>
      <c r="Z21" s="883">
        <f t="shared" si="53"/>
        <v>3.2752719300000002</v>
      </c>
      <c r="AA21" s="883">
        <f t="shared" si="54"/>
        <v>2.3741613102397565</v>
      </c>
      <c r="AB21" s="883">
        <f t="shared" si="37"/>
        <v>169.81454194907246</v>
      </c>
      <c r="AC21" s="888">
        <f>Factors!E26</f>
        <v>1</v>
      </c>
      <c r="AD21" s="885">
        <f t="shared" si="55"/>
        <v>17.267179413710416</v>
      </c>
      <c r="AE21" s="883">
        <f t="shared" si="56"/>
        <v>9.1894684149189327</v>
      </c>
      <c r="AF21" s="883">
        <f t="shared" si="57"/>
        <v>21.377846035370649</v>
      </c>
      <c r="AG21" s="883">
        <f t="shared" si="58"/>
        <v>116.33061484483272</v>
      </c>
      <c r="AH21" s="883">
        <f t="shared" si="59"/>
        <v>3.2752719300000002</v>
      </c>
      <c r="AI21" s="883">
        <f t="shared" si="60"/>
        <v>2.3741613102397565</v>
      </c>
      <c r="AJ21" s="889">
        <f t="shared" si="9"/>
        <v>169.81454194907246</v>
      </c>
      <c r="AK21" s="885">
        <f t="shared" si="29"/>
        <v>63.312991183604858</v>
      </c>
      <c r="AL21" s="883">
        <f t="shared" si="30"/>
        <v>33.694717521369419</v>
      </c>
      <c r="AM21" s="883">
        <f t="shared" si="31"/>
        <v>78.385435463025715</v>
      </c>
      <c r="AN21" s="883">
        <f t="shared" si="32"/>
        <v>426.54558776438665</v>
      </c>
      <c r="AO21" s="883">
        <f t="shared" si="33"/>
        <v>12.00933041</v>
      </c>
      <c r="AP21" s="883">
        <f t="shared" si="34"/>
        <v>8.7052581375457727</v>
      </c>
      <c r="AQ21" s="890">
        <f t="shared" si="38"/>
        <v>622.6533204799324</v>
      </c>
    </row>
    <row r="22" spans="1:43">
      <c r="A22" s="817"/>
      <c r="B22" s="860" t="s">
        <v>1623</v>
      </c>
      <c r="C22" s="883"/>
      <c r="D22" s="883"/>
      <c r="E22" s="883"/>
      <c r="F22" s="883">
        <f>HLOOKUP($B$2,'Consumption Input'!$E$5:$AQ$82,'Consumption Input'!$B52)</f>
        <v>3265.4569999999999</v>
      </c>
      <c r="G22" s="883"/>
      <c r="H22" s="883">
        <f>HLOOKUP($B$2,'US Territories'!$D$28:$Z$38,'US Territories'!$B32)</f>
        <v>71.497374358213264</v>
      </c>
      <c r="I22" s="883">
        <f t="shared" si="36"/>
        <v>3336.954374358213</v>
      </c>
      <c r="J22" s="961">
        <f>HLOOKUP($B$2,IBFConsumption,'International Bunker Fuels'!$B$8)</f>
        <v>784.31912822478034</v>
      </c>
      <c r="K22" s="940"/>
      <c r="L22" s="940"/>
      <c r="M22" s="940"/>
      <c r="N22" s="885">
        <f t="shared" si="43"/>
        <v>0</v>
      </c>
      <c r="O22" s="883">
        <f t="shared" si="44"/>
        <v>0</v>
      </c>
      <c r="P22" s="883">
        <f t="shared" si="45"/>
        <v>0</v>
      </c>
      <c r="Q22" s="883">
        <f t="shared" si="46"/>
        <v>2481.1378717752195</v>
      </c>
      <c r="R22" s="883">
        <f t="shared" si="47"/>
        <v>0</v>
      </c>
      <c r="S22" s="886">
        <f t="shared" si="48"/>
        <v>71.497374358213264</v>
      </c>
      <c r="T22" s="883">
        <f t="shared" si="7"/>
        <v>2552.6352461334327</v>
      </c>
      <c r="U22" s="887">
        <f>HLOOKUP($B$2,Factors!$J$12:$Y$25,Factors!$H21)</f>
        <v>19.696969696969692</v>
      </c>
      <c r="V22" s="885">
        <f t="shared" si="49"/>
        <v>0</v>
      </c>
      <c r="W22" s="883">
        <f t="shared" si="50"/>
        <v>0</v>
      </c>
      <c r="X22" s="883">
        <f t="shared" si="51"/>
        <v>0</v>
      </c>
      <c r="Y22" s="883">
        <f t="shared" si="52"/>
        <v>48.870897474360376</v>
      </c>
      <c r="Z22" s="883">
        <f t="shared" si="53"/>
        <v>0</v>
      </c>
      <c r="AA22" s="883">
        <f t="shared" si="54"/>
        <v>1.4082816161466247</v>
      </c>
      <c r="AB22" s="883">
        <f t="shared" si="37"/>
        <v>50.279179090507</v>
      </c>
      <c r="AC22" s="888">
        <f>Factors!E27</f>
        <v>1</v>
      </c>
      <c r="AD22" s="885">
        <f t="shared" si="55"/>
        <v>0</v>
      </c>
      <c r="AE22" s="883">
        <f t="shared" si="56"/>
        <v>0</v>
      </c>
      <c r="AF22" s="883">
        <f t="shared" si="57"/>
        <v>0</v>
      </c>
      <c r="AG22" s="883">
        <f t="shared" si="58"/>
        <v>48.870897474360376</v>
      </c>
      <c r="AH22" s="883">
        <f t="shared" si="59"/>
        <v>0</v>
      </c>
      <c r="AI22" s="883">
        <f t="shared" si="60"/>
        <v>1.4082816161466247</v>
      </c>
      <c r="AJ22" s="889">
        <f t="shared" si="9"/>
        <v>50.279179090507</v>
      </c>
      <c r="AK22" s="885">
        <f t="shared" si="29"/>
        <v>0</v>
      </c>
      <c r="AL22" s="883">
        <f t="shared" si="30"/>
        <v>0</v>
      </c>
      <c r="AM22" s="883">
        <f t="shared" si="31"/>
        <v>0</v>
      </c>
      <c r="AN22" s="883">
        <f t="shared" si="32"/>
        <v>179.19329073932138</v>
      </c>
      <c r="AO22" s="883">
        <f t="shared" si="33"/>
        <v>0</v>
      </c>
      <c r="AP22" s="883">
        <f t="shared" si="34"/>
        <v>5.1636992592042903</v>
      </c>
      <c r="AQ22" s="890">
        <f t="shared" si="38"/>
        <v>184.35698999852568</v>
      </c>
    </row>
    <row r="23" spans="1:43">
      <c r="A23" s="817"/>
      <c r="B23" s="860" t="s">
        <v>1599</v>
      </c>
      <c r="C23" s="883">
        <f>HLOOKUP($B$2,'Consumption Input'!$E$5:$AQ$82,'Consumption Input'!$B10)</f>
        <v>70.301000000000002</v>
      </c>
      <c r="D23" s="883">
        <f>HLOOKUP($B$2,'Consumption Input'!$E$5:$AQ$82,'Consumption Input'!$B16)</f>
        <v>18.635000000000002</v>
      </c>
      <c r="E23" s="883">
        <f>HLOOKUP($B$2,'Consumption Input'!$E$5:$AQ$82,'Consumption Input'!$B29)</f>
        <v>24.113</v>
      </c>
      <c r="F23" s="883"/>
      <c r="G23" s="883"/>
      <c r="H23" s="883">
        <f>HLOOKUP($B$2,'US Territories'!$D$28:$Z$38,'US Territories'!$B33)</f>
        <v>10.686078822328771</v>
      </c>
      <c r="I23" s="883">
        <f t="shared" si="36"/>
        <v>123.73507882232877</v>
      </c>
      <c r="J23" s="961"/>
      <c r="K23" s="940"/>
      <c r="L23" s="940"/>
      <c r="M23" s="940"/>
      <c r="N23" s="885">
        <f t="shared" si="43"/>
        <v>70.301000000000002</v>
      </c>
      <c r="O23" s="883">
        <f t="shared" si="44"/>
        <v>18.635000000000002</v>
      </c>
      <c r="P23" s="883">
        <f t="shared" si="45"/>
        <v>24.113</v>
      </c>
      <c r="Q23" s="883">
        <f t="shared" si="46"/>
        <v>0</v>
      </c>
      <c r="R23" s="883">
        <f t="shared" si="47"/>
        <v>0</v>
      </c>
      <c r="S23" s="886">
        <f t="shared" si="48"/>
        <v>10.686078822328771</v>
      </c>
      <c r="T23" s="883">
        <f t="shared" si="7"/>
        <v>123.73507882232877</v>
      </c>
      <c r="U23" s="887">
        <f>Factors!D28</f>
        <v>19.964104564962931</v>
      </c>
      <c r="V23" s="885">
        <f t="shared" si="49"/>
        <v>1.4034965150214591</v>
      </c>
      <c r="W23" s="883">
        <f t="shared" si="50"/>
        <v>0.3720310885680842</v>
      </c>
      <c r="X23" s="883">
        <f t="shared" si="51"/>
        <v>0.48139445337495113</v>
      </c>
      <c r="Y23" s="883">
        <f t="shared" si="52"/>
        <v>0</v>
      </c>
      <c r="Z23" s="883">
        <f t="shared" si="53"/>
        <v>0</v>
      </c>
      <c r="AA23" s="883">
        <f t="shared" si="54"/>
        <v>0.21333799499840753</v>
      </c>
      <c r="AB23" s="883">
        <f t="shared" si="37"/>
        <v>2.4702600519629017</v>
      </c>
      <c r="AC23" s="888">
        <f>Factors!E28</f>
        <v>1</v>
      </c>
      <c r="AD23" s="885">
        <f t="shared" si="55"/>
        <v>1.4034965150214591</v>
      </c>
      <c r="AE23" s="883">
        <f t="shared" si="56"/>
        <v>0.3720310885680842</v>
      </c>
      <c r="AF23" s="883">
        <f t="shared" si="57"/>
        <v>0.48139445337495113</v>
      </c>
      <c r="AG23" s="883">
        <f t="shared" si="58"/>
        <v>0</v>
      </c>
      <c r="AH23" s="883">
        <f t="shared" si="59"/>
        <v>0</v>
      </c>
      <c r="AI23" s="883">
        <f t="shared" si="60"/>
        <v>0.21333799499840753</v>
      </c>
      <c r="AJ23" s="889">
        <f t="shared" si="9"/>
        <v>2.4702600519629017</v>
      </c>
      <c r="AK23" s="885">
        <f t="shared" si="29"/>
        <v>5.1461538884120168</v>
      </c>
      <c r="AL23" s="883">
        <f t="shared" si="30"/>
        <v>1.3641139914163087</v>
      </c>
      <c r="AM23" s="883">
        <f t="shared" si="31"/>
        <v>1.7651129957081542</v>
      </c>
      <c r="AN23" s="883">
        <f t="shared" si="32"/>
        <v>0</v>
      </c>
      <c r="AO23" s="883">
        <f t="shared" si="33"/>
        <v>0</v>
      </c>
      <c r="AP23" s="883">
        <f t="shared" si="34"/>
        <v>0.78223931499416088</v>
      </c>
      <c r="AQ23" s="890">
        <f t="shared" si="38"/>
        <v>9.0576201905306402</v>
      </c>
    </row>
    <row r="24" spans="1:43">
      <c r="A24" s="817"/>
      <c r="B24" s="860" t="s">
        <v>1600</v>
      </c>
      <c r="C24" s="883">
        <f>HLOOKUP($B$2,'Consumption Input'!$E$5:$AQ$82,'Consumption Input'!$B11)</f>
        <v>545.19000000000005</v>
      </c>
      <c r="D24" s="883">
        <f>HLOOKUP($B$2,'Consumption Input'!$E$5:$AQ$82,'Consumption Input'!$B17)</f>
        <v>157.05799999999999</v>
      </c>
      <c r="E24"/>
      <c r="F24" s="883">
        <f>HLOOKUP($B$2,'Consumption Input'!$E$5:$AQ$82,'Consumption Input'!$B53)</f>
        <v>17.893999999999995</v>
      </c>
      <c r="G24" s="883"/>
      <c r="H24"/>
      <c r="I24" s="883">
        <f>SUM(C24:H24)</f>
        <v>720.14200000000005</v>
      </c>
      <c r="J24" s="884"/>
      <c r="K24"/>
      <c r="L24" s="883"/>
      <c r="M24" s="883"/>
      <c r="N24" s="885">
        <f>C24</f>
        <v>545.19000000000005</v>
      </c>
      <c r="O24" s="883">
        <f t="shared" si="44"/>
        <v>157.05799999999999</v>
      </c>
      <c r="P24"/>
      <c r="Q24" s="883">
        <f t="shared" si="46"/>
        <v>17.893999999999995</v>
      </c>
      <c r="R24" s="883">
        <f t="shared" si="47"/>
        <v>0</v>
      </c>
      <c r="S24" s="886">
        <f t="shared" si="48"/>
        <v>0</v>
      </c>
      <c r="T24" s="883">
        <f t="shared" si="7"/>
        <v>720.14200000000005</v>
      </c>
      <c r="U24" s="1005">
        <f>HLOOKUP($B$2,Factors!$J$12:$BE$25,Factors!$H17,FALSE)</f>
        <v>17.146363636363635</v>
      </c>
      <c r="V24" s="885">
        <f>N24*$U24*TbtuToQBtu</f>
        <v>9.3480259909090915</v>
      </c>
      <c r="W24" s="883">
        <f>O24*$U24*TbtuToQBtu</f>
        <v>2.6929735799999994</v>
      </c>
      <c r="X24"/>
      <c r="Y24" s="883">
        <f>Q24*$U24*TbtuToQBtu</f>
        <v>0.30681703090909085</v>
      </c>
      <c r="Z24" s="883">
        <f t="shared" ref="Z24" si="61">R24*$U24*TbtuToQBtu</f>
        <v>0</v>
      </c>
      <c r="AA24"/>
      <c r="AB24" s="883">
        <f>SUM(V24:AA24)</f>
        <v>12.347816601818181</v>
      </c>
      <c r="AC24" s="888">
        <f>Factors!E30</f>
        <v>1</v>
      </c>
      <c r="AD24" s="885">
        <f>V24*$AC24</f>
        <v>9.3480259909090915</v>
      </c>
      <c r="AE24" s="883">
        <f t="shared" si="56"/>
        <v>2.6929735799999994</v>
      </c>
      <c r="AF24"/>
      <c r="AG24" s="883">
        <f t="shared" si="56"/>
        <v>0.30681703090909085</v>
      </c>
      <c r="AH24" s="883">
        <f t="shared" si="56"/>
        <v>0</v>
      </c>
      <c r="AI24"/>
      <c r="AJ24" s="889">
        <f t="shared" si="9"/>
        <v>12.347816601818181</v>
      </c>
      <c r="AK24" s="885">
        <f>AD24*CtoCO2</f>
        <v>34.276095300000001</v>
      </c>
      <c r="AL24" s="883">
        <f t="shared" ref="AL24" si="62">AE24*CtoCO2</f>
        <v>9.874236459999997</v>
      </c>
      <c r="AN24" s="883">
        <f t="shared" ref="AN24" si="63">AG24*CtoCO2</f>
        <v>1.1249957799999997</v>
      </c>
      <c r="AO24" s="883">
        <f t="shared" ref="AO24" si="64">AH24*CtoCO2</f>
        <v>0</v>
      </c>
      <c r="AQ24" s="890">
        <f t="shared" si="38"/>
        <v>45.275327539999999</v>
      </c>
    </row>
    <row r="25" spans="1:43">
      <c r="A25" s="817"/>
      <c r="B25" s="860" t="s">
        <v>1609</v>
      </c>
      <c r="C25" s="883"/>
      <c r="D25" s="883"/>
      <c r="E25" s="883">
        <f>HLOOKUP($B$2,'Consumption Input'!$E$5:$AQ$82,'Consumption Input'!$B30)</f>
        <v>1963.4302249479999</v>
      </c>
      <c r="F25" s="883"/>
      <c r="G25" s="883"/>
      <c r="H25" s="883">
        <f>HLOOKUP($B$2,'US Territories'!$D$28:$AO$38,'US Territories'!$B34)</f>
        <v>10.551665013090417</v>
      </c>
      <c r="I25" s="883">
        <f>SUM(C25:H25)</f>
        <v>1973.9818899610902</v>
      </c>
      <c r="J25" s="884"/>
      <c r="K25" s="883">
        <f>HLOOKUP($B$2,NEUConsumption,'Non-Energy Use'!$C$11)</f>
        <v>1701.5741023453579</v>
      </c>
      <c r="L25" s="883"/>
      <c r="M25" s="883"/>
      <c r="N25" s="885"/>
      <c r="O25" s="883"/>
      <c r="P25" s="883">
        <f>E25-K25</f>
        <v>261.85612260264202</v>
      </c>
      <c r="Q25" s="883"/>
      <c r="R25" s="883"/>
      <c r="S25" s="886">
        <f>H25-M25</f>
        <v>10.551665013090417</v>
      </c>
      <c r="T25" s="883">
        <f t="shared" si="7"/>
        <v>272.40778761573245</v>
      </c>
      <c r="U25" s="1005">
        <f>HLOOKUP($B$2,Factors!$J$12:$BE$25,Factors!$H18,FALSE)</f>
        <v>17.575218724301944</v>
      </c>
      <c r="V25" s="885"/>
      <c r="W25" s="883"/>
      <c r="X25" s="883">
        <f>P25*$U25*TbtuToQBtu</f>
        <v>4.6021786290390594</v>
      </c>
      <c r="Y25" s="883"/>
      <c r="Z25" s="883"/>
      <c r="AA25" s="883">
        <f>S25*$U25*TbtuToQBtu</f>
        <v>0.18544782051062841</v>
      </c>
      <c r="AB25" s="883">
        <f>SUM(V25:AA25)</f>
        <v>4.7876264495496876</v>
      </c>
      <c r="AC25" s="888">
        <f>Factors!E31</f>
        <v>1</v>
      </c>
      <c r="AD25" s="885"/>
      <c r="AE25" s="883"/>
      <c r="AF25" s="883">
        <f>X25*$AC25</f>
        <v>4.6021786290390594</v>
      </c>
      <c r="AG25" s="883"/>
      <c r="AH25" s="883"/>
      <c r="AI25" s="883">
        <f>AA25*$AC25</f>
        <v>0.18544782051062841</v>
      </c>
      <c r="AJ25" s="889">
        <f t="shared" si="9"/>
        <v>4.7876264495496876</v>
      </c>
      <c r="AK25" s="885"/>
      <c r="AL25" s="883"/>
      <c r="AM25" s="883">
        <f>AF25*CtoCO2</f>
        <v>16.874654973143215</v>
      </c>
      <c r="AN25" s="883"/>
      <c r="AO25" s="883"/>
      <c r="AP25" s="883">
        <f>AI25*CtoCO2</f>
        <v>0.67997534187230413</v>
      </c>
      <c r="AQ25" s="890">
        <f t="shared" si="38"/>
        <v>17.554630315015519</v>
      </c>
    </row>
    <row r="26" spans="1:43">
      <c r="A26" s="817"/>
      <c r="B26" s="860" t="s">
        <v>1610</v>
      </c>
      <c r="C26" s="883"/>
      <c r="D26" s="883"/>
      <c r="E26" s="883">
        <f>HLOOKUP($B$2,'Consumption Input'!$E$5:$AQ$82,'Consumption Input'!$B31)</f>
        <v>158.95699999999999</v>
      </c>
      <c r="F26" s="883">
        <f>HLOOKUP($B$2,'Consumption Input'!$E$5:$AQ$82,'Consumption Input'!$B54)</f>
        <v>150.13399999999999</v>
      </c>
      <c r="G26" s="883"/>
      <c r="H26" s="883">
        <f>HLOOKUP($B$2,'US Territories'!$D$28:$Z$38,'US Territories'!$B35)</f>
        <v>4.8564218045650707</v>
      </c>
      <c r="I26" s="883">
        <f t="shared" si="36"/>
        <v>313.94742180456507</v>
      </c>
      <c r="J26" s="961"/>
      <c r="K26" s="940">
        <f>HLOOKUP($B$2,NEUConsumption,'Non-Energy Use'!$C$12)</f>
        <v>158.95699999999999</v>
      </c>
      <c r="L26" s="940">
        <f>HLOOKUP($B$2,NEUConsumption,'Non-Energy Use'!$C$24)</f>
        <v>150.13399999999999</v>
      </c>
      <c r="M26" s="940">
        <f>HLOOKUP($B$2,NEUConsumption,'Non-Energy Use'!$C$26)</f>
        <v>4.8564218045650707</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7"/>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29"/>
        <v>0</v>
      </c>
      <c r="AL26" s="883">
        <f t="shared" si="30"/>
        <v>0</v>
      </c>
      <c r="AM26" s="883">
        <f t="shared" si="31"/>
        <v>0</v>
      </c>
      <c r="AN26" s="883">
        <f t="shared" si="32"/>
        <v>0</v>
      </c>
      <c r="AO26" s="883">
        <f t="shared" si="33"/>
        <v>0</v>
      </c>
      <c r="AP26" s="883">
        <f t="shared" si="34"/>
        <v>0</v>
      </c>
      <c r="AQ26" s="890">
        <f t="shared" si="38"/>
        <v>0</v>
      </c>
    </row>
    <row r="27" spans="1:43">
      <c r="A27" s="817"/>
      <c r="B27" s="860" t="s">
        <v>1601</v>
      </c>
      <c r="C27" s="883"/>
      <c r="D27" s="883">
        <f>HLOOKUP($B$2,'Consumption Input'!$E$5:$AQ$82,'Consumption Input'!$B18)</f>
        <v>84.871129711039018</v>
      </c>
      <c r="E27" s="883">
        <f>HLOOKUP($B$2,'Consumption Input'!$E$5:$AQ$82,'Consumption Input'!$B32)</f>
        <v>459.09323254515476</v>
      </c>
      <c r="F27" s="883">
        <f>HLOOKUP($B$2,'Consumption Input'!$E$5:$AQ$82,'Consumption Input'!$B55)</f>
        <v>16165.098151903805</v>
      </c>
      <c r="G27" s="883"/>
      <c r="H27" s="883">
        <f>HLOOKUP($B$2,'US Territories'!$D$28:$Z$38,'US Territories'!$B36)</f>
        <v>215.66543536699433</v>
      </c>
      <c r="I27" s="883">
        <f t="shared" si="36"/>
        <v>16924.727949526994</v>
      </c>
      <c r="J27" s="961"/>
      <c r="K27" s="940"/>
      <c r="L27" s="940"/>
      <c r="M27" s="940"/>
      <c r="N27" s="885">
        <f t="shared" si="43"/>
        <v>0</v>
      </c>
      <c r="O27" s="883">
        <f t="shared" si="44"/>
        <v>84.871129711039018</v>
      </c>
      <c r="P27" s="883">
        <f t="shared" si="45"/>
        <v>459.09323254515476</v>
      </c>
      <c r="Q27" s="883">
        <f t="shared" si="46"/>
        <v>16165.098151903805</v>
      </c>
      <c r="R27" s="883">
        <f t="shared" si="47"/>
        <v>0</v>
      </c>
      <c r="S27" s="886">
        <f t="shared" si="48"/>
        <v>215.66543536699433</v>
      </c>
      <c r="T27" s="883">
        <f t="shared" si="7"/>
        <v>16924.727949526994</v>
      </c>
      <c r="U27" s="887">
        <f>HLOOKUP($B$2,Factors!$J$12:$Y$25,Factors!$H20)</f>
        <v>19.61</v>
      </c>
      <c r="V27" s="885">
        <f t="shared" si="49"/>
        <v>0</v>
      </c>
      <c r="W27" s="883">
        <f t="shared" si="50"/>
        <v>1.6643228536334751</v>
      </c>
      <c r="X27" s="883">
        <f t="shared" si="51"/>
        <v>9.0028182902104863</v>
      </c>
      <c r="Y27" s="883">
        <f t="shared" si="52"/>
        <v>316.99757475883365</v>
      </c>
      <c r="Z27" s="883">
        <f t="shared" si="53"/>
        <v>0</v>
      </c>
      <c r="AA27" s="883">
        <f t="shared" si="54"/>
        <v>4.2291991875467581</v>
      </c>
      <c r="AB27" s="883">
        <f t="shared" si="37"/>
        <v>331.89391509022437</v>
      </c>
      <c r="AC27" s="888">
        <f>Factors!E34</f>
        <v>1</v>
      </c>
      <c r="AD27" s="885">
        <f t="shared" si="55"/>
        <v>0</v>
      </c>
      <c r="AE27" s="883">
        <f t="shared" si="56"/>
        <v>1.6643228536334751</v>
      </c>
      <c r="AF27" s="883">
        <f t="shared" si="57"/>
        <v>9.0028182902104863</v>
      </c>
      <c r="AG27" s="883">
        <f>Y27*$AC44</f>
        <v>316.99757475883365</v>
      </c>
      <c r="AH27" s="883">
        <f t="shared" si="59"/>
        <v>0</v>
      </c>
      <c r="AI27" s="883">
        <f t="shared" si="60"/>
        <v>4.2291991875467581</v>
      </c>
      <c r="AJ27" s="889">
        <f t="shared" si="9"/>
        <v>331.89391509022437</v>
      </c>
      <c r="AK27" s="885">
        <f t="shared" si="29"/>
        <v>0</v>
      </c>
      <c r="AL27" s="883">
        <f t="shared" si="30"/>
        <v>6.1025171299894083</v>
      </c>
      <c r="AM27" s="883">
        <f t="shared" si="31"/>
        <v>33.010333730771784</v>
      </c>
      <c r="AN27" s="883">
        <f t="shared" si="32"/>
        <v>1162.32444078239</v>
      </c>
      <c r="AO27" s="883">
        <f t="shared" si="33"/>
        <v>0</v>
      </c>
      <c r="AP27" s="883">
        <f t="shared" si="34"/>
        <v>15.507063687671446</v>
      </c>
      <c r="AQ27" s="890">
        <f t="shared" si="38"/>
        <v>1216.9443553308226</v>
      </c>
    </row>
    <row r="28" spans="1:43">
      <c r="A28" s="817"/>
      <c r="B28" s="860" t="s">
        <v>1602</v>
      </c>
      <c r="C28" s="883"/>
      <c r="D28" s="883">
        <f>HLOOKUP($B$2,'Consumption Input'!$E$5:$AQ$82,'Consumption Input'!$B19)</f>
        <v>111.119</v>
      </c>
      <c r="E28" s="883">
        <f>HLOOKUP($B$2,'Consumption Input'!$E$5:$AQ$82,'Consumption Input'!$B33)</f>
        <v>171.71474999999998</v>
      </c>
      <c r="F28" s="883">
        <f>HLOOKUP($B$2,'Consumption Input'!$E$5:$AQ$82,'Consumption Input'!$B56)</f>
        <v>570.92899999999997</v>
      </c>
      <c r="G28" s="883">
        <f>HLOOKUP($B$2,'Consumption Input'!$E$5:$AQ$82,'Consumption Input'!$B61)</f>
        <v>869.36300000000006</v>
      </c>
      <c r="H28" s="883">
        <f>HLOOKUP($B$2,'US Territories'!$D$28:$Z$38,'US Territories'!$B37)</f>
        <v>205.57964002881781</v>
      </c>
      <c r="I28" s="883">
        <f t="shared" si="36"/>
        <v>1928.7053900288179</v>
      </c>
      <c r="J28" s="961">
        <f>HLOOKUP($B$2,IBFConsumption,'International Bunker Fuels'!$B$9)</f>
        <v>471.81522678099998</v>
      </c>
      <c r="K28" s="940"/>
      <c r="L28" s="940"/>
      <c r="M28" s="940"/>
      <c r="N28" s="885">
        <f t="shared" si="43"/>
        <v>0</v>
      </c>
      <c r="O28" s="883">
        <f t="shared" si="44"/>
        <v>111.119</v>
      </c>
      <c r="P28" s="883">
        <f t="shared" si="45"/>
        <v>171.71474999999998</v>
      </c>
      <c r="Q28" s="883">
        <f t="shared" si="46"/>
        <v>99.113773218999995</v>
      </c>
      <c r="R28" s="883">
        <f t="shared" si="47"/>
        <v>869.36300000000006</v>
      </c>
      <c r="S28" s="886">
        <f t="shared" si="48"/>
        <v>205.57964002881781</v>
      </c>
      <c r="T28" s="883">
        <f t="shared" si="7"/>
        <v>1456.8901632478178</v>
      </c>
      <c r="U28" s="887">
        <f>Factors!D36</f>
        <v>20.48</v>
      </c>
      <c r="V28" s="885">
        <f t="shared" si="49"/>
        <v>0</v>
      </c>
      <c r="W28" s="883">
        <f t="shared" si="50"/>
        <v>2.2757171200000004</v>
      </c>
      <c r="X28" s="883">
        <f t="shared" si="51"/>
        <v>3.5167180799999995</v>
      </c>
      <c r="Y28" s="883">
        <f t="shared" si="52"/>
        <v>2.0298500755251201</v>
      </c>
      <c r="Z28" s="883">
        <f t="shared" si="53"/>
        <v>17.804554240000002</v>
      </c>
      <c r="AA28" s="883">
        <f t="shared" si="54"/>
        <v>4.2102710277901885</v>
      </c>
      <c r="AB28" s="883">
        <f t="shared" si="37"/>
        <v>29.837110543315308</v>
      </c>
      <c r="AC28" s="888">
        <f>Factors!E36</f>
        <v>1</v>
      </c>
      <c r="AD28" s="885">
        <f t="shared" si="55"/>
        <v>0</v>
      </c>
      <c r="AE28" s="883">
        <f t="shared" si="56"/>
        <v>2.2757171200000004</v>
      </c>
      <c r="AF28" s="883">
        <f t="shared" si="57"/>
        <v>3.5167180799999995</v>
      </c>
      <c r="AG28" s="883">
        <f t="shared" si="58"/>
        <v>2.0298500755251201</v>
      </c>
      <c r="AH28" s="883">
        <f t="shared" si="59"/>
        <v>17.804554240000002</v>
      </c>
      <c r="AI28" s="883">
        <f t="shared" si="60"/>
        <v>4.2102710277901885</v>
      </c>
      <c r="AJ28" s="889">
        <f t="shared" si="9"/>
        <v>29.837110543315308</v>
      </c>
      <c r="AK28" s="885">
        <f t="shared" si="29"/>
        <v>0</v>
      </c>
      <c r="AL28" s="883">
        <f t="shared" si="30"/>
        <v>8.3442961066666683</v>
      </c>
      <c r="AM28" s="883">
        <f t="shared" si="31"/>
        <v>12.894632959999997</v>
      </c>
      <c r="AN28" s="883">
        <f t="shared" si="32"/>
        <v>7.4427836102587737</v>
      </c>
      <c r="AO28" s="883">
        <f t="shared" si="33"/>
        <v>65.283365546666673</v>
      </c>
      <c r="AP28" s="883">
        <f t="shared" si="34"/>
        <v>15.43766043523069</v>
      </c>
      <c r="AQ28" s="890">
        <f t="shared" si="38"/>
        <v>109.40273865882281</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7"/>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29"/>
        <v>0</v>
      </c>
      <c r="AL29" s="883">
        <f t="shared" si="30"/>
        <v>0</v>
      </c>
      <c r="AM29" s="883">
        <f t="shared" si="31"/>
        <v>0</v>
      </c>
      <c r="AN29" s="883">
        <f t="shared" si="32"/>
        <v>0</v>
      </c>
      <c r="AO29" s="883">
        <f t="shared" si="33"/>
        <v>0</v>
      </c>
      <c r="AP29" s="883">
        <f t="shared" si="34"/>
        <v>0</v>
      </c>
      <c r="AQ29" s="890">
        <f t="shared" si="38"/>
        <v>0</v>
      </c>
    </row>
    <row r="30" spans="1:43">
      <c r="A30" s="817"/>
      <c r="B30" s="865" t="s">
        <v>1611</v>
      </c>
      <c r="C30" s="883"/>
      <c r="D30" s="883"/>
      <c r="E30" s="883">
        <f>HLOOKUP($B$2,'Consumption Input'!$E$5:$AQ$82,'Consumption Input'!$B35)</f>
        <v>7.4710399999999995</v>
      </c>
      <c r="F30" s="883"/>
      <c r="G30" s="883"/>
      <c r="H30" s="883"/>
      <c r="I30" s="883">
        <f t="shared" si="36"/>
        <v>7.4710399999999995</v>
      </c>
      <c r="J30" s="961"/>
      <c r="K30" s="940"/>
      <c r="L30" s="940"/>
      <c r="M30" s="940"/>
      <c r="N30" s="885">
        <f t="shared" si="43"/>
        <v>0</v>
      </c>
      <c r="O30" s="883">
        <f t="shared" si="44"/>
        <v>0</v>
      </c>
      <c r="P30" s="883">
        <f t="shared" si="45"/>
        <v>7.4710399999999995</v>
      </c>
      <c r="Q30" s="883">
        <f t="shared" si="46"/>
        <v>0</v>
      </c>
      <c r="R30" s="883">
        <f t="shared" si="47"/>
        <v>0</v>
      </c>
      <c r="S30" s="886">
        <f t="shared" si="48"/>
        <v>0</v>
      </c>
      <c r="T30" s="883">
        <f t="shared" si="7"/>
        <v>7.4710399999999995</v>
      </c>
      <c r="U30" s="887">
        <f>Factors!D39</f>
        <v>18.87</v>
      </c>
      <c r="V30" s="885">
        <f t="shared" si="49"/>
        <v>0</v>
      </c>
      <c r="W30" s="883">
        <f t="shared" si="50"/>
        <v>0</v>
      </c>
      <c r="X30" s="883">
        <f t="shared" si="51"/>
        <v>0.1409785248</v>
      </c>
      <c r="Y30" s="883">
        <f t="shared" si="52"/>
        <v>0</v>
      </c>
      <c r="Z30" s="883">
        <f t="shared" si="53"/>
        <v>0</v>
      </c>
      <c r="AA30" s="883">
        <f t="shared" si="54"/>
        <v>0</v>
      </c>
      <c r="AB30" s="883">
        <f t="shared" si="37"/>
        <v>0.1409785248</v>
      </c>
      <c r="AC30" s="888">
        <f>Factors!E39</f>
        <v>1</v>
      </c>
      <c r="AD30" s="885">
        <f t="shared" si="55"/>
        <v>0</v>
      </c>
      <c r="AE30" s="883">
        <f t="shared" si="56"/>
        <v>0</v>
      </c>
      <c r="AF30" s="883">
        <f t="shared" si="57"/>
        <v>0.1409785248</v>
      </c>
      <c r="AG30" s="883">
        <f t="shared" si="58"/>
        <v>0</v>
      </c>
      <c r="AH30" s="883">
        <f t="shared" si="59"/>
        <v>0</v>
      </c>
      <c r="AI30" s="883">
        <f t="shared" si="60"/>
        <v>0</v>
      </c>
      <c r="AJ30" s="889">
        <f t="shared" si="9"/>
        <v>0.1409785248</v>
      </c>
      <c r="AK30" s="885">
        <f t="shared" si="29"/>
        <v>0</v>
      </c>
      <c r="AL30" s="883">
        <f t="shared" si="30"/>
        <v>0</v>
      </c>
      <c r="AM30" s="883">
        <f t="shared" si="31"/>
        <v>0.51692125759999996</v>
      </c>
      <c r="AN30" s="883">
        <f t="shared" si="32"/>
        <v>0</v>
      </c>
      <c r="AO30" s="883">
        <f t="shared" si="33"/>
        <v>0</v>
      </c>
      <c r="AP30" s="883">
        <f t="shared" si="34"/>
        <v>0</v>
      </c>
      <c r="AQ30" s="890">
        <f t="shared" si="38"/>
        <v>0.51692125759999996</v>
      </c>
    </row>
    <row r="31" spans="1:43">
      <c r="A31" s="817"/>
      <c r="B31" s="865" t="s">
        <v>1612</v>
      </c>
      <c r="C31" s="883"/>
      <c r="D31" s="883"/>
      <c r="E31" s="883">
        <f>HLOOKUP($B$2,'Consumption Input'!$E$5:$AQ$82,'Consumption Input'!$B36)</f>
        <v>0</v>
      </c>
      <c r="F31" s="883"/>
      <c r="G31" s="883"/>
      <c r="H31" s="883"/>
      <c r="I31" s="883">
        <f t="shared" si="36"/>
        <v>0</v>
      </c>
      <c r="J31" s="961"/>
      <c r="K31" s="940"/>
      <c r="L31" s="940"/>
      <c r="M31" s="940"/>
      <c r="N31" s="885">
        <f t="shared" si="43"/>
        <v>0</v>
      </c>
      <c r="O31" s="883">
        <f t="shared" si="44"/>
        <v>0</v>
      </c>
      <c r="P31" s="883">
        <f>E31-K31</f>
        <v>0</v>
      </c>
      <c r="Q31" s="883">
        <f t="shared" si="46"/>
        <v>0</v>
      </c>
      <c r="R31" s="883">
        <f t="shared" si="47"/>
        <v>0</v>
      </c>
      <c r="S31" s="886">
        <f t="shared" si="48"/>
        <v>0</v>
      </c>
      <c r="T31" s="883">
        <f t="shared" si="7"/>
        <v>0</v>
      </c>
      <c r="U31" s="887">
        <f>HLOOKUP($B$2,Factors!$J$12:$Y$25,Factors!$H25)</f>
        <v>20.249189764655174</v>
      </c>
      <c r="V31" s="885">
        <f t="shared" si="49"/>
        <v>0</v>
      </c>
      <c r="W31" s="883">
        <f t="shared" si="50"/>
        <v>0</v>
      </c>
      <c r="X31" s="883">
        <f t="shared" si="51"/>
        <v>0</v>
      </c>
      <c r="Y31" s="883">
        <f t="shared" si="52"/>
        <v>0</v>
      </c>
      <c r="Z31" s="883">
        <f t="shared" si="53"/>
        <v>0</v>
      </c>
      <c r="AA31" s="883">
        <f t="shared" si="54"/>
        <v>0</v>
      </c>
      <c r="AB31" s="883">
        <f t="shared" si="37"/>
        <v>0</v>
      </c>
      <c r="AC31" s="888">
        <f>Factors!E40</f>
        <v>1</v>
      </c>
      <c r="AD31" s="885">
        <f t="shared" si="55"/>
        <v>0</v>
      </c>
      <c r="AE31" s="883">
        <f t="shared" si="56"/>
        <v>0</v>
      </c>
      <c r="AF31" s="883">
        <f t="shared" si="57"/>
        <v>0</v>
      </c>
      <c r="AG31" s="883">
        <f t="shared" si="58"/>
        <v>0</v>
      </c>
      <c r="AH31" s="883">
        <f t="shared" si="59"/>
        <v>0</v>
      </c>
      <c r="AI31" s="883">
        <f t="shared" si="60"/>
        <v>0</v>
      </c>
      <c r="AJ31" s="889">
        <f t="shared" si="9"/>
        <v>0</v>
      </c>
      <c r="AK31" s="885">
        <f t="shared" si="29"/>
        <v>0</v>
      </c>
      <c r="AL31" s="883">
        <f t="shared" si="30"/>
        <v>0</v>
      </c>
      <c r="AM31" s="883">
        <f t="shared" si="31"/>
        <v>0</v>
      </c>
      <c r="AN31" s="883">
        <f t="shared" si="32"/>
        <v>0</v>
      </c>
      <c r="AO31" s="883">
        <f t="shared" si="33"/>
        <v>0</v>
      </c>
      <c r="AP31" s="883">
        <f t="shared" si="34"/>
        <v>0</v>
      </c>
      <c r="AQ31" s="890">
        <f t="shared" si="38"/>
        <v>0</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887">
        <f>HLOOKUP($B$2,Factors!$J$12:$Y$25,Factors!$H22)</f>
        <v>19.358557889229616</v>
      </c>
      <c r="V32" s="885">
        <f t="shared" si="49"/>
        <v>0</v>
      </c>
      <c r="W32" s="883">
        <f t="shared" si="50"/>
        <v>0</v>
      </c>
      <c r="X32" s="883">
        <f t="shared" si="51"/>
        <v>0</v>
      </c>
      <c r="Y32" s="883">
        <f t="shared" si="52"/>
        <v>0</v>
      </c>
      <c r="Z32" s="883">
        <f t="shared" si="53"/>
        <v>0</v>
      </c>
      <c r="AA32" s="883">
        <f t="shared" si="54"/>
        <v>0</v>
      </c>
      <c r="AB32" s="883">
        <f t="shared" si="37"/>
        <v>0</v>
      </c>
      <c r="AC32" s="888">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29"/>
        <v>0</v>
      </c>
      <c r="AL32" s="883">
        <f t="shared" si="30"/>
        <v>0</v>
      </c>
      <c r="AM32" s="883">
        <f t="shared" si="31"/>
        <v>0</v>
      </c>
      <c r="AN32" s="883">
        <f t="shared" si="32"/>
        <v>0</v>
      </c>
      <c r="AO32" s="883">
        <f t="shared" si="33"/>
        <v>0</v>
      </c>
      <c r="AP32" s="883">
        <f t="shared" si="34"/>
        <v>0</v>
      </c>
      <c r="AQ32" s="890">
        <f t="shared" si="38"/>
        <v>0</v>
      </c>
    </row>
    <row r="33" spans="1:43">
      <c r="A33" s="817"/>
      <c r="B33" s="865" t="s">
        <v>1739</v>
      </c>
      <c r="C33" s="883"/>
      <c r="D33" s="883"/>
      <c r="E33" s="883">
        <f>HLOOKUP($B$2,'Consumption Input'!$E$5:$AQ$82,'Consumption Input'!$B38)</f>
        <v>125.964468</v>
      </c>
      <c r="F33" s="883"/>
      <c r="G33" s="883"/>
      <c r="H33" s="883">
        <f>HLOOKUP($B$2,'US Territories'!$D$28:$Z$38,'US Territories'!$B38)</f>
        <v>115.76665380121828</v>
      </c>
      <c r="I33" s="883">
        <f t="shared" si="36"/>
        <v>241.73112180121828</v>
      </c>
      <c r="J33" s="961"/>
      <c r="K33" s="940">
        <f>HLOOKUP($B$2,NEUConsumption,'Non-Energy Use'!C22)</f>
        <v>125.964468</v>
      </c>
      <c r="L33" s="940"/>
      <c r="M33" s="940">
        <f>HLOOKUP($B$2,NEUConsumption,'Non-Energy Use'!$C$27)</f>
        <v>115.76665380121828</v>
      </c>
      <c r="N33" s="885">
        <f t="shared" si="43"/>
        <v>0</v>
      </c>
      <c r="O33" s="883">
        <f t="shared" si="44"/>
        <v>0</v>
      </c>
      <c r="P33" s="883">
        <f>E33-K33</f>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7"/>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29"/>
        <v>0</v>
      </c>
      <c r="AL33" s="883">
        <f t="shared" si="30"/>
        <v>0</v>
      </c>
      <c r="AM33" s="883">
        <f t="shared" si="31"/>
        <v>0</v>
      </c>
      <c r="AN33" s="883">
        <f t="shared" si="32"/>
        <v>0</v>
      </c>
      <c r="AO33" s="883">
        <f t="shared" si="33"/>
        <v>0</v>
      </c>
      <c r="AP33" s="883">
        <f t="shared" si="34"/>
        <v>0</v>
      </c>
      <c r="AQ33" s="890">
        <f t="shared" si="38"/>
        <v>0</v>
      </c>
    </row>
    <row r="34" spans="1:43">
      <c r="A34" s="817"/>
      <c r="B34" s="865" t="s">
        <v>1615</v>
      </c>
      <c r="C34" s="883"/>
      <c r="D34" s="883"/>
      <c r="E34" s="883">
        <f>HLOOKUP($B$2,'Consumption Input'!$E$5:$AQ$82,'Consumption Input'!$B39)</f>
        <v>612.95590400000003</v>
      </c>
      <c r="F34" s="883"/>
      <c r="G34" s="883"/>
      <c r="H34" s="883"/>
      <c r="I34" s="883">
        <f t="shared" si="36"/>
        <v>612.95590400000003</v>
      </c>
      <c r="J34" s="961"/>
      <c r="K34" s="940">
        <f>HLOOKUP($B$2,NEUConsumption,'Non-Energy Use'!C14)</f>
        <v>612.95590400000003</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7"/>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29"/>
        <v>0</v>
      </c>
      <c r="AL34" s="883">
        <f t="shared" si="30"/>
        <v>0</v>
      </c>
      <c r="AM34" s="883">
        <f t="shared" si="31"/>
        <v>0</v>
      </c>
      <c r="AN34" s="883">
        <f t="shared" si="32"/>
        <v>0</v>
      </c>
      <c r="AO34" s="883">
        <f t="shared" si="33"/>
        <v>0</v>
      </c>
      <c r="AP34" s="883">
        <f t="shared" si="34"/>
        <v>0</v>
      </c>
      <c r="AQ34" s="890">
        <f t="shared" si="38"/>
        <v>0</v>
      </c>
    </row>
    <row r="35" spans="1:43">
      <c r="A35" s="817"/>
      <c r="B35" s="865" t="s">
        <v>1616</v>
      </c>
      <c r="C35" s="883"/>
      <c r="D35" s="883"/>
      <c r="E35" s="940">
        <f>HLOOKUP($B$2,'Consumption Input'!$E$5:$AQ$82,'Consumption Input'!$B40)</f>
        <v>699.37862500000006</v>
      </c>
      <c r="F35" s="883"/>
      <c r="G35" s="883"/>
      <c r="H35" s="883"/>
      <c r="I35" s="883">
        <f t="shared" si="36"/>
        <v>699.37862500000006</v>
      </c>
      <c r="J35" s="961"/>
      <c r="K35" s="940">
        <f>HLOOKUP($B$2,NEUConsumption,'Non-Energy Use'!$C$15)</f>
        <v>699.37862500000006</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7"/>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29"/>
        <v>0</v>
      </c>
      <c r="AL35" s="883">
        <f t="shared" si="30"/>
        <v>0</v>
      </c>
      <c r="AM35" s="883">
        <f t="shared" si="31"/>
        <v>0</v>
      </c>
      <c r="AN35" s="883">
        <f t="shared" si="32"/>
        <v>0</v>
      </c>
      <c r="AO35" s="883">
        <f t="shared" si="33"/>
        <v>0</v>
      </c>
      <c r="AP35" s="883">
        <f t="shared" si="34"/>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7"/>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29"/>
        <v>0</v>
      </c>
      <c r="AL36" s="883">
        <f t="shared" si="30"/>
        <v>0</v>
      </c>
      <c r="AM36" s="883">
        <f t="shared" si="31"/>
        <v>0</v>
      </c>
      <c r="AN36" s="883">
        <f t="shared" si="32"/>
        <v>0</v>
      </c>
      <c r="AO36" s="883">
        <f t="shared" si="33"/>
        <v>0</v>
      </c>
      <c r="AP36" s="883">
        <f t="shared" si="34"/>
        <v>0</v>
      </c>
      <c r="AQ36" s="890">
        <f t="shared" si="38"/>
        <v>0</v>
      </c>
    </row>
    <row r="37" spans="1:43">
      <c r="A37" s="817"/>
      <c r="B37" s="865" t="s">
        <v>1604</v>
      </c>
      <c r="C37" s="883"/>
      <c r="D37" s="883">
        <f>HLOOKUP($B$2,'Consumption Input'!$E$5:$AQ$82,'Consumption Input'!$B21)</f>
        <v>0.32800000000000001</v>
      </c>
      <c r="E37" s="883">
        <f>HLOOKUP($B$2,'Consumption Input'!$E$5:$AQ$82,'Consumption Input'!$B42)</f>
        <v>824.68799999999999</v>
      </c>
      <c r="F37" s="883"/>
      <c r="G37" s="883">
        <f>HLOOKUP($B$2,'Consumption Input'!$E$5:$AQ$82,'Consumption Input'!$B63)</f>
        <v>174.66699999999997</v>
      </c>
      <c r="H37" s="883"/>
      <c r="I37" s="883">
        <f t="shared" si="36"/>
        <v>999.68299999999999</v>
      </c>
      <c r="J37" s="961"/>
      <c r="K37" s="940">
        <f>HLOOKUP($B$2,NEUConsumption,'Non-Energy Use'!$C$17)</f>
        <v>122.83683504646952</v>
      </c>
      <c r="L37" s="940"/>
      <c r="M37" s="940"/>
      <c r="N37" s="885">
        <f t="shared" si="43"/>
        <v>0</v>
      </c>
      <c r="O37" s="883">
        <f t="shared" si="44"/>
        <v>0.32800000000000001</v>
      </c>
      <c r="P37" s="883">
        <f t="shared" si="45"/>
        <v>701.85116495353043</v>
      </c>
      <c r="Q37" s="883">
        <f t="shared" si="46"/>
        <v>0</v>
      </c>
      <c r="R37" s="883">
        <f t="shared" si="47"/>
        <v>174.66699999999997</v>
      </c>
      <c r="S37" s="886">
        <f t="shared" si="48"/>
        <v>0</v>
      </c>
      <c r="T37" s="883">
        <f t="shared" si="7"/>
        <v>876.84616495353043</v>
      </c>
      <c r="U37" s="887">
        <f>Factors!D48</f>
        <v>27.84770010865628</v>
      </c>
      <c r="V37" s="885">
        <f t="shared" si="49"/>
        <v>0</v>
      </c>
      <c r="W37" s="883">
        <f t="shared" si="50"/>
        <v>9.1340456356392603E-3</v>
      </c>
      <c r="X37" s="883">
        <f t="shared" si="51"/>
        <v>19.544940762536967</v>
      </c>
      <c r="Y37" s="883">
        <f t="shared" si="52"/>
        <v>0</v>
      </c>
      <c r="Z37" s="883">
        <f t="shared" si="53"/>
        <v>4.8640742348786663</v>
      </c>
      <c r="AA37" s="883">
        <f t="shared" si="54"/>
        <v>0</v>
      </c>
      <c r="AB37" s="883">
        <f t="shared" si="37"/>
        <v>24.418149043051272</v>
      </c>
      <c r="AC37" s="888">
        <f>Factors!E48</f>
        <v>1</v>
      </c>
      <c r="AD37" s="885">
        <f t="shared" si="55"/>
        <v>0</v>
      </c>
      <c r="AE37" s="883">
        <f t="shared" si="56"/>
        <v>9.1340456356392603E-3</v>
      </c>
      <c r="AF37" s="883">
        <f t="shared" si="57"/>
        <v>19.544940762536967</v>
      </c>
      <c r="AG37" s="883">
        <f t="shared" si="58"/>
        <v>0</v>
      </c>
      <c r="AH37" s="883">
        <f t="shared" si="59"/>
        <v>4.8640742348786663</v>
      </c>
      <c r="AI37" s="883">
        <f t="shared" si="60"/>
        <v>0</v>
      </c>
      <c r="AJ37" s="889">
        <f t="shared" si="9"/>
        <v>24.418149043051272</v>
      </c>
      <c r="AK37" s="885">
        <f t="shared" si="29"/>
        <v>0</v>
      </c>
      <c r="AL37" s="883">
        <f t="shared" si="30"/>
        <v>3.3491500664010618E-2</v>
      </c>
      <c r="AM37" s="883">
        <f t="shared" si="31"/>
        <v>71.664782795968875</v>
      </c>
      <c r="AN37" s="883">
        <f t="shared" si="32"/>
        <v>0</v>
      </c>
      <c r="AO37" s="883">
        <f t="shared" si="33"/>
        <v>17.834938861221776</v>
      </c>
      <c r="AP37" s="883">
        <f t="shared" si="34"/>
        <v>0</v>
      </c>
      <c r="AQ37" s="890">
        <f t="shared" si="38"/>
        <v>89.533213157854661</v>
      </c>
    </row>
    <row r="38" spans="1:43">
      <c r="A38" s="817"/>
      <c r="B38" s="865" t="s">
        <v>1618</v>
      </c>
      <c r="C38" s="883"/>
      <c r="D38" s="883"/>
      <c r="E38" s="883">
        <f>HLOOKUP($B$2,'Consumption Input'!$E$5:$AQ$82,'Consumption Input'!$B43)</f>
        <v>1536.3059999999998</v>
      </c>
      <c r="F38" s="883"/>
      <c r="G38" s="883"/>
      <c r="H38" s="883"/>
      <c r="I38" s="883">
        <f t="shared" si="36"/>
        <v>1536.3059999999998</v>
      </c>
      <c r="J38" s="961"/>
      <c r="K38" s="940">
        <f>HLOOKUP($B$2,NEUConsumption,'Non-Energy Use'!$C$16)</f>
        <v>59.015999999999899</v>
      </c>
      <c r="L38" s="940"/>
      <c r="M38" s="940"/>
      <c r="N38" s="885">
        <f t="shared" si="43"/>
        <v>0</v>
      </c>
      <c r="O38" s="883">
        <f t="shared" si="44"/>
        <v>0</v>
      </c>
      <c r="P38" s="883">
        <f t="shared" si="45"/>
        <v>1477.29</v>
      </c>
      <c r="Q38" s="883">
        <f t="shared" si="46"/>
        <v>0</v>
      </c>
      <c r="R38" s="883">
        <f t="shared" si="47"/>
        <v>0</v>
      </c>
      <c r="S38" s="886">
        <f t="shared" si="48"/>
        <v>0</v>
      </c>
      <c r="T38" s="883">
        <f t="shared" si="7"/>
        <v>1477.29</v>
      </c>
      <c r="U38" s="887">
        <f>Factors!D51</f>
        <v>18.195454545454545</v>
      </c>
      <c r="V38" s="885">
        <f t="shared" si="49"/>
        <v>0</v>
      </c>
      <c r="W38" s="883">
        <f t="shared" si="50"/>
        <v>0</v>
      </c>
      <c r="X38" s="883">
        <f t="shared" si="51"/>
        <v>26.879963045454545</v>
      </c>
      <c r="Y38" s="883">
        <f t="shared" si="52"/>
        <v>0</v>
      </c>
      <c r="Z38" s="883">
        <f t="shared" si="53"/>
        <v>0</v>
      </c>
      <c r="AA38" s="883">
        <f t="shared" si="54"/>
        <v>0</v>
      </c>
      <c r="AB38" s="883">
        <f t="shared" si="37"/>
        <v>26.879963045454545</v>
      </c>
      <c r="AC38" s="888">
        <f>Factors!E51</f>
        <v>1</v>
      </c>
      <c r="AD38" s="885">
        <f t="shared" si="55"/>
        <v>0</v>
      </c>
      <c r="AE38" s="883">
        <f t="shared" si="56"/>
        <v>0</v>
      </c>
      <c r="AF38" s="883">
        <f t="shared" si="57"/>
        <v>26.879963045454545</v>
      </c>
      <c r="AG38" s="883">
        <f t="shared" si="58"/>
        <v>0</v>
      </c>
      <c r="AH38" s="883">
        <f t="shared" si="59"/>
        <v>0</v>
      </c>
      <c r="AI38" s="883">
        <f t="shared" si="60"/>
        <v>0</v>
      </c>
      <c r="AJ38" s="889">
        <f t="shared" si="9"/>
        <v>26.879963045454545</v>
      </c>
      <c r="AK38" s="885">
        <f t="shared" si="29"/>
        <v>0</v>
      </c>
      <c r="AL38" s="883">
        <f t="shared" si="30"/>
        <v>0</v>
      </c>
      <c r="AM38" s="883">
        <f t="shared" si="31"/>
        <v>98.559864499999989</v>
      </c>
      <c r="AN38" s="883">
        <f t="shared" si="32"/>
        <v>0</v>
      </c>
      <c r="AO38" s="883">
        <f t="shared" si="33"/>
        <v>0</v>
      </c>
      <c r="AP38" s="883">
        <f t="shared" si="34"/>
        <v>0</v>
      </c>
      <c r="AQ38" s="890">
        <f t="shared" si="38"/>
        <v>98.559864499999989</v>
      </c>
    </row>
    <row r="39" spans="1:43">
      <c r="A39" s="817"/>
      <c r="B39" s="865" t="s">
        <v>1619</v>
      </c>
      <c r="C39" s="883"/>
      <c r="D39" s="883"/>
      <c r="E39" s="883">
        <f>HLOOKUP($B$2,'Consumption Input'!$E$5:$AQ$82,'Consumption Input'!$B44)</f>
        <v>80.483328</v>
      </c>
      <c r="F39" s="883"/>
      <c r="G39" s="883"/>
      <c r="H39" s="883"/>
      <c r="I39" s="883">
        <f t="shared" si="36"/>
        <v>80.483328</v>
      </c>
      <c r="J39" s="961"/>
      <c r="K39" s="940">
        <f>HLOOKUP($B$2,NEUConsumption,'Non-Energy Use'!$C$18)</f>
        <v>80.483328</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7"/>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29"/>
        <v>0</v>
      </c>
      <c r="AL39" s="883">
        <f t="shared" si="30"/>
        <v>0</v>
      </c>
      <c r="AM39" s="883">
        <f t="shared" si="31"/>
        <v>0</v>
      </c>
      <c r="AN39" s="883">
        <f t="shared" si="32"/>
        <v>0</v>
      </c>
      <c r="AO39" s="883">
        <f t="shared" si="33"/>
        <v>0</v>
      </c>
      <c r="AP39" s="883">
        <f t="shared" si="34"/>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20.249189764655174</v>
      </c>
      <c r="V40" s="885">
        <f t="shared" si="49"/>
        <v>0</v>
      </c>
      <c r="W40" s="883">
        <f t="shared" si="50"/>
        <v>0</v>
      </c>
      <c r="X40" s="883">
        <f t="shared" si="51"/>
        <v>0</v>
      </c>
      <c r="Y40" s="883">
        <f t="shared" si="52"/>
        <v>0</v>
      </c>
      <c r="Z40" s="883">
        <f t="shared" si="53"/>
        <v>0</v>
      </c>
      <c r="AA40" s="883">
        <f t="shared" si="54"/>
        <v>0</v>
      </c>
      <c r="AB40" s="883">
        <f t="shared" si="37"/>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29"/>
        <v>0</v>
      </c>
      <c r="AL40" s="883">
        <f t="shared" si="30"/>
        <v>0</v>
      </c>
      <c r="AM40" s="883">
        <f t="shared" si="31"/>
        <v>0</v>
      </c>
      <c r="AN40" s="883">
        <f t="shared" si="32"/>
        <v>0</v>
      </c>
      <c r="AO40" s="883">
        <f t="shared" si="33"/>
        <v>0</v>
      </c>
      <c r="AP40" s="883">
        <f t="shared" si="34"/>
        <v>0</v>
      </c>
      <c r="AQ40" s="890">
        <f t="shared" si="38"/>
        <v>0</v>
      </c>
    </row>
    <row r="41" spans="1:43">
      <c r="A41" s="817"/>
      <c r="B41" s="865" t="s">
        <v>1621</v>
      </c>
      <c r="C41" s="883"/>
      <c r="D41" s="883"/>
      <c r="E41" s="883">
        <f>HLOOKUP($B$2,'Consumption Input'!$E$5:$AQ$82,'Consumption Input'!$B46)</f>
        <v>31.045959</v>
      </c>
      <c r="F41" s="883"/>
      <c r="G41" s="883"/>
      <c r="H41" s="883"/>
      <c r="I41" s="883">
        <f t="shared" si="36"/>
        <v>31.045959</v>
      </c>
      <c r="J41" s="961"/>
      <c r="K41" s="940">
        <f>HLOOKUP($B$2,NEUConsumption,'Non-Energy Use'!$C$21)</f>
        <v>31.045959</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7"/>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29"/>
        <v>0</v>
      </c>
      <c r="AL41" s="883">
        <f t="shared" si="30"/>
        <v>0</v>
      </c>
      <c r="AM41" s="883">
        <f t="shared" si="31"/>
        <v>0</v>
      </c>
      <c r="AN41" s="883">
        <f t="shared" si="32"/>
        <v>0</v>
      </c>
      <c r="AO41" s="883">
        <f t="shared" si="33"/>
        <v>0</v>
      </c>
      <c r="AP41" s="883">
        <f t="shared" si="34"/>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49.215476496139992</v>
      </c>
      <c r="H42" s="917"/>
      <c r="I42" s="917">
        <f>G42</f>
        <v>49.215476496139992</v>
      </c>
      <c r="J42" s="968"/>
      <c r="K42" s="969"/>
      <c r="L42" s="970"/>
      <c r="M42" s="971"/>
      <c r="N42" s="917">
        <f t="shared" si="43"/>
        <v>0</v>
      </c>
      <c r="O42" s="917">
        <f t="shared" si="44"/>
        <v>0</v>
      </c>
      <c r="P42" s="917">
        <f>E42</f>
        <v>0</v>
      </c>
      <c r="Q42" s="917">
        <f>F42</f>
        <v>0</v>
      </c>
      <c r="R42" s="917">
        <f t="shared" si="47"/>
        <v>49.215476496139992</v>
      </c>
      <c r="S42" s="917">
        <f>H42</f>
        <v>0</v>
      </c>
      <c r="T42" s="917">
        <f t="shared" si="7"/>
        <v>49.215476496139992</v>
      </c>
      <c r="U42" s="921">
        <f>Factors!D56</f>
        <v>2.6974658424810825</v>
      </c>
      <c r="V42" s="917"/>
      <c r="W42" s="917"/>
      <c r="X42" s="917"/>
      <c r="Y42" s="917"/>
      <c r="Z42" s="917">
        <f>INDEX(Geothermal!$C$14:$AE$18,MATCH("Total",Geothermal!$C$14:$C$18,0),MATCH($B$2,Geothermal!$C$14:$AE$14,0))/CtoCO2</f>
        <v>0.12727843467817498</v>
      </c>
      <c r="AA42" s="917"/>
      <c r="AB42" s="917">
        <f t="shared" si="37"/>
        <v>0.12727843467817498</v>
      </c>
      <c r="AC42" s="921">
        <f>Factors!$E$56</f>
        <v>1</v>
      </c>
      <c r="AD42" s="917">
        <f t="shared" si="55"/>
        <v>0</v>
      </c>
      <c r="AE42" s="917">
        <f t="shared" si="56"/>
        <v>0</v>
      </c>
      <c r="AF42" s="917">
        <f t="shared" si="57"/>
        <v>0</v>
      </c>
      <c r="AG42" s="917">
        <f t="shared" si="58"/>
        <v>0</v>
      </c>
      <c r="AH42" s="917">
        <f t="shared" si="59"/>
        <v>0.12727843467817498</v>
      </c>
      <c r="AI42" s="917">
        <f t="shared" si="60"/>
        <v>0</v>
      </c>
      <c r="AJ42" s="920">
        <f t="shared" si="9"/>
        <v>0.12727843467817498</v>
      </c>
      <c r="AK42" s="919">
        <f t="shared" si="29"/>
        <v>0</v>
      </c>
      <c r="AL42" s="917">
        <f t="shared" si="30"/>
        <v>0</v>
      </c>
      <c r="AM42" s="917">
        <f t="shared" si="31"/>
        <v>0</v>
      </c>
      <c r="AN42" s="917">
        <f t="shared" si="32"/>
        <v>0</v>
      </c>
      <c r="AO42" s="917">
        <f t="shared" si="33"/>
        <v>0.46668759381997493</v>
      </c>
      <c r="AP42" s="917">
        <f t="shared" si="34"/>
        <v>0</v>
      </c>
      <c r="AQ42" s="920">
        <f t="shared" si="38"/>
        <v>0.46668759381997493</v>
      </c>
    </row>
    <row r="43" spans="1:43" ht="11.1" thickBot="1">
      <c r="A43" s="817"/>
      <c r="B43" s="867" t="s">
        <v>1740</v>
      </c>
      <c r="C43" s="922">
        <f>C8+C17+C18+C42</f>
        <v>6684.8429471630052</v>
      </c>
      <c r="D43" s="922">
        <f>D8+D17+D18+D42</f>
        <v>4166.0176905808939</v>
      </c>
      <c r="E43" s="922">
        <f>E8+E17+E18+E42</f>
        <v>18491.077297855343</v>
      </c>
      <c r="F43" s="922">
        <f>F8+F17+F18+F42</f>
        <v>26641.94978761809</v>
      </c>
      <c r="G43" s="922">
        <f>G8+G17+G18+G42</f>
        <v>26685.026476496139</v>
      </c>
      <c r="H43" s="922">
        <f>H16+H17+H18+H42</f>
        <v>806.91878949518593</v>
      </c>
      <c r="I43" s="922">
        <f>SUM(C43:H43)</f>
        <v>83475.832989208662</v>
      </c>
      <c r="J43" s="972">
        <f t="shared" ref="J43:S43" si="65">J8+J17+J18+J42</f>
        <v>1360.0245187106057</v>
      </c>
      <c r="K43" s="973">
        <f t="shared" si="65"/>
        <v>5233.1715815677799</v>
      </c>
      <c r="L43" s="974">
        <f t="shared" si="65"/>
        <v>150.13399999999999</v>
      </c>
      <c r="M43" s="975">
        <f t="shared" si="65"/>
        <v>120.62307560578336</v>
      </c>
      <c r="N43" s="922">
        <f t="shared" si="65"/>
        <v>6684.8429471630052</v>
      </c>
      <c r="O43" s="922">
        <f t="shared" si="65"/>
        <v>4166.0176905808939</v>
      </c>
      <c r="P43" s="922">
        <f t="shared" si="65"/>
        <v>13257.905716287565</v>
      </c>
      <c r="Q43" s="922">
        <f t="shared" si="65"/>
        <v>25131.791268907487</v>
      </c>
      <c r="R43" s="922">
        <f t="shared" si="65"/>
        <v>26685.026476496139</v>
      </c>
      <c r="S43" s="922">
        <f t="shared" si="65"/>
        <v>686.29571388940269</v>
      </c>
      <c r="T43" s="922">
        <f t="shared" si="7"/>
        <v>76611.8798133245</v>
      </c>
      <c r="U43" s="926" t="s">
        <v>1731</v>
      </c>
      <c r="V43" s="922">
        <f t="shared" ref="V43:AA43" si="66">V8+V17+V18+V42</f>
        <v>103.65800625099646</v>
      </c>
      <c r="W43" s="922">
        <f t="shared" si="66"/>
        <v>65.484887606100571</v>
      </c>
      <c r="X43" s="922">
        <f t="shared" si="66"/>
        <v>231.3262695602034</v>
      </c>
      <c r="Y43" s="922">
        <f t="shared" si="66"/>
        <v>494.17753283238363</v>
      </c>
      <c r="Z43" s="922">
        <f t="shared" si="66"/>
        <v>628.27592148598512</v>
      </c>
      <c r="AA43" s="922">
        <f t="shared" si="66"/>
        <v>13.735641005799266</v>
      </c>
      <c r="AB43" s="922">
        <f t="shared" si="37"/>
        <v>1536.6582587414682</v>
      </c>
      <c r="AC43" s="926" t="s">
        <v>1731</v>
      </c>
      <c r="AD43" s="922">
        <f t="shared" ref="AD43:AQ43" si="67">AD8+AD17+AD18+AD42</f>
        <v>103.65800625099646</v>
      </c>
      <c r="AE43" s="922">
        <f t="shared" si="67"/>
        <v>65.484887606100571</v>
      </c>
      <c r="AF43" s="922">
        <f t="shared" si="67"/>
        <v>231.3262695602034</v>
      </c>
      <c r="AG43" s="922">
        <f t="shared" si="67"/>
        <v>494.17753283238363</v>
      </c>
      <c r="AH43" s="922">
        <f t="shared" si="67"/>
        <v>628.27592148598512</v>
      </c>
      <c r="AI43" s="922">
        <f t="shared" si="67"/>
        <v>13.735641005799266</v>
      </c>
      <c r="AJ43" s="925">
        <f t="shared" si="67"/>
        <v>1536.6582587414684</v>
      </c>
      <c r="AK43" s="922">
        <f t="shared" si="67"/>
        <v>380.07935625365371</v>
      </c>
      <c r="AL43" s="922">
        <f t="shared" si="67"/>
        <v>240.11125455570209</v>
      </c>
      <c r="AM43" s="922">
        <f t="shared" si="67"/>
        <v>848.1963217207458</v>
      </c>
      <c r="AN43" s="922">
        <f t="shared" si="67"/>
        <v>1811.9842870520733</v>
      </c>
      <c r="AO43" s="922">
        <f t="shared" si="67"/>
        <v>2303.6783787819459</v>
      </c>
      <c r="AP43" s="922">
        <f t="shared" si="67"/>
        <v>50.364017021263976</v>
      </c>
      <c r="AQ43" s="925">
        <f t="shared" si="67"/>
        <v>5634.4136153853842</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ransitionEvaluation="1" transitionEntry="1" codeName="Sheet34">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2" width="7" style="152" customWidth="1"/>
    <col min="13" max="13" width="9" style="152" customWidth="1"/>
    <col min="14" max="14" width="8.6640625" style="152" customWidth="1"/>
    <col min="15" max="15" width="10.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2004</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1755</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I4" si="0">B4+1</f>
        <v>2</v>
      </c>
      <c r="D4" s="829">
        <f t="shared" si="0"/>
        <v>3</v>
      </c>
      <c r="E4" s="829">
        <f t="shared" si="0"/>
        <v>4</v>
      </c>
      <c r="F4" s="829">
        <f t="shared" si="0"/>
        <v>5</v>
      </c>
      <c r="G4" s="829">
        <f t="shared" si="0"/>
        <v>6</v>
      </c>
      <c r="H4" s="829">
        <f t="shared" si="0"/>
        <v>7</v>
      </c>
      <c r="I4" s="829">
        <f t="shared" si="0"/>
        <v>8</v>
      </c>
      <c r="J4" s="829">
        <f>I4+1</f>
        <v>9</v>
      </c>
      <c r="K4" s="829">
        <f t="shared" ref="K4:S4" si="1">J4+1</f>
        <v>10</v>
      </c>
      <c r="L4" s="829">
        <f t="shared" si="1"/>
        <v>11</v>
      </c>
      <c r="M4" s="829">
        <f t="shared" si="1"/>
        <v>12</v>
      </c>
      <c r="N4" s="829">
        <f t="shared" si="1"/>
        <v>13</v>
      </c>
      <c r="O4" s="829">
        <f t="shared" si="1"/>
        <v>14</v>
      </c>
      <c r="P4" s="829">
        <f t="shared" si="1"/>
        <v>15</v>
      </c>
      <c r="Q4" s="829">
        <f t="shared" si="1"/>
        <v>16</v>
      </c>
      <c r="R4" s="829">
        <f t="shared" si="1"/>
        <v>17</v>
      </c>
      <c r="S4" s="829">
        <f t="shared" si="1"/>
        <v>18</v>
      </c>
      <c r="T4" s="829">
        <f>S4+1</f>
        <v>19</v>
      </c>
      <c r="U4" s="830">
        <f>T4+1</f>
        <v>20</v>
      </c>
      <c r="V4" s="831">
        <f t="shared" ref="V4:AB4" si="2">U4+1</f>
        <v>21</v>
      </c>
      <c r="W4" s="831">
        <f t="shared" si="2"/>
        <v>22</v>
      </c>
      <c r="X4" s="831">
        <f t="shared" si="2"/>
        <v>23</v>
      </c>
      <c r="Y4" s="831">
        <f t="shared" si="2"/>
        <v>24</v>
      </c>
      <c r="Z4" s="831">
        <f t="shared" si="2"/>
        <v>25</v>
      </c>
      <c r="AA4" s="831">
        <f t="shared" si="2"/>
        <v>26</v>
      </c>
      <c r="AB4" s="831">
        <f t="shared" si="2"/>
        <v>27</v>
      </c>
      <c r="AC4" s="830">
        <f>AB4+1</f>
        <v>28</v>
      </c>
      <c r="AD4" s="829">
        <f t="shared" ref="AD4:AQ4" si="3">AC4+1</f>
        <v>29</v>
      </c>
      <c r="AE4" s="829">
        <f t="shared" si="3"/>
        <v>30</v>
      </c>
      <c r="AF4" s="829">
        <f t="shared" si="3"/>
        <v>31</v>
      </c>
      <c r="AG4" s="829">
        <f t="shared" si="3"/>
        <v>32</v>
      </c>
      <c r="AH4" s="829">
        <f t="shared" si="3"/>
        <v>33</v>
      </c>
      <c r="AI4" s="829">
        <f t="shared" si="3"/>
        <v>34</v>
      </c>
      <c r="AJ4" s="828">
        <f t="shared" si="3"/>
        <v>35</v>
      </c>
      <c r="AK4" s="829">
        <f t="shared" si="3"/>
        <v>36</v>
      </c>
      <c r="AL4" s="829">
        <f t="shared" si="3"/>
        <v>37</v>
      </c>
      <c r="AM4" s="829">
        <f t="shared" si="3"/>
        <v>38</v>
      </c>
      <c r="AN4" s="829">
        <f t="shared" si="3"/>
        <v>39</v>
      </c>
      <c r="AO4" s="829">
        <f t="shared" si="3"/>
        <v>40</v>
      </c>
      <c r="AP4" s="829">
        <f t="shared" si="3"/>
        <v>41</v>
      </c>
      <c r="AQ4" s="828">
        <f t="shared" si="3"/>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4">SUM(C9:C16)</f>
        <v>11.433999999999999</v>
      </c>
      <c r="D8" s="876">
        <f t="shared" si="4"/>
        <v>102.904</v>
      </c>
      <c r="E8" s="876">
        <f t="shared" si="4"/>
        <v>1464.5442683745514</v>
      </c>
      <c r="F8" s="876">
        <f t="shared" si="4"/>
        <v>0</v>
      </c>
      <c r="G8" s="876">
        <f t="shared" si="4"/>
        <v>20305.035</v>
      </c>
      <c r="H8" s="876">
        <f t="shared" si="4"/>
        <v>31.956006371000896</v>
      </c>
      <c r="I8" s="876">
        <f t="shared" ref="I8:I14" si="5">SUM(C8:H8)</f>
        <v>21915.873274745554</v>
      </c>
      <c r="J8" s="959"/>
      <c r="K8" s="960">
        <f>SUM(K9:K16)</f>
        <v>178.91055451668242</v>
      </c>
      <c r="L8" s="960">
        <f>SUM(L9:L16)</f>
        <v>0</v>
      </c>
      <c r="M8" s="960"/>
      <c r="N8" s="878">
        <f t="shared" ref="N8:S8" si="6">SUM(N9:N16)</f>
        <v>11.433999999999999</v>
      </c>
      <c r="O8" s="876">
        <f t="shared" si="6"/>
        <v>102.904</v>
      </c>
      <c r="P8" s="876">
        <f t="shared" si="6"/>
        <v>1285.633713857869</v>
      </c>
      <c r="Q8" s="876">
        <f t="shared" si="6"/>
        <v>0</v>
      </c>
      <c r="R8" s="876">
        <f t="shared" si="6"/>
        <v>20305.035</v>
      </c>
      <c r="S8" s="879">
        <f t="shared" si="6"/>
        <v>31.956006371000896</v>
      </c>
      <c r="T8" s="876">
        <f t="shared" ref="T8:T43" si="7">SUM(N8:S8)</f>
        <v>21736.962720228868</v>
      </c>
      <c r="U8" s="880" t="s">
        <v>1731</v>
      </c>
      <c r="V8" s="876">
        <f>SUM(V9:V16)</f>
        <v>0.29597819149338533</v>
      </c>
      <c r="W8" s="876">
        <f>SUM(W9:W16)</f>
        <v>2.6637519518484631</v>
      </c>
      <c r="X8" s="876">
        <f>SUM(X9:X16)</f>
        <v>32.845701948496348</v>
      </c>
      <c r="Y8" s="876"/>
      <c r="Z8" s="876">
        <f>SUM(Z9:Z16)</f>
        <v>529.64176323843378</v>
      </c>
      <c r="AA8" s="876">
        <f>SUM(AA9:AA16)</f>
        <v>0.80337400016696259</v>
      </c>
      <c r="AB8" s="876">
        <f t="shared" ref="AB8:AB13" si="8">SUM(V8:AA8)</f>
        <v>566.25056933043891</v>
      </c>
      <c r="AC8" s="881" t="s">
        <v>1731</v>
      </c>
      <c r="AD8" s="878">
        <f>SUM(AD9:AD16)</f>
        <v>0.29597819149338533</v>
      </c>
      <c r="AE8" s="876">
        <f>SUM(AE9:AE16)</f>
        <v>2.6637519518484631</v>
      </c>
      <c r="AF8" s="876">
        <f>SUM(AF9:AF16)</f>
        <v>32.845701948496348</v>
      </c>
      <c r="AG8" s="876" t="s">
        <v>108</v>
      </c>
      <c r="AH8" s="876">
        <f>SUM(AH9:AH16)</f>
        <v>529.64176323843378</v>
      </c>
      <c r="AI8" s="876">
        <f>SUM(AI9:AI16)</f>
        <v>0.80337400016696259</v>
      </c>
      <c r="AJ8" s="876">
        <f t="shared" ref="AJ8:AJ42" si="9">SUM(AD8:AI8)</f>
        <v>566.25056933043891</v>
      </c>
      <c r="AK8" s="878">
        <f t="shared" ref="AK8:AP8" si="10">SUM(AK9:AK16)</f>
        <v>1.0852533688090795</v>
      </c>
      <c r="AL8" s="876">
        <f t="shared" si="10"/>
        <v>9.7670904901110305</v>
      </c>
      <c r="AM8" s="876">
        <f t="shared" si="10"/>
        <v>120.43424047781994</v>
      </c>
      <c r="AN8" s="876">
        <f t="shared" si="10"/>
        <v>0</v>
      </c>
      <c r="AO8" s="876">
        <f t="shared" si="10"/>
        <v>1942.0197985409238</v>
      </c>
      <c r="AP8" s="876">
        <f t="shared" si="10"/>
        <v>2.9457046672788625</v>
      </c>
      <c r="AQ8" s="882">
        <f t="shared" ref="AQ8:AQ14" si="11">SUM(AK8:AP8)</f>
        <v>2076.2520875449427</v>
      </c>
    </row>
    <row r="9" spans="1:43">
      <c r="A9" s="817"/>
      <c r="B9" s="860" t="s">
        <v>1732</v>
      </c>
      <c r="C9" s="883">
        <f>HLOOKUP($B$2,'Consumption Input'!$E$5:$AQ$82,'Consumption Input'!$B7)</f>
        <v>11.433999999999999</v>
      </c>
      <c r="D9" s="883"/>
      <c r="E9" s="883"/>
      <c r="F9" s="883"/>
      <c r="G9" s="883"/>
      <c r="H9" s="883"/>
      <c r="I9" s="883">
        <f t="shared" si="5"/>
        <v>11.433999999999999</v>
      </c>
      <c r="J9" s="961"/>
      <c r="K9" s="940"/>
      <c r="L9" s="940"/>
      <c r="M9" s="940"/>
      <c r="N9" s="885">
        <f t="shared" ref="N9:N17" si="12">C9</f>
        <v>11.433999999999999</v>
      </c>
      <c r="O9" s="883">
        <f t="shared" ref="O9:O17" si="13">D9</f>
        <v>0</v>
      </c>
      <c r="P9" s="883">
        <f t="shared" ref="P9:P17" si="14">E9-K9</f>
        <v>0</v>
      </c>
      <c r="Q9" s="883">
        <f t="shared" ref="Q9:Q17" si="15">F9</f>
        <v>0</v>
      </c>
      <c r="R9" s="883">
        <f t="shared" ref="R9:R17" si="16">G9</f>
        <v>0</v>
      </c>
      <c r="S9" s="886">
        <f t="shared" ref="S9:S17" si="17">H9</f>
        <v>0</v>
      </c>
      <c r="T9" s="883">
        <f t="shared" si="7"/>
        <v>11.433999999999999</v>
      </c>
      <c r="U9" s="887">
        <f>HLOOKUP($B$2,Factors!$J$12:$Y$25,Factors!$H13)</f>
        <v>25.88579600257</v>
      </c>
      <c r="V9" s="885">
        <f t="shared" ref="V9:V17" si="18">N9*$U9*TbtuToQBtu</f>
        <v>0.29597819149338533</v>
      </c>
      <c r="W9" s="883">
        <f t="shared" ref="W9:W17" si="19">O9*$U9*TbtuToQBtu</f>
        <v>0</v>
      </c>
      <c r="X9" s="883">
        <f t="shared" ref="X9:X17" si="20">P9*$U9*TbtuToQBtu</f>
        <v>0</v>
      </c>
      <c r="Y9" s="883">
        <f t="shared" ref="Y9:Y17" si="21">Q9*$U9*TbtuToQBtu</f>
        <v>0</v>
      </c>
      <c r="Z9" s="883">
        <f t="shared" ref="Z9:Z17" si="22">R9*$U9*TbtuToQBtu</f>
        <v>0</v>
      </c>
      <c r="AA9" s="883">
        <f t="shared" ref="AA9:AA17" si="23">S9*$U9*TbtuToQBtu</f>
        <v>0</v>
      </c>
      <c r="AB9" s="883">
        <f t="shared" si="8"/>
        <v>0.29597819149338533</v>
      </c>
      <c r="AC9" s="888">
        <f>Factors!E10</f>
        <v>1</v>
      </c>
      <c r="AD9" s="885">
        <f t="shared" ref="AD9:AD17" si="24">V9*$AC9</f>
        <v>0.29597819149338533</v>
      </c>
      <c r="AE9" s="883">
        <f t="shared" ref="AE9:AE17" si="25">W9*$AC9</f>
        <v>0</v>
      </c>
      <c r="AF9" s="883">
        <f t="shared" ref="AF9:AF17" si="26">X9*$AC9</f>
        <v>0</v>
      </c>
      <c r="AG9" s="883">
        <f t="shared" ref="AG9:AG17" si="27">Y9*$AC9</f>
        <v>0</v>
      </c>
      <c r="AH9" s="883">
        <f t="shared" ref="AH9:AH17" si="28">Z9*$AC9</f>
        <v>0</v>
      </c>
      <c r="AI9" s="883">
        <f t="shared" ref="AI9:AI17" si="29">AA9*$AC9</f>
        <v>0</v>
      </c>
      <c r="AJ9" s="889">
        <f t="shared" si="9"/>
        <v>0.29597819149338533</v>
      </c>
      <c r="AK9" s="885">
        <f t="shared" ref="AK9:AK42" si="30">AD9*CtoCO2</f>
        <v>1.0852533688090795</v>
      </c>
      <c r="AL9" s="883">
        <f t="shared" ref="AL9:AL42" si="31">AE9*CtoCO2</f>
        <v>0</v>
      </c>
      <c r="AM9" s="883">
        <f t="shared" ref="AM9:AM42" si="32">AF9*CtoCO2</f>
        <v>0</v>
      </c>
      <c r="AN9" s="883">
        <f t="shared" ref="AN9:AN42" si="33">AG9*CtoCO2</f>
        <v>0</v>
      </c>
      <c r="AO9" s="883">
        <f t="shared" ref="AO9:AO42" si="34">AH9*CtoCO2</f>
        <v>0</v>
      </c>
      <c r="AP9" s="883">
        <f t="shared" ref="AP9:AP42" si="35">AI9*CtoCO2</f>
        <v>0</v>
      </c>
      <c r="AQ9" s="890">
        <f t="shared" si="11"/>
        <v>1.0852533688090795</v>
      </c>
    </row>
    <row r="10" spans="1:43">
      <c r="A10" s="817"/>
      <c r="B10" s="860" t="s">
        <v>1733</v>
      </c>
      <c r="C10" s="883"/>
      <c r="D10" s="883">
        <f>HLOOKUP($B$2,'Consumption Input'!$E$5:$AQ$82,'Consumption Input'!$B13)</f>
        <v>102.904</v>
      </c>
      <c r="E10" s="883"/>
      <c r="F10" s="883"/>
      <c r="G10" s="883"/>
      <c r="H10" s="883"/>
      <c r="I10" s="883">
        <f t="shared" si="5"/>
        <v>102.904</v>
      </c>
      <c r="J10" s="961"/>
      <c r="K10" s="940"/>
      <c r="L10" s="940"/>
      <c r="M10" s="940"/>
      <c r="N10" s="885">
        <f t="shared" si="12"/>
        <v>0</v>
      </c>
      <c r="O10" s="883">
        <f t="shared" si="13"/>
        <v>102.904</v>
      </c>
      <c r="P10" s="883">
        <f t="shared" si="14"/>
        <v>0</v>
      </c>
      <c r="Q10" s="883">
        <f t="shared" si="15"/>
        <v>0</v>
      </c>
      <c r="R10" s="883">
        <f t="shared" si="16"/>
        <v>0</v>
      </c>
      <c r="S10" s="886">
        <f t="shared" si="17"/>
        <v>0</v>
      </c>
      <c r="T10" s="883">
        <f t="shared" si="7"/>
        <v>102.904</v>
      </c>
      <c r="U10" s="887">
        <f>HLOOKUP($B$2,Factors!$J$12:$Y$25,Factors!$H14)</f>
        <v>25.88579600257</v>
      </c>
      <c r="V10" s="885">
        <f t="shared" si="18"/>
        <v>0</v>
      </c>
      <c r="W10" s="883">
        <f t="shared" si="19"/>
        <v>2.6637519518484631</v>
      </c>
      <c r="X10" s="883">
        <f t="shared" si="20"/>
        <v>0</v>
      </c>
      <c r="Y10" s="883">
        <f t="shared" si="21"/>
        <v>0</v>
      </c>
      <c r="Z10" s="883">
        <f t="shared" si="22"/>
        <v>0</v>
      </c>
      <c r="AA10" s="883">
        <f t="shared" si="23"/>
        <v>0</v>
      </c>
      <c r="AB10" s="883">
        <f t="shared" si="8"/>
        <v>2.6637519518484631</v>
      </c>
      <c r="AC10" s="888">
        <f>Factors!E11</f>
        <v>1</v>
      </c>
      <c r="AD10" s="885">
        <f t="shared" si="24"/>
        <v>0</v>
      </c>
      <c r="AE10" s="883">
        <f t="shared" si="25"/>
        <v>2.6637519518484631</v>
      </c>
      <c r="AF10" s="883">
        <f t="shared" si="26"/>
        <v>0</v>
      </c>
      <c r="AG10" s="883">
        <f t="shared" si="27"/>
        <v>0</v>
      </c>
      <c r="AH10" s="883">
        <f t="shared" si="28"/>
        <v>0</v>
      </c>
      <c r="AI10" s="883">
        <f t="shared" si="29"/>
        <v>0</v>
      </c>
      <c r="AJ10" s="889">
        <f t="shared" si="9"/>
        <v>2.6637519518484631</v>
      </c>
      <c r="AK10" s="885">
        <f t="shared" si="30"/>
        <v>0</v>
      </c>
      <c r="AL10" s="883">
        <f t="shared" si="31"/>
        <v>9.7670904901110305</v>
      </c>
      <c r="AM10" s="883">
        <f t="shared" si="32"/>
        <v>0</v>
      </c>
      <c r="AN10" s="883">
        <f t="shared" si="33"/>
        <v>0</v>
      </c>
      <c r="AO10" s="883">
        <f t="shared" si="34"/>
        <v>0</v>
      </c>
      <c r="AP10" s="883">
        <f t="shared" si="35"/>
        <v>0</v>
      </c>
      <c r="AQ10" s="890">
        <f t="shared" si="11"/>
        <v>9.7670904901110305</v>
      </c>
    </row>
    <row r="11" spans="1:43" s="244" customFormat="1" hidden="1">
      <c r="A11" s="861"/>
      <c r="B11" s="862" t="s">
        <v>1734</v>
      </c>
      <c r="C11" s="891"/>
      <c r="D11" s="891"/>
      <c r="E11" s="891">
        <f>HLOOKUP($B$2,'Consumption Input'!$E$5:$AQ$82,'Consumption Input'!$B23)</f>
        <v>167.7675714419388</v>
      </c>
      <c r="F11" s="891"/>
      <c r="G11" s="891"/>
      <c r="H11" s="891"/>
      <c r="I11" s="891">
        <f t="shared" si="5"/>
        <v>167.7675714419388</v>
      </c>
      <c r="J11" s="962"/>
      <c r="K11" s="963">
        <f>HLOOKUP($B$2,NEUConsumption,'Non-Energy Use'!$C$7)</f>
        <v>167.7675714419388</v>
      </c>
      <c r="L11" s="963"/>
      <c r="M11" s="963"/>
      <c r="N11" s="893">
        <f t="shared" si="12"/>
        <v>0</v>
      </c>
      <c r="O11" s="891">
        <f t="shared" si="13"/>
        <v>0</v>
      </c>
      <c r="P11" s="891">
        <f t="shared" si="14"/>
        <v>0</v>
      </c>
      <c r="Q11" s="891">
        <f t="shared" si="15"/>
        <v>0</v>
      </c>
      <c r="R11" s="891">
        <f t="shared" si="16"/>
        <v>0</v>
      </c>
      <c r="S11" s="894">
        <f t="shared" si="17"/>
        <v>0</v>
      </c>
      <c r="T11" s="891">
        <f t="shared" si="7"/>
        <v>0</v>
      </c>
      <c r="U11" s="1013">
        <f>HLOOKUP($B$2,Factors!$J$12:$BE$28,Factors!$H28,FALSE)</f>
        <v>25.634800953667938</v>
      </c>
      <c r="V11" s="893">
        <f t="shared" si="18"/>
        <v>0</v>
      </c>
      <c r="W11" s="891">
        <f t="shared" si="19"/>
        <v>0</v>
      </c>
      <c r="X11" s="891">
        <f t="shared" si="20"/>
        <v>0</v>
      </c>
      <c r="Y11" s="891">
        <f t="shared" si="21"/>
        <v>0</v>
      </c>
      <c r="Z11" s="891">
        <f t="shared" si="22"/>
        <v>0</v>
      </c>
      <c r="AA11" s="891">
        <f t="shared" si="23"/>
        <v>0</v>
      </c>
      <c r="AB11" s="891">
        <f t="shared" si="8"/>
        <v>0</v>
      </c>
      <c r="AC11" s="896">
        <f>Factors!E12</f>
        <v>1</v>
      </c>
      <c r="AD11" s="893">
        <f t="shared" si="24"/>
        <v>0</v>
      </c>
      <c r="AE11" s="891">
        <f t="shared" si="25"/>
        <v>0</v>
      </c>
      <c r="AF11" s="891">
        <f t="shared" si="26"/>
        <v>0</v>
      </c>
      <c r="AG11" s="891">
        <f t="shared" si="27"/>
        <v>0</v>
      </c>
      <c r="AH11" s="891">
        <f t="shared" si="28"/>
        <v>0</v>
      </c>
      <c r="AI11" s="891">
        <f t="shared" si="29"/>
        <v>0</v>
      </c>
      <c r="AJ11" s="897">
        <f t="shared" si="9"/>
        <v>0</v>
      </c>
      <c r="AK11" s="893">
        <f t="shared" si="30"/>
        <v>0</v>
      </c>
      <c r="AL11" s="891">
        <f t="shared" si="31"/>
        <v>0</v>
      </c>
      <c r="AM11" s="891">
        <f t="shared" si="32"/>
        <v>0</v>
      </c>
      <c r="AN11" s="891">
        <f t="shared" si="33"/>
        <v>0</v>
      </c>
      <c r="AO11" s="891">
        <f t="shared" si="34"/>
        <v>0</v>
      </c>
      <c r="AP11" s="891">
        <f t="shared" si="35"/>
        <v>0</v>
      </c>
      <c r="AQ11" s="898">
        <f t="shared" si="11"/>
        <v>0</v>
      </c>
    </row>
    <row r="12" spans="1:43">
      <c r="A12" s="817"/>
      <c r="B12" s="860" t="s">
        <v>1701</v>
      </c>
      <c r="C12" s="883"/>
      <c r="D12" s="883"/>
      <c r="E12" s="883">
        <f>HLOOKUP($B$2,'Consumption Input'!$E$5:$AQ$82,'Consumption Input'!$B24)</f>
        <v>1296.7766969326126</v>
      </c>
      <c r="F12" s="883"/>
      <c r="G12" s="883"/>
      <c r="H12" s="883"/>
      <c r="I12" s="883">
        <f t="shared" si="5"/>
        <v>1296.7766969326126</v>
      </c>
      <c r="J12" s="961"/>
      <c r="K12" s="940">
        <f>HLOOKUP($B$2,NEUConsumption,'Non-Energy Use'!$C$8)</f>
        <v>11.142983074743613</v>
      </c>
      <c r="L12" s="940"/>
      <c r="M12" s="940"/>
      <c r="N12" s="885">
        <f t="shared" si="12"/>
        <v>0</v>
      </c>
      <c r="O12" s="883">
        <f t="shared" si="13"/>
        <v>0</v>
      </c>
      <c r="P12" s="883">
        <f t="shared" si="14"/>
        <v>1285.633713857869</v>
      </c>
      <c r="Q12" s="883">
        <f t="shared" si="15"/>
        <v>0</v>
      </c>
      <c r="R12" s="883">
        <f t="shared" si="16"/>
        <v>0</v>
      </c>
      <c r="S12" s="886">
        <f t="shared" si="17"/>
        <v>0</v>
      </c>
      <c r="T12" s="883">
        <f t="shared" si="7"/>
        <v>1285.633713857869</v>
      </c>
      <c r="U12" s="887">
        <f>HLOOKUP($B$2,Factors!$J$12:$Y$25,Factors!$H15)</f>
        <v>25.548258103728873</v>
      </c>
      <c r="V12" s="885">
        <f t="shared" si="18"/>
        <v>0</v>
      </c>
      <c r="W12" s="883">
        <f t="shared" si="19"/>
        <v>0</v>
      </c>
      <c r="X12" s="883">
        <f t="shared" si="20"/>
        <v>32.845701948496348</v>
      </c>
      <c r="Y12" s="883">
        <f t="shared" si="21"/>
        <v>0</v>
      </c>
      <c r="Z12" s="883">
        <f t="shared" si="22"/>
        <v>0</v>
      </c>
      <c r="AA12" s="883">
        <f t="shared" si="23"/>
        <v>0</v>
      </c>
      <c r="AB12" s="883">
        <f t="shared" si="8"/>
        <v>32.845701948496348</v>
      </c>
      <c r="AC12" s="888">
        <f>Factors!E13</f>
        <v>1</v>
      </c>
      <c r="AD12" s="885">
        <f t="shared" si="24"/>
        <v>0</v>
      </c>
      <c r="AE12" s="883">
        <f t="shared" si="25"/>
        <v>0</v>
      </c>
      <c r="AF12" s="883">
        <f t="shared" si="26"/>
        <v>32.845701948496348</v>
      </c>
      <c r="AG12" s="883">
        <f t="shared" si="27"/>
        <v>0</v>
      </c>
      <c r="AH12" s="883">
        <f t="shared" si="28"/>
        <v>0</v>
      </c>
      <c r="AI12" s="883">
        <f t="shared" si="29"/>
        <v>0</v>
      </c>
      <c r="AJ12" s="889">
        <f t="shared" si="9"/>
        <v>32.845701948496348</v>
      </c>
      <c r="AK12" s="885">
        <f t="shared" si="30"/>
        <v>0</v>
      </c>
      <c r="AL12" s="883">
        <f t="shared" si="31"/>
        <v>0</v>
      </c>
      <c r="AM12" s="883">
        <f t="shared" si="32"/>
        <v>120.43424047781994</v>
      </c>
      <c r="AN12" s="883">
        <f t="shared" si="33"/>
        <v>0</v>
      </c>
      <c r="AO12" s="883">
        <f t="shared" si="34"/>
        <v>0</v>
      </c>
      <c r="AP12" s="883">
        <f t="shared" si="35"/>
        <v>0</v>
      </c>
      <c r="AQ12" s="890">
        <f t="shared" si="11"/>
        <v>120.43424047781994</v>
      </c>
    </row>
    <row r="13" spans="1:43" s="244" customFormat="1" hidden="1">
      <c r="A13" s="861"/>
      <c r="B13" s="862" t="s">
        <v>1607</v>
      </c>
      <c r="C13" s="891"/>
      <c r="D13" s="891"/>
      <c r="E13" s="891">
        <f>HLOOKUP($B$2,'Consumption Input'!$E$5:$AQ$82,'Consumption Input'!$B25)</f>
        <v>0</v>
      </c>
      <c r="F13" s="891"/>
      <c r="G13" s="891"/>
      <c r="H13" s="891"/>
      <c r="I13" s="883">
        <f t="shared" si="5"/>
        <v>0</v>
      </c>
      <c r="J13" s="962"/>
      <c r="K13" s="963"/>
      <c r="L13" s="963"/>
      <c r="M13" s="963"/>
      <c r="N13" s="893">
        <f t="shared" si="12"/>
        <v>0</v>
      </c>
      <c r="O13" s="891">
        <f t="shared" si="13"/>
        <v>0</v>
      </c>
      <c r="P13" s="891">
        <f t="shared" si="14"/>
        <v>0</v>
      </c>
      <c r="Q13" s="891">
        <f t="shared" si="15"/>
        <v>0</v>
      </c>
      <c r="R13" s="891">
        <f t="shared" si="16"/>
        <v>0</v>
      </c>
      <c r="S13" s="894">
        <f t="shared" si="17"/>
        <v>0</v>
      </c>
      <c r="T13" s="891">
        <f t="shared" si="7"/>
        <v>0</v>
      </c>
      <c r="U13" s="895">
        <f>Factors!D14</f>
        <v>27.85</v>
      </c>
      <c r="V13" s="893">
        <f t="shared" si="18"/>
        <v>0</v>
      </c>
      <c r="W13" s="891">
        <f t="shared" si="19"/>
        <v>0</v>
      </c>
      <c r="X13" s="891">
        <f t="shared" si="20"/>
        <v>0</v>
      </c>
      <c r="Y13" s="891">
        <f t="shared" si="21"/>
        <v>0</v>
      </c>
      <c r="Z13" s="891">
        <f t="shared" si="22"/>
        <v>0</v>
      </c>
      <c r="AA13" s="891">
        <f t="shared" si="23"/>
        <v>0</v>
      </c>
      <c r="AB13" s="891">
        <f t="shared" si="8"/>
        <v>0</v>
      </c>
      <c r="AC13" s="896">
        <f>Factors!E14</f>
        <v>1</v>
      </c>
      <c r="AD13" s="893">
        <f t="shared" si="24"/>
        <v>0</v>
      </c>
      <c r="AE13" s="891">
        <f t="shared" si="25"/>
        <v>0</v>
      </c>
      <c r="AF13" s="891">
        <f t="shared" si="26"/>
        <v>0</v>
      </c>
      <c r="AG13" s="891">
        <f t="shared" si="27"/>
        <v>0</v>
      </c>
      <c r="AH13" s="891">
        <f t="shared" si="28"/>
        <v>0</v>
      </c>
      <c r="AI13" s="891">
        <f t="shared" si="29"/>
        <v>0</v>
      </c>
      <c r="AJ13" s="897">
        <f t="shared" si="9"/>
        <v>0</v>
      </c>
      <c r="AK13" s="893">
        <f t="shared" si="30"/>
        <v>0</v>
      </c>
      <c r="AL13" s="891">
        <f t="shared" si="31"/>
        <v>0</v>
      </c>
      <c r="AM13" s="891">
        <f t="shared" si="32"/>
        <v>0</v>
      </c>
      <c r="AN13" s="891">
        <f t="shared" si="33"/>
        <v>0</v>
      </c>
      <c r="AO13" s="891">
        <f t="shared" si="34"/>
        <v>0</v>
      </c>
      <c r="AP13" s="891">
        <f t="shared" si="35"/>
        <v>0</v>
      </c>
      <c r="AQ13" s="890">
        <f t="shared" si="11"/>
        <v>0</v>
      </c>
    </row>
    <row r="14" spans="1:43">
      <c r="A14" s="817"/>
      <c r="B14" s="860" t="s">
        <v>1735</v>
      </c>
      <c r="C14" s="883"/>
      <c r="D14" s="883"/>
      <c r="E14" s="883"/>
      <c r="F14" s="883">
        <f>HLOOKUP($B$2,'Consumption Input'!$E$5:$AQ$82,'Consumption Input'!$B48)</f>
        <v>0</v>
      </c>
      <c r="G14" s="883"/>
      <c r="H14" s="883"/>
      <c r="I14" s="883">
        <f t="shared" si="5"/>
        <v>0</v>
      </c>
      <c r="J14" s="961"/>
      <c r="K14" s="940"/>
      <c r="L14" s="940"/>
      <c r="M14" s="940"/>
      <c r="N14" s="885">
        <f t="shared" si="12"/>
        <v>0</v>
      </c>
      <c r="O14" s="883">
        <f t="shared" si="13"/>
        <v>0</v>
      </c>
      <c r="P14" s="883">
        <f t="shared" si="14"/>
        <v>0</v>
      </c>
      <c r="Q14" s="883">
        <f t="shared" si="15"/>
        <v>0</v>
      </c>
      <c r="R14" s="883">
        <f t="shared" si="16"/>
        <v>0</v>
      </c>
      <c r="S14" s="886">
        <f t="shared" si="17"/>
        <v>0</v>
      </c>
      <c r="T14" s="883">
        <f t="shared" si="7"/>
        <v>0</v>
      </c>
      <c r="U14" s="887" t="str">
        <f>Factors!D15</f>
        <v>NC</v>
      </c>
      <c r="V14" s="885">
        <f t="shared" si="18"/>
        <v>0</v>
      </c>
      <c r="W14" s="883">
        <f t="shared" si="19"/>
        <v>0</v>
      </c>
      <c r="X14" s="883">
        <f t="shared" si="20"/>
        <v>0</v>
      </c>
      <c r="Y14" s="883">
        <f t="shared" si="21"/>
        <v>0</v>
      </c>
      <c r="Z14" s="883">
        <f t="shared" si="22"/>
        <v>0</v>
      </c>
      <c r="AA14" s="883">
        <f t="shared" si="23"/>
        <v>0</v>
      </c>
      <c r="AB14" s="883" t="s">
        <v>103</v>
      </c>
      <c r="AC14" s="888" t="str">
        <f>Factors!E15</f>
        <v>NC</v>
      </c>
      <c r="AD14" s="885">
        <f t="shared" si="24"/>
        <v>0</v>
      </c>
      <c r="AE14" s="883">
        <f t="shared" si="25"/>
        <v>0</v>
      </c>
      <c r="AF14" s="883">
        <f t="shared" si="26"/>
        <v>0</v>
      </c>
      <c r="AG14" s="883">
        <f t="shared" si="27"/>
        <v>0</v>
      </c>
      <c r="AH14" s="883">
        <f t="shared" si="28"/>
        <v>0</v>
      </c>
      <c r="AI14" s="883">
        <f t="shared" si="29"/>
        <v>0</v>
      </c>
      <c r="AJ14" s="889">
        <f t="shared" si="9"/>
        <v>0</v>
      </c>
      <c r="AK14" s="885">
        <f t="shared" si="30"/>
        <v>0</v>
      </c>
      <c r="AL14" s="883">
        <f t="shared" si="31"/>
        <v>0</v>
      </c>
      <c r="AM14" s="883">
        <f t="shared" si="32"/>
        <v>0</v>
      </c>
      <c r="AN14" s="883">
        <f t="shared" si="33"/>
        <v>0</v>
      </c>
      <c r="AO14" s="883">
        <f t="shared" si="34"/>
        <v>0</v>
      </c>
      <c r="AP14" s="883">
        <f t="shared" si="35"/>
        <v>0</v>
      </c>
      <c r="AQ14" s="890">
        <f t="shared" si="11"/>
        <v>0</v>
      </c>
    </row>
    <row r="15" spans="1:43">
      <c r="A15" s="817"/>
      <c r="B15" s="860" t="s">
        <v>1736</v>
      </c>
      <c r="C15" s="883"/>
      <c r="D15" s="883"/>
      <c r="E15" s="883"/>
      <c r="F15" s="883"/>
      <c r="G15" s="883">
        <f>HLOOKUP($B$2,'Consumption Input'!$E$5:$AQ$82,'Consumption Input'!$B58)</f>
        <v>20305.035</v>
      </c>
      <c r="H15" s="883"/>
      <c r="I15" s="883">
        <f t="shared" ref="I15:I41" si="36">SUM(C15:H15)</f>
        <v>20305.035</v>
      </c>
      <c r="J15" s="961"/>
      <c r="K15" s="940"/>
      <c r="L15" s="940"/>
      <c r="M15" s="940"/>
      <c r="N15" s="885">
        <f t="shared" si="12"/>
        <v>0</v>
      </c>
      <c r="O15" s="883">
        <f t="shared" si="13"/>
        <v>0</v>
      </c>
      <c r="P15" s="883">
        <f t="shared" si="14"/>
        <v>0</v>
      </c>
      <c r="Q15" s="883">
        <f t="shared" si="15"/>
        <v>0</v>
      </c>
      <c r="R15" s="883">
        <f t="shared" si="16"/>
        <v>20305.035</v>
      </c>
      <c r="S15" s="886">
        <f t="shared" si="17"/>
        <v>0</v>
      </c>
      <c r="T15" s="883">
        <f t="shared" si="7"/>
        <v>20305.035</v>
      </c>
      <c r="U15" s="887">
        <f>HLOOKUP($B$2,Factors!$J$12:$Y$25,Factors!$H16)</f>
        <v>26.084257586280138</v>
      </c>
      <c r="V15" s="885">
        <f t="shared" si="18"/>
        <v>0</v>
      </c>
      <c r="W15" s="883">
        <f t="shared" si="19"/>
        <v>0</v>
      </c>
      <c r="X15" s="883">
        <f t="shared" si="20"/>
        <v>0</v>
      </c>
      <c r="Y15" s="883">
        <f t="shared" si="21"/>
        <v>0</v>
      </c>
      <c r="Z15" s="883">
        <f t="shared" si="22"/>
        <v>529.64176323843378</v>
      </c>
      <c r="AA15" s="883">
        <f t="shared" si="23"/>
        <v>0</v>
      </c>
      <c r="AB15" s="883">
        <f t="shared" ref="AB15:AB43" si="37">SUM(V15:AA15)</f>
        <v>529.64176323843378</v>
      </c>
      <c r="AC15" s="888">
        <f>Factors!E16</f>
        <v>1</v>
      </c>
      <c r="AD15" s="885">
        <f t="shared" si="24"/>
        <v>0</v>
      </c>
      <c r="AE15" s="883">
        <f t="shared" si="25"/>
        <v>0</v>
      </c>
      <c r="AF15" s="883">
        <f t="shared" si="26"/>
        <v>0</v>
      </c>
      <c r="AG15" s="883">
        <f t="shared" si="27"/>
        <v>0</v>
      </c>
      <c r="AH15" s="883">
        <f t="shared" si="28"/>
        <v>529.64176323843378</v>
      </c>
      <c r="AI15" s="883">
        <f t="shared" si="29"/>
        <v>0</v>
      </c>
      <c r="AJ15" s="889">
        <f t="shared" si="9"/>
        <v>529.64176323843378</v>
      </c>
      <c r="AK15" s="885">
        <f t="shared" si="30"/>
        <v>0</v>
      </c>
      <c r="AL15" s="883">
        <f t="shared" si="31"/>
        <v>0</v>
      </c>
      <c r="AM15" s="883">
        <f t="shared" si="32"/>
        <v>0</v>
      </c>
      <c r="AN15" s="883">
        <f t="shared" si="33"/>
        <v>0</v>
      </c>
      <c r="AO15" s="883">
        <f t="shared" si="34"/>
        <v>1942.0197985409238</v>
      </c>
      <c r="AP15" s="883">
        <f t="shared" si="35"/>
        <v>0</v>
      </c>
      <c r="AQ15" s="890">
        <f t="shared" ref="AQ15:AQ42" si="38">SUM(AK15:AP15)</f>
        <v>1942.0197985409238</v>
      </c>
    </row>
    <row r="16" spans="1:43">
      <c r="A16" s="817"/>
      <c r="B16" s="860" t="s">
        <v>1737</v>
      </c>
      <c r="C16" s="883"/>
      <c r="D16" s="883"/>
      <c r="E16" s="883"/>
      <c r="F16" s="883"/>
      <c r="G16" s="883"/>
      <c r="H16" s="883">
        <f>HLOOKUP($B$2,'US Territories'!$D$28:$Z$38,'US Territories'!$B29)</f>
        <v>31.956006371000896</v>
      </c>
      <c r="I16" s="883">
        <f t="shared" si="36"/>
        <v>31.956006371000896</v>
      </c>
      <c r="J16" s="961"/>
      <c r="K16" s="940"/>
      <c r="L16" s="940"/>
      <c r="M16" s="940"/>
      <c r="N16" s="885">
        <f t="shared" si="12"/>
        <v>0</v>
      </c>
      <c r="O16" s="883">
        <f t="shared" si="13"/>
        <v>0</v>
      </c>
      <c r="P16" s="883">
        <f t="shared" si="14"/>
        <v>0</v>
      </c>
      <c r="Q16" s="883">
        <f t="shared" si="15"/>
        <v>0</v>
      </c>
      <c r="R16" s="883">
        <f t="shared" si="16"/>
        <v>0</v>
      </c>
      <c r="S16" s="886">
        <f t="shared" si="17"/>
        <v>31.956006371000896</v>
      </c>
      <c r="T16" s="883">
        <f t="shared" si="7"/>
        <v>31.956006371000896</v>
      </c>
      <c r="U16" s="887">
        <f>Factors!D17</f>
        <v>25.14</v>
      </c>
      <c r="V16" s="899">
        <f t="shared" si="18"/>
        <v>0</v>
      </c>
      <c r="W16" s="900">
        <f t="shared" si="19"/>
        <v>0</v>
      </c>
      <c r="X16" s="900">
        <f t="shared" si="20"/>
        <v>0</v>
      </c>
      <c r="Y16" s="900">
        <f t="shared" si="21"/>
        <v>0</v>
      </c>
      <c r="Z16" s="900">
        <f t="shared" si="22"/>
        <v>0</v>
      </c>
      <c r="AA16" s="900">
        <f t="shared" si="23"/>
        <v>0.80337400016696259</v>
      </c>
      <c r="AB16" s="883">
        <f t="shared" si="37"/>
        <v>0.80337400016696259</v>
      </c>
      <c r="AC16" s="888">
        <f>Factors!E17</f>
        <v>1</v>
      </c>
      <c r="AD16" s="899">
        <f t="shared" si="24"/>
        <v>0</v>
      </c>
      <c r="AE16" s="900">
        <f t="shared" si="25"/>
        <v>0</v>
      </c>
      <c r="AF16" s="900">
        <f t="shared" si="26"/>
        <v>0</v>
      </c>
      <c r="AG16" s="900">
        <f t="shared" si="27"/>
        <v>0</v>
      </c>
      <c r="AH16" s="900">
        <f t="shared" si="28"/>
        <v>0</v>
      </c>
      <c r="AI16" s="900">
        <f t="shared" si="29"/>
        <v>0.80337400016696259</v>
      </c>
      <c r="AJ16" s="889">
        <f t="shared" si="9"/>
        <v>0.80337400016696259</v>
      </c>
      <c r="AK16" s="885">
        <f t="shared" si="30"/>
        <v>0</v>
      </c>
      <c r="AL16" s="883">
        <f t="shared" si="31"/>
        <v>0</v>
      </c>
      <c r="AM16" s="883">
        <f t="shared" si="32"/>
        <v>0</v>
      </c>
      <c r="AN16" s="883">
        <f t="shared" si="33"/>
        <v>0</v>
      </c>
      <c r="AO16" s="883">
        <f t="shared" si="34"/>
        <v>0</v>
      </c>
      <c r="AP16" s="883">
        <f t="shared" si="35"/>
        <v>2.9457046672788625</v>
      </c>
      <c r="AQ16" s="890">
        <f t="shared" si="38"/>
        <v>2.9457046672788625</v>
      </c>
    </row>
    <row r="17" spans="1:43">
      <c r="A17" s="817"/>
      <c r="B17" s="863" t="s">
        <v>1439</v>
      </c>
      <c r="C17" s="901">
        <f>HLOOKUP($B$2,'Consumption Input'!$E$5:$AQ$82,'Consumption Input'!$B8)</f>
        <v>4980.8310000000001</v>
      </c>
      <c r="D17" s="901">
        <f>HLOOKUP($B$2,'Consumption Input'!$E$5:$AQ$82,'Consumption Input'!$B14)</f>
        <v>3200.9720000000002</v>
      </c>
      <c r="E17" s="901">
        <f>HLOOKUP($B$2,'Consumption Input'!$E$5:$AQ$82,'Consumption Input'!$B26)</f>
        <v>8204.2447102981805</v>
      </c>
      <c r="F17" s="901">
        <f>HLOOKUP($B$2,'Consumption Input'!$E$5:$AQ$82,'Consumption Input'!$B49)</f>
        <v>601.95500000000004</v>
      </c>
      <c r="G17" s="901">
        <f>HLOOKUP($B$2,'Consumption Input'!$E$5:$AQ$82,'Consumption Input'!$B59)</f>
        <v>5594.9350000000004</v>
      </c>
      <c r="H17" s="944">
        <f>HLOOKUP($B$2,'US Territories'!$D$28:$Z$38,'US Territories'!$B30)</f>
        <v>24.638569199999999</v>
      </c>
      <c r="I17" s="901">
        <f t="shared" si="36"/>
        <v>22607.576279498186</v>
      </c>
      <c r="J17" s="964"/>
      <c r="K17" s="965">
        <f>HLOOKUP($B$2,NEUConsumption,'Non-Energy Use'!$C$9)</f>
        <v>306.55949999999996</v>
      </c>
      <c r="L17" s="965"/>
      <c r="M17" s="965"/>
      <c r="N17" s="904">
        <f t="shared" si="12"/>
        <v>4980.8310000000001</v>
      </c>
      <c r="O17" s="901">
        <f t="shared" si="13"/>
        <v>3200.9720000000002</v>
      </c>
      <c r="P17" s="901">
        <f t="shared" si="14"/>
        <v>7897.6852102981802</v>
      </c>
      <c r="Q17" s="901">
        <f t="shared" si="15"/>
        <v>601.95500000000004</v>
      </c>
      <c r="R17" s="901">
        <f t="shared" si="16"/>
        <v>5594.9350000000004</v>
      </c>
      <c r="S17" s="902">
        <f t="shared" si="17"/>
        <v>24.638569199999999</v>
      </c>
      <c r="T17" s="901">
        <f t="shared" si="7"/>
        <v>22301.016779498183</v>
      </c>
      <c r="U17" s="905">
        <f>HLOOKUP($B$2,Factors!$J$12:$AB$26,Factors!$H26,FALSE)</f>
        <v>14.46520813937622</v>
      </c>
      <c r="V17" s="901">
        <f t="shared" si="18"/>
        <v>72.04875712205741</v>
      </c>
      <c r="W17" s="901">
        <f t="shared" si="19"/>
        <v>46.302726228315379</v>
      </c>
      <c r="X17" s="901">
        <f t="shared" si="20"/>
        <v>114.24166038623643</v>
      </c>
      <c r="Y17" s="901">
        <f t="shared" si="21"/>
        <v>8.7074043655382116</v>
      </c>
      <c r="Z17" s="901">
        <f t="shared" si="22"/>
        <v>80.931899301280893</v>
      </c>
      <c r="AA17" s="901">
        <f t="shared" si="23"/>
        <v>0.3564020317344242</v>
      </c>
      <c r="AB17" s="901">
        <f t="shared" si="37"/>
        <v>322.58884943516279</v>
      </c>
      <c r="AC17" s="906">
        <f>Factors!E19</f>
        <v>1</v>
      </c>
      <c r="AD17" s="904">
        <f t="shared" si="24"/>
        <v>72.04875712205741</v>
      </c>
      <c r="AE17" s="901">
        <f t="shared" si="25"/>
        <v>46.302726228315379</v>
      </c>
      <c r="AF17" s="901">
        <f t="shared" si="26"/>
        <v>114.24166038623643</v>
      </c>
      <c r="AG17" s="901">
        <f t="shared" si="27"/>
        <v>8.7074043655382116</v>
      </c>
      <c r="AH17" s="901">
        <f t="shared" si="28"/>
        <v>80.931899301280893</v>
      </c>
      <c r="AI17" s="901">
        <f t="shared" si="29"/>
        <v>0.3564020317344242</v>
      </c>
      <c r="AJ17" s="901">
        <f t="shared" si="9"/>
        <v>322.58884943516279</v>
      </c>
      <c r="AK17" s="904">
        <f t="shared" si="30"/>
        <v>264.17877611421051</v>
      </c>
      <c r="AL17" s="901">
        <f t="shared" si="31"/>
        <v>169.77666283715638</v>
      </c>
      <c r="AM17" s="901">
        <f t="shared" si="32"/>
        <v>418.88608808286688</v>
      </c>
      <c r="AN17" s="901">
        <f t="shared" si="33"/>
        <v>31.927149340306773</v>
      </c>
      <c r="AO17" s="901">
        <f t="shared" si="34"/>
        <v>296.75029743802992</v>
      </c>
      <c r="AP17" s="901">
        <f t="shared" si="35"/>
        <v>1.3068074496928888</v>
      </c>
      <c r="AQ17" s="907">
        <f t="shared" si="38"/>
        <v>1182.8257812622635</v>
      </c>
    </row>
    <row r="18" spans="1:43">
      <c r="A18" s="817"/>
      <c r="B18" s="864" t="s">
        <v>1440</v>
      </c>
      <c r="C18" s="908">
        <f t="shared" ref="C18:H18" si="39">SUM(C19:C41)</f>
        <v>1470.4055347326575</v>
      </c>
      <c r="D18" s="908">
        <f t="shared" si="39"/>
        <v>808.15235905782322</v>
      </c>
      <c r="E18" s="908">
        <f t="shared" si="39"/>
        <v>9687.2610348563867</v>
      </c>
      <c r="F18" s="908">
        <f t="shared" si="39"/>
        <v>26765.230205455227</v>
      </c>
      <c r="G18" s="908">
        <f t="shared" si="39"/>
        <v>1200.9970000000001</v>
      </c>
      <c r="H18" s="908">
        <f t="shared" si="39"/>
        <v>776.78199015012831</v>
      </c>
      <c r="I18" s="908">
        <f t="shared" si="36"/>
        <v>40708.828124252228</v>
      </c>
      <c r="J18" s="966">
        <f t="shared" ref="J18:S18" si="40">SUM(J19:J41)</f>
        <v>1495.7917561356608</v>
      </c>
      <c r="K18" s="967">
        <f t="shared" si="40"/>
        <v>5253.2605450416368</v>
      </c>
      <c r="L18" s="967">
        <f t="shared" si="40"/>
        <v>152.102</v>
      </c>
      <c r="M18" s="967">
        <f t="shared" si="40"/>
        <v>113.39347688504112</v>
      </c>
      <c r="N18" s="910">
        <f t="shared" si="40"/>
        <v>1470.4055347326575</v>
      </c>
      <c r="O18" s="908">
        <f t="shared" si="40"/>
        <v>808.15235905782322</v>
      </c>
      <c r="P18" s="908">
        <f t="shared" si="40"/>
        <v>4434.000489814749</v>
      </c>
      <c r="Q18" s="908">
        <f t="shared" si="40"/>
        <v>25117.336449319566</v>
      </c>
      <c r="R18" s="908">
        <f t="shared" si="40"/>
        <v>1200.9970000000001</v>
      </c>
      <c r="S18" s="911">
        <f t="shared" si="40"/>
        <v>663.38851326508711</v>
      </c>
      <c r="T18" s="889">
        <f t="shared" si="7"/>
        <v>33694.280346189887</v>
      </c>
      <c r="U18" s="912" t="s">
        <v>1731</v>
      </c>
      <c r="V18" s="908">
        <f t="shared" ref="V18:AA18" si="41">SUM(V19:V41)</f>
        <v>28.283388942020576</v>
      </c>
      <c r="W18" s="908">
        <f t="shared" si="41"/>
        <v>15.923477035241307</v>
      </c>
      <c r="X18" s="908">
        <f t="shared" si="41"/>
        <v>91.107255355485449</v>
      </c>
      <c r="Y18" s="908">
        <f t="shared" si="41"/>
        <v>494.53460770198905</v>
      </c>
      <c r="Z18" s="908">
        <f t="shared" si="41"/>
        <v>26.139606027605943</v>
      </c>
      <c r="AA18" s="908">
        <f t="shared" si="41"/>
        <v>13.271585813353909</v>
      </c>
      <c r="AB18" s="908">
        <f t="shared" si="37"/>
        <v>669.25992087569625</v>
      </c>
      <c r="AC18" s="913" t="s">
        <v>1731</v>
      </c>
      <c r="AD18" s="910">
        <f t="shared" ref="AD18:AI18" si="42">SUM(AD19:AD41)</f>
        <v>28.283388942020576</v>
      </c>
      <c r="AE18" s="908">
        <f t="shared" si="42"/>
        <v>15.923477035241307</v>
      </c>
      <c r="AF18" s="908">
        <f t="shared" si="42"/>
        <v>91.107255355485449</v>
      </c>
      <c r="AG18" s="908">
        <f t="shared" si="42"/>
        <v>494.53460770198905</v>
      </c>
      <c r="AH18" s="908">
        <f t="shared" si="42"/>
        <v>26.139606027605943</v>
      </c>
      <c r="AI18" s="908">
        <f t="shared" si="42"/>
        <v>13.271585813353909</v>
      </c>
      <c r="AJ18" s="908">
        <f t="shared" si="9"/>
        <v>669.25992087569625</v>
      </c>
      <c r="AK18" s="914">
        <f t="shared" si="30"/>
        <v>103.70575945407543</v>
      </c>
      <c r="AL18" s="889">
        <f t="shared" si="31"/>
        <v>58.386082462551457</v>
      </c>
      <c r="AM18" s="889">
        <f t="shared" si="32"/>
        <v>334.05993630344665</v>
      </c>
      <c r="AN18" s="889">
        <f t="shared" si="33"/>
        <v>1813.2935615739598</v>
      </c>
      <c r="AO18" s="889">
        <f t="shared" si="34"/>
        <v>95.845222101221793</v>
      </c>
      <c r="AP18" s="889">
        <f t="shared" si="35"/>
        <v>48.662481315630998</v>
      </c>
      <c r="AQ18" s="915">
        <f t="shared" si="38"/>
        <v>2453.9530432108859</v>
      </c>
    </row>
    <row r="19" spans="1:43">
      <c r="A19" s="817"/>
      <c r="B19" s="860" t="s">
        <v>1608</v>
      </c>
      <c r="C19" s="883"/>
      <c r="D19" s="883"/>
      <c r="E19" s="883">
        <f>HLOOKUP($B$2,'Consumption Input'!$E$5:$AQ$82,'Consumption Input'!$B27)</f>
        <v>1303.848</v>
      </c>
      <c r="F19" s="883"/>
      <c r="G19" s="883"/>
      <c r="H19" s="883"/>
      <c r="I19" s="883">
        <f t="shared" si="36"/>
        <v>1303.848</v>
      </c>
      <c r="J19" s="961"/>
      <c r="K19" s="940">
        <f>HLOOKUP($B$2,NEUConsumption,'Non-Energy Use'!$C$10)</f>
        <v>1303.848</v>
      </c>
      <c r="L19" s="940"/>
      <c r="M19" s="940"/>
      <c r="N19" s="885">
        <f t="shared" ref="N19:N42" si="43">C19</f>
        <v>0</v>
      </c>
      <c r="O19" s="883">
        <f t="shared" ref="O19:O42" si="44">D19</f>
        <v>0</v>
      </c>
      <c r="P19" s="883">
        <f t="shared" ref="P19:P41" si="45">E19-K19</f>
        <v>0</v>
      </c>
      <c r="Q19" s="883">
        <f t="shared" ref="Q19:Q41" si="46">F19-J19-L19</f>
        <v>0</v>
      </c>
      <c r="R19" s="883">
        <f t="shared" ref="R19:R42" si="47">G19</f>
        <v>0</v>
      </c>
      <c r="S19" s="886">
        <f t="shared" ref="S19:S41" si="48">H19-M19</f>
        <v>0</v>
      </c>
      <c r="T19" s="883">
        <f t="shared" si="7"/>
        <v>0</v>
      </c>
      <c r="U19" s="887">
        <f>Factors!D24</f>
        <v>20.55318099621897</v>
      </c>
      <c r="V19" s="885">
        <f t="shared" ref="V19:V41" si="49">N19*$U19*TbtuToQBtu</f>
        <v>0</v>
      </c>
      <c r="W19" s="883">
        <f t="shared" ref="W19:W41" si="50">O19*$U19*TbtuToQBtu</f>
        <v>0</v>
      </c>
      <c r="X19" s="883">
        <f t="shared" ref="X19:X41" si="51">P19*$U19*TbtuToQBtu</f>
        <v>0</v>
      </c>
      <c r="Y19" s="883">
        <f t="shared" ref="Y19:Y41" si="52">Q19*$U19*TbtuToQBtu</f>
        <v>0</v>
      </c>
      <c r="Z19" s="883">
        <f t="shared" ref="Z19:Z41" si="53">R19*$U19*TbtuToQBtu</f>
        <v>0</v>
      </c>
      <c r="AA19" s="883">
        <f t="shared" ref="AA19:AA41" si="54">S19*$U19*TbtuToQBtu</f>
        <v>0</v>
      </c>
      <c r="AB19" s="883">
        <f t="shared" si="37"/>
        <v>0</v>
      </c>
      <c r="AC19" s="888">
        <f>Factors!E24</f>
        <v>1</v>
      </c>
      <c r="AD19" s="885">
        <f t="shared" ref="AD19:AD42" si="55">V19*$AC19</f>
        <v>0</v>
      </c>
      <c r="AE19" s="883">
        <f t="shared" ref="AE19:AH42" si="56">W19*$AC19</f>
        <v>0</v>
      </c>
      <c r="AF19" s="883">
        <f t="shared" ref="AF19:AF42" si="57">X19*$AC19</f>
        <v>0</v>
      </c>
      <c r="AG19" s="883">
        <f t="shared" ref="AG19:AG42" si="58">Y19*$AC19</f>
        <v>0</v>
      </c>
      <c r="AH19" s="883">
        <f t="shared" ref="AH19:AH42" si="59">Z19*$AC19</f>
        <v>0</v>
      </c>
      <c r="AI19" s="883">
        <f t="shared" ref="AI19:AI42" si="60">AA19*$AC19</f>
        <v>0</v>
      </c>
      <c r="AJ19" s="889">
        <f t="shared" si="9"/>
        <v>0</v>
      </c>
      <c r="AK19" s="885">
        <f t="shared" si="30"/>
        <v>0</v>
      </c>
      <c r="AL19" s="883">
        <f t="shared" si="31"/>
        <v>0</v>
      </c>
      <c r="AM19" s="883">
        <f t="shared" si="32"/>
        <v>0</v>
      </c>
      <c r="AN19" s="883">
        <f t="shared" si="33"/>
        <v>0</v>
      </c>
      <c r="AO19" s="883">
        <f t="shared" si="34"/>
        <v>0</v>
      </c>
      <c r="AP19" s="883">
        <f t="shared" si="35"/>
        <v>0</v>
      </c>
      <c r="AQ19" s="890">
        <f t="shared" si="38"/>
        <v>0</v>
      </c>
    </row>
    <row r="20" spans="1:43">
      <c r="A20" s="817"/>
      <c r="B20" s="860" t="s">
        <v>1622</v>
      </c>
      <c r="C20" s="883"/>
      <c r="D20" s="883"/>
      <c r="E20" s="883"/>
      <c r="F20" s="883">
        <f>HLOOKUP($B$2,'Consumption Input'!$E$5:$AQ$82,'Consumption Input'!$B50)</f>
        <v>31.242000000000001</v>
      </c>
      <c r="G20" s="883"/>
      <c r="H20" s="883"/>
      <c r="I20" s="883">
        <f t="shared" si="36"/>
        <v>31.242000000000001</v>
      </c>
      <c r="J20" s="961"/>
      <c r="K20" s="940"/>
      <c r="L20" s="940"/>
      <c r="M20" s="940"/>
      <c r="N20" s="885">
        <f t="shared" si="43"/>
        <v>0</v>
      </c>
      <c r="O20" s="883">
        <f t="shared" si="44"/>
        <v>0</v>
      </c>
      <c r="P20" s="883">
        <f t="shared" si="45"/>
        <v>0</v>
      </c>
      <c r="Q20" s="883">
        <f t="shared" si="46"/>
        <v>31.242000000000001</v>
      </c>
      <c r="R20" s="883">
        <f t="shared" si="47"/>
        <v>0</v>
      </c>
      <c r="S20" s="886">
        <f t="shared" si="48"/>
        <v>0</v>
      </c>
      <c r="T20" s="883">
        <f t="shared" si="7"/>
        <v>31.242000000000001</v>
      </c>
      <c r="U20" s="887">
        <f>Factors!D25</f>
        <v>18.855352254718337</v>
      </c>
      <c r="V20" s="885">
        <f t="shared" si="49"/>
        <v>0</v>
      </c>
      <c r="W20" s="883">
        <f t="shared" si="50"/>
        <v>0</v>
      </c>
      <c r="X20" s="883">
        <f t="shared" si="51"/>
        <v>0</v>
      </c>
      <c r="Y20" s="883">
        <f t="shared" si="52"/>
        <v>0.58907891514191035</v>
      </c>
      <c r="Z20" s="883">
        <f t="shared" si="53"/>
        <v>0</v>
      </c>
      <c r="AA20" s="883">
        <f t="shared" si="54"/>
        <v>0</v>
      </c>
      <c r="AB20" s="883">
        <f t="shared" si="37"/>
        <v>0.58907891514191035</v>
      </c>
      <c r="AC20" s="888">
        <f>Factors!E25</f>
        <v>1</v>
      </c>
      <c r="AD20" s="885">
        <f t="shared" si="55"/>
        <v>0</v>
      </c>
      <c r="AE20" s="883">
        <f t="shared" si="56"/>
        <v>0</v>
      </c>
      <c r="AF20" s="883">
        <f t="shared" si="57"/>
        <v>0</v>
      </c>
      <c r="AG20" s="883">
        <f t="shared" si="58"/>
        <v>0.58907891514191035</v>
      </c>
      <c r="AH20" s="883">
        <f t="shared" si="59"/>
        <v>0</v>
      </c>
      <c r="AI20" s="883">
        <f t="shared" si="60"/>
        <v>0</v>
      </c>
      <c r="AJ20" s="889">
        <f t="shared" si="9"/>
        <v>0.58907891514191035</v>
      </c>
      <c r="AK20" s="885">
        <f t="shared" si="30"/>
        <v>0</v>
      </c>
      <c r="AL20" s="883">
        <f t="shared" si="31"/>
        <v>0</v>
      </c>
      <c r="AM20" s="883">
        <f t="shared" si="32"/>
        <v>0</v>
      </c>
      <c r="AN20" s="883">
        <f t="shared" si="33"/>
        <v>2.1599560221870044</v>
      </c>
      <c r="AO20" s="883">
        <f t="shared" si="34"/>
        <v>0</v>
      </c>
      <c r="AP20" s="883">
        <f t="shared" si="35"/>
        <v>0</v>
      </c>
      <c r="AQ20" s="890">
        <f t="shared" si="38"/>
        <v>2.1599560221870044</v>
      </c>
    </row>
    <row r="21" spans="1:43">
      <c r="A21" s="817"/>
      <c r="B21" s="860" t="s">
        <v>1738</v>
      </c>
      <c r="C21" s="883">
        <f>HLOOKUP($B$2,'Consumption Input'!$E$5:$AQ$82,'Consumption Input'!$B9)</f>
        <v>873.2335347326574</v>
      </c>
      <c r="D21" s="883">
        <f>HLOOKUP($B$2,'Consumption Input'!$E$5:$AQ$82,'Consumption Input'!$B15)</f>
        <v>444.57987796530313</v>
      </c>
      <c r="E21" s="883">
        <f>HLOOKUP($B$2,'Consumption Input'!$E$5:$AQ$82,'Consumption Input'!$B28)</f>
        <v>1144.8322706353722</v>
      </c>
      <c r="F21" s="883">
        <f>HLOOKUP($B$2,'Consumption Input'!$E$5:$AQ$82,'Consumption Input'!$B51)</f>
        <v>6061.2517369047628</v>
      </c>
      <c r="G21" s="883">
        <f>HLOOKUP($B$2,'Consumption Input'!$E$5:$AQ$82,'Consumption Input'!$B60)</f>
        <v>111.164</v>
      </c>
      <c r="H21" s="883">
        <f>HLOOKUP($B$2,'US Territories'!$D$28:$Z$38,'US Territories'!$B31)</f>
        <v>119.82323388609126</v>
      </c>
      <c r="I21" s="883">
        <f t="shared" si="36"/>
        <v>8754.8846541241874</v>
      </c>
      <c r="J21" s="961">
        <f>HLOOKUP($B$2,IBFConsumption,'International Bunker Fuels'!$B$10)</f>
        <v>143.56371847427505</v>
      </c>
      <c r="K21" s="940">
        <f>HLOOKUP($B$2,NEUConsumption,'Non-Energy Use'!$C$20)</f>
        <v>14.5625</v>
      </c>
      <c r="L21" s="940"/>
      <c r="M21" s="940"/>
      <c r="N21" s="885">
        <f t="shared" si="43"/>
        <v>873.2335347326574</v>
      </c>
      <c r="O21" s="883">
        <f t="shared" si="44"/>
        <v>444.57987796530313</v>
      </c>
      <c r="P21" s="883">
        <f t="shared" si="45"/>
        <v>1130.2697706353722</v>
      </c>
      <c r="Q21" s="883">
        <f t="shared" si="46"/>
        <v>5917.6880184304873</v>
      </c>
      <c r="R21" s="883">
        <f t="shared" si="47"/>
        <v>111.164</v>
      </c>
      <c r="S21" s="886">
        <f t="shared" si="48"/>
        <v>119.82323388609126</v>
      </c>
      <c r="T21" s="883">
        <f t="shared" si="7"/>
        <v>8596.7584356499119</v>
      </c>
      <c r="U21" s="887">
        <f>HLOOKUP($B$2,Factors!$J$12:$BE$27,Factors!$H27,FALSE)</f>
        <v>20.39</v>
      </c>
      <c r="V21" s="885">
        <f t="shared" si="49"/>
        <v>17.805231773198884</v>
      </c>
      <c r="W21" s="883">
        <f t="shared" si="50"/>
        <v>9.0649837117125323</v>
      </c>
      <c r="X21" s="883">
        <f t="shared" si="51"/>
        <v>23.046200623255242</v>
      </c>
      <c r="Y21" s="883">
        <f t="shared" si="52"/>
        <v>120.66165869579764</v>
      </c>
      <c r="Z21" s="883">
        <f t="shared" si="53"/>
        <v>2.2666339600000001</v>
      </c>
      <c r="AA21" s="883">
        <f t="shared" si="54"/>
        <v>2.4431957389374008</v>
      </c>
      <c r="AB21" s="883">
        <f t="shared" si="37"/>
        <v>175.28790450290168</v>
      </c>
      <c r="AC21" s="888">
        <f>Factors!E26</f>
        <v>1</v>
      </c>
      <c r="AD21" s="885">
        <f t="shared" si="55"/>
        <v>17.805231773198884</v>
      </c>
      <c r="AE21" s="883">
        <f t="shared" si="56"/>
        <v>9.0649837117125323</v>
      </c>
      <c r="AF21" s="883">
        <f t="shared" si="57"/>
        <v>23.046200623255242</v>
      </c>
      <c r="AG21" s="883">
        <f t="shared" si="58"/>
        <v>120.66165869579764</v>
      </c>
      <c r="AH21" s="883">
        <f t="shared" si="59"/>
        <v>2.2666339600000001</v>
      </c>
      <c r="AI21" s="883">
        <f t="shared" si="60"/>
        <v>2.4431957389374008</v>
      </c>
      <c r="AJ21" s="889">
        <f t="shared" si="9"/>
        <v>175.28790450290168</v>
      </c>
      <c r="AK21" s="885">
        <f t="shared" si="30"/>
        <v>65.285849835062564</v>
      </c>
      <c r="AL21" s="883">
        <f t="shared" si="31"/>
        <v>33.238273609612619</v>
      </c>
      <c r="AM21" s="883">
        <f t="shared" si="32"/>
        <v>84.502735618602557</v>
      </c>
      <c r="AN21" s="883">
        <f t="shared" si="33"/>
        <v>442.42608188459133</v>
      </c>
      <c r="AO21" s="883">
        <f t="shared" si="34"/>
        <v>8.3109911866666657</v>
      </c>
      <c r="AP21" s="883">
        <f t="shared" si="35"/>
        <v>8.9583843761038029</v>
      </c>
      <c r="AQ21" s="890">
        <f t="shared" si="38"/>
        <v>642.72231651063964</v>
      </c>
    </row>
    <row r="22" spans="1:43">
      <c r="A22" s="817"/>
      <c r="B22" s="860" t="s">
        <v>1623</v>
      </c>
      <c r="C22" s="883"/>
      <c r="D22" s="883"/>
      <c r="E22" s="883"/>
      <c r="F22" s="883">
        <f>HLOOKUP($B$2,'Consumption Input'!$E$5:$AQ$82,'Consumption Input'!$B52)</f>
        <v>3382.5299999999997</v>
      </c>
      <c r="G22" s="883"/>
      <c r="H22" s="883">
        <f>HLOOKUP($B$2,'US Territories'!$D$28:$Z$38,'US Territories'!$B32)</f>
        <v>68.027412042295055</v>
      </c>
      <c r="I22" s="883">
        <f t="shared" si="36"/>
        <v>3450.5574120422948</v>
      </c>
      <c r="J22" s="961">
        <f>HLOOKUP($B$2,IBFConsumption,'International Bunker Fuels'!$B$8)</f>
        <v>799.1259685693858</v>
      </c>
      <c r="K22" s="940"/>
      <c r="L22" s="940"/>
      <c r="M22" s="940"/>
      <c r="N22" s="885">
        <f t="shared" si="43"/>
        <v>0</v>
      </c>
      <c r="O22" s="883">
        <f t="shared" si="44"/>
        <v>0</v>
      </c>
      <c r="P22" s="883">
        <f t="shared" si="45"/>
        <v>0</v>
      </c>
      <c r="Q22" s="883">
        <f t="shared" si="46"/>
        <v>2583.4040314306139</v>
      </c>
      <c r="R22" s="883">
        <f t="shared" si="47"/>
        <v>0</v>
      </c>
      <c r="S22" s="886">
        <f t="shared" si="48"/>
        <v>68.027412042295055</v>
      </c>
      <c r="T22" s="883">
        <f t="shared" si="7"/>
        <v>2651.431443472909</v>
      </c>
      <c r="U22" s="887">
        <f>HLOOKUP($B$2,Factors!$J$12:$Y$25,Factors!$H21)</f>
        <v>19.696969696969692</v>
      </c>
      <c r="V22" s="885">
        <f t="shared" si="49"/>
        <v>0</v>
      </c>
      <c r="W22" s="883">
        <f t="shared" si="50"/>
        <v>0</v>
      </c>
      <c r="X22" s="883">
        <f t="shared" si="51"/>
        <v>0</v>
      </c>
      <c r="Y22" s="883">
        <f t="shared" si="52"/>
        <v>50.88523092211814</v>
      </c>
      <c r="Z22" s="883">
        <f t="shared" si="53"/>
        <v>0</v>
      </c>
      <c r="AA22" s="883">
        <f t="shared" si="54"/>
        <v>1.3399338735603568</v>
      </c>
      <c r="AB22" s="883">
        <f t="shared" si="37"/>
        <v>52.225164795678495</v>
      </c>
      <c r="AC22" s="888">
        <f>Factors!E27</f>
        <v>1</v>
      </c>
      <c r="AD22" s="885">
        <f t="shared" si="55"/>
        <v>0</v>
      </c>
      <c r="AE22" s="883">
        <f t="shared" si="56"/>
        <v>0</v>
      </c>
      <c r="AF22" s="883">
        <f t="shared" si="57"/>
        <v>0</v>
      </c>
      <c r="AG22" s="883">
        <f t="shared" si="58"/>
        <v>50.88523092211814</v>
      </c>
      <c r="AH22" s="883">
        <f t="shared" si="59"/>
        <v>0</v>
      </c>
      <c r="AI22" s="883">
        <f t="shared" si="60"/>
        <v>1.3399338735603568</v>
      </c>
      <c r="AJ22" s="889">
        <f t="shared" si="9"/>
        <v>52.225164795678495</v>
      </c>
      <c r="AK22" s="885">
        <f t="shared" si="30"/>
        <v>0</v>
      </c>
      <c r="AL22" s="883">
        <f t="shared" si="31"/>
        <v>0</v>
      </c>
      <c r="AM22" s="883">
        <f t="shared" si="32"/>
        <v>0</v>
      </c>
      <c r="AN22" s="883">
        <f t="shared" si="33"/>
        <v>186.5791800477665</v>
      </c>
      <c r="AO22" s="883">
        <f t="shared" si="34"/>
        <v>0</v>
      </c>
      <c r="AP22" s="883">
        <f t="shared" si="35"/>
        <v>4.9130908697213078</v>
      </c>
      <c r="AQ22" s="890">
        <f t="shared" si="38"/>
        <v>191.49227091748782</v>
      </c>
    </row>
    <row r="23" spans="1:43">
      <c r="A23" s="817"/>
      <c r="B23" s="860" t="s">
        <v>1599</v>
      </c>
      <c r="C23" s="883">
        <f>HLOOKUP($B$2,'Consumption Input'!$E$5:$AQ$82,'Consumption Input'!$B10)</f>
        <v>84.759</v>
      </c>
      <c r="D23" s="883">
        <f>HLOOKUP($B$2,'Consumption Input'!$E$5:$AQ$82,'Consumption Input'!$B16)</f>
        <v>20.493999999999996</v>
      </c>
      <c r="E23" s="883">
        <f>HLOOKUP($B$2,'Consumption Input'!$E$5:$AQ$82,'Consumption Input'!$B29)</f>
        <v>28.219000000000001</v>
      </c>
      <c r="F23" s="883"/>
      <c r="G23" s="883"/>
      <c r="H23" s="883">
        <f>HLOOKUP($B$2,'US Territories'!$D$28:$Z$38,'US Territories'!$B33)</f>
        <v>6.6418502288422117</v>
      </c>
      <c r="I23" s="883">
        <f t="shared" si="36"/>
        <v>140.11385022884221</v>
      </c>
      <c r="J23" s="961"/>
      <c r="K23" s="940"/>
      <c r="L23" s="940"/>
      <c r="M23" s="940"/>
      <c r="N23" s="885">
        <f t="shared" si="43"/>
        <v>84.759</v>
      </c>
      <c r="O23" s="883">
        <f t="shared" si="44"/>
        <v>20.493999999999996</v>
      </c>
      <c r="P23" s="883">
        <f t="shared" si="45"/>
        <v>28.219000000000001</v>
      </c>
      <c r="Q23" s="883">
        <f t="shared" si="46"/>
        <v>0</v>
      </c>
      <c r="R23" s="883">
        <f t="shared" si="47"/>
        <v>0</v>
      </c>
      <c r="S23" s="886">
        <f t="shared" si="48"/>
        <v>6.6418502288422117</v>
      </c>
      <c r="T23" s="883">
        <f t="shared" si="7"/>
        <v>140.11385022884221</v>
      </c>
      <c r="U23" s="887">
        <f>Factors!D28</f>
        <v>19.964104564962931</v>
      </c>
      <c r="V23" s="885">
        <f t="shared" si="49"/>
        <v>1.692137538821693</v>
      </c>
      <c r="W23" s="883">
        <f t="shared" si="50"/>
        <v>0.4091443589543502</v>
      </c>
      <c r="X23" s="883">
        <f t="shared" si="51"/>
        <v>0.56336706671868897</v>
      </c>
      <c r="Y23" s="883">
        <f t="shared" si="52"/>
        <v>0</v>
      </c>
      <c r="Z23" s="883">
        <f t="shared" si="53"/>
        <v>0</v>
      </c>
      <c r="AA23" s="883">
        <f t="shared" si="54"/>
        <v>0.13259859247342889</v>
      </c>
      <c r="AB23" s="883">
        <f t="shared" si="37"/>
        <v>2.7972475569681605</v>
      </c>
      <c r="AC23" s="888">
        <f>Factors!E28</f>
        <v>1</v>
      </c>
      <c r="AD23" s="885">
        <f t="shared" si="55"/>
        <v>1.692137538821693</v>
      </c>
      <c r="AE23" s="883">
        <f t="shared" si="56"/>
        <v>0.4091443589543502</v>
      </c>
      <c r="AF23" s="883">
        <f t="shared" si="57"/>
        <v>0.56336706671868897</v>
      </c>
      <c r="AG23" s="883">
        <f t="shared" si="58"/>
        <v>0</v>
      </c>
      <c r="AH23" s="883">
        <f t="shared" si="59"/>
        <v>0</v>
      </c>
      <c r="AI23" s="883">
        <f t="shared" si="60"/>
        <v>0.13259859247342889</v>
      </c>
      <c r="AJ23" s="889">
        <f t="shared" si="9"/>
        <v>2.7972475569681605</v>
      </c>
      <c r="AK23" s="885">
        <f t="shared" si="30"/>
        <v>6.204504309012874</v>
      </c>
      <c r="AL23" s="883">
        <f t="shared" si="31"/>
        <v>1.5001959828326172</v>
      </c>
      <c r="AM23" s="883">
        <f t="shared" si="32"/>
        <v>2.0656792446351928</v>
      </c>
      <c r="AN23" s="883">
        <f t="shared" si="33"/>
        <v>0</v>
      </c>
      <c r="AO23" s="883">
        <f t="shared" si="34"/>
        <v>0</v>
      </c>
      <c r="AP23" s="883">
        <f t="shared" si="35"/>
        <v>0.48619483906923927</v>
      </c>
      <c r="AQ23" s="890">
        <f t="shared" si="38"/>
        <v>10.256574375549924</v>
      </c>
    </row>
    <row r="24" spans="1:43">
      <c r="A24" s="817"/>
      <c r="B24" s="860" t="s">
        <v>1600</v>
      </c>
      <c r="C24" s="883">
        <f>HLOOKUP($B$2,'Consumption Input'!$E$5:$AQ$82,'Consumption Input'!$B11)</f>
        <v>512.41300000000001</v>
      </c>
      <c r="D24" s="883">
        <f>HLOOKUP($B$2,'Consumption Input'!$E$5:$AQ$82,'Consumption Input'!$B17)</f>
        <v>152.16800000000001</v>
      </c>
      <c r="E24"/>
      <c r="F24" s="883">
        <f>HLOOKUP($B$2,'Consumption Input'!$E$5:$AQ$82,'Consumption Input'!$B53)</f>
        <v>19.129000000000001</v>
      </c>
      <c r="G24" s="883"/>
      <c r="H24"/>
      <c r="I24" s="883">
        <f>SUM(C24:H24)</f>
        <v>683.71</v>
      </c>
      <c r="J24" s="884"/>
      <c r="K24"/>
      <c r="L24" s="883"/>
      <c r="M24" s="883"/>
      <c r="N24" s="885">
        <f>C24</f>
        <v>512.41300000000001</v>
      </c>
      <c r="O24" s="883">
        <f t="shared" si="44"/>
        <v>152.16800000000001</v>
      </c>
      <c r="P24"/>
      <c r="Q24" s="883">
        <f t="shared" si="46"/>
        <v>19.129000000000001</v>
      </c>
      <c r="R24" s="883">
        <f t="shared" si="47"/>
        <v>0</v>
      </c>
      <c r="S24" s="1007"/>
      <c r="T24" s="883">
        <f t="shared" si="7"/>
        <v>683.71</v>
      </c>
      <c r="U24" s="1005">
        <f>HLOOKUP($B$2,Factors!$J$12:$BE$25,Factors!$H17,FALSE)</f>
        <v>17.146363636363635</v>
      </c>
      <c r="V24" s="885">
        <f>N24*$U24*TbtuToQBtu</f>
        <v>8.7860196299999984</v>
      </c>
      <c r="W24" s="883">
        <f>O24*$U24*TbtuToQBtu</f>
        <v>2.6091278618181817</v>
      </c>
      <c r="X24"/>
      <c r="Y24" s="883">
        <f>Q24*$U24*TbtuToQBtu</f>
        <v>0.32799279000000003</v>
      </c>
      <c r="Z24" s="883">
        <f t="shared" ref="Z24" si="61">R24*$U24*TbtuToQBtu</f>
        <v>0</v>
      </c>
      <c r="AA24"/>
      <c r="AB24" s="883">
        <f>SUM(V24:AA24)</f>
        <v>11.72314028181818</v>
      </c>
      <c r="AC24" s="888">
        <f>Factors!E30</f>
        <v>1</v>
      </c>
      <c r="AD24" s="885">
        <f>V24*$AC24</f>
        <v>8.7860196299999984</v>
      </c>
      <c r="AE24" s="883">
        <f t="shared" si="56"/>
        <v>2.6091278618181817</v>
      </c>
      <c r="AF24"/>
      <c r="AG24" s="883">
        <f t="shared" si="56"/>
        <v>0.32799279000000003</v>
      </c>
      <c r="AH24" s="883">
        <f t="shared" si="56"/>
        <v>0</v>
      </c>
      <c r="AI24"/>
      <c r="AJ24" s="889">
        <f t="shared" si="9"/>
        <v>11.72314028181818</v>
      </c>
      <c r="AK24" s="885">
        <f>AD24*CtoCO2</f>
        <v>32.215405309999994</v>
      </c>
      <c r="AL24" s="883">
        <f t="shared" ref="AL24" si="62">AE24*CtoCO2</f>
        <v>9.5668021599999999</v>
      </c>
      <c r="AN24" s="883">
        <f t="shared" ref="AN24" si="63">AG24*CtoCO2</f>
        <v>1.2026402300000001</v>
      </c>
      <c r="AO24" s="883">
        <f t="shared" ref="AO24" si="64">AH24*CtoCO2</f>
        <v>0</v>
      </c>
      <c r="AQ24" s="890">
        <f t="shared" si="38"/>
        <v>42.984847699999996</v>
      </c>
    </row>
    <row r="25" spans="1:43">
      <c r="A25" s="817"/>
      <c r="B25" s="860" t="s">
        <v>1609</v>
      </c>
      <c r="C25" s="883"/>
      <c r="D25" s="883"/>
      <c r="E25" s="883">
        <f>HLOOKUP($B$2,'Consumption Input'!$E$5:$AQ$82,'Consumption Input'!$B30)</f>
        <v>2068.8134216240001</v>
      </c>
      <c r="F25" s="883"/>
      <c r="G25" s="883"/>
      <c r="H25" s="883">
        <f>HLOOKUP($B$2,'US Territories'!$D$28:$AO$38,'US Territories'!$B34)</f>
        <v>12.100691798575815</v>
      </c>
      <c r="I25" s="883">
        <f>SUM(C25:H25)</f>
        <v>2080.9141134225761</v>
      </c>
      <c r="J25" s="884"/>
      <c r="K25" s="883">
        <f>HLOOKUP($B$2,NEUConsumption,'Non-Energy Use'!$C$11)</f>
        <v>1768.5116121665342</v>
      </c>
      <c r="L25" s="883"/>
      <c r="M25" s="883"/>
      <c r="N25" s="885"/>
      <c r="O25" s="883"/>
      <c r="P25" s="883">
        <f>E25-K25</f>
        <v>300.30180945746588</v>
      </c>
      <c r="Q25" s="883"/>
      <c r="R25" s="883"/>
      <c r="S25" s="886">
        <f>H25-M25</f>
        <v>12.100691798575815</v>
      </c>
      <c r="T25" s="883">
        <f t="shared" si="7"/>
        <v>312.40250125604172</v>
      </c>
      <c r="U25" s="1005">
        <f>HLOOKUP($B$2,Factors!$J$12:$BE$25,Factors!$H18,FALSE)</f>
        <v>17.560810647221505</v>
      </c>
      <c r="V25" s="885"/>
      <c r="W25" s="883"/>
      <c r="X25" s="883">
        <f>P25*$U25*TbtuToQBtu</f>
        <v>5.2735432129005506</v>
      </c>
      <c r="Y25" s="883"/>
      <c r="Z25" s="883"/>
      <c r="AA25" s="883">
        <f>S25*$U25*TbtuToQBtu</f>
        <v>0.2124979573751761</v>
      </c>
      <c r="AB25" s="883">
        <f>SUM(V25:AA25)</f>
        <v>5.486041170275727</v>
      </c>
      <c r="AC25" s="888">
        <f>Factors!E31</f>
        <v>1</v>
      </c>
      <c r="AD25" s="885"/>
      <c r="AE25" s="883"/>
      <c r="AF25" s="883">
        <f>X25*$AC25</f>
        <v>5.2735432129005506</v>
      </c>
      <c r="AG25" s="883"/>
      <c r="AH25" s="883"/>
      <c r="AI25" s="883">
        <f>AA25*$AC25</f>
        <v>0.2124979573751761</v>
      </c>
      <c r="AJ25" s="889">
        <f t="shared" si="9"/>
        <v>5.486041170275727</v>
      </c>
      <c r="AK25" s="885"/>
      <c r="AL25" s="883"/>
      <c r="AM25" s="883">
        <f>AF25*CtoCO2</f>
        <v>19.336325113968684</v>
      </c>
      <c r="AN25" s="883"/>
      <c r="AO25" s="883"/>
      <c r="AP25" s="883">
        <f>AI25*CtoCO2</f>
        <v>0.7791591770423123</v>
      </c>
      <c r="AQ25" s="890">
        <f t="shared" si="38"/>
        <v>20.115484291010997</v>
      </c>
    </row>
    <row r="26" spans="1:43">
      <c r="A26" s="817"/>
      <c r="B26" s="860" t="s">
        <v>1610</v>
      </c>
      <c r="C26" s="883"/>
      <c r="D26" s="883"/>
      <c r="E26" s="883">
        <f>HLOOKUP($B$2,'Consumption Input'!$E$5:$AQ$82,'Consumption Input'!$B31)</f>
        <v>161.04</v>
      </c>
      <c r="F26" s="883">
        <f>HLOOKUP($B$2,'Consumption Input'!$E$5:$AQ$82,'Consumption Input'!$B54)</f>
        <v>152.102</v>
      </c>
      <c r="G26" s="883"/>
      <c r="H26" s="883">
        <f>HLOOKUP($B$2,'US Territories'!$D$28:$Z$38,'US Territories'!$B35)</f>
        <v>5.072055102459017</v>
      </c>
      <c r="I26" s="883">
        <f t="shared" si="36"/>
        <v>318.21405510245899</v>
      </c>
      <c r="J26" s="961"/>
      <c r="K26" s="940">
        <f>HLOOKUP($B$2,NEUConsumption,'Non-Energy Use'!$C$12)</f>
        <v>161.04</v>
      </c>
      <c r="L26" s="940">
        <f>HLOOKUP($B$2,NEUConsumption,'Non-Energy Use'!$C$24)</f>
        <v>152.102</v>
      </c>
      <c r="M26" s="940">
        <f>HLOOKUP($B$2,NEUConsumption,'Non-Energy Use'!$C$26)</f>
        <v>5.072055102459017</v>
      </c>
      <c r="N26" s="885">
        <f t="shared" si="43"/>
        <v>0</v>
      </c>
      <c r="O26" s="883">
        <f t="shared" si="44"/>
        <v>0</v>
      </c>
      <c r="P26" s="883">
        <f t="shared" si="45"/>
        <v>0</v>
      </c>
      <c r="Q26" s="883">
        <f t="shared" si="46"/>
        <v>0</v>
      </c>
      <c r="R26" s="883">
        <f t="shared" si="47"/>
        <v>0</v>
      </c>
      <c r="S26" s="886">
        <f t="shared" si="48"/>
        <v>0</v>
      </c>
      <c r="T26" s="883">
        <f t="shared" si="7"/>
        <v>0</v>
      </c>
      <c r="U26" s="887">
        <f>Factors!D33</f>
        <v>20.199355467286214</v>
      </c>
      <c r="V26" s="885">
        <f t="shared" si="49"/>
        <v>0</v>
      </c>
      <c r="W26" s="883">
        <f t="shared" si="50"/>
        <v>0</v>
      </c>
      <c r="X26" s="883">
        <f t="shared" si="51"/>
        <v>0</v>
      </c>
      <c r="Y26" s="883">
        <f t="shared" si="52"/>
        <v>0</v>
      </c>
      <c r="Z26" s="883">
        <f t="shared" si="53"/>
        <v>0</v>
      </c>
      <c r="AA26" s="883">
        <f t="shared" si="54"/>
        <v>0</v>
      </c>
      <c r="AB26" s="883">
        <f t="shared" si="37"/>
        <v>0</v>
      </c>
      <c r="AC26" s="888">
        <f>Factors!E33</f>
        <v>1</v>
      </c>
      <c r="AD26" s="885">
        <f t="shared" si="55"/>
        <v>0</v>
      </c>
      <c r="AE26" s="883">
        <f t="shared" si="56"/>
        <v>0</v>
      </c>
      <c r="AF26" s="883">
        <f t="shared" si="57"/>
        <v>0</v>
      </c>
      <c r="AG26" s="883">
        <f t="shared" si="58"/>
        <v>0</v>
      </c>
      <c r="AH26" s="883">
        <f t="shared" si="59"/>
        <v>0</v>
      </c>
      <c r="AI26" s="883">
        <f t="shared" si="60"/>
        <v>0</v>
      </c>
      <c r="AJ26" s="889">
        <f t="shared" si="9"/>
        <v>0</v>
      </c>
      <c r="AK26" s="885">
        <f t="shared" si="30"/>
        <v>0</v>
      </c>
      <c r="AL26" s="883">
        <f t="shared" si="31"/>
        <v>0</v>
      </c>
      <c r="AM26" s="883">
        <f t="shared" si="32"/>
        <v>0</v>
      </c>
      <c r="AN26" s="883">
        <f t="shared" si="33"/>
        <v>0</v>
      </c>
      <c r="AO26" s="883">
        <f t="shared" si="34"/>
        <v>0</v>
      </c>
      <c r="AP26" s="883">
        <f t="shared" si="35"/>
        <v>0</v>
      </c>
      <c r="AQ26" s="890">
        <f t="shared" si="38"/>
        <v>0</v>
      </c>
    </row>
    <row r="27" spans="1:43">
      <c r="A27" s="817"/>
      <c r="B27" s="860" t="s">
        <v>1601</v>
      </c>
      <c r="C27" s="883"/>
      <c r="D27" s="883">
        <f>HLOOKUP($B$2,'Consumption Input'!$E$5:$AQ$82,'Consumption Input'!$B18)</f>
        <v>68.15548109252012</v>
      </c>
      <c r="E27" s="883">
        <f>HLOOKUP($B$2,'Consumption Input'!$E$5:$AQ$82,'Consumption Input'!$B32)</f>
        <v>567.57382359701342</v>
      </c>
      <c r="F27" s="883">
        <f>HLOOKUP($B$2,'Consumption Input'!$E$5:$AQ$82,'Consumption Input'!$B55)</f>
        <v>16379.467468550463</v>
      </c>
      <c r="G27" s="883"/>
      <c r="H27" s="883">
        <f>HLOOKUP($B$2,'US Territories'!$D$28:$Z$38,'US Territories'!$B36)</f>
        <v>201.72248697768455</v>
      </c>
      <c r="I27" s="883">
        <f t="shared" si="36"/>
        <v>17216.919260217681</v>
      </c>
      <c r="J27" s="961"/>
      <c r="K27" s="940"/>
      <c r="L27" s="940"/>
      <c r="M27" s="940"/>
      <c r="N27" s="885">
        <f t="shared" si="43"/>
        <v>0</v>
      </c>
      <c r="O27" s="883">
        <f t="shared" si="44"/>
        <v>68.15548109252012</v>
      </c>
      <c r="P27" s="883">
        <f t="shared" si="45"/>
        <v>567.57382359701342</v>
      </c>
      <c r="Q27" s="883">
        <f t="shared" si="46"/>
        <v>16379.467468550463</v>
      </c>
      <c r="R27" s="883">
        <f t="shared" si="47"/>
        <v>0</v>
      </c>
      <c r="S27" s="886">
        <f t="shared" si="48"/>
        <v>201.72248697768455</v>
      </c>
      <c r="T27" s="883">
        <f t="shared" si="7"/>
        <v>17216.919260217681</v>
      </c>
      <c r="U27" s="887">
        <f>HLOOKUP($B$2,Factors!$J$12:$Y$25,Factors!$H20)</f>
        <v>19.43</v>
      </c>
      <c r="V27" s="885">
        <f t="shared" si="49"/>
        <v>0</v>
      </c>
      <c r="W27" s="883">
        <f t="shared" si="50"/>
        <v>1.3242609976276658</v>
      </c>
      <c r="X27" s="883">
        <f t="shared" si="51"/>
        <v>11.02795939248997</v>
      </c>
      <c r="Y27" s="883">
        <f t="shared" si="52"/>
        <v>318.25305291393551</v>
      </c>
      <c r="Z27" s="883">
        <f t="shared" si="53"/>
        <v>0</v>
      </c>
      <c r="AA27" s="883">
        <f t="shared" si="54"/>
        <v>3.9194679219764108</v>
      </c>
      <c r="AB27" s="883">
        <f t="shared" si="37"/>
        <v>334.52474122602956</v>
      </c>
      <c r="AC27" s="888">
        <f>Factors!E34</f>
        <v>1</v>
      </c>
      <c r="AD27" s="885">
        <f t="shared" si="55"/>
        <v>0</v>
      </c>
      <c r="AE27" s="883">
        <f t="shared" si="56"/>
        <v>1.3242609976276658</v>
      </c>
      <c r="AF27" s="883">
        <f t="shared" si="57"/>
        <v>11.02795939248997</v>
      </c>
      <c r="AG27" s="883">
        <f>Y27*$AC44</f>
        <v>318.25305291393551</v>
      </c>
      <c r="AH27" s="883">
        <f t="shared" si="59"/>
        <v>0</v>
      </c>
      <c r="AI27" s="883">
        <f t="shared" si="60"/>
        <v>3.9194679219764108</v>
      </c>
      <c r="AJ27" s="889">
        <f t="shared" si="9"/>
        <v>334.52474122602956</v>
      </c>
      <c r="AK27" s="885">
        <f t="shared" si="30"/>
        <v>0</v>
      </c>
      <c r="AL27" s="883">
        <f t="shared" si="31"/>
        <v>4.855623657968108</v>
      </c>
      <c r="AM27" s="883">
        <f t="shared" si="32"/>
        <v>40.435851105796559</v>
      </c>
      <c r="AN27" s="883">
        <f t="shared" si="33"/>
        <v>1166.9278606844302</v>
      </c>
      <c r="AO27" s="883">
        <f t="shared" si="34"/>
        <v>0</v>
      </c>
      <c r="AP27" s="883">
        <f t="shared" si="35"/>
        <v>14.371382380580172</v>
      </c>
      <c r="AQ27" s="890">
        <f t="shared" si="38"/>
        <v>1226.590717828775</v>
      </c>
    </row>
    <row r="28" spans="1:43">
      <c r="A28" s="817"/>
      <c r="B28" s="860" t="s">
        <v>1602</v>
      </c>
      <c r="C28" s="883"/>
      <c r="D28" s="883">
        <f>HLOOKUP($B$2,'Consumption Input'!$E$5:$AQ$82,'Consumption Input'!$B19)</f>
        <v>122.492</v>
      </c>
      <c r="E28" s="883">
        <f>HLOOKUP($B$2,'Consumption Input'!$E$5:$AQ$82,'Consumption Input'!$B33)</f>
        <v>195.26749999999996</v>
      </c>
      <c r="F28" s="883">
        <f>HLOOKUP($B$2,'Consumption Input'!$E$5:$AQ$82,'Consumption Input'!$B56)</f>
        <v>739.50800000000004</v>
      </c>
      <c r="G28" s="883">
        <f>HLOOKUP($B$2,'Consumption Input'!$E$5:$AQ$82,'Consumption Input'!$B61)</f>
        <v>879.02200000000005</v>
      </c>
      <c r="H28" s="883">
        <f>HLOOKUP($B$2,'US Territories'!$D$28:$Z$38,'US Territories'!$B37)</f>
        <v>255.07283833159826</v>
      </c>
      <c r="I28" s="883">
        <f t="shared" si="36"/>
        <v>2191.362338331598</v>
      </c>
      <c r="J28" s="961">
        <f>HLOOKUP($B$2,IBFConsumption,'International Bunker Fuels'!$B$9)</f>
        <v>553.10206909199985</v>
      </c>
      <c r="K28" s="940"/>
      <c r="L28" s="940"/>
      <c r="M28" s="940"/>
      <c r="N28" s="885">
        <f t="shared" si="43"/>
        <v>0</v>
      </c>
      <c r="O28" s="883">
        <f t="shared" si="44"/>
        <v>122.492</v>
      </c>
      <c r="P28" s="883">
        <f t="shared" si="45"/>
        <v>195.26749999999996</v>
      </c>
      <c r="Q28" s="883">
        <f t="shared" si="46"/>
        <v>186.40593090800019</v>
      </c>
      <c r="R28" s="883">
        <f t="shared" si="47"/>
        <v>879.02200000000005</v>
      </c>
      <c r="S28" s="886">
        <f t="shared" si="48"/>
        <v>255.07283833159826</v>
      </c>
      <c r="T28" s="883">
        <f t="shared" si="7"/>
        <v>1638.2602692395983</v>
      </c>
      <c r="U28" s="887">
        <f>Factors!D36</f>
        <v>20.48</v>
      </c>
      <c r="V28" s="885">
        <f t="shared" si="49"/>
        <v>0</v>
      </c>
      <c r="W28" s="883">
        <f t="shared" si="50"/>
        <v>2.50863616</v>
      </c>
      <c r="X28" s="883">
        <f t="shared" si="51"/>
        <v>3.9990783999999993</v>
      </c>
      <c r="Y28" s="883">
        <f t="shared" si="52"/>
        <v>3.8175934649958441</v>
      </c>
      <c r="Z28" s="883">
        <f t="shared" si="53"/>
        <v>18.002370560000003</v>
      </c>
      <c r="AA28" s="883">
        <f t="shared" si="54"/>
        <v>5.2238917290311333</v>
      </c>
      <c r="AB28" s="883">
        <f t="shared" si="37"/>
        <v>33.551570314026975</v>
      </c>
      <c r="AC28" s="888">
        <f>Factors!E36</f>
        <v>1</v>
      </c>
      <c r="AD28" s="885">
        <f t="shared" si="55"/>
        <v>0</v>
      </c>
      <c r="AE28" s="883">
        <f t="shared" si="56"/>
        <v>2.50863616</v>
      </c>
      <c r="AF28" s="883">
        <f t="shared" si="57"/>
        <v>3.9990783999999993</v>
      </c>
      <c r="AG28" s="883">
        <f t="shared" si="58"/>
        <v>3.8175934649958441</v>
      </c>
      <c r="AH28" s="883">
        <f t="shared" si="59"/>
        <v>18.002370560000003</v>
      </c>
      <c r="AI28" s="883">
        <f t="shared" si="60"/>
        <v>5.2238917290311333</v>
      </c>
      <c r="AJ28" s="889">
        <f t="shared" si="9"/>
        <v>33.551570314026975</v>
      </c>
      <c r="AK28" s="885">
        <f t="shared" si="30"/>
        <v>0</v>
      </c>
      <c r="AL28" s="883">
        <f t="shared" si="31"/>
        <v>9.1983325866666661</v>
      </c>
      <c r="AM28" s="883">
        <f t="shared" si="32"/>
        <v>14.663287466666663</v>
      </c>
      <c r="AN28" s="883">
        <f t="shared" si="33"/>
        <v>13.997842704984761</v>
      </c>
      <c r="AO28" s="883">
        <f t="shared" si="34"/>
        <v>66.008692053333334</v>
      </c>
      <c r="AP28" s="883">
        <f t="shared" si="35"/>
        <v>19.154269673114154</v>
      </c>
      <c r="AQ28" s="890">
        <f t="shared" si="38"/>
        <v>123.02242448476558</v>
      </c>
    </row>
    <row r="29" spans="1:43">
      <c r="A29" s="817"/>
      <c r="B29" s="860" t="s">
        <v>1603</v>
      </c>
      <c r="C29" s="883"/>
      <c r="D29" s="883"/>
      <c r="E29" s="883"/>
      <c r="F29" s="883"/>
      <c r="G29" s="883"/>
      <c r="H29" s="883"/>
      <c r="I29" s="940"/>
      <c r="J29" s="961"/>
      <c r="K29" s="940"/>
      <c r="L29" s="940"/>
      <c r="M29" s="940"/>
      <c r="N29" s="885">
        <f t="shared" si="43"/>
        <v>0</v>
      </c>
      <c r="O29" s="883">
        <f t="shared" si="44"/>
        <v>0</v>
      </c>
      <c r="P29" s="883">
        <f t="shared" si="45"/>
        <v>0</v>
      </c>
      <c r="Q29" s="883">
        <f t="shared" si="46"/>
        <v>0</v>
      </c>
      <c r="R29" s="883">
        <f t="shared" si="47"/>
        <v>0</v>
      </c>
      <c r="S29" s="886">
        <f t="shared" si="48"/>
        <v>0</v>
      </c>
      <c r="T29" s="883">
        <f t="shared" si="7"/>
        <v>0</v>
      </c>
      <c r="U29" s="887"/>
      <c r="V29" s="885">
        <f t="shared" si="49"/>
        <v>0</v>
      </c>
      <c r="W29" s="883">
        <f t="shared" si="50"/>
        <v>0</v>
      </c>
      <c r="X29" s="883">
        <f t="shared" si="51"/>
        <v>0</v>
      </c>
      <c r="Y29" s="883">
        <f t="shared" si="52"/>
        <v>0</v>
      </c>
      <c r="Z29" s="883">
        <f t="shared" si="53"/>
        <v>0</v>
      </c>
      <c r="AA29" s="883">
        <f t="shared" si="54"/>
        <v>0</v>
      </c>
      <c r="AB29" s="883">
        <f t="shared" si="37"/>
        <v>0</v>
      </c>
      <c r="AC29" s="888"/>
      <c r="AD29" s="885">
        <f t="shared" si="55"/>
        <v>0</v>
      </c>
      <c r="AE29" s="883">
        <f t="shared" si="56"/>
        <v>0</v>
      </c>
      <c r="AF29" s="883">
        <f t="shared" si="57"/>
        <v>0</v>
      </c>
      <c r="AG29" s="883">
        <f t="shared" si="58"/>
        <v>0</v>
      </c>
      <c r="AH29" s="883">
        <f t="shared" si="59"/>
        <v>0</v>
      </c>
      <c r="AI29" s="883">
        <f t="shared" si="60"/>
        <v>0</v>
      </c>
      <c r="AJ29" s="889">
        <f t="shared" si="9"/>
        <v>0</v>
      </c>
      <c r="AK29" s="885">
        <f t="shared" si="30"/>
        <v>0</v>
      </c>
      <c r="AL29" s="883">
        <f t="shared" si="31"/>
        <v>0</v>
      </c>
      <c r="AM29" s="883">
        <f t="shared" si="32"/>
        <v>0</v>
      </c>
      <c r="AN29" s="883">
        <f t="shared" si="33"/>
        <v>0</v>
      </c>
      <c r="AO29" s="883">
        <f t="shared" si="34"/>
        <v>0</v>
      </c>
      <c r="AP29" s="883">
        <f t="shared" si="35"/>
        <v>0</v>
      </c>
      <c r="AQ29" s="890">
        <f t="shared" si="38"/>
        <v>0</v>
      </c>
    </row>
    <row r="30" spans="1:43">
      <c r="A30" s="817"/>
      <c r="B30" s="865" t="s">
        <v>1611</v>
      </c>
      <c r="C30" s="883"/>
      <c r="D30" s="883"/>
      <c r="E30" s="883">
        <f>HLOOKUP($B$2,'Consumption Input'!$E$5:$AQ$82,'Consumption Input'!$B35)</f>
        <v>10.615944000000001</v>
      </c>
      <c r="F30" s="883"/>
      <c r="G30" s="883"/>
      <c r="H30" s="883"/>
      <c r="I30" s="883">
        <f t="shared" si="36"/>
        <v>10.615944000000001</v>
      </c>
      <c r="J30" s="961"/>
      <c r="K30" s="940"/>
      <c r="L30" s="940"/>
      <c r="M30" s="940"/>
      <c r="N30" s="885">
        <f t="shared" si="43"/>
        <v>0</v>
      </c>
      <c r="O30" s="883">
        <f t="shared" si="44"/>
        <v>0</v>
      </c>
      <c r="P30" s="883">
        <f t="shared" si="45"/>
        <v>10.615944000000001</v>
      </c>
      <c r="Q30" s="883">
        <f t="shared" si="46"/>
        <v>0</v>
      </c>
      <c r="R30" s="883">
        <f t="shared" si="47"/>
        <v>0</v>
      </c>
      <c r="S30" s="886">
        <f t="shared" si="48"/>
        <v>0</v>
      </c>
      <c r="T30" s="883">
        <f t="shared" si="7"/>
        <v>10.615944000000001</v>
      </c>
      <c r="U30" s="887">
        <f>Factors!D39</f>
        <v>18.87</v>
      </c>
      <c r="V30" s="885">
        <f t="shared" si="49"/>
        <v>0</v>
      </c>
      <c r="W30" s="883">
        <f t="shared" si="50"/>
        <v>0</v>
      </c>
      <c r="X30" s="883">
        <f t="shared" si="51"/>
        <v>0.20032286328000004</v>
      </c>
      <c r="Y30" s="883">
        <f t="shared" si="52"/>
        <v>0</v>
      </c>
      <c r="Z30" s="883">
        <f t="shared" si="53"/>
        <v>0</v>
      </c>
      <c r="AA30" s="883">
        <f t="shared" si="54"/>
        <v>0</v>
      </c>
      <c r="AB30" s="883">
        <f t="shared" si="37"/>
        <v>0.20032286328000004</v>
      </c>
      <c r="AC30" s="888">
        <f>Factors!E39</f>
        <v>1</v>
      </c>
      <c r="AD30" s="885">
        <f t="shared" si="55"/>
        <v>0</v>
      </c>
      <c r="AE30" s="883">
        <f t="shared" si="56"/>
        <v>0</v>
      </c>
      <c r="AF30" s="883">
        <f t="shared" si="57"/>
        <v>0.20032286328000004</v>
      </c>
      <c r="AG30" s="883">
        <f t="shared" si="58"/>
        <v>0</v>
      </c>
      <c r="AH30" s="883">
        <f t="shared" si="59"/>
        <v>0</v>
      </c>
      <c r="AI30" s="883">
        <f t="shared" si="60"/>
        <v>0</v>
      </c>
      <c r="AJ30" s="889">
        <f t="shared" si="9"/>
        <v>0.20032286328000004</v>
      </c>
      <c r="AK30" s="885">
        <f t="shared" si="30"/>
        <v>0</v>
      </c>
      <c r="AL30" s="883">
        <f t="shared" si="31"/>
        <v>0</v>
      </c>
      <c r="AM30" s="883">
        <f t="shared" si="32"/>
        <v>0.73451716536000011</v>
      </c>
      <c r="AN30" s="883">
        <f t="shared" si="33"/>
        <v>0</v>
      </c>
      <c r="AO30" s="883">
        <f t="shared" si="34"/>
        <v>0</v>
      </c>
      <c r="AP30" s="883">
        <f t="shared" si="35"/>
        <v>0</v>
      </c>
      <c r="AQ30" s="890">
        <f t="shared" si="38"/>
        <v>0.73451716536000011</v>
      </c>
    </row>
    <row r="31" spans="1:43">
      <c r="A31" s="817"/>
      <c r="B31" s="865" t="s">
        <v>1612</v>
      </c>
      <c r="C31" s="883"/>
      <c r="D31" s="883"/>
      <c r="E31" s="883">
        <f>HLOOKUP($B$2,'Consumption Input'!$E$5:$AQ$82,'Consumption Input'!$B36)</f>
        <v>0</v>
      </c>
      <c r="F31" s="883"/>
      <c r="G31" s="883"/>
      <c r="H31" s="883"/>
      <c r="I31" s="883">
        <f t="shared" si="36"/>
        <v>0</v>
      </c>
      <c r="J31" s="961"/>
      <c r="K31" s="940"/>
      <c r="L31" s="940"/>
      <c r="M31" s="940"/>
      <c r="N31" s="885">
        <f t="shared" si="43"/>
        <v>0</v>
      </c>
      <c r="O31" s="883">
        <f t="shared" si="44"/>
        <v>0</v>
      </c>
      <c r="P31" s="883">
        <f t="shared" si="45"/>
        <v>0</v>
      </c>
      <c r="Q31" s="883">
        <f t="shared" si="46"/>
        <v>0</v>
      </c>
      <c r="R31" s="883">
        <f t="shared" si="47"/>
        <v>0</v>
      </c>
      <c r="S31" s="886">
        <f t="shared" si="48"/>
        <v>0</v>
      </c>
      <c r="T31" s="883">
        <f t="shared" si="7"/>
        <v>0</v>
      </c>
      <c r="U31" s="887">
        <f>HLOOKUP($B$2,Factors!$J$12:$Y$25,Factors!$H25)</f>
        <v>20.313283936551723</v>
      </c>
      <c r="V31" s="885">
        <f t="shared" si="49"/>
        <v>0</v>
      </c>
      <c r="W31" s="883">
        <f t="shared" si="50"/>
        <v>0</v>
      </c>
      <c r="X31" s="883">
        <f t="shared" si="51"/>
        <v>0</v>
      </c>
      <c r="Y31" s="883">
        <f t="shared" si="52"/>
        <v>0</v>
      </c>
      <c r="Z31" s="883">
        <f t="shared" si="53"/>
        <v>0</v>
      </c>
      <c r="AA31" s="883">
        <f t="shared" si="54"/>
        <v>0</v>
      </c>
      <c r="AB31" s="883">
        <f t="shared" si="37"/>
        <v>0</v>
      </c>
      <c r="AC31" s="888">
        <f>Factors!E40</f>
        <v>1</v>
      </c>
      <c r="AD31" s="885">
        <f t="shared" si="55"/>
        <v>0</v>
      </c>
      <c r="AE31" s="883">
        <f t="shared" si="56"/>
        <v>0</v>
      </c>
      <c r="AF31" s="883">
        <f t="shared" si="57"/>
        <v>0</v>
      </c>
      <c r="AG31" s="883">
        <f t="shared" si="58"/>
        <v>0</v>
      </c>
      <c r="AH31" s="883">
        <f t="shared" si="59"/>
        <v>0</v>
      </c>
      <c r="AI31" s="883">
        <f t="shared" si="60"/>
        <v>0</v>
      </c>
      <c r="AJ31" s="889">
        <f t="shared" si="9"/>
        <v>0</v>
      </c>
      <c r="AK31" s="885">
        <f t="shared" si="30"/>
        <v>0</v>
      </c>
      <c r="AL31" s="883">
        <f t="shared" si="31"/>
        <v>0</v>
      </c>
      <c r="AM31" s="883">
        <f t="shared" si="32"/>
        <v>0</v>
      </c>
      <c r="AN31" s="883">
        <f t="shared" si="33"/>
        <v>0</v>
      </c>
      <c r="AO31" s="883">
        <f t="shared" si="34"/>
        <v>0</v>
      </c>
      <c r="AP31" s="883">
        <f t="shared" si="35"/>
        <v>0</v>
      </c>
      <c r="AQ31" s="890">
        <f t="shared" si="38"/>
        <v>0</v>
      </c>
    </row>
    <row r="32" spans="1:43">
      <c r="A32" s="817"/>
      <c r="B32" s="865" t="s">
        <v>1613</v>
      </c>
      <c r="C32" s="883"/>
      <c r="D32" s="883"/>
      <c r="E32" s="883">
        <f>HLOOKUP($B$2,'Consumption Input'!$E$5:$AQ$82,'Consumption Input'!$B37)</f>
        <v>0</v>
      </c>
      <c r="F32" s="883"/>
      <c r="G32" s="883"/>
      <c r="H32" s="883"/>
      <c r="I32" s="883">
        <f t="shared" si="36"/>
        <v>0</v>
      </c>
      <c r="J32" s="961"/>
      <c r="K32" s="940"/>
      <c r="L32" s="940"/>
      <c r="M32" s="940"/>
      <c r="N32" s="885">
        <f t="shared" si="43"/>
        <v>0</v>
      </c>
      <c r="O32" s="883">
        <f t="shared" si="44"/>
        <v>0</v>
      </c>
      <c r="P32" s="883">
        <f t="shared" si="45"/>
        <v>0</v>
      </c>
      <c r="Q32" s="883">
        <f t="shared" si="46"/>
        <v>0</v>
      </c>
      <c r="R32" s="883">
        <f t="shared" si="47"/>
        <v>0</v>
      </c>
      <c r="S32" s="886">
        <f t="shared" si="48"/>
        <v>0</v>
      </c>
      <c r="T32" s="883">
        <f t="shared" si="7"/>
        <v>0</v>
      </c>
      <c r="U32" s="887">
        <f>HLOOKUP($B$2,Factors!$J$12:$Y$25,Factors!$H22)</f>
        <v>19.382763428998363</v>
      </c>
      <c r="V32" s="885">
        <f t="shared" si="49"/>
        <v>0</v>
      </c>
      <c r="W32" s="883">
        <f t="shared" si="50"/>
        <v>0</v>
      </c>
      <c r="X32" s="883">
        <f t="shared" si="51"/>
        <v>0</v>
      </c>
      <c r="Y32" s="883">
        <f t="shared" si="52"/>
        <v>0</v>
      </c>
      <c r="Z32" s="883">
        <f t="shared" si="53"/>
        <v>0</v>
      </c>
      <c r="AA32" s="883">
        <f t="shared" si="54"/>
        <v>0</v>
      </c>
      <c r="AB32" s="883">
        <f t="shared" si="37"/>
        <v>0</v>
      </c>
      <c r="AC32" s="888">
        <f>Factors!E41</f>
        <v>1</v>
      </c>
      <c r="AD32" s="885">
        <f t="shared" si="55"/>
        <v>0</v>
      </c>
      <c r="AE32" s="883">
        <f t="shared" si="56"/>
        <v>0</v>
      </c>
      <c r="AF32" s="883">
        <f t="shared" si="57"/>
        <v>0</v>
      </c>
      <c r="AG32" s="883">
        <f t="shared" si="58"/>
        <v>0</v>
      </c>
      <c r="AH32" s="883">
        <f t="shared" si="59"/>
        <v>0</v>
      </c>
      <c r="AI32" s="883">
        <f t="shared" si="60"/>
        <v>0</v>
      </c>
      <c r="AJ32" s="889">
        <f t="shared" si="9"/>
        <v>0</v>
      </c>
      <c r="AK32" s="885">
        <f t="shared" si="30"/>
        <v>0</v>
      </c>
      <c r="AL32" s="883">
        <f t="shared" si="31"/>
        <v>0</v>
      </c>
      <c r="AM32" s="883">
        <f t="shared" si="32"/>
        <v>0</v>
      </c>
      <c r="AN32" s="883">
        <f t="shared" si="33"/>
        <v>0</v>
      </c>
      <c r="AO32" s="883">
        <f t="shared" si="34"/>
        <v>0</v>
      </c>
      <c r="AP32" s="883">
        <f t="shared" si="35"/>
        <v>0</v>
      </c>
      <c r="AQ32" s="890">
        <f t="shared" si="38"/>
        <v>0</v>
      </c>
    </row>
    <row r="33" spans="1:43">
      <c r="A33" s="817"/>
      <c r="B33" s="865" t="s">
        <v>1739</v>
      </c>
      <c r="C33" s="883"/>
      <c r="D33" s="883"/>
      <c r="E33" s="883">
        <f>HLOOKUP($B$2,'Consumption Input'!$E$5:$AQ$82,'Consumption Input'!$B38)</f>
        <v>113.421924</v>
      </c>
      <c r="F33" s="883"/>
      <c r="G33" s="883"/>
      <c r="H33" s="883">
        <f>HLOOKUP($B$2,'US Territories'!$D$28:$Z$38,'US Territories'!$B38)</f>
        <v>108.32142178258211</v>
      </c>
      <c r="I33" s="883">
        <f t="shared" si="36"/>
        <v>221.74334578258211</v>
      </c>
      <c r="J33" s="961"/>
      <c r="K33" s="940">
        <f>HLOOKUP($B$2,NEUConsumption,'Non-Energy Use'!C22)</f>
        <v>113.421924</v>
      </c>
      <c r="L33" s="940"/>
      <c r="M33" s="940">
        <f>HLOOKUP($B$2,NEUConsumption,'Non-Energy Use'!$C$27)</f>
        <v>108.32142178258211</v>
      </c>
      <c r="N33" s="885">
        <f t="shared" si="43"/>
        <v>0</v>
      </c>
      <c r="O33" s="883">
        <f t="shared" si="44"/>
        <v>0</v>
      </c>
      <c r="P33" s="883">
        <f t="shared" si="45"/>
        <v>0</v>
      </c>
      <c r="Q33" s="883">
        <f t="shared" si="46"/>
        <v>0</v>
      </c>
      <c r="R33" s="883">
        <f t="shared" si="47"/>
        <v>0</v>
      </c>
      <c r="S33" s="886">
        <f t="shared" si="48"/>
        <v>0</v>
      </c>
      <c r="T33" s="883">
        <f t="shared" si="7"/>
        <v>0</v>
      </c>
      <c r="U33" s="887">
        <f>HLOOKUP($B$2,Factors!$J$12:$Y$25,Factors!$H23)</f>
        <v>0</v>
      </c>
      <c r="V33" s="885">
        <f t="shared" si="49"/>
        <v>0</v>
      </c>
      <c r="W33" s="883">
        <f t="shared" si="50"/>
        <v>0</v>
      </c>
      <c r="X33" s="883">
        <f t="shared" si="51"/>
        <v>0</v>
      </c>
      <c r="Y33" s="883">
        <f t="shared" si="52"/>
        <v>0</v>
      </c>
      <c r="Z33" s="883">
        <f t="shared" si="53"/>
        <v>0</v>
      </c>
      <c r="AA33" s="883">
        <f t="shared" si="54"/>
        <v>0</v>
      </c>
      <c r="AB33" s="883">
        <f t="shared" si="37"/>
        <v>0</v>
      </c>
      <c r="AC33" s="888">
        <f>Factors!E42</f>
        <v>1</v>
      </c>
      <c r="AD33" s="885">
        <f t="shared" si="55"/>
        <v>0</v>
      </c>
      <c r="AE33" s="883">
        <f t="shared" si="56"/>
        <v>0</v>
      </c>
      <c r="AF33" s="883">
        <f t="shared" si="57"/>
        <v>0</v>
      </c>
      <c r="AG33" s="883">
        <f t="shared" si="58"/>
        <v>0</v>
      </c>
      <c r="AH33" s="883">
        <f t="shared" si="59"/>
        <v>0</v>
      </c>
      <c r="AI33" s="883">
        <f t="shared" si="60"/>
        <v>0</v>
      </c>
      <c r="AJ33" s="889">
        <f t="shared" si="9"/>
        <v>0</v>
      </c>
      <c r="AK33" s="885">
        <f t="shared" si="30"/>
        <v>0</v>
      </c>
      <c r="AL33" s="883">
        <f t="shared" si="31"/>
        <v>0</v>
      </c>
      <c r="AM33" s="883">
        <f t="shared" si="32"/>
        <v>0</v>
      </c>
      <c r="AN33" s="883">
        <f t="shared" si="33"/>
        <v>0</v>
      </c>
      <c r="AO33" s="883">
        <f t="shared" si="34"/>
        <v>0</v>
      </c>
      <c r="AP33" s="883">
        <f t="shared" si="35"/>
        <v>0</v>
      </c>
      <c r="AQ33" s="890">
        <f t="shared" si="38"/>
        <v>0</v>
      </c>
    </row>
    <row r="34" spans="1:43">
      <c r="A34" s="817"/>
      <c r="B34" s="865" t="s">
        <v>1615</v>
      </c>
      <c r="C34" s="883"/>
      <c r="D34" s="883"/>
      <c r="E34" s="883">
        <f>HLOOKUP($B$2,'Consumption Input'!$E$5:$AQ$82,'Consumption Input'!$B39)</f>
        <v>749.43014400000004</v>
      </c>
      <c r="F34" s="883"/>
      <c r="G34" s="883"/>
      <c r="H34" s="883"/>
      <c r="I34" s="883">
        <f t="shared" si="36"/>
        <v>749.43014400000004</v>
      </c>
      <c r="J34" s="961"/>
      <c r="K34" s="940">
        <f>HLOOKUP($B$2,NEUConsumption,'Non-Energy Use'!C14)</f>
        <v>749.43014400000004</v>
      </c>
      <c r="L34" s="940"/>
      <c r="M34" s="940"/>
      <c r="N34" s="885">
        <f t="shared" si="43"/>
        <v>0</v>
      </c>
      <c r="O34" s="883">
        <f t="shared" si="44"/>
        <v>0</v>
      </c>
      <c r="P34" s="883">
        <f t="shared" si="45"/>
        <v>0</v>
      </c>
      <c r="Q34" s="883">
        <f t="shared" si="46"/>
        <v>0</v>
      </c>
      <c r="R34" s="883">
        <f t="shared" si="47"/>
        <v>0</v>
      </c>
      <c r="S34" s="886">
        <f t="shared" si="48"/>
        <v>0</v>
      </c>
      <c r="T34" s="883">
        <f t="shared" si="7"/>
        <v>0</v>
      </c>
      <c r="U34" s="887">
        <f>Factors!D44</f>
        <v>18.550649350649344</v>
      </c>
      <c r="V34" s="885">
        <f t="shared" si="49"/>
        <v>0</v>
      </c>
      <c r="W34" s="883">
        <f t="shared" si="50"/>
        <v>0</v>
      </c>
      <c r="X34" s="883">
        <f t="shared" si="51"/>
        <v>0</v>
      </c>
      <c r="Y34" s="883">
        <f t="shared" si="52"/>
        <v>0</v>
      </c>
      <c r="Z34" s="883">
        <f t="shared" si="53"/>
        <v>0</v>
      </c>
      <c r="AA34" s="883">
        <f t="shared" si="54"/>
        <v>0</v>
      </c>
      <c r="AB34" s="883">
        <f t="shared" si="37"/>
        <v>0</v>
      </c>
      <c r="AC34" s="888">
        <f>Factors!E44</f>
        <v>1</v>
      </c>
      <c r="AD34" s="885">
        <f t="shared" si="55"/>
        <v>0</v>
      </c>
      <c r="AE34" s="883">
        <f t="shared" si="56"/>
        <v>0</v>
      </c>
      <c r="AF34" s="883">
        <f t="shared" si="57"/>
        <v>0</v>
      </c>
      <c r="AG34" s="883">
        <f t="shared" si="58"/>
        <v>0</v>
      </c>
      <c r="AH34" s="883">
        <f t="shared" si="59"/>
        <v>0</v>
      </c>
      <c r="AI34" s="883">
        <f t="shared" si="60"/>
        <v>0</v>
      </c>
      <c r="AJ34" s="889">
        <f t="shared" si="9"/>
        <v>0</v>
      </c>
      <c r="AK34" s="885">
        <f t="shared" si="30"/>
        <v>0</v>
      </c>
      <c r="AL34" s="883">
        <f t="shared" si="31"/>
        <v>0</v>
      </c>
      <c r="AM34" s="883">
        <f t="shared" si="32"/>
        <v>0</v>
      </c>
      <c r="AN34" s="883">
        <f t="shared" si="33"/>
        <v>0</v>
      </c>
      <c r="AO34" s="883">
        <f t="shared" si="34"/>
        <v>0</v>
      </c>
      <c r="AP34" s="883">
        <f t="shared" si="35"/>
        <v>0</v>
      </c>
      <c r="AQ34" s="890">
        <f t="shared" si="38"/>
        <v>0</v>
      </c>
    </row>
    <row r="35" spans="1:43">
      <c r="A35" s="817"/>
      <c r="B35" s="865" t="s">
        <v>1616</v>
      </c>
      <c r="C35" s="883"/>
      <c r="D35" s="883"/>
      <c r="E35" s="940">
        <f>HLOOKUP($B$2,'Consumption Input'!$E$5:$AQ$82,'Consumption Input'!$B40)</f>
        <v>779.48985000000005</v>
      </c>
      <c r="F35" s="883"/>
      <c r="G35" s="883"/>
      <c r="H35" s="883"/>
      <c r="I35" s="883">
        <f t="shared" si="36"/>
        <v>779.48985000000005</v>
      </c>
      <c r="J35" s="961"/>
      <c r="K35" s="940">
        <f>HLOOKUP($B$2,NEUConsumption,'Non-Energy Use'!$C$15)</f>
        <v>779.48985000000005</v>
      </c>
      <c r="L35" s="940"/>
      <c r="M35" s="940"/>
      <c r="N35" s="885">
        <f t="shared" si="43"/>
        <v>0</v>
      </c>
      <c r="O35" s="883">
        <f t="shared" si="44"/>
        <v>0</v>
      </c>
      <c r="P35" s="883">
        <f t="shared" si="45"/>
        <v>0</v>
      </c>
      <c r="Q35" s="883">
        <f t="shared" si="46"/>
        <v>0</v>
      </c>
      <c r="R35" s="883">
        <f t="shared" si="47"/>
        <v>0</v>
      </c>
      <c r="S35" s="886">
        <f t="shared" si="48"/>
        <v>0</v>
      </c>
      <c r="T35" s="883">
        <f t="shared" si="7"/>
        <v>0</v>
      </c>
      <c r="U35" s="887">
        <f>Factors!D45</f>
        <v>20.170000000000002</v>
      </c>
      <c r="V35" s="885">
        <f t="shared" si="49"/>
        <v>0</v>
      </c>
      <c r="W35" s="883">
        <f t="shared" si="50"/>
        <v>0</v>
      </c>
      <c r="X35" s="883">
        <f t="shared" si="51"/>
        <v>0</v>
      </c>
      <c r="Y35" s="883">
        <f t="shared" si="52"/>
        <v>0</v>
      </c>
      <c r="Z35" s="883">
        <f t="shared" si="53"/>
        <v>0</v>
      </c>
      <c r="AA35" s="883">
        <f t="shared" si="54"/>
        <v>0</v>
      </c>
      <c r="AB35" s="883">
        <f t="shared" si="37"/>
        <v>0</v>
      </c>
      <c r="AC35" s="888">
        <f>Factors!E45</f>
        <v>1</v>
      </c>
      <c r="AD35" s="885">
        <f t="shared" si="55"/>
        <v>0</v>
      </c>
      <c r="AE35" s="883">
        <f t="shared" si="56"/>
        <v>0</v>
      </c>
      <c r="AF35" s="883">
        <f t="shared" si="57"/>
        <v>0</v>
      </c>
      <c r="AG35" s="883">
        <f t="shared" si="58"/>
        <v>0</v>
      </c>
      <c r="AH35" s="883">
        <f t="shared" si="59"/>
        <v>0</v>
      </c>
      <c r="AI35" s="883">
        <f t="shared" si="60"/>
        <v>0</v>
      </c>
      <c r="AJ35" s="889">
        <f t="shared" si="9"/>
        <v>0</v>
      </c>
      <c r="AK35" s="885">
        <f t="shared" si="30"/>
        <v>0</v>
      </c>
      <c r="AL35" s="883">
        <f t="shared" si="31"/>
        <v>0</v>
      </c>
      <c r="AM35" s="883">
        <f t="shared" si="32"/>
        <v>0</v>
      </c>
      <c r="AN35" s="883">
        <f t="shared" si="33"/>
        <v>0</v>
      </c>
      <c r="AO35" s="883">
        <f t="shared" si="34"/>
        <v>0</v>
      </c>
      <c r="AP35" s="883">
        <f t="shared" si="35"/>
        <v>0</v>
      </c>
      <c r="AQ35" s="890">
        <f t="shared" si="38"/>
        <v>0</v>
      </c>
    </row>
    <row r="36" spans="1:43">
      <c r="A36" s="817"/>
      <c r="B36" s="865" t="s">
        <v>1617</v>
      </c>
      <c r="C36" s="883"/>
      <c r="D36" s="883"/>
      <c r="E36" s="883">
        <f>HLOOKUP($B$2,'Consumption Input'!$E$5:$AQ$82,'Consumption Input'!$B41)</f>
        <v>0</v>
      </c>
      <c r="F36" s="883"/>
      <c r="G36" s="883"/>
      <c r="H36" s="883"/>
      <c r="I36" s="883">
        <f t="shared" si="36"/>
        <v>0</v>
      </c>
      <c r="J36" s="961"/>
      <c r="K36" s="940">
        <f>HLOOKUP($B$2,NEUConsumption,'Non-Energy Use'!$C$13)</f>
        <v>0</v>
      </c>
      <c r="L36" s="940"/>
      <c r="M36" s="940"/>
      <c r="N36" s="885">
        <f t="shared" si="43"/>
        <v>0</v>
      </c>
      <c r="O36" s="883">
        <f t="shared" si="44"/>
        <v>0</v>
      </c>
      <c r="P36" s="883">
        <f t="shared" si="45"/>
        <v>0</v>
      </c>
      <c r="Q36" s="883">
        <f t="shared" si="46"/>
        <v>0</v>
      </c>
      <c r="R36" s="883">
        <f t="shared" si="47"/>
        <v>0</v>
      </c>
      <c r="S36" s="886">
        <f t="shared" si="48"/>
        <v>0</v>
      </c>
      <c r="T36" s="883">
        <f t="shared" si="7"/>
        <v>0</v>
      </c>
      <c r="U36" s="887">
        <f>Factors!D46</f>
        <v>18.239999999999998</v>
      </c>
      <c r="V36" s="885">
        <f t="shared" si="49"/>
        <v>0</v>
      </c>
      <c r="W36" s="883">
        <f t="shared" si="50"/>
        <v>0</v>
      </c>
      <c r="X36" s="883">
        <f t="shared" si="51"/>
        <v>0</v>
      </c>
      <c r="Y36" s="883">
        <f t="shared" si="52"/>
        <v>0</v>
      </c>
      <c r="Z36" s="883">
        <f t="shared" si="53"/>
        <v>0</v>
      </c>
      <c r="AA36" s="883">
        <f t="shared" si="54"/>
        <v>0</v>
      </c>
      <c r="AB36" s="883">
        <f t="shared" si="37"/>
        <v>0</v>
      </c>
      <c r="AC36" s="888">
        <f>Factors!E46</f>
        <v>1</v>
      </c>
      <c r="AD36" s="885">
        <f t="shared" si="55"/>
        <v>0</v>
      </c>
      <c r="AE36" s="883">
        <f t="shared" si="56"/>
        <v>0</v>
      </c>
      <c r="AF36" s="883">
        <f t="shared" si="57"/>
        <v>0</v>
      </c>
      <c r="AG36" s="883">
        <f t="shared" si="58"/>
        <v>0</v>
      </c>
      <c r="AH36" s="883">
        <f t="shared" si="59"/>
        <v>0</v>
      </c>
      <c r="AI36" s="883">
        <f t="shared" si="60"/>
        <v>0</v>
      </c>
      <c r="AJ36" s="889">
        <f t="shared" si="9"/>
        <v>0</v>
      </c>
      <c r="AK36" s="885">
        <f t="shared" si="30"/>
        <v>0</v>
      </c>
      <c r="AL36" s="883">
        <f t="shared" si="31"/>
        <v>0</v>
      </c>
      <c r="AM36" s="883">
        <f t="shared" si="32"/>
        <v>0</v>
      </c>
      <c r="AN36" s="883">
        <f t="shared" si="33"/>
        <v>0</v>
      </c>
      <c r="AO36" s="883">
        <f t="shared" si="34"/>
        <v>0</v>
      </c>
      <c r="AP36" s="883">
        <f t="shared" si="35"/>
        <v>0</v>
      </c>
      <c r="AQ36" s="890">
        <f t="shared" si="38"/>
        <v>0</v>
      </c>
    </row>
    <row r="37" spans="1:43">
      <c r="A37" s="817"/>
      <c r="B37" s="865" t="s">
        <v>1604</v>
      </c>
      <c r="C37" s="883"/>
      <c r="D37" s="883">
        <f>HLOOKUP($B$2,'Consumption Input'!$E$5:$AQ$82,'Consumption Input'!$B21)</f>
        <v>0.26300000000000001</v>
      </c>
      <c r="E37" s="883">
        <f>HLOOKUP($B$2,'Consumption Input'!$E$5:$AQ$82,'Consumption Input'!$B42)</f>
        <v>936.76400000000001</v>
      </c>
      <c r="F37" s="883"/>
      <c r="G37" s="883">
        <f>HLOOKUP($B$2,'Consumption Input'!$E$5:$AQ$82,'Consumption Input'!$B63)</f>
        <v>210.81100000000001</v>
      </c>
      <c r="H37" s="883"/>
      <c r="I37" s="883">
        <f t="shared" si="36"/>
        <v>1147.838</v>
      </c>
      <c r="J37" s="961"/>
      <c r="K37" s="940">
        <f>HLOOKUP($B$2,NEUConsumption,'Non-Energy Use'!$C$17)</f>
        <v>218.28935787510309</v>
      </c>
      <c r="L37" s="940"/>
      <c r="M37" s="940"/>
      <c r="N37" s="885">
        <f t="shared" si="43"/>
        <v>0</v>
      </c>
      <c r="O37" s="883">
        <f t="shared" si="44"/>
        <v>0.26300000000000001</v>
      </c>
      <c r="P37" s="883">
        <f t="shared" si="45"/>
        <v>718.47464212489695</v>
      </c>
      <c r="Q37" s="883">
        <f t="shared" si="46"/>
        <v>0</v>
      </c>
      <c r="R37" s="883">
        <f t="shared" si="47"/>
        <v>210.81100000000001</v>
      </c>
      <c r="S37" s="886">
        <f t="shared" si="48"/>
        <v>0</v>
      </c>
      <c r="T37" s="883">
        <f t="shared" si="7"/>
        <v>929.54864212489701</v>
      </c>
      <c r="U37" s="887">
        <f>Factors!D48</f>
        <v>27.84770010865628</v>
      </c>
      <c r="V37" s="885">
        <f t="shared" si="49"/>
        <v>0</v>
      </c>
      <c r="W37" s="883">
        <f t="shared" si="50"/>
        <v>7.3239451285766017E-3</v>
      </c>
      <c r="X37" s="883">
        <f t="shared" si="51"/>
        <v>20.007866369568273</v>
      </c>
      <c r="Y37" s="883">
        <f t="shared" si="52"/>
        <v>0</v>
      </c>
      <c r="Z37" s="883">
        <f t="shared" si="53"/>
        <v>5.8706015076059392</v>
      </c>
      <c r="AA37" s="883">
        <f t="shared" si="54"/>
        <v>0</v>
      </c>
      <c r="AB37" s="883">
        <f t="shared" si="37"/>
        <v>25.885791822302789</v>
      </c>
      <c r="AC37" s="888">
        <f>Factors!E48</f>
        <v>1</v>
      </c>
      <c r="AD37" s="885">
        <f t="shared" si="55"/>
        <v>0</v>
      </c>
      <c r="AE37" s="883">
        <f t="shared" si="56"/>
        <v>7.3239451285766017E-3</v>
      </c>
      <c r="AF37" s="883">
        <f t="shared" si="57"/>
        <v>20.007866369568273</v>
      </c>
      <c r="AG37" s="883">
        <f t="shared" si="58"/>
        <v>0</v>
      </c>
      <c r="AH37" s="883">
        <f t="shared" si="59"/>
        <v>5.8706015076059392</v>
      </c>
      <c r="AI37" s="883">
        <f t="shared" si="60"/>
        <v>0</v>
      </c>
      <c r="AJ37" s="889">
        <f t="shared" si="9"/>
        <v>25.885791822302789</v>
      </c>
      <c r="AK37" s="885">
        <f t="shared" si="30"/>
        <v>0</v>
      </c>
      <c r="AL37" s="883">
        <f t="shared" si="31"/>
        <v>2.6854465471447538E-2</v>
      </c>
      <c r="AM37" s="883">
        <f t="shared" si="32"/>
        <v>73.362176688416994</v>
      </c>
      <c r="AN37" s="883">
        <f t="shared" si="33"/>
        <v>0</v>
      </c>
      <c r="AO37" s="883">
        <f t="shared" si="34"/>
        <v>21.525538861221776</v>
      </c>
      <c r="AP37" s="883">
        <f t="shared" si="35"/>
        <v>0</v>
      </c>
      <c r="AQ37" s="890">
        <f t="shared" si="38"/>
        <v>94.914570015110215</v>
      </c>
    </row>
    <row r="38" spans="1:43">
      <c r="A38" s="817"/>
      <c r="B38" s="865" t="s">
        <v>1618</v>
      </c>
      <c r="C38" s="883"/>
      <c r="D38" s="883"/>
      <c r="E38" s="883">
        <f>HLOOKUP($B$2,'Consumption Input'!$E$5:$AQ$82,'Consumption Input'!$B43)</f>
        <v>1546.134</v>
      </c>
      <c r="F38" s="883"/>
      <c r="G38" s="883"/>
      <c r="H38" s="883"/>
      <c r="I38" s="883">
        <f t="shared" si="36"/>
        <v>1546.134</v>
      </c>
      <c r="J38" s="961"/>
      <c r="K38" s="940">
        <f>HLOOKUP($B$2,NEUConsumption,'Non-Energy Use'!$C$16)</f>
        <v>62.856000000000094</v>
      </c>
      <c r="L38" s="940"/>
      <c r="M38" s="940"/>
      <c r="N38" s="885">
        <f t="shared" si="43"/>
        <v>0</v>
      </c>
      <c r="O38" s="883">
        <f t="shared" si="44"/>
        <v>0</v>
      </c>
      <c r="P38" s="883">
        <f t="shared" si="45"/>
        <v>1483.278</v>
      </c>
      <c r="Q38" s="883">
        <f t="shared" si="46"/>
        <v>0</v>
      </c>
      <c r="R38" s="883">
        <f t="shared" si="47"/>
        <v>0</v>
      </c>
      <c r="S38" s="886">
        <f t="shared" si="48"/>
        <v>0</v>
      </c>
      <c r="T38" s="883">
        <f t="shared" si="7"/>
        <v>1483.278</v>
      </c>
      <c r="U38" s="887">
        <f>Factors!D51</f>
        <v>18.195454545454545</v>
      </c>
      <c r="V38" s="885">
        <f t="shared" si="49"/>
        <v>0</v>
      </c>
      <c r="W38" s="883">
        <f t="shared" si="50"/>
        <v>0</v>
      </c>
      <c r="X38" s="883">
        <f t="shared" si="51"/>
        <v>26.988917427272728</v>
      </c>
      <c r="Y38" s="883">
        <f t="shared" si="52"/>
        <v>0</v>
      </c>
      <c r="Z38" s="883">
        <f t="shared" si="53"/>
        <v>0</v>
      </c>
      <c r="AA38" s="883">
        <f t="shared" si="54"/>
        <v>0</v>
      </c>
      <c r="AB38" s="883">
        <f t="shared" si="37"/>
        <v>26.988917427272728</v>
      </c>
      <c r="AC38" s="888">
        <f>Factors!E51</f>
        <v>1</v>
      </c>
      <c r="AD38" s="885">
        <f t="shared" si="55"/>
        <v>0</v>
      </c>
      <c r="AE38" s="883">
        <f t="shared" si="56"/>
        <v>0</v>
      </c>
      <c r="AF38" s="883">
        <f t="shared" si="57"/>
        <v>26.988917427272728</v>
      </c>
      <c r="AG38" s="883">
        <f t="shared" si="58"/>
        <v>0</v>
      </c>
      <c r="AH38" s="883">
        <f t="shared" si="59"/>
        <v>0</v>
      </c>
      <c r="AI38" s="883">
        <f t="shared" si="60"/>
        <v>0</v>
      </c>
      <c r="AJ38" s="889">
        <f t="shared" si="9"/>
        <v>26.988917427272728</v>
      </c>
      <c r="AK38" s="885">
        <f t="shared" si="30"/>
        <v>0</v>
      </c>
      <c r="AL38" s="883">
        <f t="shared" si="31"/>
        <v>0</v>
      </c>
      <c r="AM38" s="883">
        <f t="shared" si="32"/>
        <v>98.9593639</v>
      </c>
      <c r="AN38" s="883">
        <f t="shared" si="33"/>
        <v>0</v>
      </c>
      <c r="AO38" s="883">
        <f t="shared" si="34"/>
        <v>0</v>
      </c>
      <c r="AP38" s="883">
        <f t="shared" si="35"/>
        <v>0</v>
      </c>
      <c r="AQ38" s="890">
        <f t="shared" si="38"/>
        <v>98.9593639</v>
      </c>
    </row>
    <row r="39" spans="1:43">
      <c r="A39" s="817"/>
      <c r="B39" s="865" t="s">
        <v>1619</v>
      </c>
      <c r="C39" s="883"/>
      <c r="D39" s="883"/>
      <c r="E39" s="883">
        <f>HLOOKUP($B$2,'Consumption Input'!$E$5:$AQ$82,'Consumption Input'!$B44)</f>
        <v>51.042048000000001</v>
      </c>
      <c r="F39" s="883"/>
      <c r="G39" s="883"/>
      <c r="H39" s="883"/>
      <c r="I39" s="883">
        <f t="shared" si="36"/>
        <v>51.042048000000001</v>
      </c>
      <c r="J39" s="961"/>
      <c r="K39" s="940">
        <f>HLOOKUP($B$2,NEUConsumption,'Non-Energy Use'!$C$18)</f>
        <v>51.042048000000001</v>
      </c>
      <c r="L39" s="940"/>
      <c r="M39" s="940"/>
      <c r="N39" s="885">
        <f t="shared" si="43"/>
        <v>0</v>
      </c>
      <c r="O39" s="883">
        <f t="shared" si="44"/>
        <v>0</v>
      </c>
      <c r="P39" s="883">
        <f t="shared" si="45"/>
        <v>0</v>
      </c>
      <c r="Q39" s="883">
        <f t="shared" si="46"/>
        <v>0</v>
      </c>
      <c r="R39" s="883">
        <f t="shared" si="47"/>
        <v>0</v>
      </c>
      <c r="S39" s="886">
        <f t="shared" si="48"/>
        <v>0</v>
      </c>
      <c r="T39" s="883">
        <f t="shared" si="7"/>
        <v>0</v>
      </c>
      <c r="U39" s="887">
        <f>Factors!D37</f>
        <v>19.737389135254986</v>
      </c>
      <c r="V39" s="885">
        <f t="shared" si="49"/>
        <v>0</v>
      </c>
      <c r="W39" s="883">
        <f t="shared" si="50"/>
        <v>0</v>
      </c>
      <c r="X39" s="883">
        <f t="shared" si="51"/>
        <v>0</v>
      </c>
      <c r="Y39" s="883">
        <f t="shared" si="52"/>
        <v>0</v>
      </c>
      <c r="Z39" s="883">
        <f t="shared" si="53"/>
        <v>0</v>
      </c>
      <c r="AA39" s="883">
        <f t="shared" si="54"/>
        <v>0</v>
      </c>
      <c r="AB39" s="883">
        <f t="shared" si="37"/>
        <v>0</v>
      </c>
      <c r="AC39" s="888">
        <f>Factors!E37</f>
        <v>1</v>
      </c>
      <c r="AD39" s="885">
        <f t="shared" si="55"/>
        <v>0</v>
      </c>
      <c r="AE39" s="883">
        <f t="shared" si="56"/>
        <v>0</v>
      </c>
      <c r="AF39" s="883">
        <f t="shared" si="57"/>
        <v>0</v>
      </c>
      <c r="AG39" s="883">
        <f t="shared" si="58"/>
        <v>0</v>
      </c>
      <c r="AH39" s="883">
        <f t="shared" si="59"/>
        <v>0</v>
      </c>
      <c r="AI39" s="883">
        <f t="shared" si="60"/>
        <v>0</v>
      </c>
      <c r="AJ39" s="889">
        <f t="shared" si="9"/>
        <v>0</v>
      </c>
      <c r="AK39" s="885">
        <f t="shared" si="30"/>
        <v>0</v>
      </c>
      <c r="AL39" s="883">
        <f t="shared" si="31"/>
        <v>0</v>
      </c>
      <c r="AM39" s="883">
        <f t="shared" si="32"/>
        <v>0</v>
      </c>
      <c r="AN39" s="883">
        <f t="shared" si="33"/>
        <v>0</v>
      </c>
      <c r="AO39" s="883">
        <f t="shared" si="34"/>
        <v>0</v>
      </c>
      <c r="AP39" s="883">
        <f t="shared" si="35"/>
        <v>0</v>
      </c>
      <c r="AQ39" s="890">
        <f t="shared" si="38"/>
        <v>0</v>
      </c>
    </row>
    <row r="40" spans="1:43">
      <c r="A40" s="817"/>
      <c r="B40" s="865" t="s">
        <v>1620</v>
      </c>
      <c r="C40" s="883"/>
      <c r="D40" s="883"/>
      <c r="E40" s="883">
        <f>HLOOKUP($B$2,'Consumption Input'!$E$5:$AQ$82,'Consumption Input'!$B45)</f>
        <v>0</v>
      </c>
      <c r="F40" s="883"/>
      <c r="G40" s="883"/>
      <c r="H40" s="883"/>
      <c r="I40" s="883">
        <f t="shared" si="36"/>
        <v>0</v>
      </c>
      <c r="J40" s="961"/>
      <c r="K40" s="940"/>
      <c r="L40" s="940"/>
      <c r="M40" s="940"/>
      <c r="N40" s="885">
        <f t="shared" si="43"/>
        <v>0</v>
      </c>
      <c r="O40" s="883">
        <f t="shared" si="44"/>
        <v>0</v>
      </c>
      <c r="P40" s="883">
        <f t="shared" si="45"/>
        <v>0</v>
      </c>
      <c r="Q40" s="883">
        <f t="shared" si="46"/>
        <v>0</v>
      </c>
      <c r="R40" s="883">
        <f t="shared" si="47"/>
        <v>0</v>
      </c>
      <c r="S40" s="886">
        <f t="shared" si="48"/>
        <v>0</v>
      </c>
      <c r="T40" s="883">
        <f t="shared" si="7"/>
        <v>0</v>
      </c>
      <c r="U40" s="887">
        <f>HLOOKUP($B$2,Factors!$J$12:$Y$25,Factors!$H24)</f>
        <v>20.313283936551723</v>
      </c>
      <c r="V40" s="885">
        <f t="shared" si="49"/>
        <v>0</v>
      </c>
      <c r="W40" s="883">
        <f t="shared" si="50"/>
        <v>0</v>
      </c>
      <c r="X40" s="883">
        <f t="shared" si="51"/>
        <v>0</v>
      </c>
      <c r="Y40" s="883">
        <f t="shared" si="52"/>
        <v>0</v>
      </c>
      <c r="Z40" s="883">
        <f t="shared" si="53"/>
        <v>0</v>
      </c>
      <c r="AA40" s="883">
        <f t="shared" si="54"/>
        <v>0</v>
      </c>
      <c r="AB40" s="883">
        <f t="shared" si="37"/>
        <v>0</v>
      </c>
      <c r="AC40" s="888">
        <f>Factors!E53</f>
        <v>1</v>
      </c>
      <c r="AD40" s="885">
        <f t="shared" si="55"/>
        <v>0</v>
      </c>
      <c r="AE40" s="883">
        <f t="shared" si="56"/>
        <v>0</v>
      </c>
      <c r="AF40" s="883">
        <f t="shared" si="57"/>
        <v>0</v>
      </c>
      <c r="AG40" s="883">
        <f t="shared" si="58"/>
        <v>0</v>
      </c>
      <c r="AH40" s="883">
        <f t="shared" si="59"/>
        <v>0</v>
      </c>
      <c r="AI40" s="883">
        <f t="shared" si="60"/>
        <v>0</v>
      </c>
      <c r="AJ40" s="889">
        <f t="shared" si="9"/>
        <v>0</v>
      </c>
      <c r="AK40" s="885">
        <f t="shared" si="30"/>
        <v>0</v>
      </c>
      <c r="AL40" s="883">
        <f t="shared" si="31"/>
        <v>0</v>
      </c>
      <c r="AM40" s="883">
        <f t="shared" si="32"/>
        <v>0</v>
      </c>
      <c r="AN40" s="883">
        <f t="shared" si="33"/>
        <v>0</v>
      </c>
      <c r="AO40" s="883">
        <f t="shared" si="34"/>
        <v>0</v>
      </c>
      <c r="AP40" s="883">
        <f t="shared" si="35"/>
        <v>0</v>
      </c>
      <c r="AQ40" s="890">
        <f t="shared" si="38"/>
        <v>0</v>
      </c>
    </row>
    <row r="41" spans="1:43">
      <c r="A41" s="817"/>
      <c r="B41" s="865" t="s">
        <v>1621</v>
      </c>
      <c r="C41" s="883"/>
      <c r="D41" s="883"/>
      <c r="E41" s="883">
        <f>HLOOKUP($B$2,'Consumption Input'!$E$5:$AQ$82,'Consumption Input'!$B46)</f>
        <v>30.769109</v>
      </c>
      <c r="F41" s="883"/>
      <c r="G41" s="883"/>
      <c r="H41" s="883"/>
      <c r="I41" s="883">
        <f t="shared" si="36"/>
        <v>30.769109</v>
      </c>
      <c r="J41" s="961"/>
      <c r="K41" s="940">
        <f>HLOOKUP($B$2,NEUConsumption,'Non-Energy Use'!$C$21)</f>
        <v>30.769109</v>
      </c>
      <c r="L41" s="940"/>
      <c r="M41" s="940"/>
      <c r="N41" s="885">
        <f t="shared" si="43"/>
        <v>0</v>
      </c>
      <c r="O41" s="883">
        <f t="shared" si="44"/>
        <v>0</v>
      </c>
      <c r="P41" s="883">
        <f t="shared" si="45"/>
        <v>0</v>
      </c>
      <c r="Q41" s="883">
        <f t="shared" si="46"/>
        <v>0</v>
      </c>
      <c r="R41" s="883">
        <f t="shared" si="47"/>
        <v>0</v>
      </c>
      <c r="S41" s="886">
        <f t="shared" si="48"/>
        <v>0</v>
      </c>
      <c r="T41" s="883">
        <f t="shared" si="7"/>
        <v>0</v>
      </c>
      <c r="U41" s="887">
        <f>Factors!D55</f>
        <v>19.795754182606267</v>
      </c>
      <c r="V41" s="899">
        <f t="shared" si="49"/>
        <v>0</v>
      </c>
      <c r="W41" s="900">
        <f t="shared" si="50"/>
        <v>0</v>
      </c>
      <c r="X41" s="900">
        <f t="shared" si="51"/>
        <v>0</v>
      </c>
      <c r="Y41" s="900">
        <f t="shared" si="52"/>
        <v>0</v>
      </c>
      <c r="Z41" s="900">
        <f t="shared" si="53"/>
        <v>0</v>
      </c>
      <c r="AA41" s="900">
        <f t="shared" si="54"/>
        <v>0</v>
      </c>
      <c r="AB41" s="883">
        <f t="shared" si="37"/>
        <v>0</v>
      </c>
      <c r="AC41" s="888">
        <f>Factors!E55</f>
        <v>1</v>
      </c>
      <c r="AD41" s="885">
        <f t="shared" si="55"/>
        <v>0</v>
      </c>
      <c r="AE41" s="883">
        <f t="shared" si="56"/>
        <v>0</v>
      </c>
      <c r="AF41" s="883">
        <f t="shared" si="57"/>
        <v>0</v>
      </c>
      <c r="AG41" s="883">
        <f t="shared" si="58"/>
        <v>0</v>
      </c>
      <c r="AH41" s="883">
        <f t="shared" si="59"/>
        <v>0</v>
      </c>
      <c r="AI41" s="883">
        <f t="shared" si="60"/>
        <v>0</v>
      </c>
      <c r="AJ41" s="889">
        <f t="shared" si="9"/>
        <v>0</v>
      </c>
      <c r="AK41" s="885">
        <f t="shared" si="30"/>
        <v>0</v>
      </c>
      <c r="AL41" s="883">
        <f t="shared" si="31"/>
        <v>0</v>
      </c>
      <c r="AM41" s="883">
        <f t="shared" si="32"/>
        <v>0</v>
      </c>
      <c r="AN41" s="883">
        <f t="shared" si="33"/>
        <v>0</v>
      </c>
      <c r="AO41" s="883">
        <f t="shared" si="34"/>
        <v>0</v>
      </c>
      <c r="AP41" s="883">
        <f t="shared" si="35"/>
        <v>0</v>
      </c>
      <c r="AQ41" s="890">
        <f t="shared" si="38"/>
        <v>0</v>
      </c>
    </row>
    <row r="42" spans="1:43" ht="11.1" thickBot="1">
      <c r="A42" s="817"/>
      <c r="B42" s="866" t="s">
        <v>82</v>
      </c>
      <c r="C42" s="917"/>
      <c r="D42" s="917"/>
      <c r="E42" s="917"/>
      <c r="F42" s="917"/>
      <c r="G42" s="917">
        <f>INDEX(Geothermal!$C$6:$AE$10,MATCH("Total",Geothermal!$C$6:$C$10,0),MATCH($B$2,Geothermal!$C$6:$AE$6,0))/Factors!$J$61*Factors!$J$55/BBtuToBtu*BBtuToTBtu</f>
        <v>50.535045130479993</v>
      </c>
      <c r="H42" s="917"/>
      <c r="I42" s="917">
        <f>G42</f>
        <v>50.535045130479993</v>
      </c>
      <c r="J42" s="968"/>
      <c r="K42" s="969"/>
      <c r="L42" s="970"/>
      <c r="M42" s="971"/>
      <c r="N42" s="917">
        <f t="shared" si="43"/>
        <v>0</v>
      </c>
      <c r="O42" s="917">
        <f t="shared" si="44"/>
        <v>0</v>
      </c>
      <c r="P42" s="917">
        <f>E42</f>
        <v>0</v>
      </c>
      <c r="Q42" s="917">
        <f>F42</f>
        <v>0</v>
      </c>
      <c r="R42" s="917">
        <f t="shared" si="47"/>
        <v>50.535045130479993</v>
      </c>
      <c r="S42" s="917">
        <f>H42</f>
        <v>0</v>
      </c>
      <c r="T42" s="917">
        <f t="shared" si="7"/>
        <v>50.535045130479993</v>
      </c>
      <c r="U42" s="921">
        <f>Factors!D56</f>
        <v>2.6974658424810825</v>
      </c>
      <c r="V42" s="917"/>
      <c r="W42" s="917"/>
      <c r="X42" s="917"/>
      <c r="Y42" s="917"/>
      <c r="Z42" s="917">
        <f>INDEX(Geothermal!$C$14:$AE$18,MATCH("Total",Geothermal!$C$14:$C$18,0),MATCH($B$2,Geothermal!$C$14:$AE$14,0))/CtoCO2</f>
        <v>0.12745738729822706</v>
      </c>
      <c r="AA42" s="917"/>
      <c r="AB42" s="917">
        <f t="shared" si="37"/>
        <v>0.12745738729822706</v>
      </c>
      <c r="AC42" s="921">
        <f>Factors!$E$56</f>
        <v>1</v>
      </c>
      <c r="AD42" s="917">
        <f t="shared" si="55"/>
        <v>0</v>
      </c>
      <c r="AE42" s="917">
        <f t="shared" si="56"/>
        <v>0</v>
      </c>
      <c r="AF42" s="917">
        <f t="shared" si="57"/>
        <v>0</v>
      </c>
      <c r="AG42" s="917">
        <f t="shared" si="58"/>
        <v>0</v>
      </c>
      <c r="AH42" s="917">
        <f t="shared" si="59"/>
        <v>0.12745738729822706</v>
      </c>
      <c r="AI42" s="917">
        <f t="shared" si="60"/>
        <v>0</v>
      </c>
      <c r="AJ42" s="920">
        <f t="shared" si="9"/>
        <v>0.12745738729822706</v>
      </c>
      <c r="AK42" s="919">
        <f t="shared" si="30"/>
        <v>0</v>
      </c>
      <c r="AL42" s="917">
        <f t="shared" si="31"/>
        <v>0</v>
      </c>
      <c r="AM42" s="917">
        <f t="shared" si="32"/>
        <v>0</v>
      </c>
      <c r="AN42" s="917">
        <f t="shared" si="33"/>
        <v>0</v>
      </c>
      <c r="AO42" s="917">
        <f t="shared" si="34"/>
        <v>0.46734375342683254</v>
      </c>
      <c r="AP42" s="917">
        <f t="shared" si="35"/>
        <v>0</v>
      </c>
      <c r="AQ42" s="920">
        <f t="shared" si="38"/>
        <v>0.46734375342683254</v>
      </c>
    </row>
    <row r="43" spans="1:43" ht="11.1" thickBot="1">
      <c r="A43" s="817"/>
      <c r="B43" s="867" t="s">
        <v>1740</v>
      </c>
      <c r="C43" s="922">
        <f>C8+C17+C18+C42</f>
        <v>6462.6705347326579</v>
      </c>
      <c r="D43" s="922">
        <f>D8+D17+D18+D42</f>
        <v>4112.0283590578238</v>
      </c>
      <c r="E43" s="922">
        <f>E8+E17+E18+E42</f>
        <v>19356.050013529119</v>
      </c>
      <c r="F43" s="922">
        <f>F8+F17+F18+F42</f>
        <v>27367.185205455229</v>
      </c>
      <c r="G43" s="922">
        <f>G8+G17+G18+G42</f>
        <v>27151.502045130481</v>
      </c>
      <c r="H43" s="922">
        <f>H16+H17+H18+H42</f>
        <v>833.37656572112917</v>
      </c>
      <c r="I43" s="922">
        <f>SUM(C43:H43)</f>
        <v>85282.812723626455</v>
      </c>
      <c r="J43" s="972">
        <f t="shared" ref="J43:S43" si="65">J8+J17+J18+J42</f>
        <v>1495.7917561356608</v>
      </c>
      <c r="K43" s="973">
        <f t="shared" si="65"/>
        <v>5738.7305995583192</v>
      </c>
      <c r="L43" s="974">
        <f t="shared" si="65"/>
        <v>152.102</v>
      </c>
      <c r="M43" s="975">
        <f t="shared" si="65"/>
        <v>113.39347688504112</v>
      </c>
      <c r="N43" s="922">
        <f t="shared" si="65"/>
        <v>6462.6705347326579</v>
      </c>
      <c r="O43" s="922">
        <f t="shared" si="65"/>
        <v>4112.0283590578238</v>
      </c>
      <c r="P43" s="922">
        <f t="shared" si="65"/>
        <v>13617.319413970798</v>
      </c>
      <c r="Q43" s="922">
        <f t="shared" si="65"/>
        <v>25719.291449319568</v>
      </c>
      <c r="R43" s="922">
        <f t="shared" si="65"/>
        <v>27151.502045130481</v>
      </c>
      <c r="S43" s="922">
        <f t="shared" si="65"/>
        <v>719.98308883608797</v>
      </c>
      <c r="T43" s="922">
        <f t="shared" si="7"/>
        <v>77782.794891047422</v>
      </c>
      <c r="U43" s="926" t="s">
        <v>1731</v>
      </c>
      <c r="V43" s="922">
        <f t="shared" ref="V43:AA43" si="66">V8+V17+V18+V42</f>
        <v>100.62812425557138</v>
      </c>
      <c r="W43" s="922">
        <f t="shared" si="66"/>
        <v>64.889955215405152</v>
      </c>
      <c r="X43" s="922">
        <f t="shared" si="66"/>
        <v>238.19461769021822</v>
      </c>
      <c r="Y43" s="922">
        <f t="shared" si="66"/>
        <v>503.24201206752724</v>
      </c>
      <c r="Z43" s="922">
        <f t="shared" si="66"/>
        <v>636.84072595461885</v>
      </c>
      <c r="AA43" s="922">
        <f t="shared" si="66"/>
        <v>14.431361845255296</v>
      </c>
      <c r="AB43" s="922">
        <f t="shared" si="37"/>
        <v>1558.2267970285961</v>
      </c>
      <c r="AC43" s="926" t="s">
        <v>1731</v>
      </c>
      <c r="AD43" s="922">
        <f t="shared" ref="AD43:AQ43" si="67">AD8+AD17+AD18+AD42</f>
        <v>100.62812425557138</v>
      </c>
      <c r="AE43" s="922">
        <f t="shared" si="67"/>
        <v>64.889955215405152</v>
      </c>
      <c r="AF43" s="922">
        <f t="shared" si="67"/>
        <v>238.19461769021822</v>
      </c>
      <c r="AG43" s="922">
        <f t="shared" si="67"/>
        <v>503.24201206752724</v>
      </c>
      <c r="AH43" s="922">
        <f t="shared" si="67"/>
        <v>636.84072595461885</v>
      </c>
      <c r="AI43" s="922">
        <f t="shared" si="67"/>
        <v>14.431361845255296</v>
      </c>
      <c r="AJ43" s="925">
        <f t="shared" si="67"/>
        <v>1558.2267970285961</v>
      </c>
      <c r="AK43" s="922">
        <f t="shared" si="67"/>
        <v>368.96978893709502</v>
      </c>
      <c r="AL43" s="922">
        <f t="shared" si="67"/>
        <v>237.92983578981887</v>
      </c>
      <c r="AM43" s="922">
        <f t="shared" si="67"/>
        <v>873.38026486413344</v>
      </c>
      <c r="AN43" s="922">
        <f t="shared" si="67"/>
        <v>1845.2207109142666</v>
      </c>
      <c r="AO43" s="922">
        <f t="shared" si="67"/>
        <v>2335.0826618336023</v>
      </c>
      <c r="AP43" s="922">
        <f t="shared" si="67"/>
        <v>52.914993432602749</v>
      </c>
      <c r="AQ43" s="925">
        <f t="shared" si="67"/>
        <v>5713.4982557715184</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ransitionEvaluation="1" transitionEntry="1" codeName="Sheet36">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2" width="7" style="152" customWidth="1"/>
    <col min="13" max="13" width="9" style="152" customWidth="1"/>
    <col min="14" max="14" width="8.6640625" style="152" customWidth="1"/>
    <col min="15" max="15" width="9.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2005</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1756</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 t="shared" si="0"/>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14.25"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8.4350000000000005</v>
      </c>
      <c r="D8" s="876">
        <f t="shared" si="1"/>
        <v>96.998999999999995</v>
      </c>
      <c r="E8" s="876">
        <f t="shared" si="1"/>
        <v>1337.4118204856125</v>
      </c>
      <c r="F8" s="876">
        <f t="shared" si="1"/>
        <v>0</v>
      </c>
      <c r="G8" s="876">
        <f t="shared" si="1"/>
        <v>20737.241000000002</v>
      </c>
      <c r="H8" s="876">
        <f t="shared" si="1"/>
        <v>32.693452652999333</v>
      </c>
      <c r="I8" s="876">
        <f t="shared" ref="I8:I14" si="2">SUM(C8:H8)</f>
        <v>22212.780273138615</v>
      </c>
      <c r="J8" s="959"/>
      <c r="K8" s="960">
        <f>SUM(K9:K16)</f>
        <v>91.477634301710395</v>
      </c>
      <c r="L8" s="960">
        <f>SUM(L9:L16)</f>
        <v>0</v>
      </c>
      <c r="M8" s="960"/>
      <c r="N8" s="878">
        <f t="shared" ref="N8:S8" si="3">SUM(N9:N16)</f>
        <v>8.4350000000000005</v>
      </c>
      <c r="O8" s="876">
        <f t="shared" si="3"/>
        <v>96.998999999999995</v>
      </c>
      <c r="P8" s="876">
        <f t="shared" si="3"/>
        <v>1245.9341861839021</v>
      </c>
      <c r="Q8" s="876">
        <f t="shared" si="3"/>
        <v>0</v>
      </c>
      <c r="R8" s="876">
        <f t="shared" si="3"/>
        <v>20737.241000000002</v>
      </c>
      <c r="S8" s="879">
        <f t="shared" si="3"/>
        <v>32.693452652999333</v>
      </c>
      <c r="T8" s="876">
        <f t="shared" ref="T8:T43" si="4">SUM(N8:S8)</f>
        <v>22121.302638836903</v>
      </c>
      <c r="U8" s="880" t="s">
        <v>1731</v>
      </c>
      <c r="V8" s="876">
        <f>SUM(V9:V16)</f>
        <v>0.21961509124761755</v>
      </c>
      <c r="W8" s="876">
        <f>SUM(W9:W16)</f>
        <v>2.5254824227537229</v>
      </c>
      <c r="X8" s="876">
        <f>SUM(X9:X16)</f>
        <v>32.138553607575716</v>
      </c>
      <c r="Y8" s="876"/>
      <c r="Z8" s="876">
        <f>SUM(Z9:Z16)</f>
        <v>540.75582753554124</v>
      </c>
      <c r="AA8" s="876">
        <f>SUM(AA9:AA16)</f>
        <v>0.82191339969640331</v>
      </c>
      <c r="AB8" s="876">
        <f t="shared" ref="AB8:AB13" si="5">SUM(V8:AA8)</f>
        <v>576.4613920568147</v>
      </c>
      <c r="AC8" s="881" t="s">
        <v>1731</v>
      </c>
      <c r="AD8" s="878">
        <f>SUM(AD9:AD16)</f>
        <v>0.21961509124761755</v>
      </c>
      <c r="AE8" s="876">
        <f>SUM(AE9:AE16)</f>
        <v>2.5254824227537229</v>
      </c>
      <c r="AF8" s="876">
        <f>SUM(AF9:AF16)</f>
        <v>32.138553607575716</v>
      </c>
      <c r="AG8" s="876" t="s">
        <v>108</v>
      </c>
      <c r="AH8" s="876">
        <f>SUM(AH9:AH16)</f>
        <v>540.75582753554124</v>
      </c>
      <c r="AI8" s="876">
        <f>SUM(AI9:AI16)</f>
        <v>0.82191339969640331</v>
      </c>
      <c r="AJ8" s="876">
        <f t="shared" ref="AJ8:AJ42" si="6">SUM(AD8:AI8)</f>
        <v>576.4613920568147</v>
      </c>
      <c r="AK8" s="878">
        <f t="shared" ref="AK8:AP8" si="7">SUM(AK9:AK16)</f>
        <v>0.80525533457459764</v>
      </c>
      <c r="AL8" s="876">
        <f t="shared" si="7"/>
        <v>9.2601022167636504</v>
      </c>
      <c r="AM8" s="876">
        <f t="shared" si="7"/>
        <v>117.84136322777762</v>
      </c>
      <c r="AN8" s="876">
        <f t="shared" si="7"/>
        <v>0</v>
      </c>
      <c r="AO8" s="876">
        <f t="shared" si="7"/>
        <v>1982.7713676303179</v>
      </c>
      <c r="AP8" s="876">
        <f t="shared" si="7"/>
        <v>3.0136824655534786</v>
      </c>
      <c r="AQ8" s="882">
        <f t="shared" ref="AQ8:AQ14" si="8">SUM(AK8:AP8)</f>
        <v>2113.691770874987</v>
      </c>
    </row>
    <row r="9" spans="1:43">
      <c r="A9" s="817"/>
      <c r="B9" s="860" t="s">
        <v>1732</v>
      </c>
      <c r="C9" s="883">
        <f>HLOOKUP($B$2,'Consumption Input'!$E$5:$AQ$82,'Consumption Input'!$B7)</f>
        <v>8.4350000000000005</v>
      </c>
      <c r="D9" s="883"/>
      <c r="E9" s="883"/>
      <c r="F9" s="883"/>
      <c r="G9" s="883"/>
      <c r="H9" s="883"/>
      <c r="I9" s="883">
        <f t="shared" si="2"/>
        <v>8.4350000000000005</v>
      </c>
      <c r="J9" s="961"/>
      <c r="K9" s="940"/>
      <c r="L9" s="940"/>
      <c r="M9" s="940"/>
      <c r="N9" s="885">
        <f t="shared" ref="N9:N17" si="9">C9</f>
        <v>8.4350000000000005</v>
      </c>
      <c r="O9" s="883">
        <f t="shared" ref="O9:O17" si="10">D9</f>
        <v>0</v>
      </c>
      <c r="P9" s="883">
        <f t="shared" ref="P9:P17" si="11">E9-K9</f>
        <v>0</v>
      </c>
      <c r="Q9" s="883">
        <f t="shared" ref="Q9:Q17" si="12">F9</f>
        <v>0</v>
      </c>
      <c r="R9" s="883">
        <f t="shared" ref="R9:R17" si="13">G9</f>
        <v>0</v>
      </c>
      <c r="S9" s="886">
        <f t="shared" ref="S9:S17" si="14">H9</f>
        <v>0</v>
      </c>
      <c r="T9" s="883">
        <f t="shared" si="4"/>
        <v>8.4350000000000005</v>
      </c>
      <c r="U9" s="887">
        <f>HLOOKUP($B$2,Factors!$J$12:$Y$25,Factors!$H13)</f>
        <v>26.036169679622709</v>
      </c>
      <c r="V9" s="885">
        <f t="shared" ref="V9:V17" si="15">N9*$U9*TbtuToQBtu</f>
        <v>0.21961509124761755</v>
      </c>
      <c r="W9" s="883">
        <f t="shared" ref="W9:W17" si="16">O9*$U9*TbtuToQBtu</f>
        <v>0</v>
      </c>
      <c r="X9" s="883">
        <f t="shared" ref="X9:X17" si="17">P9*$U9*TbtuToQBtu</f>
        <v>0</v>
      </c>
      <c r="Y9" s="883">
        <f t="shared" ref="Y9:Y17" si="18">Q9*$U9*TbtuToQBtu</f>
        <v>0</v>
      </c>
      <c r="Z9" s="883">
        <f t="shared" ref="Z9:Z17" si="19">R9*$U9*TbtuToQBtu</f>
        <v>0</v>
      </c>
      <c r="AA9" s="883">
        <f t="shared" ref="AA9:AA17" si="20">S9*$U9*TbtuToQBtu</f>
        <v>0</v>
      </c>
      <c r="AB9" s="883">
        <f t="shared" si="5"/>
        <v>0.21961509124761755</v>
      </c>
      <c r="AC9" s="888">
        <f>Factors!E10</f>
        <v>1</v>
      </c>
      <c r="AD9" s="885">
        <f t="shared" ref="AD9:AD17" si="21">V9*$AC9</f>
        <v>0.21961509124761755</v>
      </c>
      <c r="AE9" s="883">
        <f t="shared" ref="AE9:AE17" si="22">W9*$AC9</f>
        <v>0</v>
      </c>
      <c r="AF9" s="883">
        <f t="shared" ref="AF9:AF17" si="23">X9*$AC9</f>
        <v>0</v>
      </c>
      <c r="AG9" s="883">
        <f t="shared" ref="AG9:AG17" si="24">Y9*$AC9</f>
        <v>0</v>
      </c>
      <c r="AH9" s="883">
        <f t="shared" ref="AH9:AH17" si="25">Z9*$AC9</f>
        <v>0</v>
      </c>
      <c r="AI9" s="883">
        <f t="shared" ref="AI9:AI17" si="26">AA9*$AC9</f>
        <v>0</v>
      </c>
      <c r="AJ9" s="889">
        <f t="shared" si="6"/>
        <v>0.21961509124761755</v>
      </c>
      <c r="AK9" s="885">
        <f t="shared" ref="AK9:AK42" si="27">AD9*CtoCO2</f>
        <v>0.80525533457459764</v>
      </c>
      <c r="AL9" s="883">
        <f t="shared" ref="AL9:AL42" si="28">AE9*CtoCO2</f>
        <v>0</v>
      </c>
      <c r="AM9" s="883">
        <f t="shared" ref="AM9:AM42" si="29">AF9*CtoCO2</f>
        <v>0</v>
      </c>
      <c r="AN9" s="883">
        <f t="shared" ref="AN9:AN42" si="30">AG9*CtoCO2</f>
        <v>0</v>
      </c>
      <c r="AO9" s="883">
        <f t="shared" ref="AO9:AO42" si="31">AH9*CtoCO2</f>
        <v>0</v>
      </c>
      <c r="AP9" s="883">
        <f t="shared" ref="AP9:AP42" si="32">AI9*CtoCO2</f>
        <v>0</v>
      </c>
      <c r="AQ9" s="890">
        <f t="shared" si="8"/>
        <v>0.80525533457459764</v>
      </c>
    </row>
    <row r="10" spans="1:43">
      <c r="A10" s="817"/>
      <c r="B10" s="860" t="s">
        <v>1733</v>
      </c>
      <c r="C10" s="883"/>
      <c r="D10" s="883">
        <f>HLOOKUP($B$2,'Consumption Input'!$E$5:$AQ$82,'Consumption Input'!$B13)</f>
        <v>96.998999999999995</v>
      </c>
      <c r="E10" s="883"/>
      <c r="F10" s="883"/>
      <c r="G10" s="883"/>
      <c r="H10" s="883"/>
      <c r="I10" s="883">
        <f t="shared" si="2"/>
        <v>96.998999999999995</v>
      </c>
      <c r="J10" s="961"/>
      <c r="K10" s="940"/>
      <c r="L10" s="940"/>
      <c r="M10" s="940"/>
      <c r="N10" s="885">
        <f t="shared" si="9"/>
        <v>0</v>
      </c>
      <c r="O10" s="883">
        <f t="shared" si="10"/>
        <v>96.998999999999995</v>
      </c>
      <c r="P10" s="883">
        <f t="shared" si="11"/>
        <v>0</v>
      </c>
      <c r="Q10" s="883">
        <f t="shared" si="12"/>
        <v>0</v>
      </c>
      <c r="R10" s="883">
        <f t="shared" si="13"/>
        <v>0</v>
      </c>
      <c r="S10" s="886">
        <f t="shared" si="14"/>
        <v>0</v>
      </c>
      <c r="T10" s="883">
        <f t="shared" si="4"/>
        <v>96.998999999999995</v>
      </c>
      <c r="U10" s="887">
        <f>HLOOKUP($B$2,Factors!$J$12:$Y$25,Factors!$H14)</f>
        <v>26.036169679622709</v>
      </c>
      <c r="V10" s="885">
        <f t="shared" si="15"/>
        <v>0</v>
      </c>
      <c r="W10" s="883">
        <f t="shared" si="16"/>
        <v>2.5254824227537229</v>
      </c>
      <c r="X10" s="883">
        <f t="shared" si="17"/>
        <v>0</v>
      </c>
      <c r="Y10" s="883">
        <f t="shared" si="18"/>
        <v>0</v>
      </c>
      <c r="Z10" s="883">
        <f t="shared" si="19"/>
        <v>0</v>
      </c>
      <c r="AA10" s="883">
        <f t="shared" si="20"/>
        <v>0</v>
      </c>
      <c r="AB10" s="883">
        <f t="shared" si="5"/>
        <v>2.5254824227537229</v>
      </c>
      <c r="AC10" s="888">
        <f>Factors!E11</f>
        <v>1</v>
      </c>
      <c r="AD10" s="885">
        <f t="shared" si="21"/>
        <v>0</v>
      </c>
      <c r="AE10" s="883">
        <f t="shared" si="22"/>
        <v>2.5254824227537229</v>
      </c>
      <c r="AF10" s="883">
        <f t="shared" si="23"/>
        <v>0</v>
      </c>
      <c r="AG10" s="883">
        <f t="shared" si="24"/>
        <v>0</v>
      </c>
      <c r="AH10" s="883">
        <f t="shared" si="25"/>
        <v>0</v>
      </c>
      <c r="AI10" s="883">
        <f t="shared" si="26"/>
        <v>0</v>
      </c>
      <c r="AJ10" s="889">
        <f t="shared" si="6"/>
        <v>2.5254824227537229</v>
      </c>
      <c r="AK10" s="885">
        <f t="shared" si="27"/>
        <v>0</v>
      </c>
      <c r="AL10" s="883">
        <f t="shared" si="28"/>
        <v>9.2601022167636504</v>
      </c>
      <c r="AM10" s="883">
        <f t="shared" si="29"/>
        <v>0</v>
      </c>
      <c r="AN10" s="883">
        <f t="shared" si="30"/>
        <v>0</v>
      </c>
      <c r="AO10" s="883">
        <f t="shared" si="31"/>
        <v>0</v>
      </c>
      <c r="AP10" s="883">
        <f t="shared" si="32"/>
        <v>0</v>
      </c>
      <c r="AQ10" s="890">
        <f t="shared" si="8"/>
        <v>9.2601022167636504</v>
      </c>
    </row>
    <row r="11" spans="1:43" s="244" customFormat="1" hidden="1">
      <c r="A11" s="861"/>
      <c r="B11" s="862" t="s">
        <v>1734</v>
      </c>
      <c r="C11" s="891"/>
      <c r="D11" s="891"/>
      <c r="E11" s="891">
        <f>HLOOKUP($B$2,'Consumption Input'!$E$5:$AQ$82,'Consumption Input'!$B23)</f>
        <v>80.441129905107346</v>
      </c>
      <c r="F11" s="891"/>
      <c r="G11" s="891"/>
      <c r="H11" s="891"/>
      <c r="I11" s="891">
        <f t="shared" si="2"/>
        <v>80.441129905107346</v>
      </c>
      <c r="J11" s="962"/>
      <c r="K11" s="963">
        <f>HLOOKUP($B$2,NEUConsumption,'Non-Energy Use'!$C$7)</f>
        <v>80.441129905107346</v>
      </c>
      <c r="L11" s="963"/>
      <c r="M11" s="963"/>
      <c r="N11" s="893">
        <f t="shared" si="9"/>
        <v>0</v>
      </c>
      <c r="O11" s="891">
        <f t="shared" si="10"/>
        <v>0</v>
      </c>
      <c r="P11" s="891">
        <f t="shared" si="11"/>
        <v>0</v>
      </c>
      <c r="Q11" s="891">
        <f t="shared" si="12"/>
        <v>0</v>
      </c>
      <c r="R11" s="891">
        <f t="shared" si="13"/>
        <v>0</v>
      </c>
      <c r="S11" s="894">
        <f t="shared" si="14"/>
        <v>0</v>
      </c>
      <c r="T11" s="891">
        <f t="shared" si="4"/>
        <v>0</v>
      </c>
      <c r="U11" s="1013">
        <f>HLOOKUP($B$2,Factors!$J$12:$BE$28,Factors!$H28,FALSE)</f>
        <v>25.601635188979003</v>
      </c>
      <c r="V11" s="893">
        <f t="shared" si="15"/>
        <v>0</v>
      </c>
      <c r="W11" s="891">
        <f t="shared" si="16"/>
        <v>0</v>
      </c>
      <c r="X11" s="891">
        <f t="shared" si="17"/>
        <v>0</v>
      </c>
      <c r="Y11" s="891">
        <f t="shared" si="18"/>
        <v>0</v>
      </c>
      <c r="Z11" s="891">
        <f t="shared" si="19"/>
        <v>0</v>
      </c>
      <c r="AA11" s="891">
        <f t="shared" si="20"/>
        <v>0</v>
      </c>
      <c r="AB11" s="891">
        <f t="shared" si="5"/>
        <v>0</v>
      </c>
      <c r="AC11" s="896">
        <f>Factors!E12</f>
        <v>1</v>
      </c>
      <c r="AD11" s="893">
        <f t="shared" si="21"/>
        <v>0</v>
      </c>
      <c r="AE11" s="891">
        <f t="shared" si="22"/>
        <v>0</v>
      </c>
      <c r="AF11" s="891">
        <f t="shared" si="23"/>
        <v>0</v>
      </c>
      <c r="AG11" s="891">
        <f t="shared" si="24"/>
        <v>0</v>
      </c>
      <c r="AH11" s="891">
        <f t="shared" si="25"/>
        <v>0</v>
      </c>
      <c r="AI11" s="891">
        <f t="shared" si="26"/>
        <v>0</v>
      </c>
      <c r="AJ11" s="897">
        <f t="shared" si="6"/>
        <v>0</v>
      </c>
      <c r="AK11" s="893">
        <f t="shared" si="27"/>
        <v>0</v>
      </c>
      <c r="AL11" s="891">
        <f t="shared" si="28"/>
        <v>0</v>
      </c>
      <c r="AM11" s="891">
        <f t="shared" si="29"/>
        <v>0</v>
      </c>
      <c r="AN11" s="891">
        <f t="shared" si="30"/>
        <v>0</v>
      </c>
      <c r="AO11" s="891">
        <f t="shared" si="31"/>
        <v>0</v>
      </c>
      <c r="AP11" s="891">
        <f t="shared" si="32"/>
        <v>0</v>
      </c>
      <c r="AQ11" s="898">
        <f t="shared" si="8"/>
        <v>0</v>
      </c>
    </row>
    <row r="12" spans="1:43">
      <c r="A12" s="817"/>
      <c r="B12" s="860" t="s">
        <v>1701</v>
      </c>
      <c r="C12" s="883"/>
      <c r="D12" s="883"/>
      <c r="E12" s="883">
        <f>HLOOKUP($B$2,'Consumption Input'!$E$5:$AQ$82,'Consumption Input'!$B24)</f>
        <v>1256.9706905805051</v>
      </c>
      <c r="F12" s="883"/>
      <c r="G12" s="883"/>
      <c r="H12" s="883"/>
      <c r="I12" s="883">
        <f t="shared" si="2"/>
        <v>1256.9706905805051</v>
      </c>
      <c r="J12" s="961"/>
      <c r="K12" s="940">
        <f>HLOOKUP($B$2,NEUConsumption,'Non-Energy Use'!$C$8)</f>
        <v>11.036504396603048</v>
      </c>
      <c r="L12" s="940"/>
      <c r="M12" s="940"/>
      <c r="N12" s="885">
        <f t="shared" si="9"/>
        <v>0</v>
      </c>
      <c r="O12" s="883">
        <f t="shared" si="10"/>
        <v>0</v>
      </c>
      <c r="P12" s="883">
        <f t="shared" si="11"/>
        <v>1245.9341861839021</v>
      </c>
      <c r="Q12" s="883">
        <f t="shared" si="12"/>
        <v>0</v>
      </c>
      <c r="R12" s="883">
        <f t="shared" si="13"/>
        <v>0</v>
      </c>
      <c r="S12" s="886">
        <f t="shared" si="14"/>
        <v>0</v>
      </c>
      <c r="T12" s="883">
        <f t="shared" si="4"/>
        <v>1245.9341861839021</v>
      </c>
      <c r="U12" s="887">
        <f>HLOOKUP($B$2,Factors!$J$12:$Y$25,Factors!$H15)</f>
        <v>25.794744187902076</v>
      </c>
      <c r="V12" s="885">
        <f t="shared" si="15"/>
        <v>0</v>
      </c>
      <c r="W12" s="883">
        <f t="shared" si="16"/>
        <v>0</v>
      </c>
      <c r="X12" s="883">
        <f t="shared" si="17"/>
        <v>32.138553607575716</v>
      </c>
      <c r="Y12" s="883">
        <f t="shared" si="18"/>
        <v>0</v>
      </c>
      <c r="Z12" s="883">
        <f t="shared" si="19"/>
        <v>0</v>
      </c>
      <c r="AA12" s="883">
        <f t="shared" si="20"/>
        <v>0</v>
      </c>
      <c r="AB12" s="883">
        <f t="shared" si="5"/>
        <v>32.138553607575716</v>
      </c>
      <c r="AC12" s="888">
        <f>Factors!E13</f>
        <v>1</v>
      </c>
      <c r="AD12" s="885">
        <f t="shared" si="21"/>
        <v>0</v>
      </c>
      <c r="AE12" s="883">
        <f t="shared" si="22"/>
        <v>0</v>
      </c>
      <c r="AF12" s="883">
        <f t="shared" si="23"/>
        <v>32.138553607575716</v>
      </c>
      <c r="AG12" s="883">
        <f t="shared" si="24"/>
        <v>0</v>
      </c>
      <c r="AH12" s="883">
        <f t="shared" si="25"/>
        <v>0</v>
      </c>
      <c r="AI12" s="883">
        <f t="shared" si="26"/>
        <v>0</v>
      </c>
      <c r="AJ12" s="889">
        <f t="shared" si="6"/>
        <v>32.138553607575716</v>
      </c>
      <c r="AK12" s="885">
        <f t="shared" si="27"/>
        <v>0</v>
      </c>
      <c r="AL12" s="883">
        <f t="shared" si="28"/>
        <v>0</v>
      </c>
      <c r="AM12" s="883">
        <f t="shared" si="29"/>
        <v>117.84136322777762</v>
      </c>
      <c r="AN12" s="883">
        <f t="shared" si="30"/>
        <v>0</v>
      </c>
      <c r="AO12" s="883">
        <f t="shared" si="31"/>
        <v>0</v>
      </c>
      <c r="AP12" s="883">
        <f t="shared" si="32"/>
        <v>0</v>
      </c>
      <c r="AQ12" s="890">
        <f t="shared" si="8"/>
        <v>117.84136322777762</v>
      </c>
    </row>
    <row r="13" spans="1:43" s="244" customFormat="1" hidden="1">
      <c r="A13" s="861"/>
      <c r="B13" s="862" t="s">
        <v>1607</v>
      </c>
      <c r="C13" s="891"/>
      <c r="D13" s="891"/>
      <c r="E13" s="891">
        <f>HLOOKUP($B$2,'Consumption Input'!$E$5:$AQ$82,'Consumption Input'!$B25)</f>
        <v>0</v>
      </c>
      <c r="F13" s="891"/>
      <c r="G13" s="891"/>
      <c r="H13" s="891"/>
      <c r="I13" s="883">
        <f t="shared" si="2"/>
        <v>0</v>
      </c>
      <c r="J13" s="962"/>
      <c r="K13" s="963"/>
      <c r="L13" s="963"/>
      <c r="M13" s="963"/>
      <c r="N13" s="893">
        <f t="shared" si="9"/>
        <v>0</v>
      </c>
      <c r="O13" s="891">
        <f t="shared" si="10"/>
        <v>0</v>
      </c>
      <c r="P13" s="891">
        <f t="shared" si="11"/>
        <v>0</v>
      </c>
      <c r="Q13" s="891">
        <f t="shared" si="12"/>
        <v>0</v>
      </c>
      <c r="R13" s="891">
        <f t="shared" si="13"/>
        <v>0</v>
      </c>
      <c r="S13" s="894">
        <f t="shared" si="14"/>
        <v>0</v>
      </c>
      <c r="T13" s="891">
        <f t="shared" si="4"/>
        <v>0</v>
      </c>
      <c r="U13" s="895">
        <f>Factors!D14</f>
        <v>27.85</v>
      </c>
      <c r="V13" s="893">
        <f t="shared" si="15"/>
        <v>0</v>
      </c>
      <c r="W13" s="891">
        <f t="shared" si="16"/>
        <v>0</v>
      </c>
      <c r="X13" s="891">
        <f t="shared" si="17"/>
        <v>0</v>
      </c>
      <c r="Y13" s="891">
        <f t="shared" si="18"/>
        <v>0</v>
      </c>
      <c r="Z13" s="891">
        <f t="shared" si="19"/>
        <v>0</v>
      </c>
      <c r="AA13" s="891">
        <f t="shared" si="20"/>
        <v>0</v>
      </c>
      <c r="AB13" s="891">
        <f t="shared" si="5"/>
        <v>0</v>
      </c>
      <c r="AC13" s="896">
        <f>Factors!E14</f>
        <v>1</v>
      </c>
      <c r="AD13" s="893">
        <f t="shared" si="21"/>
        <v>0</v>
      </c>
      <c r="AE13" s="891">
        <f t="shared" si="22"/>
        <v>0</v>
      </c>
      <c r="AF13" s="891">
        <f t="shared" si="23"/>
        <v>0</v>
      </c>
      <c r="AG13" s="891">
        <f t="shared" si="24"/>
        <v>0</v>
      </c>
      <c r="AH13" s="891">
        <f t="shared" si="25"/>
        <v>0</v>
      </c>
      <c r="AI13" s="891">
        <f t="shared" si="26"/>
        <v>0</v>
      </c>
      <c r="AJ13" s="897">
        <f t="shared" si="6"/>
        <v>0</v>
      </c>
      <c r="AK13" s="893">
        <f t="shared" si="27"/>
        <v>0</v>
      </c>
      <c r="AL13" s="891">
        <f t="shared" si="28"/>
        <v>0</v>
      </c>
      <c r="AM13" s="891">
        <f t="shared" si="29"/>
        <v>0</v>
      </c>
      <c r="AN13" s="891">
        <f t="shared" si="30"/>
        <v>0</v>
      </c>
      <c r="AO13" s="891">
        <f t="shared" si="31"/>
        <v>0</v>
      </c>
      <c r="AP13" s="891">
        <f t="shared" si="32"/>
        <v>0</v>
      </c>
      <c r="AQ13" s="890">
        <f t="shared" si="8"/>
        <v>0</v>
      </c>
    </row>
    <row r="14" spans="1:43">
      <c r="A14" s="817"/>
      <c r="B14" s="860" t="s">
        <v>1735</v>
      </c>
      <c r="C14" s="883"/>
      <c r="D14" s="883"/>
      <c r="E14" s="883"/>
      <c r="F14" s="889">
        <f>HLOOKUP($B$2,'Consumption Input'!$E$5:$AQ$82,'Consumption Input'!$B48)</f>
        <v>0</v>
      </c>
      <c r="G14" s="883"/>
      <c r="H14" s="883"/>
      <c r="I14" s="883">
        <f t="shared" si="2"/>
        <v>0</v>
      </c>
      <c r="J14" s="961"/>
      <c r="K14" s="940"/>
      <c r="L14" s="940"/>
      <c r="M14" s="940"/>
      <c r="N14" s="885">
        <f t="shared" si="9"/>
        <v>0</v>
      </c>
      <c r="O14" s="883">
        <f t="shared" si="10"/>
        <v>0</v>
      </c>
      <c r="P14" s="883">
        <f t="shared" si="11"/>
        <v>0</v>
      </c>
      <c r="Q14" s="883">
        <f t="shared" si="12"/>
        <v>0</v>
      </c>
      <c r="R14" s="883">
        <f t="shared" si="13"/>
        <v>0</v>
      </c>
      <c r="S14" s="886">
        <f t="shared" si="14"/>
        <v>0</v>
      </c>
      <c r="T14" s="883">
        <f t="shared" si="4"/>
        <v>0</v>
      </c>
      <c r="U14" s="887" t="str">
        <f>Factors!D15</f>
        <v>NC</v>
      </c>
      <c r="V14" s="885">
        <f t="shared" si="15"/>
        <v>0</v>
      </c>
      <c r="W14" s="883">
        <f t="shared" si="16"/>
        <v>0</v>
      </c>
      <c r="X14" s="883">
        <f t="shared" si="17"/>
        <v>0</v>
      </c>
      <c r="Y14" s="883">
        <f t="shared" si="18"/>
        <v>0</v>
      </c>
      <c r="Z14" s="883">
        <f t="shared" si="19"/>
        <v>0</v>
      </c>
      <c r="AA14" s="883">
        <f t="shared" si="20"/>
        <v>0</v>
      </c>
      <c r="AB14" s="883" t="s">
        <v>103</v>
      </c>
      <c r="AC14" s="888" t="str">
        <f>Factors!E15</f>
        <v>NC</v>
      </c>
      <c r="AD14" s="885">
        <f t="shared" si="21"/>
        <v>0</v>
      </c>
      <c r="AE14" s="883">
        <f t="shared" si="22"/>
        <v>0</v>
      </c>
      <c r="AF14" s="883">
        <f t="shared" si="23"/>
        <v>0</v>
      </c>
      <c r="AG14" s="883">
        <f t="shared" si="24"/>
        <v>0</v>
      </c>
      <c r="AH14" s="883">
        <f t="shared" si="25"/>
        <v>0</v>
      </c>
      <c r="AI14" s="883">
        <f t="shared" si="26"/>
        <v>0</v>
      </c>
      <c r="AJ14" s="889">
        <f t="shared" si="6"/>
        <v>0</v>
      </c>
      <c r="AK14" s="885">
        <f t="shared" si="27"/>
        <v>0</v>
      </c>
      <c r="AL14" s="883">
        <f t="shared" si="28"/>
        <v>0</v>
      </c>
      <c r="AM14" s="883">
        <f t="shared" si="29"/>
        <v>0</v>
      </c>
      <c r="AN14" s="883">
        <f t="shared" si="30"/>
        <v>0</v>
      </c>
      <c r="AO14" s="883">
        <f t="shared" si="31"/>
        <v>0</v>
      </c>
      <c r="AP14" s="883">
        <f t="shared" si="32"/>
        <v>0</v>
      </c>
      <c r="AQ14" s="890">
        <f t="shared" si="8"/>
        <v>0</v>
      </c>
    </row>
    <row r="15" spans="1:43">
      <c r="A15" s="817"/>
      <c r="B15" s="860" t="s">
        <v>1736</v>
      </c>
      <c r="C15" s="883"/>
      <c r="D15" s="883"/>
      <c r="E15" s="883"/>
      <c r="F15" s="883"/>
      <c r="G15" s="883">
        <f>HLOOKUP($B$2,'Consumption Input'!$E$5:$AQ$82,'Consumption Input'!$B58)</f>
        <v>20737.241000000002</v>
      </c>
      <c r="H15" s="883"/>
      <c r="I15" s="883">
        <f t="shared" ref="I15:I28" si="33">SUM(C15:H15)</f>
        <v>20737.241000000002</v>
      </c>
      <c r="J15" s="961"/>
      <c r="K15" s="940"/>
      <c r="L15" s="940"/>
      <c r="M15" s="940"/>
      <c r="N15" s="885">
        <f t="shared" si="9"/>
        <v>0</v>
      </c>
      <c r="O15" s="883">
        <f t="shared" si="10"/>
        <v>0</v>
      </c>
      <c r="P15" s="883">
        <f t="shared" si="11"/>
        <v>0</v>
      </c>
      <c r="Q15" s="883">
        <f t="shared" si="12"/>
        <v>0</v>
      </c>
      <c r="R15" s="883">
        <f t="shared" si="13"/>
        <v>20737.241000000002</v>
      </c>
      <c r="S15" s="886">
        <f t="shared" si="14"/>
        <v>0</v>
      </c>
      <c r="T15" s="883">
        <f t="shared" si="4"/>
        <v>20737.241000000002</v>
      </c>
      <c r="U15" s="887">
        <f>HLOOKUP($B$2,Factors!$J$12:$Y$25,Factors!$H16)</f>
        <v>26.076556063342331</v>
      </c>
      <c r="V15" s="885">
        <f t="shared" si="15"/>
        <v>0</v>
      </c>
      <c r="W15" s="883">
        <f t="shared" si="16"/>
        <v>0</v>
      </c>
      <c r="X15" s="883">
        <f t="shared" si="17"/>
        <v>0</v>
      </c>
      <c r="Y15" s="883">
        <f t="shared" si="18"/>
        <v>0</v>
      </c>
      <c r="Z15" s="883">
        <f t="shared" si="19"/>
        <v>540.75582753554124</v>
      </c>
      <c r="AA15" s="883">
        <f t="shared" si="20"/>
        <v>0</v>
      </c>
      <c r="AB15" s="883">
        <f t="shared" ref="AB15:AB43" si="34">SUM(V15:AA15)</f>
        <v>540.75582753554124</v>
      </c>
      <c r="AC15" s="888">
        <f>Factors!E16</f>
        <v>1</v>
      </c>
      <c r="AD15" s="885">
        <f t="shared" si="21"/>
        <v>0</v>
      </c>
      <c r="AE15" s="883">
        <f t="shared" si="22"/>
        <v>0</v>
      </c>
      <c r="AF15" s="883">
        <f t="shared" si="23"/>
        <v>0</v>
      </c>
      <c r="AG15" s="883">
        <f t="shared" si="24"/>
        <v>0</v>
      </c>
      <c r="AH15" s="883">
        <f t="shared" si="25"/>
        <v>540.75582753554124</v>
      </c>
      <c r="AI15" s="883">
        <f t="shared" si="26"/>
        <v>0</v>
      </c>
      <c r="AJ15" s="889">
        <f t="shared" si="6"/>
        <v>540.75582753554124</v>
      </c>
      <c r="AK15" s="885">
        <f t="shared" si="27"/>
        <v>0</v>
      </c>
      <c r="AL15" s="883">
        <f t="shared" si="28"/>
        <v>0</v>
      </c>
      <c r="AM15" s="883">
        <f t="shared" si="29"/>
        <v>0</v>
      </c>
      <c r="AN15" s="883">
        <f t="shared" si="30"/>
        <v>0</v>
      </c>
      <c r="AO15" s="883">
        <f t="shared" si="31"/>
        <v>1982.7713676303179</v>
      </c>
      <c r="AP15" s="883">
        <f t="shared" si="32"/>
        <v>0</v>
      </c>
      <c r="AQ15" s="890">
        <f t="shared" ref="AQ15:AQ42" si="35">SUM(AK15:AP15)</f>
        <v>1982.7713676303179</v>
      </c>
    </row>
    <row r="16" spans="1:43">
      <c r="A16" s="817"/>
      <c r="B16" s="860" t="s">
        <v>1737</v>
      </c>
      <c r="C16" s="883"/>
      <c r="D16" s="883"/>
      <c r="E16" s="883"/>
      <c r="F16" s="883"/>
      <c r="G16" s="883"/>
      <c r="H16" s="883">
        <f>HLOOKUP($B$2,'US Territories'!$D$28:$Z$38,'US Territories'!$B29)</f>
        <v>32.693452652999333</v>
      </c>
      <c r="I16" s="883">
        <f t="shared" si="33"/>
        <v>32.693452652999333</v>
      </c>
      <c r="J16" s="961"/>
      <c r="K16" s="940"/>
      <c r="L16" s="940"/>
      <c r="M16" s="940"/>
      <c r="N16" s="885">
        <f t="shared" si="9"/>
        <v>0</v>
      </c>
      <c r="O16" s="883">
        <f t="shared" si="10"/>
        <v>0</v>
      </c>
      <c r="P16" s="883">
        <f t="shared" si="11"/>
        <v>0</v>
      </c>
      <c r="Q16" s="883">
        <f t="shared" si="12"/>
        <v>0</v>
      </c>
      <c r="R16" s="883">
        <f t="shared" si="13"/>
        <v>0</v>
      </c>
      <c r="S16" s="886">
        <f t="shared" si="14"/>
        <v>32.693452652999333</v>
      </c>
      <c r="T16" s="883">
        <f t="shared" si="4"/>
        <v>32.693452652999333</v>
      </c>
      <c r="U16" s="887">
        <f>Factors!D17</f>
        <v>25.14</v>
      </c>
      <c r="V16" s="899">
        <f t="shared" si="15"/>
        <v>0</v>
      </c>
      <c r="W16" s="900">
        <f t="shared" si="16"/>
        <v>0</v>
      </c>
      <c r="X16" s="900">
        <f t="shared" si="17"/>
        <v>0</v>
      </c>
      <c r="Y16" s="900">
        <f t="shared" si="18"/>
        <v>0</v>
      </c>
      <c r="Z16" s="900">
        <f t="shared" si="19"/>
        <v>0</v>
      </c>
      <c r="AA16" s="900">
        <f t="shared" si="20"/>
        <v>0.82191339969640331</v>
      </c>
      <c r="AB16" s="883">
        <f t="shared" si="34"/>
        <v>0.82191339969640331</v>
      </c>
      <c r="AC16" s="888">
        <f>Factors!E17</f>
        <v>1</v>
      </c>
      <c r="AD16" s="899">
        <f t="shared" si="21"/>
        <v>0</v>
      </c>
      <c r="AE16" s="900">
        <f t="shared" si="22"/>
        <v>0</v>
      </c>
      <c r="AF16" s="900">
        <f t="shared" si="23"/>
        <v>0</v>
      </c>
      <c r="AG16" s="900">
        <f t="shared" si="24"/>
        <v>0</v>
      </c>
      <c r="AH16" s="900">
        <f t="shared" si="25"/>
        <v>0</v>
      </c>
      <c r="AI16" s="900">
        <f t="shared" si="26"/>
        <v>0.82191339969640331</v>
      </c>
      <c r="AJ16" s="889">
        <f t="shared" si="6"/>
        <v>0.82191339969640331</v>
      </c>
      <c r="AK16" s="885">
        <f t="shared" si="27"/>
        <v>0</v>
      </c>
      <c r="AL16" s="883">
        <f t="shared" si="28"/>
        <v>0</v>
      </c>
      <c r="AM16" s="883">
        <f t="shared" si="29"/>
        <v>0</v>
      </c>
      <c r="AN16" s="883">
        <f t="shared" si="30"/>
        <v>0</v>
      </c>
      <c r="AO16" s="883">
        <f t="shared" si="31"/>
        <v>0</v>
      </c>
      <c r="AP16" s="883">
        <f t="shared" si="32"/>
        <v>3.0136824655534786</v>
      </c>
      <c r="AQ16" s="890">
        <f t="shared" si="35"/>
        <v>3.0136824655534786</v>
      </c>
    </row>
    <row r="17" spans="1:43">
      <c r="A17" s="817"/>
      <c r="B17" s="863" t="s">
        <v>1439</v>
      </c>
      <c r="C17" s="901">
        <f>HLOOKUP($B$2,'Consumption Input'!$E$5:$AQ$82,'Consumption Input'!$B8)</f>
        <v>4946.3540000000003</v>
      </c>
      <c r="D17" s="901">
        <f>HLOOKUP($B$2,'Consumption Input'!$E$5:$AQ$82,'Consumption Input'!$B14)</f>
        <v>3073.2159999999999</v>
      </c>
      <c r="E17" s="901">
        <f>HLOOKUP($B$2,'Consumption Input'!$E$5:$AQ$82,'Consumption Input'!$B26)</f>
        <v>7585.0517920141347</v>
      </c>
      <c r="F17" s="901">
        <f>HLOOKUP($B$2,'Consumption Input'!$E$5:$AQ$82,'Consumption Input'!$B49)</f>
        <v>623.90300000000002</v>
      </c>
      <c r="G17" s="901">
        <f>HLOOKUP($B$2,'Consumption Input'!$E$5:$AQ$82,'Consumption Input'!$B59)</f>
        <v>6014.5479999999998</v>
      </c>
      <c r="H17" s="944">
        <f>HLOOKUP($B$2,'US Territories'!$D$28:$Z$38,'US Territories'!$B30)</f>
        <v>24.323559399999997</v>
      </c>
      <c r="I17" s="901">
        <f t="shared" si="33"/>
        <v>22267.396351414136</v>
      </c>
      <c r="J17" s="964"/>
      <c r="K17" s="965">
        <f>HLOOKUP($B$2,NEUConsumption,'Non-Energy Use'!$C$9)</f>
        <v>270.36975000000001</v>
      </c>
      <c r="L17" s="965"/>
      <c r="M17" s="965"/>
      <c r="N17" s="904">
        <f t="shared" si="9"/>
        <v>4946.3540000000003</v>
      </c>
      <c r="O17" s="901">
        <f t="shared" si="10"/>
        <v>3073.2159999999999</v>
      </c>
      <c r="P17" s="901">
        <f t="shared" si="11"/>
        <v>7314.6820420141348</v>
      </c>
      <c r="Q17" s="901">
        <f t="shared" si="12"/>
        <v>623.90300000000002</v>
      </c>
      <c r="R17" s="901">
        <f t="shared" si="13"/>
        <v>6014.5479999999998</v>
      </c>
      <c r="S17" s="902">
        <f t="shared" si="14"/>
        <v>24.323559399999997</v>
      </c>
      <c r="T17" s="901">
        <f t="shared" si="4"/>
        <v>21997.026601414134</v>
      </c>
      <c r="U17" s="905">
        <f>HLOOKUP($B$2,Factors!$J$12:$AB$26,Factors!$H26,FALSE)</f>
        <v>14.458506695525291</v>
      </c>
      <c r="V17" s="901">
        <f t="shared" si="15"/>
        <v>71.516892427438307</v>
      </c>
      <c r="W17" s="901">
        <f t="shared" si="16"/>
        <v>44.434114112795449</v>
      </c>
      <c r="X17" s="901">
        <f t="shared" si="17"/>
        <v>105.75937928009998</v>
      </c>
      <c r="Y17" s="901">
        <f t="shared" si="18"/>
        <v>9.0207057028583151</v>
      </c>
      <c r="Z17" s="901">
        <f t="shared" si="19"/>
        <v>86.961382528558246</v>
      </c>
      <c r="AA17" s="901">
        <f t="shared" si="20"/>
        <v>0.35168234644390711</v>
      </c>
      <c r="AB17" s="901">
        <f t="shared" si="34"/>
        <v>318.04415639819422</v>
      </c>
      <c r="AC17" s="906">
        <f>Factors!E19</f>
        <v>1</v>
      </c>
      <c r="AD17" s="904">
        <f t="shared" si="21"/>
        <v>71.516892427438307</v>
      </c>
      <c r="AE17" s="901">
        <f t="shared" si="22"/>
        <v>44.434114112795449</v>
      </c>
      <c r="AF17" s="901">
        <f t="shared" si="23"/>
        <v>105.75937928009998</v>
      </c>
      <c r="AG17" s="901">
        <f t="shared" si="24"/>
        <v>9.0207057028583151</v>
      </c>
      <c r="AH17" s="901">
        <f t="shared" si="25"/>
        <v>86.961382528558246</v>
      </c>
      <c r="AI17" s="901">
        <f t="shared" si="26"/>
        <v>0.35168234644390711</v>
      </c>
      <c r="AJ17" s="901">
        <f t="shared" si="6"/>
        <v>318.04415639819422</v>
      </c>
      <c r="AK17" s="904">
        <f t="shared" si="27"/>
        <v>262.2286055672738</v>
      </c>
      <c r="AL17" s="901">
        <f t="shared" si="28"/>
        <v>162.92508508024997</v>
      </c>
      <c r="AM17" s="901">
        <f t="shared" si="29"/>
        <v>387.78439069369989</v>
      </c>
      <c r="AN17" s="901">
        <f t="shared" si="30"/>
        <v>33.075920910480484</v>
      </c>
      <c r="AO17" s="901">
        <f t="shared" si="31"/>
        <v>318.85840260471355</v>
      </c>
      <c r="AP17" s="901">
        <f t="shared" si="32"/>
        <v>1.2895019369609928</v>
      </c>
      <c r="AQ17" s="907">
        <f t="shared" si="35"/>
        <v>1166.1619067933786</v>
      </c>
    </row>
    <row r="18" spans="1:43">
      <c r="A18" s="817"/>
      <c r="B18" s="864" t="s">
        <v>1440</v>
      </c>
      <c r="C18" s="908">
        <f t="shared" ref="C18:H18" si="36">SUM(C19:C41)</f>
        <v>1362.5649051394173</v>
      </c>
      <c r="D18" s="908">
        <f t="shared" si="36"/>
        <v>758.70980569626215</v>
      </c>
      <c r="E18" s="908">
        <f t="shared" si="36"/>
        <v>9518.559264831656</v>
      </c>
      <c r="F18" s="908">
        <f t="shared" si="36"/>
        <v>27083.484122542664</v>
      </c>
      <c r="G18" s="908">
        <f t="shared" si="36"/>
        <v>1222.0640000000001</v>
      </c>
      <c r="H18" s="908">
        <f t="shared" si="36"/>
        <v>764.42153318328178</v>
      </c>
      <c r="I18" s="908">
        <f t="shared" si="33"/>
        <v>40709.803631393283</v>
      </c>
      <c r="J18" s="966">
        <f t="shared" ref="J18:S18" si="37">SUM(J19:J41)</f>
        <v>1562.2909863338336</v>
      </c>
      <c r="K18" s="967">
        <f t="shared" si="37"/>
        <v>5026.8622284743042</v>
      </c>
      <c r="L18" s="967">
        <f t="shared" si="37"/>
        <v>151.30699999999999</v>
      </c>
      <c r="M18" s="967">
        <f t="shared" si="37"/>
        <v>114.92968618294523</v>
      </c>
      <c r="N18" s="910">
        <f t="shared" si="37"/>
        <v>1362.5649051394173</v>
      </c>
      <c r="O18" s="908">
        <f t="shared" si="37"/>
        <v>758.70980569626215</v>
      </c>
      <c r="P18" s="908">
        <f t="shared" si="37"/>
        <v>4491.69703635735</v>
      </c>
      <c r="Q18" s="908">
        <f t="shared" si="37"/>
        <v>25369.886136208832</v>
      </c>
      <c r="R18" s="908">
        <f t="shared" si="37"/>
        <v>1222.0640000000001</v>
      </c>
      <c r="S18" s="911">
        <f t="shared" si="37"/>
        <v>649.49184700033652</v>
      </c>
      <c r="T18" s="889">
        <f t="shared" si="4"/>
        <v>33854.413730402201</v>
      </c>
      <c r="U18" s="912" t="s">
        <v>1731</v>
      </c>
      <c r="V18" s="908">
        <f t="shared" ref="V18:AA18" si="38">SUM(V19:V41)</f>
        <v>26.066029711197537</v>
      </c>
      <c r="W18" s="908">
        <f t="shared" si="38"/>
        <v>14.943781205345957</v>
      </c>
      <c r="X18" s="908">
        <f t="shared" si="38"/>
        <v>92.148256473196099</v>
      </c>
      <c r="Y18" s="908">
        <f t="shared" si="38"/>
        <v>497.85715867102539</v>
      </c>
      <c r="Z18" s="908">
        <f t="shared" si="38"/>
        <v>26.718190281513944</v>
      </c>
      <c r="AA18" s="908">
        <f t="shared" si="38"/>
        <v>12.968909966898973</v>
      </c>
      <c r="AB18" s="908">
        <f t="shared" si="34"/>
        <v>670.70232630917781</v>
      </c>
      <c r="AC18" s="913" t="s">
        <v>1731</v>
      </c>
      <c r="AD18" s="910">
        <f t="shared" ref="AD18:AI18" si="39">SUM(AD19:AD41)</f>
        <v>26.066029711197537</v>
      </c>
      <c r="AE18" s="908">
        <f t="shared" si="39"/>
        <v>14.943781205345957</v>
      </c>
      <c r="AF18" s="908">
        <f t="shared" si="39"/>
        <v>92.148256473196099</v>
      </c>
      <c r="AG18" s="908">
        <f t="shared" si="39"/>
        <v>497.85715867102539</v>
      </c>
      <c r="AH18" s="908">
        <f t="shared" si="39"/>
        <v>26.718190281513944</v>
      </c>
      <c r="AI18" s="908">
        <f t="shared" si="39"/>
        <v>12.968909966898973</v>
      </c>
      <c r="AJ18" s="908">
        <f t="shared" si="6"/>
        <v>670.70232630917781</v>
      </c>
      <c r="AK18" s="914">
        <f t="shared" si="27"/>
        <v>95.575442274390966</v>
      </c>
      <c r="AL18" s="889">
        <f t="shared" si="28"/>
        <v>54.793864419601839</v>
      </c>
      <c r="AM18" s="889">
        <f t="shared" si="29"/>
        <v>337.87694040171903</v>
      </c>
      <c r="AN18" s="889">
        <f t="shared" si="30"/>
        <v>1825.4762484604264</v>
      </c>
      <c r="AO18" s="889">
        <f t="shared" si="31"/>
        <v>97.96669769888446</v>
      </c>
      <c r="AP18" s="889">
        <f t="shared" si="32"/>
        <v>47.552669878629565</v>
      </c>
      <c r="AQ18" s="915">
        <f t="shared" si="35"/>
        <v>2459.2418631336527</v>
      </c>
    </row>
    <row r="19" spans="1:43">
      <c r="A19" s="817"/>
      <c r="B19" s="860" t="s">
        <v>1608</v>
      </c>
      <c r="C19" s="883"/>
      <c r="D19" s="883"/>
      <c r="E19" s="883">
        <f>HLOOKUP($B$2,'Consumption Input'!$E$5:$AQ$82,'Consumption Input'!$B27)</f>
        <v>1323.2380000000001</v>
      </c>
      <c r="F19" s="883"/>
      <c r="G19" s="883"/>
      <c r="H19" s="883"/>
      <c r="I19" s="883">
        <f t="shared" si="33"/>
        <v>1323.2380000000001</v>
      </c>
      <c r="J19" s="961"/>
      <c r="K19" s="940">
        <f>HLOOKUP($B$2,NEUConsumption,'Non-Energy Use'!$C$10)</f>
        <v>1323.2380000000001</v>
      </c>
      <c r="L19" s="940"/>
      <c r="M19" s="940"/>
      <c r="N19" s="885">
        <f t="shared" ref="N19:N42" si="40">C19</f>
        <v>0</v>
      </c>
      <c r="O19" s="883">
        <f t="shared" ref="O19:O42" si="41">D19</f>
        <v>0</v>
      </c>
      <c r="P19" s="883">
        <f t="shared" ref="P19:P41" si="42">E19-K19</f>
        <v>0</v>
      </c>
      <c r="Q19" s="883">
        <f t="shared" ref="Q19:Q41" si="43">F19-J19-L19</f>
        <v>0</v>
      </c>
      <c r="R19" s="883">
        <f t="shared" ref="R19:R42" si="44">G19</f>
        <v>0</v>
      </c>
      <c r="S19" s="886">
        <f t="shared" ref="S19:S41" si="45">H19-M19</f>
        <v>0</v>
      </c>
      <c r="T19" s="883">
        <f t="shared" si="4"/>
        <v>0</v>
      </c>
      <c r="U19" s="887">
        <f>Factors!D24</f>
        <v>20.55318099621897</v>
      </c>
      <c r="V19" s="885">
        <f t="shared" ref="V19:V41" si="46">N19*$U19*TbtuToQBtu</f>
        <v>0</v>
      </c>
      <c r="W19" s="883">
        <f t="shared" ref="W19:W41" si="47">O19*$U19*TbtuToQBtu</f>
        <v>0</v>
      </c>
      <c r="X19" s="883">
        <f t="shared" ref="X19:X41" si="48">P19*$U19*TbtuToQBtu</f>
        <v>0</v>
      </c>
      <c r="Y19" s="883">
        <f t="shared" ref="Y19:Y41" si="49">Q19*$U19*TbtuToQBtu</f>
        <v>0</v>
      </c>
      <c r="Z19" s="883">
        <f t="shared" ref="Z19:Z41" si="50">R19*$U19*TbtuToQBtu</f>
        <v>0</v>
      </c>
      <c r="AA19" s="883">
        <f t="shared" ref="AA19:AA41" si="51">S19*$U19*TbtuToQBtu</f>
        <v>0</v>
      </c>
      <c r="AB19" s="883">
        <f t="shared" si="34"/>
        <v>0</v>
      </c>
      <c r="AC19" s="888">
        <f>Factors!E24</f>
        <v>1</v>
      </c>
      <c r="AD19" s="885">
        <f t="shared" ref="AD19:AI26" si="52">V19*$AC19</f>
        <v>0</v>
      </c>
      <c r="AE19" s="883">
        <f t="shared" si="52"/>
        <v>0</v>
      </c>
      <c r="AF19" s="883">
        <f t="shared" si="52"/>
        <v>0</v>
      </c>
      <c r="AG19" s="883">
        <f t="shared" si="52"/>
        <v>0</v>
      </c>
      <c r="AH19" s="883">
        <f t="shared" si="52"/>
        <v>0</v>
      </c>
      <c r="AI19" s="883">
        <f t="shared" si="52"/>
        <v>0</v>
      </c>
      <c r="AJ19" s="889">
        <f t="shared" si="6"/>
        <v>0</v>
      </c>
      <c r="AK19" s="885">
        <f t="shared" si="27"/>
        <v>0</v>
      </c>
      <c r="AL19" s="883">
        <f t="shared" si="28"/>
        <v>0</v>
      </c>
      <c r="AM19" s="883">
        <f t="shared" si="29"/>
        <v>0</v>
      </c>
      <c r="AN19" s="883">
        <f t="shared" si="30"/>
        <v>0</v>
      </c>
      <c r="AO19" s="883">
        <f t="shared" si="31"/>
        <v>0</v>
      </c>
      <c r="AP19" s="883">
        <f t="shared" si="32"/>
        <v>0</v>
      </c>
      <c r="AQ19" s="890">
        <f t="shared" si="35"/>
        <v>0</v>
      </c>
    </row>
    <row r="20" spans="1:43">
      <c r="A20" s="817"/>
      <c r="B20" s="860" t="s">
        <v>1622</v>
      </c>
      <c r="C20" s="883"/>
      <c r="D20" s="883"/>
      <c r="E20" s="883"/>
      <c r="F20" s="883">
        <f>HLOOKUP($B$2,'Consumption Input'!$E$5:$AQ$82,'Consumption Input'!$B50)</f>
        <v>35.366</v>
      </c>
      <c r="G20" s="883"/>
      <c r="H20" s="883"/>
      <c r="I20" s="883">
        <f t="shared" si="33"/>
        <v>35.366</v>
      </c>
      <c r="J20" s="961"/>
      <c r="K20" s="940"/>
      <c r="L20" s="940"/>
      <c r="M20" s="940"/>
      <c r="N20" s="885">
        <f t="shared" si="40"/>
        <v>0</v>
      </c>
      <c r="O20" s="883">
        <f t="shared" si="41"/>
        <v>0</v>
      </c>
      <c r="P20" s="883">
        <f t="shared" si="42"/>
        <v>0</v>
      </c>
      <c r="Q20" s="883">
        <f t="shared" si="43"/>
        <v>35.366</v>
      </c>
      <c r="R20" s="883">
        <f t="shared" si="44"/>
        <v>0</v>
      </c>
      <c r="S20" s="886">
        <f t="shared" si="45"/>
        <v>0</v>
      </c>
      <c r="T20" s="883">
        <f t="shared" si="4"/>
        <v>35.366</v>
      </c>
      <c r="U20" s="887">
        <f>Factors!D25</f>
        <v>18.855352254718337</v>
      </c>
      <c r="V20" s="885">
        <f t="shared" si="46"/>
        <v>0</v>
      </c>
      <c r="W20" s="883">
        <f t="shared" si="47"/>
        <v>0</v>
      </c>
      <c r="X20" s="883">
        <f t="shared" si="48"/>
        <v>0</v>
      </c>
      <c r="Y20" s="883">
        <f t="shared" si="49"/>
        <v>0.66683838784036875</v>
      </c>
      <c r="Z20" s="883">
        <f t="shared" si="50"/>
        <v>0</v>
      </c>
      <c r="AA20" s="883">
        <f t="shared" si="51"/>
        <v>0</v>
      </c>
      <c r="AB20" s="883">
        <f t="shared" si="34"/>
        <v>0.66683838784036875</v>
      </c>
      <c r="AC20" s="888">
        <f>Factors!E25</f>
        <v>1</v>
      </c>
      <c r="AD20" s="885">
        <f t="shared" si="52"/>
        <v>0</v>
      </c>
      <c r="AE20" s="883">
        <f t="shared" si="52"/>
        <v>0</v>
      </c>
      <c r="AF20" s="883">
        <f t="shared" si="52"/>
        <v>0</v>
      </c>
      <c r="AG20" s="883">
        <f t="shared" si="52"/>
        <v>0.66683838784036875</v>
      </c>
      <c r="AH20" s="883">
        <f t="shared" si="52"/>
        <v>0</v>
      </c>
      <c r="AI20" s="883">
        <f t="shared" si="52"/>
        <v>0</v>
      </c>
      <c r="AJ20" s="889">
        <f t="shared" si="6"/>
        <v>0.66683838784036875</v>
      </c>
      <c r="AK20" s="885">
        <f t="shared" si="27"/>
        <v>0</v>
      </c>
      <c r="AL20" s="883">
        <f t="shared" si="28"/>
        <v>0</v>
      </c>
      <c r="AM20" s="883">
        <f t="shared" si="29"/>
        <v>0</v>
      </c>
      <c r="AN20" s="883">
        <f t="shared" si="30"/>
        <v>2.4450740887480187</v>
      </c>
      <c r="AO20" s="883">
        <f t="shared" si="31"/>
        <v>0</v>
      </c>
      <c r="AP20" s="883">
        <f t="shared" si="32"/>
        <v>0</v>
      </c>
      <c r="AQ20" s="890">
        <f t="shared" si="35"/>
        <v>2.4450740887480187</v>
      </c>
    </row>
    <row r="21" spans="1:43">
      <c r="A21" s="817"/>
      <c r="B21" s="860" t="s">
        <v>1738</v>
      </c>
      <c r="C21" s="883">
        <f>HLOOKUP($B$2,'Consumption Input'!$E$5:$AQ$82,'Consumption Input'!$B9)</f>
        <v>765.24090513941735</v>
      </c>
      <c r="D21" s="883">
        <f>HLOOKUP($B$2,'Consumption Input'!$E$5:$AQ$82,'Consumption Input'!$B15)</f>
        <v>400.8967257607481</v>
      </c>
      <c r="E21" s="883">
        <f>HLOOKUP($B$2,'Consumption Input'!$E$5:$AQ$82,'Consumption Input'!$B28)</f>
        <v>1129.7462881474539</v>
      </c>
      <c r="F21" s="883">
        <f>HLOOKUP($B$2,'Consumption Input'!$E$5:$AQ$82,'Consumption Input'!$B51)</f>
        <v>6320.699455952381</v>
      </c>
      <c r="G21" s="883">
        <f>HLOOKUP($B$2,'Consumption Input'!$E$5:$AQ$82,'Consumption Input'!$B60)</f>
        <v>114.47</v>
      </c>
      <c r="H21" s="883">
        <f>HLOOKUP($B$2,'US Territories'!$D$28:$Z$38,'US Territories'!$B31)</f>
        <v>136.5448304428767</v>
      </c>
      <c r="I21" s="883">
        <f t="shared" si="33"/>
        <v>8867.5982054428769</v>
      </c>
      <c r="J21" s="961">
        <f>HLOOKUP($B$2,IBFConsumption,'International Bunker Fuels'!$B$10)</f>
        <v>126.88802077883335</v>
      </c>
      <c r="K21" s="940">
        <f>HLOOKUP($B$2,NEUConsumption,'Non-Energy Use'!$C$20)</f>
        <v>16.018749999999997</v>
      </c>
      <c r="L21" s="940"/>
      <c r="M21" s="940"/>
      <c r="N21" s="885">
        <f t="shared" si="40"/>
        <v>765.24090513941735</v>
      </c>
      <c r="O21" s="883">
        <f t="shared" si="41"/>
        <v>400.8967257607481</v>
      </c>
      <c r="P21" s="883">
        <f t="shared" si="42"/>
        <v>1113.727538147454</v>
      </c>
      <c r="Q21" s="883">
        <f t="shared" si="43"/>
        <v>6193.8114351735476</v>
      </c>
      <c r="R21" s="883">
        <f t="shared" si="44"/>
        <v>114.47</v>
      </c>
      <c r="S21" s="886">
        <f t="shared" si="45"/>
        <v>136.5448304428767</v>
      </c>
      <c r="T21" s="883">
        <f t="shared" si="4"/>
        <v>8724.6914346640442</v>
      </c>
      <c r="U21" s="887">
        <f>HLOOKUP($B$2,Factors!$J$12:$BE$27,Factors!$H27,FALSE)</f>
        <v>20.37</v>
      </c>
      <c r="V21" s="885">
        <f t="shared" si="46"/>
        <v>15.587957237689933</v>
      </c>
      <c r="W21" s="883">
        <f t="shared" si="47"/>
        <v>8.1662663037464398</v>
      </c>
      <c r="X21" s="883">
        <f t="shared" si="48"/>
        <v>22.68662995206364</v>
      </c>
      <c r="Y21" s="883">
        <f t="shared" si="49"/>
        <v>126.16793893448516</v>
      </c>
      <c r="Z21" s="883">
        <f t="shared" si="50"/>
        <v>2.3317539000000003</v>
      </c>
      <c r="AA21" s="883">
        <f t="shared" si="51"/>
        <v>2.7814181961213986</v>
      </c>
      <c r="AB21" s="883">
        <f t="shared" si="34"/>
        <v>177.72196452410657</v>
      </c>
      <c r="AC21" s="888">
        <f>Factors!E26</f>
        <v>1</v>
      </c>
      <c r="AD21" s="885">
        <f t="shared" si="52"/>
        <v>15.587957237689933</v>
      </c>
      <c r="AE21" s="883">
        <f t="shared" si="52"/>
        <v>8.1662663037464398</v>
      </c>
      <c r="AF21" s="883">
        <f t="shared" si="52"/>
        <v>22.68662995206364</v>
      </c>
      <c r="AG21" s="883">
        <f t="shared" si="52"/>
        <v>126.16793893448516</v>
      </c>
      <c r="AH21" s="883">
        <f t="shared" si="52"/>
        <v>2.3317539000000003</v>
      </c>
      <c r="AI21" s="883">
        <f t="shared" si="52"/>
        <v>2.7814181961213986</v>
      </c>
      <c r="AJ21" s="889">
        <f t="shared" si="6"/>
        <v>177.72196452410657</v>
      </c>
      <c r="AK21" s="885">
        <f t="shared" si="27"/>
        <v>57.155843204863082</v>
      </c>
      <c r="AL21" s="883">
        <f t="shared" si="28"/>
        <v>29.942976447070279</v>
      </c>
      <c r="AM21" s="883">
        <f t="shared" si="29"/>
        <v>83.184309824233338</v>
      </c>
      <c r="AN21" s="883">
        <f t="shared" si="30"/>
        <v>462.61577609311223</v>
      </c>
      <c r="AO21" s="883">
        <f t="shared" si="31"/>
        <v>8.5497643000000014</v>
      </c>
      <c r="AP21" s="883">
        <f t="shared" si="32"/>
        <v>10.198533385778461</v>
      </c>
      <c r="AQ21" s="890">
        <f t="shared" si="35"/>
        <v>651.64720325505732</v>
      </c>
    </row>
    <row r="22" spans="1:43">
      <c r="A22" s="817"/>
      <c r="B22" s="860" t="s">
        <v>1623</v>
      </c>
      <c r="C22" s="883"/>
      <c r="D22" s="883"/>
      <c r="E22" s="883"/>
      <c r="F22" s="883">
        <f>HLOOKUP($B$2,'Consumption Input'!$E$5:$AQ$82,'Consumption Input'!$B52)</f>
        <v>3474.7539999999999</v>
      </c>
      <c r="G22" s="883"/>
      <c r="H22" s="883">
        <f>HLOOKUP($B$2,'US Territories'!$D$28:$Z$38,'US Territories'!$B32)</f>
        <v>65.510551288302466</v>
      </c>
      <c r="I22" s="883">
        <f t="shared" si="33"/>
        <v>3540.2645512883023</v>
      </c>
      <c r="J22" s="961">
        <f>HLOOKUP($B$2,IBFConsumption,'International Bunker Fuels'!$B$8)</f>
        <v>854.39812796000024</v>
      </c>
      <c r="K22" s="940"/>
      <c r="L22" s="940"/>
      <c r="M22" s="940"/>
      <c r="N22" s="885">
        <f t="shared" si="40"/>
        <v>0</v>
      </c>
      <c r="O22" s="883">
        <f t="shared" si="41"/>
        <v>0</v>
      </c>
      <c r="P22" s="883">
        <f t="shared" si="42"/>
        <v>0</v>
      </c>
      <c r="Q22" s="883">
        <f t="shared" si="43"/>
        <v>2620.3558720399997</v>
      </c>
      <c r="R22" s="883">
        <f t="shared" si="44"/>
        <v>0</v>
      </c>
      <c r="S22" s="886">
        <f t="shared" si="45"/>
        <v>65.510551288302466</v>
      </c>
      <c r="T22" s="883">
        <f t="shared" si="4"/>
        <v>2685.8664233283021</v>
      </c>
      <c r="U22" s="887">
        <f>HLOOKUP($B$2,Factors!$J$12:$Y$25,Factors!$H21)</f>
        <v>19.696969696969692</v>
      </c>
      <c r="V22" s="885">
        <f t="shared" si="46"/>
        <v>0</v>
      </c>
      <c r="W22" s="883">
        <f t="shared" si="47"/>
        <v>0</v>
      </c>
      <c r="X22" s="883">
        <f t="shared" si="48"/>
        <v>0</v>
      </c>
      <c r="Y22" s="883">
        <f t="shared" si="49"/>
        <v>51.613070206848469</v>
      </c>
      <c r="Z22" s="883">
        <f t="shared" si="50"/>
        <v>0</v>
      </c>
      <c r="AA22" s="883">
        <f t="shared" si="51"/>
        <v>1.2903593435574725</v>
      </c>
      <c r="AB22" s="883">
        <f t="shared" si="34"/>
        <v>52.903429550405939</v>
      </c>
      <c r="AC22" s="888">
        <f>Factors!E27</f>
        <v>1</v>
      </c>
      <c r="AD22" s="885">
        <f t="shared" si="52"/>
        <v>0</v>
      </c>
      <c r="AE22" s="883">
        <f t="shared" si="52"/>
        <v>0</v>
      </c>
      <c r="AF22" s="883">
        <f t="shared" si="52"/>
        <v>0</v>
      </c>
      <c r="AG22" s="883">
        <f t="shared" si="52"/>
        <v>51.613070206848469</v>
      </c>
      <c r="AH22" s="883">
        <f t="shared" si="52"/>
        <v>0</v>
      </c>
      <c r="AI22" s="883">
        <f t="shared" si="52"/>
        <v>1.2903593435574725</v>
      </c>
      <c r="AJ22" s="889">
        <f t="shared" si="6"/>
        <v>52.903429550405939</v>
      </c>
      <c r="AK22" s="885">
        <f t="shared" si="27"/>
        <v>0</v>
      </c>
      <c r="AL22" s="883">
        <f t="shared" si="28"/>
        <v>0</v>
      </c>
      <c r="AM22" s="883">
        <f t="shared" si="29"/>
        <v>0</v>
      </c>
      <c r="AN22" s="883">
        <f t="shared" si="30"/>
        <v>189.24792409177772</v>
      </c>
      <c r="AO22" s="883">
        <f t="shared" si="31"/>
        <v>0</v>
      </c>
      <c r="AP22" s="883">
        <f t="shared" si="32"/>
        <v>4.7313175930440661</v>
      </c>
      <c r="AQ22" s="890">
        <f t="shared" si="35"/>
        <v>193.97924168482177</v>
      </c>
    </row>
    <row r="23" spans="1:43">
      <c r="A23" s="817"/>
      <c r="B23" s="860" t="s">
        <v>1599</v>
      </c>
      <c r="C23" s="883">
        <f>HLOOKUP($B$2,'Consumption Input'!$E$5:$AQ$82,'Consumption Input'!$B10)</f>
        <v>83.804000000000002</v>
      </c>
      <c r="D23" s="883">
        <f>HLOOKUP($B$2,'Consumption Input'!$E$5:$AQ$82,'Consumption Input'!$B16)</f>
        <v>21.593</v>
      </c>
      <c r="E23" s="883">
        <f>HLOOKUP($B$2,'Consumption Input'!$E$5:$AQ$82,'Consumption Input'!$B29)</f>
        <v>39.076000000000001</v>
      </c>
      <c r="F23" s="883"/>
      <c r="G23" s="883"/>
      <c r="H23" s="883">
        <f>HLOOKUP($B$2,'US Territories'!$D$28:$Z$38,'US Territories'!$B33)</f>
        <v>5.7766375929452014</v>
      </c>
      <c r="I23" s="883">
        <f t="shared" si="33"/>
        <v>150.24963759294522</v>
      </c>
      <c r="J23" s="961"/>
      <c r="K23" s="940"/>
      <c r="L23" s="940"/>
      <c r="M23" s="940"/>
      <c r="N23" s="885">
        <f t="shared" si="40"/>
        <v>83.804000000000002</v>
      </c>
      <c r="O23" s="883">
        <f t="shared" si="41"/>
        <v>21.593</v>
      </c>
      <c r="P23" s="883">
        <f t="shared" si="42"/>
        <v>39.076000000000001</v>
      </c>
      <c r="Q23" s="883">
        <f t="shared" si="43"/>
        <v>0</v>
      </c>
      <c r="R23" s="883">
        <f t="shared" si="44"/>
        <v>0</v>
      </c>
      <c r="S23" s="886">
        <f t="shared" si="45"/>
        <v>5.7766375929452014</v>
      </c>
      <c r="T23" s="883">
        <f t="shared" si="4"/>
        <v>150.24963759294522</v>
      </c>
      <c r="U23" s="887">
        <f>Factors!D28</f>
        <v>19.964104564962931</v>
      </c>
      <c r="V23" s="885">
        <f t="shared" si="46"/>
        <v>1.6730718189621534</v>
      </c>
      <c r="W23" s="883">
        <f t="shared" si="47"/>
        <v>0.43108490987124459</v>
      </c>
      <c r="X23" s="883">
        <f t="shared" si="48"/>
        <v>0.78011734998049143</v>
      </c>
      <c r="Y23" s="883">
        <f t="shared" si="49"/>
        <v>0</v>
      </c>
      <c r="Z23" s="883">
        <f t="shared" si="50"/>
        <v>0</v>
      </c>
      <c r="AA23" s="883">
        <f t="shared" si="51"/>
        <v>0.11532539693945378</v>
      </c>
      <c r="AB23" s="883">
        <f t="shared" si="34"/>
        <v>2.9995994757533428</v>
      </c>
      <c r="AC23" s="888">
        <f>Factors!E28</f>
        <v>1</v>
      </c>
      <c r="AD23" s="885">
        <f t="shared" si="52"/>
        <v>1.6730718189621534</v>
      </c>
      <c r="AE23" s="883">
        <f t="shared" si="52"/>
        <v>0.43108490987124459</v>
      </c>
      <c r="AF23" s="883">
        <f t="shared" si="52"/>
        <v>0.78011734998049143</v>
      </c>
      <c r="AG23" s="883">
        <f t="shared" si="52"/>
        <v>0</v>
      </c>
      <c r="AH23" s="883">
        <f t="shared" si="52"/>
        <v>0</v>
      </c>
      <c r="AI23" s="883">
        <f t="shared" si="52"/>
        <v>0.11532539693945378</v>
      </c>
      <c r="AJ23" s="889">
        <f t="shared" si="6"/>
        <v>2.9995994757533428</v>
      </c>
      <c r="AK23" s="885">
        <f t="shared" si="27"/>
        <v>6.1345966695278955</v>
      </c>
      <c r="AL23" s="883">
        <f t="shared" si="28"/>
        <v>1.5806446695278968</v>
      </c>
      <c r="AM23" s="883">
        <f t="shared" si="29"/>
        <v>2.8604302832618016</v>
      </c>
      <c r="AN23" s="883">
        <f t="shared" si="30"/>
        <v>0</v>
      </c>
      <c r="AO23" s="883">
        <f t="shared" si="31"/>
        <v>0</v>
      </c>
      <c r="AP23" s="883">
        <f t="shared" si="32"/>
        <v>0.42285978877799718</v>
      </c>
      <c r="AQ23" s="890">
        <f t="shared" si="35"/>
        <v>10.998531411095589</v>
      </c>
    </row>
    <row r="24" spans="1:43">
      <c r="A24" s="817"/>
      <c r="B24" s="860" t="s">
        <v>1600</v>
      </c>
      <c r="C24" s="883">
        <f>HLOOKUP($B$2,'Consumption Input'!$E$5:$AQ$82,'Consumption Input'!$B11)</f>
        <v>513.52</v>
      </c>
      <c r="D24" s="883">
        <f>HLOOKUP($B$2,'Consumption Input'!$E$5:$AQ$82,'Consumption Input'!$B17)</f>
        <v>131.55600000000001</v>
      </c>
      <c r="E24"/>
      <c r="F24" s="883">
        <f>HLOOKUP($B$2,'Consumption Input'!$E$5:$AQ$82,'Consumption Input'!$B53)</f>
        <v>28.234999999999999</v>
      </c>
      <c r="G24" s="883"/>
      <c r="H24"/>
      <c r="I24" s="883">
        <f>SUM(C24:H24)</f>
        <v>673.31100000000004</v>
      </c>
      <c r="J24" s="884"/>
      <c r="K24"/>
      <c r="L24" s="883"/>
      <c r="M24" s="883"/>
      <c r="N24" s="885">
        <f>C24</f>
        <v>513.52</v>
      </c>
      <c r="O24" s="883">
        <f t="shared" si="41"/>
        <v>131.55600000000001</v>
      </c>
      <c r="P24"/>
      <c r="Q24" s="883">
        <f t="shared" si="43"/>
        <v>28.234999999999999</v>
      </c>
      <c r="R24" s="883">
        <f t="shared" si="44"/>
        <v>0</v>
      </c>
      <c r="S24" s="1007"/>
      <c r="T24" s="883">
        <f t="shared" si="4"/>
        <v>673.31100000000004</v>
      </c>
      <c r="U24" s="1005">
        <f>HLOOKUP($B$2,Factors!$J$12:$BE$25,Factors!$H17,FALSE)</f>
        <v>17.146363636363635</v>
      </c>
      <c r="V24" s="885">
        <f>N24*$U24*TbtuToQBtu</f>
        <v>8.8050006545454522</v>
      </c>
      <c r="W24" s="883">
        <f>O24*$U24*TbtuToQBtu</f>
        <v>2.2557070145454547</v>
      </c>
      <c r="X24"/>
      <c r="Y24" s="883">
        <f>Q24*$U24*TbtuToQBtu</f>
        <v>0.48412757727272721</v>
      </c>
      <c r="Z24" s="883">
        <f t="shared" ref="Z24" si="53">R24*$U24*TbtuToQBtu</f>
        <v>0</v>
      </c>
      <c r="AA24"/>
      <c r="AB24" s="883">
        <f>SUM(V24:AA24)</f>
        <v>11.544835246363633</v>
      </c>
      <c r="AC24" s="888">
        <f>Factors!E30</f>
        <v>1</v>
      </c>
      <c r="AD24" s="885">
        <f>V24*$AC24</f>
        <v>8.8050006545454522</v>
      </c>
      <c r="AE24" s="883">
        <f t="shared" si="52"/>
        <v>2.2557070145454547</v>
      </c>
      <c r="AF24"/>
      <c r="AG24" s="883">
        <f t="shared" si="52"/>
        <v>0.48412757727272721</v>
      </c>
      <c r="AH24" s="883">
        <f t="shared" si="52"/>
        <v>0</v>
      </c>
      <c r="AI24"/>
      <c r="AJ24" s="889">
        <f t="shared" si="6"/>
        <v>11.544835246363633</v>
      </c>
      <c r="AK24" s="885">
        <f>AD24*CtoCO2</f>
        <v>32.285002399999989</v>
      </c>
      <c r="AL24" s="883">
        <f t="shared" ref="AL24" si="54">AE24*CtoCO2</f>
        <v>8.270925720000001</v>
      </c>
      <c r="AN24" s="883">
        <f t="shared" ref="AN24" si="55">AG24*CtoCO2</f>
        <v>1.7751344499999997</v>
      </c>
      <c r="AO24" s="883">
        <f t="shared" ref="AO24" si="56">AH24*CtoCO2</f>
        <v>0</v>
      </c>
      <c r="AQ24" s="890">
        <f t="shared" si="35"/>
        <v>42.331062569999993</v>
      </c>
    </row>
    <row r="25" spans="1:43">
      <c r="A25" s="817"/>
      <c r="B25" s="860" t="s">
        <v>1609</v>
      </c>
      <c r="C25" s="883"/>
      <c r="D25" s="883"/>
      <c r="E25" s="883">
        <f>HLOOKUP($B$2,'Consumption Input'!$E$5:$AQ$82,'Consumption Input'!$B30)</f>
        <v>1941.3347836830001</v>
      </c>
      <c r="F25" s="883"/>
      <c r="G25" s="883"/>
      <c r="H25" s="883">
        <f>HLOOKUP($B$2,'US Territories'!$D$28:$AO$38,'US Territories'!$B34)</f>
        <v>10.643855522054782</v>
      </c>
      <c r="I25" s="883">
        <f>SUM(C25:H25)</f>
        <v>1951.9786392050548</v>
      </c>
      <c r="J25" s="884"/>
      <c r="K25" s="883">
        <f>HLOOKUP($B$2,NEUConsumption,'Non-Energy Use'!$C$11)</f>
        <v>1659.4772978420046</v>
      </c>
      <c r="L25" s="883"/>
      <c r="M25" s="883"/>
      <c r="N25" s="885"/>
      <c r="O25" s="883"/>
      <c r="P25" s="883">
        <f>E25-K25</f>
        <v>281.85748584099542</v>
      </c>
      <c r="Q25" s="883"/>
      <c r="R25" s="883"/>
      <c r="S25" s="886">
        <f>H25-M25</f>
        <v>10.643855522054782</v>
      </c>
      <c r="T25" s="883">
        <f t="shared" si="4"/>
        <v>292.50134136305019</v>
      </c>
      <c r="U25" s="1005">
        <f>HLOOKUP($B$2,Factors!$J$12:$BE$25,Factors!$H18,FALSE)</f>
        <v>17.548639616961314</v>
      </c>
      <c r="V25" s="885"/>
      <c r="W25" s="883"/>
      <c r="X25" s="883">
        <f>P25*$U25*TbtuToQBtu</f>
        <v>4.9462154423664053</v>
      </c>
      <c r="Y25" s="883"/>
      <c r="Z25" s="883"/>
      <c r="AA25" s="883">
        <f>S25*$U25*TbtuToQBtu</f>
        <v>0.18678518469154298</v>
      </c>
      <c r="AB25" s="883">
        <f>SUM(V25:AA25)</f>
        <v>5.1330006270579487</v>
      </c>
      <c r="AC25" s="888">
        <f>Factors!E31</f>
        <v>1</v>
      </c>
      <c r="AD25" s="885"/>
      <c r="AE25" s="883"/>
      <c r="AF25" s="883">
        <f>X25*$AC25</f>
        <v>4.9462154423664053</v>
      </c>
      <c r="AG25" s="883"/>
      <c r="AH25" s="883"/>
      <c r="AI25" s="883">
        <f>AA25*$AC25</f>
        <v>0.18678518469154298</v>
      </c>
      <c r="AJ25" s="889">
        <f t="shared" si="6"/>
        <v>5.1330006270579487</v>
      </c>
      <c r="AK25" s="885"/>
      <c r="AL25" s="883"/>
      <c r="AM25" s="883">
        <f>AF25*CtoCO2</f>
        <v>18.136123288676817</v>
      </c>
      <c r="AN25" s="883"/>
      <c r="AO25" s="883"/>
      <c r="AP25" s="883">
        <f>AI25*CtoCO2</f>
        <v>0.68487901053565758</v>
      </c>
      <c r="AQ25" s="890">
        <f t="shared" si="35"/>
        <v>18.821002299212473</v>
      </c>
    </row>
    <row r="26" spans="1:43">
      <c r="A26" s="817"/>
      <c r="B26" s="860" t="s">
        <v>1610</v>
      </c>
      <c r="C26" s="883"/>
      <c r="D26" s="883"/>
      <c r="E26" s="883">
        <f>HLOOKUP($B$2,'Consumption Input'!$E$5:$AQ$82,'Consumption Input'!$B31)</f>
        <v>160.19900000000001</v>
      </c>
      <c r="F26" s="883">
        <f>HLOOKUP($B$2,'Consumption Input'!$E$5:$AQ$82,'Consumption Input'!$B54)</f>
        <v>151.30699999999999</v>
      </c>
      <c r="G26" s="883"/>
      <c r="H26" s="883">
        <f>HLOOKUP($B$2,'US Territories'!$D$28:$Z$38,'US Territories'!$B35)</f>
        <v>4.5822113527397264</v>
      </c>
      <c r="I26" s="883">
        <f t="shared" si="33"/>
        <v>316.08821135273968</v>
      </c>
      <c r="J26" s="961"/>
      <c r="K26" s="940">
        <f>HLOOKUP($B$2,NEUConsumption,'Non-Energy Use'!$C$12)</f>
        <v>160.19900000000001</v>
      </c>
      <c r="L26" s="940">
        <f>HLOOKUP($B$2,NEUConsumption,'Non-Energy Use'!$C$24)</f>
        <v>151.30699999999999</v>
      </c>
      <c r="M26" s="940">
        <f>HLOOKUP($B$2,NEUConsumption,'Non-Energy Use'!$C$26)</f>
        <v>4.5822113527397264</v>
      </c>
      <c r="N26" s="885">
        <f t="shared" si="40"/>
        <v>0</v>
      </c>
      <c r="O26" s="883">
        <f t="shared" si="41"/>
        <v>0</v>
      </c>
      <c r="P26" s="883">
        <f t="shared" si="42"/>
        <v>0</v>
      </c>
      <c r="Q26" s="883">
        <f t="shared" si="43"/>
        <v>0</v>
      </c>
      <c r="R26" s="883">
        <f t="shared" si="44"/>
        <v>0</v>
      </c>
      <c r="S26" s="886">
        <f t="shared" si="45"/>
        <v>0</v>
      </c>
      <c r="T26" s="883">
        <f t="shared" si="4"/>
        <v>0</v>
      </c>
      <c r="U26" s="887">
        <f>Factors!D33</f>
        <v>20.199355467286214</v>
      </c>
      <c r="V26" s="885">
        <f t="shared" si="46"/>
        <v>0</v>
      </c>
      <c r="W26" s="883">
        <f t="shared" si="47"/>
        <v>0</v>
      </c>
      <c r="X26" s="883">
        <f t="shared" si="48"/>
        <v>0</v>
      </c>
      <c r="Y26" s="883">
        <f t="shared" si="49"/>
        <v>0</v>
      </c>
      <c r="Z26" s="883">
        <f t="shared" si="50"/>
        <v>0</v>
      </c>
      <c r="AA26" s="883">
        <f t="shared" si="51"/>
        <v>0</v>
      </c>
      <c r="AB26" s="883">
        <f t="shared" si="34"/>
        <v>0</v>
      </c>
      <c r="AC26" s="888">
        <f>Factors!E33</f>
        <v>1</v>
      </c>
      <c r="AD26" s="885">
        <f t="shared" si="52"/>
        <v>0</v>
      </c>
      <c r="AE26" s="883">
        <f t="shared" si="52"/>
        <v>0</v>
      </c>
      <c r="AF26" s="883">
        <f t="shared" si="52"/>
        <v>0</v>
      </c>
      <c r="AG26" s="883">
        <f t="shared" si="52"/>
        <v>0</v>
      </c>
      <c r="AH26" s="883">
        <f t="shared" si="52"/>
        <v>0</v>
      </c>
      <c r="AI26" s="883">
        <f t="shared" si="52"/>
        <v>0</v>
      </c>
      <c r="AJ26" s="889">
        <f t="shared" si="6"/>
        <v>0</v>
      </c>
      <c r="AK26" s="885">
        <f t="shared" si="27"/>
        <v>0</v>
      </c>
      <c r="AL26" s="883">
        <f t="shared" si="28"/>
        <v>0</v>
      </c>
      <c r="AM26" s="883">
        <f t="shared" si="29"/>
        <v>0</v>
      </c>
      <c r="AN26" s="883">
        <f t="shared" si="30"/>
        <v>0</v>
      </c>
      <c r="AO26" s="883">
        <f t="shared" si="31"/>
        <v>0</v>
      </c>
      <c r="AP26" s="883">
        <f t="shared" si="32"/>
        <v>0</v>
      </c>
      <c r="AQ26" s="890">
        <f t="shared" si="35"/>
        <v>0</v>
      </c>
    </row>
    <row r="27" spans="1:43">
      <c r="A27" s="817"/>
      <c r="B27" s="860" t="s">
        <v>1601</v>
      </c>
      <c r="C27" s="883"/>
      <c r="D27" s="883">
        <f>HLOOKUP($B$2,'Consumption Input'!$E$5:$AQ$82,'Consumption Input'!$B18)</f>
        <v>88.571079935514064</v>
      </c>
      <c r="E27" s="883">
        <f>HLOOKUP($B$2,'Consumption Input'!$E$5:$AQ$82,'Consumption Input'!$B32)</f>
        <v>689.47242905420046</v>
      </c>
      <c r="F27" s="883">
        <f>HLOOKUP($B$2,'Consumption Input'!$E$5:$AQ$82,'Consumption Input'!$B55)</f>
        <v>16235.680666590284</v>
      </c>
      <c r="G27" s="883"/>
      <c r="H27" s="883">
        <f>HLOOKUP($B$2,'US Territories'!$D$28:$Z$38,'US Territories'!$B36)</f>
        <v>200.15971045520547</v>
      </c>
      <c r="I27" s="883">
        <f t="shared" si="33"/>
        <v>17213.883886035204</v>
      </c>
      <c r="J27" s="961"/>
      <c r="K27" s="940"/>
      <c r="L27" s="940"/>
      <c r="M27" s="940"/>
      <c r="N27" s="885">
        <f t="shared" si="40"/>
        <v>0</v>
      </c>
      <c r="O27" s="883">
        <f t="shared" si="41"/>
        <v>88.571079935514064</v>
      </c>
      <c r="P27" s="883">
        <f t="shared" si="42"/>
        <v>689.47242905420046</v>
      </c>
      <c r="Q27" s="883">
        <f t="shared" si="43"/>
        <v>16235.680666590284</v>
      </c>
      <c r="R27" s="883">
        <f t="shared" si="44"/>
        <v>0</v>
      </c>
      <c r="S27" s="886">
        <f t="shared" si="45"/>
        <v>200.15971045520547</v>
      </c>
      <c r="T27" s="883">
        <f t="shared" si="4"/>
        <v>17213.883886035204</v>
      </c>
      <c r="U27" s="887">
        <f>HLOOKUP($B$2,Factors!$J$12:$Y$25,Factors!$H20)</f>
        <v>19.32</v>
      </c>
      <c r="V27" s="885">
        <f t="shared" si="46"/>
        <v>0</v>
      </c>
      <c r="W27" s="883">
        <f t="shared" si="47"/>
        <v>1.7111932643541319</v>
      </c>
      <c r="X27" s="883">
        <f t="shared" si="48"/>
        <v>13.320607329327153</v>
      </c>
      <c r="Y27" s="883">
        <f t="shared" si="49"/>
        <v>313.6733504785243</v>
      </c>
      <c r="Z27" s="883">
        <f t="shared" si="50"/>
        <v>0</v>
      </c>
      <c r="AA27" s="883">
        <f t="shared" si="51"/>
        <v>3.86708560599457</v>
      </c>
      <c r="AB27" s="883">
        <f t="shared" si="34"/>
        <v>332.57223667820017</v>
      </c>
      <c r="AC27" s="888">
        <f>Factors!E34</f>
        <v>1</v>
      </c>
      <c r="AD27" s="885">
        <f t="shared" ref="AD27:AD42" si="57">V27*$AC27</f>
        <v>0</v>
      </c>
      <c r="AE27" s="883">
        <f t="shared" ref="AE27:AE42" si="58">W27*$AC27</f>
        <v>1.7111932643541319</v>
      </c>
      <c r="AF27" s="883">
        <f t="shared" ref="AF27:AF42" si="59">X27*$AC27</f>
        <v>13.320607329327153</v>
      </c>
      <c r="AG27" s="883">
        <f>Y27*$AC44</f>
        <v>313.6733504785243</v>
      </c>
      <c r="AH27" s="883">
        <f t="shared" ref="AH27:AH42" si="60">Z27*$AC27</f>
        <v>0</v>
      </c>
      <c r="AI27" s="883">
        <f t="shared" ref="AI27:AI42" si="61">AA27*$AC27</f>
        <v>3.86708560599457</v>
      </c>
      <c r="AJ27" s="889">
        <f t="shared" si="6"/>
        <v>332.57223667820017</v>
      </c>
      <c r="AK27" s="885">
        <f t="shared" si="27"/>
        <v>0</v>
      </c>
      <c r="AL27" s="883">
        <f t="shared" si="28"/>
        <v>6.2743753026318165</v>
      </c>
      <c r="AM27" s="883">
        <f t="shared" si="29"/>
        <v>48.842226874199561</v>
      </c>
      <c r="AN27" s="883">
        <f t="shared" si="30"/>
        <v>1150.1356184212557</v>
      </c>
      <c r="AO27" s="883">
        <f t="shared" si="31"/>
        <v>0</v>
      </c>
      <c r="AP27" s="883">
        <f t="shared" si="32"/>
        <v>14.179313888646757</v>
      </c>
      <c r="AQ27" s="890">
        <f t="shared" si="35"/>
        <v>1219.4315344867337</v>
      </c>
    </row>
    <row r="28" spans="1:43">
      <c r="A28" s="817"/>
      <c r="B28" s="860" t="s">
        <v>1602</v>
      </c>
      <c r="C28" s="883"/>
      <c r="D28" s="883">
        <f>HLOOKUP($B$2,'Consumption Input'!$E$5:$AQ$82,'Consumption Input'!$B19)</f>
        <v>115.82899999999998</v>
      </c>
      <c r="E28" s="883">
        <f>HLOOKUP($B$2,'Consumption Input'!$E$5:$AQ$82,'Consumption Input'!$B33)</f>
        <v>223.23224999999999</v>
      </c>
      <c r="F28" s="883">
        <f>HLOOKUP($B$2,'Consumption Input'!$E$5:$AQ$82,'Consumption Input'!$B56)</f>
        <v>837.44200000000001</v>
      </c>
      <c r="G28" s="883">
        <f>HLOOKUP($B$2,'Consumption Input'!$E$5:$AQ$82,'Consumption Input'!$B61)</f>
        <v>876.46199999999999</v>
      </c>
      <c r="H28" s="883">
        <f>HLOOKUP($B$2,'US Territories'!$D$28:$Z$38,'US Territories'!$B37)</f>
        <v>230.85626169895184</v>
      </c>
      <c r="I28" s="883">
        <f t="shared" si="33"/>
        <v>2283.8215116989522</v>
      </c>
      <c r="J28" s="961">
        <f>HLOOKUP($B$2,IBFConsumption,'International Bunker Fuels'!$B$9)</f>
        <v>581.00483759499991</v>
      </c>
      <c r="K28" s="940"/>
      <c r="L28" s="940"/>
      <c r="M28" s="940"/>
      <c r="N28" s="885">
        <f t="shared" si="40"/>
        <v>0</v>
      </c>
      <c r="O28" s="883">
        <f t="shared" si="41"/>
        <v>115.82899999999998</v>
      </c>
      <c r="P28" s="883">
        <f t="shared" si="42"/>
        <v>223.23224999999999</v>
      </c>
      <c r="Q28" s="883">
        <f t="shared" si="43"/>
        <v>256.43716240500009</v>
      </c>
      <c r="R28" s="883">
        <f t="shared" si="44"/>
        <v>876.46199999999999</v>
      </c>
      <c r="S28" s="886">
        <f t="shared" si="45"/>
        <v>230.85626169895184</v>
      </c>
      <c r="T28" s="883">
        <f t="shared" si="4"/>
        <v>1702.816674103952</v>
      </c>
      <c r="U28" s="887">
        <f>Factors!D36</f>
        <v>20.48</v>
      </c>
      <c r="V28" s="885">
        <f t="shared" si="46"/>
        <v>0</v>
      </c>
      <c r="W28" s="883">
        <f t="shared" si="47"/>
        <v>2.3721779199999995</v>
      </c>
      <c r="X28" s="883">
        <f t="shared" si="48"/>
        <v>4.5717964799999997</v>
      </c>
      <c r="Y28" s="883">
        <f t="shared" si="49"/>
        <v>5.2518330860544022</v>
      </c>
      <c r="Z28" s="883">
        <f t="shared" si="50"/>
        <v>17.949941760000002</v>
      </c>
      <c r="AA28" s="883">
        <f t="shared" si="51"/>
        <v>4.7279362395945341</v>
      </c>
      <c r="AB28" s="883">
        <f t="shared" si="34"/>
        <v>34.873685485648934</v>
      </c>
      <c r="AC28" s="888">
        <f>Factors!E36</f>
        <v>1</v>
      </c>
      <c r="AD28" s="885">
        <f t="shared" si="57"/>
        <v>0</v>
      </c>
      <c r="AE28" s="883">
        <f t="shared" si="58"/>
        <v>2.3721779199999995</v>
      </c>
      <c r="AF28" s="883">
        <f t="shared" si="59"/>
        <v>4.5717964799999997</v>
      </c>
      <c r="AG28" s="883">
        <f t="shared" ref="AG28:AG42" si="62">Y28*$AC28</f>
        <v>5.2518330860544022</v>
      </c>
      <c r="AH28" s="883">
        <f t="shared" si="60"/>
        <v>17.949941760000002</v>
      </c>
      <c r="AI28" s="883">
        <f t="shared" si="61"/>
        <v>4.7279362395945341</v>
      </c>
      <c r="AJ28" s="889">
        <f t="shared" si="6"/>
        <v>34.873685485648934</v>
      </c>
      <c r="AK28" s="885">
        <f t="shared" si="27"/>
        <v>0</v>
      </c>
      <c r="AL28" s="883">
        <f t="shared" si="28"/>
        <v>8.6979857066666639</v>
      </c>
      <c r="AM28" s="883">
        <f t="shared" si="29"/>
        <v>16.763253759999998</v>
      </c>
      <c r="AN28" s="883">
        <f t="shared" si="30"/>
        <v>19.256721315532808</v>
      </c>
      <c r="AO28" s="883">
        <f t="shared" si="31"/>
        <v>65.816453120000006</v>
      </c>
      <c r="AP28" s="883">
        <f t="shared" si="32"/>
        <v>17.335766211846625</v>
      </c>
      <c r="AQ28" s="890">
        <f t="shared" si="35"/>
        <v>127.87018011404609</v>
      </c>
    </row>
    <row r="29" spans="1:43">
      <c r="A29" s="817"/>
      <c r="B29" s="860" t="s">
        <v>1603</v>
      </c>
      <c r="C29" s="883"/>
      <c r="D29" s="883"/>
      <c r="E29" s="883"/>
      <c r="F29" s="883"/>
      <c r="G29" s="883"/>
      <c r="H29" s="883"/>
      <c r="I29" s="940"/>
      <c r="J29" s="961"/>
      <c r="K29" s="940"/>
      <c r="L29" s="940"/>
      <c r="M29" s="940"/>
      <c r="N29" s="885">
        <f t="shared" si="40"/>
        <v>0</v>
      </c>
      <c r="O29" s="883">
        <f t="shared" si="41"/>
        <v>0</v>
      </c>
      <c r="P29" s="883">
        <f t="shared" si="42"/>
        <v>0</v>
      </c>
      <c r="Q29" s="883">
        <f t="shared" si="43"/>
        <v>0</v>
      </c>
      <c r="R29" s="883">
        <f t="shared" si="44"/>
        <v>0</v>
      </c>
      <c r="S29" s="886">
        <f t="shared" si="45"/>
        <v>0</v>
      </c>
      <c r="T29" s="883">
        <f t="shared" si="4"/>
        <v>0</v>
      </c>
      <c r="U29" s="887"/>
      <c r="V29" s="885">
        <f t="shared" si="46"/>
        <v>0</v>
      </c>
      <c r="W29" s="883">
        <f t="shared" si="47"/>
        <v>0</v>
      </c>
      <c r="X29" s="883">
        <f t="shared" si="48"/>
        <v>0</v>
      </c>
      <c r="Y29" s="883">
        <f t="shared" si="49"/>
        <v>0</v>
      </c>
      <c r="Z29" s="883">
        <f t="shared" si="50"/>
        <v>0</v>
      </c>
      <c r="AA29" s="883">
        <f t="shared" si="51"/>
        <v>0</v>
      </c>
      <c r="AB29" s="883">
        <f t="shared" si="34"/>
        <v>0</v>
      </c>
      <c r="AC29" s="888"/>
      <c r="AD29" s="885">
        <f t="shared" si="57"/>
        <v>0</v>
      </c>
      <c r="AE29" s="883">
        <f t="shared" si="58"/>
        <v>0</v>
      </c>
      <c r="AF29" s="883">
        <f t="shared" si="59"/>
        <v>0</v>
      </c>
      <c r="AG29" s="883">
        <f t="shared" si="62"/>
        <v>0</v>
      </c>
      <c r="AH29" s="883">
        <f t="shared" si="60"/>
        <v>0</v>
      </c>
      <c r="AI29" s="883">
        <f t="shared" si="61"/>
        <v>0</v>
      </c>
      <c r="AJ29" s="889">
        <f t="shared" si="6"/>
        <v>0</v>
      </c>
      <c r="AK29" s="885">
        <f t="shared" si="27"/>
        <v>0</v>
      </c>
      <c r="AL29" s="883">
        <f t="shared" si="28"/>
        <v>0</v>
      </c>
      <c r="AM29" s="883">
        <f t="shared" si="29"/>
        <v>0</v>
      </c>
      <c r="AN29" s="883">
        <f t="shared" si="30"/>
        <v>0</v>
      </c>
      <c r="AO29" s="883">
        <f t="shared" si="31"/>
        <v>0</v>
      </c>
      <c r="AP29" s="883">
        <f t="shared" si="32"/>
        <v>0</v>
      </c>
      <c r="AQ29" s="890">
        <f t="shared" si="35"/>
        <v>0</v>
      </c>
    </row>
    <row r="30" spans="1:43">
      <c r="A30" s="817"/>
      <c r="B30" s="865" t="s">
        <v>1611</v>
      </c>
      <c r="C30" s="883"/>
      <c r="D30" s="883"/>
      <c r="E30" s="883">
        <f>HLOOKUP($B$2,'Consumption Input'!$E$5:$AQ$82,'Consumption Input'!$B35)</f>
        <v>8.3241519999999998</v>
      </c>
      <c r="F30" s="883"/>
      <c r="G30" s="883"/>
      <c r="H30" s="883"/>
      <c r="I30" s="883">
        <f t="shared" ref="I30:I41" si="63">SUM(C30:H30)</f>
        <v>8.3241519999999998</v>
      </c>
      <c r="J30" s="961"/>
      <c r="K30" s="940"/>
      <c r="L30" s="940"/>
      <c r="M30" s="940"/>
      <c r="N30" s="885">
        <f t="shared" si="40"/>
        <v>0</v>
      </c>
      <c r="O30" s="883">
        <f t="shared" si="41"/>
        <v>0</v>
      </c>
      <c r="P30" s="883">
        <f t="shared" si="42"/>
        <v>8.3241519999999998</v>
      </c>
      <c r="Q30" s="883">
        <f t="shared" si="43"/>
        <v>0</v>
      </c>
      <c r="R30" s="883">
        <f t="shared" si="44"/>
        <v>0</v>
      </c>
      <c r="S30" s="886">
        <f t="shared" si="45"/>
        <v>0</v>
      </c>
      <c r="T30" s="883">
        <f t="shared" si="4"/>
        <v>8.3241519999999998</v>
      </c>
      <c r="U30" s="887">
        <f>Factors!D39</f>
        <v>18.87</v>
      </c>
      <c r="V30" s="885">
        <f t="shared" si="46"/>
        <v>0</v>
      </c>
      <c r="W30" s="883">
        <f t="shared" si="47"/>
        <v>0</v>
      </c>
      <c r="X30" s="883">
        <f t="shared" si="48"/>
        <v>0.15707674824000001</v>
      </c>
      <c r="Y30" s="883">
        <f t="shared" si="49"/>
        <v>0</v>
      </c>
      <c r="Z30" s="883">
        <f t="shared" si="50"/>
        <v>0</v>
      </c>
      <c r="AA30" s="883">
        <f t="shared" si="51"/>
        <v>0</v>
      </c>
      <c r="AB30" s="883">
        <f t="shared" si="34"/>
        <v>0.15707674824000001</v>
      </c>
      <c r="AC30" s="888">
        <f>Factors!E39</f>
        <v>1</v>
      </c>
      <c r="AD30" s="885">
        <f t="shared" si="57"/>
        <v>0</v>
      </c>
      <c r="AE30" s="883">
        <f t="shared" si="58"/>
        <v>0</v>
      </c>
      <c r="AF30" s="883">
        <f t="shared" si="59"/>
        <v>0.15707674824000001</v>
      </c>
      <c r="AG30" s="883">
        <f t="shared" si="62"/>
        <v>0</v>
      </c>
      <c r="AH30" s="883">
        <f t="shared" si="60"/>
        <v>0</v>
      </c>
      <c r="AI30" s="883">
        <f t="shared" si="61"/>
        <v>0</v>
      </c>
      <c r="AJ30" s="889">
        <f t="shared" si="6"/>
        <v>0.15707674824000001</v>
      </c>
      <c r="AK30" s="885">
        <f t="shared" si="27"/>
        <v>0</v>
      </c>
      <c r="AL30" s="883">
        <f t="shared" si="28"/>
        <v>0</v>
      </c>
      <c r="AM30" s="883">
        <f t="shared" si="29"/>
        <v>0.57594807688000005</v>
      </c>
      <c r="AN30" s="883">
        <f t="shared" si="30"/>
        <v>0</v>
      </c>
      <c r="AO30" s="883">
        <f t="shared" si="31"/>
        <v>0</v>
      </c>
      <c r="AP30" s="883">
        <f t="shared" si="32"/>
        <v>0</v>
      </c>
      <c r="AQ30" s="890">
        <f t="shared" si="35"/>
        <v>0.57594807688000005</v>
      </c>
    </row>
    <row r="31" spans="1:43">
      <c r="A31" s="817"/>
      <c r="B31" s="865" t="s">
        <v>1612</v>
      </c>
      <c r="C31" s="883"/>
      <c r="D31" s="883"/>
      <c r="E31" s="883">
        <f>HLOOKUP($B$2,'Consumption Input'!$E$5:$AQ$82,'Consumption Input'!$B36)</f>
        <v>0</v>
      </c>
      <c r="F31" s="883"/>
      <c r="G31" s="883"/>
      <c r="H31" s="883"/>
      <c r="I31" s="883">
        <f t="shared" si="63"/>
        <v>0</v>
      </c>
      <c r="J31" s="961"/>
      <c r="K31" s="940"/>
      <c r="L31" s="940"/>
      <c r="M31" s="940"/>
      <c r="N31" s="885">
        <f t="shared" si="40"/>
        <v>0</v>
      </c>
      <c r="O31" s="883">
        <f t="shared" si="41"/>
        <v>0</v>
      </c>
      <c r="P31" s="883">
        <f t="shared" si="42"/>
        <v>0</v>
      </c>
      <c r="Q31" s="883">
        <f t="shared" si="43"/>
        <v>0</v>
      </c>
      <c r="R31" s="883">
        <f t="shared" si="44"/>
        <v>0</v>
      </c>
      <c r="S31" s="886">
        <f t="shared" si="45"/>
        <v>0</v>
      </c>
      <c r="T31" s="883">
        <f t="shared" si="4"/>
        <v>0</v>
      </c>
      <c r="U31" s="887">
        <f>HLOOKUP($B$2,Factors!$J$12:$Y$25,Factors!$H25)</f>
        <v>20.314859972586206</v>
      </c>
      <c r="V31" s="885">
        <f t="shared" si="46"/>
        <v>0</v>
      </c>
      <c r="W31" s="883">
        <f t="shared" si="47"/>
        <v>0</v>
      </c>
      <c r="X31" s="883">
        <f t="shared" si="48"/>
        <v>0</v>
      </c>
      <c r="Y31" s="883">
        <f t="shared" si="49"/>
        <v>0</v>
      </c>
      <c r="Z31" s="883">
        <f t="shared" si="50"/>
        <v>0</v>
      </c>
      <c r="AA31" s="883">
        <f t="shared" si="51"/>
        <v>0</v>
      </c>
      <c r="AB31" s="883">
        <f t="shared" si="34"/>
        <v>0</v>
      </c>
      <c r="AC31" s="888">
        <f>Factors!E40</f>
        <v>1</v>
      </c>
      <c r="AD31" s="885">
        <f t="shared" si="57"/>
        <v>0</v>
      </c>
      <c r="AE31" s="883">
        <f t="shared" si="58"/>
        <v>0</v>
      </c>
      <c r="AF31" s="883">
        <f t="shared" si="59"/>
        <v>0</v>
      </c>
      <c r="AG31" s="883">
        <f t="shared" si="62"/>
        <v>0</v>
      </c>
      <c r="AH31" s="883">
        <f t="shared" si="60"/>
        <v>0</v>
      </c>
      <c r="AI31" s="883">
        <f t="shared" si="61"/>
        <v>0</v>
      </c>
      <c r="AJ31" s="889">
        <f t="shared" si="6"/>
        <v>0</v>
      </c>
      <c r="AK31" s="885">
        <f t="shared" si="27"/>
        <v>0</v>
      </c>
      <c r="AL31" s="883">
        <f t="shared" si="28"/>
        <v>0</v>
      </c>
      <c r="AM31" s="883">
        <f t="shared" si="29"/>
        <v>0</v>
      </c>
      <c r="AN31" s="883">
        <f t="shared" si="30"/>
        <v>0</v>
      </c>
      <c r="AO31" s="883">
        <f t="shared" si="31"/>
        <v>0</v>
      </c>
      <c r="AP31" s="883">
        <f t="shared" si="32"/>
        <v>0</v>
      </c>
      <c r="AQ31" s="890">
        <f t="shared" si="35"/>
        <v>0</v>
      </c>
    </row>
    <row r="32" spans="1:43">
      <c r="A32" s="817"/>
      <c r="B32" s="865" t="s">
        <v>1613</v>
      </c>
      <c r="C32" s="883"/>
      <c r="D32" s="883"/>
      <c r="E32" s="883">
        <f>HLOOKUP($B$2,'Consumption Input'!$E$5:$AQ$82,'Consumption Input'!$B37)</f>
        <v>0</v>
      </c>
      <c r="F32" s="883"/>
      <c r="G32" s="883"/>
      <c r="H32" s="883"/>
      <c r="I32" s="883">
        <f t="shared" si="63"/>
        <v>0</v>
      </c>
      <c r="J32" s="961"/>
      <c r="K32" s="940"/>
      <c r="L32" s="940"/>
      <c r="M32" s="940"/>
      <c r="N32" s="885">
        <f t="shared" si="40"/>
        <v>0</v>
      </c>
      <c r="O32" s="883">
        <f t="shared" si="41"/>
        <v>0</v>
      </c>
      <c r="P32" s="883">
        <f t="shared" si="42"/>
        <v>0</v>
      </c>
      <c r="Q32" s="883">
        <f t="shared" si="43"/>
        <v>0</v>
      </c>
      <c r="R32" s="883">
        <f t="shared" si="44"/>
        <v>0</v>
      </c>
      <c r="S32" s="886">
        <f t="shared" si="45"/>
        <v>0</v>
      </c>
      <c r="T32" s="883">
        <f t="shared" si="4"/>
        <v>0</v>
      </c>
      <c r="U32" s="887">
        <f>HLOOKUP($B$2,Factors!$J$12:$Y$25,Factors!$H22)</f>
        <v>19.363705989316625</v>
      </c>
      <c r="V32" s="885">
        <f t="shared" si="46"/>
        <v>0</v>
      </c>
      <c r="W32" s="883">
        <f t="shared" si="47"/>
        <v>0</v>
      </c>
      <c r="X32" s="883">
        <f t="shared" si="48"/>
        <v>0</v>
      </c>
      <c r="Y32" s="883">
        <f t="shared" si="49"/>
        <v>0</v>
      </c>
      <c r="Z32" s="883">
        <f t="shared" si="50"/>
        <v>0</v>
      </c>
      <c r="AA32" s="883">
        <f t="shared" si="51"/>
        <v>0</v>
      </c>
      <c r="AB32" s="883">
        <f t="shared" si="34"/>
        <v>0</v>
      </c>
      <c r="AC32" s="888">
        <f>Factors!E41</f>
        <v>1</v>
      </c>
      <c r="AD32" s="885">
        <f t="shared" si="57"/>
        <v>0</v>
      </c>
      <c r="AE32" s="883">
        <f t="shared" si="58"/>
        <v>0</v>
      </c>
      <c r="AF32" s="883">
        <f t="shared" si="59"/>
        <v>0</v>
      </c>
      <c r="AG32" s="883">
        <f t="shared" si="62"/>
        <v>0</v>
      </c>
      <c r="AH32" s="883">
        <f t="shared" si="60"/>
        <v>0</v>
      </c>
      <c r="AI32" s="883">
        <f t="shared" si="61"/>
        <v>0</v>
      </c>
      <c r="AJ32" s="889">
        <f t="shared" si="6"/>
        <v>0</v>
      </c>
      <c r="AK32" s="885">
        <f t="shared" si="27"/>
        <v>0</v>
      </c>
      <c r="AL32" s="883">
        <f t="shared" si="28"/>
        <v>0</v>
      </c>
      <c r="AM32" s="883">
        <f t="shared" si="29"/>
        <v>0</v>
      </c>
      <c r="AN32" s="883">
        <f t="shared" si="30"/>
        <v>0</v>
      </c>
      <c r="AO32" s="883">
        <f t="shared" si="31"/>
        <v>0</v>
      </c>
      <c r="AP32" s="883">
        <f t="shared" si="32"/>
        <v>0</v>
      </c>
      <c r="AQ32" s="890">
        <f t="shared" si="35"/>
        <v>0</v>
      </c>
    </row>
    <row r="33" spans="1:43">
      <c r="A33" s="817"/>
      <c r="B33" s="865" t="s">
        <v>1739</v>
      </c>
      <c r="C33" s="883"/>
      <c r="D33" s="883"/>
      <c r="E33" s="883">
        <f>HLOOKUP($B$2,'Consumption Input'!$E$5:$AQ$82,'Consumption Input'!$B38)</f>
        <v>112.79127862799999</v>
      </c>
      <c r="F33" s="883"/>
      <c r="G33" s="883"/>
      <c r="H33" s="883">
        <f>HLOOKUP($B$2,'US Territories'!$D$28:$Z$38,'US Territories'!$B38)</f>
        <v>110.34747483020551</v>
      </c>
      <c r="I33" s="883">
        <f t="shared" si="63"/>
        <v>223.13875345820549</v>
      </c>
      <c r="J33" s="961"/>
      <c r="K33" s="940">
        <f>HLOOKUP($B$2,NEUConsumption,'Non-Energy Use'!C22)</f>
        <v>112.79127862799999</v>
      </c>
      <c r="L33" s="940"/>
      <c r="M33" s="940">
        <f>HLOOKUP($B$2,NEUConsumption,'Non-Energy Use'!$C$27)</f>
        <v>110.34747483020551</v>
      </c>
      <c r="N33" s="885">
        <f t="shared" si="40"/>
        <v>0</v>
      </c>
      <c r="O33" s="883">
        <f t="shared" si="41"/>
        <v>0</v>
      </c>
      <c r="P33" s="883">
        <f t="shared" si="42"/>
        <v>0</v>
      </c>
      <c r="Q33" s="883">
        <f t="shared" si="43"/>
        <v>0</v>
      </c>
      <c r="R33" s="883">
        <f t="shared" si="44"/>
        <v>0</v>
      </c>
      <c r="S33" s="886">
        <f t="shared" si="45"/>
        <v>0</v>
      </c>
      <c r="T33" s="883">
        <f t="shared" si="4"/>
        <v>0</v>
      </c>
      <c r="U33" s="887">
        <f>HLOOKUP($B$2,Factors!$J$12:$Y$25,Factors!$H23)</f>
        <v>0</v>
      </c>
      <c r="V33" s="885">
        <f t="shared" si="46"/>
        <v>0</v>
      </c>
      <c r="W33" s="883">
        <f t="shared" si="47"/>
        <v>0</v>
      </c>
      <c r="X33" s="883">
        <f t="shared" si="48"/>
        <v>0</v>
      </c>
      <c r="Y33" s="883">
        <f t="shared" si="49"/>
        <v>0</v>
      </c>
      <c r="Z33" s="883">
        <f t="shared" si="50"/>
        <v>0</v>
      </c>
      <c r="AA33" s="883">
        <f t="shared" si="51"/>
        <v>0</v>
      </c>
      <c r="AB33" s="883">
        <f t="shared" si="34"/>
        <v>0</v>
      </c>
      <c r="AC33" s="888">
        <f>Factors!E42</f>
        <v>1</v>
      </c>
      <c r="AD33" s="885">
        <f t="shared" si="57"/>
        <v>0</v>
      </c>
      <c r="AE33" s="883">
        <f t="shared" si="58"/>
        <v>0</v>
      </c>
      <c r="AF33" s="883">
        <f t="shared" si="59"/>
        <v>0</v>
      </c>
      <c r="AG33" s="883">
        <f t="shared" si="62"/>
        <v>0</v>
      </c>
      <c r="AH33" s="883">
        <f t="shared" si="60"/>
        <v>0</v>
      </c>
      <c r="AI33" s="883">
        <f t="shared" si="61"/>
        <v>0</v>
      </c>
      <c r="AJ33" s="889">
        <f t="shared" si="6"/>
        <v>0</v>
      </c>
      <c r="AK33" s="885">
        <f t="shared" si="27"/>
        <v>0</v>
      </c>
      <c r="AL33" s="883">
        <f t="shared" si="28"/>
        <v>0</v>
      </c>
      <c r="AM33" s="883">
        <f t="shared" si="29"/>
        <v>0</v>
      </c>
      <c r="AN33" s="883">
        <f t="shared" si="30"/>
        <v>0</v>
      </c>
      <c r="AO33" s="883">
        <f t="shared" si="31"/>
        <v>0</v>
      </c>
      <c r="AP33" s="883">
        <f t="shared" si="32"/>
        <v>0</v>
      </c>
      <c r="AQ33" s="890">
        <f t="shared" si="35"/>
        <v>0</v>
      </c>
    </row>
    <row r="34" spans="1:43">
      <c r="A34" s="817"/>
      <c r="B34" s="865" t="s">
        <v>1615</v>
      </c>
      <c r="C34" s="883"/>
      <c r="D34" s="883"/>
      <c r="E34" s="883">
        <f>HLOOKUP($B$2,'Consumption Input'!$E$5:$AQ$82,'Consumption Input'!$B39)</f>
        <v>698.66624000000002</v>
      </c>
      <c r="F34" s="883"/>
      <c r="G34" s="883"/>
      <c r="H34" s="883"/>
      <c r="I34" s="883">
        <f t="shared" si="63"/>
        <v>698.66624000000002</v>
      </c>
      <c r="J34" s="961"/>
      <c r="K34" s="940">
        <f>HLOOKUP($B$2,NEUConsumption,'Non-Energy Use'!C14)</f>
        <v>698.66624000000002</v>
      </c>
      <c r="L34" s="940"/>
      <c r="M34" s="940"/>
      <c r="N34" s="885">
        <f t="shared" si="40"/>
        <v>0</v>
      </c>
      <c r="O34" s="883">
        <f t="shared" si="41"/>
        <v>0</v>
      </c>
      <c r="P34" s="883">
        <f t="shared" si="42"/>
        <v>0</v>
      </c>
      <c r="Q34" s="883">
        <f t="shared" si="43"/>
        <v>0</v>
      </c>
      <c r="R34" s="883">
        <f t="shared" si="44"/>
        <v>0</v>
      </c>
      <c r="S34" s="886">
        <f t="shared" si="45"/>
        <v>0</v>
      </c>
      <c r="T34" s="883">
        <f t="shared" si="4"/>
        <v>0</v>
      </c>
      <c r="U34" s="887">
        <f>Factors!D44</f>
        <v>18.550649350649344</v>
      </c>
      <c r="V34" s="885">
        <f t="shared" si="46"/>
        <v>0</v>
      </c>
      <c r="W34" s="883">
        <f t="shared" si="47"/>
        <v>0</v>
      </c>
      <c r="X34" s="883">
        <f t="shared" si="48"/>
        <v>0</v>
      </c>
      <c r="Y34" s="883">
        <f t="shared" si="49"/>
        <v>0</v>
      </c>
      <c r="Z34" s="883">
        <f t="shared" si="50"/>
        <v>0</v>
      </c>
      <c r="AA34" s="883">
        <f t="shared" si="51"/>
        <v>0</v>
      </c>
      <c r="AB34" s="883">
        <f t="shared" si="34"/>
        <v>0</v>
      </c>
      <c r="AC34" s="888">
        <f>Factors!E44</f>
        <v>1</v>
      </c>
      <c r="AD34" s="885">
        <f t="shared" si="57"/>
        <v>0</v>
      </c>
      <c r="AE34" s="883">
        <f t="shared" si="58"/>
        <v>0</v>
      </c>
      <c r="AF34" s="883">
        <f t="shared" si="59"/>
        <v>0</v>
      </c>
      <c r="AG34" s="883">
        <f t="shared" si="62"/>
        <v>0</v>
      </c>
      <c r="AH34" s="883">
        <f t="shared" si="60"/>
        <v>0</v>
      </c>
      <c r="AI34" s="883">
        <f t="shared" si="61"/>
        <v>0</v>
      </c>
      <c r="AJ34" s="889">
        <f t="shared" si="6"/>
        <v>0</v>
      </c>
      <c r="AK34" s="885">
        <f t="shared" si="27"/>
        <v>0</v>
      </c>
      <c r="AL34" s="883">
        <f t="shared" si="28"/>
        <v>0</v>
      </c>
      <c r="AM34" s="883">
        <f t="shared" si="29"/>
        <v>0</v>
      </c>
      <c r="AN34" s="883">
        <f t="shared" si="30"/>
        <v>0</v>
      </c>
      <c r="AO34" s="883">
        <f t="shared" si="31"/>
        <v>0</v>
      </c>
      <c r="AP34" s="883">
        <f t="shared" si="32"/>
        <v>0</v>
      </c>
      <c r="AQ34" s="890">
        <f t="shared" si="35"/>
        <v>0</v>
      </c>
    </row>
    <row r="35" spans="1:43">
      <c r="A35" s="817"/>
      <c r="B35" s="865" t="s">
        <v>1616</v>
      </c>
      <c r="C35" s="883"/>
      <c r="D35" s="883"/>
      <c r="E35" s="940">
        <f>HLOOKUP($B$2,'Consumption Input'!$E$5:$AQ$82,'Consumption Input'!$B40)</f>
        <v>707.98215000000005</v>
      </c>
      <c r="F35" s="883"/>
      <c r="G35" s="883"/>
      <c r="H35" s="883"/>
      <c r="I35" s="883">
        <f t="shared" si="63"/>
        <v>707.98215000000005</v>
      </c>
      <c r="J35" s="961"/>
      <c r="K35" s="940">
        <f>HLOOKUP($B$2,NEUConsumption,'Non-Energy Use'!$C$15)</f>
        <v>707.98215000000005</v>
      </c>
      <c r="L35" s="940"/>
      <c r="M35" s="940"/>
      <c r="N35" s="885">
        <f t="shared" si="40"/>
        <v>0</v>
      </c>
      <c r="O35" s="883">
        <f t="shared" si="41"/>
        <v>0</v>
      </c>
      <c r="P35" s="883">
        <f t="shared" si="42"/>
        <v>0</v>
      </c>
      <c r="Q35" s="883">
        <f t="shared" si="43"/>
        <v>0</v>
      </c>
      <c r="R35" s="883">
        <f t="shared" si="44"/>
        <v>0</v>
      </c>
      <c r="S35" s="886">
        <f t="shared" si="45"/>
        <v>0</v>
      </c>
      <c r="T35" s="883">
        <f t="shared" si="4"/>
        <v>0</v>
      </c>
      <c r="U35" s="887">
        <f>Factors!D45</f>
        <v>20.170000000000002</v>
      </c>
      <c r="V35" s="885">
        <f t="shared" si="46"/>
        <v>0</v>
      </c>
      <c r="W35" s="883">
        <f t="shared" si="47"/>
        <v>0</v>
      </c>
      <c r="X35" s="883">
        <f t="shared" si="48"/>
        <v>0</v>
      </c>
      <c r="Y35" s="883">
        <f t="shared" si="49"/>
        <v>0</v>
      </c>
      <c r="Z35" s="883">
        <f t="shared" si="50"/>
        <v>0</v>
      </c>
      <c r="AA35" s="883">
        <f t="shared" si="51"/>
        <v>0</v>
      </c>
      <c r="AB35" s="883">
        <f t="shared" si="34"/>
        <v>0</v>
      </c>
      <c r="AC35" s="888">
        <f>Factors!E45</f>
        <v>1</v>
      </c>
      <c r="AD35" s="885">
        <f t="shared" si="57"/>
        <v>0</v>
      </c>
      <c r="AE35" s="883">
        <f t="shared" si="58"/>
        <v>0</v>
      </c>
      <c r="AF35" s="883">
        <f t="shared" si="59"/>
        <v>0</v>
      </c>
      <c r="AG35" s="883">
        <f t="shared" si="62"/>
        <v>0</v>
      </c>
      <c r="AH35" s="883">
        <f t="shared" si="60"/>
        <v>0</v>
      </c>
      <c r="AI35" s="883">
        <f t="shared" si="61"/>
        <v>0</v>
      </c>
      <c r="AJ35" s="889">
        <f t="shared" si="6"/>
        <v>0</v>
      </c>
      <c r="AK35" s="885">
        <f t="shared" si="27"/>
        <v>0</v>
      </c>
      <c r="AL35" s="883">
        <f t="shared" si="28"/>
        <v>0</v>
      </c>
      <c r="AM35" s="883">
        <f t="shared" si="29"/>
        <v>0</v>
      </c>
      <c r="AN35" s="883">
        <f t="shared" si="30"/>
        <v>0</v>
      </c>
      <c r="AO35" s="883">
        <f t="shared" si="31"/>
        <v>0</v>
      </c>
      <c r="AP35" s="883">
        <f t="shared" si="32"/>
        <v>0</v>
      </c>
      <c r="AQ35" s="890">
        <f t="shared" si="35"/>
        <v>0</v>
      </c>
    </row>
    <row r="36" spans="1:43">
      <c r="A36" s="817"/>
      <c r="B36" s="865" t="s">
        <v>1617</v>
      </c>
      <c r="C36" s="883"/>
      <c r="D36" s="883"/>
      <c r="E36" s="883">
        <f>HLOOKUP($B$2,'Consumption Input'!$E$5:$AQ$82,'Consumption Input'!$B41)</f>
        <v>0</v>
      </c>
      <c r="F36" s="883"/>
      <c r="G36" s="883"/>
      <c r="H36" s="883"/>
      <c r="I36" s="883">
        <f t="shared" si="63"/>
        <v>0</v>
      </c>
      <c r="J36" s="961"/>
      <c r="K36" s="940">
        <f>HLOOKUP($B$2,NEUConsumption,'Non-Energy Use'!$C$13)</f>
        <v>0</v>
      </c>
      <c r="L36" s="940"/>
      <c r="M36" s="940"/>
      <c r="N36" s="885">
        <f t="shared" si="40"/>
        <v>0</v>
      </c>
      <c r="O36" s="883">
        <f t="shared" si="41"/>
        <v>0</v>
      </c>
      <c r="P36" s="883">
        <f t="shared" si="42"/>
        <v>0</v>
      </c>
      <c r="Q36" s="883">
        <f t="shared" si="43"/>
        <v>0</v>
      </c>
      <c r="R36" s="883">
        <f t="shared" si="44"/>
        <v>0</v>
      </c>
      <c r="S36" s="886">
        <f t="shared" si="45"/>
        <v>0</v>
      </c>
      <c r="T36" s="883">
        <f t="shared" si="4"/>
        <v>0</v>
      </c>
      <c r="U36" s="887">
        <f>Factors!D46</f>
        <v>18.239999999999998</v>
      </c>
      <c r="V36" s="885">
        <f t="shared" si="46"/>
        <v>0</v>
      </c>
      <c r="W36" s="883">
        <f t="shared" si="47"/>
        <v>0</v>
      </c>
      <c r="X36" s="883">
        <f t="shared" si="48"/>
        <v>0</v>
      </c>
      <c r="Y36" s="883">
        <f t="shared" si="49"/>
        <v>0</v>
      </c>
      <c r="Z36" s="883">
        <f t="shared" si="50"/>
        <v>0</v>
      </c>
      <c r="AA36" s="883">
        <f t="shared" si="51"/>
        <v>0</v>
      </c>
      <c r="AB36" s="883">
        <f t="shared" si="34"/>
        <v>0</v>
      </c>
      <c r="AC36" s="888">
        <f>Factors!E46</f>
        <v>1</v>
      </c>
      <c r="AD36" s="885">
        <f t="shared" si="57"/>
        <v>0</v>
      </c>
      <c r="AE36" s="883">
        <f t="shared" si="58"/>
        <v>0</v>
      </c>
      <c r="AF36" s="883">
        <f t="shared" si="59"/>
        <v>0</v>
      </c>
      <c r="AG36" s="883">
        <f t="shared" si="62"/>
        <v>0</v>
      </c>
      <c r="AH36" s="883">
        <f t="shared" si="60"/>
        <v>0</v>
      </c>
      <c r="AI36" s="883">
        <f t="shared" si="61"/>
        <v>0</v>
      </c>
      <c r="AJ36" s="889">
        <f t="shared" si="6"/>
        <v>0</v>
      </c>
      <c r="AK36" s="885">
        <f t="shared" si="27"/>
        <v>0</v>
      </c>
      <c r="AL36" s="883">
        <f t="shared" si="28"/>
        <v>0</v>
      </c>
      <c r="AM36" s="883">
        <f t="shared" si="29"/>
        <v>0</v>
      </c>
      <c r="AN36" s="883">
        <f t="shared" si="30"/>
        <v>0</v>
      </c>
      <c r="AO36" s="883">
        <f t="shared" si="31"/>
        <v>0</v>
      </c>
      <c r="AP36" s="883">
        <f t="shared" si="32"/>
        <v>0</v>
      </c>
      <c r="AQ36" s="890">
        <f t="shared" si="35"/>
        <v>0</v>
      </c>
    </row>
    <row r="37" spans="1:43">
      <c r="A37" s="817"/>
      <c r="B37" s="865" t="s">
        <v>1604</v>
      </c>
      <c r="C37" s="883"/>
      <c r="D37" s="883">
        <f>HLOOKUP($B$2,'Consumption Input'!$E$5:$AQ$82,'Consumption Input'!$B21)</f>
        <v>0.26400000000000001</v>
      </c>
      <c r="E37" s="883">
        <f>HLOOKUP($B$2,'Consumption Input'!$E$5:$AQ$82,'Consumption Input'!$B42)</f>
        <v>893.53300000000002</v>
      </c>
      <c r="F37" s="883"/>
      <c r="G37" s="883">
        <f>HLOOKUP($B$2,'Consumption Input'!$E$5:$AQ$82,'Consumption Input'!$B63)</f>
        <v>231.13200000000001</v>
      </c>
      <c r="H37" s="883"/>
      <c r="I37" s="883">
        <f t="shared" si="63"/>
        <v>1124.9290000000001</v>
      </c>
      <c r="J37" s="961"/>
      <c r="K37" s="940">
        <f>HLOOKUP($B$2,NEUConsumption,'Non-Energy Use'!$C$17)</f>
        <v>186.94181868530003</v>
      </c>
      <c r="L37" s="940"/>
      <c r="M37" s="940"/>
      <c r="N37" s="885">
        <f t="shared" si="40"/>
        <v>0</v>
      </c>
      <c r="O37" s="883">
        <f t="shared" si="41"/>
        <v>0.26400000000000001</v>
      </c>
      <c r="P37" s="883">
        <f t="shared" si="42"/>
        <v>706.59118131469995</v>
      </c>
      <c r="Q37" s="883">
        <f t="shared" si="43"/>
        <v>0</v>
      </c>
      <c r="R37" s="883">
        <f t="shared" si="44"/>
        <v>231.13200000000001</v>
      </c>
      <c r="S37" s="886">
        <f t="shared" si="45"/>
        <v>0</v>
      </c>
      <c r="T37" s="883">
        <f t="shared" si="4"/>
        <v>937.98718131469991</v>
      </c>
      <c r="U37" s="887">
        <f>Factors!D48</f>
        <v>27.84770010865628</v>
      </c>
      <c r="V37" s="885">
        <f t="shared" si="46"/>
        <v>0</v>
      </c>
      <c r="W37" s="883">
        <f t="shared" si="47"/>
        <v>7.3517928286852578E-3</v>
      </c>
      <c r="X37" s="883">
        <f t="shared" si="48"/>
        <v>19.676939316672939</v>
      </c>
      <c r="Y37" s="883">
        <f t="shared" si="49"/>
        <v>0</v>
      </c>
      <c r="Z37" s="883">
        <f t="shared" si="50"/>
        <v>6.436494621513944</v>
      </c>
      <c r="AA37" s="883">
        <f t="shared" si="51"/>
        <v>0</v>
      </c>
      <c r="AB37" s="883">
        <f t="shared" si="34"/>
        <v>26.12078573101557</v>
      </c>
      <c r="AC37" s="888">
        <f>Factors!E48</f>
        <v>1</v>
      </c>
      <c r="AD37" s="885">
        <f t="shared" si="57"/>
        <v>0</v>
      </c>
      <c r="AE37" s="883">
        <f t="shared" si="58"/>
        <v>7.3517928286852578E-3</v>
      </c>
      <c r="AF37" s="883">
        <f t="shared" si="59"/>
        <v>19.676939316672939</v>
      </c>
      <c r="AG37" s="883">
        <f t="shared" si="62"/>
        <v>0</v>
      </c>
      <c r="AH37" s="883">
        <f t="shared" si="60"/>
        <v>6.436494621513944</v>
      </c>
      <c r="AI37" s="883">
        <f t="shared" si="61"/>
        <v>0</v>
      </c>
      <c r="AJ37" s="889">
        <f t="shared" si="6"/>
        <v>26.12078573101557</v>
      </c>
      <c r="AK37" s="885">
        <f t="shared" si="27"/>
        <v>0</v>
      </c>
      <c r="AL37" s="883">
        <f t="shared" si="28"/>
        <v>2.6956573705179277E-2</v>
      </c>
      <c r="AM37" s="883">
        <f t="shared" si="29"/>
        <v>72.148777494467438</v>
      </c>
      <c r="AN37" s="883">
        <f t="shared" si="30"/>
        <v>0</v>
      </c>
      <c r="AO37" s="883">
        <f t="shared" si="31"/>
        <v>23.600480278884461</v>
      </c>
      <c r="AP37" s="883">
        <f t="shared" si="32"/>
        <v>0</v>
      </c>
      <c r="AQ37" s="890">
        <f t="shared" si="35"/>
        <v>95.776214347057078</v>
      </c>
    </row>
    <row r="38" spans="1:43">
      <c r="A38" s="817"/>
      <c r="B38" s="865" t="s">
        <v>1618</v>
      </c>
      <c r="C38" s="883"/>
      <c r="D38" s="883"/>
      <c r="E38" s="883">
        <f>HLOOKUP($B$2,'Consumption Input'!$E$5:$AQ$82,'Consumption Input'!$B43)</f>
        <v>1497.0840000000001</v>
      </c>
      <c r="F38" s="883"/>
      <c r="G38" s="883"/>
      <c r="H38" s="883"/>
      <c r="I38" s="883">
        <f t="shared" si="63"/>
        <v>1497.0840000000001</v>
      </c>
      <c r="J38" s="961"/>
      <c r="K38" s="940">
        <f>HLOOKUP($B$2,NEUConsumption,'Non-Energy Use'!$C$16)</f>
        <v>67.668000000000077</v>
      </c>
      <c r="L38" s="940"/>
      <c r="M38" s="940"/>
      <c r="N38" s="885">
        <f t="shared" si="40"/>
        <v>0</v>
      </c>
      <c r="O38" s="883">
        <f t="shared" si="41"/>
        <v>0</v>
      </c>
      <c r="P38" s="883">
        <f t="shared" si="42"/>
        <v>1429.4159999999999</v>
      </c>
      <c r="Q38" s="883">
        <f t="shared" si="43"/>
        <v>0</v>
      </c>
      <c r="R38" s="883">
        <f t="shared" si="44"/>
        <v>0</v>
      </c>
      <c r="S38" s="886">
        <f t="shared" si="45"/>
        <v>0</v>
      </c>
      <c r="T38" s="883">
        <f t="shared" si="4"/>
        <v>1429.4159999999999</v>
      </c>
      <c r="U38" s="887">
        <f>Factors!D51</f>
        <v>18.195454545454545</v>
      </c>
      <c r="V38" s="885">
        <f t="shared" si="46"/>
        <v>0</v>
      </c>
      <c r="W38" s="883">
        <f t="shared" si="47"/>
        <v>0</v>
      </c>
      <c r="X38" s="883">
        <f t="shared" si="48"/>
        <v>26.008873854545456</v>
      </c>
      <c r="Y38" s="883">
        <f t="shared" si="49"/>
        <v>0</v>
      </c>
      <c r="Z38" s="883">
        <f t="shared" si="50"/>
        <v>0</v>
      </c>
      <c r="AA38" s="883">
        <f t="shared" si="51"/>
        <v>0</v>
      </c>
      <c r="AB38" s="883">
        <f t="shared" si="34"/>
        <v>26.008873854545456</v>
      </c>
      <c r="AC38" s="888">
        <f>Factors!E51</f>
        <v>1</v>
      </c>
      <c r="AD38" s="885">
        <f t="shared" si="57"/>
        <v>0</v>
      </c>
      <c r="AE38" s="883">
        <f t="shared" si="58"/>
        <v>0</v>
      </c>
      <c r="AF38" s="883">
        <f t="shared" si="59"/>
        <v>26.008873854545456</v>
      </c>
      <c r="AG38" s="883">
        <f t="shared" si="62"/>
        <v>0</v>
      </c>
      <c r="AH38" s="883">
        <f t="shared" si="60"/>
        <v>0</v>
      </c>
      <c r="AI38" s="883">
        <f t="shared" si="61"/>
        <v>0</v>
      </c>
      <c r="AJ38" s="889">
        <f t="shared" si="6"/>
        <v>26.008873854545456</v>
      </c>
      <c r="AK38" s="885">
        <f t="shared" si="27"/>
        <v>0</v>
      </c>
      <c r="AL38" s="883">
        <f t="shared" si="28"/>
        <v>0</v>
      </c>
      <c r="AM38" s="883">
        <f t="shared" si="29"/>
        <v>95.365870799999996</v>
      </c>
      <c r="AN38" s="883">
        <f t="shared" si="30"/>
        <v>0</v>
      </c>
      <c r="AO38" s="883">
        <f t="shared" si="31"/>
        <v>0</v>
      </c>
      <c r="AP38" s="883">
        <f t="shared" si="32"/>
        <v>0</v>
      </c>
      <c r="AQ38" s="890">
        <f t="shared" si="35"/>
        <v>95.365870799999996</v>
      </c>
    </row>
    <row r="39" spans="1:43">
      <c r="A39" s="817"/>
      <c r="B39" s="865" t="s">
        <v>1619</v>
      </c>
      <c r="C39" s="883"/>
      <c r="D39" s="883"/>
      <c r="E39" s="883">
        <f>HLOOKUP($B$2,'Consumption Input'!$E$5:$AQ$82,'Consumption Input'!$B44)</f>
        <v>62.512239487999999</v>
      </c>
      <c r="F39" s="883"/>
      <c r="G39" s="883"/>
      <c r="H39" s="883"/>
      <c r="I39" s="883">
        <f t="shared" si="63"/>
        <v>62.512239487999999</v>
      </c>
      <c r="J39" s="961"/>
      <c r="K39" s="940">
        <f>HLOOKUP($B$2,NEUConsumption,'Non-Energy Use'!$C$18)</f>
        <v>62.512239487999999</v>
      </c>
      <c r="L39" s="940"/>
      <c r="M39" s="940"/>
      <c r="N39" s="885">
        <f t="shared" si="40"/>
        <v>0</v>
      </c>
      <c r="O39" s="883">
        <f t="shared" si="41"/>
        <v>0</v>
      </c>
      <c r="P39" s="883">
        <f t="shared" si="42"/>
        <v>0</v>
      </c>
      <c r="Q39" s="883">
        <f t="shared" si="43"/>
        <v>0</v>
      </c>
      <c r="R39" s="883">
        <f t="shared" si="44"/>
        <v>0</v>
      </c>
      <c r="S39" s="886">
        <f t="shared" si="45"/>
        <v>0</v>
      </c>
      <c r="T39" s="883">
        <f t="shared" si="4"/>
        <v>0</v>
      </c>
      <c r="U39" s="887">
        <f>Factors!D37</f>
        <v>19.737389135254986</v>
      </c>
      <c r="V39" s="885">
        <f t="shared" si="46"/>
        <v>0</v>
      </c>
      <c r="W39" s="883">
        <f t="shared" si="47"/>
        <v>0</v>
      </c>
      <c r="X39" s="883">
        <f t="shared" si="48"/>
        <v>0</v>
      </c>
      <c r="Y39" s="883">
        <f t="shared" si="49"/>
        <v>0</v>
      </c>
      <c r="Z39" s="883">
        <f t="shared" si="50"/>
        <v>0</v>
      </c>
      <c r="AA39" s="883">
        <f t="shared" si="51"/>
        <v>0</v>
      </c>
      <c r="AB39" s="883">
        <f t="shared" si="34"/>
        <v>0</v>
      </c>
      <c r="AC39" s="888">
        <f>Factors!E37</f>
        <v>1</v>
      </c>
      <c r="AD39" s="885">
        <f t="shared" si="57"/>
        <v>0</v>
      </c>
      <c r="AE39" s="883">
        <f t="shared" si="58"/>
        <v>0</v>
      </c>
      <c r="AF39" s="883">
        <f t="shared" si="59"/>
        <v>0</v>
      </c>
      <c r="AG39" s="883">
        <f t="shared" si="62"/>
        <v>0</v>
      </c>
      <c r="AH39" s="883">
        <f t="shared" si="60"/>
        <v>0</v>
      </c>
      <c r="AI39" s="883">
        <f t="shared" si="61"/>
        <v>0</v>
      </c>
      <c r="AJ39" s="889">
        <f t="shared" si="6"/>
        <v>0</v>
      </c>
      <c r="AK39" s="885">
        <f t="shared" si="27"/>
        <v>0</v>
      </c>
      <c r="AL39" s="883">
        <f t="shared" si="28"/>
        <v>0</v>
      </c>
      <c r="AM39" s="883">
        <f t="shared" si="29"/>
        <v>0</v>
      </c>
      <c r="AN39" s="883">
        <f t="shared" si="30"/>
        <v>0</v>
      </c>
      <c r="AO39" s="883">
        <f t="shared" si="31"/>
        <v>0</v>
      </c>
      <c r="AP39" s="883">
        <f t="shared" si="32"/>
        <v>0</v>
      </c>
      <c r="AQ39" s="890">
        <f t="shared" si="35"/>
        <v>0</v>
      </c>
    </row>
    <row r="40" spans="1:43">
      <c r="A40" s="817"/>
      <c r="B40" s="865" t="s">
        <v>1620</v>
      </c>
      <c r="C40" s="883"/>
      <c r="D40" s="883"/>
      <c r="E40" s="883">
        <f>HLOOKUP($B$2,'Consumption Input'!$E$5:$AQ$82,'Consumption Input'!$B45)</f>
        <v>0</v>
      </c>
      <c r="F40" s="883"/>
      <c r="G40" s="883"/>
      <c r="H40" s="883"/>
      <c r="I40" s="883">
        <f t="shared" si="63"/>
        <v>0</v>
      </c>
      <c r="J40" s="961"/>
      <c r="K40" s="940"/>
      <c r="L40" s="940"/>
      <c r="M40" s="940"/>
      <c r="N40" s="885">
        <f t="shared" si="40"/>
        <v>0</v>
      </c>
      <c r="O40" s="883">
        <f t="shared" si="41"/>
        <v>0</v>
      </c>
      <c r="P40" s="883">
        <f t="shared" si="42"/>
        <v>0</v>
      </c>
      <c r="Q40" s="883">
        <f t="shared" si="43"/>
        <v>0</v>
      </c>
      <c r="R40" s="883">
        <f t="shared" si="44"/>
        <v>0</v>
      </c>
      <c r="S40" s="886">
        <f t="shared" si="45"/>
        <v>0</v>
      </c>
      <c r="T40" s="883">
        <f t="shared" si="4"/>
        <v>0</v>
      </c>
      <c r="U40" s="887">
        <f>HLOOKUP($B$2,Factors!$J$12:$Y$25,Factors!$H24)</f>
        <v>20.314859972586206</v>
      </c>
      <c r="V40" s="885">
        <f t="shared" si="46"/>
        <v>0</v>
      </c>
      <c r="W40" s="883">
        <f t="shared" si="47"/>
        <v>0</v>
      </c>
      <c r="X40" s="883">
        <f t="shared" si="48"/>
        <v>0</v>
      </c>
      <c r="Y40" s="883">
        <f t="shared" si="49"/>
        <v>0</v>
      </c>
      <c r="Z40" s="883">
        <f t="shared" si="50"/>
        <v>0</v>
      </c>
      <c r="AA40" s="883">
        <f t="shared" si="51"/>
        <v>0</v>
      </c>
      <c r="AB40" s="883">
        <f t="shared" si="34"/>
        <v>0</v>
      </c>
      <c r="AC40" s="888">
        <f>Factors!E53</f>
        <v>1</v>
      </c>
      <c r="AD40" s="885">
        <f t="shared" si="57"/>
        <v>0</v>
      </c>
      <c r="AE40" s="883">
        <f t="shared" si="58"/>
        <v>0</v>
      </c>
      <c r="AF40" s="883">
        <f t="shared" si="59"/>
        <v>0</v>
      </c>
      <c r="AG40" s="883">
        <f t="shared" si="62"/>
        <v>0</v>
      </c>
      <c r="AH40" s="883">
        <f t="shared" si="60"/>
        <v>0</v>
      </c>
      <c r="AI40" s="883">
        <f t="shared" si="61"/>
        <v>0</v>
      </c>
      <c r="AJ40" s="889">
        <f t="shared" si="6"/>
        <v>0</v>
      </c>
      <c r="AK40" s="885">
        <f t="shared" si="27"/>
        <v>0</v>
      </c>
      <c r="AL40" s="883">
        <f t="shared" si="28"/>
        <v>0</v>
      </c>
      <c r="AM40" s="883">
        <f t="shared" si="29"/>
        <v>0</v>
      </c>
      <c r="AN40" s="883">
        <f t="shared" si="30"/>
        <v>0</v>
      </c>
      <c r="AO40" s="883">
        <f t="shared" si="31"/>
        <v>0</v>
      </c>
      <c r="AP40" s="883">
        <f t="shared" si="32"/>
        <v>0</v>
      </c>
      <c r="AQ40" s="890">
        <f t="shared" si="35"/>
        <v>0</v>
      </c>
    </row>
    <row r="41" spans="1:43">
      <c r="A41" s="817"/>
      <c r="B41" s="865" t="s">
        <v>1621</v>
      </c>
      <c r="C41" s="883"/>
      <c r="D41" s="883"/>
      <c r="E41" s="883">
        <f>HLOOKUP($B$2,'Consumption Input'!$E$5:$AQ$82,'Consumption Input'!$B46)</f>
        <v>31.367453831000002</v>
      </c>
      <c r="F41" s="883"/>
      <c r="G41" s="883"/>
      <c r="H41" s="883"/>
      <c r="I41" s="883">
        <f t="shared" si="63"/>
        <v>31.367453831000002</v>
      </c>
      <c r="J41" s="961"/>
      <c r="K41" s="940">
        <f>HLOOKUP($B$2,NEUConsumption,'Non-Energy Use'!$C$21)</f>
        <v>31.367453831000002</v>
      </c>
      <c r="L41" s="940"/>
      <c r="M41" s="940"/>
      <c r="N41" s="885">
        <f t="shared" si="40"/>
        <v>0</v>
      </c>
      <c r="O41" s="883">
        <f t="shared" si="41"/>
        <v>0</v>
      </c>
      <c r="P41" s="883">
        <f t="shared" si="42"/>
        <v>0</v>
      </c>
      <c r="Q41" s="883">
        <f t="shared" si="43"/>
        <v>0</v>
      </c>
      <c r="R41" s="883">
        <f t="shared" si="44"/>
        <v>0</v>
      </c>
      <c r="S41" s="886">
        <f t="shared" si="45"/>
        <v>0</v>
      </c>
      <c r="T41" s="883">
        <f t="shared" si="4"/>
        <v>0</v>
      </c>
      <c r="U41" s="887">
        <f>Factors!D55</f>
        <v>19.795754182606267</v>
      </c>
      <c r="V41" s="899">
        <f t="shared" si="46"/>
        <v>0</v>
      </c>
      <c r="W41" s="900">
        <f t="shared" si="47"/>
        <v>0</v>
      </c>
      <c r="X41" s="900">
        <f t="shared" si="48"/>
        <v>0</v>
      </c>
      <c r="Y41" s="900">
        <f t="shared" si="49"/>
        <v>0</v>
      </c>
      <c r="Z41" s="900">
        <f t="shared" si="50"/>
        <v>0</v>
      </c>
      <c r="AA41" s="900">
        <f t="shared" si="51"/>
        <v>0</v>
      </c>
      <c r="AB41" s="883">
        <f t="shared" si="34"/>
        <v>0</v>
      </c>
      <c r="AC41" s="888">
        <f>Factors!E55</f>
        <v>1</v>
      </c>
      <c r="AD41" s="885">
        <f t="shared" si="57"/>
        <v>0</v>
      </c>
      <c r="AE41" s="883">
        <f t="shared" si="58"/>
        <v>0</v>
      </c>
      <c r="AF41" s="883">
        <f t="shared" si="59"/>
        <v>0</v>
      </c>
      <c r="AG41" s="883">
        <f t="shared" si="62"/>
        <v>0</v>
      </c>
      <c r="AH41" s="883">
        <f t="shared" si="60"/>
        <v>0</v>
      </c>
      <c r="AI41" s="883">
        <f t="shared" si="61"/>
        <v>0</v>
      </c>
      <c r="AJ41" s="889">
        <f t="shared" si="6"/>
        <v>0</v>
      </c>
      <c r="AK41" s="885">
        <f t="shared" si="27"/>
        <v>0</v>
      </c>
      <c r="AL41" s="883">
        <f t="shared" si="28"/>
        <v>0</v>
      </c>
      <c r="AM41" s="883">
        <f t="shared" si="29"/>
        <v>0</v>
      </c>
      <c r="AN41" s="883">
        <f t="shared" si="30"/>
        <v>0</v>
      </c>
      <c r="AO41" s="883">
        <f t="shared" si="31"/>
        <v>0</v>
      </c>
      <c r="AP41" s="883">
        <f t="shared" si="32"/>
        <v>0</v>
      </c>
      <c r="AQ41" s="890">
        <f t="shared" si="35"/>
        <v>0</v>
      </c>
    </row>
    <row r="42" spans="1:43" ht="11.1" thickBot="1">
      <c r="A42" s="817"/>
      <c r="B42" s="866" t="s">
        <v>82</v>
      </c>
      <c r="C42" s="917"/>
      <c r="D42" s="917"/>
      <c r="E42" s="917"/>
      <c r="F42" s="917"/>
      <c r="G42" s="917">
        <f>INDEX(Geothermal!$C$6:$AE$10,MATCH("Total",Geothermal!$C$6:$C$10,0),MATCH($B$2,Geothermal!$C$6:$AE$6,0))/Factors!$J$61*Factors!$J$55/BBtuToBtu*BBtuToTBtu</f>
        <v>50.128234625812006</v>
      </c>
      <c r="H42" s="917"/>
      <c r="I42" s="917">
        <f>G42</f>
        <v>50.128234625812006</v>
      </c>
      <c r="J42" s="968"/>
      <c r="K42" s="969"/>
      <c r="L42" s="970"/>
      <c r="M42" s="971"/>
      <c r="N42" s="917">
        <f t="shared" si="40"/>
        <v>0</v>
      </c>
      <c r="O42" s="917">
        <f t="shared" si="41"/>
        <v>0</v>
      </c>
      <c r="P42" s="917">
        <f>E42</f>
        <v>0</v>
      </c>
      <c r="Q42" s="917">
        <f>F42</f>
        <v>0</v>
      </c>
      <c r="R42" s="917">
        <f t="shared" si="44"/>
        <v>50.128234625812006</v>
      </c>
      <c r="S42" s="917">
        <f>H42</f>
        <v>0</v>
      </c>
      <c r="T42" s="917">
        <f t="shared" si="4"/>
        <v>50.128234625812006</v>
      </c>
      <c r="U42" s="921">
        <f>Factors!D56</f>
        <v>2.6974658424810825</v>
      </c>
      <c r="V42" s="917"/>
      <c r="W42" s="917"/>
      <c r="X42" s="917"/>
      <c r="Y42" s="917"/>
      <c r="Z42" s="917">
        <f>INDEX(Geothermal!$C$14:$AE$18,MATCH("Total",Geothermal!$C$14:$C$18,0),MATCH($B$2,Geothermal!$C$14:$AE$14,0))/CtoCO2</f>
        <v>0.12573210183579742</v>
      </c>
      <c r="AA42" s="917"/>
      <c r="AB42" s="917">
        <f t="shared" si="34"/>
        <v>0.12573210183579742</v>
      </c>
      <c r="AC42" s="921">
        <f>Factors!$E$56</f>
        <v>1</v>
      </c>
      <c r="AD42" s="917">
        <f t="shared" si="57"/>
        <v>0</v>
      </c>
      <c r="AE42" s="917">
        <f t="shared" si="58"/>
        <v>0</v>
      </c>
      <c r="AF42" s="917">
        <f t="shared" si="59"/>
        <v>0</v>
      </c>
      <c r="AG42" s="917">
        <f t="shared" si="62"/>
        <v>0</v>
      </c>
      <c r="AH42" s="917">
        <f t="shared" si="60"/>
        <v>0.12573210183579742</v>
      </c>
      <c r="AI42" s="917">
        <f t="shared" si="61"/>
        <v>0</v>
      </c>
      <c r="AJ42" s="920">
        <f t="shared" si="6"/>
        <v>0.12573210183579742</v>
      </c>
      <c r="AK42" s="919">
        <f t="shared" si="27"/>
        <v>0</v>
      </c>
      <c r="AL42" s="917">
        <f t="shared" si="28"/>
        <v>0</v>
      </c>
      <c r="AM42" s="917">
        <f t="shared" si="29"/>
        <v>0</v>
      </c>
      <c r="AN42" s="917">
        <f t="shared" si="30"/>
        <v>0</v>
      </c>
      <c r="AO42" s="917">
        <f t="shared" si="31"/>
        <v>0.46101770673125719</v>
      </c>
      <c r="AP42" s="917">
        <f t="shared" si="32"/>
        <v>0</v>
      </c>
      <c r="AQ42" s="920">
        <f t="shared" si="35"/>
        <v>0.46101770673125719</v>
      </c>
    </row>
    <row r="43" spans="1:43" ht="11.1" thickBot="1">
      <c r="A43" s="817"/>
      <c r="B43" s="867" t="s">
        <v>1740</v>
      </c>
      <c r="C43" s="922">
        <f>C8+C17+C18+C42</f>
        <v>6317.3539051394182</v>
      </c>
      <c r="D43" s="922">
        <f>D8+D17+D18+D42</f>
        <v>3928.924805696262</v>
      </c>
      <c r="E43" s="922">
        <f>E8+E17+E18+E42</f>
        <v>18441.022877331401</v>
      </c>
      <c r="F43" s="922">
        <f>F8+F17+F18+F42</f>
        <v>27707.387122542663</v>
      </c>
      <c r="G43" s="922">
        <f>G8+G17+G18+G42</f>
        <v>28023.981234625811</v>
      </c>
      <c r="H43" s="922">
        <f>H16+H17+H18+H42</f>
        <v>821.43854523628113</v>
      </c>
      <c r="I43" s="922">
        <f>SUM(C43:H43)</f>
        <v>85240.108490571831</v>
      </c>
      <c r="J43" s="972">
        <f t="shared" ref="J43:S43" si="64">J8+J17+J18+J42</f>
        <v>1562.2909863338336</v>
      </c>
      <c r="K43" s="973">
        <f t="shared" si="64"/>
        <v>5388.7096127760142</v>
      </c>
      <c r="L43" s="974">
        <f t="shared" si="64"/>
        <v>151.30699999999999</v>
      </c>
      <c r="M43" s="975">
        <f t="shared" si="64"/>
        <v>114.92968618294523</v>
      </c>
      <c r="N43" s="922">
        <f t="shared" si="64"/>
        <v>6317.3539051394182</v>
      </c>
      <c r="O43" s="922">
        <f t="shared" si="64"/>
        <v>3928.924805696262</v>
      </c>
      <c r="P43" s="922">
        <f t="shared" si="64"/>
        <v>13052.313264555385</v>
      </c>
      <c r="Q43" s="922">
        <f t="shared" si="64"/>
        <v>25993.78913620883</v>
      </c>
      <c r="R43" s="922">
        <f t="shared" si="64"/>
        <v>28023.981234625811</v>
      </c>
      <c r="S43" s="922">
        <f t="shared" si="64"/>
        <v>706.50885905333587</v>
      </c>
      <c r="T43" s="922">
        <f t="shared" si="4"/>
        <v>78022.871205279051</v>
      </c>
      <c r="U43" s="926" t="s">
        <v>1731</v>
      </c>
      <c r="V43" s="922">
        <f t="shared" ref="V43:AA43" si="65">V8+V17+V18+V42</f>
        <v>97.802537229883455</v>
      </c>
      <c r="W43" s="922">
        <f t="shared" si="65"/>
        <v>61.903377740895131</v>
      </c>
      <c r="X43" s="922">
        <f t="shared" si="65"/>
        <v>230.04618936087178</v>
      </c>
      <c r="Y43" s="922">
        <f t="shared" si="65"/>
        <v>506.87786437388371</v>
      </c>
      <c r="Z43" s="922">
        <f t="shared" si="65"/>
        <v>654.56113244744915</v>
      </c>
      <c r="AA43" s="922">
        <f t="shared" si="65"/>
        <v>14.142505713039284</v>
      </c>
      <c r="AB43" s="922">
        <f t="shared" si="34"/>
        <v>1565.3336068660226</v>
      </c>
      <c r="AC43" s="926" t="s">
        <v>1731</v>
      </c>
      <c r="AD43" s="922">
        <f t="shared" ref="AD43:AQ43" si="66">AD8+AD17+AD18+AD42</f>
        <v>97.802537229883455</v>
      </c>
      <c r="AE43" s="922">
        <f t="shared" si="66"/>
        <v>61.903377740895131</v>
      </c>
      <c r="AF43" s="922">
        <f t="shared" si="66"/>
        <v>230.04618936087178</v>
      </c>
      <c r="AG43" s="922">
        <f t="shared" si="66"/>
        <v>506.87786437388371</v>
      </c>
      <c r="AH43" s="922">
        <f t="shared" si="66"/>
        <v>654.56113244744915</v>
      </c>
      <c r="AI43" s="922">
        <f t="shared" si="66"/>
        <v>14.142505713039284</v>
      </c>
      <c r="AJ43" s="925">
        <f t="shared" si="66"/>
        <v>1565.3336068660226</v>
      </c>
      <c r="AK43" s="922">
        <f t="shared" si="66"/>
        <v>358.60930317623939</v>
      </c>
      <c r="AL43" s="922">
        <f t="shared" si="66"/>
        <v>226.97905171661546</v>
      </c>
      <c r="AM43" s="922">
        <f t="shared" si="66"/>
        <v>843.50269432319647</v>
      </c>
      <c r="AN43" s="922">
        <f t="shared" si="66"/>
        <v>1858.552169370907</v>
      </c>
      <c r="AO43" s="922">
        <f t="shared" si="66"/>
        <v>2400.057485640647</v>
      </c>
      <c r="AP43" s="922">
        <f t="shared" si="66"/>
        <v>51.855854281144033</v>
      </c>
      <c r="AQ43" s="925">
        <f t="shared" si="66"/>
        <v>5739.5565585087497</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ransitionEvaluation="1" transitionEntry="1" codeName="Sheet37">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2" width="7" style="152" customWidth="1"/>
    <col min="13" max="13" width="9" style="152" customWidth="1"/>
    <col min="14" max="14" width="8.6640625" style="152" customWidth="1"/>
    <col min="15" max="15" width="11.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ht="18.600000000000001">
      <c r="A1" s="815"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ht="15.6">
      <c r="A2" s="821" t="s">
        <v>1715</v>
      </c>
      <c r="B2" s="822">
        <v>2006</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25"/>
      <c r="AO2" s="826"/>
      <c r="AP2" s="817"/>
      <c r="AQ2" s="817"/>
    </row>
    <row r="3" spans="1:43">
      <c r="A3" s="927" t="s">
        <v>1757</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 t="shared" si="0"/>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12.75"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6.4080000000000004</v>
      </c>
      <c r="D8" s="876">
        <f t="shared" si="1"/>
        <v>64.789000000000001</v>
      </c>
      <c r="E8" s="876">
        <f t="shared" si="1"/>
        <v>1294.1113758877145</v>
      </c>
      <c r="F8" s="876">
        <f t="shared" si="1"/>
        <v>0</v>
      </c>
      <c r="G8" s="876">
        <f t="shared" si="1"/>
        <v>20461.883000000002</v>
      </c>
      <c r="H8" s="876">
        <f t="shared" si="1"/>
        <v>36.872314991999332</v>
      </c>
      <c r="I8" s="876">
        <f t="shared" ref="I8:I14" si="2">SUM(C8:H8)</f>
        <v>21864.063690879717</v>
      </c>
      <c r="J8" s="959"/>
      <c r="K8" s="960">
        <f>SUM(K9:K16)</f>
        <v>73.894886667526293</v>
      </c>
      <c r="L8" s="960">
        <f>SUM(L9:L16)</f>
        <v>0</v>
      </c>
      <c r="M8" s="960"/>
      <c r="N8" s="878">
        <f t="shared" ref="N8:S8" si="3">SUM(N9:N16)</f>
        <v>6.4080000000000004</v>
      </c>
      <c r="O8" s="876">
        <f t="shared" si="3"/>
        <v>64.789000000000001</v>
      </c>
      <c r="P8" s="876">
        <f t="shared" si="3"/>
        <v>1220.2164892201881</v>
      </c>
      <c r="Q8" s="876">
        <f t="shared" si="3"/>
        <v>0</v>
      </c>
      <c r="R8" s="876">
        <f t="shared" si="3"/>
        <v>20461.883000000002</v>
      </c>
      <c r="S8" s="879">
        <f t="shared" si="3"/>
        <v>36.872314991999332</v>
      </c>
      <c r="T8" s="876">
        <f t="shared" ref="T8:T43" si="4">SUM(N8:S8)</f>
        <v>21790.16880421219</v>
      </c>
      <c r="U8" s="928" t="s">
        <v>1731</v>
      </c>
      <c r="V8" s="929">
        <f>SUM(V9:V16)</f>
        <v>0.1682868172450841</v>
      </c>
      <c r="W8" s="929">
        <f>SUM(W9:W16)</f>
        <v>1.7014879217371648</v>
      </c>
      <c r="X8" s="929">
        <f>SUM(X9:X16)</f>
        <v>31.521648766259013</v>
      </c>
      <c r="Y8" s="929"/>
      <c r="Z8" s="929">
        <f>SUM(Z9:Z16)</f>
        <v>532.55168698317198</v>
      </c>
      <c r="AA8" s="929">
        <f>SUM(AA9:AA16)</f>
        <v>0.92696999889886322</v>
      </c>
      <c r="AB8" s="929">
        <f t="shared" ref="AB8:AB13" si="5">SUM(V8:AA8)</f>
        <v>566.87008048731207</v>
      </c>
      <c r="AC8" s="930" t="s">
        <v>1731</v>
      </c>
      <c r="AD8" s="878">
        <f>SUM(AD9:AD16)</f>
        <v>0.1682868172450841</v>
      </c>
      <c r="AE8" s="876">
        <f>SUM(AE9:AE16)</f>
        <v>1.7014879217371648</v>
      </c>
      <c r="AF8" s="876">
        <f>SUM(AF9:AF16)</f>
        <v>31.521648766259013</v>
      </c>
      <c r="AG8" s="876" t="s">
        <v>108</v>
      </c>
      <c r="AH8" s="876">
        <f>SUM(AH9:AH16)</f>
        <v>532.55168698317198</v>
      </c>
      <c r="AI8" s="876">
        <f>SUM(AI9:AI16)</f>
        <v>0.92696999889886322</v>
      </c>
      <c r="AJ8" s="876">
        <f t="shared" ref="AJ8:AJ42" si="6">SUM(AD8:AI8)</f>
        <v>566.87008048731207</v>
      </c>
      <c r="AK8" s="878">
        <f t="shared" ref="AK8:AP8" si="7">SUM(AK9:AK16)</f>
        <v>0.61705166323197502</v>
      </c>
      <c r="AL8" s="876">
        <f t="shared" si="7"/>
        <v>6.2387890463696039</v>
      </c>
      <c r="AM8" s="876">
        <f t="shared" si="7"/>
        <v>115.57937880961637</v>
      </c>
      <c r="AN8" s="876">
        <f t="shared" si="7"/>
        <v>0</v>
      </c>
      <c r="AO8" s="876">
        <f t="shared" si="7"/>
        <v>1952.6895189382972</v>
      </c>
      <c r="AP8" s="876">
        <f t="shared" si="7"/>
        <v>3.3988899959624983</v>
      </c>
      <c r="AQ8" s="882">
        <f t="shared" ref="AQ8:AQ14" si="8">SUM(AK8:AP8)</f>
        <v>2078.5236284534776</v>
      </c>
    </row>
    <row r="9" spans="1:43">
      <c r="A9" s="817"/>
      <c r="B9" s="860" t="s">
        <v>1732</v>
      </c>
      <c r="C9" s="883">
        <f>HLOOKUP($B$2,'Consumption Input'!$E$5:$AQ$82,'Consumption Input'!$B7)</f>
        <v>6.4080000000000004</v>
      </c>
      <c r="D9" s="883"/>
      <c r="E9" s="883"/>
      <c r="F9" s="883"/>
      <c r="G9" s="883"/>
      <c r="H9" s="883"/>
      <c r="I9" s="883">
        <f t="shared" si="2"/>
        <v>6.4080000000000004</v>
      </c>
      <c r="J9" s="961"/>
      <c r="K9" s="940"/>
      <c r="L9" s="940"/>
      <c r="M9" s="940"/>
      <c r="N9" s="885">
        <f t="shared" ref="N9:N17" si="9">C9</f>
        <v>6.4080000000000004</v>
      </c>
      <c r="O9" s="883">
        <f t="shared" ref="O9:O17" si="10">D9</f>
        <v>0</v>
      </c>
      <c r="P9" s="883">
        <f t="shared" ref="P9:P17" si="11">E9-K9</f>
        <v>0</v>
      </c>
      <c r="Q9" s="883">
        <f t="shared" ref="Q9:Q17" si="12">F9</f>
        <v>0</v>
      </c>
      <c r="R9" s="883">
        <f t="shared" ref="R9:R17" si="13">G9</f>
        <v>0</v>
      </c>
      <c r="S9" s="886">
        <f t="shared" ref="S9:S17" si="14">H9</f>
        <v>0</v>
      </c>
      <c r="T9" s="883">
        <f t="shared" si="4"/>
        <v>6.4080000000000004</v>
      </c>
      <c r="U9" s="931">
        <f>HLOOKUP($B$2,Factors!$J$12:$Z$25,Factors!$H13,FALSE)</f>
        <v>26.261987709907</v>
      </c>
      <c r="V9" s="932">
        <f t="shared" ref="V9:V17" si="15">N9*$U9*TbtuToQBtu</f>
        <v>0.1682868172450841</v>
      </c>
      <c r="W9" s="933">
        <f t="shared" ref="W9:W17" si="16">O9*$U9*TbtuToQBtu</f>
        <v>0</v>
      </c>
      <c r="X9" s="933">
        <f t="shared" ref="X9:X17" si="17">P9*$U9*TbtuToQBtu</f>
        <v>0</v>
      </c>
      <c r="Y9" s="933">
        <f t="shared" ref="Y9:Y17" si="18">Q9*$U9*TbtuToQBtu</f>
        <v>0</v>
      </c>
      <c r="Z9" s="933">
        <f t="shared" ref="Z9:Z17" si="19">R9*$U9*TbtuToQBtu</f>
        <v>0</v>
      </c>
      <c r="AA9" s="933">
        <f t="shared" ref="AA9:AA17" si="20">S9*$U9*TbtuToQBtu</f>
        <v>0</v>
      </c>
      <c r="AB9" s="933">
        <f t="shared" si="5"/>
        <v>0.1682868172450841</v>
      </c>
      <c r="AC9" s="934">
        <f>Factors!E10</f>
        <v>1</v>
      </c>
      <c r="AD9" s="885">
        <f t="shared" ref="AD9:AD17" si="21">V9*$AC9</f>
        <v>0.1682868172450841</v>
      </c>
      <c r="AE9" s="883">
        <f t="shared" ref="AE9:AE17" si="22">W9*$AC9</f>
        <v>0</v>
      </c>
      <c r="AF9" s="883">
        <f t="shared" ref="AF9:AF17" si="23">X9*$AC9</f>
        <v>0</v>
      </c>
      <c r="AG9" s="883">
        <f t="shared" ref="AG9:AG17" si="24">Y9*$AC9</f>
        <v>0</v>
      </c>
      <c r="AH9" s="883">
        <f t="shared" ref="AH9:AH17" si="25">Z9*$AC9</f>
        <v>0</v>
      </c>
      <c r="AI9" s="883">
        <f t="shared" ref="AI9:AI17" si="26">AA9*$AC9</f>
        <v>0</v>
      </c>
      <c r="AJ9" s="889">
        <f t="shared" si="6"/>
        <v>0.1682868172450841</v>
      </c>
      <c r="AK9" s="885">
        <f t="shared" ref="AK9:AK42" si="27">AD9*CtoCO2</f>
        <v>0.61705166323197502</v>
      </c>
      <c r="AL9" s="883">
        <f t="shared" ref="AL9:AL42" si="28">AE9*CtoCO2</f>
        <v>0</v>
      </c>
      <c r="AM9" s="883">
        <f t="shared" ref="AM9:AM42" si="29">AF9*CtoCO2</f>
        <v>0</v>
      </c>
      <c r="AN9" s="883">
        <f t="shared" ref="AN9:AN42" si="30">AG9*CtoCO2</f>
        <v>0</v>
      </c>
      <c r="AO9" s="883">
        <f t="shared" ref="AO9:AO42" si="31">AH9*CtoCO2</f>
        <v>0</v>
      </c>
      <c r="AP9" s="883">
        <f t="shared" ref="AP9:AP42" si="32">AI9*CtoCO2</f>
        <v>0</v>
      </c>
      <c r="AQ9" s="890">
        <f t="shared" si="8"/>
        <v>0.61705166323197502</v>
      </c>
    </row>
    <row r="10" spans="1:43">
      <c r="A10" s="817"/>
      <c r="B10" s="860" t="s">
        <v>1733</v>
      </c>
      <c r="C10" s="883"/>
      <c r="D10" s="883">
        <f>HLOOKUP($B$2,'Consumption Input'!$E$5:$AQ$82,'Consumption Input'!$B13)</f>
        <v>64.789000000000001</v>
      </c>
      <c r="E10" s="883"/>
      <c r="F10" s="883"/>
      <c r="G10" s="883"/>
      <c r="H10" s="883"/>
      <c r="I10" s="883">
        <f t="shared" si="2"/>
        <v>64.789000000000001</v>
      </c>
      <c r="J10" s="961"/>
      <c r="K10" s="940"/>
      <c r="L10" s="940"/>
      <c r="M10" s="940"/>
      <c r="N10" s="885">
        <f t="shared" si="9"/>
        <v>0</v>
      </c>
      <c r="O10" s="883">
        <f t="shared" si="10"/>
        <v>64.789000000000001</v>
      </c>
      <c r="P10" s="883">
        <f t="shared" si="11"/>
        <v>0</v>
      </c>
      <c r="Q10" s="883">
        <f t="shared" si="12"/>
        <v>0</v>
      </c>
      <c r="R10" s="883">
        <f t="shared" si="13"/>
        <v>0</v>
      </c>
      <c r="S10" s="886">
        <f t="shared" si="14"/>
        <v>0</v>
      </c>
      <c r="T10" s="883">
        <f t="shared" si="4"/>
        <v>64.789000000000001</v>
      </c>
      <c r="U10" s="931">
        <f>HLOOKUP($B$2,Factors!$J$12:$Z$25,Factors!$H14,FALSE)</f>
        <v>26.261987709907</v>
      </c>
      <c r="V10" s="932">
        <f t="shared" si="15"/>
        <v>0</v>
      </c>
      <c r="W10" s="933">
        <f t="shared" si="16"/>
        <v>1.7014879217371648</v>
      </c>
      <c r="X10" s="933">
        <f t="shared" si="17"/>
        <v>0</v>
      </c>
      <c r="Y10" s="933">
        <f t="shared" si="18"/>
        <v>0</v>
      </c>
      <c r="Z10" s="933">
        <f t="shared" si="19"/>
        <v>0</v>
      </c>
      <c r="AA10" s="933">
        <f t="shared" si="20"/>
        <v>0</v>
      </c>
      <c r="AB10" s="933">
        <f t="shared" si="5"/>
        <v>1.7014879217371648</v>
      </c>
      <c r="AC10" s="934">
        <f>Factors!E11</f>
        <v>1</v>
      </c>
      <c r="AD10" s="885">
        <f t="shared" si="21"/>
        <v>0</v>
      </c>
      <c r="AE10" s="883">
        <f t="shared" si="22"/>
        <v>1.7014879217371648</v>
      </c>
      <c r="AF10" s="883">
        <f t="shared" si="23"/>
        <v>0</v>
      </c>
      <c r="AG10" s="883">
        <f t="shared" si="24"/>
        <v>0</v>
      </c>
      <c r="AH10" s="883">
        <f t="shared" si="25"/>
        <v>0</v>
      </c>
      <c r="AI10" s="883">
        <f t="shared" si="26"/>
        <v>0</v>
      </c>
      <c r="AJ10" s="889">
        <f t="shared" si="6"/>
        <v>1.7014879217371648</v>
      </c>
      <c r="AK10" s="885">
        <f t="shared" si="27"/>
        <v>0</v>
      </c>
      <c r="AL10" s="883">
        <f t="shared" si="28"/>
        <v>6.2387890463696039</v>
      </c>
      <c r="AM10" s="883">
        <f t="shared" si="29"/>
        <v>0</v>
      </c>
      <c r="AN10" s="883">
        <f t="shared" si="30"/>
        <v>0</v>
      </c>
      <c r="AO10" s="883">
        <f t="shared" si="31"/>
        <v>0</v>
      </c>
      <c r="AP10" s="883">
        <f t="shared" si="32"/>
        <v>0</v>
      </c>
      <c r="AQ10" s="890">
        <f t="shared" si="8"/>
        <v>6.2387890463696039</v>
      </c>
    </row>
    <row r="11" spans="1:43" s="244" customFormat="1" hidden="1">
      <c r="A11" s="861"/>
      <c r="B11" s="862" t="s">
        <v>1734</v>
      </c>
      <c r="C11" s="891"/>
      <c r="D11" s="891"/>
      <c r="E11" s="891">
        <f>HLOOKUP($B$2,'Consumption Input'!$E$5:$AQ$82,'Consumption Input'!$B23)</f>
        <v>62.874654862045077</v>
      </c>
      <c r="F11" s="891"/>
      <c r="G11" s="891"/>
      <c r="H11" s="891"/>
      <c r="I11" s="891">
        <f t="shared" si="2"/>
        <v>62.874654862045077</v>
      </c>
      <c r="J11" s="962"/>
      <c r="K11" s="963">
        <f>HLOOKUP($B$2,NEUConsumption,'Non-Energy Use'!$C$7)</f>
        <v>62.874654862045077</v>
      </c>
      <c r="L11" s="963"/>
      <c r="M11" s="963"/>
      <c r="N11" s="893">
        <f t="shared" si="9"/>
        <v>0</v>
      </c>
      <c r="O11" s="891">
        <f t="shared" si="10"/>
        <v>0</v>
      </c>
      <c r="P11" s="891">
        <f t="shared" si="11"/>
        <v>0</v>
      </c>
      <c r="Q11" s="891">
        <f t="shared" si="12"/>
        <v>0</v>
      </c>
      <c r="R11" s="891">
        <f t="shared" si="13"/>
        <v>0</v>
      </c>
      <c r="S11" s="894">
        <f t="shared" si="14"/>
        <v>0</v>
      </c>
      <c r="T11" s="891">
        <f t="shared" si="4"/>
        <v>0</v>
      </c>
      <c r="U11" s="1013">
        <f>HLOOKUP($B$2,Factors!$J$12:$BE$28,Factors!$H28,FALSE)</f>
        <v>25.59861228868181</v>
      </c>
      <c r="V11" s="936">
        <f t="shared" si="15"/>
        <v>0</v>
      </c>
      <c r="W11" s="937">
        <f t="shared" si="16"/>
        <v>0</v>
      </c>
      <c r="X11" s="937">
        <f t="shared" si="17"/>
        <v>0</v>
      </c>
      <c r="Y11" s="937">
        <f t="shared" si="18"/>
        <v>0</v>
      </c>
      <c r="Z11" s="937">
        <f t="shared" si="19"/>
        <v>0</v>
      </c>
      <c r="AA11" s="937">
        <f t="shared" si="20"/>
        <v>0</v>
      </c>
      <c r="AB11" s="937">
        <f t="shared" si="5"/>
        <v>0</v>
      </c>
      <c r="AC11" s="938">
        <f>Factors!E12</f>
        <v>1</v>
      </c>
      <c r="AD11" s="893">
        <f t="shared" si="21"/>
        <v>0</v>
      </c>
      <c r="AE11" s="891">
        <f t="shared" si="22"/>
        <v>0</v>
      </c>
      <c r="AF11" s="891">
        <f t="shared" si="23"/>
        <v>0</v>
      </c>
      <c r="AG11" s="891">
        <f t="shared" si="24"/>
        <v>0</v>
      </c>
      <c r="AH11" s="891">
        <f t="shared" si="25"/>
        <v>0</v>
      </c>
      <c r="AI11" s="891">
        <f t="shared" si="26"/>
        <v>0</v>
      </c>
      <c r="AJ11" s="897">
        <f t="shared" si="6"/>
        <v>0</v>
      </c>
      <c r="AK11" s="893">
        <f t="shared" si="27"/>
        <v>0</v>
      </c>
      <c r="AL11" s="891">
        <f t="shared" si="28"/>
        <v>0</v>
      </c>
      <c r="AM11" s="891">
        <f t="shared" si="29"/>
        <v>0</v>
      </c>
      <c r="AN11" s="891">
        <f t="shared" si="30"/>
        <v>0</v>
      </c>
      <c r="AO11" s="891">
        <f t="shared" si="31"/>
        <v>0</v>
      </c>
      <c r="AP11" s="891">
        <f t="shared" si="32"/>
        <v>0</v>
      </c>
      <c r="AQ11" s="898">
        <f t="shared" si="8"/>
        <v>0</v>
      </c>
    </row>
    <row r="12" spans="1:43">
      <c r="A12" s="817"/>
      <c r="B12" s="860" t="s">
        <v>1701</v>
      </c>
      <c r="C12" s="883"/>
      <c r="D12" s="883"/>
      <c r="E12" s="883">
        <f>HLOOKUP($B$2,'Consumption Input'!$E$5:$AQ$82,'Consumption Input'!$B24)</f>
        <v>1231.2367210256693</v>
      </c>
      <c r="F12" s="883"/>
      <c r="G12" s="883"/>
      <c r="H12" s="883"/>
      <c r="I12" s="883">
        <f t="shared" si="2"/>
        <v>1231.2367210256693</v>
      </c>
      <c r="J12" s="961"/>
      <c r="K12" s="940">
        <f>HLOOKUP($B$2,NEUConsumption,'Non-Energy Use'!$C$8)</f>
        <v>11.020231805481213</v>
      </c>
      <c r="L12" s="940"/>
      <c r="M12" s="940"/>
      <c r="N12" s="885">
        <f t="shared" si="9"/>
        <v>0</v>
      </c>
      <c r="O12" s="883">
        <f t="shared" si="10"/>
        <v>0</v>
      </c>
      <c r="P12" s="883">
        <f t="shared" si="11"/>
        <v>1220.2164892201881</v>
      </c>
      <c r="Q12" s="883">
        <f t="shared" si="12"/>
        <v>0</v>
      </c>
      <c r="R12" s="883">
        <f t="shared" si="13"/>
        <v>0</v>
      </c>
      <c r="S12" s="886">
        <f t="shared" si="14"/>
        <v>0</v>
      </c>
      <c r="T12" s="883">
        <f t="shared" si="4"/>
        <v>1220.2164892201881</v>
      </c>
      <c r="U12" s="931">
        <f>HLOOKUP($B$2,Factors!$J$12:$Z$25,Factors!$H15,FALSE)</f>
        <v>25.832832980649002</v>
      </c>
      <c r="V12" s="932">
        <f t="shared" si="15"/>
        <v>0</v>
      </c>
      <c r="W12" s="933">
        <f t="shared" si="16"/>
        <v>0</v>
      </c>
      <c r="X12" s="939">
        <f t="shared" si="17"/>
        <v>31.521648766259013</v>
      </c>
      <c r="Y12" s="933">
        <f t="shared" si="18"/>
        <v>0</v>
      </c>
      <c r="Z12" s="933">
        <f t="shared" si="19"/>
        <v>0</v>
      </c>
      <c r="AA12" s="933">
        <f t="shared" si="20"/>
        <v>0</v>
      </c>
      <c r="AB12" s="933">
        <f t="shared" si="5"/>
        <v>31.521648766259013</v>
      </c>
      <c r="AC12" s="934">
        <f>Factors!E13</f>
        <v>1</v>
      </c>
      <c r="AD12" s="885">
        <f t="shared" si="21"/>
        <v>0</v>
      </c>
      <c r="AE12" s="883">
        <f t="shared" si="22"/>
        <v>0</v>
      </c>
      <c r="AF12" s="940">
        <f t="shared" si="23"/>
        <v>31.521648766259013</v>
      </c>
      <c r="AG12" s="883">
        <f t="shared" si="24"/>
        <v>0</v>
      </c>
      <c r="AH12" s="883">
        <f t="shared" si="25"/>
        <v>0</v>
      </c>
      <c r="AI12" s="883">
        <f t="shared" si="26"/>
        <v>0</v>
      </c>
      <c r="AJ12" s="889">
        <f t="shared" si="6"/>
        <v>31.521648766259013</v>
      </c>
      <c r="AK12" s="885">
        <f t="shared" si="27"/>
        <v>0</v>
      </c>
      <c r="AL12" s="883">
        <f t="shared" si="28"/>
        <v>0</v>
      </c>
      <c r="AM12" s="883">
        <f t="shared" si="29"/>
        <v>115.57937880961637</v>
      </c>
      <c r="AN12" s="883">
        <f t="shared" si="30"/>
        <v>0</v>
      </c>
      <c r="AO12" s="883">
        <f t="shared" si="31"/>
        <v>0</v>
      </c>
      <c r="AP12" s="883">
        <f t="shared" si="32"/>
        <v>0</v>
      </c>
      <c r="AQ12" s="890">
        <f t="shared" si="8"/>
        <v>115.57937880961637</v>
      </c>
    </row>
    <row r="13" spans="1:43" s="244" customFormat="1" hidden="1">
      <c r="A13" s="861"/>
      <c r="B13" s="862" t="s">
        <v>1607</v>
      </c>
      <c r="C13" s="891"/>
      <c r="D13" s="891"/>
      <c r="E13" s="891">
        <f>HLOOKUP($B$2,'Consumption Input'!$E$5:$AQ$82,'Consumption Input'!$B25)</f>
        <v>0</v>
      </c>
      <c r="F13" s="891"/>
      <c r="G13" s="891"/>
      <c r="H13" s="891"/>
      <c r="I13" s="883">
        <f t="shared" si="2"/>
        <v>0</v>
      </c>
      <c r="J13" s="962"/>
      <c r="K13" s="963"/>
      <c r="L13" s="963"/>
      <c r="M13" s="963"/>
      <c r="N13" s="893">
        <f t="shared" si="9"/>
        <v>0</v>
      </c>
      <c r="O13" s="891">
        <f t="shared" si="10"/>
        <v>0</v>
      </c>
      <c r="P13" s="891">
        <f t="shared" si="11"/>
        <v>0</v>
      </c>
      <c r="Q13" s="891">
        <f t="shared" si="12"/>
        <v>0</v>
      </c>
      <c r="R13" s="891">
        <f t="shared" si="13"/>
        <v>0</v>
      </c>
      <c r="S13" s="894">
        <f t="shared" si="14"/>
        <v>0</v>
      </c>
      <c r="T13" s="891">
        <f t="shared" si="4"/>
        <v>0</v>
      </c>
      <c r="U13" s="935">
        <f>Factors!D14</f>
        <v>27.85</v>
      </c>
      <c r="V13" s="936">
        <f t="shared" si="15"/>
        <v>0</v>
      </c>
      <c r="W13" s="937">
        <f t="shared" si="16"/>
        <v>0</v>
      </c>
      <c r="X13" s="937">
        <f t="shared" si="17"/>
        <v>0</v>
      </c>
      <c r="Y13" s="937">
        <f t="shared" si="18"/>
        <v>0</v>
      </c>
      <c r="Z13" s="937">
        <f t="shared" si="19"/>
        <v>0</v>
      </c>
      <c r="AA13" s="937">
        <f t="shared" si="20"/>
        <v>0</v>
      </c>
      <c r="AB13" s="937">
        <f t="shared" si="5"/>
        <v>0</v>
      </c>
      <c r="AC13" s="938">
        <f>Factors!E14</f>
        <v>1</v>
      </c>
      <c r="AD13" s="893">
        <f t="shared" si="21"/>
        <v>0</v>
      </c>
      <c r="AE13" s="891">
        <f t="shared" si="22"/>
        <v>0</v>
      </c>
      <c r="AF13" s="891">
        <f t="shared" si="23"/>
        <v>0</v>
      </c>
      <c r="AG13" s="891">
        <f t="shared" si="24"/>
        <v>0</v>
      </c>
      <c r="AH13" s="891">
        <f t="shared" si="25"/>
        <v>0</v>
      </c>
      <c r="AI13" s="891">
        <f t="shared" si="26"/>
        <v>0</v>
      </c>
      <c r="AJ13" s="897">
        <f t="shared" si="6"/>
        <v>0</v>
      </c>
      <c r="AK13" s="893">
        <f t="shared" si="27"/>
        <v>0</v>
      </c>
      <c r="AL13" s="891">
        <f t="shared" si="28"/>
        <v>0</v>
      </c>
      <c r="AM13" s="891">
        <f t="shared" si="29"/>
        <v>0</v>
      </c>
      <c r="AN13" s="891">
        <f t="shared" si="30"/>
        <v>0</v>
      </c>
      <c r="AO13" s="891">
        <f t="shared" si="31"/>
        <v>0</v>
      </c>
      <c r="AP13" s="891">
        <f t="shared" si="32"/>
        <v>0</v>
      </c>
      <c r="AQ13" s="890">
        <f t="shared" si="8"/>
        <v>0</v>
      </c>
    </row>
    <row r="14" spans="1:43">
      <c r="A14" s="817"/>
      <c r="B14" s="860" t="s">
        <v>1735</v>
      </c>
      <c r="C14" s="883"/>
      <c r="D14" s="883"/>
      <c r="E14" s="883"/>
      <c r="F14" s="883">
        <f>HLOOKUP($B$2,'Consumption Input'!$E$5:$AQ$82,'Consumption Input'!$B48)</f>
        <v>0</v>
      </c>
      <c r="G14" s="883"/>
      <c r="H14" s="883"/>
      <c r="I14" s="883">
        <f t="shared" si="2"/>
        <v>0</v>
      </c>
      <c r="J14" s="961"/>
      <c r="K14" s="940"/>
      <c r="L14" s="940"/>
      <c r="M14" s="940"/>
      <c r="N14" s="885">
        <f t="shared" si="9"/>
        <v>0</v>
      </c>
      <c r="O14" s="883">
        <f t="shared" si="10"/>
        <v>0</v>
      </c>
      <c r="P14" s="883">
        <f t="shared" si="11"/>
        <v>0</v>
      </c>
      <c r="Q14" s="883">
        <f t="shared" si="12"/>
        <v>0</v>
      </c>
      <c r="R14" s="883">
        <f t="shared" si="13"/>
        <v>0</v>
      </c>
      <c r="S14" s="886">
        <f t="shared" si="14"/>
        <v>0</v>
      </c>
      <c r="T14" s="883">
        <f t="shared" si="4"/>
        <v>0</v>
      </c>
      <c r="U14" s="931" t="str">
        <f>Factors!D15</f>
        <v>NC</v>
      </c>
      <c r="V14" s="932">
        <f t="shared" si="15"/>
        <v>0</v>
      </c>
      <c r="W14" s="933">
        <f t="shared" si="16"/>
        <v>0</v>
      </c>
      <c r="X14" s="933">
        <f t="shared" si="17"/>
        <v>0</v>
      </c>
      <c r="Y14" s="933">
        <f t="shared" si="18"/>
        <v>0</v>
      </c>
      <c r="Z14" s="933">
        <f t="shared" si="19"/>
        <v>0</v>
      </c>
      <c r="AA14" s="933">
        <f t="shared" si="20"/>
        <v>0</v>
      </c>
      <c r="AB14" s="933" t="s">
        <v>103</v>
      </c>
      <c r="AC14" s="934" t="str">
        <f>Factors!E15</f>
        <v>NC</v>
      </c>
      <c r="AD14" s="885">
        <f t="shared" si="21"/>
        <v>0</v>
      </c>
      <c r="AE14" s="883">
        <f t="shared" si="22"/>
        <v>0</v>
      </c>
      <c r="AF14" s="883">
        <f t="shared" si="23"/>
        <v>0</v>
      </c>
      <c r="AG14" s="883">
        <f t="shared" si="24"/>
        <v>0</v>
      </c>
      <c r="AH14" s="883">
        <f t="shared" si="25"/>
        <v>0</v>
      </c>
      <c r="AI14" s="883">
        <f t="shared" si="26"/>
        <v>0</v>
      </c>
      <c r="AJ14" s="889">
        <f t="shared" si="6"/>
        <v>0</v>
      </c>
      <c r="AK14" s="885">
        <f t="shared" si="27"/>
        <v>0</v>
      </c>
      <c r="AL14" s="883">
        <f t="shared" si="28"/>
        <v>0</v>
      </c>
      <c r="AM14" s="883">
        <f t="shared" si="29"/>
        <v>0</v>
      </c>
      <c r="AN14" s="883">
        <f t="shared" si="30"/>
        <v>0</v>
      </c>
      <c r="AO14" s="883">
        <f t="shared" si="31"/>
        <v>0</v>
      </c>
      <c r="AP14" s="883">
        <f t="shared" si="32"/>
        <v>0</v>
      </c>
      <c r="AQ14" s="890">
        <f t="shared" si="8"/>
        <v>0</v>
      </c>
    </row>
    <row r="15" spans="1:43">
      <c r="A15" s="817"/>
      <c r="B15" s="860" t="s">
        <v>1736</v>
      </c>
      <c r="C15" s="883"/>
      <c r="D15" s="883"/>
      <c r="E15" s="883"/>
      <c r="F15" s="883"/>
      <c r="G15" s="883">
        <f>HLOOKUP($B$2,'Consumption Input'!$E$5:$AQ$82,'Consumption Input'!$B58)</f>
        <v>20461.883000000002</v>
      </c>
      <c r="H15" s="883"/>
      <c r="I15" s="883">
        <f t="shared" ref="I15:I28" si="33">SUM(C15:H15)</f>
        <v>20461.883000000002</v>
      </c>
      <c r="J15" s="961"/>
      <c r="K15" s="940"/>
      <c r="L15" s="940"/>
      <c r="M15" s="940"/>
      <c r="N15" s="885">
        <f t="shared" si="9"/>
        <v>0</v>
      </c>
      <c r="O15" s="883">
        <f t="shared" si="10"/>
        <v>0</v>
      </c>
      <c r="P15" s="883">
        <f t="shared" si="11"/>
        <v>0</v>
      </c>
      <c r="Q15" s="883">
        <f t="shared" si="12"/>
        <v>0</v>
      </c>
      <c r="R15" s="883">
        <f t="shared" si="13"/>
        <v>20461.883000000002</v>
      </c>
      <c r="S15" s="886">
        <f t="shared" si="14"/>
        <v>0</v>
      </c>
      <c r="T15" s="883">
        <f t="shared" si="4"/>
        <v>20461.883000000002</v>
      </c>
      <c r="U15" s="931">
        <f>HLOOKUP($B$2,Factors!$J$12:$Z$25,Factors!$H16,FALSE)</f>
        <v>26.026523902182998</v>
      </c>
      <c r="V15" s="932">
        <f t="shared" si="15"/>
        <v>0</v>
      </c>
      <c r="W15" s="933">
        <f t="shared" si="16"/>
        <v>0</v>
      </c>
      <c r="X15" s="933">
        <f t="shared" si="17"/>
        <v>0</v>
      </c>
      <c r="Y15" s="933">
        <f t="shared" si="18"/>
        <v>0</v>
      </c>
      <c r="Z15" s="933">
        <f t="shared" si="19"/>
        <v>532.55168698317198</v>
      </c>
      <c r="AA15" s="933">
        <f t="shared" si="20"/>
        <v>0</v>
      </c>
      <c r="AB15" s="933">
        <f t="shared" ref="AB15:AB43" si="34">SUM(V15:AA15)</f>
        <v>532.55168698317198</v>
      </c>
      <c r="AC15" s="934">
        <f>Factors!E16</f>
        <v>1</v>
      </c>
      <c r="AD15" s="885">
        <f t="shared" si="21"/>
        <v>0</v>
      </c>
      <c r="AE15" s="883">
        <f t="shared" si="22"/>
        <v>0</v>
      </c>
      <c r="AF15" s="883">
        <f t="shared" si="23"/>
        <v>0</v>
      </c>
      <c r="AG15" s="883">
        <f t="shared" si="24"/>
        <v>0</v>
      </c>
      <c r="AH15" s="883">
        <f t="shared" si="25"/>
        <v>532.55168698317198</v>
      </c>
      <c r="AI15" s="883">
        <f t="shared" si="26"/>
        <v>0</v>
      </c>
      <c r="AJ15" s="889">
        <f t="shared" si="6"/>
        <v>532.55168698317198</v>
      </c>
      <c r="AK15" s="885">
        <f t="shared" si="27"/>
        <v>0</v>
      </c>
      <c r="AL15" s="883">
        <f t="shared" si="28"/>
        <v>0</v>
      </c>
      <c r="AM15" s="883">
        <f t="shared" si="29"/>
        <v>0</v>
      </c>
      <c r="AN15" s="883">
        <f t="shared" si="30"/>
        <v>0</v>
      </c>
      <c r="AO15" s="883">
        <f t="shared" si="31"/>
        <v>1952.6895189382972</v>
      </c>
      <c r="AP15" s="883">
        <f t="shared" si="32"/>
        <v>0</v>
      </c>
      <c r="AQ15" s="890">
        <f t="shared" ref="AQ15:AQ42" si="35">SUM(AK15:AP15)</f>
        <v>1952.6895189382972</v>
      </c>
    </row>
    <row r="16" spans="1:43">
      <c r="A16" s="817"/>
      <c r="B16" s="860" t="s">
        <v>1737</v>
      </c>
      <c r="C16" s="883"/>
      <c r="D16" s="883"/>
      <c r="E16" s="883"/>
      <c r="F16" s="883"/>
      <c r="G16" s="883"/>
      <c r="H16" s="883">
        <f>HLOOKUP($B$2,'US Territories'!$D$28:$Z$38,'US Territories'!$B29)</f>
        <v>36.872314991999332</v>
      </c>
      <c r="I16" s="883">
        <f t="shared" si="33"/>
        <v>36.872314991999332</v>
      </c>
      <c r="J16" s="961"/>
      <c r="K16" s="940"/>
      <c r="L16" s="940"/>
      <c r="M16" s="940"/>
      <c r="N16" s="885">
        <f t="shared" si="9"/>
        <v>0</v>
      </c>
      <c r="O16" s="883">
        <f t="shared" si="10"/>
        <v>0</v>
      </c>
      <c r="P16" s="883">
        <f t="shared" si="11"/>
        <v>0</v>
      </c>
      <c r="Q16" s="883">
        <f t="shared" si="12"/>
        <v>0</v>
      </c>
      <c r="R16" s="883">
        <f t="shared" si="13"/>
        <v>0</v>
      </c>
      <c r="S16" s="886">
        <f t="shared" si="14"/>
        <v>36.872314991999332</v>
      </c>
      <c r="T16" s="883">
        <f t="shared" si="4"/>
        <v>36.872314991999332</v>
      </c>
      <c r="U16" s="931">
        <f>Factors!D17</f>
        <v>25.14</v>
      </c>
      <c r="V16" s="941">
        <f t="shared" si="15"/>
        <v>0</v>
      </c>
      <c r="W16" s="942">
        <f t="shared" si="16"/>
        <v>0</v>
      </c>
      <c r="X16" s="942">
        <f t="shared" si="17"/>
        <v>0</v>
      </c>
      <c r="Y16" s="942">
        <f t="shared" si="18"/>
        <v>0</v>
      </c>
      <c r="Z16" s="942">
        <f t="shared" si="19"/>
        <v>0</v>
      </c>
      <c r="AA16" s="942">
        <f t="shared" si="20"/>
        <v>0.92696999889886322</v>
      </c>
      <c r="AB16" s="933">
        <f t="shared" si="34"/>
        <v>0.92696999889886322</v>
      </c>
      <c r="AC16" s="934">
        <f>Factors!E17</f>
        <v>1</v>
      </c>
      <c r="AD16" s="899">
        <f t="shared" si="21"/>
        <v>0</v>
      </c>
      <c r="AE16" s="900">
        <f t="shared" si="22"/>
        <v>0</v>
      </c>
      <c r="AF16" s="900">
        <f t="shared" si="23"/>
        <v>0</v>
      </c>
      <c r="AG16" s="900">
        <f t="shared" si="24"/>
        <v>0</v>
      </c>
      <c r="AH16" s="900">
        <f t="shared" si="25"/>
        <v>0</v>
      </c>
      <c r="AI16" s="900">
        <f t="shared" si="26"/>
        <v>0.92696999889886322</v>
      </c>
      <c r="AJ16" s="889">
        <f t="shared" si="6"/>
        <v>0.92696999889886322</v>
      </c>
      <c r="AK16" s="885">
        <f t="shared" si="27"/>
        <v>0</v>
      </c>
      <c r="AL16" s="883">
        <f t="shared" si="28"/>
        <v>0</v>
      </c>
      <c r="AM16" s="883">
        <f t="shared" si="29"/>
        <v>0</v>
      </c>
      <c r="AN16" s="883">
        <f t="shared" si="30"/>
        <v>0</v>
      </c>
      <c r="AO16" s="883">
        <f t="shared" si="31"/>
        <v>0</v>
      </c>
      <c r="AP16" s="883">
        <f t="shared" si="32"/>
        <v>3.3988899959624983</v>
      </c>
      <c r="AQ16" s="890">
        <f t="shared" si="35"/>
        <v>3.3988899959624983</v>
      </c>
    </row>
    <row r="17" spans="1:43">
      <c r="A17" s="817"/>
      <c r="B17" s="863" t="s">
        <v>1439</v>
      </c>
      <c r="C17" s="901">
        <f>HLOOKUP($B$2,'Consumption Input'!$E$5:$AQ$82,'Consumption Input'!$B8)</f>
        <v>4475.9129999999996</v>
      </c>
      <c r="D17" s="901">
        <f>HLOOKUP($B$2,'Consumption Input'!$E$5:$AQ$82,'Consumption Input'!$B14)</f>
        <v>2901.6869999999999</v>
      </c>
      <c r="E17" s="901">
        <f>HLOOKUP($B$2,'Consumption Input'!$E$5:$AQ$82,'Consumption Input'!$B26)</f>
        <v>7541.4583065914294</v>
      </c>
      <c r="F17" s="901">
        <f>HLOOKUP($B$2,'Consumption Input'!$E$5:$AQ$82,'Consumption Input'!$B49)</f>
        <v>624.97500000000002</v>
      </c>
      <c r="G17" s="901">
        <f>HLOOKUP($B$2,'Consumption Input'!$E$5:$AQ$82,'Consumption Input'!$B59)</f>
        <v>6375.1390000000001</v>
      </c>
      <c r="H17" s="945">
        <f>HLOOKUP($B$2,'US Territories'!$D$28:$Z$38,'US Territories'!$B30)</f>
        <v>26.138750399999999</v>
      </c>
      <c r="I17" s="901">
        <f t="shared" si="33"/>
        <v>21945.311056991432</v>
      </c>
      <c r="J17" s="964"/>
      <c r="K17" s="965">
        <f>HLOOKUP($B$2,NEUConsumption,'Non-Energy Use'!$C$9)</f>
        <v>233.35599999999999</v>
      </c>
      <c r="L17" s="965"/>
      <c r="M17" s="965"/>
      <c r="N17" s="904">
        <f t="shared" si="9"/>
        <v>4475.9129999999996</v>
      </c>
      <c r="O17" s="901">
        <f t="shared" si="10"/>
        <v>2901.6869999999999</v>
      </c>
      <c r="P17" s="901">
        <f t="shared" si="11"/>
        <v>7308.1023065914296</v>
      </c>
      <c r="Q17" s="901">
        <f t="shared" si="12"/>
        <v>624.97500000000002</v>
      </c>
      <c r="R17" s="901">
        <f t="shared" si="13"/>
        <v>6375.1390000000001</v>
      </c>
      <c r="S17" s="944">
        <f t="shared" si="14"/>
        <v>26.138750399999999</v>
      </c>
      <c r="T17" s="901">
        <f t="shared" si="4"/>
        <v>21711.955056991432</v>
      </c>
      <c r="U17" s="946">
        <f>HLOOKUP($B$2,Factors!$J$12:$AB$26,Factors!$H26,FALSE)</f>
        <v>14.458506695525291</v>
      </c>
      <c r="V17" s="947">
        <f t="shared" si="15"/>
        <v>64.715018079088679</v>
      </c>
      <c r="W17" s="947">
        <f t="shared" si="16"/>
        <v>41.954060917818694</v>
      </c>
      <c r="X17" s="947">
        <f t="shared" si="17"/>
        <v>105.66424613143602</v>
      </c>
      <c r="Y17" s="947">
        <f t="shared" si="18"/>
        <v>9.0362052220359192</v>
      </c>
      <c r="Z17" s="947">
        <f t="shared" si="19"/>
        <v>92.1749899164044</v>
      </c>
      <c r="AA17" s="947">
        <f t="shared" si="20"/>
        <v>0.37792729767106437</v>
      </c>
      <c r="AB17" s="947">
        <f t="shared" si="34"/>
        <v>313.92244756445479</v>
      </c>
      <c r="AC17" s="948">
        <f>Factors!E19</f>
        <v>1</v>
      </c>
      <c r="AD17" s="904">
        <f t="shared" si="21"/>
        <v>64.715018079088679</v>
      </c>
      <c r="AE17" s="901">
        <f t="shared" si="22"/>
        <v>41.954060917818694</v>
      </c>
      <c r="AF17" s="901">
        <f t="shared" si="23"/>
        <v>105.66424613143602</v>
      </c>
      <c r="AG17" s="901">
        <f t="shared" si="24"/>
        <v>9.0362052220359192</v>
      </c>
      <c r="AH17" s="901">
        <f t="shared" si="25"/>
        <v>92.1749899164044</v>
      </c>
      <c r="AI17" s="901">
        <f t="shared" si="26"/>
        <v>0.37792729767106437</v>
      </c>
      <c r="AJ17" s="901">
        <f t="shared" si="6"/>
        <v>313.92244756445479</v>
      </c>
      <c r="AK17" s="904">
        <f t="shared" si="27"/>
        <v>237.28839962332515</v>
      </c>
      <c r="AL17" s="901">
        <f t="shared" si="28"/>
        <v>153.83155669866855</v>
      </c>
      <c r="AM17" s="901">
        <f t="shared" si="29"/>
        <v>387.43556914859869</v>
      </c>
      <c r="AN17" s="901">
        <f t="shared" si="30"/>
        <v>33.132752480798366</v>
      </c>
      <c r="AO17" s="901">
        <f t="shared" si="31"/>
        <v>337.97496302681611</v>
      </c>
      <c r="AP17" s="901">
        <f t="shared" si="32"/>
        <v>1.3857334247939026</v>
      </c>
      <c r="AQ17" s="907">
        <f t="shared" si="35"/>
        <v>1151.0489744030008</v>
      </c>
    </row>
    <row r="18" spans="1:43">
      <c r="A18" s="817"/>
      <c r="B18" s="864" t="s">
        <v>1440</v>
      </c>
      <c r="C18" s="908">
        <f t="shared" ref="C18:H18" si="36">SUM(C19:C41)</f>
        <v>1185.5277971365058</v>
      </c>
      <c r="D18" s="908">
        <f t="shared" si="36"/>
        <v>712.37169141779805</v>
      </c>
      <c r="E18" s="908">
        <f t="shared" si="36"/>
        <v>9899.2209748449623</v>
      </c>
      <c r="F18" s="908">
        <f t="shared" si="36"/>
        <v>26978.777618791886</v>
      </c>
      <c r="G18" s="908">
        <f t="shared" si="36"/>
        <v>636.95799999999997</v>
      </c>
      <c r="H18" s="908">
        <f t="shared" si="36"/>
        <v>730.73602792338409</v>
      </c>
      <c r="I18" s="908">
        <f t="shared" si="33"/>
        <v>40143.592110114536</v>
      </c>
      <c r="J18" s="966">
        <f t="shared" ref="J18:S18" si="37">SUM(J19:J41)</f>
        <v>1575.3714311532135</v>
      </c>
      <c r="K18" s="967">
        <f t="shared" si="37"/>
        <v>5091.816747824867</v>
      </c>
      <c r="L18" s="967">
        <f t="shared" si="37"/>
        <v>147.41399999999999</v>
      </c>
      <c r="M18" s="967">
        <f t="shared" si="37"/>
        <v>98.559137302910813</v>
      </c>
      <c r="N18" s="910">
        <f t="shared" si="37"/>
        <v>1185.5277971365058</v>
      </c>
      <c r="O18" s="908">
        <f t="shared" si="37"/>
        <v>712.37169141779805</v>
      </c>
      <c r="P18" s="908">
        <f t="shared" si="37"/>
        <v>4807.4042270200935</v>
      </c>
      <c r="Q18" s="908">
        <f t="shared" si="37"/>
        <v>25255.992187638669</v>
      </c>
      <c r="R18" s="908">
        <f t="shared" si="37"/>
        <v>636.95799999999997</v>
      </c>
      <c r="S18" s="911">
        <f t="shared" si="37"/>
        <v>632.17689062047339</v>
      </c>
      <c r="T18" s="889">
        <f t="shared" si="4"/>
        <v>33230.430793833541</v>
      </c>
      <c r="U18" s="949" t="s">
        <v>1731</v>
      </c>
      <c r="V18" s="950">
        <f t="shared" ref="V18:AA18" si="38">SUM(V19:V41)</f>
        <v>22.657266487775019</v>
      </c>
      <c r="W18" s="950">
        <f t="shared" si="38"/>
        <v>13.995307373846549</v>
      </c>
      <c r="X18" s="950">
        <f t="shared" si="38"/>
        <v>98.391010499372385</v>
      </c>
      <c r="Y18" s="950">
        <f t="shared" si="38"/>
        <v>498.00006927287887</v>
      </c>
      <c r="Z18" s="950">
        <f t="shared" si="38"/>
        <v>14.529851573161899</v>
      </c>
      <c r="AA18" s="950">
        <f t="shared" si="38"/>
        <v>12.675367108956042</v>
      </c>
      <c r="AB18" s="950">
        <f t="shared" si="34"/>
        <v>660.24887231599075</v>
      </c>
      <c r="AC18" s="951" t="s">
        <v>1731</v>
      </c>
      <c r="AD18" s="910">
        <f t="shared" ref="AD18:AI18" si="39">SUM(AD19:AD41)</f>
        <v>22.657266487775019</v>
      </c>
      <c r="AE18" s="908">
        <f t="shared" si="39"/>
        <v>13.995307373846549</v>
      </c>
      <c r="AF18" s="908">
        <f t="shared" si="39"/>
        <v>98.391010499372385</v>
      </c>
      <c r="AG18" s="908">
        <f t="shared" si="39"/>
        <v>498.00006927287887</v>
      </c>
      <c r="AH18" s="908">
        <f t="shared" si="39"/>
        <v>14.529851573161899</v>
      </c>
      <c r="AI18" s="908">
        <f t="shared" si="39"/>
        <v>12.675367108956042</v>
      </c>
      <c r="AJ18" s="908">
        <f t="shared" si="6"/>
        <v>660.24887231599075</v>
      </c>
      <c r="AK18" s="914">
        <f t="shared" si="27"/>
        <v>83.076643788508392</v>
      </c>
      <c r="AL18" s="889">
        <f t="shared" si="28"/>
        <v>51.31612703743734</v>
      </c>
      <c r="AM18" s="889">
        <f t="shared" si="29"/>
        <v>360.76703849769871</v>
      </c>
      <c r="AN18" s="889">
        <f t="shared" si="30"/>
        <v>1826.0002540005557</v>
      </c>
      <c r="AO18" s="889">
        <f t="shared" si="31"/>
        <v>53.276122434926961</v>
      </c>
      <c r="AP18" s="889">
        <f t="shared" si="32"/>
        <v>46.476346066172155</v>
      </c>
      <c r="AQ18" s="915">
        <f t="shared" si="35"/>
        <v>2420.9125318252991</v>
      </c>
    </row>
    <row r="19" spans="1:43">
      <c r="A19" s="817"/>
      <c r="B19" s="860" t="s">
        <v>1608</v>
      </c>
      <c r="C19" s="883"/>
      <c r="D19" s="883"/>
      <c r="E19" s="883">
        <f>HLOOKUP($B$2,'Consumption Input'!$E$5:$AQ$82,'Consumption Input'!$B27)</f>
        <v>1261.1659999999999</v>
      </c>
      <c r="F19" s="883"/>
      <c r="G19" s="883"/>
      <c r="H19" s="883"/>
      <c r="I19" s="883">
        <f t="shared" si="33"/>
        <v>1261.1659999999999</v>
      </c>
      <c r="J19" s="961"/>
      <c r="K19" s="940">
        <f>HLOOKUP($B$2,NEUConsumption,'Non-Energy Use'!$C$10)</f>
        <v>1261.1659999999999</v>
      </c>
      <c r="L19" s="940"/>
      <c r="M19" s="940"/>
      <c r="N19" s="885">
        <f t="shared" ref="N19:N42" si="40">C19</f>
        <v>0</v>
      </c>
      <c r="O19" s="883">
        <f t="shared" ref="O19:O42" si="41">D19</f>
        <v>0</v>
      </c>
      <c r="P19" s="883">
        <f t="shared" ref="P19:P41" si="42">E19-K19</f>
        <v>0</v>
      </c>
      <c r="Q19" s="883">
        <f t="shared" ref="Q19:Q41" si="43">F19-J19-L19</f>
        <v>0</v>
      </c>
      <c r="R19" s="883">
        <f t="shared" ref="R19:R42" si="44">G19</f>
        <v>0</v>
      </c>
      <c r="S19" s="886">
        <f t="shared" ref="S19:S41" si="45">H19-M19</f>
        <v>0</v>
      </c>
      <c r="T19" s="883">
        <f t="shared" si="4"/>
        <v>0</v>
      </c>
      <c r="U19" s="931">
        <f>Factors!D24</f>
        <v>20.55318099621897</v>
      </c>
      <c r="V19" s="932">
        <f t="shared" ref="V19:V41" si="46">N19*$U19*TbtuToQBtu</f>
        <v>0</v>
      </c>
      <c r="W19" s="933">
        <f t="shared" ref="W19:W41" si="47">O19*$U19*TbtuToQBtu</f>
        <v>0</v>
      </c>
      <c r="X19" s="933">
        <f t="shared" ref="X19:X41" si="48">P19*$U19*TbtuToQBtu</f>
        <v>0</v>
      </c>
      <c r="Y19" s="933">
        <f t="shared" ref="Y19:Y41" si="49">Q19*$U19*TbtuToQBtu</f>
        <v>0</v>
      </c>
      <c r="Z19" s="933">
        <f t="shared" ref="Z19:Z41" si="50">R19*$U19*TbtuToQBtu</f>
        <v>0</v>
      </c>
      <c r="AA19" s="933">
        <f t="shared" ref="AA19:AA41" si="51">S19*$U19*TbtuToQBtu</f>
        <v>0</v>
      </c>
      <c r="AB19" s="933">
        <f t="shared" si="34"/>
        <v>0</v>
      </c>
      <c r="AC19" s="934">
        <f>Factors!E24</f>
        <v>1</v>
      </c>
      <c r="AD19" s="885">
        <f t="shared" ref="AD19:AI26" si="52">V19*$AC19</f>
        <v>0</v>
      </c>
      <c r="AE19" s="883">
        <f t="shared" si="52"/>
        <v>0</v>
      </c>
      <c r="AF19" s="883">
        <f t="shared" si="52"/>
        <v>0</v>
      </c>
      <c r="AG19" s="883">
        <f t="shared" si="52"/>
        <v>0</v>
      </c>
      <c r="AH19" s="883">
        <f t="shared" si="52"/>
        <v>0</v>
      </c>
      <c r="AI19" s="883">
        <f t="shared" si="52"/>
        <v>0</v>
      </c>
      <c r="AJ19" s="889">
        <f t="shared" si="6"/>
        <v>0</v>
      </c>
      <c r="AK19" s="885">
        <f t="shared" si="27"/>
        <v>0</v>
      </c>
      <c r="AL19" s="883">
        <f t="shared" si="28"/>
        <v>0</v>
      </c>
      <c r="AM19" s="883">
        <f t="shared" si="29"/>
        <v>0</v>
      </c>
      <c r="AN19" s="883">
        <f t="shared" si="30"/>
        <v>0</v>
      </c>
      <c r="AO19" s="883">
        <f t="shared" si="31"/>
        <v>0</v>
      </c>
      <c r="AP19" s="883">
        <f t="shared" si="32"/>
        <v>0</v>
      </c>
      <c r="AQ19" s="890">
        <f t="shared" si="35"/>
        <v>0</v>
      </c>
    </row>
    <row r="20" spans="1:43">
      <c r="A20" s="817"/>
      <c r="B20" s="860" t="s">
        <v>1622</v>
      </c>
      <c r="C20" s="883"/>
      <c r="D20" s="883"/>
      <c r="E20" s="883"/>
      <c r="F20" s="883">
        <f>HLOOKUP($B$2,'Consumption Input'!$E$5:$AQ$82,'Consumption Input'!$B50)</f>
        <v>33.448</v>
      </c>
      <c r="G20" s="883"/>
      <c r="H20" s="883"/>
      <c r="I20" s="883">
        <f t="shared" si="33"/>
        <v>33.448</v>
      </c>
      <c r="J20" s="961"/>
      <c r="K20" s="940"/>
      <c r="L20" s="940"/>
      <c r="M20" s="940"/>
      <c r="N20" s="885">
        <f t="shared" si="40"/>
        <v>0</v>
      </c>
      <c r="O20" s="883">
        <f t="shared" si="41"/>
        <v>0</v>
      </c>
      <c r="P20" s="883">
        <f t="shared" si="42"/>
        <v>0</v>
      </c>
      <c r="Q20" s="883">
        <f t="shared" si="43"/>
        <v>33.448</v>
      </c>
      <c r="R20" s="883">
        <f t="shared" si="44"/>
        <v>0</v>
      </c>
      <c r="S20" s="886">
        <f t="shared" si="45"/>
        <v>0</v>
      </c>
      <c r="T20" s="883">
        <f t="shared" si="4"/>
        <v>33.448</v>
      </c>
      <c r="U20" s="931">
        <f>Factors!D25</f>
        <v>18.855352254718337</v>
      </c>
      <c r="V20" s="932">
        <f t="shared" si="46"/>
        <v>0</v>
      </c>
      <c r="W20" s="933">
        <f t="shared" si="47"/>
        <v>0</v>
      </c>
      <c r="X20" s="933">
        <f t="shared" si="48"/>
        <v>0</v>
      </c>
      <c r="Y20" s="933">
        <f t="shared" si="49"/>
        <v>0.63067382221581902</v>
      </c>
      <c r="Z20" s="933">
        <f t="shared" si="50"/>
        <v>0</v>
      </c>
      <c r="AA20" s="933">
        <f t="shared" si="51"/>
        <v>0</v>
      </c>
      <c r="AB20" s="933">
        <f t="shared" si="34"/>
        <v>0.63067382221581902</v>
      </c>
      <c r="AC20" s="934">
        <f>Factors!E25</f>
        <v>1</v>
      </c>
      <c r="AD20" s="885">
        <f t="shared" si="52"/>
        <v>0</v>
      </c>
      <c r="AE20" s="883">
        <f t="shared" si="52"/>
        <v>0</v>
      </c>
      <c r="AF20" s="883">
        <f t="shared" si="52"/>
        <v>0</v>
      </c>
      <c r="AG20" s="883">
        <f t="shared" si="52"/>
        <v>0.63067382221581902</v>
      </c>
      <c r="AH20" s="883">
        <f t="shared" si="52"/>
        <v>0</v>
      </c>
      <c r="AI20" s="883">
        <f t="shared" si="52"/>
        <v>0</v>
      </c>
      <c r="AJ20" s="889">
        <f t="shared" si="6"/>
        <v>0.63067382221581902</v>
      </c>
      <c r="AK20" s="885">
        <f t="shared" si="27"/>
        <v>0</v>
      </c>
      <c r="AL20" s="883">
        <f t="shared" si="28"/>
        <v>0</v>
      </c>
      <c r="AM20" s="883">
        <f t="shared" si="29"/>
        <v>0</v>
      </c>
      <c r="AN20" s="883">
        <f t="shared" si="30"/>
        <v>2.3124706814580032</v>
      </c>
      <c r="AO20" s="883">
        <f t="shared" si="31"/>
        <v>0</v>
      </c>
      <c r="AP20" s="883">
        <f t="shared" si="32"/>
        <v>0</v>
      </c>
      <c r="AQ20" s="890">
        <f t="shared" si="35"/>
        <v>2.3124706814580032</v>
      </c>
    </row>
    <row r="21" spans="1:43">
      <c r="A21" s="817"/>
      <c r="B21" s="860" t="s">
        <v>1738</v>
      </c>
      <c r="C21" s="883">
        <f>HLOOKUP($B$2,'Consumption Input'!$E$5:$AQ$82,'Consumption Input'!$B9)</f>
        <v>673.07179713650589</v>
      </c>
      <c r="D21" s="883">
        <f>HLOOKUP($B$2,'Consumption Input'!$E$5:$AQ$82,'Consumption Input'!$B15)</f>
        <v>379.25393664619156</v>
      </c>
      <c r="E21" s="883">
        <f>HLOOKUP($B$2,'Consumption Input'!$E$5:$AQ$82,'Consumption Input'!$B28)</f>
        <v>1181.4984888363504</v>
      </c>
      <c r="F21" s="883">
        <f>HLOOKUP($B$2,'Consumption Input'!$E$5:$AQ$82,'Consumption Input'!$B51)</f>
        <v>6477.9353452380956</v>
      </c>
      <c r="G21" s="883">
        <f>HLOOKUP($B$2,'Consumption Input'!$E$5:$AQ$82,'Consumption Input'!$B60)</f>
        <v>73.388000000000005</v>
      </c>
      <c r="H21" s="883">
        <f>HLOOKUP($B$2,'US Territories'!$D$28:$Z$38,'US Territories'!$B31)</f>
        <v>96.164381707037592</v>
      </c>
      <c r="I21" s="883">
        <f t="shared" si="33"/>
        <v>8881.3119495641822</v>
      </c>
      <c r="J21" s="961">
        <f>HLOOKUP($B$2,IBFConsumption,'International Bunker Fuels'!$B$10)</f>
        <v>119.3104984527381</v>
      </c>
      <c r="K21" s="940">
        <f>HLOOKUP($B$2,NEUConsumption,'Non-Energy Use'!$C$20)</f>
        <v>17.475000000000001</v>
      </c>
      <c r="L21" s="940"/>
      <c r="M21" s="940"/>
      <c r="N21" s="885">
        <f t="shared" si="40"/>
        <v>673.07179713650589</v>
      </c>
      <c r="O21" s="883">
        <f t="shared" si="41"/>
        <v>379.25393664619156</v>
      </c>
      <c r="P21" s="883">
        <f t="shared" si="42"/>
        <v>1164.0234888363505</v>
      </c>
      <c r="Q21" s="883">
        <f t="shared" si="43"/>
        <v>6358.6248467853575</v>
      </c>
      <c r="R21" s="883">
        <f t="shared" si="44"/>
        <v>73.388000000000005</v>
      </c>
      <c r="S21" s="886">
        <f t="shared" si="45"/>
        <v>96.164381707037592</v>
      </c>
      <c r="T21" s="883">
        <f t="shared" si="4"/>
        <v>8744.5264511114437</v>
      </c>
      <c r="U21" s="931">
        <f>HLOOKUP($B$2,Factors!$J$12:$BE$27,Factors!$H27,FALSE)</f>
        <v>20.329999999999998</v>
      </c>
      <c r="V21" s="932">
        <f t="shared" si="46"/>
        <v>13.683549635785164</v>
      </c>
      <c r="W21" s="933">
        <f t="shared" si="47"/>
        <v>7.7102325320170744</v>
      </c>
      <c r="X21" s="933">
        <f t="shared" si="48"/>
        <v>23.664597528043004</v>
      </c>
      <c r="Y21" s="933">
        <f t="shared" si="49"/>
        <v>129.27084313514632</v>
      </c>
      <c r="Z21" s="933">
        <f t="shared" si="50"/>
        <v>1.49197804</v>
      </c>
      <c r="AA21" s="933">
        <f t="shared" si="51"/>
        <v>1.9550218801040742</v>
      </c>
      <c r="AB21" s="933">
        <f t="shared" si="34"/>
        <v>177.77622275109564</v>
      </c>
      <c r="AC21" s="934">
        <f>Factors!E26</f>
        <v>1</v>
      </c>
      <c r="AD21" s="885">
        <f t="shared" si="52"/>
        <v>13.683549635785164</v>
      </c>
      <c r="AE21" s="883">
        <f t="shared" si="52"/>
        <v>7.7102325320170744</v>
      </c>
      <c r="AF21" s="883">
        <f t="shared" si="52"/>
        <v>23.664597528043004</v>
      </c>
      <c r="AG21" s="883">
        <f t="shared" si="52"/>
        <v>129.27084313514632</v>
      </c>
      <c r="AH21" s="883">
        <f t="shared" si="52"/>
        <v>1.49197804</v>
      </c>
      <c r="AI21" s="883">
        <f t="shared" si="52"/>
        <v>1.9550218801040742</v>
      </c>
      <c r="AJ21" s="889">
        <f t="shared" si="6"/>
        <v>177.77622275109564</v>
      </c>
      <c r="AK21" s="885">
        <f t="shared" si="27"/>
        <v>50.17301533121227</v>
      </c>
      <c r="AL21" s="883">
        <f t="shared" si="28"/>
        <v>28.270852617395938</v>
      </c>
      <c r="AM21" s="883">
        <f t="shared" si="29"/>
        <v>86.770190936157675</v>
      </c>
      <c r="AN21" s="883">
        <f t="shared" si="30"/>
        <v>473.99309149553648</v>
      </c>
      <c r="AO21" s="883">
        <f t="shared" si="31"/>
        <v>5.4705861466666663</v>
      </c>
      <c r="AP21" s="883">
        <f t="shared" si="32"/>
        <v>7.1684135603816053</v>
      </c>
      <c r="AQ21" s="890">
        <f t="shared" si="35"/>
        <v>651.84615008735068</v>
      </c>
    </row>
    <row r="22" spans="1:43">
      <c r="A22" s="817"/>
      <c r="B22" s="860" t="s">
        <v>1623</v>
      </c>
      <c r="C22" s="883"/>
      <c r="D22" s="883"/>
      <c r="E22" s="883"/>
      <c r="F22" s="883">
        <f>HLOOKUP($B$2,'Consumption Input'!$E$5:$AQ$82,'Consumption Input'!$B52)</f>
        <v>3379.3809999999999</v>
      </c>
      <c r="G22" s="883"/>
      <c r="H22" s="883">
        <f>HLOOKUP($B$2,'US Territories'!$D$28:$Z$38,'US Territories'!$B32)</f>
        <v>83.721355376754872</v>
      </c>
      <c r="I22" s="883">
        <f t="shared" si="33"/>
        <v>3463.1023553767545</v>
      </c>
      <c r="J22" s="961">
        <f>HLOOKUP($B$2,IBFConsumption,'International Bunker Fuels'!$B$8)</f>
        <v>856.69363534447564</v>
      </c>
      <c r="K22" s="940"/>
      <c r="L22" s="940"/>
      <c r="M22" s="940"/>
      <c r="N22" s="885">
        <f t="shared" si="40"/>
        <v>0</v>
      </c>
      <c r="O22" s="883">
        <f t="shared" si="41"/>
        <v>0</v>
      </c>
      <c r="P22" s="883">
        <f t="shared" si="42"/>
        <v>0</v>
      </c>
      <c r="Q22" s="883">
        <f t="shared" si="43"/>
        <v>2522.6873646555241</v>
      </c>
      <c r="R22" s="883">
        <f t="shared" si="44"/>
        <v>0</v>
      </c>
      <c r="S22" s="886">
        <f t="shared" si="45"/>
        <v>83.721355376754872</v>
      </c>
      <c r="T22" s="883">
        <f t="shared" si="4"/>
        <v>2606.4087200322788</v>
      </c>
      <c r="U22" s="931">
        <f>HLOOKUP($B$2,Factors!$J$12:$Z$25,Factors!$H21,FALSE)</f>
        <v>19.696969696969692</v>
      </c>
      <c r="V22" s="932">
        <f t="shared" si="46"/>
        <v>0</v>
      </c>
      <c r="W22" s="933">
        <f t="shared" si="47"/>
        <v>0</v>
      </c>
      <c r="X22" s="933">
        <f t="shared" si="48"/>
        <v>0</v>
      </c>
      <c r="Y22" s="933">
        <f t="shared" si="49"/>
        <v>49.689296576548188</v>
      </c>
      <c r="Z22" s="933">
        <f t="shared" si="50"/>
        <v>0</v>
      </c>
      <c r="AA22" s="933">
        <f t="shared" si="51"/>
        <v>1.6490569998451714</v>
      </c>
      <c r="AB22" s="933">
        <f t="shared" si="34"/>
        <v>51.338353576393359</v>
      </c>
      <c r="AC22" s="934">
        <f>Factors!E27</f>
        <v>1</v>
      </c>
      <c r="AD22" s="885">
        <f t="shared" si="52"/>
        <v>0</v>
      </c>
      <c r="AE22" s="883">
        <f t="shared" si="52"/>
        <v>0</v>
      </c>
      <c r="AF22" s="883">
        <f t="shared" si="52"/>
        <v>0</v>
      </c>
      <c r="AG22" s="883">
        <f t="shared" si="52"/>
        <v>49.689296576548188</v>
      </c>
      <c r="AH22" s="883">
        <f t="shared" si="52"/>
        <v>0</v>
      </c>
      <c r="AI22" s="883">
        <f t="shared" si="52"/>
        <v>1.6490569998451714</v>
      </c>
      <c r="AJ22" s="889">
        <f t="shared" si="6"/>
        <v>51.338353576393359</v>
      </c>
      <c r="AK22" s="885">
        <f t="shared" si="27"/>
        <v>0</v>
      </c>
      <c r="AL22" s="883">
        <f t="shared" si="28"/>
        <v>0</v>
      </c>
      <c r="AM22" s="883">
        <f t="shared" si="29"/>
        <v>0</v>
      </c>
      <c r="AN22" s="883">
        <f t="shared" si="30"/>
        <v>182.19408744734335</v>
      </c>
      <c r="AO22" s="883">
        <f t="shared" si="31"/>
        <v>0</v>
      </c>
      <c r="AP22" s="883">
        <f t="shared" si="32"/>
        <v>6.046542332765628</v>
      </c>
      <c r="AQ22" s="890">
        <f t="shared" si="35"/>
        <v>188.24062978010897</v>
      </c>
    </row>
    <row r="23" spans="1:43">
      <c r="A23" s="817"/>
      <c r="B23" s="860" t="s">
        <v>1599</v>
      </c>
      <c r="C23" s="883">
        <f>HLOOKUP($B$2,'Consumption Input'!$E$5:$AQ$82,'Consumption Input'!$B10)</f>
        <v>66.350999999999985</v>
      </c>
      <c r="D23" s="883">
        <f>HLOOKUP($B$2,'Consumption Input'!$E$5:$AQ$82,'Consumption Input'!$B16)</f>
        <v>15.172000000000001</v>
      </c>
      <c r="E23" s="883">
        <f>HLOOKUP($B$2,'Consumption Input'!$E$5:$AQ$82,'Consumption Input'!$B29)</f>
        <v>29.576000000000001</v>
      </c>
      <c r="F23" s="883"/>
      <c r="G23" s="883"/>
      <c r="H23" s="883">
        <f>HLOOKUP($B$2,'US Territories'!$D$28:$Z$38,'US Territories'!$B33)</f>
        <v>6.3616206620342401</v>
      </c>
      <c r="I23" s="883">
        <f t="shared" si="33"/>
        <v>117.46062066203423</v>
      </c>
      <c r="J23" s="961"/>
      <c r="K23" s="940"/>
      <c r="L23" s="940"/>
      <c r="M23" s="940"/>
      <c r="N23" s="885">
        <f t="shared" si="40"/>
        <v>66.350999999999985</v>
      </c>
      <c r="O23" s="883">
        <f t="shared" si="41"/>
        <v>15.172000000000001</v>
      </c>
      <c r="P23" s="883">
        <f t="shared" si="42"/>
        <v>29.576000000000001</v>
      </c>
      <c r="Q23" s="883">
        <f t="shared" si="43"/>
        <v>0</v>
      </c>
      <c r="R23" s="883">
        <f t="shared" si="44"/>
        <v>0</v>
      </c>
      <c r="S23" s="886">
        <f t="shared" si="45"/>
        <v>6.3616206620342401</v>
      </c>
      <c r="T23" s="883">
        <f t="shared" si="4"/>
        <v>117.46062066203423</v>
      </c>
      <c r="U23" s="931">
        <f>Factors!D28</f>
        <v>19.964104564962931</v>
      </c>
      <c r="V23" s="932">
        <f t="shared" si="46"/>
        <v>1.3246383019898551</v>
      </c>
      <c r="W23" s="933">
        <f t="shared" si="47"/>
        <v>0.30289539445961761</v>
      </c>
      <c r="X23" s="933">
        <f t="shared" si="48"/>
        <v>0.59045835661334367</v>
      </c>
      <c r="Y23" s="933">
        <f t="shared" si="49"/>
        <v>0</v>
      </c>
      <c r="Z23" s="933">
        <f t="shared" si="50"/>
        <v>0</v>
      </c>
      <c r="AA23" s="933">
        <f t="shared" si="51"/>
        <v>0.12700406009948026</v>
      </c>
      <c r="AB23" s="933">
        <f t="shared" si="34"/>
        <v>2.3449961131622965</v>
      </c>
      <c r="AC23" s="934">
        <f>Factors!E28</f>
        <v>1</v>
      </c>
      <c r="AD23" s="885">
        <f t="shared" si="52"/>
        <v>1.3246383019898551</v>
      </c>
      <c r="AE23" s="883">
        <f t="shared" si="52"/>
        <v>0.30289539445961761</v>
      </c>
      <c r="AF23" s="883">
        <f t="shared" si="52"/>
        <v>0.59045835661334367</v>
      </c>
      <c r="AG23" s="883">
        <f t="shared" si="52"/>
        <v>0</v>
      </c>
      <c r="AH23" s="883">
        <f t="shared" si="52"/>
        <v>0</v>
      </c>
      <c r="AI23" s="883">
        <f t="shared" si="52"/>
        <v>0.12700406009948026</v>
      </c>
      <c r="AJ23" s="889">
        <f t="shared" si="6"/>
        <v>2.3449961131622965</v>
      </c>
      <c r="AK23" s="885">
        <f t="shared" si="27"/>
        <v>4.8570071072961349</v>
      </c>
      <c r="AL23" s="883">
        <f t="shared" si="28"/>
        <v>1.1106164463519312</v>
      </c>
      <c r="AM23" s="883">
        <f t="shared" si="29"/>
        <v>2.1650139742489265</v>
      </c>
      <c r="AN23" s="883">
        <f t="shared" si="30"/>
        <v>0</v>
      </c>
      <c r="AO23" s="883">
        <f t="shared" si="31"/>
        <v>0</v>
      </c>
      <c r="AP23" s="883">
        <f t="shared" si="32"/>
        <v>0.46568155369809427</v>
      </c>
      <c r="AQ23" s="890">
        <f t="shared" si="35"/>
        <v>8.5983190815950863</v>
      </c>
    </row>
    <row r="24" spans="1:43">
      <c r="A24" s="817"/>
      <c r="B24" s="860" t="s">
        <v>1600</v>
      </c>
      <c r="C24" s="883">
        <f>HLOOKUP($B$2,'Consumption Input'!$E$5:$AQ$82,'Consumption Input'!$B11)</f>
        <v>446.10500000000002</v>
      </c>
      <c r="D24" s="883">
        <f>HLOOKUP($B$2,'Consumption Input'!$E$5:$AQ$82,'Consumption Input'!$B17)</f>
        <v>123.33099999999999</v>
      </c>
      <c r="E24"/>
      <c r="F24" s="883">
        <f>HLOOKUP($B$2,'Consumption Input'!$E$5:$AQ$82,'Consumption Input'!$B53)</f>
        <v>27.501999999999999</v>
      </c>
      <c r="G24" s="883"/>
      <c r="H24"/>
      <c r="I24" s="883">
        <f>SUM(C24:H24)</f>
        <v>596.93799999999999</v>
      </c>
      <c r="J24" s="884"/>
      <c r="K24"/>
      <c r="L24" s="883"/>
      <c r="M24" s="883"/>
      <c r="N24" s="885">
        <f>C24</f>
        <v>446.10500000000002</v>
      </c>
      <c r="O24" s="883">
        <f t="shared" si="41"/>
        <v>123.33099999999999</v>
      </c>
      <c r="P24"/>
      <c r="Q24" s="883">
        <f t="shared" si="43"/>
        <v>27.501999999999999</v>
      </c>
      <c r="R24" s="883">
        <f t="shared" si="44"/>
        <v>0</v>
      </c>
      <c r="S24" s="1007"/>
      <c r="T24" s="883">
        <f t="shared" si="4"/>
        <v>596.93799999999999</v>
      </c>
      <c r="U24" s="1005">
        <f>HLOOKUP($B$2,Factors!$J$12:$BE$25,Factors!$H17,FALSE)</f>
        <v>17.146363636363635</v>
      </c>
      <c r="V24" s="885">
        <f>N24*$U24*TbtuToQBtu</f>
        <v>7.6490785499999996</v>
      </c>
      <c r="W24" s="883">
        <f>O24*$U24*TbtuToQBtu</f>
        <v>2.1146781736363631</v>
      </c>
      <c r="X24"/>
      <c r="Y24" s="883">
        <f>Q24*$U24*TbtuToQBtu</f>
        <v>0.47155929272727265</v>
      </c>
      <c r="Z24" s="883">
        <f t="shared" ref="Z24" si="53">R24*$U24*TbtuToQBtu</f>
        <v>0</v>
      </c>
      <c r="AA24"/>
      <c r="AB24" s="883">
        <f>SUM(V24:AA24)</f>
        <v>10.235316016363635</v>
      </c>
      <c r="AC24" s="888">
        <f>Factors!E30</f>
        <v>1</v>
      </c>
      <c r="AD24" s="885">
        <f>V24*$AC24</f>
        <v>7.6490785499999996</v>
      </c>
      <c r="AE24" s="883">
        <f t="shared" si="52"/>
        <v>2.1146781736363631</v>
      </c>
      <c r="AF24"/>
      <c r="AG24" s="883">
        <f t="shared" si="52"/>
        <v>0.47155929272727265</v>
      </c>
      <c r="AH24" s="883">
        <f t="shared" si="52"/>
        <v>0</v>
      </c>
      <c r="AI24"/>
      <c r="AJ24" s="889">
        <f t="shared" si="6"/>
        <v>10.235316016363635</v>
      </c>
      <c r="AK24" s="885">
        <f>AD24*CtoCO2</f>
        <v>28.046621349999999</v>
      </c>
      <c r="AL24" s="883">
        <f t="shared" ref="AL24" si="54">AE24*CtoCO2</f>
        <v>7.7538199699999977</v>
      </c>
      <c r="AN24" s="883">
        <f t="shared" ref="AN24" si="55">AG24*CtoCO2</f>
        <v>1.7290507399999997</v>
      </c>
      <c r="AO24" s="883">
        <f t="shared" ref="AO24" si="56">AH24*CtoCO2</f>
        <v>0</v>
      </c>
      <c r="AQ24" s="890">
        <f t="shared" si="35"/>
        <v>37.529492059999995</v>
      </c>
    </row>
    <row r="25" spans="1:43">
      <c r="A25" s="817"/>
      <c r="B25" s="860" t="s">
        <v>1609</v>
      </c>
      <c r="C25" s="883"/>
      <c r="D25" s="883"/>
      <c r="E25" s="883">
        <f>HLOOKUP($B$2,'Consumption Input'!$E$5:$AQ$82,'Consumption Input'!$B30)</f>
        <v>2030.245257243</v>
      </c>
      <c r="F25" s="883"/>
      <c r="G25" s="883"/>
      <c r="H25" s="883">
        <f>HLOOKUP($B$2,'US Territories'!$D$28:$AO$38,'US Territories'!$B34)</f>
        <v>13.58770619602603</v>
      </c>
      <c r="I25" s="883">
        <f>SUM(C25:H25)</f>
        <v>2043.8329634390259</v>
      </c>
      <c r="J25" s="884"/>
      <c r="K25" s="883">
        <f>HLOOKUP($B$2,NEUConsumption,'Non-Energy Use'!$C$11)</f>
        <v>1734.577676057304</v>
      </c>
      <c r="L25" s="883"/>
      <c r="M25" s="883"/>
      <c r="N25" s="885"/>
      <c r="O25" s="883"/>
      <c r="P25" s="883">
        <f>E25-K25</f>
        <v>295.66758118569601</v>
      </c>
      <c r="Q25" s="883"/>
      <c r="R25" s="883"/>
      <c r="S25" s="886">
        <f>H25-M25</f>
        <v>13.58770619602603</v>
      </c>
      <c r="T25" s="883">
        <f t="shared" si="4"/>
        <v>309.25528738172204</v>
      </c>
      <c r="U25" s="1005">
        <f>HLOOKUP($B$2,Factors!$J$12:$BE$25,Factors!$H18,FALSE)</f>
        <v>17.564747148461482</v>
      </c>
      <c r="V25" s="885"/>
      <c r="W25" s="883"/>
      <c r="X25" s="883">
        <f>P25*$U25*TbtuToQBtu</f>
        <v>5.1933263035239579</v>
      </c>
      <c r="Y25" s="883"/>
      <c r="Z25" s="883"/>
      <c r="AA25" s="883">
        <f>S25*$U25*TbtuToQBtu</f>
        <v>0.23866462366078062</v>
      </c>
      <c r="AB25" s="883">
        <f>SUM(V25:AA25)</f>
        <v>5.4319909271847386</v>
      </c>
      <c r="AC25" s="888">
        <f>Factors!E31</f>
        <v>1</v>
      </c>
      <c r="AD25" s="885"/>
      <c r="AE25" s="883"/>
      <c r="AF25" s="883">
        <f>X25*$AC25</f>
        <v>5.1933263035239579</v>
      </c>
      <c r="AG25" s="883"/>
      <c r="AH25" s="883"/>
      <c r="AI25" s="883">
        <f>AA25*$AC25</f>
        <v>0.23866462366078062</v>
      </c>
      <c r="AJ25" s="889">
        <f t="shared" si="6"/>
        <v>5.4319909271847386</v>
      </c>
      <c r="AK25" s="885"/>
      <c r="AL25" s="883"/>
      <c r="AM25" s="883">
        <f>AF25*CtoCO2</f>
        <v>19.042196446254511</v>
      </c>
      <c r="AN25" s="883"/>
      <c r="AO25" s="883"/>
      <c r="AP25" s="883">
        <f>AI25*CtoCO2</f>
        <v>0.87510362008952891</v>
      </c>
      <c r="AQ25" s="890">
        <f t="shared" si="35"/>
        <v>19.91730006634404</v>
      </c>
    </row>
    <row r="26" spans="1:43">
      <c r="A26" s="817"/>
      <c r="B26" s="860" t="s">
        <v>1610</v>
      </c>
      <c r="C26" s="883"/>
      <c r="D26" s="883"/>
      <c r="E26" s="883">
        <f>HLOOKUP($B$2,'Consumption Input'!$E$5:$AQ$82,'Consumption Input'!$B31)</f>
        <v>156.078</v>
      </c>
      <c r="F26" s="883">
        <f>HLOOKUP($B$2,'Consumption Input'!$E$5:$AQ$82,'Consumption Input'!$B54)</f>
        <v>147.41399999999999</v>
      </c>
      <c r="G26" s="883"/>
      <c r="H26" s="883">
        <f>HLOOKUP($B$2,'US Territories'!$D$28:$Z$38,'US Territories'!$B35)</f>
        <v>6.1902337340753419</v>
      </c>
      <c r="I26" s="883">
        <f t="shared" si="33"/>
        <v>309.68223373407528</v>
      </c>
      <c r="J26" s="961"/>
      <c r="K26" s="940">
        <f>HLOOKUP($B$2,NEUConsumption,'Non-Energy Use'!$C$12)</f>
        <v>156.078</v>
      </c>
      <c r="L26" s="940">
        <f>HLOOKUP($B$2,NEUConsumption,'Non-Energy Use'!$C$24)</f>
        <v>147.41399999999999</v>
      </c>
      <c r="M26" s="940">
        <f>HLOOKUP($B$2,NEUConsumption,'Non-Energy Use'!$C$26)</f>
        <v>6.1902337340753419</v>
      </c>
      <c r="N26" s="885">
        <f t="shared" si="40"/>
        <v>0</v>
      </c>
      <c r="O26" s="883">
        <f t="shared" si="41"/>
        <v>0</v>
      </c>
      <c r="P26" s="883">
        <f t="shared" si="42"/>
        <v>0</v>
      </c>
      <c r="Q26" s="883">
        <f t="shared" si="43"/>
        <v>0</v>
      </c>
      <c r="R26" s="883">
        <f t="shared" si="44"/>
        <v>0</v>
      </c>
      <c r="S26" s="886">
        <f t="shared" si="45"/>
        <v>0</v>
      </c>
      <c r="T26" s="883">
        <f t="shared" si="4"/>
        <v>0</v>
      </c>
      <c r="U26" s="931">
        <f>Factors!D33</f>
        <v>20.199355467286214</v>
      </c>
      <c r="V26" s="932">
        <f t="shared" si="46"/>
        <v>0</v>
      </c>
      <c r="W26" s="933">
        <f t="shared" si="47"/>
        <v>0</v>
      </c>
      <c r="X26" s="933">
        <f t="shared" si="48"/>
        <v>0</v>
      </c>
      <c r="Y26" s="933">
        <f t="shared" si="49"/>
        <v>0</v>
      </c>
      <c r="Z26" s="933">
        <f t="shared" si="50"/>
        <v>0</v>
      </c>
      <c r="AA26" s="933">
        <f t="shared" si="51"/>
        <v>0</v>
      </c>
      <c r="AB26" s="933">
        <f t="shared" si="34"/>
        <v>0</v>
      </c>
      <c r="AC26" s="934">
        <f>Factors!E33</f>
        <v>1</v>
      </c>
      <c r="AD26" s="885">
        <f t="shared" si="52"/>
        <v>0</v>
      </c>
      <c r="AE26" s="883">
        <f t="shared" si="52"/>
        <v>0</v>
      </c>
      <c r="AF26" s="883">
        <f t="shared" si="52"/>
        <v>0</v>
      </c>
      <c r="AG26" s="883">
        <f t="shared" si="52"/>
        <v>0</v>
      </c>
      <c r="AH26" s="883">
        <f t="shared" si="52"/>
        <v>0</v>
      </c>
      <c r="AI26" s="883">
        <f t="shared" si="52"/>
        <v>0</v>
      </c>
      <c r="AJ26" s="889">
        <f t="shared" si="6"/>
        <v>0</v>
      </c>
      <c r="AK26" s="885">
        <f t="shared" si="27"/>
        <v>0</v>
      </c>
      <c r="AL26" s="883">
        <f t="shared" si="28"/>
        <v>0</v>
      </c>
      <c r="AM26" s="883">
        <f t="shared" si="29"/>
        <v>0</v>
      </c>
      <c r="AN26" s="883">
        <f t="shared" si="30"/>
        <v>0</v>
      </c>
      <c r="AO26" s="883">
        <f t="shared" si="31"/>
        <v>0</v>
      </c>
      <c r="AP26" s="883">
        <f t="shared" si="32"/>
        <v>0</v>
      </c>
      <c r="AQ26" s="890">
        <f t="shared" si="35"/>
        <v>0</v>
      </c>
    </row>
    <row r="27" spans="1:43">
      <c r="A27" s="817"/>
      <c r="B27" s="860" t="s">
        <v>1601</v>
      </c>
      <c r="C27" s="883"/>
      <c r="D27" s="883">
        <f>HLOOKUP($B$2,'Consumption Input'!$E$5:$AQ$82,'Consumption Input'!$B18)</f>
        <v>119.07375477160654</v>
      </c>
      <c r="E27" s="883">
        <f>HLOOKUP($B$2,'Consumption Input'!$E$5:$AQ$82,'Consumption Input'!$B32)</f>
        <v>920.69404499461075</v>
      </c>
      <c r="F27" s="883">
        <f>HLOOKUP($B$2,'Consumption Input'!$E$5:$AQ$82,'Consumption Input'!$B55)</f>
        <v>16007.419273553787</v>
      </c>
      <c r="G27" s="883"/>
      <c r="H27" s="883">
        <f>HLOOKUP($B$2,'US Territories'!$D$28:$Z$38,'US Territories'!$B36)</f>
        <v>147.26838131842814</v>
      </c>
      <c r="I27" s="883">
        <f t="shared" si="33"/>
        <v>17194.455454638432</v>
      </c>
      <c r="J27" s="961"/>
      <c r="K27" s="940"/>
      <c r="L27" s="940"/>
      <c r="M27" s="940"/>
      <c r="N27" s="885">
        <f t="shared" si="40"/>
        <v>0</v>
      </c>
      <c r="O27" s="883">
        <f t="shared" si="41"/>
        <v>119.07375477160654</v>
      </c>
      <c r="P27" s="883">
        <f t="shared" si="42"/>
        <v>920.69404499461075</v>
      </c>
      <c r="Q27" s="883">
        <f t="shared" si="43"/>
        <v>16007.419273553787</v>
      </c>
      <c r="R27" s="883">
        <f t="shared" si="44"/>
        <v>0</v>
      </c>
      <c r="S27" s="886">
        <f t="shared" si="45"/>
        <v>147.26838131842814</v>
      </c>
      <c r="T27" s="883">
        <f t="shared" si="4"/>
        <v>17194.455454638432</v>
      </c>
      <c r="U27" s="931">
        <f>HLOOKUP($B$2,Factors!$J$12:$Z$25,Factors!$H20,FALSE)</f>
        <v>19.47</v>
      </c>
      <c r="V27" s="932">
        <f t="shared" si="46"/>
        <v>0</v>
      </c>
      <c r="W27" s="933">
        <f t="shared" si="47"/>
        <v>2.3183660054031794</v>
      </c>
      <c r="X27" s="933">
        <f t="shared" si="48"/>
        <v>17.925913056045069</v>
      </c>
      <c r="Y27" s="933">
        <f t="shared" si="49"/>
        <v>311.6644532560922</v>
      </c>
      <c r="Z27" s="933">
        <f t="shared" si="50"/>
        <v>0</v>
      </c>
      <c r="AA27" s="933">
        <f t="shared" si="51"/>
        <v>2.8673153842697956</v>
      </c>
      <c r="AB27" s="933">
        <f t="shared" si="34"/>
        <v>334.77604770181023</v>
      </c>
      <c r="AC27" s="934">
        <f>Factors!E34</f>
        <v>1</v>
      </c>
      <c r="AD27" s="885">
        <f t="shared" ref="AD27:AD42" si="57">V27*$AC27</f>
        <v>0</v>
      </c>
      <c r="AE27" s="883">
        <f t="shared" ref="AE27:AE42" si="58">W27*$AC27</f>
        <v>2.3183660054031794</v>
      </c>
      <c r="AF27" s="883">
        <f t="shared" ref="AF27:AF42" si="59">X27*$AC27</f>
        <v>17.925913056045069</v>
      </c>
      <c r="AG27" s="883">
        <f>Y27*$AC44</f>
        <v>311.6644532560922</v>
      </c>
      <c r="AH27" s="883">
        <f t="shared" ref="AH27:AH42" si="60">Z27*$AC27</f>
        <v>0</v>
      </c>
      <c r="AI27" s="883">
        <f t="shared" ref="AI27:AI42" si="61">AA27*$AC27</f>
        <v>2.8673153842697956</v>
      </c>
      <c r="AJ27" s="889">
        <f t="shared" si="6"/>
        <v>334.77604770181023</v>
      </c>
      <c r="AK27" s="885">
        <f t="shared" si="27"/>
        <v>0</v>
      </c>
      <c r="AL27" s="883">
        <f t="shared" si="28"/>
        <v>8.5006753531449899</v>
      </c>
      <c r="AM27" s="883">
        <f t="shared" si="29"/>
        <v>65.728347872165244</v>
      </c>
      <c r="AN27" s="883">
        <f t="shared" si="30"/>
        <v>1142.7696619390047</v>
      </c>
      <c r="AO27" s="883">
        <f t="shared" si="31"/>
        <v>0</v>
      </c>
      <c r="AP27" s="883">
        <f t="shared" si="32"/>
        <v>10.513489742322584</v>
      </c>
      <c r="AQ27" s="890">
        <f t="shared" si="35"/>
        <v>1227.5121749066375</v>
      </c>
    </row>
    <row r="28" spans="1:43">
      <c r="A28" s="817"/>
      <c r="B28" s="860" t="s">
        <v>1602</v>
      </c>
      <c r="C28" s="883"/>
      <c r="D28" s="883">
        <f>HLOOKUP($B$2,'Consumption Input'!$E$5:$AQ$82,'Consumption Input'!$B19)</f>
        <v>75.262</v>
      </c>
      <c r="E28" s="883">
        <f>HLOOKUP($B$2,'Consumption Input'!$E$5:$AQ$82,'Consumption Input'!$B33)</f>
        <v>176.39400000000001</v>
      </c>
      <c r="F28" s="883">
        <f>HLOOKUP($B$2,'Consumption Input'!$E$5:$AQ$82,'Consumption Input'!$B56)</f>
        <v>905.678</v>
      </c>
      <c r="G28" s="883">
        <f>HLOOKUP($B$2,'Consumption Input'!$E$5:$AQ$82,'Consumption Input'!$B61)</f>
        <v>360.52699999999999</v>
      </c>
      <c r="H28" s="883">
        <f>HLOOKUP($B$2,'US Territories'!$D$28:$Z$38,'US Territories'!$B37)</f>
        <v>285.07344536019247</v>
      </c>
      <c r="I28" s="883">
        <f t="shared" si="33"/>
        <v>1802.9344453601925</v>
      </c>
      <c r="J28" s="961">
        <f>HLOOKUP($B$2,IBFConsumption,'International Bunker Fuels'!$B$9)</f>
        <v>599.36729735599988</v>
      </c>
      <c r="K28" s="940"/>
      <c r="L28" s="940"/>
      <c r="M28" s="940"/>
      <c r="N28" s="885">
        <f t="shared" si="40"/>
        <v>0</v>
      </c>
      <c r="O28" s="883">
        <f t="shared" si="41"/>
        <v>75.262</v>
      </c>
      <c r="P28" s="883">
        <f t="shared" si="42"/>
        <v>176.39400000000001</v>
      </c>
      <c r="Q28" s="883">
        <f t="shared" si="43"/>
        <v>306.31070264400012</v>
      </c>
      <c r="R28" s="883">
        <f t="shared" si="44"/>
        <v>360.52699999999999</v>
      </c>
      <c r="S28" s="886">
        <f t="shared" si="45"/>
        <v>285.07344536019247</v>
      </c>
      <c r="T28" s="883">
        <f t="shared" si="4"/>
        <v>1203.5671480041926</v>
      </c>
      <c r="U28" s="931">
        <f>Factors!D36</f>
        <v>20.48</v>
      </c>
      <c r="V28" s="932">
        <f t="shared" si="46"/>
        <v>0</v>
      </c>
      <c r="W28" s="933">
        <f t="shared" si="47"/>
        <v>1.5413657600000001</v>
      </c>
      <c r="X28" s="933">
        <f t="shared" si="48"/>
        <v>3.6125491200000002</v>
      </c>
      <c r="Y28" s="933">
        <f t="shared" si="49"/>
        <v>6.273243190149123</v>
      </c>
      <c r="Z28" s="933">
        <f t="shared" si="50"/>
        <v>7.3835929600000005</v>
      </c>
      <c r="AA28" s="933">
        <f t="shared" si="51"/>
        <v>5.8383041609767412</v>
      </c>
      <c r="AB28" s="933">
        <f t="shared" si="34"/>
        <v>24.649055191125864</v>
      </c>
      <c r="AC28" s="934">
        <f>Factors!E36</f>
        <v>1</v>
      </c>
      <c r="AD28" s="885">
        <f t="shared" si="57"/>
        <v>0</v>
      </c>
      <c r="AE28" s="883">
        <f t="shared" si="58"/>
        <v>1.5413657600000001</v>
      </c>
      <c r="AF28" s="883">
        <f t="shared" si="59"/>
        <v>3.6125491200000002</v>
      </c>
      <c r="AG28" s="883">
        <f t="shared" ref="AG28:AG42" si="62">Y28*$AC28</f>
        <v>6.273243190149123</v>
      </c>
      <c r="AH28" s="883">
        <f t="shared" si="60"/>
        <v>7.3835929600000005</v>
      </c>
      <c r="AI28" s="883">
        <f t="shared" si="61"/>
        <v>5.8383041609767412</v>
      </c>
      <c r="AJ28" s="889">
        <f t="shared" si="6"/>
        <v>24.649055191125864</v>
      </c>
      <c r="AK28" s="885">
        <f t="shared" si="27"/>
        <v>0</v>
      </c>
      <c r="AL28" s="883">
        <f t="shared" si="28"/>
        <v>5.6516744533333334</v>
      </c>
      <c r="AM28" s="883">
        <f t="shared" si="29"/>
        <v>13.24601344</v>
      </c>
      <c r="AN28" s="883">
        <f t="shared" si="30"/>
        <v>23.001891697213448</v>
      </c>
      <c r="AO28" s="883">
        <f t="shared" si="31"/>
        <v>27.073174186666666</v>
      </c>
      <c r="AP28" s="883">
        <f t="shared" si="32"/>
        <v>21.407115256914718</v>
      </c>
      <c r="AQ28" s="890">
        <f t="shared" si="35"/>
        <v>90.379869034128163</v>
      </c>
    </row>
    <row r="29" spans="1:43">
      <c r="A29" s="817"/>
      <c r="B29" s="860" t="s">
        <v>1603</v>
      </c>
      <c r="C29" s="883"/>
      <c r="D29" s="883"/>
      <c r="E29" s="883"/>
      <c r="F29" s="883"/>
      <c r="G29" s="883"/>
      <c r="H29" s="883"/>
      <c r="I29" s="940"/>
      <c r="J29" s="961"/>
      <c r="K29" s="940"/>
      <c r="L29" s="940"/>
      <c r="M29" s="940"/>
      <c r="N29" s="885">
        <f t="shared" si="40"/>
        <v>0</v>
      </c>
      <c r="O29" s="883">
        <f t="shared" si="41"/>
        <v>0</v>
      </c>
      <c r="P29" s="883">
        <f t="shared" si="42"/>
        <v>0</v>
      </c>
      <c r="Q29" s="883">
        <f t="shared" si="43"/>
        <v>0</v>
      </c>
      <c r="R29" s="883">
        <f t="shared" si="44"/>
        <v>0</v>
      </c>
      <c r="S29" s="886">
        <f t="shared" si="45"/>
        <v>0</v>
      </c>
      <c r="T29" s="883">
        <f t="shared" si="4"/>
        <v>0</v>
      </c>
      <c r="U29" s="931"/>
      <c r="V29" s="932">
        <f t="shared" si="46"/>
        <v>0</v>
      </c>
      <c r="W29" s="933">
        <f t="shared" si="47"/>
        <v>0</v>
      </c>
      <c r="X29" s="933">
        <f t="shared" si="48"/>
        <v>0</v>
      </c>
      <c r="Y29" s="933">
        <f t="shared" si="49"/>
        <v>0</v>
      </c>
      <c r="Z29" s="933">
        <f t="shared" si="50"/>
        <v>0</v>
      </c>
      <c r="AA29" s="933">
        <f t="shared" si="51"/>
        <v>0</v>
      </c>
      <c r="AB29" s="933">
        <f t="shared" si="34"/>
        <v>0</v>
      </c>
      <c r="AC29" s="934"/>
      <c r="AD29" s="885">
        <f t="shared" si="57"/>
        <v>0</v>
      </c>
      <c r="AE29" s="883">
        <f t="shared" si="58"/>
        <v>0</v>
      </c>
      <c r="AF29" s="883">
        <f t="shared" si="59"/>
        <v>0</v>
      </c>
      <c r="AG29" s="883">
        <f t="shared" si="62"/>
        <v>0</v>
      </c>
      <c r="AH29" s="883">
        <f t="shared" si="60"/>
        <v>0</v>
      </c>
      <c r="AI29" s="883">
        <f t="shared" si="61"/>
        <v>0</v>
      </c>
      <c r="AJ29" s="889">
        <f t="shared" si="6"/>
        <v>0</v>
      </c>
      <c r="AK29" s="885">
        <f t="shared" si="27"/>
        <v>0</v>
      </c>
      <c r="AL29" s="883">
        <f t="shared" si="28"/>
        <v>0</v>
      </c>
      <c r="AM29" s="883">
        <f t="shared" si="29"/>
        <v>0</v>
      </c>
      <c r="AN29" s="883">
        <f t="shared" si="30"/>
        <v>0</v>
      </c>
      <c r="AO29" s="883">
        <f t="shared" si="31"/>
        <v>0</v>
      </c>
      <c r="AP29" s="883">
        <f t="shared" si="32"/>
        <v>0</v>
      </c>
      <c r="AQ29" s="890">
        <f t="shared" si="35"/>
        <v>0</v>
      </c>
    </row>
    <row r="30" spans="1:43">
      <c r="A30" s="817"/>
      <c r="B30" s="865" t="s">
        <v>1611</v>
      </c>
      <c r="C30" s="883"/>
      <c r="D30" s="883"/>
      <c r="E30" s="883">
        <f>HLOOKUP($B$2,'Consumption Input'!$E$5:$AQ$82,'Consumption Input'!$B35)</f>
        <v>0.641096</v>
      </c>
      <c r="F30" s="883"/>
      <c r="G30" s="883"/>
      <c r="H30" s="883"/>
      <c r="I30" s="883">
        <f t="shared" ref="I30:I41" si="63">SUM(C30:H30)</f>
        <v>0.641096</v>
      </c>
      <c r="J30" s="961"/>
      <c r="K30" s="940"/>
      <c r="L30" s="940"/>
      <c r="M30" s="940"/>
      <c r="N30" s="885">
        <f t="shared" si="40"/>
        <v>0</v>
      </c>
      <c r="O30" s="883">
        <f t="shared" si="41"/>
        <v>0</v>
      </c>
      <c r="P30" s="883">
        <f t="shared" si="42"/>
        <v>0.641096</v>
      </c>
      <c r="Q30" s="883">
        <f t="shared" si="43"/>
        <v>0</v>
      </c>
      <c r="R30" s="883">
        <f t="shared" si="44"/>
        <v>0</v>
      </c>
      <c r="S30" s="886">
        <f t="shared" si="45"/>
        <v>0</v>
      </c>
      <c r="T30" s="883">
        <f t="shared" si="4"/>
        <v>0.641096</v>
      </c>
      <c r="U30" s="931">
        <f>Factors!D39</f>
        <v>18.87</v>
      </c>
      <c r="V30" s="932">
        <f t="shared" si="46"/>
        <v>0</v>
      </c>
      <c r="W30" s="933">
        <f t="shared" si="47"/>
        <v>0</v>
      </c>
      <c r="X30" s="933">
        <f t="shared" si="48"/>
        <v>1.2097481520000002E-2</v>
      </c>
      <c r="Y30" s="933">
        <f t="shared" si="49"/>
        <v>0</v>
      </c>
      <c r="Z30" s="933">
        <f t="shared" si="50"/>
        <v>0</v>
      </c>
      <c r="AA30" s="933">
        <f t="shared" si="51"/>
        <v>0</v>
      </c>
      <c r="AB30" s="933">
        <f t="shared" si="34"/>
        <v>1.2097481520000002E-2</v>
      </c>
      <c r="AC30" s="934">
        <f>Factors!E39</f>
        <v>1</v>
      </c>
      <c r="AD30" s="885">
        <f t="shared" si="57"/>
        <v>0</v>
      </c>
      <c r="AE30" s="883">
        <f t="shared" si="58"/>
        <v>0</v>
      </c>
      <c r="AF30" s="883">
        <f t="shared" si="59"/>
        <v>1.2097481520000002E-2</v>
      </c>
      <c r="AG30" s="883">
        <f t="shared" si="62"/>
        <v>0</v>
      </c>
      <c r="AH30" s="883">
        <f t="shared" si="60"/>
        <v>0</v>
      </c>
      <c r="AI30" s="883">
        <f t="shared" si="61"/>
        <v>0</v>
      </c>
      <c r="AJ30" s="889">
        <f t="shared" si="6"/>
        <v>1.2097481520000002E-2</v>
      </c>
      <c r="AK30" s="885">
        <f t="shared" si="27"/>
        <v>0</v>
      </c>
      <c r="AL30" s="883">
        <f t="shared" si="28"/>
        <v>0</v>
      </c>
      <c r="AM30" s="883">
        <f t="shared" si="29"/>
        <v>4.4357432240000001E-2</v>
      </c>
      <c r="AN30" s="883">
        <f t="shared" si="30"/>
        <v>0</v>
      </c>
      <c r="AO30" s="883">
        <f t="shared" si="31"/>
        <v>0</v>
      </c>
      <c r="AP30" s="883">
        <f t="shared" si="32"/>
        <v>0</v>
      </c>
      <c r="AQ30" s="890">
        <f t="shared" si="35"/>
        <v>4.4357432240000001E-2</v>
      </c>
    </row>
    <row r="31" spans="1:43">
      <c r="A31" s="817"/>
      <c r="B31" s="865" t="s">
        <v>1612</v>
      </c>
      <c r="C31" s="883"/>
      <c r="D31" s="883"/>
      <c r="E31" s="883">
        <f>HLOOKUP($B$2,'Consumption Input'!$E$5:$AQ$82,'Consumption Input'!$B36)</f>
        <v>0</v>
      </c>
      <c r="F31" s="883"/>
      <c r="G31" s="883"/>
      <c r="H31" s="883"/>
      <c r="I31" s="883">
        <f t="shared" si="63"/>
        <v>0</v>
      </c>
      <c r="J31" s="961"/>
      <c r="K31" s="940"/>
      <c r="L31" s="940"/>
      <c r="M31" s="940"/>
      <c r="N31" s="885">
        <f t="shared" si="40"/>
        <v>0</v>
      </c>
      <c r="O31" s="883">
        <f t="shared" si="41"/>
        <v>0</v>
      </c>
      <c r="P31" s="883">
        <f t="shared" si="42"/>
        <v>0</v>
      </c>
      <c r="Q31" s="883">
        <f t="shared" si="43"/>
        <v>0</v>
      </c>
      <c r="R31" s="883">
        <f t="shared" si="44"/>
        <v>0</v>
      </c>
      <c r="S31" s="886">
        <f t="shared" si="45"/>
        <v>0</v>
      </c>
      <c r="T31" s="883">
        <f t="shared" si="4"/>
        <v>0</v>
      </c>
      <c r="U31" s="931">
        <f>HLOOKUP($B$2,Factors!$J$12:$Z$25,Factors!$H25,FALSE)</f>
        <v>20.284258502413792</v>
      </c>
      <c r="V31" s="932">
        <f t="shared" si="46"/>
        <v>0</v>
      </c>
      <c r="W31" s="933">
        <f t="shared" si="47"/>
        <v>0</v>
      </c>
      <c r="X31" s="933">
        <f t="shared" si="48"/>
        <v>0</v>
      </c>
      <c r="Y31" s="933">
        <f t="shared" si="49"/>
        <v>0</v>
      </c>
      <c r="Z31" s="933">
        <f t="shared" si="50"/>
        <v>0</v>
      </c>
      <c r="AA31" s="933">
        <f t="shared" si="51"/>
        <v>0</v>
      </c>
      <c r="AB31" s="933">
        <f t="shared" si="34"/>
        <v>0</v>
      </c>
      <c r="AC31" s="934">
        <f>Factors!E40</f>
        <v>1</v>
      </c>
      <c r="AD31" s="885">
        <f t="shared" si="57"/>
        <v>0</v>
      </c>
      <c r="AE31" s="883">
        <f t="shared" si="58"/>
        <v>0</v>
      </c>
      <c r="AF31" s="883">
        <f t="shared" si="59"/>
        <v>0</v>
      </c>
      <c r="AG31" s="883">
        <f t="shared" si="62"/>
        <v>0</v>
      </c>
      <c r="AH31" s="883">
        <f t="shared" si="60"/>
        <v>0</v>
      </c>
      <c r="AI31" s="883">
        <f t="shared" si="61"/>
        <v>0</v>
      </c>
      <c r="AJ31" s="889">
        <f t="shared" si="6"/>
        <v>0</v>
      </c>
      <c r="AK31" s="885">
        <f t="shared" si="27"/>
        <v>0</v>
      </c>
      <c r="AL31" s="883">
        <f t="shared" si="28"/>
        <v>0</v>
      </c>
      <c r="AM31" s="883">
        <f t="shared" si="29"/>
        <v>0</v>
      </c>
      <c r="AN31" s="883">
        <f t="shared" si="30"/>
        <v>0</v>
      </c>
      <c r="AO31" s="883">
        <f t="shared" si="31"/>
        <v>0</v>
      </c>
      <c r="AP31" s="883">
        <f t="shared" si="32"/>
        <v>0</v>
      </c>
      <c r="AQ31" s="890">
        <f t="shared" si="35"/>
        <v>0</v>
      </c>
    </row>
    <row r="32" spans="1:43">
      <c r="A32" s="817"/>
      <c r="B32" s="865" t="s">
        <v>1613</v>
      </c>
      <c r="C32" s="883"/>
      <c r="D32" s="883"/>
      <c r="E32" s="883">
        <f>HLOOKUP($B$2,'Consumption Input'!$E$5:$AQ$82,'Consumption Input'!$B37)</f>
        <v>0</v>
      </c>
      <c r="F32" s="883"/>
      <c r="G32" s="883"/>
      <c r="H32" s="883"/>
      <c r="I32" s="883">
        <f t="shared" si="63"/>
        <v>0</v>
      </c>
      <c r="J32" s="961"/>
      <c r="K32" s="940"/>
      <c r="L32" s="940"/>
      <c r="M32" s="940"/>
      <c r="N32" s="885">
        <f t="shared" si="40"/>
        <v>0</v>
      </c>
      <c r="O32" s="883">
        <f t="shared" si="41"/>
        <v>0</v>
      </c>
      <c r="P32" s="952">
        <f t="shared" si="42"/>
        <v>0</v>
      </c>
      <c r="Q32" s="883">
        <f t="shared" si="43"/>
        <v>0</v>
      </c>
      <c r="R32" s="883">
        <f t="shared" si="44"/>
        <v>0</v>
      </c>
      <c r="S32" s="886">
        <f t="shared" si="45"/>
        <v>0</v>
      </c>
      <c r="T32" s="883">
        <f t="shared" si="4"/>
        <v>0</v>
      </c>
      <c r="U32" s="931">
        <f>HLOOKUP($B$2,Factors!$J$12:$Z$25,Factors!$H22,FALSE)</f>
        <v>19.454673043602543</v>
      </c>
      <c r="V32" s="932">
        <f t="shared" si="46"/>
        <v>0</v>
      </c>
      <c r="W32" s="933">
        <f t="shared" si="47"/>
        <v>0</v>
      </c>
      <c r="X32" s="933">
        <f t="shared" si="48"/>
        <v>0</v>
      </c>
      <c r="Y32" s="933">
        <f t="shared" si="49"/>
        <v>0</v>
      </c>
      <c r="Z32" s="933">
        <f t="shared" si="50"/>
        <v>0</v>
      </c>
      <c r="AA32" s="933">
        <f t="shared" si="51"/>
        <v>0</v>
      </c>
      <c r="AB32" s="933">
        <f t="shared" si="34"/>
        <v>0</v>
      </c>
      <c r="AC32" s="934">
        <f>Factors!E41</f>
        <v>1</v>
      </c>
      <c r="AD32" s="885">
        <f t="shared" si="57"/>
        <v>0</v>
      </c>
      <c r="AE32" s="883">
        <f t="shared" si="58"/>
        <v>0</v>
      </c>
      <c r="AF32" s="883">
        <f t="shared" si="59"/>
        <v>0</v>
      </c>
      <c r="AG32" s="883">
        <f t="shared" si="62"/>
        <v>0</v>
      </c>
      <c r="AH32" s="883">
        <f t="shared" si="60"/>
        <v>0</v>
      </c>
      <c r="AI32" s="883">
        <f t="shared" si="61"/>
        <v>0</v>
      </c>
      <c r="AJ32" s="889">
        <f t="shared" si="6"/>
        <v>0</v>
      </c>
      <c r="AK32" s="885">
        <f t="shared" si="27"/>
        <v>0</v>
      </c>
      <c r="AL32" s="883">
        <f t="shared" si="28"/>
        <v>0</v>
      </c>
      <c r="AM32" s="883">
        <f t="shared" si="29"/>
        <v>0</v>
      </c>
      <c r="AN32" s="883">
        <f t="shared" si="30"/>
        <v>0</v>
      </c>
      <c r="AO32" s="883">
        <f t="shared" si="31"/>
        <v>0</v>
      </c>
      <c r="AP32" s="883">
        <f t="shared" si="32"/>
        <v>0</v>
      </c>
      <c r="AQ32" s="890">
        <f t="shared" si="35"/>
        <v>0</v>
      </c>
    </row>
    <row r="33" spans="1:43">
      <c r="A33" s="817"/>
      <c r="B33" s="865" t="s">
        <v>1739</v>
      </c>
      <c r="C33" s="883"/>
      <c r="D33" s="883"/>
      <c r="E33" s="883">
        <f>HLOOKUP($B$2,'Consumption Input'!$E$5:$AQ$82,'Consumption Input'!$B38)</f>
        <v>136.03287348000001</v>
      </c>
      <c r="F33" s="883"/>
      <c r="G33" s="883"/>
      <c r="H33" s="883">
        <f>HLOOKUP($B$2,'US Territories'!$D$28:$Z$38,'US Territories'!$B38)</f>
        <v>92.368903568835464</v>
      </c>
      <c r="I33" s="883">
        <f t="shared" si="63"/>
        <v>228.40177704883547</v>
      </c>
      <c r="J33" s="961"/>
      <c r="K33" s="940">
        <f>HLOOKUP($B$2,NEUConsumption,'Non-Energy Use'!C22)</f>
        <v>136.03287348000001</v>
      </c>
      <c r="L33" s="940"/>
      <c r="M33" s="940">
        <f>HLOOKUP($B$2,NEUConsumption,'Non-Energy Use'!$C$27)</f>
        <v>92.368903568835464</v>
      </c>
      <c r="N33" s="885">
        <f t="shared" si="40"/>
        <v>0</v>
      </c>
      <c r="O33" s="883">
        <f t="shared" si="41"/>
        <v>0</v>
      </c>
      <c r="P33" s="952">
        <f t="shared" si="42"/>
        <v>0</v>
      </c>
      <c r="Q33" s="883">
        <f t="shared" si="43"/>
        <v>0</v>
      </c>
      <c r="R33" s="883">
        <f t="shared" si="44"/>
        <v>0</v>
      </c>
      <c r="S33" s="886">
        <f t="shared" si="45"/>
        <v>0</v>
      </c>
      <c r="T33" s="883">
        <f t="shared" si="4"/>
        <v>0</v>
      </c>
      <c r="U33" s="931">
        <f>HLOOKUP($B$2,Factors!$J$12:$Z$25,Factors!$H23,FALSE)</f>
        <v>0</v>
      </c>
      <c r="V33" s="932">
        <f t="shared" si="46"/>
        <v>0</v>
      </c>
      <c r="W33" s="933">
        <f t="shared" si="47"/>
        <v>0</v>
      </c>
      <c r="X33" s="933">
        <f t="shared" si="48"/>
        <v>0</v>
      </c>
      <c r="Y33" s="933">
        <f t="shared" si="49"/>
        <v>0</v>
      </c>
      <c r="Z33" s="933">
        <f t="shared" si="50"/>
        <v>0</v>
      </c>
      <c r="AA33" s="933">
        <f t="shared" si="51"/>
        <v>0</v>
      </c>
      <c r="AB33" s="933">
        <f t="shared" si="34"/>
        <v>0</v>
      </c>
      <c r="AC33" s="934">
        <f>Factors!E42</f>
        <v>1</v>
      </c>
      <c r="AD33" s="885">
        <f t="shared" si="57"/>
        <v>0</v>
      </c>
      <c r="AE33" s="883">
        <f t="shared" si="58"/>
        <v>0</v>
      </c>
      <c r="AF33" s="883">
        <f t="shared" si="59"/>
        <v>0</v>
      </c>
      <c r="AG33" s="883">
        <f t="shared" si="62"/>
        <v>0</v>
      </c>
      <c r="AH33" s="883">
        <f t="shared" si="60"/>
        <v>0</v>
      </c>
      <c r="AI33" s="883">
        <f t="shared" si="61"/>
        <v>0</v>
      </c>
      <c r="AJ33" s="889">
        <f t="shared" si="6"/>
        <v>0</v>
      </c>
      <c r="AK33" s="885">
        <f t="shared" si="27"/>
        <v>0</v>
      </c>
      <c r="AL33" s="883">
        <f t="shared" si="28"/>
        <v>0</v>
      </c>
      <c r="AM33" s="883">
        <f t="shared" si="29"/>
        <v>0</v>
      </c>
      <c r="AN33" s="883">
        <f t="shared" si="30"/>
        <v>0</v>
      </c>
      <c r="AO33" s="883">
        <f t="shared" si="31"/>
        <v>0</v>
      </c>
      <c r="AP33" s="883">
        <f t="shared" si="32"/>
        <v>0</v>
      </c>
      <c r="AQ33" s="890">
        <f t="shared" si="35"/>
        <v>0</v>
      </c>
    </row>
    <row r="34" spans="1:43">
      <c r="A34" s="817"/>
      <c r="B34" s="865" t="s">
        <v>1615</v>
      </c>
      <c r="C34" s="883"/>
      <c r="D34" s="883"/>
      <c r="E34" s="883">
        <f>HLOOKUP($B$2,'Consumption Input'!$E$5:$AQ$82,'Consumption Input'!$B39)</f>
        <v>628.85209599999985</v>
      </c>
      <c r="F34" s="883"/>
      <c r="G34" s="883"/>
      <c r="H34" s="883"/>
      <c r="I34" s="883">
        <f t="shared" si="63"/>
        <v>628.85209599999985</v>
      </c>
      <c r="J34" s="961"/>
      <c r="K34" s="940">
        <f>HLOOKUP($B$2,NEUConsumption,'Non-Energy Use'!C14)</f>
        <v>628.85209599999985</v>
      </c>
      <c r="L34" s="940"/>
      <c r="M34" s="940"/>
      <c r="N34" s="885">
        <f t="shared" si="40"/>
        <v>0</v>
      </c>
      <c r="O34" s="883">
        <f t="shared" si="41"/>
        <v>0</v>
      </c>
      <c r="P34" s="952">
        <f t="shared" si="42"/>
        <v>0</v>
      </c>
      <c r="Q34" s="883">
        <f t="shared" si="43"/>
        <v>0</v>
      </c>
      <c r="R34" s="883">
        <f t="shared" si="44"/>
        <v>0</v>
      </c>
      <c r="S34" s="886">
        <f t="shared" si="45"/>
        <v>0</v>
      </c>
      <c r="T34" s="883">
        <f t="shared" si="4"/>
        <v>0</v>
      </c>
      <c r="U34" s="931">
        <f>Factors!D44</f>
        <v>18.550649350649344</v>
      </c>
      <c r="V34" s="932">
        <f t="shared" si="46"/>
        <v>0</v>
      </c>
      <c r="W34" s="933">
        <f t="shared" si="47"/>
        <v>0</v>
      </c>
      <c r="X34" s="933">
        <f t="shared" si="48"/>
        <v>0</v>
      </c>
      <c r="Y34" s="933">
        <f t="shared" si="49"/>
        <v>0</v>
      </c>
      <c r="Z34" s="933">
        <f t="shared" si="50"/>
        <v>0</v>
      </c>
      <c r="AA34" s="933">
        <f t="shared" si="51"/>
        <v>0</v>
      </c>
      <c r="AB34" s="933">
        <f t="shared" si="34"/>
        <v>0</v>
      </c>
      <c r="AC34" s="934">
        <f>Factors!E44</f>
        <v>1</v>
      </c>
      <c r="AD34" s="885">
        <f t="shared" si="57"/>
        <v>0</v>
      </c>
      <c r="AE34" s="883">
        <f t="shared" si="58"/>
        <v>0</v>
      </c>
      <c r="AF34" s="883">
        <f t="shared" si="59"/>
        <v>0</v>
      </c>
      <c r="AG34" s="883">
        <f t="shared" si="62"/>
        <v>0</v>
      </c>
      <c r="AH34" s="883">
        <f t="shared" si="60"/>
        <v>0</v>
      </c>
      <c r="AI34" s="883">
        <f t="shared" si="61"/>
        <v>0</v>
      </c>
      <c r="AJ34" s="889">
        <f t="shared" si="6"/>
        <v>0</v>
      </c>
      <c r="AK34" s="885">
        <f t="shared" si="27"/>
        <v>0</v>
      </c>
      <c r="AL34" s="883">
        <f t="shared" si="28"/>
        <v>0</v>
      </c>
      <c r="AM34" s="883">
        <f t="shared" si="29"/>
        <v>0</v>
      </c>
      <c r="AN34" s="883">
        <f t="shared" si="30"/>
        <v>0</v>
      </c>
      <c r="AO34" s="883">
        <f t="shared" si="31"/>
        <v>0</v>
      </c>
      <c r="AP34" s="883">
        <f t="shared" si="32"/>
        <v>0</v>
      </c>
      <c r="AQ34" s="890">
        <f t="shared" si="35"/>
        <v>0</v>
      </c>
    </row>
    <row r="35" spans="1:43">
      <c r="A35" s="817"/>
      <c r="B35" s="865" t="s">
        <v>1616</v>
      </c>
      <c r="C35" s="883"/>
      <c r="D35" s="883"/>
      <c r="E35" s="940">
        <f>HLOOKUP($B$2,'Consumption Input'!$E$5:$AQ$82,'Consumption Input'!$B40)</f>
        <v>790.63890000000004</v>
      </c>
      <c r="F35" s="883"/>
      <c r="G35" s="883"/>
      <c r="H35" s="883"/>
      <c r="I35" s="883">
        <f t="shared" si="63"/>
        <v>790.63890000000004</v>
      </c>
      <c r="J35" s="961"/>
      <c r="K35" s="940">
        <f>HLOOKUP($B$2,NEUConsumption,'Non-Energy Use'!$C$15)</f>
        <v>790.63890000000004</v>
      </c>
      <c r="L35" s="940"/>
      <c r="M35" s="940"/>
      <c r="N35" s="885">
        <f t="shared" si="40"/>
        <v>0</v>
      </c>
      <c r="O35" s="883">
        <f t="shared" si="41"/>
        <v>0</v>
      </c>
      <c r="P35" s="952">
        <f t="shared" si="42"/>
        <v>0</v>
      </c>
      <c r="Q35" s="883">
        <f t="shared" si="43"/>
        <v>0</v>
      </c>
      <c r="R35" s="883">
        <f t="shared" si="44"/>
        <v>0</v>
      </c>
      <c r="S35" s="886">
        <f t="shared" si="45"/>
        <v>0</v>
      </c>
      <c r="T35" s="883">
        <f t="shared" si="4"/>
        <v>0</v>
      </c>
      <c r="U35" s="931">
        <f>Factors!D45</f>
        <v>20.170000000000002</v>
      </c>
      <c r="V35" s="932">
        <f t="shared" si="46"/>
        <v>0</v>
      </c>
      <c r="W35" s="933">
        <f t="shared" si="47"/>
        <v>0</v>
      </c>
      <c r="X35" s="933">
        <f t="shared" si="48"/>
        <v>0</v>
      </c>
      <c r="Y35" s="933">
        <f t="shared" si="49"/>
        <v>0</v>
      </c>
      <c r="Z35" s="933">
        <f t="shared" si="50"/>
        <v>0</v>
      </c>
      <c r="AA35" s="933">
        <f t="shared" si="51"/>
        <v>0</v>
      </c>
      <c r="AB35" s="933">
        <f t="shared" si="34"/>
        <v>0</v>
      </c>
      <c r="AC35" s="934">
        <f>Factors!E45</f>
        <v>1</v>
      </c>
      <c r="AD35" s="885">
        <f t="shared" si="57"/>
        <v>0</v>
      </c>
      <c r="AE35" s="883">
        <f t="shared" si="58"/>
        <v>0</v>
      </c>
      <c r="AF35" s="883">
        <f t="shared" si="59"/>
        <v>0</v>
      </c>
      <c r="AG35" s="883">
        <f t="shared" si="62"/>
        <v>0</v>
      </c>
      <c r="AH35" s="883">
        <f t="shared" si="60"/>
        <v>0</v>
      </c>
      <c r="AI35" s="883">
        <f t="shared" si="61"/>
        <v>0</v>
      </c>
      <c r="AJ35" s="889">
        <f t="shared" si="6"/>
        <v>0</v>
      </c>
      <c r="AK35" s="885">
        <f t="shared" si="27"/>
        <v>0</v>
      </c>
      <c r="AL35" s="883">
        <f t="shared" si="28"/>
        <v>0</v>
      </c>
      <c r="AM35" s="883">
        <f t="shared" si="29"/>
        <v>0</v>
      </c>
      <c r="AN35" s="883">
        <f t="shared" si="30"/>
        <v>0</v>
      </c>
      <c r="AO35" s="883">
        <f t="shared" si="31"/>
        <v>0</v>
      </c>
      <c r="AP35" s="883">
        <f t="shared" si="32"/>
        <v>0</v>
      </c>
      <c r="AQ35" s="890">
        <f t="shared" si="35"/>
        <v>0</v>
      </c>
    </row>
    <row r="36" spans="1:43">
      <c r="A36" s="817"/>
      <c r="B36" s="865" t="s">
        <v>1617</v>
      </c>
      <c r="C36" s="883"/>
      <c r="D36" s="883"/>
      <c r="E36" s="883">
        <f>HLOOKUP($B$2,'Consumption Input'!$E$5:$AQ$82,'Consumption Input'!$B41)</f>
        <v>0</v>
      </c>
      <c r="F36" s="883"/>
      <c r="G36" s="883"/>
      <c r="H36" s="883"/>
      <c r="I36" s="883">
        <f t="shared" si="63"/>
        <v>0</v>
      </c>
      <c r="J36" s="961"/>
      <c r="K36" s="940">
        <f>HLOOKUP($B$2,NEUConsumption,'Non-Energy Use'!$C$13)</f>
        <v>0</v>
      </c>
      <c r="L36" s="940"/>
      <c r="M36" s="940"/>
      <c r="N36" s="885">
        <f t="shared" si="40"/>
        <v>0</v>
      </c>
      <c r="O36" s="883">
        <f t="shared" si="41"/>
        <v>0</v>
      </c>
      <c r="P36" s="883">
        <f t="shared" si="42"/>
        <v>0</v>
      </c>
      <c r="Q36" s="883">
        <f t="shared" si="43"/>
        <v>0</v>
      </c>
      <c r="R36" s="883">
        <f t="shared" si="44"/>
        <v>0</v>
      </c>
      <c r="S36" s="886">
        <f t="shared" si="45"/>
        <v>0</v>
      </c>
      <c r="T36" s="883">
        <f t="shared" si="4"/>
        <v>0</v>
      </c>
      <c r="U36" s="931">
        <f>Factors!D46</f>
        <v>18.239999999999998</v>
      </c>
      <c r="V36" s="932">
        <f t="shared" si="46"/>
        <v>0</v>
      </c>
      <c r="W36" s="933">
        <f t="shared" si="47"/>
        <v>0</v>
      </c>
      <c r="X36" s="933">
        <f t="shared" si="48"/>
        <v>0</v>
      </c>
      <c r="Y36" s="933">
        <f t="shared" si="49"/>
        <v>0</v>
      </c>
      <c r="Z36" s="933">
        <f t="shared" si="50"/>
        <v>0</v>
      </c>
      <c r="AA36" s="933">
        <f t="shared" si="51"/>
        <v>0</v>
      </c>
      <c r="AB36" s="933">
        <f t="shared" si="34"/>
        <v>0</v>
      </c>
      <c r="AC36" s="934">
        <f>Factors!E46</f>
        <v>1</v>
      </c>
      <c r="AD36" s="885">
        <f t="shared" si="57"/>
        <v>0</v>
      </c>
      <c r="AE36" s="883">
        <f t="shared" si="58"/>
        <v>0</v>
      </c>
      <c r="AF36" s="883">
        <f t="shared" si="59"/>
        <v>0</v>
      </c>
      <c r="AG36" s="883">
        <f t="shared" si="62"/>
        <v>0</v>
      </c>
      <c r="AH36" s="883">
        <f t="shared" si="60"/>
        <v>0</v>
      </c>
      <c r="AI36" s="883">
        <f t="shared" si="61"/>
        <v>0</v>
      </c>
      <c r="AJ36" s="889">
        <f t="shared" si="6"/>
        <v>0</v>
      </c>
      <c r="AK36" s="885">
        <f t="shared" si="27"/>
        <v>0</v>
      </c>
      <c r="AL36" s="883">
        <f t="shared" si="28"/>
        <v>0</v>
      </c>
      <c r="AM36" s="883">
        <f t="shared" si="29"/>
        <v>0</v>
      </c>
      <c r="AN36" s="883">
        <f t="shared" si="30"/>
        <v>0</v>
      </c>
      <c r="AO36" s="883">
        <f t="shared" si="31"/>
        <v>0</v>
      </c>
      <c r="AP36" s="883">
        <f t="shared" si="32"/>
        <v>0</v>
      </c>
      <c r="AQ36" s="890">
        <f t="shared" si="35"/>
        <v>0</v>
      </c>
    </row>
    <row r="37" spans="1:43">
      <c r="A37" s="817"/>
      <c r="B37" s="865" t="s">
        <v>1604</v>
      </c>
      <c r="C37" s="883"/>
      <c r="D37" s="883">
        <f>HLOOKUP($B$2,'Consumption Input'!$E$5:$AQ$82,'Consumption Input'!$B21)</f>
        <v>0.27900000000000003</v>
      </c>
      <c r="E37" s="883">
        <f>HLOOKUP($B$2,'Consumption Input'!$E$5:$AQ$82,'Consumption Input'!$B42)</f>
        <v>937.85</v>
      </c>
      <c r="F37" s="883"/>
      <c r="G37" s="883">
        <f>HLOOKUP($B$2,'Consumption Input'!$E$5:$AQ$82,'Consumption Input'!$B63)</f>
        <v>203.04300000000001</v>
      </c>
      <c r="H37" s="883"/>
      <c r="I37" s="883">
        <f t="shared" si="63"/>
        <v>1141.172</v>
      </c>
      <c r="J37" s="961"/>
      <c r="K37" s="940">
        <f>HLOOKUP($B$2,NEUConsumption,'Non-Energy Use'!$C$17)</f>
        <v>213.5899839965642</v>
      </c>
      <c r="L37" s="940"/>
      <c r="M37" s="940"/>
      <c r="N37" s="885">
        <f t="shared" si="40"/>
        <v>0</v>
      </c>
      <c r="O37" s="883">
        <f t="shared" si="41"/>
        <v>0.27900000000000003</v>
      </c>
      <c r="P37" s="883">
        <f t="shared" si="42"/>
        <v>724.26001600343579</v>
      </c>
      <c r="Q37" s="883">
        <f t="shared" si="43"/>
        <v>0</v>
      </c>
      <c r="R37" s="883">
        <f t="shared" si="44"/>
        <v>203.04300000000001</v>
      </c>
      <c r="S37" s="886">
        <f t="shared" si="45"/>
        <v>0</v>
      </c>
      <c r="T37" s="883">
        <f t="shared" si="4"/>
        <v>927.5820160034358</v>
      </c>
      <c r="U37" s="931">
        <f>Factors!D48</f>
        <v>27.84770010865628</v>
      </c>
      <c r="V37" s="932">
        <f t="shared" si="46"/>
        <v>0</v>
      </c>
      <c r="W37" s="933">
        <f t="shared" si="47"/>
        <v>7.769508330315103E-3</v>
      </c>
      <c r="X37" s="933">
        <f t="shared" si="48"/>
        <v>20.168975726354279</v>
      </c>
      <c r="Y37" s="933">
        <f t="shared" si="49"/>
        <v>0</v>
      </c>
      <c r="Z37" s="933">
        <f t="shared" si="50"/>
        <v>5.6542805731618975</v>
      </c>
      <c r="AA37" s="933">
        <f t="shared" si="51"/>
        <v>0</v>
      </c>
      <c r="AB37" s="933">
        <f t="shared" si="34"/>
        <v>25.831025807846494</v>
      </c>
      <c r="AC37" s="934">
        <f>Factors!E48</f>
        <v>1</v>
      </c>
      <c r="AD37" s="885">
        <f t="shared" si="57"/>
        <v>0</v>
      </c>
      <c r="AE37" s="883">
        <f t="shared" si="58"/>
        <v>7.769508330315103E-3</v>
      </c>
      <c r="AF37" s="883">
        <f t="shared" si="59"/>
        <v>20.168975726354279</v>
      </c>
      <c r="AG37" s="883">
        <f t="shared" si="62"/>
        <v>0</v>
      </c>
      <c r="AH37" s="883">
        <f t="shared" si="60"/>
        <v>5.6542805731618975</v>
      </c>
      <c r="AI37" s="883">
        <f t="shared" si="61"/>
        <v>0</v>
      </c>
      <c r="AJ37" s="889">
        <f t="shared" si="6"/>
        <v>25.831025807846494</v>
      </c>
      <c r="AK37" s="885">
        <f t="shared" si="27"/>
        <v>0</v>
      </c>
      <c r="AL37" s="883">
        <f t="shared" si="28"/>
        <v>2.8488197211155378E-2</v>
      </c>
      <c r="AM37" s="883">
        <f t="shared" si="29"/>
        <v>73.952910996632355</v>
      </c>
      <c r="AN37" s="883">
        <f t="shared" si="30"/>
        <v>0</v>
      </c>
      <c r="AO37" s="883">
        <f t="shared" si="31"/>
        <v>20.732362101593623</v>
      </c>
      <c r="AP37" s="883">
        <f t="shared" si="32"/>
        <v>0</v>
      </c>
      <c r="AQ37" s="890">
        <f t="shared" si="35"/>
        <v>94.713761295437138</v>
      </c>
    </row>
    <row r="38" spans="1:43">
      <c r="A38" s="817"/>
      <c r="B38" s="865" t="s">
        <v>1618</v>
      </c>
      <c r="C38" s="883"/>
      <c r="D38" s="883"/>
      <c r="E38" s="883">
        <f>HLOOKUP($B$2,'Consumption Input'!$E$5:$AQ$82,'Consumption Input'!$B43)</f>
        <v>1553.3579999999999</v>
      </c>
      <c r="F38" s="883"/>
      <c r="G38" s="883"/>
      <c r="H38" s="883"/>
      <c r="I38" s="883">
        <f t="shared" si="63"/>
        <v>1553.3579999999999</v>
      </c>
      <c r="J38" s="961"/>
      <c r="K38" s="940">
        <f>HLOOKUP($B$2,NEUConsumption,'Non-Energy Use'!$C$16)</f>
        <v>57.209999999999781</v>
      </c>
      <c r="L38" s="940"/>
      <c r="M38" s="940"/>
      <c r="N38" s="885">
        <f t="shared" si="40"/>
        <v>0</v>
      </c>
      <c r="O38" s="883">
        <f t="shared" si="41"/>
        <v>0</v>
      </c>
      <c r="P38" s="883">
        <f t="shared" si="42"/>
        <v>1496.1480000000001</v>
      </c>
      <c r="Q38" s="883">
        <f t="shared" si="43"/>
        <v>0</v>
      </c>
      <c r="R38" s="883">
        <f t="shared" si="44"/>
        <v>0</v>
      </c>
      <c r="S38" s="886">
        <f t="shared" si="45"/>
        <v>0</v>
      </c>
      <c r="T38" s="883">
        <f t="shared" si="4"/>
        <v>1496.1480000000001</v>
      </c>
      <c r="U38" s="931">
        <f>Factors!D51</f>
        <v>18.195454545454545</v>
      </c>
      <c r="V38" s="932">
        <f t="shared" si="46"/>
        <v>0</v>
      </c>
      <c r="W38" s="933">
        <f t="shared" si="47"/>
        <v>0</v>
      </c>
      <c r="X38" s="933">
        <f t="shared" si="48"/>
        <v>27.223092927272731</v>
      </c>
      <c r="Y38" s="933">
        <f t="shared" si="49"/>
        <v>0</v>
      </c>
      <c r="Z38" s="933">
        <f t="shared" si="50"/>
        <v>0</v>
      </c>
      <c r="AA38" s="933">
        <f t="shared" si="51"/>
        <v>0</v>
      </c>
      <c r="AB38" s="933">
        <f t="shared" si="34"/>
        <v>27.223092927272731</v>
      </c>
      <c r="AC38" s="934">
        <f>Factors!E51</f>
        <v>1</v>
      </c>
      <c r="AD38" s="885">
        <f t="shared" si="57"/>
        <v>0</v>
      </c>
      <c r="AE38" s="883">
        <f t="shared" si="58"/>
        <v>0</v>
      </c>
      <c r="AF38" s="883">
        <f t="shared" si="59"/>
        <v>27.223092927272731</v>
      </c>
      <c r="AG38" s="883">
        <f t="shared" si="62"/>
        <v>0</v>
      </c>
      <c r="AH38" s="883">
        <f t="shared" si="60"/>
        <v>0</v>
      </c>
      <c r="AI38" s="883">
        <f t="shared" si="61"/>
        <v>0</v>
      </c>
      <c r="AJ38" s="889">
        <f t="shared" si="6"/>
        <v>27.223092927272731</v>
      </c>
      <c r="AK38" s="885">
        <f t="shared" si="27"/>
        <v>0</v>
      </c>
      <c r="AL38" s="883">
        <f t="shared" si="28"/>
        <v>0</v>
      </c>
      <c r="AM38" s="883">
        <f t="shared" si="29"/>
        <v>99.818007400000013</v>
      </c>
      <c r="AN38" s="883">
        <f t="shared" si="30"/>
        <v>0</v>
      </c>
      <c r="AO38" s="883">
        <f t="shared" si="31"/>
        <v>0</v>
      </c>
      <c r="AP38" s="883">
        <f t="shared" si="32"/>
        <v>0</v>
      </c>
      <c r="AQ38" s="890">
        <f t="shared" si="35"/>
        <v>99.818007400000013</v>
      </c>
    </row>
    <row r="39" spans="1:43">
      <c r="A39" s="817"/>
      <c r="B39" s="865" t="s">
        <v>1619</v>
      </c>
      <c r="C39" s="883"/>
      <c r="D39" s="883"/>
      <c r="E39" s="883">
        <f>HLOOKUP($B$2,'Consumption Input'!$E$5:$AQ$82,'Consumption Input'!$B44)</f>
        <v>70.050487680000003</v>
      </c>
      <c r="F39" s="883"/>
      <c r="G39" s="883"/>
      <c r="H39" s="883"/>
      <c r="I39" s="883">
        <f t="shared" si="63"/>
        <v>70.050487680000003</v>
      </c>
      <c r="J39" s="961"/>
      <c r="K39" s="940">
        <f>HLOOKUP($B$2,NEUConsumption,'Non-Energy Use'!$C$18)</f>
        <v>70.050487680000003</v>
      </c>
      <c r="L39" s="940"/>
      <c r="M39" s="940"/>
      <c r="N39" s="885">
        <f t="shared" si="40"/>
        <v>0</v>
      </c>
      <c r="O39" s="883">
        <f t="shared" si="41"/>
        <v>0</v>
      </c>
      <c r="P39" s="883">
        <f t="shared" si="42"/>
        <v>0</v>
      </c>
      <c r="Q39" s="883">
        <f t="shared" si="43"/>
        <v>0</v>
      </c>
      <c r="R39" s="883">
        <f t="shared" si="44"/>
        <v>0</v>
      </c>
      <c r="S39" s="886">
        <f t="shared" si="45"/>
        <v>0</v>
      </c>
      <c r="T39" s="883">
        <f t="shared" si="4"/>
        <v>0</v>
      </c>
      <c r="U39" s="931">
        <f>Factors!D37</f>
        <v>19.737389135254986</v>
      </c>
      <c r="V39" s="932">
        <f t="shared" si="46"/>
        <v>0</v>
      </c>
      <c r="W39" s="933">
        <f t="shared" si="47"/>
        <v>0</v>
      </c>
      <c r="X39" s="933">
        <f t="shared" si="48"/>
        <v>0</v>
      </c>
      <c r="Y39" s="933">
        <f t="shared" si="49"/>
        <v>0</v>
      </c>
      <c r="Z39" s="933">
        <f t="shared" si="50"/>
        <v>0</v>
      </c>
      <c r="AA39" s="933">
        <f t="shared" si="51"/>
        <v>0</v>
      </c>
      <c r="AB39" s="933">
        <f t="shared" si="34"/>
        <v>0</v>
      </c>
      <c r="AC39" s="934">
        <f>Factors!E37</f>
        <v>1</v>
      </c>
      <c r="AD39" s="885">
        <f t="shared" si="57"/>
        <v>0</v>
      </c>
      <c r="AE39" s="883">
        <f t="shared" si="58"/>
        <v>0</v>
      </c>
      <c r="AF39" s="883">
        <f t="shared" si="59"/>
        <v>0</v>
      </c>
      <c r="AG39" s="883">
        <f t="shared" si="62"/>
        <v>0</v>
      </c>
      <c r="AH39" s="883">
        <f t="shared" si="60"/>
        <v>0</v>
      </c>
      <c r="AI39" s="883">
        <f t="shared" si="61"/>
        <v>0</v>
      </c>
      <c r="AJ39" s="889">
        <f t="shared" si="6"/>
        <v>0</v>
      </c>
      <c r="AK39" s="885">
        <f t="shared" si="27"/>
        <v>0</v>
      </c>
      <c r="AL39" s="883">
        <f t="shared" si="28"/>
        <v>0</v>
      </c>
      <c r="AM39" s="883">
        <f t="shared" si="29"/>
        <v>0</v>
      </c>
      <c r="AN39" s="883">
        <f t="shared" si="30"/>
        <v>0</v>
      </c>
      <c r="AO39" s="883">
        <f t="shared" si="31"/>
        <v>0</v>
      </c>
      <c r="AP39" s="883">
        <f t="shared" si="32"/>
        <v>0</v>
      </c>
      <c r="AQ39" s="890">
        <f t="shared" si="35"/>
        <v>0</v>
      </c>
    </row>
    <row r="40" spans="1:43">
      <c r="A40" s="817"/>
      <c r="B40" s="865" t="s">
        <v>1620</v>
      </c>
      <c r="C40" s="883"/>
      <c r="D40" s="883"/>
      <c r="E40" s="883">
        <f>HLOOKUP($B$2,'Consumption Input'!$E$5:$AQ$82,'Consumption Input'!$B45)</f>
        <v>0</v>
      </c>
      <c r="F40" s="883"/>
      <c r="G40" s="883"/>
      <c r="H40" s="883"/>
      <c r="I40" s="883">
        <f t="shared" si="63"/>
        <v>0</v>
      </c>
      <c r="J40" s="961"/>
      <c r="K40" s="940"/>
      <c r="L40" s="940"/>
      <c r="M40" s="940"/>
      <c r="N40" s="885">
        <f t="shared" si="40"/>
        <v>0</v>
      </c>
      <c r="O40" s="883">
        <f t="shared" si="41"/>
        <v>0</v>
      </c>
      <c r="P40" s="883">
        <f t="shared" si="42"/>
        <v>0</v>
      </c>
      <c r="Q40" s="883">
        <f t="shared" si="43"/>
        <v>0</v>
      </c>
      <c r="R40" s="883">
        <f t="shared" si="44"/>
        <v>0</v>
      </c>
      <c r="S40" s="886">
        <f t="shared" si="45"/>
        <v>0</v>
      </c>
      <c r="T40" s="883">
        <f t="shared" si="4"/>
        <v>0</v>
      </c>
      <c r="U40" s="931">
        <f>HLOOKUP($B$2,Factors!$J$12:$Z$25,Factors!$H24,FALSE)</f>
        <v>20.284258502413792</v>
      </c>
      <c r="V40" s="932">
        <f t="shared" si="46"/>
        <v>0</v>
      </c>
      <c r="W40" s="933">
        <f t="shared" si="47"/>
        <v>0</v>
      </c>
      <c r="X40" s="933">
        <f t="shared" si="48"/>
        <v>0</v>
      </c>
      <c r="Y40" s="933">
        <f t="shared" si="49"/>
        <v>0</v>
      </c>
      <c r="Z40" s="933">
        <f t="shared" si="50"/>
        <v>0</v>
      </c>
      <c r="AA40" s="933">
        <f t="shared" si="51"/>
        <v>0</v>
      </c>
      <c r="AB40" s="933">
        <f t="shared" si="34"/>
        <v>0</v>
      </c>
      <c r="AC40" s="934">
        <f>Factors!E53</f>
        <v>1</v>
      </c>
      <c r="AD40" s="885">
        <f t="shared" si="57"/>
        <v>0</v>
      </c>
      <c r="AE40" s="883">
        <f t="shared" si="58"/>
        <v>0</v>
      </c>
      <c r="AF40" s="883">
        <f t="shared" si="59"/>
        <v>0</v>
      </c>
      <c r="AG40" s="883">
        <f t="shared" si="62"/>
        <v>0</v>
      </c>
      <c r="AH40" s="883">
        <f t="shared" si="60"/>
        <v>0</v>
      </c>
      <c r="AI40" s="883">
        <f t="shared" si="61"/>
        <v>0</v>
      </c>
      <c r="AJ40" s="889">
        <f t="shared" si="6"/>
        <v>0</v>
      </c>
      <c r="AK40" s="885">
        <f t="shared" si="27"/>
        <v>0</v>
      </c>
      <c r="AL40" s="883">
        <f t="shared" si="28"/>
        <v>0</v>
      </c>
      <c r="AM40" s="883">
        <f t="shared" si="29"/>
        <v>0</v>
      </c>
      <c r="AN40" s="883">
        <f t="shared" si="30"/>
        <v>0</v>
      </c>
      <c r="AO40" s="883">
        <f t="shared" si="31"/>
        <v>0</v>
      </c>
      <c r="AP40" s="883">
        <f t="shared" si="32"/>
        <v>0</v>
      </c>
      <c r="AQ40" s="890">
        <f t="shared" si="35"/>
        <v>0</v>
      </c>
    </row>
    <row r="41" spans="1:43">
      <c r="A41" s="817"/>
      <c r="B41" s="865" t="s">
        <v>1621</v>
      </c>
      <c r="C41" s="883"/>
      <c r="D41" s="883"/>
      <c r="E41" s="883">
        <f>HLOOKUP($B$2,'Consumption Input'!$E$5:$AQ$82,'Consumption Input'!$B46)</f>
        <v>26.145730610999998</v>
      </c>
      <c r="F41" s="883"/>
      <c r="G41" s="883"/>
      <c r="H41" s="883"/>
      <c r="I41" s="883">
        <f t="shared" si="63"/>
        <v>26.145730610999998</v>
      </c>
      <c r="J41" s="961"/>
      <c r="K41" s="940">
        <f>HLOOKUP($B$2,NEUConsumption,'Non-Energy Use'!$C$21)</f>
        <v>26.145730610999998</v>
      </c>
      <c r="L41" s="940"/>
      <c r="M41" s="940"/>
      <c r="N41" s="885">
        <f t="shared" si="40"/>
        <v>0</v>
      </c>
      <c r="O41" s="883">
        <f t="shared" si="41"/>
        <v>0</v>
      </c>
      <c r="P41" s="883">
        <f t="shared" si="42"/>
        <v>0</v>
      </c>
      <c r="Q41" s="883">
        <f t="shared" si="43"/>
        <v>0</v>
      </c>
      <c r="R41" s="883">
        <f t="shared" si="44"/>
        <v>0</v>
      </c>
      <c r="S41" s="886">
        <f t="shared" si="45"/>
        <v>0</v>
      </c>
      <c r="T41" s="883">
        <f t="shared" si="4"/>
        <v>0</v>
      </c>
      <c r="U41" s="931">
        <f>Factors!D55</f>
        <v>19.795754182606267</v>
      </c>
      <c r="V41" s="941">
        <f t="shared" si="46"/>
        <v>0</v>
      </c>
      <c r="W41" s="942">
        <f t="shared" si="47"/>
        <v>0</v>
      </c>
      <c r="X41" s="942">
        <f t="shared" si="48"/>
        <v>0</v>
      </c>
      <c r="Y41" s="942">
        <f t="shared" si="49"/>
        <v>0</v>
      </c>
      <c r="Z41" s="942">
        <f t="shared" si="50"/>
        <v>0</v>
      </c>
      <c r="AA41" s="942">
        <f t="shared" si="51"/>
        <v>0</v>
      </c>
      <c r="AB41" s="933">
        <f t="shared" si="34"/>
        <v>0</v>
      </c>
      <c r="AC41" s="934">
        <f>Factors!E55</f>
        <v>1</v>
      </c>
      <c r="AD41" s="885">
        <f t="shared" si="57"/>
        <v>0</v>
      </c>
      <c r="AE41" s="883">
        <f t="shared" si="58"/>
        <v>0</v>
      </c>
      <c r="AF41" s="883">
        <f t="shared" si="59"/>
        <v>0</v>
      </c>
      <c r="AG41" s="883">
        <f t="shared" si="62"/>
        <v>0</v>
      </c>
      <c r="AH41" s="883">
        <f t="shared" si="60"/>
        <v>0</v>
      </c>
      <c r="AI41" s="883">
        <f t="shared" si="61"/>
        <v>0</v>
      </c>
      <c r="AJ41" s="889">
        <f t="shared" si="6"/>
        <v>0</v>
      </c>
      <c r="AK41" s="885">
        <f t="shared" si="27"/>
        <v>0</v>
      </c>
      <c r="AL41" s="883">
        <f t="shared" si="28"/>
        <v>0</v>
      </c>
      <c r="AM41" s="883">
        <f t="shared" si="29"/>
        <v>0</v>
      </c>
      <c r="AN41" s="883">
        <f t="shared" si="30"/>
        <v>0</v>
      </c>
      <c r="AO41" s="883">
        <f t="shared" si="31"/>
        <v>0</v>
      </c>
      <c r="AP41" s="883">
        <f t="shared" si="32"/>
        <v>0</v>
      </c>
      <c r="AQ41" s="890">
        <f t="shared" si="35"/>
        <v>0</v>
      </c>
    </row>
    <row r="42" spans="1:43" ht="11.1" thickBot="1">
      <c r="A42" s="817"/>
      <c r="B42" s="866" t="s">
        <v>82</v>
      </c>
      <c r="C42" s="917"/>
      <c r="D42" s="917"/>
      <c r="E42" s="917"/>
      <c r="F42" s="917"/>
      <c r="G42" s="917">
        <f>INDEX(Geothermal!$C$6:$AE$10,MATCH("Total",Geothermal!$C$6:$C$10,0),MATCH($B$2,Geothermal!$C$6:$AE$6,0))/Factors!$J$61*Factors!$J$55/BBtuToBtu*BBtuToTBtu</f>
        <v>49.706114951411998</v>
      </c>
      <c r="H42" s="917"/>
      <c r="I42" s="917">
        <f>G42</f>
        <v>49.706114951411998</v>
      </c>
      <c r="J42" s="968"/>
      <c r="K42" s="969"/>
      <c r="L42" s="970"/>
      <c r="M42" s="971"/>
      <c r="N42" s="917">
        <f t="shared" si="40"/>
        <v>0</v>
      </c>
      <c r="O42" s="917">
        <f t="shared" si="41"/>
        <v>0</v>
      </c>
      <c r="P42" s="917">
        <f>E42</f>
        <v>0</v>
      </c>
      <c r="Q42" s="917">
        <f>F42</f>
        <v>0</v>
      </c>
      <c r="R42" s="917">
        <f t="shared" si="44"/>
        <v>49.706114951411998</v>
      </c>
      <c r="S42" s="917">
        <f>H42</f>
        <v>0</v>
      </c>
      <c r="T42" s="917">
        <f t="shared" si="4"/>
        <v>49.706114951411998</v>
      </c>
      <c r="U42" s="953">
        <f>Factors!D56</f>
        <v>2.6974658424810825</v>
      </c>
      <c r="V42" s="954"/>
      <c r="W42" s="954"/>
      <c r="X42" s="954"/>
      <c r="Y42" s="954"/>
      <c r="Z42" s="954">
        <f>INDEX(Geothermal!$C$14:$AE$18,MATCH("Total",Geothermal!$C$14:$C$18,0),MATCH($B$2,Geothermal!$C$14:$AE$14,0))/CtoCO2</f>
        <v>0.12407191364986724</v>
      </c>
      <c r="AA42" s="954"/>
      <c r="AB42" s="954">
        <f t="shared" si="34"/>
        <v>0.12407191364986724</v>
      </c>
      <c r="AC42" s="955">
        <f>Factors!$E$56</f>
        <v>1</v>
      </c>
      <c r="AD42" s="917">
        <f t="shared" si="57"/>
        <v>0</v>
      </c>
      <c r="AE42" s="917">
        <f t="shared" si="58"/>
        <v>0</v>
      </c>
      <c r="AF42" s="917">
        <f t="shared" si="59"/>
        <v>0</v>
      </c>
      <c r="AG42" s="917">
        <f t="shared" si="62"/>
        <v>0</v>
      </c>
      <c r="AH42" s="917">
        <f t="shared" si="60"/>
        <v>0.12407191364986724</v>
      </c>
      <c r="AI42" s="917">
        <f t="shared" si="61"/>
        <v>0</v>
      </c>
      <c r="AJ42" s="920">
        <f t="shared" si="6"/>
        <v>0.12407191364986724</v>
      </c>
      <c r="AK42" s="919">
        <f t="shared" si="27"/>
        <v>0</v>
      </c>
      <c r="AL42" s="917">
        <f t="shared" si="28"/>
        <v>0</v>
      </c>
      <c r="AM42" s="917">
        <f t="shared" si="29"/>
        <v>0</v>
      </c>
      <c r="AN42" s="917">
        <f t="shared" si="30"/>
        <v>0</v>
      </c>
      <c r="AO42" s="917">
        <f t="shared" si="31"/>
        <v>0.45493035004951315</v>
      </c>
      <c r="AP42" s="917">
        <f t="shared" si="32"/>
        <v>0</v>
      </c>
      <c r="AQ42" s="920">
        <f t="shared" si="35"/>
        <v>0.45493035004951315</v>
      </c>
    </row>
    <row r="43" spans="1:43" ht="11.1" thickBot="1">
      <c r="A43" s="817"/>
      <c r="B43" s="867" t="s">
        <v>1740</v>
      </c>
      <c r="C43" s="922">
        <f>C8+C17+C18+C42</f>
        <v>5667.8487971365057</v>
      </c>
      <c r="D43" s="922">
        <f>D8+D17+D18+D42</f>
        <v>3678.8476914177982</v>
      </c>
      <c r="E43" s="922">
        <f>E8+E17+E18+E42</f>
        <v>18734.790657324105</v>
      </c>
      <c r="F43" s="922">
        <f>F8+F17+F18+F42</f>
        <v>27603.752618791885</v>
      </c>
      <c r="G43" s="922">
        <f>G8+G17+G18+G42</f>
        <v>27523.686114951412</v>
      </c>
      <c r="H43" s="922">
        <f>H16+H17+H18+H42</f>
        <v>793.74709331538338</v>
      </c>
      <c r="I43" s="922">
        <f>SUM(C43:H43)</f>
        <v>84002.672972937085</v>
      </c>
      <c r="J43" s="972">
        <f t="shared" ref="J43:S43" si="64">J8+J17+J18+J42</f>
        <v>1575.3714311532135</v>
      </c>
      <c r="K43" s="973">
        <f t="shared" si="64"/>
        <v>5399.0676344923932</v>
      </c>
      <c r="L43" s="974">
        <f t="shared" si="64"/>
        <v>147.41399999999999</v>
      </c>
      <c r="M43" s="975">
        <f t="shared" si="64"/>
        <v>98.559137302910813</v>
      </c>
      <c r="N43" s="922">
        <f t="shared" si="64"/>
        <v>5667.8487971365057</v>
      </c>
      <c r="O43" s="922">
        <f t="shared" si="64"/>
        <v>3678.8476914177982</v>
      </c>
      <c r="P43" s="922">
        <f t="shared" si="64"/>
        <v>13335.723022831711</v>
      </c>
      <c r="Q43" s="922">
        <f t="shared" si="64"/>
        <v>25880.967187638667</v>
      </c>
      <c r="R43" s="922">
        <f t="shared" si="64"/>
        <v>27523.686114951412</v>
      </c>
      <c r="S43" s="922">
        <f t="shared" si="64"/>
        <v>695.18795601247268</v>
      </c>
      <c r="T43" s="922">
        <f t="shared" si="4"/>
        <v>76782.26076998857</v>
      </c>
      <c r="U43" s="956" t="s">
        <v>1731</v>
      </c>
      <c r="V43" s="957">
        <f t="shared" ref="V43:AA43" si="65">V8+V17+V18+V42</f>
        <v>87.540571384108787</v>
      </c>
      <c r="W43" s="957">
        <f t="shared" si="65"/>
        <v>57.650856213402406</v>
      </c>
      <c r="X43" s="957">
        <f t="shared" si="65"/>
        <v>235.57690539706741</v>
      </c>
      <c r="Y43" s="957">
        <f t="shared" si="65"/>
        <v>507.03627449491478</v>
      </c>
      <c r="Z43" s="957">
        <f t="shared" si="65"/>
        <v>639.38060038638821</v>
      </c>
      <c r="AA43" s="957">
        <f t="shared" si="65"/>
        <v>13.98026440552597</v>
      </c>
      <c r="AB43" s="957">
        <f t="shared" si="34"/>
        <v>1541.1654722814076</v>
      </c>
      <c r="AC43" s="958" t="s">
        <v>1731</v>
      </c>
      <c r="AD43" s="922">
        <f t="shared" ref="AD43:AQ43" si="66">AD8+AD17+AD18+AD42</f>
        <v>87.540571384108787</v>
      </c>
      <c r="AE43" s="922">
        <f t="shared" si="66"/>
        <v>57.650856213402406</v>
      </c>
      <c r="AF43" s="922">
        <f t="shared" si="66"/>
        <v>235.57690539706741</v>
      </c>
      <c r="AG43" s="922">
        <f t="shared" si="66"/>
        <v>507.03627449491478</v>
      </c>
      <c r="AH43" s="922">
        <f t="shared" si="66"/>
        <v>639.38060038638821</v>
      </c>
      <c r="AI43" s="922">
        <f t="shared" si="66"/>
        <v>13.98026440552597</v>
      </c>
      <c r="AJ43" s="925">
        <f t="shared" si="66"/>
        <v>1541.1654722814073</v>
      </c>
      <c r="AK43" s="922">
        <f t="shared" si="66"/>
        <v>320.9820950750655</v>
      </c>
      <c r="AL43" s="922">
        <f t="shared" si="66"/>
        <v>211.38647278247549</v>
      </c>
      <c r="AM43" s="922">
        <f t="shared" si="66"/>
        <v>863.78198645591374</v>
      </c>
      <c r="AN43" s="922">
        <f t="shared" si="66"/>
        <v>1859.1330064813542</v>
      </c>
      <c r="AO43" s="922">
        <f t="shared" si="66"/>
        <v>2344.3955347500896</v>
      </c>
      <c r="AP43" s="922">
        <f t="shared" si="66"/>
        <v>51.260969486928559</v>
      </c>
      <c r="AQ43" s="925">
        <f t="shared" si="66"/>
        <v>5650.9400650318275</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ransitionEvaluation="1" transitionEntry="1" codeName="Sheet38">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2" width="7" style="152" customWidth="1"/>
    <col min="13" max="13" width="9" style="152" customWidth="1"/>
    <col min="14" max="14" width="8.6640625" style="152" customWidth="1"/>
    <col min="15" max="15" width="10.66406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9.664062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2007</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1758</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 t="shared" si="0"/>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93.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7.782</v>
      </c>
      <c r="D8" s="876">
        <f t="shared" si="1"/>
        <v>70.034999999999997</v>
      </c>
      <c r="E8" s="876">
        <f t="shared" si="1"/>
        <v>1183.7626531203796</v>
      </c>
      <c r="F8" s="876">
        <f t="shared" si="1"/>
        <v>0</v>
      </c>
      <c r="G8" s="876">
        <f t="shared" si="1"/>
        <v>20807.722000000002</v>
      </c>
      <c r="H8" s="876">
        <f t="shared" si="1"/>
        <v>36.910076885308783</v>
      </c>
      <c r="I8" s="876">
        <f t="shared" ref="I8:I14" si="2">SUM(C8:H8)</f>
        <v>22106.211730005693</v>
      </c>
      <c r="J8" s="959"/>
      <c r="K8" s="960">
        <f>SUM(K9:K16)</f>
        <v>13.349278905204187</v>
      </c>
      <c r="L8" s="960">
        <f>SUM(L9:L16)</f>
        <v>0</v>
      </c>
      <c r="M8" s="960"/>
      <c r="N8" s="878">
        <f t="shared" ref="N8:S8" si="3">SUM(N9:N16)</f>
        <v>7.782</v>
      </c>
      <c r="O8" s="876">
        <f t="shared" si="3"/>
        <v>70.034999999999997</v>
      </c>
      <c r="P8" s="876">
        <f t="shared" si="3"/>
        <v>1170.4133742151753</v>
      </c>
      <c r="Q8" s="876">
        <f t="shared" si="3"/>
        <v>0</v>
      </c>
      <c r="R8" s="876">
        <f t="shared" si="3"/>
        <v>20807.722000000002</v>
      </c>
      <c r="S8" s="879">
        <f t="shared" si="3"/>
        <v>36.910076885308783</v>
      </c>
      <c r="T8" s="876">
        <f t="shared" ref="T8:T43" si="4">SUM(N8:S8)</f>
        <v>22092.862451100485</v>
      </c>
      <c r="U8" s="880" t="s">
        <v>1731</v>
      </c>
      <c r="V8" s="876">
        <f>SUM(V9:V16)</f>
        <v>0.20166405634028989</v>
      </c>
      <c r="W8" s="876">
        <f>SUM(W9:W16)</f>
        <v>1.8148987645582371</v>
      </c>
      <c r="X8" s="876">
        <f>SUM(X9:X16)</f>
        <v>30.211154581560791</v>
      </c>
      <c r="Y8" s="876"/>
      <c r="Z8" s="876">
        <f>SUM(Z9:Z16)</f>
        <v>541.70448691341755</v>
      </c>
      <c r="AA8" s="876">
        <f>SUM(AA9:AA16)</f>
        <v>0.92791933289666284</v>
      </c>
      <c r="AB8" s="876">
        <f t="shared" ref="AB8:AB13" si="5">SUM(V8:AA8)</f>
        <v>574.86012364877354</v>
      </c>
      <c r="AC8" s="881" t="s">
        <v>1731</v>
      </c>
      <c r="AD8" s="878">
        <f>SUM(AD9:AD16)</f>
        <v>0.20166405634028989</v>
      </c>
      <c r="AE8" s="876">
        <f>SUM(AE9:AE16)</f>
        <v>1.8148987645582371</v>
      </c>
      <c r="AF8" s="876">
        <f>SUM(AF9:AF16)</f>
        <v>30.211154581560791</v>
      </c>
      <c r="AG8" s="876" t="s">
        <v>108</v>
      </c>
      <c r="AH8" s="876">
        <f>SUM(AH9:AH16)</f>
        <v>541.70448691341755</v>
      </c>
      <c r="AI8" s="876">
        <f>SUM(AI9:AI16)</f>
        <v>0.92791933289666284</v>
      </c>
      <c r="AJ8" s="876">
        <f t="shared" ref="AJ8:AJ42" si="6">SUM(AD8:AI8)</f>
        <v>574.86012364877354</v>
      </c>
      <c r="AK8" s="878">
        <f t="shared" ref="AK8:AP8" si="7">SUM(AK9:AK16)</f>
        <v>0.73943487324772961</v>
      </c>
      <c r="AL8" s="876">
        <f t="shared" si="7"/>
        <v>6.6546288033802021</v>
      </c>
      <c r="AM8" s="876">
        <f t="shared" si="7"/>
        <v>110.7742334657229</v>
      </c>
      <c r="AN8" s="876">
        <f t="shared" si="7"/>
        <v>0</v>
      </c>
      <c r="AO8" s="876">
        <f t="shared" si="7"/>
        <v>1986.2497853491975</v>
      </c>
      <c r="AP8" s="876">
        <f t="shared" si="7"/>
        <v>3.4023708872877636</v>
      </c>
      <c r="AQ8" s="882">
        <f t="shared" ref="AQ8:AQ14" si="8">SUM(AK8:AP8)</f>
        <v>2107.8204533788362</v>
      </c>
    </row>
    <row r="9" spans="1:43">
      <c r="A9" s="817"/>
      <c r="B9" s="860" t="s">
        <v>1732</v>
      </c>
      <c r="C9" s="883">
        <f>HLOOKUP($B$2,'Consumption Input'!$E$5:$AQ$82,'Consumption Input'!$B7)</f>
        <v>7.782</v>
      </c>
      <c r="D9" s="883"/>
      <c r="E9" s="883"/>
      <c r="F9" s="883"/>
      <c r="G9" s="883"/>
      <c r="H9" s="883"/>
      <c r="I9" s="883">
        <f t="shared" si="2"/>
        <v>7.782</v>
      </c>
      <c r="J9" s="961"/>
      <c r="K9" s="940"/>
      <c r="L9" s="940"/>
      <c r="M9" s="940"/>
      <c r="N9" s="885">
        <f t="shared" ref="N9:N17" si="9">C9</f>
        <v>7.782</v>
      </c>
      <c r="O9" s="883">
        <f t="shared" ref="O9:O17" si="10">D9</f>
        <v>0</v>
      </c>
      <c r="P9" s="883">
        <f t="shared" ref="P9:P17" si="11">E9-K9</f>
        <v>0</v>
      </c>
      <c r="Q9" s="883">
        <f t="shared" ref="Q9:Q17" si="12">F9</f>
        <v>0</v>
      </c>
      <c r="R9" s="883">
        <f t="shared" ref="R9:R17" si="13">G9</f>
        <v>0</v>
      </c>
      <c r="S9" s="886">
        <f t="shared" ref="S9:S17" si="14">H9</f>
        <v>0</v>
      </c>
      <c r="T9" s="883">
        <f t="shared" si="4"/>
        <v>7.782</v>
      </c>
      <c r="U9" s="887">
        <f>HLOOKUP($B$2,Factors!$J$12:$AA$25,Factors!$H13,FALSE)</f>
        <v>25.914168123912859</v>
      </c>
      <c r="V9" s="885">
        <f t="shared" ref="V9:V17" si="15">N9*$U9*TbtuToQBtu</f>
        <v>0.20166405634028989</v>
      </c>
      <c r="W9" s="883">
        <f t="shared" ref="W9:W17" si="16">O9*$U9*TbtuToQBtu</f>
        <v>0</v>
      </c>
      <c r="X9" s="883">
        <f t="shared" ref="X9:X17" si="17">P9*$U9*TbtuToQBtu</f>
        <v>0</v>
      </c>
      <c r="Y9" s="883">
        <f t="shared" ref="Y9:Y17" si="18">Q9*$U9*TbtuToQBtu</f>
        <v>0</v>
      </c>
      <c r="Z9" s="883">
        <f t="shared" ref="Z9:Z17" si="19">R9*$U9*TbtuToQBtu</f>
        <v>0</v>
      </c>
      <c r="AA9" s="883">
        <f t="shared" ref="AA9:AA17" si="20">S9*$U9*TbtuToQBtu</f>
        <v>0</v>
      </c>
      <c r="AB9" s="883">
        <f t="shared" si="5"/>
        <v>0.20166405634028989</v>
      </c>
      <c r="AC9" s="888">
        <f>Factors!E10</f>
        <v>1</v>
      </c>
      <c r="AD9" s="885">
        <f t="shared" ref="AD9:AD17" si="21">V9*$AC9</f>
        <v>0.20166405634028989</v>
      </c>
      <c r="AE9" s="883">
        <f t="shared" ref="AE9:AE17" si="22">W9*$AC9</f>
        <v>0</v>
      </c>
      <c r="AF9" s="883">
        <f t="shared" ref="AF9:AF17" si="23">X9*$AC9</f>
        <v>0</v>
      </c>
      <c r="AG9" s="883">
        <f t="shared" ref="AG9:AG17" si="24">Y9*$AC9</f>
        <v>0</v>
      </c>
      <c r="AH9" s="883">
        <f t="shared" ref="AH9:AH17" si="25">Z9*$AC9</f>
        <v>0</v>
      </c>
      <c r="AI9" s="883">
        <f t="shared" ref="AI9:AI17" si="26">AA9*$AC9</f>
        <v>0</v>
      </c>
      <c r="AJ9" s="889">
        <f t="shared" si="6"/>
        <v>0.20166405634028989</v>
      </c>
      <c r="AK9" s="885">
        <f t="shared" ref="AK9:AK42" si="27">AD9*CtoCO2</f>
        <v>0.73943487324772961</v>
      </c>
      <c r="AL9" s="883">
        <f t="shared" ref="AL9:AL42" si="28">AE9*CtoCO2</f>
        <v>0</v>
      </c>
      <c r="AM9" s="883">
        <f t="shared" ref="AM9:AM42" si="29">AF9*CtoCO2</f>
        <v>0</v>
      </c>
      <c r="AN9" s="883">
        <f t="shared" ref="AN9:AN42" si="30">AG9*CtoCO2</f>
        <v>0</v>
      </c>
      <c r="AO9" s="883">
        <f t="shared" ref="AO9:AO42" si="31">AH9*CtoCO2</f>
        <v>0</v>
      </c>
      <c r="AP9" s="883">
        <f t="shared" ref="AP9:AP42" si="32">AI9*CtoCO2</f>
        <v>0</v>
      </c>
      <c r="AQ9" s="890">
        <f t="shared" si="8"/>
        <v>0.73943487324772961</v>
      </c>
    </row>
    <row r="10" spans="1:43">
      <c r="A10" s="817"/>
      <c r="B10" s="860" t="s">
        <v>1733</v>
      </c>
      <c r="C10" s="883"/>
      <c r="D10" s="883">
        <f>HLOOKUP($B$2,'Consumption Input'!$E$5:$AQ$82,'Consumption Input'!$B13)</f>
        <v>70.034999999999997</v>
      </c>
      <c r="E10" s="883"/>
      <c r="F10" s="883"/>
      <c r="G10" s="883"/>
      <c r="H10" s="883"/>
      <c r="I10" s="883">
        <f t="shared" si="2"/>
        <v>70.034999999999997</v>
      </c>
      <c r="J10" s="961"/>
      <c r="K10" s="940"/>
      <c r="L10" s="940"/>
      <c r="M10" s="940"/>
      <c r="N10" s="885">
        <f t="shared" si="9"/>
        <v>0</v>
      </c>
      <c r="O10" s="883">
        <f t="shared" si="10"/>
        <v>70.034999999999997</v>
      </c>
      <c r="P10" s="883">
        <f t="shared" si="11"/>
        <v>0</v>
      </c>
      <c r="Q10" s="883">
        <f t="shared" si="12"/>
        <v>0</v>
      </c>
      <c r="R10" s="883">
        <f t="shared" si="13"/>
        <v>0</v>
      </c>
      <c r="S10" s="886">
        <f t="shared" si="14"/>
        <v>0</v>
      </c>
      <c r="T10" s="883">
        <f t="shared" si="4"/>
        <v>70.034999999999997</v>
      </c>
      <c r="U10" s="887">
        <f>HLOOKUP($B$2,Factors!$J$12:$AA$25,Factors!$H14,FALSE)</f>
        <v>25.914168123912859</v>
      </c>
      <c r="V10" s="885">
        <f t="shared" si="15"/>
        <v>0</v>
      </c>
      <c r="W10" s="883">
        <f t="shared" si="16"/>
        <v>1.8148987645582371</v>
      </c>
      <c r="X10" s="883">
        <f t="shared" si="17"/>
        <v>0</v>
      </c>
      <c r="Y10" s="883">
        <f t="shared" si="18"/>
        <v>0</v>
      </c>
      <c r="Z10" s="883">
        <f t="shared" si="19"/>
        <v>0</v>
      </c>
      <c r="AA10" s="883">
        <f t="shared" si="20"/>
        <v>0</v>
      </c>
      <c r="AB10" s="883">
        <f t="shared" si="5"/>
        <v>1.8148987645582371</v>
      </c>
      <c r="AC10" s="888">
        <f>Factors!E11</f>
        <v>1</v>
      </c>
      <c r="AD10" s="885">
        <f t="shared" si="21"/>
        <v>0</v>
      </c>
      <c r="AE10" s="883">
        <f t="shared" si="22"/>
        <v>1.8148987645582371</v>
      </c>
      <c r="AF10" s="883">
        <f t="shared" si="23"/>
        <v>0</v>
      </c>
      <c r="AG10" s="883">
        <f t="shared" si="24"/>
        <v>0</v>
      </c>
      <c r="AH10" s="883">
        <f t="shared" si="25"/>
        <v>0</v>
      </c>
      <c r="AI10" s="883">
        <f t="shared" si="26"/>
        <v>0</v>
      </c>
      <c r="AJ10" s="889">
        <f t="shared" si="6"/>
        <v>1.8148987645582371</v>
      </c>
      <c r="AK10" s="885">
        <f t="shared" si="27"/>
        <v>0</v>
      </c>
      <c r="AL10" s="883">
        <f t="shared" si="28"/>
        <v>6.6546288033802021</v>
      </c>
      <c r="AM10" s="883">
        <f t="shared" si="29"/>
        <v>0</v>
      </c>
      <c r="AN10" s="883">
        <f t="shared" si="30"/>
        <v>0</v>
      </c>
      <c r="AO10" s="883">
        <f t="shared" si="31"/>
        <v>0</v>
      </c>
      <c r="AP10" s="883">
        <f t="shared" si="32"/>
        <v>0</v>
      </c>
      <c r="AQ10" s="890">
        <f t="shared" si="8"/>
        <v>6.6546288033802021</v>
      </c>
    </row>
    <row r="11" spans="1:43" s="244" customFormat="1" hidden="1">
      <c r="A11" s="861"/>
      <c r="B11" s="862" t="s">
        <v>1734</v>
      </c>
      <c r="C11" s="891"/>
      <c r="D11" s="891"/>
      <c r="E11" s="891">
        <f>HLOOKUP($B$2,'Consumption Input'!$E$5:$AQ$82,'Consumption Input'!$B23)</f>
        <v>2.3203149182869538</v>
      </c>
      <c r="F11" s="891"/>
      <c r="G11" s="891"/>
      <c r="H11" s="891"/>
      <c r="I11" s="891">
        <f t="shared" si="2"/>
        <v>2.3203149182869538</v>
      </c>
      <c r="J11" s="962"/>
      <c r="K11" s="963">
        <f>HLOOKUP($B$2,NEUConsumption,'Non-Energy Use'!$C$7)</f>
        <v>2.3203149182869538</v>
      </c>
      <c r="L11" s="963"/>
      <c r="M11" s="963"/>
      <c r="N11" s="893">
        <f t="shared" si="9"/>
        <v>0</v>
      </c>
      <c r="O11" s="891">
        <f t="shared" si="10"/>
        <v>0</v>
      </c>
      <c r="P11" s="891">
        <f t="shared" si="11"/>
        <v>0</v>
      </c>
      <c r="Q11" s="891">
        <f t="shared" si="12"/>
        <v>0</v>
      </c>
      <c r="R11" s="891">
        <f t="shared" si="13"/>
        <v>0</v>
      </c>
      <c r="S11" s="894">
        <f t="shared" si="14"/>
        <v>0</v>
      </c>
      <c r="T11" s="891">
        <f t="shared" si="4"/>
        <v>0</v>
      </c>
      <c r="U11" s="1013">
        <f>HLOOKUP($B$2,Factors!$J$12:$BE$28,Factors!$H28,FALSE)</f>
        <v>25.614339573069</v>
      </c>
      <c r="V11" s="893">
        <f t="shared" si="15"/>
        <v>0</v>
      </c>
      <c r="W11" s="891">
        <f t="shared" si="16"/>
        <v>0</v>
      </c>
      <c r="X11" s="891">
        <f t="shared" si="17"/>
        <v>0</v>
      </c>
      <c r="Y11" s="891">
        <f t="shared" si="18"/>
        <v>0</v>
      </c>
      <c r="Z11" s="891">
        <f t="shared" si="19"/>
        <v>0</v>
      </c>
      <c r="AA11" s="891">
        <f t="shared" si="20"/>
        <v>0</v>
      </c>
      <c r="AB11" s="891">
        <f t="shared" si="5"/>
        <v>0</v>
      </c>
      <c r="AC11" s="896">
        <f>Factors!E12</f>
        <v>1</v>
      </c>
      <c r="AD11" s="893">
        <f t="shared" si="21"/>
        <v>0</v>
      </c>
      <c r="AE11" s="891">
        <f t="shared" si="22"/>
        <v>0</v>
      </c>
      <c r="AF11" s="891">
        <f t="shared" si="23"/>
        <v>0</v>
      </c>
      <c r="AG11" s="891">
        <f t="shared" si="24"/>
        <v>0</v>
      </c>
      <c r="AH11" s="891">
        <f t="shared" si="25"/>
        <v>0</v>
      </c>
      <c r="AI11" s="891">
        <f t="shared" si="26"/>
        <v>0</v>
      </c>
      <c r="AJ11" s="897">
        <f t="shared" si="6"/>
        <v>0</v>
      </c>
      <c r="AK11" s="893">
        <f t="shared" si="27"/>
        <v>0</v>
      </c>
      <c r="AL11" s="891">
        <f t="shared" si="28"/>
        <v>0</v>
      </c>
      <c r="AM11" s="891">
        <f t="shared" si="29"/>
        <v>0</v>
      </c>
      <c r="AN11" s="891">
        <f t="shared" si="30"/>
        <v>0</v>
      </c>
      <c r="AO11" s="891">
        <f t="shared" si="31"/>
        <v>0</v>
      </c>
      <c r="AP11" s="891">
        <f t="shared" si="32"/>
        <v>0</v>
      </c>
      <c r="AQ11" s="898">
        <f t="shared" si="8"/>
        <v>0</v>
      </c>
    </row>
    <row r="12" spans="1:43">
      <c r="A12" s="817"/>
      <c r="B12" s="860" t="s">
        <v>1701</v>
      </c>
      <c r="C12" s="883"/>
      <c r="D12" s="883"/>
      <c r="E12" s="883">
        <f>HLOOKUP($B$2,'Consumption Input'!$E$5:$AQ$82,'Consumption Input'!$B24)</f>
        <v>1181.4423382020925</v>
      </c>
      <c r="F12" s="883"/>
      <c r="G12" s="883"/>
      <c r="H12" s="883"/>
      <c r="I12" s="883">
        <f t="shared" si="2"/>
        <v>1181.4423382020925</v>
      </c>
      <c r="J12" s="961"/>
      <c r="K12" s="940">
        <f>HLOOKUP($B$2,NEUConsumption,'Non-Energy Use'!$C$8)</f>
        <v>11.028963986917233</v>
      </c>
      <c r="L12" s="940"/>
      <c r="M12" s="940"/>
      <c r="N12" s="885">
        <f t="shared" si="9"/>
        <v>0</v>
      </c>
      <c r="O12" s="883">
        <f t="shared" si="10"/>
        <v>0</v>
      </c>
      <c r="P12" s="883">
        <f t="shared" si="11"/>
        <v>1170.4133742151753</v>
      </c>
      <c r="Q12" s="883">
        <f t="shared" si="12"/>
        <v>0</v>
      </c>
      <c r="R12" s="883">
        <f t="shared" si="13"/>
        <v>0</v>
      </c>
      <c r="S12" s="886">
        <f t="shared" si="14"/>
        <v>0</v>
      </c>
      <c r="T12" s="883">
        <f t="shared" si="4"/>
        <v>1170.4133742151753</v>
      </c>
      <c r="U12" s="887">
        <f>HLOOKUP($B$2,Factors!$J$12:$AA$25,Factors!$H15,FALSE)</f>
        <v>25.812379837011846</v>
      </c>
      <c r="V12" s="885">
        <f t="shared" si="15"/>
        <v>0</v>
      </c>
      <c r="W12" s="883">
        <f t="shared" si="16"/>
        <v>0</v>
      </c>
      <c r="X12" s="883">
        <f t="shared" si="17"/>
        <v>30.211154581560791</v>
      </c>
      <c r="Y12" s="883">
        <f t="shared" si="18"/>
        <v>0</v>
      </c>
      <c r="Z12" s="883">
        <f t="shared" si="19"/>
        <v>0</v>
      </c>
      <c r="AA12" s="883">
        <f t="shared" si="20"/>
        <v>0</v>
      </c>
      <c r="AB12" s="883">
        <f t="shared" si="5"/>
        <v>30.211154581560791</v>
      </c>
      <c r="AC12" s="888">
        <f>Factors!E13</f>
        <v>1</v>
      </c>
      <c r="AD12" s="885">
        <f t="shared" si="21"/>
        <v>0</v>
      </c>
      <c r="AE12" s="883">
        <f t="shared" si="22"/>
        <v>0</v>
      </c>
      <c r="AF12" s="883">
        <f t="shared" si="23"/>
        <v>30.211154581560791</v>
      </c>
      <c r="AG12" s="883">
        <f t="shared" si="24"/>
        <v>0</v>
      </c>
      <c r="AH12" s="883">
        <f t="shared" si="25"/>
        <v>0</v>
      </c>
      <c r="AI12" s="883">
        <f t="shared" si="26"/>
        <v>0</v>
      </c>
      <c r="AJ12" s="889">
        <f t="shared" si="6"/>
        <v>30.211154581560791</v>
      </c>
      <c r="AK12" s="885">
        <f t="shared" si="27"/>
        <v>0</v>
      </c>
      <c r="AL12" s="883">
        <f t="shared" si="28"/>
        <v>0</v>
      </c>
      <c r="AM12" s="883">
        <f t="shared" si="29"/>
        <v>110.7742334657229</v>
      </c>
      <c r="AN12" s="883">
        <f t="shared" si="30"/>
        <v>0</v>
      </c>
      <c r="AO12" s="883">
        <f t="shared" si="31"/>
        <v>0</v>
      </c>
      <c r="AP12" s="883">
        <f t="shared" si="32"/>
        <v>0</v>
      </c>
      <c r="AQ12" s="890">
        <f t="shared" si="8"/>
        <v>110.7742334657229</v>
      </c>
    </row>
    <row r="13" spans="1:43" s="244" customFormat="1" hidden="1">
      <c r="A13" s="861"/>
      <c r="B13" s="862" t="s">
        <v>1607</v>
      </c>
      <c r="C13" s="891"/>
      <c r="D13" s="891"/>
      <c r="E13" s="891">
        <f>HLOOKUP($B$2,'Consumption Input'!$E$5:$AQ$82,'Consumption Input'!$B25)</f>
        <v>0</v>
      </c>
      <c r="F13" s="891"/>
      <c r="G13" s="891"/>
      <c r="H13" s="891"/>
      <c r="I13" s="883">
        <f t="shared" si="2"/>
        <v>0</v>
      </c>
      <c r="J13" s="962"/>
      <c r="K13" s="963"/>
      <c r="L13" s="963"/>
      <c r="M13" s="963"/>
      <c r="N13" s="893">
        <f t="shared" si="9"/>
        <v>0</v>
      </c>
      <c r="O13" s="891">
        <f t="shared" si="10"/>
        <v>0</v>
      </c>
      <c r="P13" s="891">
        <f t="shared" si="11"/>
        <v>0</v>
      </c>
      <c r="Q13" s="891">
        <f t="shared" si="12"/>
        <v>0</v>
      </c>
      <c r="R13" s="891">
        <f t="shared" si="13"/>
        <v>0</v>
      </c>
      <c r="S13" s="894">
        <f t="shared" si="14"/>
        <v>0</v>
      </c>
      <c r="T13" s="891">
        <f t="shared" si="4"/>
        <v>0</v>
      </c>
      <c r="U13" s="895">
        <f>Factors!D14</f>
        <v>27.85</v>
      </c>
      <c r="V13" s="893">
        <f t="shared" si="15"/>
        <v>0</v>
      </c>
      <c r="W13" s="891">
        <f t="shared" si="16"/>
        <v>0</v>
      </c>
      <c r="X13" s="891">
        <f t="shared" si="17"/>
        <v>0</v>
      </c>
      <c r="Y13" s="891">
        <f t="shared" si="18"/>
        <v>0</v>
      </c>
      <c r="Z13" s="891">
        <f t="shared" si="19"/>
        <v>0</v>
      </c>
      <c r="AA13" s="891">
        <f t="shared" si="20"/>
        <v>0</v>
      </c>
      <c r="AB13" s="891">
        <f t="shared" si="5"/>
        <v>0</v>
      </c>
      <c r="AC13" s="896">
        <f>Factors!E14</f>
        <v>1</v>
      </c>
      <c r="AD13" s="893">
        <f t="shared" si="21"/>
        <v>0</v>
      </c>
      <c r="AE13" s="891">
        <f t="shared" si="22"/>
        <v>0</v>
      </c>
      <c r="AF13" s="891">
        <f t="shared" si="23"/>
        <v>0</v>
      </c>
      <c r="AG13" s="891">
        <f t="shared" si="24"/>
        <v>0</v>
      </c>
      <c r="AH13" s="891">
        <f t="shared" si="25"/>
        <v>0</v>
      </c>
      <c r="AI13" s="891">
        <f t="shared" si="26"/>
        <v>0</v>
      </c>
      <c r="AJ13" s="897">
        <f t="shared" si="6"/>
        <v>0</v>
      </c>
      <c r="AK13" s="893">
        <f t="shared" si="27"/>
        <v>0</v>
      </c>
      <c r="AL13" s="891">
        <f t="shared" si="28"/>
        <v>0</v>
      </c>
      <c r="AM13" s="891">
        <f t="shared" si="29"/>
        <v>0</v>
      </c>
      <c r="AN13" s="891">
        <f t="shared" si="30"/>
        <v>0</v>
      </c>
      <c r="AO13" s="891">
        <f t="shared" si="31"/>
        <v>0</v>
      </c>
      <c r="AP13" s="891">
        <f t="shared" si="32"/>
        <v>0</v>
      </c>
      <c r="AQ13" s="890">
        <f t="shared" si="8"/>
        <v>0</v>
      </c>
    </row>
    <row r="14" spans="1:43">
      <c r="A14" s="817"/>
      <c r="B14" s="860" t="s">
        <v>1735</v>
      </c>
      <c r="C14" s="883"/>
      <c r="D14" s="883"/>
      <c r="E14" s="883"/>
      <c r="F14" s="883">
        <f>HLOOKUP($B$2,'Consumption Input'!$E$5:$AQ$82,'Consumption Input'!$B48)</f>
        <v>0</v>
      </c>
      <c r="G14" s="883"/>
      <c r="H14" s="883"/>
      <c r="I14" s="883">
        <f t="shared" si="2"/>
        <v>0</v>
      </c>
      <c r="J14" s="961"/>
      <c r="K14" s="940"/>
      <c r="L14" s="940"/>
      <c r="M14" s="940"/>
      <c r="N14" s="885">
        <f t="shared" si="9"/>
        <v>0</v>
      </c>
      <c r="O14" s="883">
        <f t="shared" si="10"/>
        <v>0</v>
      </c>
      <c r="P14" s="883">
        <f t="shared" si="11"/>
        <v>0</v>
      </c>
      <c r="Q14" s="883">
        <f t="shared" si="12"/>
        <v>0</v>
      </c>
      <c r="R14" s="883">
        <f t="shared" si="13"/>
        <v>0</v>
      </c>
      <c r="S14" s="886">
        <f t="shared" si="14"/>
        <v>0</v>
      </c>
      <c r="T14" s="883">
        <f t="shared" si="4"/>
        <v>0</v>
      </c>
      <c r="U14" s="887" t="str">
        <f>Factors!D15</f>
        <v>NC</v>
      </c>
      <c r="V14" s="885">
        <f t="shared" si="15"/>
        <v>0</v>
      </c>
      <c r="W14" s="883">
        <f t="shared" si="16"/>
        <v>0</v>
      </c>
      <c r="X14" s="883">
        <f t="shared" si="17"/>
        <v>0</v>
      </c>
      <c r="Y14" s="883">
        <f t="shared" si="18"/>
        <v>0</v>
      </c>
      <c r="Z14" s="883">
        <f t="shared" si="19"/>
        <v>0</v>
      </c>
      <c r="AA14" s="883">
        <f t="shared" si="20"/>
        <v>0</v>
      </c>
      <c r="AB14" s="883" t="s">
        <v>103</v>
      </c>
      <c r="AC14" s="888" t="str">
        <f>Factors!E15</f>
        <v>NC</v>
      </c>
      <c r="AD14" s="885">
        <f t="shared" si="21"/>
        <v>0</v>
      </c>
      <c r="AE14" s="883">
        <f t="shared" si="22"/>
        <v>0</v>
      </c>
      <c r="AF14" s="883">
        <f t="shared" si="23"/>
        <v>0</v>
      </c>
      <c r="AG14" s="883">
        <f t="shared" si="24"/>
        <v>0</v>
      </c>
      <c r="AH14" s="883">
        <f t="shared" si="25"/>
        <v>0</v>
      </c>
      <c r="AI14" s="883">
        <f t="shared" si="26"/>
        <v>0</v>
      </c>
      <c r="AJ14" s="889">
        <f t="shared" si="6"/>
        <v>0</v>
      </c>
      <c r="AK14" s="885">
        <f t="shared" si="27"/>
        <v>0</v>
      </c>
      <c r="AL14" s="883">
        <f t="shared" si="28"/>
        <v>0</v>
      </c>
      <c r="AM14" s="883">
        <f t="shared" si="29"/>
        <v>0</v>
      </c>
      <c r="AN14" s="883">
        <f t="shared" si="30"/>
        <v>0</v>
      </c>
      <c r="AO14" s="883">
        <f t="shared" si="31"/>
        <v>0</v>
      </c>
      <c r="AP14" s="883">
        <f t="shared" si="32"/>
        <v>0</v>
      </c>
      <c r="AQ14" s="890">
        <f t="shared" si="8"/>
        <v>0</v>
      </c>
    </row>
    <row r="15" spans="1:43">
      <c r="A15" s="817"/>
      <c r="B15" s="860" t="s">
        <v>1736</v>
      </c>
      <c r="C15" s="883"/>
      <c r="D15" s="883"/>
      <c r="E15" s="883"/>
      <c r="F15" s="883"/>
      <c r="G15" s="883">
        <f>HLOOKUP($B$2,'Consumption Input'!$E$5:$AQ$82,'Consumption Input'!$B58)</f>
        <v>20807.722000000002</v>
      </c>
      <c r="H15" s="883"/>
      <c r="I15" s="883">
        <f t="shared" ref="I15:I28" si="33">SUM(C15:H15)</f>
        <v>20807.722000000002</v>
      </c>
      <c r="J15" s="961"/>
      <c r="K15" s="940"/>
      <c r="L15" s="940"/>
      <c r="M15" s="940"/>
      <c r="N15" s="885">
        <f t="shared" si="9"/>
        <v>0</v>
      </c>
      <c r="O15" s="883">
        <f t="shared" si="10"/>
        <v>0</v>
      </c>
      <c r="P15" s="883">
        <f t="shared" si="11"/>
        <v>0</v>
      </c>
      <c r="Q15" s="883">
        <f t="shared" si="12"/>
        <v>0</v>
      </c>
      <c r="R15" s="883">
        <f t="shared" si="13"/>
        <v>20807.722000000002</v>
      </c>
      <c r="S15" s="886">
        <f t="shared" si="14"/>
        <v>0</v>
      </c>
      <c r="T15" s="883">
        <f t="shared" si="4"/>
        <v>20807.722000000002</v>
      </c>
      <c r="U15" s="887">
        <f>HLOOKUP($B$2,Factors!$J$12:$AA$25,Factors!$H16,FALSE)</f>
        <v>26.033819892125507</v>
      </c>
      <c r="V15" s="885">
        <f t="shared" si="15"/>
        <v>0</v>
      </c>
      <c r="W15" s="883">
        <f t="shared" si="16"/>
        <v>0</v>
      </c>
      <c r="X15" s="883">
        <f t="shared" si="17"/>
        <v>0</v>
      </c>
      <c r="Y15" s="883">
        <f t="shared" si="18"/>
        <v>0</v>
      </c>
      <c r="Z15" s="883">
        <f t="shared" si="19"/>
        <v>541.70448691341755</v>
      </c>
      <c r="AA15" s="883">
        <f t="shared" si="20"/>
        <v>0</v>
      </c>
      <c r="AB15" s="883">
        <f t="shared" ref="AB15:AB43" si="34">SUM(V15:AA15)</f>
        <v>541.70448691341755</v>
      </c>
      <c r="AC15" s="888">
        <f>Factors!E16</f>
        <v>1</v>
      </c>
      <c r="AD15" s="885">
        <f t="shared" si="21"/>
        <v>0</v>
      </c>
      <c r="AE15" s="883">
        <f t="shared" si="22"/>
        <v>0</v>
      </c>
      <c r="AF15" s="883">
        <f t="shared" si="23"/>
        <v>0</v>
      </c>
      <c r="AG15" s="883">
        <f t="shared" si="24"/>
        <v>0</v>
      </c>
      <c r="AH15" s="883">
        <f t="shared" si="25"/>
        <v>541.70448691341755</v>
      </c>
      <c r="AI15" s="883">
        <f t="shared" si="26"/>
        <v>0</v>
      </c>
      <c r="AJ15" s="889">
        <f t="shared" si="6"/>
        <v>541.70448691341755</v>
      </c>
      <c r="AK15" s="885">
        <f t="shared" si="27"/>
        <v>0</v>
      </c>
      <c r="AL15" s="883">
        <f t="shared" si="28"/>
        <v>0</v>
      </c>
      <c r="AM15" s="883">
        <f t="shared" si="29"/>
        <v>0</v>
      </c>
      <c r="AN15" s="883">
        <f t="shared" si="30"/>
        <v>0</v>
      </c>
      <c r="AO15" s="883">
        <f t="shared" si="31"/>
        <v>1986.2497853491975</v>
      </c>
      <c r="AP15" s="883">
        <f t="shared" si="32"/>
        <v>0</v>
      </c>
      <c r="AQ15" s="890">
        <f t="shared" ref="AQ15:AQ42" si="35">SUM(AK15:AP15)</f>
        <v>1986.2497853491975</v>
      </c>
    </row>
    <row r="16" spans="1:43">
      <c r="A16" s="817"/>
      <c r="B16" s="860" t="s">
        <v>1737</v>
      </c>
      <c r="C16" s="883"/>
      <c r="D16" s="883"/>
      <c r="E16" s="883"/>
      <c r="F16" s="883"/>
      <c r="G16" s="883"/>
      <c r="H16" s="883">
        <f>HLOOKUP($B$2,'US Territories'!$D$28:$Z$38,'US Territories'!$B29)</f>
        <v>36.910076885308783</v>
      </c>
      <c r="I16" s="883">
        <f t="shared" si="33"/>
        <v>36.910076885308783</v>
      </c>
      <c r="J16" s="961"/>
      <c r="K16" s="940"/>
      <c r="L16" s="940"/>
      <c r="M16" s="940"/>
      <c r="N16" s="885">
        <f t="shared" si="9"/>
        <v>0</v>
      </c>
      <c r="O16" s="883">
        <f t="shared" si="10"/>
        <v>0</v>
      </c>
      <c r="P16" s="883">
        <f t="shared" si="11"/>
        <v>0</v>
      </c>
      <c r="Q16" s="883">
        <f t="shared" si="12"/>
        <v>0</v>
      </c>
      <c r="R16" s="883">
        <f t="shared" si="13"/>
        <v>0</v>
      </c>
      <c r="S16" s="886">
        <f t="shared" si="14"/>
        <v>36.910076885308783</v>
      </c>
      <c r="T16" s="883">
        <f t="shared" si="4"/>
        <v>36.910076885308783</v>
      </c>
      <c r="U16" s="887">
        <f>Factors!D17</f>
        <v>25.14</v>
      </c>
      <c r="V16" s="899">
        <f t="shared" si="15"/>
        <v>0</v>
      </c>
      <c r="W16" s="900">
        <f t="shared" si="16"/>
        <v>0</v>
      </c>
      <c r="X16" s="900">
        <f t="shared" si="17"/>
        <v>0</v>
      </c>
      <c r="Y16" s="900">
        <f t="shared" si="18"/>
        <v>0</v>
      </c>
      <c r="Z16" s="900">
        <f t="shared" si="19"/>
        <v>0</v>
      </c>
      <c r="AA16" s="900">
        <f t="shared" si="20"/>
        <v>0.92791933289666284</v>
      </c>
      <c r="AB16" s="883">
        <f t="shared" si="34"/>
        <v>0.92791933289666284</v>
      </c>
      <c r="AC16" s="888">
        <f>Factors!E17</f>
        <v>1</v>
      </c>
      <c r="AD16" s="899">
        <f t="shared" si="21"/>
        <v>0</v>
      </c>
      <c r="AE16" s="900">
        <f t="shared" si="22"/>
        <v>0</v>
      </c>
      <c r="AF16" s="900">
        <f t="shared" si="23"/>
        <v>0</v>
      </c>
      <c r="AG16" s="900">
        <f t="shared" si="24"/>
        <v>0</v>
      </c>
      <c r="AH16" s="900">
        <f t="shared" si="25"/>
        <v>0</v>
      </c>
      <c r="AI16" s="900">
        <f t="shared" si="26"/>
        <v>0.92791933289666284</v>
      </c>
      <c r="AJ16" s="889">
        <f t="shared" si="6"/>
        <v>0.92791933289666284</v>
      </c>
      <c r="AK16" s="885">
        <f t="shared" si="27"/>
        <v>0</v>
      </c>
      <c r="AL16" s="883">
        <f t="shared" si="28"/>
        <v>0</v>
      </c>
      <c r="AM16" s="883">
        <f t="shared" si="29"/>
        <v>0</v>
      </c>
      <c r="AN16" s="883">
        <f t="shared" si="30"/>
        <v>0</v>
      </c>
      <c r="AO16" s="883">
        <f t="shared" si="31"/>
        <v>0</v>
      </c>
      <c r="AP16" s="883">
        <f t="shared" si="32"/>
        <v>3.4023708872877636</v>
      </c>
      <c r="AQ16" s="890">
        <f t="shared" si="35"/>
        <v>3.4023708872877636</v>
      </c>
    </row>
    <row r="17" spans="1:43">
      <c r="A17" s="817"/>
      <c r="B17" s="863" t="s">
        <v>1439</v>
      </c>
      <c r="C17" s="901">
        <f>HLOOKUP($B$2,'Consumption Input'!$E$5:$AQ$82,'Consumption Input'!$B8)</f>
        <v>4835.4399999999996</v>
      </c>
      <c r="D17" s="901">
        <f>HLOOKUP($B$2,'Consumption Input'!$E$5:$AQ$82,'Consumption Input'!$B14)</f>
        <v>3085.0520000000001</v>
      </c>
      <c r="E17" s="901">
        <f>HLOOKUP($B$2,'Consumption Input'!$E$5:$AQ$82,'Consumption Input'!$B26)</f>
        <v>7738.8395001602103</v>
      </c>
      <c r="F17" s="901">
        <f>HLOOKUP($B$2,'Consumption Input'!$E$5:$AQ$82,'Consumption Input'!$B49)</f>
        <v>663.46199999999999</v>
      </c>
      <c r="G17" s="901">
        <f>HLOOKUP($B$2,'Consumption Input'!$E$5:$AQ$82,'Consumption Input'!$B59)</f>
        <v>7005.2340000000004</v>
      </c>
      <c r="H17" s="944">
        <f>HLOOKUP($B$2,'US Territories'!$D$28:$Z$38,'US Territories'!$B30)</f>
        <v>26.702000000000002</v>
      </c>
      <c r="I17" s="901">
        <f t="shared" si="33"/>
        <v>23354.729500160211</v>
      </c>
      <c r="J17" s="964"/>
      <c r="K17" s="965">
        <f>HLOOKUP($B$2,NEUConsumption,'Non-Energy Use'!$C$9)</f>
        <v>252.64199999999997</v>
      </c>
      <c r="L17" s="965"/>
      <c r="M17" s="965"/>
      <c r="N17" s="904">
        <f t="shared" si="9"/>
        <v>4835.4399999999996</v>
      </c>
      <c r="O17" s="901">
        <f t="shared" si="10"/>
        <v>3085.0520000000001</v>
      </c>
      <c r="P17" s="901">
        <f t="shared" si="11"/>
        <v>7486.1975001602104</v>
      </c>
      <c r="Q17" s="901">
        <f t="shared" si="12"/>
        <v>663.46199999999999</v>
      </c>
      <c r="R17" s="901">
        <f t="shared" si="13"/>
        <v>7005.2340000000004</v>
      </c>
      <c r="S17" s="902">
        <f t="shared" si="14"/>
        <v>26.702000000000002</v>
      </c>
      <c r="T17" s="901">
        <f t="shared" si="4"/>
        <v>23102.087500160211</v>
      </c>
      <c r="U17" s="905">
        <f>HLOOKUP($B$2,Factors!$J$12:$AB$26,Factors!$H26,FALSE)</f>
        <v>14.461854154819864</v>
      </c>
      <c r="V17" s="901">
        <f t="shared" si="15"/>
        <v>69.929428054382157</v>
      </c>
      <c r="W17" s="901">
        <f t="shared" si="16"/>
        <v>44.615572084035335</v>
      </c>
      <c r="X17" s="901">
        <f t="shared" si="17"/>
        <v>108.26429642149402</v>
      </c>
      <c r="Y17" s="901">
        <f t="shared" si="18"/>
        <v>9.5948906812650971</v>
      </c>
      <c r="Z17" s="901">
        <f t="shared" si="19"/>
        <v>101.30867242838539</v>
      </c>
      <c r="AA17" s="901">
        <f t="shared" si="20"/>
        <v>0.38616042964200004</v>
      </c>
      <c r="AB17" s="901">
        <f t="shared" si="34"/>
        <v>334.09902009920404</v>
      </c>
      <c r="AC17" s="906">
        <f>Factors!E19</f>
        <v>1</v>
      </c>
      <c r="AD17" s="904">
        <f t="shared" si="21"/>
        <v>69.929428054382157</v>
      </c>
      <c r="AE17" s="901">
        <f t="shared" si="22"/>
        <v>44.615572084035335</v>
      </c>
      <c r="AF17" s="901">
        <f t="shared" si="23"/>
        <v>108.26429642149402</v>
      </c>
      <c r="AG17" s="901">
        <f t="shared" si="24"/>
        <v>9.5948906812650971</v>
      </c>
      <c r="AH17" s="901">
        <f t="shared" si="25"/>
        <v>101.30867242838539</v>
      </c>
      <c r="AI17" s="901">
        <f t="shared" si="26"/>
        <v>0.38616042964200004</v>
      </c>
      <c r="AJ17" s="901">
        <f t="shared" si="6"/>
        <v>334.09902009920404</v>
      </c>
      <c r="AK17" s="904">
        <f t="shared" si="27"/>
        <v>256.4079028660679</v>
      </c>
      <c r="AL17" s="901">
        <f t="shared" si="28"/>
        <v>163.59043097479622</v>
      </c>
      <c r="AM17" s="901">
        <f t="shared" si="29"/>
        <v>396.96908687881142</v>
      </c>
      <c r="AN17" s="901">
        <f t="shared" si="30"/>
        <v>35.181265831305353</v>
      </c>
      <c r="AO17" s="901">
        <f t="shared" si="31"/>
        <v>371.46513223741312</v>
      </c>
      <c r="AP17" s="901">
        <f t="shared" si="32"/>
        <v>1.415921575354</v>
      </c>
      <c r="AQ17" s="907">
        <f t="shared" si="35"/>
        <v>1225.0297403637483</v>
      </c>
    </row>
    <row r="18" spans="1:43">
      <c r="A18" s="817"/>
      <c r="B18" s="864" t="s">
        <v>1440</v>
      </c>
      <c r="C18" s="908">
        <f t="shared" ref="C18:H18" si="36">SUM(C19:C41)</f>
        <v>1192.6793662373909</v>
      </c>
      <c r="D18" s="908">
        <f t="shared" si="36"/>
        <v>727.89231063383545</v>
      </c>
      <c r="E18" s="908">
        <f t="shared" si="36"/>
        <v>9495.7109848516611</v>
      </c>
      <c r="F18" s="908">
        <f t="shared" si="36"/>
        <v>26931.90231409897</v>
      </c>
      <c r="G18" s="908">
        <f t="shared" si="36"/>
        <v>647.83100000000002</v>
      </c>
      <c r="H18" s="908">
        <f t="shared" si="36"/>
        <v>680.75913144551566</v>
      </c>
      <c r="I18" s="908">
        <f t="shared" si="33"/>
        <v>39676.775107267371</v>
      </c>
      <c r="J18" s="966">
        <f t="shared" ref="J18:S18" si="37">SUM(J19:J41)</f>
        <v>1592.6978844944829</v>
      </c>
      <c r="K18" s="967">
        <f t="shared" si="37"/>
        <v>4884.8292118292075</v>
      </c>
      <c r="L18" s="967">
        <f t="shared" si="37"/>
        <v>152.23099999999999</v>
      </c>
      <c r="M18" s="967">
        <f t="shared" si="37"/>
        <v>110.98064553734055</v>
      </c>
      <c r="N18" s="910">
        <f t="shared" si="37"/>
        <v>1192.6793662373909</v>
      </c>
      <c r="O18" s="908">
        <f t="shared" si="37"/>
        <v>727.89231063383545</v>
      </c>
      <c r="P18" s="908">
        <f t="shared" si="37"/>
        <v>4610.8817730224509</v>
      </c>
      <c r="Q18" s="908">
        <f t="shared" si="37"/>
        <v>25186.973429604488</v>
      </c>
      <c r="R18" s="908">
        <f t="shared" si="37"/>
        <v>647.83100000000002</v>
      </c>
      <c r="S18" s="911">
        <f t="shared" si="37"/>
        <v>569.77848590817507</v>
      </c>
      <c r="T18" s="889">
        <f t="shared" si="4"/>
        <v>32936.03636540634</v>
      </c>
      <c r="U18" s="912" t="s">
        <v>1731</v>
      </c>
      <c r="V18" s="908">
        <f t="shared" ref="V18:AA18" si="38">SUM(V19:V41)</f>
        <v>22.636169088773027</v>
      </c>
      <c r="W18" s="908">
        <f t="shared" si="38"/>
        <v>14.264236121576344</v>
      </c>
      <c r="X18" s="908">
        <f t="shared" si="38"/>
        <v>94.337895636403346</v>
      </c>
      <c r="Y18" s="908">
        <f t="shared" si="38"/>
        <v>497.87897227838215</v>
      </c>
      <c r="Z18" s="908">
        <f t="shared" si="38"/>
        <v>14.444860606562839</v>
      </c>
      <c r="AA18" s="908">
        <f t="shared" si="38"/>
        <v>11.407704989215933</v>
      </c>
      <c r="AB18" s="908">
        <f t="shared" si="34"/>
        <v>654.96983872091369</v>
      </c>
      <c r="AC18" s="913" t="s">
        <v>1731</v>
      </c>
      <c r="AD18" s="910">
        <f>SUM(AD19:AD41)</f>
        <v>22.636169088773027</v>
      </c>
      <c r="AE18" s="908">
        <f t="shared" ref="AE18:AI18" si="39">SUM(AE19:AE41)</f>
        <v>14.264236121576344</v>
      </c>
      <c r="AF18" s="908">
        <f t="shared" si="39"/>
        <v>94.337895636403346</v>
      </c>
      <c r="AG18" s="908">
        <f t="shared" si="39"/>
        <v>497.87897227838215</v>
      </c>
      <c r="AH18" s="908">
        <f t="shared" si="39"/>
        <v>14.444860606562839</v>
      </c>
      <c r="AI18" s="908">
        <f t="shared" si="39"/>
        <v>11.407704989215933</v>
      </c>
      <c r="AJ18" s="908">
        <f t="shared" si="6"/>
        <v>654.96983872091369</v>
      </c>
      <c r="AK18" s="914">
        <f t="shared" si="27"/>
        <v>82.999286658834436</v>
      </c>
      <c r="AL18" s="889">
        <f t="shared" si="28"/>
        <v>52.302199112446594</v>
      </c>
      <c r="AM18" s="889">
        <f t="shared" si="29"/>
        <v>345.90561733347892</v>
      </c>
      <c r="AN18" s="889">
        <f t="shared" si="30"/>
        <v>1825.5562316874011</v>
      </c>
      <c r="AO18" s="889">
        <f t="shared" si="31"/>
        <v>52.964488890730408</v>
      </c>
      <c r="AP18" s="889">
        <f t="shared" si="32"/>
        <v>41.828251627125084</v>
      </c>
      <c r="AQ18" s="915">
        <f t="shared" si="35"/>
        <v>2401.5560753100167</v>
      </c>
    </row>
    <row r="19" spans="1:43">
      <c r="A19" s="817"/>
      <c r="B19" s="860" t="s">
        <v>1608</v>
      </c>
      <c r="C19" s="883"/>
      <c r="D19" s="883"/>
      <c r="E19" s="883">
        <f>HLOOKUP($B$2,'Consumption Input'!$E$5:$AQ$82,'Consumption Input'!$B27)</f>
        <v>1197.039</v>
      </c>
      <c r="F19" s="883"/>
      <c r="G19" s="883"/>
      <c r="H19" s="883"/>
      <c r="I19" s="883">
        <f t="shared" si="33"/>
        <v>1197.039</v>
      </c>
      <c r="J19" s="961"/>
      <c r="K19" s="940">
        <f>HLOOKUP($B$2,NEUConsumption,'Non-Energy Use'!$C$10)</f>
        <v>1197.039</v>
      </c>
      <c r="L19" s="940"/>
      <c r="M19" s="940"/>
      <c r="N19" s="885">
        <f t="shared" ref="N19:N42" si="40">C19</f>
        <v>0</v>
      </c>
      <c r="O19" s="883">
        <f t="shared" ref="O19:O42" si="41">D19</f>
        <v>0</v>
      </c>
      <c r="P19" s="883">
        <f t="shared" ref="P19:P41" si="42">E19-K19</f>
        <v>0</v>
      </c>
      <c r="Q19" s="883">
        <f t="shared" ref="Q19:Q41" si="43">F19-J19-L19</f>
        <v>0</v>
      </c>
      <c r="R19" s="883">
        <f t="shared" ref="R19:R42" si="44">G19</f>
        <v>0</v>
      </c>
      <c r="S19" s="886">
        <f t="shared" ref="S19:S41" si="45">H19-M19</f>
        <v>0</v>
      </c>
      <c r="T19" s="883">
        <f t="shared" si="4"/>
        <v>0</v>
      </c>
      <c r="U19" s="887">
        <f>Factors!D24</f>
        <v>20.55318099621897</v>
      </c>
      <c r="V19" s="885">
        <f t="shared" ref="V19:V41" si="46">N19*$U19*TbtuToQBtu</f>
        <v>0</v>
      </c>
      <c r="W19" s="883">
        <f t="shared" ref="W19:W41" si="47">O19*$U19*TbtuToQBtu</f>
        <v>0</v>
      </c>
      <c r="X19" s="883">
        <f t="shared" ref="X19:X41" si="48">P19*$U19*TbtuToQBtu</f>
        <v>0</v>
      </c>
      <c r="Y19" s="883">
        <f t="shared" ref="Y19:Y41" si="49">Q19*$U19*TbtuToQBtu</f>
        <v>0</v>
      </c>
      <c r="Z19" s="883">
        <f t="shared" ref="Z19:Z41" si="50">R19*$U19*TbtuToQBtu</f>
        <v>0</v>
      </c>
      <c r="AA19" s="883">
        <f t="shared" ref="AA19:AA41" si="51">S19*$U19*TbtuToQBtu</f>
        <v>0</v>
      </c>
      <c r="AB19" s="883">
        <f t="shared" si="34"/>
        <v>0</v>
      </c>
      <c r="AC19" s="888">
        <f>Factors!E24</f>
        <v>1</v>
      </c>
      <c r="AD19" s="885">
        <f t="shared" ref="AD19:AI26" si="52">V19*$AC19</f>
        <v>0</v>
      </c>
      <c r="AE19" s="883">
        <f t="shared" si="52"/>
        <v>0</v>
      </c>
      <c r="AF19" s="883">
        <f t="shared" si="52"/>
        <v>0</v>
      </c>
      <c r="AG19" s="883">
        <f t="shared" si="52"/>
        <v>0</v>
      </c>
      <c r="AH19" s="883">
        <f t="shared" si="52"/>
        <v>0</v>
      </c>
      <c r="AI19" s="883">
        <f t="shared" si="52"/>
        <v>0</v>
      </c>
      <c r="AJ19" s="889">
        <f t="shared" si="6"/>
        <v>0</v>
      </c>
      <c r="AK19" s="885">
        <f t="shared" si="27"/>
        <v>0</v>
      </c>
      <c r="AL19" s="883">
        <f t="shared" si="28"/>
        <v>0</v>
      </c>
      <c r="AM19" s="883">
        <f t="shared" si="29"/>
        <v>0</v>
      </c>
      <c r="AN19" s="883">
        <f t="shared" si="30"/>
        <v>0</v>
      </c>
      <c r="AO19" s="883">
        <f t="shared" si="31"/>
        <v>0</v>
      </c>
      <c r="AP19" s="883">
        <f t="shared" si="32"/>
        <v>0</v>
      </c>
      <c r="AQ19" s="890">
        <f t="shared" si="35"/>
        <v>0</v>
      </c>
    </row>
    <row r="20" spans="1:43">
      <c r="A20" s="817"/>
      <c r="B20" s="860" t="s">
        <v>1622</v>
      </c>
      <c r="C20" s="883"/>
      <c r="D20" s="883"/>
      <c r="E20" s="883"/>
      <c r="F20" s="883">
        <f>HLOOKUP($B$2,'Consumption Input'!$E$5:$AQ$82,'Consumption Input'!$B50)</f>
        <v>31.59</v>
      </c>
      <c r="G20" s="883"/>
      <c r="H20" s="883"/>
      <c r="I20" s="883">
        <f t="shared" si="33"/>
        <v>31.59</v>
      </c>
      <c r="J20" s="961"/>
      <c r="K20" s="940"/>
      <c r="L20" s="940"/>
      <c r="M20" s="940"/>
      <c r="N20" s="885">
        <f t="shared" si="40"/>
        <v>0</v>
      </c>
      <c r="O20" s="883">
        <f t="shared" si="41"/>
        <v>0</v>
      </c>
      <c r="P20" s="883">
        <f t="shared" si="42"/>
        <v>0</v>
      </c>
      <c r="Q20" s="883">
        <f t="shared" si="43"/>
        <v>31.59</v>
      </c>
      <c r="R20" s="883">
        <f t="shared" si="44"/>
        <v>0</v>
      </c>
      <c r="S20" s="886">
        <f t="shared" si="45"/>
        <v>0</v>
      </c>
      <c r="T20" s="883">
        <f t="shared" si="4"/>
        <v>31.59</v>
      </c>
      <c r="U20" s="887">
        <f>Factors!D25</f>
        <v>18.855352254718337</v>
      </c>
      <c r="V20" s="885">
        <f t="shared" si="46"/>
        <v>0</v>
      </c>
      <c r="W20" s="883">
        <f t="shared" si="47"/>
        <v>0</v>
      </c>
      <c r="X20" s="883">
        <f t="shared" si="48"/>
        <v>0</v>
      </c>
      <c r="Y20" s="883">
        <f t="shared" si="49"/>
        <v>0.59564057772655221</v>
      </c>
      <c r="Z20" s="883">
        <f t="shared" si="50"/>
        <v>0</v>
      </c>
      <c r="AA20" s="883">
        <f t="shared" si="51"/>
        <v>0</v>
      </c>
      <c r="AB20" s="883">
        <f t="shared" si="34"/>
        <v>0.59564057772655221</v>
      </c>
      <c r="AC20" s="888">
        <f>Factors!E25</f>
        <v>1</v>
      </c>
      <c r="AD20" s="885">
        <f t="shared" si="52"/>
        <v>0</v>
      </c>
      <c r="AE20" s="883">
        <f t="shared" si="52"/>
        <v>0</v>
      </c>
      <c r="AF20" s="883">
        <f t="shared" si="52"/>
        <v>0</v>
      </c>
      <c r="AG20" s="883">
        <f t="shared" si="52"/>
        <v>0.59564057772655221</v>
      </c>
      <c r="AH20" s="883">
        <f t="shared" si="52"/>
        <v>0</v>
      </c>
      <c r="AI20" s="883">
        <f t="shared" si="52"/>
        <v>0</v>
      </c>
      <c r="AJ20" s="889">
        <f t="shared" si="6"/>
        <v>0.59564057772655221</v>
      </c>
      <c r="AK20" s="885">
        <f t="shared" si="27"/>
        <v>0</v>
      </c>
      <c r="AL20" s="883">
        <f t="shared" si="28"/>
        <v>0</v>
      </c>
      <c r="AM20" s="883">
        <f t="shared" si="29"/>
        <v>0</v>
      </c>
      <c r="AN20" s="883">
        <f t="shared" si="30"/>
        <v>2.1840154516640249</v>
      </c>
      <c r="AO20" s="883">
        <f t="shared" si="31"/>
        <v>0</v>
      </c>
      <c r="AP20" s="883">
        <f t="shared" si="32"/>
        <v>0</v>
      </c>
      <c r="AQ20" s="890">
        <f t="shared" si="35"/>
        <v>2.1840154516640249</v>
      </c>
    </row>
    <row r="21" spans="1:43">
      <c r="A21" s="817"/>
      <c r="B21" s="860" t="s">
        <v>1738</v>
      </c>
      <c r="C21" s="883">
        <f>HLOOKUP($B$2,'Consumption Input'!$E$5:$AQ$82,'Consumption Input'!$B9)</f>
        <v>664.48036623739097</v>
      </c>
      <c r="D21" s="883">
        <f>HLOOKUP($B$2,'Consumption Input'!$E$5:$AQ$82,'Consumption Input'!$B15)</f>
        <v>351.34729659850325</v>
      </c>
      <c r="E21" s="883">
        <f>HLOOKUP($B$2,'Consumption Input'!$E$5:$AQ$82,'Consumption Input'!$B28)</f>
        <v>1145.8559764498209</v>
      </c>
      <c r="F21" s="883">
        <f>HLOOKUP($B$2,'Consumption Input'!$E$5:$AQ$82,'Consumption Input'!$B51)</f>
        <v>6551.0562928571426</v>
      </c>
      <c r="G21" s="883">
        <f>HLOOKUP($B$2,'Consumption Input'!$E$5:$AQ$82,'Consumption Input'!$B60)</f>
        <v>88.65</v>
      </c>
      <c r="H21" s="883">
        <f>HLOOKUP($B$2,'US Territories'!$D$28:$Z$38,'US Territories'!$B31)</f>
        <v>138.20123696635267</v>
      </c>
      <c r="I21" s="883">
        <f t="shared" si="33"/>
        <v>8939.5911691092097</v>
      </c>
      <c r="J21" s="961">
        <f>HLOOKUP($B$2,IBFConsumption,'International Bunker Fuels'!$B$10)</f>
        <v>111.33230301900001</v>
      </c>
      <c r="K21" s="940">
        <f>HLOOKUP($B$2,NEUConsumption,'Non-Energy Use'!$C$20)</f>
        <v>14.5625</v>
      </c>
      <c r="L21" s="940"/>
      <c r="M21" s="940"/>
      <c r="N21" s="885">
        <f t="shared" si="40"/>
        <v>664.48036623739097</v>
      </c>
      <c r="O21" s="883">
        <f t="shared" si="41"/>
        <v>351.34729659850325</v>
      </c>
      <c r="P21" s="883">
        <f t="shared" si="42"/>
        <v>1131.2934764498209</v>
      </c>
      <c r="Q21" s="883">
        <f t="shared" si="43"/>
        <v>6439.7239898381422</v>
      </c>
      <c r="R21" s="883">
        <f t="shared" si="44"/>
        <v>88.65</v>
      </c>
      <c r="S21" s="886">
        <f t="shared" si="45"/>
        <v>138.20123696635267</v>
      </c>
      <c r="T21" s="883">
        <f t="shared" si="4"/>
        <v>8813.6963660902093</v>
      </c>
      <c r="U21" s="887">
        <f>HLOOKUP($B$2,Factors!$J$12:$BE$27,Factors!$H27,FALSE)</f>
        <v>20.25</v>
      </c>
      <c r="V21" s="885">
        <f>N21*$U21*TbtuToQBtu</f>
        <v>13.455727416307168</v>
      </c>
      <c r="W21" s="883">
        <f t="shared" si="47"/>
        <v>7.1147827561196912</v>
      </c>
      <c r="X21" s="883">
        <f t="shared" si="48"/>
        <v>22.908692898108875</v>
      </c>
      <c r="Y21" s="883">
        <f t="shared" si="49"/>
        <v>130.40441079422237</v>
      </c>
      <c r="Z21" s="883">
        <f t="shared" si="50"/>
        <v>1.7951625000000002</v>
      </c>
      <c r="AA21" s="883">
        <f t="shared" si="51"/>
        <v>2.7985750485686416</v>
      </c>
      <c r="AB21" s="883">
        <f t="shared" si="34"/>
        <v>178.47735141332674</v>
      </c>
      <c r="AC21" s="888">
        <f>Factors!E26</f>
        <v>1</v>
      </c>
      <c r="AD21" s="885">
        <f>V21*$AC21</f>
        <v>13.455727416307168</v>
      </c>
      <c r="AE21" s="883">
        <f t="shared" si="52"/>
        <v>7.1147827561196912</v>
      </c>
      <c r="AF21" s="883">
        <f t="shared" si="52"/>
        <v>22.908692898108875</v>
      </c>
      <c r="AG21" s="883">
        <f t="shared" si="52"/>
        <v>130.40441079422237</v>
      </c>
      <c r="AH21" s="883">
        <f t="shared" si="52"/>
        <v>1.7951625000000002</v>
      </c>
      <c r="AI21" s="883">
        <f t="shared" si="52"/>
        <v>2.7985750485686416</v>
      </c>
      <c r="AJ21" s="889">
        <f t="shared" si="6"/>
        <v>178.47735141332674</v>
      </c>
      <c r="AK21" s="885">
        <f t="shared" si="27"/>
        <v>49.337667193126279</v>
      </c>
      <c r="AL21" s="883">
        <f t="shared" si="28"/>
        <v>26.087536772438867</v>
      </c>
      <c r="AM21" s="883">
        <f t="shared" si="29"/>
        <v>83.998540626399205</v>
      </c>
      <c r="AN21" s="883">
        <f t="shared" si="30"/>
        <v>478.14950624548203</v>
      </c>
      <c r="AO21" s="883">
        <f t="shared" si="31"/>
        <v>6.5822625000000006</v>
      </c>
      <c r="AP21" s="883">
        <f t="shared" si="32"/>
        <v>10.261441844751685</v>
      </c>
      <c r="AQ21" s="890">
        <f t="shared" si="35"/>
        <v>654.41695518219797</v>
      </c>
    </row>
    <row r="22" spans="1:43">
      <c r="A22" s="817"/>
      <c r="B22" s="860" t="s">
        <v>1623</v>
      </c>
      <c r="C22" s="883"/>
      <c r="D22" s="883"/>
      <c r="E22" s="883"/>
      <c r="F22" s="883">
        <f>HLOOKUP($B$2,'Consumption Input'!$E$5:$AQ$82,'Consumption Input'!$B52)</f>
        <v>3357.6089999999999</v>
      </c>
      <c r="G22" s="883"/>
      <c r="H22" s="883">
        <f>HLOOKUP($B$2,'US Territories'!$D$28:$Z$38,'US Territories'!$B32)</f>
        <v>68.733527738396688</v>
      </c>
      <c r="I22" s="883">
        <f t="shared" si="33"/>
        <v>3426.3425277383967</v>
      </c>
      <c r="J22" s="961">
        <f>HLOOKUP($B$2,IBFConsumption,'International Bunker Fuels'!$B$8)</f>
        <v>873.82720853348292</v>
      </c>
      <c r="K22" s="940"/>
      <c r="L22" s="940"/>
      <c r="M22" s="940"/>
      <c r="N22" s="885">
        <f t="shared" si="40"/>
        <v>0</v>
      </c>
      <c r="O22" s="883">
        <f t="shared" si="41"/>
        <v>0</v>
      </c>
      <c r="P22" s="883">
        <f t="shared" si="42"/>
        <v>0</v>
      </c>
      <c r="Q22" s="883">
        <f t="shared" si="43"/>
        <v>2483.781791466517</v>
      </c>
      <c r="R22" s="883">
        <f t="shared" si="44"/>
        <v>0</v>
      </c>
      <c r="S22" s="886">
        <f t="shared" si="45"/>
        <v>68.733527738396688</v>
      </c>
      <c r="T22" s="883">
        <f t="shared" si="4"/>
        <v>2552.5153192049138</v>
      </c>
      <c r="U22" s="887">
        <f>HLOOKUP($B$2,Factors!$J$12:$AA$25,Factors!$H21,FALSE)</f>
        <v>19.696969696969692</v>
      </c>
      <c r="V22" s="885">
        <f t="shared" si="46"/>
        <v>0</v>
      </c>
      <c r="W22" s="883">
        <f t="shared" si="47"/>
        <v>0</v>
      </c>
      <c r="X22" s="883">
        <f t="shared" si="48"/>
        <v>0</v>
      </c>
      <c r="Y22" s="883">
        <f t="shared" si="49"/>
        <v>48.922974680401083</v>
      </c>
      <c r="Z22" s="883">
        <f t="shared" si="50"/>
        <v>0</v>
      </c>
      <c r="AA22" s="883">
        <f t="shared" si="51"/>
        <v>1.3538422130290253</v>
      </c>
      <c r="AB22" s="883">
        <f t="shared" si="34"/>
        <v>50.276816893430109</v>
      </c>
      <c r="AC22" s="888">
        <f>Factors!E27</f>
        <v>1</v>
      </c>
      <c r="AD22" s="885">
        <f t="shared" si="52"/>
        <v>0</v>
      </c>
      <c r="AE22" s="883">
        <f t="shared" si="52"/>
        <v>0</v>
      </c>
      <c r="AF22" s="883">
        <f t="shared" si="52"/>
        <v>0</v>
      </c>
      <c r="AG22" s="883">
        <f t="shared" si="52"/>
        <v>48.922974680401083</v>
      </c>
      <c r="AH22" s="883">
        <f t="shared" si="52"/>
        <v>0</v>
      </c>
      <c r="AI22" s="883">
        <f t="shared" si="52"/>
        <v>1.3538422130290253</v>
      </c>
      <c r="AJ22" s="889">
        <f t="shared" si="6"/>
        <v>50.276816893430109</v>
      </c>
      <c r="AK22" s="885">
        <f t="shared" si="27"/>
        <v>0</v>
      </c>
      <c r="AL22" s="883">
        <f t="shared" si="28"/>
        <v>0</v>
      </c>
      <c r="AM22" s="883">
        <f t="shared" si="29"/>
        <v>0</v>
      </c>
      <c r="AN22" s="883">
        <f t="shared" si="30"/>
        <v>179.38424049480398</v>
      </c>
      <c r="AO22" s="883">
        <f t="shared" si="31"/>
        <v>0</v>
      </c>
      <c r="AP22" s="883">
        <f t="shared" si="32"/>
        <v>4.9640881144397593</v>
      </c>
      <c r="AQ22" s="890">
        <f t="shared" si="35"/>
        <v>184.34832860924374</v>
      </c>
    </row>
    <row r="23" spans="1:43">
      <c r="A23" s="817"/>
      <c r="B23" s="860" t="s">
        <v>1599</v>
      </c>
      <c r="C23" s="883">
        <f>HLOOKUP($B$2,'Consumption Input'!$E$5:$AQ$82,'Consumption Input'!$B10)</f>
        <v>43.917999999999999</v>
      </c>
      <c r="D23" s="883">
        <f>HLOOKUP($B$2,'Consumption Input'!$E$5:$AQ$82,'Consumption Input'!$B16)</f>
        <v>9.1750000000000007</v>
      </c>
      <c r="E23" s="883">
        <f>HLOOKUP($B$2,'Consumption Input'!$E$5:$AQ$82,'Consumption Input'!$B29)</f>
        <v>13.421999999999999</v>
      </c>
      <c r="F23" s="883"/>
      <c r="G23" s="883"/>
      <c r="H23" s="883">
        <f>HLOOKUP($B$2,'US Territories'!$D$28:$Z$38,'US Territories'!$B33)</f>
        <v>10.097555249897258</v>
      </c>
      <c r="I23" s="883">
        <f t="shared" si="33"/>
        <v>76.612555249897255</v>
      </c>
      <c r="J23" s="961"/>
      <c r="K23" s="940"/>
      <c r="L23" s="940"/>
      <c r="M23" s="940"/>
      <c r="N23" s="885">
        <f t="shared" si="40"/>
        <v>43.917999999999999</v>
      </c>
      <c r="O23" s="883">
        <f t="shared" si="41"/>
        <v>9.1750000000000007</v>
      </c>
      <c r="P23" s="883">
        <f t="shared" si="42"/>
        <v>13.421999999999999</v>
      </c>
      <c r="Q23" s="883">
        <f t="shared" si="43"/>
        <v>0</v>
      </c>
      <c r="R23" s="883">
        <f t="shared" si="44"/>
        <v>0</v>
      </c>
      <c r="S23" s="886">
        <f t="shared" si="45"/>
        <v>10.097555249897258</v>
      </c>
      <c r="T23" s="883">
        <f t="shared" si="4"/>
        <v>76.612555249897255</v>
      </c>
      <c r="U23" s="887">
        <f>Factors!D28</f>
        <v>19.964104564962931</v>
      </c>
      <c r="V23" s="885">
        <f>N23*$U23*TbtuToQBtu</f>
        <v>0.87678354428404204</v>
      </c>
      <c r="W23" s="883">
        <f t="shared" si="47"/>
        <v>0.18317065938353491</v>
      </c>
      <c r="X23" s="883">
        <f t="shared" si="48"/>
        <v>0.26795821147093246</v>
      </c>
      <c r="Y23" s="883">
        <f t="shared" si="49"/>
        <v>0</v>
      </c>
      <c r="Z23" s="883">
        <f t="shared" si="50"/>
        <v>0</v>
      </c>
      <c r="AA23" s="883">
        <f t="shared" si="51"/>
        <v>0.20158864885943925</v>
      </c>
      <c r="AB23" s="883">
        <f t="shared" si="34"/>
        <v>1.5295010639979485</v>
      </c>
      <c r="AC23" s="888">
        <f>Factors!E28</f>
        <v>1</v>
      </c>
      <c r="AD23" s="885">
        <f t="shared" si="52"/>
        <v>0.87678354428404204</v>
      </c>
      <c r="AE23" s="883">
        <f t="shared" si="52"/>
        <v>0.18317065938353491</v>
      </c>
      <c r="AF23" s="883">
        <f t="shared" si="52"/>
        <v>0.26795821147093246</v>
      </c>
      <c r="AG23" s="883">
        <f t="shared" si="52"/>
        <v>0</v>
      </c>
      <c r="AH23" s="883">
        <f t="shared" si="52"/>
        <v>0</v>
      </c>
      <c r="AI23" s="883">
        <f t="shared" si="52"/>
        <v>0.20158864885943925</v>
      </c>
      <c r="AJ23" s="889">
        <f t="shared" si="6"/>
        <v>1.5295010639979485</v>
      </c>
      <c r="AK23" s="885">
        <f t="shared" si="27"/>
        <v>3.2148729957081539</v>
      </c>
      <c r="AL23" s="883">
        <f t="shared" si="28"/>
        <v>0.6716257510729613</v>
      </c>
      <c r="AM23" s="883">
        <f t="shared" si="29"/>
        <v>0.98251344206008562</v>
      </c>
      <c r="AN23" s="883">
        <f t="shared" si="30"/>
        <v>0</v>
      </c>
      <c r="AO23" s="883">
        <f t="shared" si="31"/>
        <v>0</v>
      </c>
      <c r="AP23" s="883">
        <f t="shared" si="32"/>
        <v>0.73915837915127725</v>
      </c>
      <c r="AQ23" s="890">
        <f t="shared" si="35"/>
        <v>5.6081705679924783</v>
      </c>
    </row>
    <row r="24" spans="1:43">
      <c r="A24" s="817"/>
      <c r="B24" s="860" t="s">
        <v>1600</v>
      </c>
      <c r="C24" s="883">
        <f>HLOOKUP($B$2,'Consumption Input'!$E$5:$AQ$82,'Consumption Input'!$B11)</f>
        <v>484.28100000000001</v>
      </c>
      <c r="D24" s="883">
        <f>HLOOKUP($B$2,'Consumption Input'!$E$5:$AQ$82,'Consumption Input'!$B17)</f>
        <v>121.57299999999998</v>
      </c>
      <c r="E24"/>
      <c r="F24" s="883">
        <f>HLOOKUP($B$2,'Consumption Input'!$E$5:$AQ$82,'Consumption Input'!$B53)</f>
        <v>21.972999999999999</v>
      </c>
      <c r="G24" s="883"/>
      <c r="H24"/>
      <c r="I24" s="883">
        <f>SUM(C24:H24)</f>
        <v>627.827</v>
      </c>
      <c r="J24" s="884"/>
      <c r="K24"/>
      <c r="L24" s="883"/>
      <c r="M24" s="883"/>
      <c r="N24" s="885">
        <f>C24</f>
        <v>484.28100000000001</v>
      </c>
      <c r="O24" s="883">
        <f t="shared" si="41"/>
        <v>121.57299999999998</v>
      </c>
      <c r="P24"/>
      <c r="Q24" s="883">
        <f t="shared" si="43"/>
        <v>21.972999999999999</v>
      </c>
      <c r="R24" s="883">
        <f t="shared" si="44"/>
        <v>0</v>
      </c>
      <c r="S24" s="1007"/>
      <c r="T24" s="883">
        <f t="shared" si="4"/>
        <v>627.827</v>
      </c>
      <c r="U24" s="1005">
        <f>HLOOKUP($B$2,Factors!$J$12:$BE$25,Factors!$H17,FALSE)</f>
        <v>17.146363636363635</v>
      </c>
      <c r="V24" s="885">
        <f>N24*$U24*TbtuToQBtu</f>
        <v>8.3036581281818176</v>
      </c>
      <c r="W24" s="883">
        <f>O24*$U24*TbtuToQBtu</f>
        <v>2.0845348663636361</v>
      </c>
      <c r="X24"/>
      <c r="Y24" s="883">
        <f>Q24*$U24*TbtuToQBtu</f>
        <v>0.3767570481818181</v>
      </c>
      <c r="Z24" s="883">
        <f t="shared" ref="Z24" si="53">R24*$U24*TbtuToQBtu</f>
        <v>0</v>
      </c>
      <c r="AA24"/>
      <c r="AB24" s="883">
        <f>SUM(V24:AA24)</f>
        <v>10.764950042727271</v>
      </c>
      <c r="AC24" s="888">
        <f>Factors!E30</f>
        <v>1</v>
      </c>
      <c r="AD24" s="885">
        <f>V24*$AC24</f>
        <v>8.3036581281818176</v>
      </c>
      <c r="AE24" s="883">
        <f t="shared" si="52"/>
        <v>2.0845348663636361</v>
      </c>
      <c r="AF24"/>
      <c r="AG24" s="883">
        <f t="shared" si="52"/>
        <v>0.3767570481818181</v>
      </c>
      <c r="AH24" s="883">
        <f t="shared" si="52"/>
        <v>0</v>
      </c>
      <c r="AI24"/>
      <c r="AJ24" s="889">
        <f t="shared" si="6"/>
        <v>10.764950042727271</v>
      </c>
      <c r="AK24" s="885">
        <f>AD24*CtoCO2</f>
        <v>30.446746469999997</v>
      </c>
      <c r="AL24" s="883">
        <f t="shared" ref="AL24" si="54">AE24*CtoCO2</f>
        <v>7.6432945099999987</v>
      </c>
      <c r="AN24" s="883">
        <f t="shared" ref="AN24" si="55">AG24*CtoCO2</f>
        <v>1.3814425099999996</v>
      </c>
      <c r="AO24" s="883">
        <f t="shared" ref="AO24" si="56">AH24*CtoCO2</f>
        <v>0</v>
      </c>
      <c r="AQ24" s="890">
        <f t="shared" si="35"/>
        <v>39.471483489999997</v>
      </c>
    </row>
    <row r="25" spans="1:43">
      <c r="A25" s="817"/>
      <c r="B25" s="860" t="s">
        <v>1609</v>
      </c>
      <c r="C25" s="883"/>
      <c r="D25" s="883"/>
      <c r="E25" s="883">
        <f>HLOOKUP($B$2,'Consumption Input'!$E$5:$AQ$82,'Consumption Input'!$B30)</f>
        <v>2026.8967288409997</v>
      </c>
      <c r="F25" s="883"/>
      <c r="G25" s="883"/>
      <c r="H25" s="883">
        <f>HLOOKUP($B$2,'US Territories'!$D$28:$AO$38,'US Territories'!$B34)</f>
        <v>11.762319413866441</v>
      </c>
      <c r="I25" s="883">
        <f>SUM(C25:H25)</f>
        <v>2038.6590482548661</v>
      </c>
      <c r="J25" s="884"/>
      <c r="K25" s="883">
        <f>HLOOKUP($B$2,NEUConsumption,'Non-Energy Use'!$C$11)</f>
        <v>1726.7322472178485</v>
      </c>
      <c r="L25" s="883"/>
      <c r="M25" s="883"/>
      <c r="N25" s="885"/>
      <c r="O25" s="883"/>
      <c r="P25" s="883">
        <f>E25-K25</f>
        <v>300.16448162315123</v>
      </c>
      <c r="Q25" s="883"/>
      <c r="R25" s="883"/>
      <c r="S25" s="886">
        <f>H25-M25</f>
        <v>11.762319413866441</v>
      </c>
      <c r="T25" s="883">
        <f t="shared" si="4"/>
        <v>311.9268010370177</v>
      </c>
      <c r="U25" s="1005">
        <f>HLOOKUP($B$2,Factors!$J$12:$BE$25,Factors!$H18,FALSE)</f>
        <v>17.545496543859304</v>
      </c>
      <c r="V25" s="885"/>
      <c r="W25" s="883"/>
      <c r="X25" s="883">
        <f>P25*$U25*TbtuToQBtu</f>
        <v>5.2665348749083201</v>
      </c>
      <c r="Y25" s="883"/>
      <c r="Z25" s="883"/>
      <c r="AA25" s="883">
        <f>S25*$U25*TbtuToQBtu</f>
        <v>0.20637573462376285</v>
      </c>
      <c r="AB25" s="883">
        <f>SUM(V25:AA25)</f>
        <v>5.4729106095320832</v>
      </c>
      <c r="AC25" s="888">
        <f>Factors!E31</f>
        <v>1</v>
      </c>
      <c r="AD25" s="885"/>
      <c r="AE25" s="883"/>
      <c r="AF25" s="883">
        <f>X25*$AC25</f>
        <v>5.2665348749083201</v>
      </c>
      <c r="AG25" s="883"/>
      <c r="AH25" s="883"/>
      <c r="AI25" s="883">
        <f>AA25*$AC25</f>
        <v>0.20637573462376285</v>
      </c>
      <c r="AJ25" s="889">
        <f t="shared" si="6"/>
        <v>5.4729106095320832</v>
      </c>
      <c r="AK25" s="885"/>
      <c r="AL25" s="883"/>
      <c r="AM25" s="883">
        <f>AF25*CtoCO2</f>
        <v>19.31062787466384</v>
      </c>
      <c r="AN25" s="883"/>
      <c r="AO25" s="883"/>
      <c r="AP25" s="883">
        <f>AI25*CtoCO2</f>
        <v>0.75671102695379711</v>
      </c>
      <c r="AQ25" s="890">
        <f t="shared" si="35"/>
        <v>20.067338901617639</v>
      </c>
    </row>
    <row r="26" spans="1:43">
      <c r="A26" s="817"/>
      <c r="B26" s="860" t="s">
        <v>1610</v>
      </c>
      <c r="C26" s="883"/>
      <c r="D26" s="883"/>
      <c r="E26" s="883">
        <f>HLOOKUP($B$2,'Consumption Input'!$E$5:$AQ$82,'Consumption Input'!$B31)</f>
        <v>161.17699999999999</v>
      </c>
      <c r="F26" s="883">
        <f>HLOOKUP($B$2,'Consumption Input'!$E$5:$AQ$82,'Consumption Input'!$B54)</f>
        <v>152.23099999999999</v>
      </c>
      <c r="G26" s="883"/>
      <c r="H26" s="883">
        <f>HLOOKUP($B$2,'US Territories'!$D$28:$Z$38,'US Territories'!$B35)</f>
        <v>5.9368640874089742</v>
      </c>
      <c r="I26" s="883">
        <f t="shared" si="33"/>
        <v>319.34486408740901</v>
      </c>
      <c r="J26" s="961"/>
      <c r="K26" s="940">
        <f>HLOOKUP($B$2,NEUConsumption,'Non-Energy Use'!$C$12)</f>
        <v>161.17699999999999</v>
      </c>
      <c r="L26" s="940">
        <f>HLOOKUP($B$2,NEUConsumption,'Non-Energy Use'!$C$24)</f>
        <v>152.23099999999999</v>
      </c>
      <c r="M26" s="940">
        <f>HLOOKUP($B$2,NEUConsumption,'Non-Energy Use'!$C$26)</f>
        <v>5.9368640874089742</v>
      </c>
      <c r="N26" s="885">
        <f t="shared" si="40"/>
        <v>0</v>
      </c>
      <c r="O26" s="883">
        <f t="shared" si="41"/>
        <v>0</v>
      </c>
      <c r="P26" s="883">
        <f t="shared" si="42"/>
        <v>0</v>
      </c>
      <c r="Q26" s="883">
        <f t="shared" si="43"/>
        <v>0</v>
      </c>
      <c r="R26" s="883">
        <f t="shared" si="44"/>
        <v>0</v>
      </c>
      <c r="S26" s="886">
        <f t="shared" si="45"/>
        <v>0</v>
      </c>
      <c r="T26" s="883">
        <f t="shared" si="4"/>
        <v>0</v>
      </c>
      <c r="U26" s="887">
        <f>Factors!D33</f>
        <v>20.199355467286214</v>
      </c>
      <c r="V26" s="885">
        <f t="shared" si="46"/>
        <v>0</v>
      </c>
      <c r="W26" s="883">
        <f t="shared" si="47"/>
        <v>0</v>
      </c>
      <c r="X26" s="883">
        <f t="shared" si="48"/>
        <v>0</v>
      </c>
      <c r="Y26" s="883">
        <f t="shared" si="49"/>
        <v>0</v>
      </c>
      <c r="Z26" s="883">
        <f t="shared" si="50"/>
        <v>0</v>
      </c>
      <c r="AA26" s="883">
        <f t="shared" si="51"/>
        <v>0</v>
      </c>
      <c r="AB26" s="883">
        <f t="shared" si="34"/>
        <v>0</v>
      </c>
      <c r="AC26" s="888">
        <f>Factors!E33</f>
        <v>1</v>
      </c>
      <c r="AD26" s="885">
        <f t="shared" si="52"/>
        <v>0</v>
      </c>
      <c r="AE26" s="883">
        <f t="shared" si="52"/>
        <v>0</v>
      </c>
      <c r="AF26" s="883">
        <f t="shared" si="52"/>
        <v>0</v>
      </c>
      <c r="AG26" s="883">
        <f t="shared" si="52"/>
        <v>0</v>
      </c>
      <c r="AH26" s="883">
        <f t="shared" si="52"/>
        <v>0</v>
      </c>
      <c r="AI26" s="883">
        <f t="shared" si="52"/>
        <v>0</v>
      </c>
      <c r="AJ26" s="889">
        <f t="shared" si="6"/>
        <v>0</v>
      </c>
      <c r="AK26" s="885">
        <f t="shared" si="27"/>
        <v>0</v>
      </c>
      <c r="AL26" s="883">
        <f t="shared" si="28"/>
        <v>0</v>
      </c>
      <c r="AM26" s="883">
        <f t="shared" si="29"/>
        <v>0</v>
      </c>
      <c r="AN26" s="883">
        <f t="shared" si="30"/>
        <v>0</v>
      </c>
      <c r="AO26" s="883">
        <f t="shared" si="31"/>
        <v>0</v>
      </c>
      <c r="AP26" s="883">
        <f t="shared" si="32"/>
        <v>0</v>
      </c>
      <c r="AQ26" s="890">
        <f t="shared" si="35"/>
        <v>0</v>
      </c>
    </row>
    <row r="27" spans="1:43">
      <c r="A27" s="817"/>
      <c r="B27" s="860" t="s">
        <v>1601</v>
      </c>
      <c r="C27" s="883"/>
      <c r="D27" s="883">
        <f>HLOOKUP($B$2,'Consumption Input'!$E$5:$AQ$82,'Consumption Input'!$B18)</f>
        <v>170.05901403533215</v>
      </c>
      <c r="E27" s="883">
        <f>HLOOKUP($B$2,'Consumption Input'!$E$5:$AQ$82,'Consumption Input'!$B32)</f>
        <v>850.69234786283857</v>
      </c>
      <c r="F27" s="883">
        <f>HLOOKUP($B$2,'Consumption Input'!$E$5:$AQ$82,'Consumption Input'!$B55)</f>
        <v>15823.800021241826</v>
      </c>
      <c r="G27" s="883"/>
      <c r="H27" s="883">
        <f>HLOOKUP($B$2,'US Territories'!$D$28:$Z$38,'US Territories'!$B36)</f>
        <v>149.47893735957734</v>
      </c>
      <c r="I27" s="883">
        <f t="shared" si="33"/>
        <v>16994.030320499576</v>
      </c>
      <c r="J27" s="961"/>
      <c r="K27" s="940"/>
      <c r="L27" s="940"/>
      <c r="M27" s="940"/>
      <c r="N27" s="885">
        <f t="shared" si="40"/>
        <v>0</v>
      </c>
      <c r="O27" s="883">
        <f t="shared" si="41"/>
        <v>170.05901403533215</v>
      </c>
      <c r="P27" s="883">
        <f t="shared" si="42"/>
        <v>850.69234786283857</v>
      </c>
      <c r="Q27" s="883">
        <f t="shared" si="43"/>
        <v>15823.800021241826</v>
      </c>
      <c r="R27" s="883">
        <f t="shared" si="44"/>
        <v>0</v>
      </c>
      <c r="S27" s="886">
        <f t="shared" si="45"/>
        <v>149.47893735957734</v>
      </c>
      <c r="T27" s="883">
        <f t="shared" si="4"/>
        <v>16994.030320499576</v>
      </c>
      <c r="U27" s="887">
        <f>HLOOKUP($B$2,Factors!$J$12:$AA$25,Factors!$H20,FALSE)</f>
        <v>19.57</v>
      </c>
      <c r="V27" s="885">
        <f t="shared" si="46"/>
        <v>0</v>
      </c>
      <c r="W27" s="883">
        <f t="shared" si="47"/>
        <v>3.3280549046714505</v>
      </c>
      <c r="X27" s="883">
        <f t="shared" si="48"/>
        <v>16.64804924767575</v>
      </c>
      <c r="Y27" s="883">
        <f t="shared" si="49"/>
        <v>309.67176641570251</v>
      </c>
      <c r="Z27" s="883">
        <f t="shared" si="50"/>
        <v>0</v>
      </c>
      <c r="AA27" s="883">
        <f t="shared" si="51"/>
        <v>2.9253028041269284</v>
      </c>
      <c r="AB27" s="883">
        <f t="shared" si="34"/>
        <v>332.57317337217665</v>
      </c>
      <c r="AC27" s="888">
        <f>Factors!E34</f>
        <v>1</v>
      </c>
      <c r="AD27" s="885">
        <f t="shared" ref="AD27:AD42" si="57">V27*$AC27</f>
        <v>0</v>
      </c>
      <c r="AE27" s="883">
        <f t="shared" ref="AE27:AE42" si="58">W27*$AC27</f>
        <v>3.3280549046714505</v>
      </c>
      <c r="AF27" s="883">
        <f t="shared" ref="AF27:AF42" si="59">X27*$AC27</f>
        <v>16.64804924767575</v>
      </c>
      <c r="AG27" s="883">
        <f>Y27*$AC44</f>
        <v>309.67176641570251</v>
      </c>
      <c r="AH27" s="883">
        <f t="shared" ref="AH27:AH42" si="60">Z27*$AC27</f>
        <v>0</v>
      </c>
      <c r="AI27" s="883">
        <f t="shared" ref="AI27:AI42" si="61">AA27*$AC27</f>
        <v>2.9253028041269284</v>
      </c>
      <c r="AJ27" s="889">
        <f t="shared" si="6"/>
        <v>332.57317337217665</v>
      </c>
      <c r="AK27" s="885">
        <f t="shared" si="27"/>
        <v>0</v>
      </c>
      <c r="AL27" s="883">
        <f t="shared" si="28"/>
        <v>12.202867983795318</v>
      </c>
      <c r="AM27" s="883">
        <f t="shared" si="29"/>
        <v>61.042847241477752</v>
      </c>
      <c r="AN27" s="883">
        <f t="shared" si="30"/>
        <v>1135.4631435242425</v>
      </c>
      <c r="AO27" s="883">
        <f t="shared" si="31"/>
        <v>0</v>
      </c>
      <c r="AP27" s="883">
        <f t="shared" si="32"/>
        <v>10.726110281798737</v>
      </c>
      <c r="AQ27" s="890">
        <f t="shared" si="35"/>
        <v>1219.4349690313143</v>
      </c>
    </row>
    <row r="28" spans="1:43">
      <c r="A28" s="817"/>
      <c r="B28" s="860" t="s">
        <v>1602</v>
      </c>
      <c r="C28" s="883"/>
      <c r="D28" s="883">
        <f>HLOOKUP($B$2,'Consumption Input'!$E$5:$AQ$82,'Consumption Input'!$B19)</f>
        <v>75.388000000000005</v>
      </c>
      <c r="E28" s="883">
        <f>HLOOKUP($B$2,'Consumption Input'!$E$5:$AQ$82,'Consumption Input'!$B33)</f>
        <v>122.51024999999997</v>
      </c>
      <c r="F28" s="883">
        <f>HLOOKUP($B$2,'Consumption Input'!$E$5:$AQ$82,'Consumption Input'!$B56)</f>
        <v>993.64300000000003</v>
      </c>
      <c r="G28" s="883">
        <f>HLOOKUP($B$2,'Consumption Input'!$E$5:$AQ$82,'Consumption Input'!$B61)</f>
        <v>396.62400000000002</v>
      </c>
      <c r="H28" s="883">
        <f>HLOOKUP($B$2,'US Territories'!$D$28:$Z$38,'US Territories'!$B37)</f>
        <v>191.50490918008475</v>
      </c>
      <c r="I28" s="883">
        <f t="shared" si="33"/>
        <v>1779.6701591800847</v>
      </c>
      <c r="J28" s="961">
        <f>HLOOKUP($B$2,IBFConsumption,'International Bunker Fuels'!$B$9)</f>
        <v>607.53837294199991</v>
      </c>
      <c r="K28" s="940"/>
      <c r="L28" s="940"/>
      <c r="M28" s="940"/>
      <c r="N28" s="885">
        <f t="shared" si="40"/>
        <v>0</v>
      </c>
      <c r="O28" s="883">
        <f t="shared" si="41"/>
        <v>75.388000000000005</v>
      </c>
      <c r="P28" s="883">
        <f t="shared" si="42"/>
        <v>122.51024999999997</v>
      </c>
      <c r="Q28" s="883">
        <f t="shared" si="43"/>
        <v>386.10462705800012</v>
      </c>
      <c r="R28" s="883">
        <f t="shared" si="44"/>
        <v>396.62400000000002</v>
      </c>
      <c r="S28" s="886">
        <f t="shared" si="45"/>
        <v>191.50490918008475</v>
      </c>
      <c r="T28" s="883">
        <f t="shared" si="4"/>
        <v>1172.1317862380849</v>
      </c>
      <c r="U28" s="887">
        <f>Factors!D36</f>
        <v>20.48</v>
      </c>
      <c r="V28" s="885">
        <f t="shared" si="46"/>
        <v>0</v>
      </c>
      <c r="W28" s="883">
        <f t="shared" si="47"/>
        <v>1.5439462400000004</v>
      </c>
      <c r="X28" s="883">
        <f t="shared" si="48"/>
        <v>2.5090099199999996</v>
      </c>
      <c r="Y28" s="883">
        <f t="shared" si="49"/>
        <v>7.907422762147843</v>
      </c>
      <c r="Z28" s="883">
        <f t="shared" si="50"/>
        <v>8.1228595200000004</v>
      </c>
      <c r="AA28" s="883">
        <f t="shared" si="51"/>
        <v>3.9220205400081358</v>
      </c>
      <c r="AB28" s="883">
        <f t="shared" si="34"/>
        <v>24.005258982155979</v>
      </c>
      <c r="AC28" s="888">
        <f>Factors!E36</f>
        <v>1</v>
      </c>
      <c r="AD28" s="885">
        <f t="shared" si="57"/>
        <v>0</v>
      </c>
      <c r="AE28" s="883">
        <f t="shared" si="58"/>
        <v>1.5439462400000004</v>
      </c>
      <c r="AF28" s="883">
        <f t="shared" si="59"/>
        <v>2.5090099199999996</v>
      </c>
      <c r="AG28" s="883">
        <f t="shared" ref="AG28:AG42" si="62">Y28*$AC28</f>
        <v>7.907422762147843</v>
      </c>
      <c r="AH28" s="883">
        <f t="shared" si="60"/>
        <v>8.1228595200000004</v>
      </c>
      <c r="AI28" s="883">
        <f t="shared" si="61"/>
        <v>3.9220205400081358</v>
      </c>
      <c r="AJ28" s="889">
        <f t="shared" si="6"/>
        <v>24.005258982155979</v>
      </c>
      <c r="AK28" s="885">
        <f t="shared" si="27"/>
        <v>0</v>
      </c>
      <c r="AL28" s="883">
        <f t="shared" si="28"/>
        <v>5.6611362133333341</v>
      </c>
      <c r="AM28" s="883">
        <f t="shared" si="29"/>
        <v>9.1997030399999975</v>
      </c>
      <c r="AN28" s="883">
        <f t="shared" si="30"/>
        <v>28.993883461208757</v>
      </c>
      <c r="AO28" s="883">
        <f t="shared" si="31"/>
        <v>29.783818239999999</v>
      </c>
      <c r="AP28" s="883">
        <f t="shared" si="32"/>
        <v>14.38074198002983</v>
      </c>
      <c r="AQ28" s="890">
        <f t="shared" si="35"/>
        <v>88.019282934571919</v>
      </c>
    </row>
    <row r="29" spans="1:43">
      <c r="A29" s="817"/>
      <c r="B29" s="860" t="s">
        <v>1603</v>
      </c>
      <c r="C29" s="883"/>
      <c r="D29" s="883"/>
      <c r="E29" s="883"/>
      <c r="F29" s="883"/>
      <c r="G29" s="883"/>
      <c r="H29" s="883"/>
      <c r="I29" s="940"/>
      <c r="J29" s="961"/>
      <c r="K29" s="940"/>
      <c r="L29" s="940"/>
      <c r="M29" s="940"/>
      <c r="N29" s="885">
        <f t="shared" si="40"/>
        <v>0</v>
      </c>
      <c r="O29" s="883">
        <f t="shared" si="41"/>
        <v>0</v>
      </c>
      <c r="P29" s="883">
        <f t="shared" si="42"/>
        <v>0</v>
      </c>
      <c r="Q29" s="883">
        <f t="shared" si="43"/>
        <v>0</v>
      </c>
      <c r="R29" s="883">
        <f t="shared" si="44"/>
        <v>0</v>
      </c>
      <c r="S29" s="886">
        <f t="shared" si="45"/>
        <v>0</v>
      </c>
      <c r="T29" s="883">
        <f t="shared" si="4"/>
        <v>0</v>
      </c>
      <c r="U29" s="887"/>
      <c r="V29" s="885">
        <f t="shared" si="46"/>
        <v>0</v>
      </c>
      <c r="W29" s="883">
        <f t="shared" si="47"/>
        <v>0</v>
      </c>
      <c r="X29" s="883">
        <f t="shared" si="48"/>
        <v>0</v>
      </c>
      <c r="Y29" s="883">
        <f t="shared" si="49"/>
        <v>0</v>
      </c>
      <c r="Z29" s="883">
        <f t="shared" si="50"/>
        <v>0</v>
      </c>
      <c r="AA29" s="883">
        <f t="shared" si="51"/>
        <v>0</v>
      </c>
      <c r="AB29" s="883">
        <f t="shared" si="34"/>
        <v>0</v>
      </c>
      <c r="AC29" s="888"/>
      <c r="AD29" s="885">
        <f t="shared" si="57"/>
        <v>0</v>
      </c>
      <c r="AE29" s="883">
        <f t="shared" si="58"/>
        <v>0</v>
      </c>
      <c r="AF29" s="883">
        <f t="shared" si="59"/>
        <v>0</v>
      </c>
      <c r="AG29" s="883">
        <f t="shared" si="62"/>
        <v>0</v>
      </c>
      <c r="AH29" s="883">
        <f t="shared" si="60"/>
        <v>0</v>
      </c>
      <c r="AI29" s="883">
        <f t="shared" si="61"/>
        <v>0</v>
      </c>
      <c r="AJ29" s="889">
        <f t="shared" si="6"/>
        <v>0</v>
      </c>
      <c r="AK29" s="885">
        <f t="shared" si="27"/>
        <v>0</v>
      </c>
      <c r="AL29" s="883">
        <f t="shared" si="28"/>
        <v>0</v>
      </c>
      <c r="AM29" s="883">
        <f t="shared" si="29"/>
        <v>0</v>
      </c>
      <c r="AN29" s="883">
        <f t="shared" si="30"/>
        <v>0</v>
      </c>
      <c r="AO29" s="883">
        <f t="shared" si="31"/>
        <v>0</v>
      </c>
      <c r="AP29" s="883">
        <f t="shared" si="32"/>
        <v>0</v>
      </c>
      <c r="AQ29" s="890">
        <f t="shared" si="35"/>
        <v>0</v>
      </c>
    </row>
    <row r="30" spans="1:43">
      <c r="A30" s="817"/>
      <c r="B30" s="865" t="s">
        <v>1611</v>
      </c>
      <c r="C30" s="883"/>
      <c r="D30" s="883"/>
      <c r="E30" s="883">
        <f>HLOOKUP($B$2,'Consumption Input'!$E$5:$AQ$82,'Consumption Input'!$B35)</f>
        <v>1.781944</v>
      </c>
      <c r="F30" s="883"/>
      <c r="G30" s="883"/>
      <c r="H30" s="883"/>
      <c r="I30" s="883">
        <f t="shared" ref="I30:I41" si="63">SUM(C30:H30)</f>
        <v>1.781944</v>
      </c>
      <c r="J30" s="961"/>
      <c r="K30" s="940"/>
      <c r="L30" s="940"/>
      <c r="M30" s="940"/>
      <c r="N30" s="885">
        <f t="shared" si="40"/>
        <v>0</v>
      </c>
      <c r="O30" s="883">
        <f t="shared" si="41"/>
        <v>0</v>
      </c>
      <c r="P30" s="883">
        <f t="shared" si="42"/>
        <v>1.781944</v>
      </c>
      <c r="Q30" s="883">
        <f t="shared" si="43"/>
        <v>0</v>
      </c>
      <c r="R30" s="883">
        <f t="shared" si="44"/>
        <v>0</v>
      </c>
      <c r="S30" s="886">
        <f t="shared" si="45"/>
        <v>0</v>
      </c>
      <c r="T30" s="883">
        <f t="shared" si="4"/>
        <v>1.781944</v>
      </c>
      <c r="U30" s="887">
        <f>Factors!D39</f>
        <v>18.87</v>
      </c>
      <c r="V30" s="885">
        <f t="shared" si="46"/>
        <v>0</v>
      </c>
      <c r="W30" s="883">
        <f t="shared" si="47"/>
        <v>0</v>
      </c>
      <c r="X30" s="883">
        <f t="shared" si="48"/>
        <v>3.3625283280000001E-2</v>
      </c>
      <c r="Y30" s="883">
        <f t="shared" si="49"/>
        <v>0</v>
      </c>
      <c r="Z30" s="883">
        <f t="shared" si="50"/>
        <v>0</v>
      </c>
      <c r="AA30" s="883">
        <f t="shared" si="51"/>
        <v>0</v>
      </c>
      <c r="AB30" s="883">
        <f t="shared" si="34"/>
        <v>3.3625283280000001E-2</v>
      </c>
      <c r="AC30" s="888">
        <f>Factors!E39</f>
        <v>1</v>
      </c>
      <c r="AD30" s="885">
        <f t="shared" si="57"/>
        <v>0</v>
      </c>
      <c r="AE30" s="883">
        <f t="shared" si="58"/>
        <v>0</v>
      </c>
      <c r="AF30" s="883">
        <f t="shared" si="59"/>
        <v>3.3625283280000001E-2</v>
      </c>
      <c r="AG30" s="883">
        <f t="shared" si="62"/>
        <v>0</v>
      </c>
      <c r="AH30" s="883">
        <f t="shared" si="60"/>
        <v>0</v>
      </c>
      <c r="AI30" s="883">
        <f t="shared" si="61"/>
        <v>0</v>
      </c>
      <c r="AJ30" s="889">
        <f t="shared" si="6"/>
        <v>3.3625283280000001E-2</v>
      </c>
      <c r="AK30" s="885">
        <f t="shared" si="27"/>
        <v>0</v>
      </c>
      <c r="AL30" s="883">
        <f t="shared" si="28"/>
        <v>0</v>
      </c>
      <c r="AM30" s="883">
        <f t="shared" si="29"/>
        <v>0.12329270536</v>
      </c>
      <c r="AN30" s="883">
        <f t="shared" si="30"/>
        <v>0</v>
      </c>
      <c r="AO30" s="883">
        <f t="shared" si="31"/>
        <v>0</v>
      </c>
      <c r="AP30" s="883">
        <f t="shared" si="32"/>
        <v>0</v>
      </c>
      <c r="AQ30" s="890">
        <f t="shared" si="35"/>
        <v>0.12329270536</v>
      </c>
    </row>
    <row r="31" spans="1:43">
      <c r="A31" s="817"/>
      <c r="B31" s="865" t="s">
        <v>1612</v>
      </c>
      <c r="C31" s="883"/>
      <c r="D31" s="883"/>
      <c r="E31" s="883">
        <f>HLOOKUP($B$2,'Consumption Input'!$E$5:$AQ$82,'Consumption Input'!$B36)</f>
        <v>0</v>
      </c>
      <c r="F31" s="883"/>
      <c r="G31" s="883"/>
      <c r="H31" s="883"/>
      <c r="I31" s="883">
        <f t="shared" si="63"/>
        <v>0</v>
      </c>
      <c r="J31" s="961"/>
      <c r="K31" s="940"/>
      <c r="L31" s="940"/>
      <c r="M31" s="940"/>
      <c r="N31" s="885">
        <f t="shared" si="40"/>
        <v>0</v>
      </c>
      <c r="O31" s="883">
        <f t="shared" si="41"/>
        <v>0</v>
      </c>
      <c r="P31" s="883">
        <f t="shared" si="42"/>
        <v>0</v>
      </c>
      <c r="Q31" s="883">
        <f t="shared" si="43"/>
        <v>0</v>
      </c>
      <c r="R31" s="883">
        <f t="shared" si="44"/>
        <v>0</v>
      </c>
      <c r="S31" s="886">
        <f t="shared" si="45"/>
        <v>0</v>
      </c>
      <c r="T31" s="883">
        <f t="shared" si="4"/>
        <v>0</v>
      </c>
      <c r="U31" s="887">
        <f>HLOOKUP($B$2,Factors!$J$12:$AA$25,Factors!$H25,FALSE)</f>
        <v>20.280867287413791</v>
      </c>
      <c r="V31" s="885">
        <f t="shared" si="46"/>
        <v>0</v>
      </c>
      <c r="W31" s="883">
        <f t="shared" si="47"/>
        <v>0</v>
      </c>
      <c r="X31" s="883">
        <f t="shared" si="48"/>
        <v>0</v>
      </c>
      <c r="Y31" s="883">
        <f t="shared" si="49"/>
        <v>0</v>
      </c>
      <c r="Z31" s="883">
        <f t="shared" si="50"/>
        <v>0</v>
      </c>
      <c r="AA31" s="883">
        <f t="shared" si="51"/>
        <v>0</v>
      </c>
      <c r="AB31" s="883">
        <f t="shared" si="34"/>
        <v>0</v>
      </c>
      <c r="AC31" s="888">
        <f>Factors!E40</f>
        <v>1</v>
      </c>
      <c r="AD31" s="885">
        <f t="shared" si="57"/>
        <v>0</v>
      </c>
      <c r="AE31" s="883">
        <f t="shared" si="58"/>
        <v>0</v>
      </c>
      <c r="AF31" s="883">
        <f t="shared" si="59"/>
        <v>0</v>
      </c>
      <c r="AG31" s="883">
        <f t="shared" si="62"/>
        <v>0</v>
      </c>
      <c r="AH31" s="883">
        <f t="shared" si="60"/>
        <v>0</v>
      </c>
      <c r="AI31" s="883">
        <f t="shared" si="61"/>
        <v>0</v>
      </c>
      <c r="AJ31" s="889">
        <f t="shared" si="6"/>
        <v>0</v>
      </c>
      <c r="AK31" s="885">
        <f t="shared" si="27"/>
        <v>0</v>
      </c>
      <c r="AL31" s="883">
        <f t="shared" si="28"/>
        <v>0</v>
      </c>
      <c r="AM31" s="883">
        <f t="shared" si="29"/>
        <v>0</v>
      </c>
      <c r="AN31" s="883">
        <f t="shared" si="30"/>
        <v>0</v>
      </c>
      <c r="AO31" s="883">
        <f t="shared" si="31"/>
        <v>0</v>
      </c>
      <c r="AP31" s="883">
        <f t="shared" si="32"/>
        <v>0</v>
      </c>
      <c r="AQ31" s="890">
        <f t="shared" si="35"/>
        <v>0</v>
      </c>
    </row>
    <row r="32" spans="1:43">
      <c r="A32" s="817"/>
      <c r="B32" s="865" t="s">
        <v>1613</v>
      </c>
      <c r="C32" s="883"/>
      <c r="D32" s="883"/>
      <c r="E32" s="883">
        <f>HLOOKUP($B$2,'Consumption Input'!$E$5:$AQ$82,'Consumption Input'!$B37)</f>
        <v>0</v>
      </c>
      <c r="F32" s="883"/>
      <c r="G32" s="883"/>
      <c r="H32" s="883"/>
      <c r="I32" s="883">
        <f t="shared" si="63"/>
        <v>0</v>
      </c>
      <c r="J32" s="961"/>
      <c r="K32" s="940"/>
      <c r="L32" s="940"/>
      <c r="M32" s="940"/>
      <c r="N32" s="885">
        <f t="shared" si="40"/>
        <v>0</v>
      </c>
      <c r="O32" s="883">
        <f t="shared" si="41"/>
        <v>0</v>
      </c>
      <c r="P32" s="883">
        <f t="shared" si="42"/>
        <v>0</v>
      </c>
      <c r="Q32" s="883">
        <f t="shared" si="43"/>
        <v>0</v>
      </c>
      <c r="R32" s="883">
        <f t="shared" si="44"/>
        <v>0</v>
      </c>
      <c r="S32" s="886">
        <f t="shared" si="45"/>
        <v>0</v>
      </c>
      <c r="T32" s="883">
        <f t="shared" si="4"/>
        <v>0</v>
      </c>
      <c r="U32" s="887">
        <f>HLOOKUP($B$2,Factors!$J$12:$AA$25,Factors!$H22,FALSE)</f>
        <v>19.559404796767716</v>
      </c>
      <c r="V32" s="885">
        <f t="shared" si="46"/>
        <v>0</v>
      </c>
      <c r="W32" s="883">
        <f t="shared" si="47"/>
        <v>0</v>
      </c>
      <c r="X32" s="883">
        <f t="shared" si="48"/>
        <v>0</v>
      </c>
      <c r="Y32" s="883">
        <f t="shared" si="49"/>
        <v>0</v>
      </c>
      <c r="Z32" s="883">
        <f t="shared" si="50"/>
        <v>0</v>
      </c>
      <c r="AA32" s="883">
        <f t="shared" si="51"/>
        <v>0</v>
      </c>
      <c r="AB32" s="883">
        <f t="shared" si="34"/>
        <v>0</v>
      </c>
      <c r="AC32" s="888">
        <f>Factors!E41</f>
        <v>1</v>
      </c>
      <c r="AD32" s="885">
        <f t="shared" si="57"/>
        <v>0</v>
      </c>
      <c r="AE32" s="883">
        <f t="shared" si="58"/>
        <v>0</v>
      </c>
      <c r="AF32" s="883">
        <f t="shared" si="59"/>
        <v>0</v>
      </c>
      <c r="AG32" s="883">
        <f t="shared" si="62"/>
        <v>0</v>
      </c>
      <c r="AH32" s="883">
        <f t="shared" si="60"/>
        <v>0</v>
      </c>
      <c r="AI32" s="883">
        <f t="shared" si="61"/>
        <v>0</v>
      </c>
      <c r="AJ32" s="889">
        <f t="shared" si="6"/>
        <v>0</v>
      </c>
      <c r="AK32" s="885">
        <f t="shared" si="27"/>
        <v>0</v>
      </c>
      <c r="AL32" s="883">
        <f t="shared" si="28"/>
        <v>0</v>
      </c>
      <c r="AM32" s="883">
        <f t="shared" si="29"/>
        <v>0</v>
      </c>
      <c r="AN32" s="883">
        <f t="shared" si="30"/>
        <v>0</v>
      </c>
      <c r="AO32" s="883">
        <f t="shared" si="31"/>
        <v>0</v>
      </c>
      <c r="AP32" s="883">
        <f t="shared" si="32"/>
        <v>0</v>
      </c>
      <c r="AQ32" s="890">
        <f t="shared" si="35"/>
        <v>0</v>
      </c>
    </row>
    <row r="33" spans="1:43">
      <c r="A33" s="817"/>
      <c r="B33" s="865" t="s">
        <v>1739</v>
      </c>
      <c r="C33" s="883"/>
      <c r="D33" s="883"/>
      <c r="E33" s="883">
        <f>HLOOKUP($B$2,'Consumption Input'!$E$5:$AQ$82,'Consumption Input'!$B38)</f>
        <v>133.47382356</v>
      </c>
      <c r="F33" s="883"/>
      <c r="G33" s="883"/>
      <c r="H33" s="883">
        <f>HLOOKUP($B$2,'US Territories'!$D$28:$Z$38,'US Territories'!$B38)</f>
        <v>105.04378144993157</v>
      </c>
      <c r="I33" s="883">
        <f t="shared" si="63"/>
        <v>238.51760500993157</v>
      </c>
      <c r="J33" s="961"/>
      <c r="K33" s="940">
        <f>HLOOKUP($B$2,NEUConsumption,'Non-Energy Use'!C22)</f>
        <v>133.47382356</v>
      </c>
      <c r="L33" s="940"/>
      <c r="M33" s="940">
        <f>HLOOKUP($B$2,NEUConsumption,'Non-Energy Use'!$C$27)</f>
        <v>105.04378144993157</v>
      </c>
      <c r="N33" s="885">
        <f t="shared" si="40"/>
        <v>0</v>
      </c>
      <c r="O33" s="883">
        <f t="shared" si="41"/>
        <v>0</v>
      </c>
      <c r="P33" s="883">
        <f t="shared" si="42"/>
        <v>0</v>
      </c>
      <c r="Q33" s="883">
        <f t="shared" si="43"/>
        <v>0</v>
      </c>
      <c r="R33" s="883">
        <f t="shared" si="44"/>
        <v>0</v>
      </c>
      <c r="S33" s="886">
        <f t="shared" si="45"/>
        <v>0</v>
      </c>
      <c r="T33" s="883">
        <f t="shared" si="4"/>
        <v>0</v>
      </c>
      <c r="U33" s="887">
        <f>HLOOKUP($B$2,Factors!$J$12:$AA$25,Factors!$H23,FALSE)</f>
        <v>0</v>
      </c>
      <c r="V33" s="885">
        <f t="shared" si="46"/>
        <v>0</v>
      </c>
      <c r="W33" s="883">
        <f t="shared" si="47"/>
        <v>0</v>
      </c>
      <c r="X33" s="883">
        <f t="shared" si="48"/>
        <v>0</v>
      </c>
      <c r="Y33" s="883">
        <f t="shared" si="49"/>
        <v>0</v>
      </c>
      <c r="Z33" s="883">
        <f t="shared" si="50"/>
        <v>0</v>
      </c>
      <c r="AA33" s="883">
        <f t="shared" si="51"/>
        <v>0</v>
      </c>
      <c r="AB33" s="883">
        <f t="shared" si="34"/>
        <v>0</v>
      </c>
      <c r="AC33" s="888">
        <f>Factors!E42</f>
        <v>1</v>
      </c>
      <c r="AD33" s="885">
        <f t="shared" si="57"/>
        <v>0</v>
      </c>
      <c r="AE33" s="883">
        <f t="shared" si="58"/>
        <v>0</v>
      </c>
      <c r="AF33" s="883">
        <f t="shared" si="59"/>
        <v>0</v>
      </c>
      <c r="AG33" s="883">
        <f t="shared" si="62"/>
        <v>0</v>
      </c>
      <c r="AH33" s="883">
        <f t="shared" si="60"/>
        <v>0</v>
      </c>
      <c r="AI33" s="883">
        <f t="shared" si="61"/>
        <v>0</v>
      </c>
      <c r="AJ33" s="889">
        <f t="shared" si="6"/>
        <v>0</v>
      </c>
      <c r="AK33" s="885">
        <f t="shared" si="27"/>
        <v>0</v>
      </c>
      <c r="AL33" s="883">
        <f t="shared" si="28"/>
        <v>0</v>
      </c>
      <c r="AM33" s="883">
        <f t="shared" si="29"/>
        <v>0</v>
      </c>
      <c r="AN33" s="883">
        <f t="shared" si="30"/>
        <v>0</v>
      </c>
      <c r="AO33" s="883">
        <f t="shared" si="31"/>
        <v>0</v>
      </c>
      <c r="AP33" s="883">
        <f t="shared" si="32"/>
        <v>0</v>
      </c>
      <c r="AQ33" s="890">
        <f t="shared" si="35"/>
        <v>0</v>
      </c>
    </row>
    <row r="34" spans="1:43">
      <c r="A34" s="817"/>
      <c r="B34" s="865" t="s">
        <v>1615</v>
      </c>
      <c r="C34" s="883"/>
      <c r="D34" s="883"/>
      <c r="E34" s="883">
        <f>HLOOKUP($B$2,'Consumption Input'!$E$5:$AQ$82,'Consumption Input'!$B39)</f>
        <v>562.45439999999985</v>
      </c>
      <c r="F34" s="883"/>
      <c r="G34" s="883"/>
      <c r="H34" s="883"/>
      <c r="I34" s="883">
        <f t="shared" si="63"/>
        <v>562.45439999999985</v>
      </c>
      <c r="J34" s="961"/>
      <c r="K34" s="940">
        <f>HLOOKUP($B$2,NEUConsumption,'Non-Energy Use'!C14)</f>
        <v>562.45439999999985</v>
      </c>
      <c r="L34" s="940"/>
      <c r="M34" s="940"/>
      <c r="N34" s="885">
        <f t="shared" si="40"/>
        <v>0</v>
      </c>
      <c r="O34" s="883">
        <f t="shared" si="41"/>
        <v>0</v>
      </c>
      <c r="P34" s="883">
        <f t="shared" si="42"/>
        <v>0</v>
      </c>
      <c r="Q34" s="883">
        <f t="shared" si="43"/>
        <v>0</v>
      </c>
      <c r="R34" s="883">
        <f t="shared" si="44"/>
        <v>0</v>
      </c>
      <c r="S34" s="886">
        <f t="shared" si="45"/>
        <v>0</v>
      </c>
      <c r="T34" s="883">
        <f t="shared" si="4"/>
        <v>0</v>
      </c>
      <c r="U34" s="887">
        <f>Factors!D44</f>
        <v>18.550649350649344</v>
      </c>
      <c r="V34" s="885">
        <f t="shared" si="46"/>
        <v>0</v>
      </c>
      <c r="W34" s="883">
        <f t="shared" si="47"/>
        <v>0</v>
      </c>
      <c r="X34" s="883">
        <f t="shared" si="48"/>
        <v>0</v>
      </c>
      <c r="Y34" s="883">
        <f t="shared" si="49"/>
        <v>0</v>
      </c>
      <c r="Z34" s="883">
        <f t="shared" si="50"/>
        <v>0</v>
      </c>
      <c r="AA34" s="883">
        <f t="shared" si="51"/>
        <v>0</v>
      </c>
      <c r="AB34" s="883">
        <f t="shared" si="34"/>
        <v>0</v>
      </c>
      <c r="AC34" s="888">
        <f>Factors!E44</f>
        <v>1</v>
      </c>
      <c r="AD34" s="885">
        <f t="shared" si="57"/>
        <v>0</v>
      </c>
      <c r="AE34" s="883">
        <f t="shared" si="58"/>
        <v>0</v>
      </c>
      <c r="AF34" s="883">
        <f t="shared" si="59"/>
        <v>0</v>
      </c>
      <c r="AG34" s="883">
        <f t="shared" si="62"/>
        <v>0</v>
      </c>
      <c r="AH34" s="883">
        <f t="shared" si="60"/>
        <v>0</v>
      </c>
      <c r="AI34" s="883">
        <f t="shared" si="61"/>
        <v>0</v>
      </c>
      <c r="AJ34" s="889">
        <f t="shared" si="6"/>
        <v>0</v>
      </c>
      <c r="AK34" s="885">
        <f t="shared" si="27"/>
        <v>0</v>
      </c>
      <c r="AL34" s="883">
        <f t="shared" si="28"/>
        <v>0</v>
      </c>
      <c r="AM34" s="883">
        <f t="shared" si="29"/>
        <v>0</v>
      </c>
      <c r="AN34" s="883">
        <f t="shared" si="30"/>
        <v>0</v>
      </c>
      <c r="AO34" s="883">
        <f t="shared" si="31"/>
        <v>0</v>
      </c>
      <c r="AP34" s="883">
        <f t="shared" si="32"/>
        <v>0</v>
      </c>
      <c r="AQ34" s="890">
        <f t="shared" si="35"/>
        <v>0</v>
      </c>
    </row>
    <row r="35" spans="1:43">
      <c r="A35" s="817"/>
      <c r="B35" s="865" t="s">
        <v>1616</v>
      </c>
      <c r="C35" s="883"/>
      <c r="D35" s="883"/>
      <c r="E35" s="940">
        <f>HLOOKUP($B$2,'Consumption Input'!$E$5:$AQ$82,'Consumption Input'!$B40)</f>
        <v>744.09132499999998</v>
      </c>
      <c r="F35" s="883"/>
      <c r="G35" s="883"/>
      <c r="H35" s="883"/>
      <c r="I35" s="883">
        <f t="shared" si="63"/>
        <v>744.09132499999998</v>
      </c>
      <c r="J35" s="961"/>
      <c r="K35" s="940">
        <f>HLOOKUP($B$2,NEUConsumption,'Non-Energy Use'!$C$15)</f>
        <v>744.09132499999998</v>
      </c>
      <c r="L35" s="940"/>
      <c r="M35" s="940"/>
      <c r="N35" s="885">
        <f t="shared" si="40"/>
        <v>0</v>
      </c>
      <c r="O35" s="883">
        <f t="shared" si="41"/>
        <v>0</v>
      </c>
      <c r="P35" s="883">
        <f t="shared" si="42"/>
        <v>0</v>
      </c>
      <c r="Q35" s="883">
        <f t="shared" si="43"/>
        <v>0</v>
      </c>
      <c r="R35" s="883">
        <f t="shared" si="44"/>
        <v>0</v>
      </c>
      <c r="S35" s="886">
        <f t="shared" si="45"/>
        <v>0</v>
      </c>
      <c r="T35" s="883">
        <f t="shared" si="4"/>
        <v>0</v>
      </c>
      <c r="U35" s="887">
        <f>Factors!D45</f>
        <v>20.170000000000002</v>
      </c>
      <c r="V35" s="885">
        <f t="shared" si="46"/>
        <v>0</v>
      </c>
      <c r="W35" s="883">
        <f t="shared" si="47"/>
        <v>0</v>
      </c>
      <c r="X35" s="883">
        <f t="shared" si="48"/>
        <v>0</v>
      </c>
      <c r="Y35" s="883">
        <f t="shared" si="49"/>
        <v>0</v>
      </c>
      <c r="Z35" s="883">
        <f t="shared" si="50"/>
        <v>0</v>
      </c>
      <c r="AA35" s="883">
        <f t="shared" si="51"/>
        <v>0</v>
      </c>
      <c r="AB35" s="883">
        <f t="shared" si="34"/>
        <v>0</v>
      </c>
      <c r="AC35" s="888">
        <f>Factors!E45</f>
        <v>1</v>
      </c>
      <c r="AD35" s="885">
        <f t="shared" si="57"/>
        <v>0</v>
      </c>
      <c r="AE35" s="883">
        <f t="shared" si="58"/>
        <v>0</v>
      </c>
      <c r="AF35" s="883">
        <f t="shared" si="59"/>
        <v>0</v>
      </c>
      <c r="AG35" s="883">
        <f t="shared" si="62"/>
        <v>0</v>
      </c>
      <c r="AH35" s="883">
        <f t="shared" si="60"/>
        <v>0</v>
      </c>
      <c r="AI35" s="883">
        <f t="shared" si="61"/>
        <v>0</v>
      </c>
      <c r="AJ35" s="889">
        <f t="shared" si="6"/>
        <v>0</v>
      </c>
      <c r="AK35" s="885">
        <f t="shared" si="27"/>
        <v>0</v>
      </c>
      <c r="AL35" s="883">
        <f t="shared" si="28"/>
        <v>0</v>
      </c>
      <c r="AM35" s="883">
        <f t="shared" si="29"/>
        <v>0</v>
      </c>
      <c r="AN35" s="883">
        <f t="shared" si="30"/>
        <v>0</v>
      </c>
      <c r="AO35" s="883">
        <f t="shared" si="31"/>
        <v>0</v>
      </c>
      <c r="AP35" s="883">
        <f t="shared" si="32"/>
        <v>0</v>
      </c>
      <c r="AQ35" s="890">
        <f t="shared" si="35"/>
        <v>0</v>
      </c>
    </row>
    <row r="36" spans="1:43">
      <c r="A36" s="817"/>
      <c r="B36" s="865" t="s">
        <v>1617</v>
      </c>
      <c r="C36" s="883"/>
      <c r="D36" s="883"/>
      <c r="E36" s="883">
        <f>HLOOKUP($B$2,'Consumption Input'!$E$5:$AQ$82,'Consumption Input'!$B41)</f>
        <v>0</v>
      </c>
      <c r="F36" s="883"/>
      <c r="G36" s="883"/>
      <c r="H36" s="883"/>
      <c r="I36" s="883">
        <f t="shared" si="63"/>
        <v>0</v>
      </c>
      <c r="J36" s="961"/>
      <c r="K36" s="940">
        <f>HLOOKUP($B$2,NEUConsumption,'Non-Energy Use'!$C$13)</f>
        <v>0</v>
      </c>
      <c r="L36" s="940"/>
      <c r="M36" s="940"/>
      <c r="N36" s="885">
        <f t="shared" si="40"/>
        <v>0</v>
      </c>
      <c r="O36" s="883">
        <f t="shared" si="41"/>
        <v>0</v>
      </c>
      <c r="P36" s="883">
        <f t="shared" si="42"/>
        <v>0</v>
      </c>
      <c r="Q36" s="883">
        <f t="shared" si="43"/>
        <v>0</v>
      </c>
      <c r="R36" s="883">
        <f t="shared" si="44"/>
        <v>0</v>
      </c>
      <c r="S36" s="886">
        <f t="shared" si="45"/>
        <v>0</v>
      </c>
      <c r="T36" s="883">
        <f t="shared" si="4"/>
        <v>0</v>
      </c>
      <c r="U36" s="887">
        <f>Factors!D46</f>
        <v>18.239999999999998</v>
      </c>
      <c r="V36" s="885">
        <f t="shared" si="46"/>
        <v>0</v>
      </c>
      <c r="W36" s="883">
        <f t="shared" si="47"/>
        <v>0</v>
      </c>
      <c r="X36" s="883">
        <f t="shared" si="48"/>
        <v>0</v>
      </c>
      <c r="Y36" s="883">
        <f t="shared" si="49"/>
        <v>0</v>
      </c>
      <c r="Z36" s="883">
        <f t="shared" si="50"/>
        <v>0</v>
      </c>
      <c r="AA36" s="883">
        <f t="shared" si="51"/>
        <v>0</v>
      </c>
      <c r="AB36" s="883">
        <f t="shared" si="34"/>
        <v>0</v>
      </c>
      <c r="AC36" s="888">
        <f>Factors!E46</f>
        <v>1</v>
      </c>
      <c r="AD36" s="885">
        <f t="shared" si="57"/>
        <v>0</v>
      </c>
      <c r="AE36" s="883">
        <f t="shared" si="58"/>
        <v>0</v>
      </c>
      <c r="AF36" s="883">
        <f t="shared" si="59"/>
        <v>0</v>
      </c>
      <c r="AG36" s="883">
        <f t="shared" si="62"/>
        <v>0</v>
      </c>
      <c r="AH36" s="883">
        <f t="shared" si="60"/>
        <v>0</v>
      </c>
      <c r="AI36" s="883">
        <f t="shared" si="61"/>
        <v>0</v>
      </c>
      <c r="AJ36" s="889">
        <f t="shared" si="6"/>
        <v>0</v>
      </c>
      <c r="AK36" s="885">
        <f t="shared" si="27"/>
        <v>0</v>
      </c>
      <c r="AL36" s="883">
        <f t="shared" si="28"/>
        <v>0</v>
      </c>
      <c r="AM36" s="883">
        <f t="shared" si="29"/>
        <v>0</v>
      </c>
      <c r="AN36" s="883">
        <f t="shared" si="30"/>
        <v>0</v>
      </c>
      <c r="AO36" s="883">
        <f t="shared" si="31"/>
        <v>0</v>
      </c>
      <c r="AP36" s="883">
        <f t="shared" si="32"/>
        <v>0</v>
      </c>
      <c r="AQ36" s="890">
        <f t="shared" si="35"/>
        <v>0</v>
      </c>
    </row>
    <row r="37" spans="1:43">
      <c r="A37" s="817"/>
      <c r="B37" s="865" t="s">
        <v>1604</v>
      </c>
      <c r="C37" s="883"/>
      <c r="D37" s="883">
        <f>HLOOKUP($B$2,'Consumption Input'!$E$5:$AQ$82,'Consumption Input'!$B21)</f>
        <v>0.35</v>
      </c>
      <c r="E37" s="883">
        <f>HLOOKUP($B$2,'Consumption Input'!$E$5:$AQ$82,'Consumption Input'!$B42)</f>
        <v>909.53599999999983</v>
      </c>
      <c r="F37" s="883"/>
      <c r="G37" s="883">
        <f>HLOOKUP($B$2,'Consumption Input'!$E$5:$AQ$82,'Consumption Input'!$B63)</f>
        <v>162.55699999999999</v>
      </c>
      <c r="H37" s="883"/>
      <c r="I37" s="883">
        <f t="shared" si="63"/>
        <v>1072.4429999999998</v>
      </c>
      <c r="J37" s="961"/>
      <c r="K37" s="940">
        <f>HLOOKUP($B$2,NEUConsumption,'Non-Energy Use'!$C$17)</f>
        <v>201.1547269133589</v>
      </c>
      <c r="L37" s="940"/>
      <c r="M37" s="940"/>
      <c r="N37" s="885">
        <f t="shared" si="40"/>
        <v>0</v>
      </c>
      <c r="O37" s="883">
        <f t="shared" si="41"/>
        <v>0.35</v>
      </c>
      <c r="P37" s="883">
        <f t="shared" si="42"/>
        <v>708.38127308664093</v>
      </c>
      <c r="Q37" s="883">
        <f t="shared" si="43"/>
        <v>0</v>
      </c>
      <c r="R37" s="883">
        <f t="shared" si="44"/>
        <v>162.55699999999999</v>
      </c>
      <c r="S37" s="886">
        <f t="shared" si="45"/>
        <v>0</v>
      </c>
      <c r="T37" s="883">
        <f t="shared" si="4"/>
        <v>871.28827308664097</v>
      </c>
      <c r="U37" s="887">
        <f>Factors!D48</f>
        <v>27.84770010865628</v>
      </c>
      <c r="V37" s="885">
        <f t="shared" si="46"/>
        <v>0</v>
      </c>
      <c r="W37" s="883">
        <f t="shared" si="47"/>
        <v>9.7466950380296971E-3</v>
      </c>
      <c r="X37" s="883">
        <f t="shared" si="48"/>
        <v>19.726789255504926</v>
      </c>
      <c r="Y37" s="883">
        <f t="shared" si="49"/>
        <v>0</v>
      </c>
      <c r="Z37" s="883">
        <f t="shared" si="50"/>
        <v>4.5268385865628389</v>
      </c>
      <c r="AA37" s="883">
        <f t="shared" si="51"/>
        <v>0</v>
      </c>
      <c r="AB37" s="883">
        <f t="shared" si="34"/>
        <v>24.263374537105793</v>
      </c>
      <c r="AC37" s="888">
        <f>Factors!E48</f>
        <v>1</v>
      </c>
      <c r="AD37" s="885">
        <f t="shared" si="57"/>
        <v>0</v>
      </c>
      <c r="AE37" s="883">
        <f t="shared" si="58"/>
        <v>9.7466950380296971E-3</v>
      </c>
      <c r="AF37" s="883">
        <f t="shared" si="59"/>
        <v>19.726789255504926</v>
      </c>
      <c r="AG37" s="883">
        <f t="shared" si="62"/>
        <v>0</v>
      </c>
      <c r="AH37" s="883">
        <f t="shared" si="60"/>
        <v>4.5268385865628389</v>
      </c>
      <c r="AI37" s="883">
        <f t="shared" si="61"/>
        <v>0</v>
      </c>
      <c r="AJ37" s="889">
        <f t="shared" si="6"/>
        <v>24.263374537105793</v>
      </c>
      <c r="AK37" s="885">
        <f t="shared" si="27"/>
        <v>0</v>
      </c>
      <c r="AL37" s="883">
        <f t="shared" si="28"/>
        <v>3.5737881806108887E-2</v>
      </c>
      <c r="AM37" s="883">
        <f t="shared" si="29"/>
        <v>72.331560603518056</v>
      </c>
      <c r="AN37" s="883">
        <f t="shared" si="30"/>
        <v>0</v>
      </c>
      <c r="AO37" s="883">
        <f t="shared" si="31"/>
        <v>16.598408150730407</v>
      </c>
      <c r="AP37" s="883">
        <f t="shared" si="32"/>
        <v>0</v>
      </c>
      <c r="AQ37" s="890">
        <f t="shared" si="35"/>
        <v>88.965706636054577</v>
      </c>
    </row>
    <row r="38" spans="1:43">
      <c r="A38" s="817"/>
      <c r="B38" s="865" t="s">
        <v>1618</v>
      </c>
      <c r="C38" s="883"/>
      <c r="D38" s="883"/>
      <c r="E38" s="883">
        <f>HLOOKUP($B$2,'Consumption Input'!$E$5:$AQ$82,'Consumption Input'!$B43)</f>
        <v>1526.856</v>
      </c>
      <c r="F38" s="883"/>
      <c r="G38" s="883"/>
      <c r="H38" s="883"/>
      <c r="I38" s="883">
        <f t="shared" si="63"/>
        <v>1526.856</v>
      </c>
      <c r="J38" s="961"/>
      <c r="K38" s="940">
        <f>HLOOKUP($B$2,NEUConsumption,'Non-Energy Use'!$C$16)</f>
        <v>44.219999999999949</v>
      </c>
      <c r="L38" s="940"/>
      <c r="M38" s="940"/>
      <c r="N38" s="885">
        <f t="shared" si="40"/>
        <v>0</v>
      </c>
      <c r="O38" s="883">
        <f t="shared" si="41"/>
        <v>0</v>
      </c>
      <c r="P38" s="883">
        <f t="shared" si="42"/>
        <v>1482.636</v>
      </c>
      <c r="Q38" s="883">
        <f t="shared" si="43"/>
        <v>0</v>
      </c>
      <c r="R38" s="883">
        <f t="shared" si="44"/>
        <v>0</v>
      </c>
      <c r="S38" s="886">
        <f t="shared" si="45"/>
        <v>0</v>
      </c>
      <c r="T38" s="883">
        <f t="shared" si="4"/>
        <v>1482.636</v>
      </c>
      <c r="U38" s="887">
        <f>Factors!D51</f>
        <v>18.195454545454545</v>
      </c>
      <c r="V38" s="885">
        <f t="shared" si="46"/>
        <v>0</v>
      </c>
      <c r="W38" s="883">
        <f t="shared" si="47"/>
        <v>0</v>
      </c>
      <c r="X38" s="883">
        <f t="shared" si="48"/>
        <v>26.977235945454545</v>
      </c>
      <c r="Y38" s="883">
        <f t="shared" si="49"/>
        <v>0</v>
      </c>
      <c r="Z38" s="883">
        <f t="shared" si="50"/>
        <v>0</v>
      </c>
      <c r="AA38" s="883">
        <f t="shared" si="51"/>
        <v>0</v>
      </c>
      <c r="AB38" s="883">
        <f t="shared" si="34"/>
        <v>26.977235945454545</v>
      </c>
      <c r="AC38" s="888">
        <f>Factors!E51</f>
        <v>1</v>
      </c>
      <c r="AD38" s="885">
        <f t="shared" si="57"/>
        <v>0</v>
      </c>
      <c r="AE38" s="883">
        <f t="shared" si="58"/>
        <v>0</v>
      </c>
      <c r="AF38" s="883">
        <f t="shared" si="59"/>
        <v>26.977235945454545</v>
      </c>
      <c r="AG38" s="883">
        <f t="shared" si="62"/>
        <v>0</v>
      </c>
      <c r="AH38" s="883">
        <f t="shared" si="60"/>
        <v>0</v>
      </c>
      <c r="AI38" s="883">
        <f t="shared" si="61"/>
        <v>0</v>
      </c>
      <c r="AJ38" s="889">
        <f t="shared" si="6"/>
        <v>26.977235945454545</v>
      </c>
      <c r="AK38" s="885">
        <f t="shared" si="27"/>
        <v>0</v>
      </c>
      <c r="AL38" s="883">
        <f t="shared" si="28"/>
        <v>0</v>
      </c>
      <c r="AM38" s="883">
        <f t="shared" si="29"/>
        <v>98.916531800000001</v>
      </c>
      <c r="AN38" s="883">
        <f t="shared" si="30"/>
        <v>0</v>
      </c>
      <c r="AO38" s="883">
        <f t="shared" si="31"/>
        <v>0</v>
      </c>
      <c r="AP38" s="883">
        <f t="shared" si="32"/>
        <v>0</v>
      </c>
      <c r="AQ38" s="890">
        <f t="shared" si="35"/>
        <v>98.916531800000001</v>
      </c>
    </row>
    <row r="39" spans="1:43">
      <c r="A39" s="817"/>
      <c r="B39" s="865" t="s">
        <v>1619</v>
      </c>
      <c r="C39" s="883"/>
      <c r="D39" s="883"/>
      <c r="E39" s="883">
        <f>HLOOKUP($B$2,'Consumption Input'!$E$5:$AQ$82,'Consumption Input'!$B44)</f>
        <v>78.037613055999998</v>
      </c>
      <c r="F39" s="883"/>
      <c r="G39" s="883"/>
      <c r="H39" s="883"/>
      <c r="I39" s="883">
        <f t="shared" si="63"/>
        <v>78.037613055999998</v>
      </c>
      <c r="J39" s="961"/>
      <c r="K39" s="940">
        <f>HLOOKUP($B$2,NEUConsumption,'Non-Energy Use'!$C$18)</f>
        <v>78.037613055999998</v>
      </c>
      <c r="L39" s="940"/>
      <c r="M39" s="940"/>
      <c r="N39" s="885">
        <f t="shared" si="40"/>
        <v>0</v>
      </c>
      <c r="O39" s="883">
        <f t="shared" si="41"/>
        <v>0</v>
      </c>
      <c r="P39" s="883">
        <f t="shared" si="42"/>
        <v>0</v>
      </c>
      <c r="Q39" s="883">
        <f t="shared" si="43"/>
        <v>0</v>
      </c>
      <c r="R39" s="883">
        <f t="shared" si="44"/>
        <v>0</v>
      </c>
      <c r="S39" s="886">
        <f t="shared" si="45"/>
        <v>0</v>
      </c>
      <c r="T39" s="883">
        <f t="shared" si="4"/>
        <v>0</v>
      </c>
      <c r="U39" s="887">
        <f>Factors!D37</f>
        <v>19.737389135254986</v>
      </c>
      <c r="V39" s="885">
        <f t="shared" si="46"/>
        <v>0</v>
      </c>
      <c r="W39" s="883">
        <f t="shared" si="47"/>
        <v>0</v>
      </c>
      <c r="X39" s="883">
        <f t="shared" si="48"/>
        <v>0</v>
      </c>
      <c r="Y39" s="883">
        <f t="shared" si="49"/>
        <v>0</v>
      </c>
      <c r="Z39" s="883">
        <f t="shared" si="50"/>
        <v>0</v>
      </c>
      <c r="AA39" s="883">
        <f t="shared" si="51"/>
        <v>0</v>
      </c>
      <c r="AB39" s="883">
        <f t="shared" si="34"/>
        <v>0</v>
      </c>
      <c r="AC39" s="888">
        <f>Factors!E37</f>
        <v>1</v>
      </c>
      <c r="AD39" s="885">
        <f t="shared" si="57"/>
        <v>0</v>
      </c>
      <c r="AE39" s="883">
        <f t="shared" si="58"/>
        <v>0</v>
      </c>
      <c r="AF39" s="883">
        <f t="shared" si="59"/>
        <v>0</v>
      </c>
      <c r="AG39" s="883">
        <f t="shared" si="62"/>
        <v>0</v>
      </c>
      <c r="AH39" s="883">
        <f t="shared" si="60"/>
        <v>0</v>
      </c>
      <c r="AI39" s="883">
        <f t="shared" si="61"/>
        <v>0</v>
      </c>
      <c r="AJ39" s="889">
        <f t="shared" si="6"/>
        <v>0</v>
      </c>
      <c r="AK39" s="885">
        <f t="shared" si="27"/>
        <v>0</v>
      </c>
      <c r="AL39" s="883">
        <f t="shared" si="28"/>
        <v>0</v>
      </c>
      <c r="AM39" s="883">
        <f t="shared" si="29"/>
        <v>0</v>
      </c>
      <c r="AN39" s="883">
        <f t="shared" si="30"/>
        <v>0</v>
      </c>
      <c r="AO39" s="883">
        <f t="shared" si="31"/>
        <v>0</v>
      </c>
      <c r="AP39" s="883">
        <f t="shared" si="32"/>
        <v>0</v>
      </c>
      <c r="AQ39" s="890">
        <f t="shared" si="35"/>
        <v>0</v>
      </c>
    </row>
    <row r="40" spans="1:43">
      <c r="A40" s="817"/>
      <c r="B40" s="865" t="s">
        <v>1620</v>
      </c>
      <c r="C40" s="883"/>
      <c r="D40" s="883"/>
      <c r="E40" s="883">
        <f>HLOOKUP($B$2,'Consumption Input'!$E$5:$AQ$82,'Consumption Input'!$B45)</f>
        <v>0</v>
      </c>
      <c r="F40" s="883"/>
      <c r="G40" s="883"/>
      <c r="H40" s="883"/>
      <c r="I40" s="883">
        <f t="shared" si="63"/>
        <v>0</v>
      </c>
      <c r="J40" s="961"/>
      <c r="K40" s="940"/>
      <c r="L40" s="940"/>
      <c r="M40" s="940"/>
      <c r="N40" s="885">
        <f t="shared" si="40"/>
        <v>0</v>
      </c>
      <c r="O40" s="883">
        <f t="shared" si="41"/>
        <v>0</v>
      </c>
      <c r="P40" s="883">
        <f t="shared" si="42"/>
        <v>0</v>
      </c>
      <c r="Q40" s="883">
        <f t="shared" si="43"/>
        <v>0</v>
      </c>
      <c r="R40" s="883">
        <f t="shared" si="44"/>
        <v>0</v>
      </c>
      <c r="S40" s="886">
        <f t="shared" si="45"/>
        <v>0</v>
      </c>
      <c r="T40" s="883">
        <f t="shared" si="4"/>
        <v>0</v>
      </c>
      <c r="U40" s="887">
        <f>HLOOKUP($B$2,Factors!$J$12:$AA$25,Factors!$H24,FALSE)</f>
        <v>20.280867287413791</v>
      </c>
      <c r="V40" s="885">
        <f t="shared" si="46"/>
        <v>0</v>
      </c>
      <c r="W40" s="883">
        <f t="shared" si="47"/>
        <v>0</v>
      </c>
      <c r="X40" s="883">
        <f t="shared" si="48"/>
        <v>0</v>
      </c>
      <c r="Y40" s="883">
        <f t="shared" si="49"/>
        <v>0</v>
      </c>
      <c r="Z40" s="883">
        <f t="shared" si="50"/>
        <v>0</v>
      </c>
      <c r="AA40" s="883">
        <f t="shared" si="51"/>
        <v>0</v>
      </c>
      <c r="AB40" s="883">
        <f t="shared" si="34"/>
        <v>0</v>
      </c>
      <c r="AC40" s="888">
        <f>Factors!E53</f>
        <v>1</v>
      </c>
      <c r="AD40" s="885">
        <f t="shared" si="57"/>
        <v>0</v>
      </c>
      <c r="AE40" s="883">
        <f t="shared" si="58"/>
        <v>0</v>
      </c>
      <c r="AF40" s="883">
        <f t="shared" si="59"/>
        <v>0</v>
      </c>
      <c r="AG40" s="883">
        <f t="shared" si="62"/>
        <v>0</v>
      </c>
      <c r="AH40" s="883">
        <f t="shared" si="60"/>
        <v>0</v>
      </c>
      <c r="AI40" s="883">
        <f t="shared" si="61"/>
        <v>0</v>
      </c>
      <c r="AJ40" s="889">
        <f t="shared" si="6"/>
        <v>0</v>
      </c>
      <c r="AK40" s="885">
        <f t="shared" si="27"/>
        <v>0</v>
      </c>
      <c r="AL40" s="883">
        <f t="shared" si="28"/>
        <v>0</v>
      </c>
      <c r="AM40" s="883">
        <f t="shared" si="29"/>
        <v>0</v>
      </c>
      <c r="AN40" s="883">
        <f t="shared" si="30"/>
        <v>0</v>
      </c>
      <c r="AO40" s="883">
        <f t="shared" si="31"/>
        <v>0</v>
      </c>
      <c r="AP40" s="883">
        <f t="shared" si="32"/>
        <v>0</v>
      </c>
      <c r="AQ40" s="890">
        <f t="shared" si="35"/>
        <v>0</v>
      </c>
    </row>
    <row r="41" spans="1:43">
      <c r="A41" s="817"/>
      <c r="B41" s="865" t="s">
        <v>1621</v>
      </c>
      <c r="C41" s="883"/>
      <c r="D41" s="883"/>
      <c r="E41" s="883">
        <f>HLOOKUP($B$2,'Consumption Input'!$E$5:$AQ$82,'Consumption Input'!$B46)</f>
        <v>21.886576082000001</v>
      </c>
      <c r="F41" s="883"/>
      <c r="G41" s="883"/>
      <c r="H41" s="883"/>
      <c r="I41" s="883">
        <f t="shared" si="63"/>
        <v>21.886576082000001</v>
      </c>
      <c r="J41" s="961"/>
      <c r="K41" s="940">
        <f>HLOOKUP($B$2,NEUConsumption,'Non-Energy Use'!$C$21)</f>
        <v>21.886576082000001</v>
      </c>
      <c r="L41" s="940"/>
      <c r="M41" s="940"/>
      <c r="N41" s="885">
        <f t="shared" si="40"/>
        <v>0</v>
      </c>
      <c r="O41" s="883">
        <f t="shared" si="41"/>
        <v>0</v>
      </c>
      <c r="P41" s="883">
        <f t="shared" si="42"/>
        <v>0</v>
      </c>
      <c r="Q41" s="883">
        <f t="shared" si="43"/>
        <v>0</v>
      </c>
      <c r="R41" s="883">
        <f t="shared" si="44"/>
        <v>0</v>
      </c>
      <c r="S41" s="886">
        <f t="shared" si="45"/>
        <v>0</v>
      </c>
      <c r="T41" s="883">
        <f t="shared" si="4"/>
        <v>0</v>
      </c>
      <c r="U41" s="887">
        <f>Factors!D55</f>
        <v>19.795754182606267</v>
      </c>
      <c r="V41" s="899">
        <f t="shared" si="46"/>
        <v>0</v>
      </c>
      <c r="W41" s="900">
        <f t="shared" si="47"/>
        <v>0</v>
      </c>
      <c r="X41" s="900">
        <f t="shared" si="48"/>
        <v>0</v>
      </c>
      <c r="Y41" s="900">
        <f t="shared" si="49"/>
        <v>0</v>
      </c>
      <c r="Z41" s="900">
        <f t="shared" si="50"/>
        <v>0</v>
      </c>
      <c r="AA41" s="900">
        <f t="shared" si="51"/>
        <v>0</v>
      </c>
      <c r="AB41" s="883">
        <f t="shared" si="34"/>
        <v>0</v>
      </c>
      <c r="AC41" s="888">
        <f>Factors!E55</f>
        <v>1</v>
      </c>
      <c r="AD41" s="885">
        <f t="shared" si="57"/>
        <v>0</v>
      </c>
      <c r="AE41" s="883">
        <f t="shared" si="58"/>
        <v>0</v>
      </c>
      <c r="AF41" s="883">
        <f t="shared" si="59"/>
        <v>0</v>
      </c>
      <c r="AG41" s="883">
        <f t="shared" si="62"/>
        <v>0</v>
      </c>
      <c r="AH41" s="883">
        <f t="shared" si="60"/>
        <v>0</v>
      </c>
      <c r="AI41" s="883">
        <f t="shared" si="61"/>
        <v>0</v>
      </c>
      <c r="AJ41" s="889">
        <f t="shared" si="6"/>
        <v>0</v>
      </c>
      <c r="AK41" s="885">
        <f t="shared" si="27"/>
        <v>0</v>
      </c>
      <c r="AL41" s="883">
        <f t="shared" si="28"/>
        <v>0</v>
      </c>
      <c r="AM41" s="883">
        <f t="shared" si="29"/>
        <v>0</v>
      </c>
      <c r="AN41" s="883">
        <f t="shared" si="30"/>
        <v>0</v>
      </c>
      <c r="AO41" s="883">
        <f t="shared" si="31"/>
        <v>0</v>
      </c>
      <c r="AP41" s="883">
        <f t="shared" si="32"/>
        <v>0</v>
      </c>
      <c r="AQ41" s="890">
        <f t="shared" si="35"/>
        <v>0</v>
      </c>
    </row>
    <row r="42" spans="1:43" ht="11.1" thickBot="1">
      <c r="A42" s="817"/>
      <c r="B42" s="866" t="s">
        <v>82</v>
      </c>
      <c r="C42" s="917"/>
      <c r="D42" s="917"/>
      <c r="E42" s="917"/>
      <c r="F42" s="917"/>
      <c r="G42" s="917">
        <f>INDEX(Geothermal!$C$6:$AE$10,MATCH("Total",Geothermal!$C$6:$C$10,0),MATCH($B$2,Geothermal!$C$6:$AE$6,0))/Factors!$J$61*Factors!$J$55/BBtuToBtu*BBtuToTBtu</f>
        <v>49.942170728703992</v>
      </c>
      <c r="H42" s="917"/>
      <c r="I42" s="917">
        <f>G42</f>
        <v>49.942170728703992</v>
      </c>
      <c r="J42" s="968"/>
      <c r="K42" s="969"/>
      <c r="L42" s="970"/>
      <c r="M42" s="971"/>
      <c r="N42" s="917">
        <f t="shared" si="40"/>
        <v>0</v>
      </c>
      <c r="O42" s="917">
        <f t="shared" si="41"/>
        <v>0</v>
      </c>
      <c r="P42" s="917">
        <f>E42</f>
        <v>0</v>
      </c>
      <c r="Q42" s="917">
        <f>F42</f>
        <v>0</v>
      </c>
      <c r="R42" s="917">
        <f t="shared" si="44"/>
        <v>49.942170728703992</v>
      </c>
      <c r="S42" s="917">
        <f>H42</f>
        <v>0</v>
      </c>
      <c r="T42" s="917">
        <f t="shared" si="4"/>
        <v>49.942170728703992</v>
      </c>
      <c r="U42" s="921">
        <f>Factors!D56</f>
        <v>2.6974658424810825</v>
      </c>
      <c r="V42" s="917"/>
      <c r="W42" s="917"/>
      <c r="X42" s="917"/>
      <c r="Y42" s="917"/>
      <c r="Z42" s="917">
        <f>INDEX(Geothermal!$C$14:$AE$18,MATCH("Total",Geothermal!$C$14:$C$18,0),MATCH($B$2,Geothermal!$C$14:$AE$14,0))/CtoCO2</f>
        <v>0.1248852083452679</v>
      </c>
      <c r="AA42" s="917"/>
      <c r="AB42" s="917">
        <f t="shared" si="34"/>
        <v>0.1248852083452679</v>
      </c>
      <c r="AC42" s="921">
        <f>Factors!$E$56</f>
        <v>1</v>
      </c>
      <c r="AD42" s="917">
        <f t="shared" si="57"/>
        <v>0</v>
      </c>
      <c r="AE42" s="917">
        <f t="shared" si="58"/>
        <v>0</v>
      </c>
      <c r="AF42" s="917">
        <f t="shared" si="59"/>
        <v>0</v>
      </c>
      <c r="AG42" s="917">
        <f t="shared" si="62"/>
        <v>0</v>
      </c>
      <c r="AH42" s="917">
        <f t="shared" si="60"/>
        <v>0.1248852083452679</v>
      </c>
      <c r="AI42" s="917">
        <f t="shared" si="61"/>
        <v>0</v>
      </c>
      <c r="AJ42" s="920">
        <f t="shared" si="6"/>
        <v>0.1248852083452679</v>
      </c>
      <c r="AK42" s="919">
        <f t="shared" si="27"/>
        <v>0</v>
      </c>
      <c r="AL42" s="917">
        <f t="shared" si="28"/>
        <v>0</v>
      </c>
      <c r="AM42" s="917">
        <f t="shared" si="29"/>
        <v>0</v>
      </c>
      <c r="AN42" s="917">
        <f t="shared" si="30"/>
        <v>0</v>
      </c>
      <c r="AO42" s="917">
        <f t="shared" si="31"/>
        <v>0.45791243059931558</v>
      </c>
      <c r="AP42" s="917">
        <f t="shared" si="32"/>
        <v>0</v>
      </c>
      <c r="AQ42" s="920">
        <f t="shared" si="35"/>
        <v>0.45791243059931558</v>
      </c>
    </row>
    <row r="43" spans="1:43" ht="11.1" thickBot="1">
      <c r="A43" s="817"/>
      <c r="B43" s="867" t="s">
        <v>1740</v>
      </c>
      <c r="C43" s="922">
        <f>C8+C17+C18+C42</f>
        <v>6035.9013662373909</v>
      </c>
      <c r="D43" s="922">
        <f>D8+D17+D18+D42</f>
        <v>3882.9793106338357</v>
      </c>
      <c r="E43" s="922">
        <f>E8+E17+E18+E42</f>
        <v>18418.313138132253</v>
      </c>
      <c r="F43" s="922">
        <f>F8+F17+F18+F42</f>
        <v>27595.36431409897</v>
      </c>
      <c r="G43" s="922">
        <f>G8+G17+G18+G42</f>
        <v>28510.729170728704</v>
      </c>
      <c r="H43" s="922">
        <f>H16+H17+H18+H42</f>
        <v>744.3712083308244</v>
      </c>
      <c r="I43" s="922">
        <f>SUM(C43:H43)</f>
        <v>85187.658508161971</v>
      </c>
      <c r="J43" s="972">
        <f t="shared" ref="J43:S43" si="64">J8+J17+J18+J42</f>
        <v>1592.6978844944829</v>
      </c>
      <c r="K43" s="973">
        <f t="shared" si="64"/>
        <v>5150.8204907344116</v>
      </c>
      <c r="L43" s="974">
        <f t="shared" si="64"/>
        <v>152.23099999999999</v>
      </c>
      <c r="M43" s="975">
        <f t="shared" si="64"/>
        <v>110.98064553734055</v>
      </c>
      <c r="N43" s="922">
        <f t="shared" si="64"/>
        <v>6035.9013662373909</v>
      </c>
      <c r="O43" s="922">
        <f t="shared" si="64"/>
        <v>3882.9793106338357</v>
      </c>
      <c r="P43" s="922">
        <f t="shared" si="64"/>
        <v>13267.492647397838</v>
      </c>
      <c r="Q43" s="922">
        <f t="shared" si="64"/>
        <v>25850.435429604488</v>
      </c>
      <c r="R43" s="922">
        <f t="shared" si="64"/>
        <v>28510.729170728704</v>
      </c>
      <c r="S43" s="922">
        <f t="shared" si="64"/>
        <v>633.39056279348381</v>
      </c>
      <c r="T43" s="922">
        <f t="shared" si="4"/>
        <v>78180.928487395751</v>
      </c>
      <c r="U43" s="926" t="s">
        <v>1731</v>
      </c>
      <c r="V43" s="922">
        <f t="shared" ref="V43:AA43" si="65">V8+V17+V18+V42</f>
        <v>92.767261199495479</v>
      </c>
      <c r="W43" s="922">
        <f t="shared" si="65"/>
        <v>60.694706970169918</v>
      </c>
      <c r="X43" s="922">
        <f t="shared" si="65"/>
        <v>232.81334663945816</v>
      </c>
      <c r="Y43" s="922">
        <f t="shared" si="65"/>
        <v>507.47386295964725</v>
      </c>
      <c r="Z43" s="922">
        <f t="shared" si="65"/>
        <v>657.58290515671115</v>
      </c>
      <c r="AA43" s="922">
        <f t="shared" si="65"/>
        <v>12.721784751754596</v>
      </c>
      <c r="AB43" s="922">
        <f t="shared" si="34"/>
        <v>1564.0538676772364</v>
      </c>
      <c r="AC43" s="926" t="s">
        <v>1731</v>
      </c>
      <c r="AD43" s="922">
        <f t="shared" ref="AD43:AQ43" si="66">AD8+AD17+AD18+AD42</f>
        <v>92.767261199495479</v>
      </c>
      <c r="AE43" s="922">
        <f t="shared" si="66"/>
        <v>60.694706970169918</v>
      </c>
      <c r="AF43" s="922">
        <f t="shared" si="66"/>
        <v>232.81334663945816</v>
      </c>
      <c r="AG43" s="922">
        <f t="shared" si="66"/>
        <v>507.47386295964725</v>
      </c>
      <c r="AH43" s="922">
        <f t="shared" si="66"/>
        <v>657.58290515671115</v>
      </c>
      <c r="AI43" s="922">
        <f t="shared" si="66"/>
        <v>12.721784751754596</v>
      </c>
      <c r="AJ43" s="925">
        <f t="shared" si="66"/>
        <v>1564.0538676772364</v>
      </c>
      <c r="AK43" s="922">
        <f t="shared" si="66"/>
        <v>340.14662439815004</v>
      </c>
      <c r="AL43" s="922">
        <f t="shared" si="66"/>
        <v>222.54725889062303</v>
      </c>
      <c r="AM43" s="922">
        <f t="shared" si="66"/>
        <v>853.64893767801323</v>
      </c>
      <c r="AN43" s="922">
        <f t="shared" si="66"/>
        <v>1860.7374975187065</v>
      </c>
      <c r="AO43" s="922">
        <f t="shared" si="66"/>
        <v>2411.1373189079404</v>
      </c>
      <c r="AP43" s="922">
        <f t="shared" si="66"/>
        <v>46.646544089766849</v>
      </c>
      <c r="AQ43" s="925">
        <f t="shared" si="66"/>
        <v>5734.8641814831999</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ransitionEvaluation="1" transitionEntry="1" codeName="Sheet39">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1.33203125" style="152" bestFit="1" customWidth="1"/>
    <col min="10" max="11" width="9" style="152" customWidth="1"/>
    <col min="12" max="12" width="7" style="152" customWidth="1"/>
    <col min="13" max="13" width="9" style="152" customWidth="1"/>
    <col min="14" max="16" width="10" style="152" customWidth="1"/>
    <col min="17" max="17" width="9.6640625" style="152" customWidth="1"/>
    <col min="18" max="18" width="10.6640625" style="152" bestFit="1" customWidth="1"/>
    <col min="19" max="19" width="7" style="152" customWidth="1"/>
    <col min="20" max="20" width="10.6640625" customWidth="1"/>
    <col min="21" max="21" width="8" style="153" customWidth="1"/>
    <col min="22" max="27" width="7"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7" style="152" customWidth="1"/>
    <col min="36" max="36" width="8.6640625" style="152" customWidth="1"/>
    <col min="37" max="37" width="8.6640625" customWidth="1"/>
    <col min="38" max="38" width="9" customWidth="1"/>
    <col min="39" max="41" width="9.6640625" customWidth="1"/>
    <col min="42" max="42" width="6.6640625" bestFit="1" customWidth="1"/>
    <col min="43" max="43" width="11.5"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2008</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1759</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 t="shared" si="0"/>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78"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80.757000000000005</v>
      </c>
      <c r="E8" s="876">
        <f t="shared" si="1"/>
        <v>1160.9742032321776</v>
      </c>
      <c r="F8" s="876">
        <f t="shared" si="1"/>
        <v>0</v>
      </c>
      <c r="G8" s="876">
        <f t="shared" si="1"/>
        <v>20512.955000000002</v>
      </c>
      <c r="H8" s="876">
        <f t="shared" si="1"/>
        <v>37.24687728113885</v>
      </c>
      <c r="I8" s="876">
        <f t="shared" ref="I8:I14" si="2">SUM(C8:H8)</f>
        <v>21791.933080513318</v>
      </c>
      <c r="J8" s="877"/>
      <c r="K8" s="876">
        <f>SUM(K9:K16)</f>
        <v>40.189405156080433</v>
      </c>
      <c r="L8" s="876">
        <f>SUM(L9:L16)</f>
        <v>0</v>
      </c>
      <c r="M8" s="876"/>
      <c r="N8" s="878">
        <f t="shared" ref="N8:S8" si="3">SUM(N9:N16)</f>
        <v>0</v>
      </c>
      <c r="O8" s="876">
        <f t="shared" si="3"/>
        <v>80.757000000000005</v>
      </c>
      <c r="P8" s="876">
        <f t="shared" si="3"/>
        <v>1120.7847980760971</v>
      </c>
      <c r="Q8" s="876">
        <f t="shared" si="3"/>
        <v>0</v>
      </c>
      <c r="R8" s="876">
        <f t="shared" si="3"/>
        <v>20512.955000000002</v>
      </c>
      <c r="S8" s="879">
        <f t="shared" si="3"/>
        <v>37.24687728113885</v>
      </c>
      <c r="T8" s="876">
        <f t="shared" ref="T8:T43" si="4">SUM(N8:S8)</f>
        <v>21751.743675357236</v>
      </c>
      <c r="U8" s="928" t="s">
        <v>1731</v>
      </c>
      <c r="V8" s="929">
        <f>SUM(V9:V16)</f>
        <v>0</v>
      </c>
      <c r="W8" s="929">
        <f>SUM(W9:W16)</f>
        <v>2.0759150674649263</v>
      </c>
      <c r="X8" s="929">
        <f>SUM(X9:X16)</f>
        <v>28.929509779922483</v>
      </c>
      <c r="Y8" s="929"/>
      <c r="Z8" s="929">
        <f>SUM(Z9:Z16)</f>
        <v>534.1057107637057</v>
      </c>
      <c r="AA8" s="929">
        <f>SUM(AA9:AA16)</f>
        <v>0.93638649484783076</v>
      </c>
      <c r="AB8" s="929">
        <f t="shared" ref="AB8:AB13" si="5">SUM(V8:AA8)</f>
        <v>566.04752210594097</v>
      </c>
      <c r="AC8" s="930" t="s">
        <v>1731</v>
      </c>
      <c r="AD8" s="878">
        <f>SUM(AD9:AD16)</f>
        <v>0</v>
      </c>
      <c r="AE8" s="876">
        <f>SUM(AE9:AE16)</f>
        <v>2.0759150674649263</v>
      </c>
      <c r="AF8" s="876">
        <f>SUM(AF9:AF16)</f>
        <v>28.929509779922483</v>
      </c>
      <c r="AG8" s="876" t="s">
        <v>108</v>
      </c>
      <c r="AH8" s="876">
        <f>SUM(AH9:AH16)</f>
        <v>534.1057107637057</v>
      </c>
      <c r="AI8" s="876">
        <f>SUM(AI9:AI16)</f>
        <v>0.93638649484783076</v>
      </c>
      <c r="AJ8" s="876">
        <f t="shared" ref="AJ8:AJ42" si="6">SUM(AD8:AI8)</f>
        <v>566.04752210594097</v>
      </c>
      <c r="AK8" s="878">
        <f t="shared" ref="AK8:AP8" si="7">SUM(AK9:AK16)</f>
        <v>0</v>
      </c>
      <c r="AL8" s="876">
        <f t="shared" si="7"/>
        <v>7.6116885807047296</v>
      </c>
      <c r="AM8" s="876">
        <f t="shared" si="7"/>
        <v>106.0748691930491</v>
      </c>
      <c r="AN8" s="876">
        <f t="shared" si="7"/>
        <v>0</v>
      </c>
      <c r="AO8" s="876">
        <f t="shared" si="7"/>
        <v>1958.3876061335875</v>
      </c>
      <c r="AP8" s="876">
        <f t="shared" si="7"/>
        <v>3.4334171477753794</v>
      </c>
      <c r="AQ8" s="882">
        <f t="shared" ref="AQ8:AQ14" si="8">SUM(AK8:AP8)</f>
        <v>2075.5075810551166</v>
      </c>
    </row>
    <row r="9" spans="1:43">
      <c r="A9" s="817"/>
      <c r="B9" s="860" t="s">
        <v>1732</v>
      </c>
      <c r="C9" s="883">
        <f>HLOOKUP($B$2,'Consumption Input'!$E$5:$AQ$82,'Consumption Input'!$B7)</f>
        <v>0</v>
      </c>
      <c r="D9" s="883"/>
      <c r="E9" s="883"/>
      <c r="F9" s="883"/>
      <c r="G9" s="883"/>
      <c r="H9" s="883"/>
      <c r="I9" s="883">
        <f t="shared" si="2"/>
        <v>0</v>
      </c>
      <c r="J9" s="884"/>
      <c r="K9" s="883"/>
      <c r="L9" s="883"/>
      <c r="M9" s="883"/>
      <c r="N9" s="885">
        <f t="shared" ref="N9:N17" si="9">C9</f>
        <v>0</v>
      </c>
      <c r="O9" s="883">
        <f t="shared" ref="O9:O17" si="10">D9</f>
        <v>0</v>
      </c>
      <c r="P9" s="883">
        <f t="shared" ref="P9:P17" si="11">E9-K9</f>
        <v>0</v>
      </c>
      <c r="Q9" s="883">
        <f t="shared" ref="Q9:Q17" si="12">F9</f>
        <v>0</v>
      </c>
      <c r="R9" s="883">
        <f t="shared" ref="R9:R17" si="13">G9</f>
        <v>0</v>
      </c>
      <c r="S9" s="886">
        <f t="shared" ref="S9:S17" si="14">H9</f>
        <v>0</v>
      </c>
      <c r="T9" s="883">
        <f t="shared" si="4"/>
        <v>0</v>
      </c>
      <c r="U9" s="931">
        <f>HLOOKUP($B$2,Factors!$J$12:$AB$25,Factors!$H13,FALSE)</f>
        <v>25.705698174336916</v>
      </c>
      <c r="V9" s="932">
        <f t="shared" ref="V9:V17" si="15">N9*$U9*TbtuToQBtu</f>
        <v>0</v>
      </c>
      <c r="W9" s="933">
        <f t="shared" ref="W9:W17" si="16">O9*$U9*TbtuToQBtu</f>
        <v>0</v>
      </c>
      <c r="X9" s="933">
        <f t="shared" ref="X9:X17" si="17">P9*$U9*TbtuToQBtu</f>
        <v>0</v>
      </c>
      <c r="Y9" s="933">
        <f t="shared" ref="Y9:Y17" si="18">Q9*$U9*TbtuToQBtu</f>
        <v>0</v>
      </c>
      <c r="Z9" s="933">
        <f t="shared" ref="Z9:Z17" si="19">R9*$U9*TbtuToQBtu</f>
        <v>0</v>
      </c>
      <c r="AA9" s="933">
        <f t="shared" ref="AA9:AA17" si="20">S9*$U9*TbtuToQBtu</f>
        <v>0</v>
      </c>
      <c r="AB9" s="933">
        <f t="shared" si="5"/>
        <v>0</v>
      </c>
      <c r="AC9" s="934">
        <f>Factors!E10</f>
        <v>1</v>
      </c>
      <c r="AD9" s="885">
        <f t="shared" ref="AD9:AD17" si="21">V9*$AC9</f>
        <v>0</v>
      </c>
      <c r="AE9" s="883">
        <f t="shared" ref="AE9:AE17" si="22">W9*$AC9</f>
        <v>0</v>
      </c>
      <c r="AF9" s="883">
        <f t="shared" ref="AF9:AF17" si="23">X9*$AC9</f>
        <v>0</v>
      </c>
      <c r="AG9" s="883">
        <f t="shared" ref="AG9:AG17" si="24">Y9*$AC9</f>
        <v>0</v>
      </c>
      <c r="AH9" s="883">
        <f t="shared" ref="AH9:AH17" si="25">Z9*$AC9</f>
        <v>0</v>
      </c>
      <c r="AI9" s="883">
        <f t="shared" ref="AI9:AI17" si="26">AA9*$AC9</f>
        <v>0</v>
      </c>
      <c r="AJ9" s="889">
        <f t="shared" si="6"/>
        <v>0</v>
      </c>
      <c r="AK9" s="885">
        <f t="shared" ref="AK9:AK42" si="27">AD9*CtoCO2</f>
        <v>0</v>
      </c>
      <c r="AL9" s="883">
        <f t="shared" ref="AL9:AL42" si="28">AE9*CtoCO2</f>
        <v>0</v>
      </c>
      <c r="AM9" s="883">
        <f t="shared" ref="AM9:AM42" si="29">AF9*CtoCO2</f>
        <v>0</v>
      </c>
      <c r="AN9" s="883">
        <f t="shared" ref="AN9:AN42" si="30">AG9*CtoCO2</f>
        <v>0</v>
      </c>
      <c r="AO9" s="883">
        <f t="shared" ref="AO9:AO42" si="31">AH9*CtoCO2</f>
        <v>0</v>
      </c>
      <c r="AP9" s="883">
        <f t="shared" ref="AP9:AP42" si="32">AI9*CtoCO2</f>
        <v>0</v>
      </c>
      <c r="AQ9" s="890">
        <f t="shared" si="8"/>
        <v>0</v>
      </c>
    </row>
    <row r="10" spans="1:43">
      <c r="A10" s="817"/>
      <c r="B10" s="860" t="s">
        <v>1733</v>
      </c>
      <c r="C10" s="883"/>
      <c r="D10" s="883">
        <f>HLOOKUP($B$2,'Consumption Input'!$E$5:$AQ$82,'Consumption Input'!$B13)</f>
        <v>80.757000000000005</v>
      </c>
      <c r="E10" s="883"/>
      <c r="F10" s="883"/>
      <c r="G10" s="883"/>
      <c r="H10" s="883"/>
      <c r="I10" s="883">
        <f t="shared" si="2"/>
        <v>80.757000000000005</v>
      </c>
      <c r="J10" s="884"/>
      <c r="K10" s="883"/>
      <c r="L10" s="883"/>
      <c r="M10" s="883"/>
      <c r="N10" s="885">
        <f t="shared" si="9"/>
        <v>0</v>
      </c>
      <c r="O10" s="883">
        <f t="shared" si="10"/>
        <v>80.757000000000005</v>
      </c>
      <c r="P10" s="883">
        <f t="shared" si="11"/>
        <v>0</v>
      </c>
      <c r="Q10" s="883">
        <f t="shared" si="12"/>
        <v>0</v>
      </c>
      <c r="R10" s="883">
        <f t="shared" si="13"/>
        <v>0</v>
      </c>
      <c r="S10" s="886">
        <f t="shared" si="14"/>
        <v>0</v>
      </c>
      <c r="T10" s="883">
        <f t="shared" si="4"/>
        <v>80.757000000000005</v>
      </c>
      <c r="U10" s="931">
        <f>HLOOKUP($B$2,Factors!$J$12:$AB$25,Factors!$H14,FALSE)</f>
        <v>25.705698174336916</v>
      </c>
      <c r="V10" s="932">
        <f t="shared" si="15"/>
        <v>0</v>
      </c>
      <c r="W10" s="933">
        <f t="shared" si="16"/>
        <v>2.0759150674649263</v>
      </c>
      <c r="X10" s="933">
        <f t="shared" si="17"/>
        <v>0</v>
      </c>
      <c r="Y10" s="933">
        <f t="shared" si="18"/>
        <v>0</v>
      </c>
      <c r="Z10" s="933">
        <f t="shared" si="19"/>
        <v>0</v>
      </c>
      <c r="AA10" s="933">
        <f t="shared" si="20"/>
        <v>0</v>
      </c>
      <c r="AB10" s="933">
        <f t="shared" si="5"/>
        <v>2.0759150674649263</v>
      </c>
      <c r="AC10" s="934">
        <f>Factors!E11</f>
        <v>1</v>
      </c>
      <c r="AD10" s="885">
        <f t="shared" si="21"/>
        <v>0</v>
      </c>
      <c r="AE10" s="883">
        <f t="shared" si="22"/>
        <v>2.0759150674649263</v>
      </c>
      <c r="AF10" s="883">
        <f t="shared" si="23"/>
        <v>0</v>
      </c>
      <c r="AG10" s="883">
        <f t="shared" si="24"/>
        <v>0</v>
      </c>
      <c r="AH10" s="883">
        <f t="shared" si="25"/>
        <v>0</v>
      </c>
      <c r="AI10" s="883">
        <f t="shared" si="26"/>
        <v>0</v>
      </c>
      <c r="AJ10" s="889">
        <f t="shared" si="6"/>
        <v>2.0759150674649263</v>
      </c>
      <c r="AK10" s="885">
        <f t="shared" si="27"/>
        <v>0</v>
      </c>
      <c r="AL10" s="883">
        <f t="shared" si="28"/>
        <v>7.6116885807047296</v>
      </c>
      <c r="AM10" s="883">
        <f t="shared" si="29"/>
        <v>0</v>
      </c>
      <c r="AN10" s="883">
        <f t="shared" si="30"/>
        <v>0</v>
      </c>
      <c r="AO10" s="883">
        <f t="shared" si="31"/>
        <v>0</v>
      </c>
      <c r="AP10" s="883">
        <f t="shared" si="32"/>
        <v>0</v>
      </c>
      <c r="AQ10" s="890">
        <f t="shared" si="8"/>
        <v>7.6116885807047296</v>
      </c>
    </row>
    <row r="11" spans="1:43" s="244" customFormat="1" hidden="1">
      <c r="A11" s="861"/>
      <c r="B11" s="862" t="s">
        <v>1734</v>
      </c>
      <c r="C11" s="891"/>
      <c r="D11" s="891"/>
      <c r="E11" s="891">
        <f>HLOOKUP($B$2,'Consumption Input'!$E$5:$AQ$82,'Consumption Input'!$B23)</f>
        <v>29.160207416902495</v>
      </c>
      <c r="F11" s="891"/>
      <c r="G11" s="891"/>
      <c r="H11" s="891"/>
      <c r="I11" s="891">
        <f t="shared" si="2"/>
        <v>29.160207416902495</v>
      </c>
      <c r="J11" s="892"/>
      <c r="K11" s="891">
        <f>HLOOKUP($B$2,NEUConsumption,'Non-Energy Use'!$C$7)</f>
        <v>29.160207416902495</v>
      </c>
      <c r="L11" s="891"/>
      <c r="M11" s="891"/>
      <c r="N11" s="893">
        <f t="shared" si="9"/>
        <v>0</v>
      </c>
      <c r="O11" s="891">
        <f t="shared" si="10"/>
        <v>0</v>
      </c>
      <c r="P11" s="891">
        <f t="shared" si="11"/>
        <v>0</v>
      </c>
      <c r="Q11" s="891">
        <f t="shared" si="12"/>
        <v>0</v>
      </c>
      <c r="R11" s="891">
        <f t="shared" si="13"/>
        <v>0</v>
      </c>
      <c r="S11" s="894">
        <f t="shared" si="14"/>
        <v>0</v>
      </c>
      <c r="T11" s="891">
        <f t="shared" si="4"/>
        <v>0</v>
      </c>
      <c r="U11" s="1013">
        <f>HLOOKUP($B$2,Factors!$J$12:$BE$28,Factors!$H28,FALSE)</f>
        <v>25.60706535359062</v>
      </c>
      <c r="V11" s="936">
        <f t="shared" si="15"/>
        <v>0</v>
      </c>
      <c r="W11" s="937">
        <f t="shared" si="16"/>
        <v>0</v>
      </c>
      <c r="X11" s="937">
        <f t="shared" si="17"/>
        <v>0</v>
      </c>
      <c r="Y11" s="937">
        <f t="shared" si="18"/>
        <v>0</v>
      </c>
      <c r="Z11" s="937">
        <f t="shared" si="19"/>
        <v>0</v>
      </c>
      <c r="AA11" s="937">
        <f t="shared" si="20"/>
        <v>0</v>
      </c>
      <c r="AB11" s="937">
        <f t="shared" si="5"/>
        <v>0</v>
      </c>
      <c r="AC11" s="938">
        <f>Factors!E12</f>
        <v>1</v>
      </c>
      <c r="AD11" s="893">
        <f t="shared" si="21"/>
        <v>0</v>
      </c>
      <c r="AE11" s="891">
        <f t="shared" si="22"/>
        <v>0</v>
      </c>
      <c r="AF11" s="891">
        <f t="shared" si="23"/>
        <v>0</v>
      </c>
      <c r="AG11" s="891">
        <f t="shared" si="24"/>
        <v>0</v>
      </c>
      <c r="AH11" s="891">
        <f t="shared" si="25"/>
        <v>0</v>
      </c>
      <c r="AI11" s="891">
        <f t="shared" si="26"/>
        <v>0</v>
      </c>
      <c r="AJ11" s="897">
        <f t="shared" si="6"/>
        <v>0</v>
      </c>
      <c r="AK11" s="893">
        <f t="shared" si="27"/>
        <v>0</v>
      </c>
      <c r="AL11" s="891">
        <f t="shared" si="28"/>
        <v>0</v>
      </c>
      <c r="AM11" s="891">
        <f t="shared" si="29"/>
        <v>0</v>
      </c>
      <c r="AN11" s="891">
        <f t="shared" si="30"/>
        <v>0</v>
      </c>
      <c r="AO11" s="891">
        <f t="shared" si="31"/>
        <v>0</v>
      </c>
      <c r="AP11" s="891">
        <f t="shared" si="32"/>
        <v>0</v>
      </c>
      <c r="AQ11" s="898">
        <f t="shared" si="8"/>
        <v>0</v>
      </c>
    </row>
    <row r="12" spans="1:43">
      <c r="A12" s="817"/>
      <c r="B12" s="860" t="s">
        <v>1701</v>
      </c>
      <c r="C12" s="883"/>
      <c r="D12" s="883"/>
      <c r="E12" s="883">
        <f>HLOOKUP($B$2,'Consumption Input'!$E$5:$AQ$82,'Consumption Input'!$B24)</f>
        <v>1131.8139958152751</v>
      </c>
      <c r="F12" s="883"/>
      <c r="G12" s="883"/>
      <c r="H12" s="883"/>
      <c r="I12" s="883">
        <f t="shared" si="2"/>
        <v>1131.8139958152751</v>
      </c>
      <c r="J12" s="884"/>
      <c r="K12" s="883">
        <f>HLOOKUP($B$2,NEUConsumption,'Non-Energy Use'!$C$8)</f>
        <v>11.02919773917794</v>
      </c>
      <c r="L12" s="883"/>
      <c r="M12" s="883"/>
      <c r="N12" s="885">
        <f t="shared" si="9"/>
        <v>0</v>
      </c>
      <c r="O12" s="883">
        <f t="shared" si="10"/>
        <v>0</v>
      </c>
      <c r="P12" s="883">
        <f t="shared" si="11"/>
        <v>1120.7847980760971</v>
      </c>
      <c r="Q12" s="883">
        <f t="shared" si="12"/>
        <v>0</v>
      </c>
      <c r="R12" s="883">
        <f t="shared" si="13"/>
        <v>0</v>
      </c>
      <c r="S12" s="886">
        <f t="shared" si="14"/>
        <v>0</v>
      </c>
      <c r="T12" s="883">
        <f t="shared" si="4"/>
        <v>1120.7847980760971</v>
      </c>
      <c r="U12" s="931">
        <f>HLOOKUP($B$2,Factors!$J$12:$AB$25,Factors!$H15,FALSE)</f>
        <v>25.81183277073524</v>
      </c>
      <c r="V12" s="932">
        <f t="shared" si="15"/>
        <v>0</v>
      </c>
      <c r="W12" s="933">
        <f t="shared" si="16"/>
        <v>0</v>
      </c>
      <c r="X12" s="939">
        <f t="shared" si="17"/>
        <v>28.929509779922483</v>
      </c>
      <c r="Y12" s="933">
        <f t="shared" si="18"/>
        <v>0</v>
      </c>
      <c r="Z12" s="933">
        <f t="shared" si="19"/>
        <v>0</v>
      </c>
      <c r="AA12" s="933">
        <f t="shared" si="20"/>
        <v>0</v>
      </c>
      <c r="AB12" s="933">
        <f t="shared" si="5"/>
        <v>28.929509779922483</v>
      </c>
      <c r="AC12" s="934">
        <f>Factors!E13</f>
        <v>1</v>
      </c>
      <c r="AD12" s="885">
        <f t="shared" si="21"/>
        <v>0</v>
      </c>
      <c r="AE12" s="883">
        <f t="shared" si="22"/>
        <v>0</v>
      </c>
      <c r="AF12" s="940">
        <f t="shared" si="23"/>
        <v>28.929509779922483</v>
      </c>
      <c r="AG12" s="883">
        <f t="shared" si="24"/>
        <v>0</v>
      </c>
      <c r="AH12" s="883">
        <f t="shared" si="25"/>
        <v>0</v>
      </c>
      <c r="AI12" s="883">
        <f t="shared" si="26"/>
        <v>0</v>
      </c>
      <c r="AJ12" s="889">
        <f t="shared" si="6"/>
        <v>28.929509779922483</v>
      </c>
      <c r="AK12" s="885">
        <f t="shared" si="27"/>
        <v>0</v>
      </c>
      <c r="AL12" s="883">
        <f t="shared" si="28"/>
        <v>0</v>
      </c>
      <c r="AM12" s="883">
        <f t="shared" si="29"/>
        <v>106.0748691930491</v>
      </c>
      <c r="AN12" s="883">
        <f t="shared" si="30"/>
        <v>0</v>
      </c>
      <c r="AO12" s="883">
        <f t="shared" si="31"/>
        <v>0</v>
      </c>
      <c r="AP12" s="883">
        <f t="shared" si="32"/>
        <v>0</v>
      </c>
      <c r="AQ12" s="890">
        <f t="shared" si="8"/>
        <v>106.0748691930491</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9"/>
        <v>0</v>
      </c>
      <c r="O13" s="891">
        <f t="shared" si="10"/>
        <v>0</v>
      </c>
      <c r="P13" s="891">
        <f t="shared" si="11"/>
        <v>0</v>
      </c>
      <c r="Q13" s="891">
        <f t="shared" si="12"/>
        <v>0</v>
      </c>
      <c r="R13" s="891">
        <f t="shared" si="13"/>
        <v>0</v>
      </c>
      <c r="S13" s="894">
        <f t="shared" si="14"/>
        <v>0</v>
      </c>
      <c r="T13" s="891">
        <f t="shared" si="4"/>
        <v>0</v>
      </c>
      <c r="U13" s="935">
        <f>Factors!D14</f>
        <v>27.85</v>
      </c>
      <c r="V13" s="936">
        <f t="shared" si="15"/>
        <v>0</v>
      </c>
      <c r="W13" s="937">
        <f t="shared" si="16"/>
        <v>0</v>
      </c>
      <c r="X13" s="937">
        <f t="shared" si="17"/>
        <v>0</v>
      </c>
      <c r="Y13" s="937">
        <f t="shared" si="18"/>
        <v>0</v>
      </c>
      <c r="Z13" s="937">
        <f t="shared" si="19"/>
        <v>0</v>
      </c>
      <c r="AA13" s="937">
        <f t="shared" si="20"/>
        <v>0</v>
      </c>
      <c r="AB13" s="937">
        <f t="shared" si="5"/>
        <v>0</v>
      </c>
      <c r="AC13" s="938">
        <f>Factors!E14</f>
        <v>1</v>
      </c>
      <c r="AD13" s="893">
        <f t="shared" si="21"/>
        <v>0</v>
      </c>
      <c r="AE13" s="891">
        <f t="shared" si="22"/>
        <v>0</v>
      </c>
      <c r="AF13" s="891">
        <f t="shared" si="23"/>
        <v>0</v>
      </c>
      <c r="AG13" s="891">
        <f t="shared" si="24"/>
        <v>0</v>
      </c>
      <c r="AH13" s="891">
        <f t="shared" si="25"/>
        <v>0</v>
      </c>
      <c r="AI13" s="891">
        <f t="shared" si="26"/>
        <v>0</v>
      </c>
      <c r="AJ13" s="897">
        <f t="shared" si="6"/>
        <v>0</v>
      </c>
      <c r="AK13" s="893">
        <f t="shared" si="27"/>
        <v>0</v>
      </c>
      <c r="AL13" s="891">
        <f t="shared" si="28"/>
        <v>0</v>
      </c>
      <c r="AM13" s="891">
        <f t="shared" si="29"/>
        <v>0</v>
      </c>
      <c r="AN13" s="891">
        <f t="shared" si="30"/>
        <v>0</v>
      </c>
      <c r="AO13" s="891">
        <f t="shared" si="31"/>
        <v>0</v>
      </c>
      <c r="AP13" s="891">
        <f t="shared" si="32"/>
        <v>0</v>
      </c>
      <c r="AQ13" s="890">
        <f t="shared" si="8"/>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9"/>
        <v>0</v>
      </c>
      <c r="O14" s="883">
        <f t="shared" si="10"/>
        <v>0</v>
      </c>
      <c r="P14" s="883">
        <f t="shared" si="11"/>
        <v>0</v>
      </c>
      <c r="Q14" s="883">
        <f t="shared" si="12"/>
        <v>0</v>
      </c>
      <c r="R14" s="883">
        <f t="shared" si="13"/>
        <v>0</v>
      </c>
      <c r="S14" s="886">
        <f t="shared" si="14"/>
        <v>0</v>
      </c>
      <c r="T14" s="883">
        <f t="shared" si="4"/>
        <v>0</v>
      </c>
      <c r="U14" s="931" t="str">
        <f>Factors!D15</f>
        <v>NC</v>
      </c>
      <c r="V14" s="932">
        <f t="shared" si="15"/>
        <v>0</v>
      </c>
      <c r="W14" s="933">
        <f t="shared" si="16"/>
        <v>0</v>
      </c>
      <c r="X14" s="933">
        <f t="shared" si="17"/>
        <v>0</v>
      </c>
      <c r="Y14" s="933">
        <f t="shared" si="18"/>
        <v>0</v>
      </c>
      <c r="Z14" s="933">
        <f t="shared" si="19"/>
        <v>0</v>
      </c>
      <c r="AA14" s="933">
        <f t="shared" si="20"/>
        <v>0</v>
      </c>
      <c r="AB14" s="933" t="s">
        <v>103</v>
      </c>
      <c r="AC14" s="934" t="str">
        <f>Factors!E15</f>
        <v>NC</v>
      </c>
      <c r="AD14" s="885">
        <f t="shared" si="21"/>
        <v>0</v>
      </c>
      <c r="AE14" s="883">
        <f t="shared" si="22"/>
        <v>0</v>
      </c>
      <c r="AF14" s="883">
        <f t="shared" si="23"/>
        <v>0</v>
      </c>
      <c r="AG14" s="883">
        <f t="shared" si="24"/>
        <v>0</v>
      </c>
      <c r="AH14" s="883">
        <f t="shared" si="25"/>
        <v>0</v>
      </c>
      <c r="AI14" s="883">
        <f t="shared" si="26"/>
        <v>0</v>
      </c>
      <c r="AJ14" s="889">
        <f t="shared" si="6"/>
        <v>0</v>
      </c>
      <c r="AK14" s="885">
        <f t="shared" si="27"/>
        <v>0</v>
      </c>
      <c r="AL14" s="883">
        <f t="shared" si="28"/>
        <v>0</v>
      </c>
      <c r="AM14" s="883">
        <f t="shared" si="29"/>
        <v>0</v>
      </c>
      <c r="AN14" s="883">
        <f t="shared" si="30"/>
        <v>0</v>
      </c>
      <c r="AO14" s="883">
        <f t="shared" si="31"/>
        <v>0</v>
      </c>
      <c r="AP14" s="883">
        <f t="shared" si="32"/>
        <v>0</v>
      </c>
      <c r="AQ14" s="890">
        <f t="shared" si="8"/>
        <v>0</v>
      </c>
    </row>
    <row r="15" spans="1:43">
      <c r="A15" s="817"/>
      <c r="B15" s="860" t="s">
        <v>1736</v>
      </c>
      <c r="C15" s="883"/>
      <c r="D15" s="883"/>
      <c r="E15" s="883"/>
      <c r="F15" s="883"/>
      <c r="G15" s="883">
        <f>HLOOKUP($B$2,'Consumption Input'!$E$5:$AQ$82,'Consumption Input'!$B58)</f>
        <v>20512.955000000002</v>
      </c>
      <c r="H15" s="883"/>
      <c r="I15" s="883">
        <f t="shared" ref="I15:I28" si="33">SUM(C15:H15)</f>
        <v>20512.955000000002</v>
      </c>
      <c r="J15" s="884"/>
      <c r="K15" s="883"/>
      <c r="L15" s="883"/>
      <c r="M15" s="883"/>
      <c r="N15" s="885">
        <f t="shared" si="9"/>
        <v>0</v>
      </c>
      <c r="O15" s="883">
        <f t="shared" si="10"/>
        <v>0</v>
      </c>
      <c r="P15" s="883">
        <f t="shared" si="11"/>
        <v>0</v>
      </c>
      <c r="Q15" s="883">
        <f t="shared" si="12"/>
        <v>0</v>
      </c>
      <c r="R15" s="883">
        <f t="shared" si="13"/>
        <v>20512.955000000002</v>
      </c>
      <c r="S15" s="886">
        <f t="shared" si="14"/>
        <v>0</v>
      </c>
      <c r="T15" s="883">
        <f t="shared" si="4"/>
        <v>20512.955000000002</v>
      </c>
      <c r="U15" s="931">
        <f>HLOOKUP($B$2,Factors!$J$12:$AB$25,Factors!$H16,FALSE)</f>
        <v>26.037482691484755</v>
      </c>
      <c r="V15" s="932">
        <f t="shared" si="15"/>
        <v>0</v>
      </c>
      <c r="W15" s="933">
        <f t="shared" si="16"/>
        <v>0</v>
      </c>
      <c r="X15" s="933">
        <f t="shared" si="17"/>
        <v>0</v>
      </c>
      <c r="Y15" s="933">
        <f t="shared" si="18"/>
        <v>0</v>
      </c>
      <c r="Z15" s="933">
        <f t="shared" si="19"/>
        <v>534.1057107637057</v>
      </c>
      <c r="AA15" s="933">
        <f t="shared" si="20"/>
        <v>0</v>
      </c>
      <c r="AB15" s="933">
        <f t="shared" ref="AB15:AB43" si="34">SUM(V15:AA15)</f>
        <v>534.1057107637057</v>
      </c>
      <c r="AC15" s="934">
        <f>Factors!E16</f>
        <v>1</v>
      </c>
      <c r="AD15" s="885">
        <f t="shared" si="21"/>
        <v>0</v>
      </c>
      <c r="AE15" s="883">
        <f t="shared" si="22"/>
        <v>0</v>
      </c>
      <c r="AF15" s="883">
        <f t="shared" si="23"/>
        <v>0</v>
      </c>
      <c r="AG15" s="883">
        <f t="shared" si="24"/>
        <v>0</v>
      </c>
      <c r="AH15" s="883">
        <f t="shared" si="25"/>
        <v>534.1057107637057</v>
      </c>
      <c r="AI15" s="883">
        <f t="shared" si="26"/>
        <v>0</v>
      </c>
      <c r="AJ15" s="889">
        <f t="shared" si="6"/>
        <v>534.1057107637057</v>
      </c>
      <c r="AK15" s="885">
        <f t="shared" si="27"/>
        <v>0</v>
      </c>
      <c r="AL15" s="883">
        <f t="shared" si="28"/>
        <v>0</v>
      </c>
      <c r="AM15" s="883">
        <f t="shared" si="29"/>
        <v>0</v>
      </c>
      <c r="AN15" s="883">
        <f t="shared" si="30"/>
        <v>0</v>
      </c>
      <c r="AO15" s="883">
        <f t="shared" si="31"/>
        <v>1958.3876061335875</v>
      </c>
      <c r="AP15" s="883">
        <f t="shared" si="32"/>
        <v>0</v>
      </c>
      <c r="AQ15" s="890">
        <f t="shared" ref="AQ15:AQ42" si="35">SUM(AK15:AP15)</f>
        <v>1958.3876061335875</v>
      </c>
    </row>
    <row r="16" spans="1:43">
      <c r="A16" s="817"/>
      <c r="B16" s="860" t="s">
        <v>1737</v>
      </c>
      <c r="C16" s="883"/>
      <c r="D16" s="883"/>
      <c r="E16" s="883"/>
      <c r="F16" s="883"/>
      <c r="G16" s="883"/>
      <c r="H16" s="883">
        <f>HLOOKUP($B$2,'US Territories'!$D$28:$Z$38,'US Territories'!$B29)</f>
        <v>37.24687728113885</v>
      </c>
      <c r="I16" s="883">
        <f t="shared" si="33"/>
        <v>37.24687728113885</v>
      </c>
      <c r="J16" s="884"/>
      <c r="K16" s="883"/>
      <c r="L16" s="883"/>
      <c r="M16" s="883"/>
      <c r="N16" s="885">
        <f t="shared" si="9"/>
        <v>0</v>
      </c>
      <c r="O16" s="883">
        <f t="shared" si="10"/>
        <v>0</v>
      </c>
      <c r="P16" s="883">
        <f t="shared" si="11"/>
        <v>0</v>
      </c>
      <c r="Q16" s="883">
        <f t="shared" si="12"/>
        <v>0</v>
      </c>
      <c r="R16" s="883">
        <f t="shared" si="13"/>
        <v>0</v>
      </c>
      <c r="S16" s="886">
        <f t="shared" si="14"/>
        <v>37.24687728113885</v>
      </c>
      <c r="T16" s="883">
        <f t="shared" si="4"/>
        <v>37.24687728113885</v>
      </c>
      <c r="U16" s="931">
        <f>Factors!D17</f>
        <v>25.14</v>
      </c>
      <c r="V16" s="941">
        <f t="shared" si="15"/>
        <v>0</v>
      </c>
      <c r="W16" s="942">
        <f t="shared" si="16"/>
        <v>0</v>
      </c>
      <c r="X16" s="942">
        <f t="shared" si="17"/>
        <v>0</v>
      </c>
      <c r="Y16" s="942">
        <f t="shared" si="18"/>
        <v>0</v>
      </c>
      <c r="Z16" s="942">
        <f t="shared" si="19"/>
        <v>0</v>
      </c>
      <c r="AA16" s="942">
        <f t="shared" si="20"/>
        <v>0.93638649484783076</v>
      </c>
      <c r="AB16" s="933">
        <f t="shared" si="34"/>
        <v>0.93638649484783076</v>
      </c>
      <c r="AC16" s="934">
        <f>Factors!E17</f>
        <v>1</v>
      </c>
      <c r="AD16" s="899">
        <f t="shared" si="21"/>
        <v>0</v>
      </c>
      <c r="AE16" s="900">
        <f t="shared" si="22"/>
        <v>0</v>
      </c>
      <c r="AF16" s="900">
        <f t="shared" si="23"/>
        <v>0</v>
      </c>
      <c r="AG16" s="900">
        <f t="shared" si="24"/>
        <v>0</v>
      </c>
      <c r="AH16" s="900">
        <f t="shared" si="25"/>
        <v>0</v>
      </c>
      <c r="AI16" s="900">
        <f t="shared" si="26"/>
        <v>0.93638649484783076</v>
      </c>
      <c r="AJ16" s="889">
        <f t="shared" si="6"/>
        <v>0.93638649484783076</v>
      </c>
      <c r="AK16" s="885">
        <f t="shared" si="27"/>
        <v>0</v>
      </c>
      <c r="AL16" s="883">
        <f t="shared" si="28"/>
        <v>0</v>
      </c>
      <c r="AM16" s="883">
        <f t="shared" si="29"/>
        <v>0</v>
      </c>
      <c r="AN16" s="883">
        <f t="shared" si="30"/>
        <v>0</v>
      </c>
      <c r="AO16" s="883">
        <f t="shared" si="31"/>
        <v>0</v>
      </c>
      <c r="AP16" s="883">
        <f t="shared" si="32"/>
        <v>3.4334171477753794</v>
      </c>
      <c r="AQ16" s="943">
        <f t="shared" si="35"/>
        <v>3.4334171477753794</v>
      </c>
    </row>
    <row r="17" spans="1:43">
      <c r="A17" s="817"/>
      <c r="B17" s="863" t="s">
        <v>1439</v>
      </c>
      <c r="C17" s="901">
        <f>HLOOKUP($B$2,'Consumption Input'!$E$5:$AQ$82,'Consumption Input'!$B8)</f>
        <v>5010.0609999999997</v>
      </c>
      <c r="D17" s="901">
        <f>HLOOKUP($B$2,'Consumption Input'!$E$5:$AQ$82,'Consumption Input'!$B14)</f>
        <v>3228.4290000000001</v>
      </c>
      <c r="E17" s="901">
        <f>HLOOKUP($B$2,'Consumption Input'!$E$5:$AQ$82,'Consumption Input'!$B26)</f>
        <v>7790.0732111808638</v>
      </c>
      <c r="F17" s="901">
        <f>HLOOKUP($B$2,'Consumption Input'!$E$5:$AQ$82,'Consumption Input'!$B49)</f>
        <v>692.13400000000001</v>
      </c>
      <c r="G17" s="901">
        <f>HLOOKUP($B$2,'Consumption Input'!$E$5:$AQ$82,'Consumption Input'!$B59)</f>
        <v>6828.924</v>
      </c>
      <c r="H17" s="944">
        <f>HLOOKUP($B$2,'US Territories'!$D$28:$Z$38,'US Territories'!$B30)</f>
        <v>29.255122</v>
      </c>
      <c r="I17" s="901">
        <f t="shared" si="33"/>
        <v>23578.876333180862</v>
      </c>
      <c r="J17" s="903"/>
      <c r="K17" s="901">
        <f>HLOOKUP($B$2,NEUConsumption,'Non-Energy Use'!$C$9)</f>
        <v>272.15499999999997</v>
      </c>
      <c r="L17" s="901"/>
      <c r="M17" s="901"/>
      <c r="N17" s="904">
        <f t="shared" si="9"/>
        <v>5010.0609999999997</v>
      </c>
      <c r="O17" s="901">
        <f t="shared" si="10"/>
        <v>3228.4290000000001</v>
      </c>
      <c r="P17" s="901">
        <f t="shared" si="11"/>
        <v>7517.9182111808641</v>
      </c>
      <c r="Q17" s="901">
        <f t="shared" si="12"/>
        <v>692.13400000000001</v>
      </c>
      <c r="R17" s="901">
        <f t="shared" si="13"/>
        <v>6828.924</v>
      </c>
      <c r="S17" s="945">
        <f t="shared" si="14"/>
        <v>29.255122</v>
      </c>
      <c r="T17" s="901">
        <f t="shared" si="4"/>
        <v>23306.721333180863</v>
      </c>
      <c r="U17" s="946">
        <f>HLOOKUP($B$2,Factors!$J$12:$AB$26,Factors!$H26,FALSE)</f>
        <v>14.461854154819864</v>
      </c>
      <c r="V17" s="947">
        <f t="shared" si="15"/>
        <v>72.454771488750964</v>
      </c>
      <c r="W17" s="947">
        <f t="shared" si="16"/>
        <v>46.689069347190944</v>
      </c>
      <c r="X17" s="947">
        <f t="shared" si="17"/>
        <v>108.7230367179619</v>
      </c>
      <c r="Y17" s="947">
        <f t="shared" si="18"/>
        <v>10.009540963592091</v>
      </c>
      <c r="Z17" s="947">
        <f t="shared" si="19"/>
        <v>98.75890292234908</v>
      </c>
      <c r="AA17" s="947">
        <f t="shared" si="20"/>
        <v>0.42308330764546204</v>
      </c>
      <c r="AB17" s="947">
        <f t="shared" si="34"/>
        <v>337.05840474749044</v>
      </c>
      <c r="AC17" s="948">
        <f>Factors!E19</f>
        <v>1</v>
      </c>
      <c r="AD17" s="904">
        <f t="shared" si="21"/>
        <v>72.454771488750964</v>
      </c>
      <c r="AE17" s="901">
        <f t="shared" si="22"/>
        <v>46.689069347190944</v>
      </c>
      <c r="AF17" s="901">
        <f t="shared" si="23"/>
        <v>108.7230367179619</v>
      </c>
      <c r="AG17" s="901">
        <f t="shared" si="24"/>
        <v>10.009540963592091</v>
      </c>
      <c r="AH17" s="901">
        <f t="shared" si="25"/>
        <v>98.75890292234908</v>
      </c>
      <c r="AI17" s="901">
        <f t="shared" si="26"/>
        <v>0.42308330764546204</v>
      </c>
      <c r="AJ17" s="901">
        <f t="shared" si="6"/>
        <v>337.05840474749044</v>
      </c>
      <c r="AK17" s="904">
        <f t="shared" si="27"/>
        <v>265.66749545875354</v>
      </c>
      <c r="AL17" s="901">
        <f t="shared" si="28"/>
        <v>171.19325427303346</v>
      </c>
      <c r="AM17" s="901">
        <f t="shared" si="29"/>
        <v>398.65113463252698</v>
      </c>
      <c r="AN17" s="901">
        <f t="shared" si="30"/>
        <v>36.701650199837665</v>
      </c>
      <c r="AO17" s="901">
        <f t="shared" si="31"/>
        <v>362.11597738194661</v>
      </c>
      <c r="AP17" s="901">
        <f t="shared" si="32"/>
        <v>1.5513054613666941</v>
      </c>
      <c r="AQ17" s="907">
        <f t="shared" si="35"/>
        <v>1235.880817407465</v>
      </c>
    </row>
    <row r="18" spans="1:43">
      <c r="A18" s="817"/>
      <c r="B18" s="864" t="s">
        <v>1440</v>
      </c>
      <c r="C18" s="908">
        <f t="shared" ref="C18:H18" si="36">SUM(C19:C41)</f>
        <v>1180.7890883082323</v>
      </c>
      <c r="D18" s="908">
        <f t="shared" si="36"/>
        <v>679.3749096956833</v>
      </c>
      <c r="E18" s="908">
        <f t="shared" si="36"/>
        <v>8563.4263114919431</v>
      </c>
      <c r="F18" s="908">
        <f t="shared" si="36"/>
        <v>25662.934614098805</v>
      </c>
      <c r="G18" s="908">
        <f t="shared" si="36"/>
        <v>459.33600000000001</v>
      </c>
      <c r="H18" s="908">
        <f t="shared" si="36"/>
        <v>535.27817858224569</v>
      </c>
      <c r="I18" s="908">
        <f t="shared" si="33"/>
        <v>37081.139102176916</v>
      </c>
      <c r="J18" s="909">
        <f t="shared" ref="J18:S18" si="37">SUM(J19:J41)</f>
        <v>1574.7123468079212</v>
      </c>
      <c r="K18" s="908">
        <f t="shared" si="37"/>
        <v>4413.2749912023792</v>
      </c>
      <c r="L18" s="908">
        <f t="shared" si="37"/>
        <v>141.33000000000001</v>
      </c>
      <c r="M18" s="908">
        <f t="shared" si="37"/>
        <v>78.017961025666509</v>
      </c>
      <c r="N18" s="910">
        <f t="shared" si="37"/>
        <v>1180.7890883082323</v>
      </c>
      <c r="O18" s="908">
        <f t="shared" si="37"/>
        <v>679.3749096956833</v>
      </c>
      <c r="P18" s="908">
        <f t="shared" si="37"/>
        <v>4150.151320289564</v>
      </c>
      <c r="Q18" s="908">
        <f t="shared" si="37"/>
        <v>23946.892267290888</v>
      </c>
      <c r="R18" s="908">
        <f t="shared" si="37"/>
        <v>459.33600000000001</v>
      </c>
      <c r="S18" s="911">
        <f t="shared" si="37"/>
        <v>457.26021755657916</v>
      </c>
      <c r="T18" s="889">
        <f t="shared" si="4"/>
        <v>30873.803803140949</v>
      </c>
      <c r="U18" s="949" t="s">
        <v>1731</v>
      </c>
      <c r="V18" s="950">
        <f t="shared" ref="V18:AA18" si="38">SUM(V19:V41)</f>
        <v>22.187211119970151</v>
      </c>
      <c r="W18" s="950">
        <f t="shared" si="38"/>
        <v>13.162029434056635</v>
      </c>
      <c r="X18" s="950">
        <f t="shared" si="38"/>
        <v>84.973555701984068</v>
      </c>
      <c r="Y18" s="950">
        <f t="shared" si="38"/>
        <v>469.90354733496685</v>
      </c>
      <c r="Z18" s="950">
        <f t="shared" si="38"/>
        <v>10.469085746606302</v>
      </c>
      <c r="AA18" s="950">
        <f t="shared" si="38"/>
        <v>9.130627580164326</v>
      </c>
      <c r="AB18" s="950">
        <f t="shared" si="34"/>
        <v>609.82605691774825</v>
      </c>
      <c r="AC18" s="951" t="s">
        <v>1731</v>
      </c>
      <c r="AD18" s="910">
        <f t="shared" ref="AD18:AI18" si="39">SUM(AD19:AD41)</f>
        <v>22.187211119970151</v>
      </c>
      <c r="AE18" s="908">
        <f t="shared" si="39"/>
        <v>13.162029434056635</v>
      </c>
      <c r="AF18" s="908">
        <f t="shared" si="39"/>
        <v>84.973555701984068</v>
      </c>
      <c r="AG18" s="908">
        <f t="shared" si="39"/>
        <v>469.90354733496685</v>
      </c>
      <c r="AH18" s="908">
        <f t="shared" si="39"/>
        <v>10.469085746606302</v>
      </c>
      <c r="AI18" s="908">
        <f t="shared" si="39"/>
        <v>9.130627580164326</v>
      </c>
      <c r="AJ18" s="908">
        <f t="shared" si="6"/>
        <v>609.82605691774825</v>
      </c>
      <c r="AK18" s="914">
        <f t="shared" si="27"/>
        <v>81.35310743989055</v>
      </c>
      <c r="AL18" s="889">
        <f t="shared" si="28"/>
        <v>48.260774591540994</v>
      </c>
      <c r="AM18" s="889">
        <f t="shared" si="29"/>
        <v>311.56970424060825</v>
      </c>
      <c r="AN18" s="889">
        <f t="shared" si="30"/>
        <v>1722.979673561545</v>
      </c>
      <c r="AO18" s="889">
        <f t="shared" si="31"/>
        <v>38.386647737556437</v>
      </c>
      <c r="AP18" s="889">
        <f t="shared" si="32"/>
        <v>33.478967793935858</v>
      </c>
      <c r="AQ18" s="915">
        <f t="shared" si="35"/>
        <v>2236.0288753650771</v>
      </c>
    </row>
    <row r="19" spans="1:43">
      <c r="A19" s="817"/>
      <c r="B19" s="860" t="s">
        <v>1608</v>
      </c>
      <c r="C19" s="883"/>
      <c r="D19" s="883"/>
      <c r="E19" s="883">
        <f>HLOOKUP($B$2,'Consumption Input'!$E$5:$AQ$82,'Consumption Input'!$B27)</f>
        <v>1011.9709999999999</v>
      </c>
      <c r="F19" s="883"/>
      <c r="G19" s="883"/>
      <c r="H19" s="883"/>
      <c r="I19" s="883">
        <f t="shared" si="33"/>
        <v>1011.9709999999999</v>
      </c>
      <c r="J19" s="884"/>
      <c r="K19" s="883">
        <f>HLOOKUP($B$2,NEUConsumption,'Non-Energy Use'!$C$10)</f>
        <v>1011.9709999999999</v>
      </c>
      <c r="L19" s="883"/>
      <c r="M19" s="883"/>
      <c r="N19" s="885">
        <f t="shared" ref="N19:N42" si="40">C19</f>
        <v>0</v>
      </c>
      <c r="O19" s="883">
        <f t="shared" ref="O19:O42" si="41">D19</f>
        <v>0</v>
      </c>
      <c r="P19" s="883">
        <f t="shared" ref="P19:P41" si="42">E19-K19</f>
        <v>0</v>
      </c>
      <c r="Q19" s="883">
        <f t="shared" ref="Q19:Q41" si="43">F19-J19-L19</f>
        <v>0</v>
      </c>
      <c r="R19" s="883">
        <f t="shared" ref="R19:R42" si="44">G19</f>
        <v>0</v>
      </c>
      <c r="S19" s="886">
        <f t="shared" ref="S19:S41" si="45">H19-M19</f>
        <v>0</v>
      </c>
      <c r="T19" s="883">
        <f t="shared" si="4"/>
        <v>0</v>
      </c>
      <c r="U19" s="931">
        <f>Factors!D24</f>
        <v>20.55318099621897</v>
      </c>
      <c r="V19" s="932">
        <f t="shared" ref="V19:V41" si="46">N19*$U19*TbtuToQBtu</f>
        <v>0</v>
      </c>
      <c r="W19" s="933">
        <f t="shared" ref="W19:W41" si="47">O19*$U19*TbtuToQBtu</f>
        <v>0</v>
      </c>
      <c r="X19" s="933">
        <f t="shared" ref="X19:X41" si="48">P19*$U19*TbtuToQBtu</f>
        <v>0</v>
      </c>
      <c r="Y19" s="933">
        <f t="shared" ref="Y19:Y41" si="49">Q19*$U19*TbtuToQBtu</f>
        <v>0</v>
      </c>
      <c r="Z19" s="933">
        <f t="shared" ref="Z19:Z41" si="50">R19*$U19*TbtuToQBtu</f>
        <v>0</v>
      </c>
      <c r="AA19" s="933">
        <f t="shared" ref="AA19:AA41" si="51">S19*$U19*TbtuToQBtu</f>
        <v>0</v>
      </c>
      <c r="AB19" s="933">
        <f t="shared" si="34"/>
        <v>0</v>
      </c>
      <c r="AC19" s="934">
        <f>Factors!E24</f>
        <v>1</v>
      </c>
      <c r="AD19" s="885">
        <f t="shared" ref="AD19:AI26" si="52">V19*$AC19</f>
        <v>0</v>
      </c>
      <c r="AE19" s="883">
        <f t="shared" si="52"/>
        <v>0</v>
      </c>
      <c r="AF19" s="883">
        <f t="shared" si="52"/>
        <v>0</v>
      </c>
      <c r="AG19" s="883">
        <f t="shared" si="52"/>
        <v>0</v>
      </c>
      <c r="AH19" s="883">
        <f t="shared" si="52"/>
        <v>0</v>
      </c>
      <c r="AI19" s="883">
        <f t="shared" si="52"/>
        <v>0</v>
      </c>
      <c r="AJ19" s="889">
        <f t="shared" si="6"/>
        <v>0</v>
      </c>
      <c r="AK19" s="885">
        <f t="shared" si="27"/>
        <v>0</v>
      </c>
      <c r="AL19" s="883">
        <f t="shared" si="28"/>
        <v>0</v>
      </c>
      <c r="AM19" s="883">
        <f t="shared" si="29"/>
        <v>0</v>
      </c>
      <c r="AN19" s="883">
        <f t="shared" si="30"/>
        <v>0</v>
      </c>
      <c r="AO19" s="883">
        <f t="shared" si="31"/>
        <v>0</v>
      </c>
      <c r="AP19" s="883">
        <f t="shared" si="32"/>
        <v>0</v>
      </c>
      <c r="AQ19" s="890">
        <f t="shared" si="35"/>
        <v>0</v>
      </c>
    </row>
    <row r="20" spans="1:43">
      <c r="A20" s="817"/>
      <c r="B20" s="860" t="s">
        <v>1622</v>
      </c>
      <c r="C20" s="883"/>
      <c r="D20" s="883"/>
      <c r="E20" s="883"/>
      <c r="F20" s="883">
        <f>HLOOKUP($B$2,'Consumption Input'!$E$5:$AQ$82,'Consumption Input'!$B50)</f>
        <v>28.283999999999999</v>
      </c>
      <c r="G20" s="883"/>
      <c r="H20" s="883"/>
      <c r="I20" s="883">
        <f t="shared" si="33"/>
        <v>28.283999999999999</v>
      </c>
      <c r="J20" s="884"/>
      <c r="K20" s="883"/>
      <c r="L20" s="883"/>
      <c r="M20" s="883"/>
      <c r="N20" s="885">
        <f t="shared" si="40"/>
        <v>0</v>
      </c>
      <c r="O20" s="883">
        <f t="shared" si="41"/>
        <v>0</v>
      </c>
      <c r="P20" s="883">
        <f t="shared" si="42"/>
        <v>0</v>
      </c>
      <c r="Q20" s="883">
        <f t="shared" si="43"/>
        <v>28.283999999999999</v>
      </c>
      <c r="R20" s="883">
        <f t="shared" si="44"/>
        <v>0</v>
      </c>
      <c r="S20" s="886">
        <f t="shared" si="45"/>
        <v>0</v>
      </c>
      <c r="T20" s="883">
        <f t="shared" si="4"/>
        <v>28.283999999999999</v>
      </c>
      <c r="U20" s="931">
        <f>Factors!D25</f>
        <v>18.855352254718337</v>
      </c>
      <c r="V20" s="932">
        <f t="shared" si="46"/>
        <v>0</v>
      </c>
      <c r="W20" s="933">
        <f t="shared" si="47"/>
        <v>0</v>
      </c>
      <c r="X20" s="933">
        <f t="shared" si="48"/>
        <v>0</v>
      </c>
      <c r="Y20" s="933">
        <f t="shared" si="49"/>
        <v>0.53330478317245344</v>
      </c>
      <c r="Z20" s="933">
        <f t="shared" si="50"/>
        <v>0</v>
      </c>
      <c r="AA20" s="933">
        <f t="shared" si="51"/>
        <v>0</v>
      </c>
      <c r="AB20" s="933">
        <f t="shared" si="34"/>
        <v>0.53330478317245344</v>
      </c>
      <c r="AC20" s="934">
        <f>Factors!E25</f>
        <v>1</v>
      </c>
      <c r="AD20" s="885">
        <f t="shared" si="52"/>
        <v>0</v>
      </c>
      <c r="AE20" s="883">
        <f t="shared" si="52"/>
        <v>0</v>
      </c>
      <c r="AF20" s="883">
        <f t="shared" si="52"/>
        <v>0</v>
      </c>
      <c r="AG20" s="883">
        <f t="shared" si="52"/>
        <v>0.53330478317245344</v>
      </c>
      <c r="AH20" s="883">
        <f t="shared" si="52"/>
        <v>0</v>
      </c>
      <c r="AI20" s="883">
        <f t="shared" si="52"/>
        <v>0</v>
      </c>
      <c r="AJ20" s="889">
        <f t="shared" si="6"/>
        <v>0.53330478317245344</v>
      </c>
      <c r="AK20" s="885">
        <f t="shared" si="27"/>
        <v>0</v>
      </c>
      <c r="AL20" s="883">
        <f t="shared" si="28"/>
        <v>0</v>
      </c>
      <c r="AM20" s="883">
        <f t="shared" si="29"/>
        <v>0</v>
      </c>
      <c r="AN20" s="883">
        <f t="shared" si="30"/>
        <v>1.9554508716323291</v>
      </c>
      <c r="AO20" s="883">
        <f t="shared" si="31"/>
        <v>0</v>
      </c>
      <c r="AP20" s="883">
        <f t="shared" si="32"/>
        <v>0</v>
      </c>
      <c r="AQ20" s="890">
        <f t="shared" si="35"/>
        <v>1.9554508716323291</v>
      </c>
    </row>
    <row r="21" spans="1:43">
      <c r="A21" s="817"/>
      <c r="B21" s="860" t="s">
        <v>1738</v>
      </c>
      <c r="C21" s="883">
        <f>HLOOKUP($B$2,'Consumption Input'!$E$5:$AQ$82,'Consumption Input'!$B9)</f>
        <v>606.08208830823241</v>
      </c>
      <c r="D21" s="883">
        <f>HLOOKUP($B$2,'Consumption Input'!$E$5:$AQ$82,'Consumption Input'!$B15)</f>
        <v>310.31916366685192</v>
      </c>
      <c r="E21" s="883">
        <f>HLOOKUP($B$2,'Consumption Input'!$E$5:$AQ$82,'Consumption Input'!$B28)</f>
        <v>1081.9934001671768</v>
      </c>
      <c r="F21" s="883">
        <f>HLOOKUP($B$2,'Consumption Input'!$E$5:$AQ$82,'Consumption Input'!$B51)</f>
        <v>6229.1028145244054</v>
      </c>
      <c r="G21" s="883">
        <f>HLOOKUP($B$2,'Consumption Input'!$E$5:$AQ$82,'Consumption Input'!$B60)</f>
        <v>72.524000000000001</v>
      </c>
      <c r="H21" s="883">
        <f>HLOOKUP($B$2,'US Territories'!$D$28:$Z$38,'US Territories'!$B31)</f>
        <v>83.505669003791112</v>
      </c>
      <c r="I21" s="883">
        <f t="shared" si="33"/>
        <v>8383.5271356704561</v>
      </c>
      <c r="J21" s="884">
        <f>HLOOKUP($B$2,IBFConsumption,'International Bunker Fuels'!$B$10)</f>
        <v>122.22402446130357</v>
      </c>
      <c r="K21" s="883">
        <f>HLOOKUP($B$2,NEUConsumption,'Non-Energy Use'!$C$20)</f>
        <v>11.65</v>
      </c>
      <c r="L21" s="883"/>
      <c r="M21" s="883"/>
      <c r="N21" s="885">
        <f t="shared" si="40"/>
        <v>606.08208830823241</v>
      </c>
      <c r="O21" s="883">
        <f t="shared" si="41"/>
        <v>310.31916366685192</v>
      </c>
      <c r="P21" s="883">
        <f t="shared" si="42"/>
        <v>1070.3434001671767</v>
      </c>
      <c r="Q21" s="883">
        <f t="shared" si="43"/>
        <v>6106.8787900631014</v>
      </c>
      <c r="R21" s="883">
        <f t="shared" si="44"/>
        <v>72.524000000000001</v>
      </c>
      <c r="S21" s="886">
        <f t="shared" si="45"/>
        <v>83.505669003791112</v>
      </c>
      <c r="T21" s="883">
        <f t="shared" si="4"/>
        <v>8249.6531112091543</v>
      </c>
      <c r="U21" s="931">
        <f>HLOOKUP($B$2,Factors!$J$12:$BE$27,Factors!$H27,FALSE)</f>
        <v>20.25</v>
      </c>
      <c r="V21" s="932">
        <f t="shared" si="46"/>
        <v>12.273162288241707</v>
      </c>
      <c r="W21" s="933">
        <f t="shared" si="47"/>
        <v>6.2839630642537516</v>
      </c>
      <c r="X21" s="933">
        <f t="shared" si="48"/>
        <v>21.674453853385327</v>
      </c>
      <c r="Y21" s="933">
        <f t="shared" si="49"/>
        <v>123.6642954987778</v>
      </c>
      <c r="Z21" s="933">
        <f t="shared" si="50"/>
        <v>1.4686110000000001</v>
      </c>
      <c r="AA21" s="933">
        <f t="shared" si="51"/>
        <v>1.69098979732677</v>
      </c>
      <c r="AB21" s="933">
        <f t="shared" si="34"/>
        <v>167.05547550198537</v>
      </c>
      <c r="AC21" s="934">
        <f>Factors!E26</f>
        <v>1</v>
      </c>
      <c r="AD21" s="885">
        <f t="shared" si="52"/>
        <v>12.273162288241707</v>
      </c>
      <c r="AE21" s="883">
        <f t="shared" si="52"/>
        <v>6.2839630642537516</v>
      </c>
      <c r="AF21" s="883">
        <f t="shared" si="52"/>
        <v>21.674453853385327</v>
      </c>
      <c r="AG21" s="883">
        <f t="shared" si="52"/>
        <v>123.6642954987778</v>
      </c>
      <c r="AH21" s="883">
        <f t="shared" si="52"/>
        <v>1.4686110000000001</v>
      </c>
      <c r="AI21" s="883">
        <f t="shared" si="52"/>
        <v>1.69098979732677</v>
      </c>
      <c r="AJ21" s="889">
        <f t="shared" si="6"/>
        <v>167.05547550198537</v>
      </c>
      <c r="AK21" s="885">
        <f t="shared" si="27"/>
        <v>45.001595056886259</v>
      </c>
      <c r="AL21" s="883">
        <f t="shared" si="28"/>
        <v>23.041197902263754</v>
      </c>
      <c r="AM21" s="883">
        <f t="shared" si="29"/>
        <v>79.472997462412863</v>
      </c>
      <c r="AN21" s="883">
        <f t="shared" si="30"/>
        <v>453.43575016218529</v>
      </c>
      <c r="AO21" s="883">
        <f t="shared" si="31"/>
        <v>5.3849070000000001</v>
      </c>
      <c r="AP21" s="883">
        <f t="shared" si="32"/>
        <v>6.2002959235314901</v>
      </c>
      <c r="AQ21" s="890">
        <f t="shared" si="35"/>
        <v>612.53674350727965</v>
      </c>
    </row>
    <row r="22" spans="1:43">
      <c r="A22" s="817"/>
      <c r="B22" s="860" t="s">
        <v>1623</v>
      </c>
      <c r="C22" s="883"/>
      <c r="D22" s="883"/>
      <c r="E22" s="883"/>
      <c r="F22" s="883">
        <f>HLOOKUP($B$2,'Consumption Input'!$E$5:$AQ$82,'Consumption Input'!$B52)</f>
        <v>3192.8389999999995</v>
      </c>
      <c r="G22" s="883"/>
      <c r="H22" s="883">
        <f>HLOOKUP($B$2,'US Territories'!$D$28:$Z$38,'US Territories'!$B32)</f>
        <v>47.683214709805341</v>
      </c>
      <c r="I22" s="883">
        <f t="shared" si="33"/>
        <v>3240.5222147098048</v>
      </c>
      <c r="J22" s="884">
        <f>HLOOKUP($B$2,IBFConsumption,'International Bunker Fuels'!$B$8)</f>
        <v>797.87819334561755</v>
      </c>
      <c r="K22" s="883"/>
      <c r="L22" s="883"/>
      <c r="M22" s="883"/>
      <c r="N22" s="885">
        <f t="shared" si="40"/>
        <v>0</v>
      </c>
      <c r="O22" s="883">
        <f t="shared" si="41"/>
        <v>0</v>
      </c>
      <c r="P22" s="883">
        <f t="shared" si="42"/>
        <v>0</v>
      </c>
      <c r="Q22" s="883">
        <f t="shared" si="43"/>
        <v>2394.9608066543819</v>
      </c>
      <c r="R22" s="916">
        <f t="shared" si="44"/>
        <v>0</v>
      </c>
      <c r="S22" s="886">
        <f t="shared" si="45"/>
        <v>47.683214709805341</v>
      </c>
      <c r="T22" s="883">
        <f t="shared" si="4"/>
        <v>2442.6440213641872</v>
      </c>
      <c r="U22" s="931">
        <f>HLOOKUP($B$2,Factors!$J$12:$AB$25,Factors!$H21,FALSE)</f>
        <v>19.696969696969692</v>
      </c>
      <c r="V22" s="932">
        <f t="shared" si="46"/>
        <v>0</v>
      </c>
      <c r="W22" s="933">
        <f t="shared" si="47"/>
        <v>0</v>
      </c>
      <c r="X22" s="933">
        <f t="shared" si="48"/>
        <v>0</v>
      </c>
      <c r="Y22" s="933">
        <f t="shared" si="49"/>
        <v>47.173470434101453</v>
      </c>
      <c r="Z22" s="933">
        <f t="shared" si="50"/>
        <v>0</v>
      </c>
      <c r="AA22" s="933">
        <f t="shared" si="51"/>
        <v>0.93921483519313531</v>
      </c>
      <c r="AB22" s="933">
        <f t="shared" si="34"/>
        <v>48.112685269294587</v>
      </c>
      <c r="AC22" s="934">
        <f>Factors!E27</f>
        <v>1</v>
      </c>
      <c r="AD22" s="885">
        <f t="shared" si="52"/>
        <v>0</v>
      </c>
      <c r="AE22" s="883">
        <f t="shared" si="52"/>
        <v>0</v>
      </c>
      <c r="AF22" s="883">
        <f t="shared" si="52"/>
        <v>0</v>
      </c>
      <c r="AG22" s="883">
        <f t="shared" si="52"/>
        <v>47.173470434101453</v>
      </c>
      <c r="AH22" s="883">
        <f t="shared" si="52"/>
        <v>0</v>
      </c>
      <c r="AI22" s="883">
        <f t="shared" si="52"/>
        <v>0.93921483519313531</v>
      </c>
      <c r="AJ22" s="889">
        <f t="shared" si="6"/>
        <v>48.112685269294587</v>
      </c>
      <c r="AK22" s="885">
        <f t="shared" si="27"/>
        <v>0</v>
      </c>
      <c r="AL22" s="883">
        <f t="shared" si="28"/>
        <v>0</v>
      </c>
      <c r="AM22" s="883">
        <f t="shared" si="29"/>
        <v>0</v>
      </c>
      <c r="AN22" s="883">
        <f t="shared" si="30"/>
        <v>172.96939159170532</v>
      </c>
      <c r="AO22" s="883">
        <f t="shared" si="31"/>
        <v>0</v>
      </c>
      <c r="AP22" s="883">
        <f t="shared" si="32"/>
        <v>3.443787729041496</v>
      </c>
      <c r="AQ22" s="890">
        <f t="shared" si="35"/>
        <v>176.41317932074682</v>
      </c>
    </row>
    <row r="23" spans="1:43">
      <c r="A23" s="817"/>
      <c r="B23" s="860" t="s">
        <v>1599</v>
      </c>
      <c r="C23" s="883">
        <f>HLOOKUP($B$2,'Consumption Input'!$E$5:$AQ$82,'Consumption Input'!$B10)</f>
        <v>21.263000000000002</v>
      </c>
      <c r="D23" s="883">
        <f>HLOOKUP($B$2,'Consumption Input'!$E$5:$AQ$82,'Consumption Input'!$B16)</f>
        <v>4.4359999999999999</v>
      </c>
      <c r="E23" s="883">
        <f>HLOOKUP($B$2,'Consumption Input'!$E$5:$AQ$82,'Consumption Input'!$B29)</f>
        <v>3.83</v>
      </c>
      <c r="F23" s="883"/>
      <c r="G23" s="883"/>
      <c r="H23" s="883">
        <f>HLOOKUP($B$2,'US Territories'!$D$28:$Z$38,'US Territories'!$B33)</f>
        <v>5.3120259791188484</v>
      </c>
      <c r="I23" s="883">
        <f t="shared" si="33"/>
        <v>34.841025979118854</v>
      </c>
      <c r="J23" s="884"/>
      <c r="K23" s="883"/>
      <c r="L23" s="883"/>
      <c r="M23" s="883"/>
      <c r="N23" s="885">
        <f t="shared" si="40"/>
        <v>21.263000000000002</v>
      </c>
      <c r="O23" s="883">
        <f t="shared" si="41"/>
        <v>4.4359999999999999</v>
      </c>
      <c r="P23" s="883">
        <f t="shared" si="42"/>
        <v>3.83</v>
      </c>
      <c r="Q23" s="883">
        <f t="shared" si="43"/>
        <v>0</v>
      </c>
      <c r="R23" s="883">
        <f t="shared" si="44"/>
        <v>0</v>
      </c>
      <c r="S23" s="886">
        <f t="shared" si="45"/>
        <v>5.3120259791188484</v>
      </c>
      <c r="T23" s="883">
        <f t="shared" si="4"/>
        <v>34.841025979118854</v>
      </c>
      <c r="U23" s="931">
        <f>Factors!D28</f>
        <v>19.964104564962931</v>
      </c>
      <c r="V23" s="932">
        <f t="shared" si="46"/>
        <v>0.4244967553648068</v>
      </c>
      <c r="W23" s="933">
        <f t="shared" si="47"/>
        <v>8.8560767850175554E-2</v>
      </c>
      <c r="X23" s="933">
        <f t="shared" si="48"/>
        <v>7.6462520483808027E-2</v>
      </c>
      <c r="Y23" s="933">
        <f t="shared" si="49"/>
        <v>0</v>
      </c>
      <c r="Z23" s="933">
        <f t="shared" si="50"/>
        <v>0</v>
      </c>
      <c r="AA23" s="933">
        <f t="shared" si="51"/>
        <v>0.10604984209892829</v>
      </c>
      <c r="AB23" s="933">
        <f t="shared" si="34"/>
        <v>0.69556988579771872</v>
      </c>
      <c r="AC23" s="934">
        <f>Factors!E28</f>
        <v>1</v>
      </c>
      <c r="AD23" s="885">
        <f t="shared" si="52"/>
        <v>0.4244967553648068</v>
      </c>
      <c r="AE23" s="883">
        <f t="shared" si="52"/>
        <v>8.8560767850175554E-2</v>
      </c>
      <c r="AF23" s="883">
        <f t="shared" si="52"/>
        <v>7.6462520483808027E-2</v>
      </c>
      <c r="AG23" s="883">
        <f t="shared" si="52"/>
        <v>0</v>
      </c>
      <c r="AH23" s="883">
        <f t="shared" si="52"/>
        <v>0</v>
      </c>
      <c r="AI23" s="883">
        <f t="shared" si="52"/>
        <v>0.10604984209892829</v>
      </c>
      <c r="AJ23" s="889">
        <f t="shared" si="6"/>
        <v>0.69556988579771872</v>
      </c>
      <c r="AK23" s="885">
        <f t="shared" si="27"/>
        <v>1.5564881030042916</v>
      </c>
      <c r="AL23" s="883">
        <f t="shared" si="28"/>
        <v>0.32472281545064369</v>
      </c>
      <c r="AM23" s="883">
        <f t="shared" si="29"/>
        <v>0.28036257510729606</v>
      </c>
      <c r="AN23" s="883">
        <f t="shared" si="30"/>
        <v>0</v>
      </c>
      <c r="AO23" s="883">
        <f t="shared" si="31"/>
        <v>0</v>
      </c>
      <c r="AP23" s="883">
        <f t="shared" si="32"/>
        <v>0.38884942102940373</v>
      </c>
      <c r="AQ23" s="890">
        <f t="shared" si="35"/>
        <v>2.5504229145916351</v>
      </c>
    </row>
    <row r="24" spans="1:43">
      <c r="A24" s="817"/>
      <c r="B24" s="860" t="s">
        <v>1600</v>
      </c>
      <c r="C24" s="883">
        <f>HLOOKUP($B$2,'Consumption Input'!$E$5:$AQ$82,'Consumption Input'!$B11)</f>
        <v>553.44399999999996</v>
      </c>
      <c r="D24" s="883">
        <f>HLOOKUP($B$2,'Consumption Input'!$E$5:$AQ$82,'Consumption Input'!$B17)</f>
        <v>158.18100000000001</v>
      </c>
      <c r="E24"/>
      <c r="F24" s="883">
        <f>HLOOKUP($B$2,'Consumption Input'!$E$5:$AQ$82,'Consumption Input'!$B53)</f>
        <v>40.197000000000003</v>
      </c>
      <c r="G24" s="883"/>
      <c r="H24"/>
      <c r="I24" s="883">
        <f>SUM(C24:H24)</f>
        <v>751.822</v>
      </c>
      <c r="J24" s="884"/>
      <c r="K24"/>
      <c r="L24" s="883"/>
      <c r="M24" s="883"/>
      <c r="N24" s="885">
        <f>C24</f>
        <v>553.44399999999996</v>
      </c>
      <c r="O24" s="883">
        <f t="shared" si="41"/>
        <v>158.18100000000001</v>
      </c>
      <c r="P24"/>
      <c r="Q24" s="883">
        <f t="shared" si="43"/>
        <v>40.197000000000003</v>
      </c>
      <c r="R24" s="883">
        <f t="shared" si="44"/>
        <v>0</v>
      </c>
      <c r="S24" s="1007"/>
      <c r="T24" s="883">
        <f t="shared" si="4"/>
        <v>751.822</v>
      </c>
      <c r="U24" s="1005">
        <f>HLOOKUP($B$2,Factors!$J$12:$BE$25,Factors!$H17,FALSE)</f>
        <v>17.146363636363635</v>
      </c>
      <c r="V24" s="885">
        <f>N24*$U24*TbtuToQBtu</f>
        <v>9.4895520763636352</v>
      </c>
      <c r="W24" s="883">
        <f>O24*$U24*TbtuToQBtu</f>
        <v>2.7122289463636364</v>
      </c>
      <c r="X24"/>
      <c r="Y24" s="883">
        <f>Q24*$U24*TbtuToQBtu</f>
        <v>0.68923237909090906</v>
      </c>
      <c r="Z24" s="883">
        <f t="shared" ref="Z24" si="53">R24*$U24*TbtuToQBtu</f>
        <v>0</v>
      </c>
      <c r="AA24"/>
      <c r="AB24" s="883">
        <f>SUM(V24:AA24)</f>
        <v>12.89101340181818</v>
      </c>
      <c r="AC24" s="888">
        <f>Factors!E30</f>
        <v>1</v>
      </c>
      <c r="AD24" s="885">
        <f>V24*$AC24</f>
        <v>9.4895520763636352</v>
      </c>
      <c r="AE24" s="883">
        <f t="shared" si="52"/>
        <v>2.7122289463636364</v>
      </c>
      <c r="AF24"/>
      <c r="AG24" s="883">
        <f t="shared" si="52"/>
        <v>0.68923237909090906</v>
      </c>
      <c r="AH24" s="883">
        <f t="shared" si="52"/>
        <v>0</v>
      </c>
      <c r="AI24"/>
      <c r="AJ24" s="889">
        <f t="shared" si="6"/>
        <v>12.89101340181818</v>
      </c>
      <c r="AK24" s="885">
        <f>AD24*CtoCO2</f>
        <v>34.795024279999993</v>
      </c>
      <c r="AL24" s="883">
        <f t="shared" ref="AL24" si="54">AE24*CtoCO2</f>
        <v>9.9448394699999998</v>
      </c>
      <c r="AN24" s="883">
        <f t="shared" ref="AN24" si="55">AG24*CtoCO2</f>
        <v>2.5271853899999996</v>
      </c>
      <c r="AO24" s="883">
        <f t="shared" ref="AO24" si="56">AH24*CtoCO2</f>
        <v>0</v>
      </c>
      <c r="AQ24" s="890">
        <f t="shared" si="35"/>
        <v>47.26704913999999</v>
      </c>
    </row>
    <row r="25" spans="1:43">
      <c r="A25" s="817"/>
      <c r="B25" s="860" t="s">
        <v>1609</v>
      </c>
      <c r="C25" s="883"/>
      <c r="D25" s="883"/>
      <c r="E25" s="883">
        <f>HLOOKUP($B$2,'Consumption Input'!$E$5:$AQ$82,'Consumption Input'!$B30)</f>
        <v>1750.339128134</v>
      </c>
      <c r="F25" s="883"/>
      <c r="G25" s="883"/>
      <c r="H25" s="883">
        <f>HLOOKUP($B$2,'US Territories'!$D$28:$AO$38,'US Territories'!$B34)</f>
        <v>16.191964351241808</v>
      </c>
      <c r="I25" s="883">
        <f>SUM(C25:H25)</f>
        <v>1766.5310924852417</v>
      </c>
      <c r="J25" s="884"/>
      <c r="K25" s="883">
        <f>HLOOKUP($B$2,NEUConsumption,'Non-Energy Use'!$C$11)</f>
        <v>1596.5822523901313</v>
      </c>
      <c r="L25" s="883"/>
      <c r="M25" s="883"/>
      <c r="N25" s="885"/>
      <c r="O25" s="883"/>
      <c r="P25" s="883">
        <f>E25-K25</f>
        <v>153.7568757438687</v>
      </c>
      <c r="Q25" s="883"/>
      <c r="R25" s="883"/>
      <c r="S25" s="886">
        <f>H25-M25</f>
        <v>16.191964351241808</v>
      </c>
      <c r="T25" s="883">
        <f t="shared" si="4"/>
        <v>169.94884009511051</v>
      </c>
      <c r="U25" s="1005">
        <f>HLOOKUP($B$2,Factors!$J$12:$BE$25,Factors!$H18,FALSE)</f>
        <v>17.614902347680069</v>
      </c>
      <c r="V25" s="885"/>
      <c r="W25" s="883"/>
      <c r="X25" s="883">
        <f>P25*$U25*TbtuToQBtu</f>
        <v>2.7084123515126253</v>
      </c>
      <c r="Y25" s="883"/>
      <c r="Z25" s="883"/>
      <c r="AA25" s="883">
        <f>S25*$U25*TbtuToQBtu</f>
        <v>0.28521987086424128</v>
      </c>
      <c r="AB25" s="883">
        <f>SUM(V25:AA25)</f>
        <v>2.9936322223768665</v>
      </c>
      <c r="AC25" s="888">
        <f>Factors!E31</f>
        <v>1</v>
      </c>
      <c r="AD25" s="885"/>
      <c r="AE25" s="883"/>
      <c r="AF25" s="883">
        <f>X25*$AC25</f>
        <v>2.7084123515126253</v>
      </c>
      <c r="AG25" s="883"/>
      <c r="AH25" s="883"/>
      <c r="AI25" s="883">
        <f>AA25*$AC25</f>
        <v>0.28521987086424128</v>
      </c>
      <c r="AJ25" s="889">
        <f t="shared" si="6"/>
        <v>2.9936322223768665</v>
      </c>
      <c r="AK25" s="885"/>
      <c r="AL25" s="883"/>
      <c r="AM25" s="883">
        <f>AF25*CtoCO2</f>
        <v>9.9308452888796257</v>
      </c>
      <c r="AN25" s="883"/>
      <c r="AO25" s="883"/>
      <c r="AP25" s="883">
        <f>AI25*CtoCO2</f>
        <v>1.0458061931688847</v>
      </c>
      <c r="AQ25" s="890">
        <f t="shared" si="35"/>
        <v>10.97665148204851</v>
      </c>
    </row>
    <row r="26" spans="1:43">
      <c r="A26" s="817"/>
      <c r="B26" s="860" t="s">
        <v>1610</v>
      </c>
      <c r="C26" s="883"/>
      <c r="D26" s="883"/>
      <c r="E26" s="883">
        <f>HLOOKUP($B$2,'Consumption Input'!$E$5:$AQ$82,'Consumption Input'!$B31)</f>
        <v>149.63499999999999</v>
      </c>
      <c r="F26" s="883">
        <f>HLOOKUP($B$2,'Consumption Input'!$E$5:$AQ$82,'Consumption Input'!$B54)</f>
        <v>141.33000000000001</v>
      </c>
      <c r="G26" s="883"/>
      <c r="H26" s="883">
        <f>HLOOKUP($B$2,'US Territories'!$D$28:$Z$38,'US Territories'!$B35)</f>
        <v>2.6563538523058252</v>
      </c>
      <c r="I26" s="883">
        <f t="shared" si="33"/>
        <v>293.62135385230584</v>
      </c>
      <c r="J26" s="884"/>
      <c r="K26" s="883">
        <f>HLOOKUP($B$2,NEUConsumption,'Non-Energy Use'!$C$12)</f>
        <v>149.63499999999999</v>
      </c>
      <c r="L26" s="883">
        <f>HLOOKUP($B$2,NEUConsumption,'Non-Energy Use'!$C$24)</f>
        <v>141.33000000000001</v>
      </c>
      <c r="M26" s="883">
        <f>HLOOKUP($B$2,NEUConsumption,'Non-Energy Use'!$C$26)</f>
        <v>2.6563538523058252</v>
      </c>
      <c r="N26" s="885">
        <f t="shared" si="40"/>
        <v>0</v>
      </c>
      <c r="O26" s="883">
        <f t="shared" si="41"/>
        <v>0</v>
      </c>
      <c r="P26" s="883">
        <f t="shared" si="42"/>
        <v>0</v>
      </c>
      <c r="Q26" s="883">
        <f t="shared" si="43"/>
        <v>0</v>
      </c>
      <c r="R26" s="883">
        <f t="shared" si="44"/>
        <v>0</v>
      </c>
      <c r="S26" s="886">
        <f t="shared" si="45"/>
        <v>0</v>
      </c>
      <c r="T26" s="883">
        <f t="shared" si="4"/>
        <v>0</v>
      </c>
      <c r="U26" s="931">
        <f>Factors!D33</f>
        <v>20.199355467286214</v>
      </c>
      <c r="V26" s="932">
        <f t="shared" si="46"/>
        <v>0</v>
      </c>
      <c r="W26" s="933">
        <f t="shared" si="47"/>
        <v>0</v>
      </c>
      <c r="X26" s="933">
        <f t="shared" si="48"/>
        <v>0</v>
      </c>
      <c r="Y26" s="933">
        <f t="shared" si="49"/>
        <v>0</v>
      </c>
      <c r="Z26" s="933">
        <f t="shared" si="50"/>
        <v>0</v>
      </c>
      <c r="AA26" s="933">
        <f t="shared" si="51"/>
        <v>0</v>
      </c>
      <c r="AB26" s="933">
        <f t="shared" si="34"/>
        <v>0</v>
      </c>
      <c r="AC26" s="934">
        <f>Factors!E33</f>
        <v>1</v>
      </c>
      <c r="AD26" s="885">
        <f t="shared" si="52"/>
        <v>0</v>
      </c>
      <c r="AE26" s="883">
        <f t="shared" si="52"/>
        <v>0</v>
      </c>
      <c r="AF26" s="883">
        <f t="shared" si="52"/>
        <v>0</v>
      </c>
      <c r="AG26" s="883">
        <f t="shared" si="52"/>
        <v>0</v>
      </c>
      <c r="AH26" s="883">
        <f t="shared" si="52"/>
        <v>0</v>
      </c>
      <c r="AI26" s="883">
        <f t="shared" si="52"/>
        <v>0</v>
      </c>
      <c r="AJ26" s="889">
        <f t="shared" si="6"/>
        <v>0</v>
      </c>
      <c r="AK26" s="885">
        <f t="shared" si="27"/>
        <v>0</v>
      </c>
      <c r="AL26" s="883">
        <f t="shared" si="28"/>
        <v>0</v>
      </c>
      <c r="AM26" s="883">
        <f t="shared" si="29"/>
        <v>0</v>
      </c>
      <c r="AN26" s="883">
        <f t="shared" si="30"/>
        <v>0</v>
      </c>
      <c r="AO26" s="883">
        <f t="shared" si="31"/>
        <v>0</v>
      </c>
      <c r="AP26" s="883">
        <f t="shared" si="32"/>
        <v>0</v>
      </c>
      <c r="AQ26" s="890">
        <f t="shared" si="35"/>
        <v>0</v>
      </c>
    </row>
    <row r="27" spans="1:43">
      <c r="A27" s="817"/>
      <c r="B27" s="860" t="s">
        <v>1601</v>
      </c>
      <c r="C27" s="883"/>
      <c r="D27" s="883">
        <f>HLOOKUP($B$2,'Consumption Input'!$E$5:$AQ$82,'Consumption Input'!$B18)</f>
        <v>135.13574602883136</v>
      </c>
      <c r="E27" s="883">
        <f>HLOOKUP($B$2,'Consumption Input'!$E$5:$AQ$82,'Consumption Input'!$B32)</f>
        <v>738.35845325676746</v>
      </c>
      <c r="F27" s="883">
        <f>HLOOKUP($B$2,'Consumption Input'!$E$5:$AQ$82,'Consumption Input'!$B55)</f>
        <v>15105.259799574404</v>
      </c>
      <c r="G27" s="883"/>
      <c r="H27" s="883">
        <f>HLOOKUP($B$2,'US Territories'!$D$28:$Z$38,'US Territories'!$B36)</f>
        <v>113.61589420995485</v>
      </c>
      <c r="I27" s="883">
        <f t="shared" si="33"/>
        <v>16092.369893069957</v>
      </c>
      <c r="J27" s="884"/>
      <c r="K27" s="883"/>
      <c r="L27" s="883"/>
      <c r="M27" s="883"/>
      <c r="N27" s="885">
        <f t="shared" si="40"/>
        <v>0</v>
      </c>
      <c r="O27" s="883">
        <f t="shared" si="41"/>
        <v>135.13574602883136</v>
      </c>
      <c r="P27" s="883">
        <f t="shared" si="42"/>
        <v>738.35845325676746</v>
      </c>
      <c r="Q27" s="883">
        <f t="shared" si="43"/>
        <v>15105.259799574404</v>
      </c>
      <c r="R27" s="883">
        <f t="shared" si="44"/>
        <v>0</v>
      </c>
      <c r="S27" s="886">
        <f t="shared" si="45"/>
        <v>113.61589420995485</v>
      </c>
      <c r="T27" s="883">
        <f t="shared" si="4"/>
        <v>16092.369893069957</v>
      </c>
      <c r="U27" s="931">
        <f>HLOOKUP($B$2,Factors!$J$12:$AB$25,Factors!$H20,FALSE)</f>
        <v>19.350000000000001</v>
      </c>
      <c r="V27" s="932">
        <f t="shared" si="46"/>
        <v>0</v>
      </c>
      <c r="W27" s="933">
        <f t="shared" si="47"/>
        <v>2.6148766856578871</v>
      </c>
      <c r="X27" s="933">
        <f t="shared" si="48"/>
        <v>14.287236070518452</v>
      </c>
      <c r="Y27" s="933">
        <f t="shared" si="49"/>
        <v>292.28677712176471</v>
      </c>
      <c r="Z27" s="933">
        <f t="shared" si="50"/>
        <v>0</v>
      </c>
      <c r="AA27" s="933">
        <f t="shared" si="51"/>
        <v>2.1984675529626267</v>
      </c>
      <c r="AB27" s="933">
        <f t="shared" si="34"/>
        <v>311.38735743090371</v>
      </c>
      <c r="AC27" s="934">
        <f>Factors!E34</f>
        <v>1</v>
      </c>
      <c r="AD27" s="885">
        <f t="shared" ref="AD27:AD42" si="57">V27*$AC27</f>
        <v>0</v>
      </c>
      <c r="AE27" s="883">
        <f t="shared" ref="AE27:AE42" si="58">W27*$AC27</f>
        <v>2.6148766856578871</v>
      </c>
      <c r="AF27" s="883">
        <f t="shared" ref="AF27:AF42" si="59">X27*$AC27</f>
        <v>14.287236070518452</v>
      </c>
      <c r="AG27" s="883">
        <f>Y27*$AC44</f>
        <v>292.28677712176471</v>
      </c>
      <c r="AH27" s="883">
        <f t="shared" ref="AH27:AH42" si="60">Z27*$AC27</f>
        <v>0</v>
      </c>
      <c r="AI27" s="883">
        <f t="shared" ref="AI27:AI42" si="61">AA27*$AC27</f>
        <v>2.1984675529626267</v>
      </c>
      <c r="AJ27" s="889">
        <f t="shared" si="6"/>
        <v>311.38735743090371</v>
      </c>
      <c r="AK27" s="885">
        <f t="shared" si="27"/>
        <v>0</v>
      </c>
      <c r="AL27" s="883">
        <f t="shared" si="28"/>
        <v>9.587881180745585</v>
      </c>
      <c r="AM27" s="883">
        <f t="shared" si="29"/>
        <v>52.386532258567655</v>
      </c>
      <c r="AN27" s="883">
        <f t="shared" si="30"/>
        <v>1071.718182779804</v>
      </c>
      <c r="AO27" s="883">
        <f t="shared" si="31"/>
        <v>0</v>
      </c>
      <c r="AP27" s="883">
        <f t="shared" si="32"/>
        <v>8.0610476941962972</v>
      </c>
      <c r="AQ27" s="890">
        <f t="shared" si="35"/>
        <v>1141.7536439133135</v>
      </c>
    </row>
    <row r="28" spans="1:43">
      <c r="A28" s="817"/>
      <c r="B28" s="860" t="s">
        <v>1602</v>
      </c>
      <c r="C28" s="883"/>
      <c r="D28" s="883">
        <f>HLOOKUP($B$2,'Consumption Input'!$E$5:$AQ$82,'Consumption Input'!$B19)</f>
        <v>71.016000000000005</v>
      </c>
      <c r="E28" s="883">
        <f>HLOOKUP($B$2,'Consumption Input'!$E$5:$AQ$82,'Consumption Input'!$B33)</f>
        <v>115.7595</v>
      </c>
      <c r="F28" s="883">
        <f>HLOOKUP($B$2,'Consumption Input'!$E$5:$AQ$82,'Consumption Input'!$B56)</f>
        <v>925.92200000000003</v>
      </c>
      <c r="G28" s="883">
        <f>HLOOKUP($B$2,'Consumption Input'!$E$5:$AQ$82,'Consumption Input'!$B61)</f>
        <v>240.42099999999999</v>
      </c>
      <c r="H28" s="883">
        <f>HLOOKUP($B$2,'US Territories'!$D$28:$Z$38,'US Territories'!$B37)</f>
        <v>190.95144930266719</v>
      </c>
      <c r="I28" s="883">
        <f t="shared" si="33"/>
        <v>1544.0699493026673</v>
      </c>
      <c r="J28" s="884">
        <f>HLOOKUP($B$2,IBFConsumption,'International Bunker Fuels'!$B$9)</f>
        <v>654.61012900100002</v>
      </c>
      <c r="K28" s="883"/>
      <c r="L28" s="883"/>
      <c r="M28" s="883"/>
      <c r="N28" s="885">
        <f t="shared" si="40"/>
        <v>0</v>
      </c>
      <c r="O28" s="883">
        <f t="shared" si="41"/>
        <v>71.016000000000005</v>
      </c>
      <c r="P28" s="883">
        <f t="shared" si="42"/>
        <v>115.7595</v>
      </c>
      <c r="Q28" s="883">
        <f t="shared" si="43"/>
        <v>271.31187099900001</v>
      </c>
      <c r="R28" s="883">
        <f t="shared" si="44"/>
        <v>240.42099999999999</v>
      </c>
      <c r="S28" s="886">
        <f t="shared" si="45"/>
        <v>190.95144930266719</v>
      </c>
      <c r="T28" s="883">
        <f t="shared" si="4"/>
        <v>889.45982030166715</v>
      </c>
      <c r="U28" s="931">
        <f>Factors!D36</f>
        <v>20.48</v>
      </c>
      <c r="V28" s="932">
        <f t="shared" si="46"/>
        <v>0</v>
      </c>
      <c r="W28" s="933">
        <f t="shared" si="47"/>
        <v>1.4544076800000001</v>
      </c>
      <c r="X28" s="933">
        <f t="shared" si="48"/>
        <v>2.3707545600000004</v>
      </c>
      <c r="Y28" s="933">
        <f t="shared" si="49"/>
        <v>5.5564671180595209</v>
      </c>
      <c r="Z28" s="933">
        <f t="shared" si="50"/>
        <v>4.9238220799999999</v>
      </c>
      <c r="AA28" s="933">
        <f t="shared" si="51"/>
        <v>3.9106856817186242</v>
      </c>
      <c r="AB28" s="933">
        <f t="shared" si="34"/>
        <v>18.216137119778146</v>
      </c>
      <c r="AC28" s="934">
        <f>Factors!E36</f>
        <v>1</v>
      </c>
      <c r="AD28" s="885">
        <f t="shared" si="57"/>
        <v>0</v>
      </c>
      <c r="AE28" s="883">
        <f t="shared" si="58"/>
        <v>1.4544076800000001</v>
      </c>
      <c r="AF28" s="883">
        <f t="shared" si="59"/>
        <v>2.3707545600000004</v>
      </c>
      <c r="AG28" s="883">
        <f t="shared" ref="AG28:AG42" si="62">Y28*$AC28</f>
        <v>5.5564671180595209</v>
      </c>
      <c r="AH28" s="883">
        <f t="shared" si="60"/>
        <v>4.9238220799999999</v>
      </c>
      <c r="AI28" s="883">
        <f t="shared" si="61"/>
        <v>3.9106856817186242</v>
      </c>
      <c r="AJ28" s="889">
        <f t="shared" si="6"/>
        <v>18.216137119778146</v>
      </c>
      <c r="AK28" s="885">
        <f t="shared" si="27"/>
        <v>0</v>
      </c>
      <c r="AL28" s="883">
        <f t="shared" si="28"/>
        <v>5.33282816</v>
      </c>
      <c r="AM28" s="883">
        <f t="shared" si="29"/>
        <v>8.6927667200000016</v>
      </c>
      <c r="AN28" s="883">
        <f t="shared" si="30"/>
        <v>20.373712766218244</v>
      </c>
      <c r="AO28" s="883">
        <f t="shared" si="31"/>
        <v>18.054014293333331</v>
      </c>
      <c r="AP28" s="883">
        <f t="shared" si="32"/>
        <v>14.339180832968289</v>
      </c>
      <c r="AQ28" s="890">
        <f t="shared" si="35"/>
        <v>66.792502772519867</v>
      </c>
    </row>
    <row r="29" spans="1:43">
      <c r="A29" s="817"/>
      <c r="B29" s="860" t="s">
        <v>1603</v>
      </c>
      <c r="C29" s="883"/>
      <c r="D29" s="883"/>
      <c r="E29" s="883"/>
      <c r="F29" s="883"/>
      <c r="G29" s="883"/>
      <c r="H29" s="883"/>
      <c r="I29" s="940"/>
      <c r="J29" s="884"/>
      <c r="K29" s="883"/>
      <c r="L29" s="883"/>
      <c r="M29" s="883"/>
      <c r="N29" s="885">
        <f t="shared" si="40"/>
        <v>0</v>
      </c>
      <c r="O29" s="883">
        <f t="shared" si="41"/>
        <v>0</v>
      </c>
      <c r="P29" s="883">
        <f t="shared" si="42"/>
        <v>0</v>
      </c>
      <c r="Q29" s="883">
        <f t="shared" si="43"/>
        <v>0</v>
      </c>
      <c r="R29" s="883">
        <f t="shared" si="44"/>
        <v>0</v>
      </c>
      <c r="S29" s="886">
        <f t="shared" si="45"/>
        <v>0</v>
      </c>
      <c r="T29" s="883">
        <f t="shared" si="4"/>
        <v>0</v>
      </c>
      <c r="U29" s="931"/>
      <c r="V29" s="932">
        <f t="shared" si="46"/>
        <v>0</v>
      </c>
      <c r="W29" s="933">
        <f t="shared" si="47"/>
        <v>0</v>
      </c>
      <c r="X29" s="933">
        <f t="shared" si="48"/>
        <v>0</v>
      </c>
      <c r="Y29" s="933">
        <f t="shared" si="49"/>
        <v>0</v>
      </c>
      <c r="Z29" s="933">
        <f t="shared" si="50"/>
        <v>0</v>
      </c>
      <c r="AA29" s="933">
        <f t="shared" si="51"/>
        <v>0</v>
      </c>
      <c r="AB29" s="933">
        <f t="shared" si="34"/>
        <v>0</v>
      </c>
      <c r="AC29" s="934"/>
      <c r="AD29" s="885">
        <f t="shared" si="57"/>
        <v>0</v>
      </c>
      <c r="AE29" s="883">
        <f t="shared" si="58"/>
        <v>0</v>
      </c>
      <c r="AF29" s="883">
        <f t="shared" si="59"/>
        <v>0</v>
      </c>
      <c r="AG29" s="883">
        <f t="shared" si="62"/>
        <v>0</v>
      </c>
      <c r="AH29" s="883">
        <f t="shared" si="60"/>
        <v>0</v>
      </c>
      <c r="AI29" s="883">
        <f t="shared" si="61"/>
        <v>0</v>
      </c>
      <c r="AJ29" s="889">
        <f t="shared" si="6"/>
        <v>0</v>
      </c>
      <c r="AK29" s="885">
        <f t="shared" si="27"/>
        <v>0</v>
      </c>
      <c r="AL29" s="883">
        <f t="shared" si="28"/>
        <v>0</v>
      </c>
      <c r="AM29" s="883">
        <f t="shared" si="29"/>
        <v>0</v>
      </c>
      <c r="AN29" s="883">
        <f t="shared" si="30"/>
        <v>0</v>
      </c>
      <c r="AO29" s="883">
        <f t="shared" si="31"/>
        <v>0</v>
      </c>
      <c r="AP29" s="883">
        <f t="shared" si="32"/>
        <v>0</v>
      </c>
      <c r="AQ29" s="890">
        <f t="shared" si="35"/>
        <v>0</v>
      </c>
    </row>
    <row r="30" spans="1:43">
      <c r="A30" s="817"/>
      <c r="B30" s="865" t="s">
        <v>1611</v>
      </c>
      <c r="C30" s="883"/>
      <c r="D30" s="883"/>
      <c r="E30" s="883">
        <f>HLOOKUP($B$2,'Consumption Input'!$E$5:$AQ$82,'Consumption Input'!$B35)</f>
        <v>9.5911999999999997E-2</v>
      </c>
      <c r="F30" s="883"/>
      <c r="G30" s="883"/>
      <c r="H30" s="883"/>
      <c r="I30" s="883">
        <f t="shared" ref="I30:I41" si="63">SUM(C30:H30)</f>
        <v>9.5911999999999997E-2</v>
      </c>
      <c r="J30" s="884"/>
      <c r="K30" s="883"/>
      <c r="L30" s="883"/>
      <c r="M30" s="883"/>
      <c r="N30" s="885">
        <f t="shared" si="40"/>
        <v>0</v>
      </c>
      <c r="O30" s="883">
        <f t="shared" si="41"/>
        <v>0</v>
      </c>
      <c r="P30" s="883">
        <f t="shared" si="42"/>
        <v>9.5911999999999997E-2</v>
      </c>
      <c r="Q30" s="883">
        <f t="shared" si="43"/>
        <v>0</v>
      </c>
      <c r="R30" s="883">
        <f t="shared" si="44"/>
        <v>0</v>
      </c>
      <c r="S30" s="886">
        <f t="shared" si="45"/>
        <v>0</v>
      </c>
      <c r="T30" s="883">
        <f t="shared" si="4"/>
        <v>9.5911999999999997E-2</v>
      </c>
      <c r="U30" s="931">
        <f>Factors!D39</f>
        <v>18.87</v>
      </c>
      <c r="V30" s="932">
        <f t="shared" si="46"/>
        <v>0</v>
      </c>
      <c r="W30" s="933">
        <f t="shared" si="47"/>
        <v>0</v>
      </c>
      <c r="X30" s="933">
        <f t="shared" si="48"/>
        <v>1.8098594400000002E-3</v>
      </c>
      <c r="Y30" s="933">
        <f t="shared" si="49"/>
        <v>0</v>
      </c>
      <c r="Z30" s="933">
        <f t="shared" si="50"/>
        <v>0</v>
      </c>
      <c r="AA30" s="933">
        <f t="shared" si="51"/>
        <v>0</v>
      </c>
      <c r="AB30" s="933">
        <f t="shared" si="34"/>
        <v>1.8098594400000002E-3</v>
      </c>
      <c r="AC30" s="934">
        <f>Factors!E39</f>
        <v>1</v>
      </c>
      <c r="AD30" s="885">
        <f t="shared" si="57"/>
        <v>0</v>
      </c>
      <c r="AE30" s="883">
        <f t="shared" si="58"/>
        <v>0</v>
      </c>
      <c r="AF30" s="883">
        <f t="shared" si="59"/>
        <v>1.8098594400000002E-3</v>
      </c>
      <c r="AG30" s="883">
        <f t="shared" si="62"/>
        <v>0</v>
      </c>
      <c r="AH30" s="883">
        <f t="shared" si="60"/>
        <v>0</v>
      </c>
      <c r="AI30" s="883">
        <f t="shared" si="61"/>
        <v>0</v>
      </c>
      <c r="AJ30" s="889">
        <f t="shared" si="6"/>
        <v>1.8098594400000002E-3</v>
      </c>
      <c r="AK30" s="885">
        <f t="shared" si="27"/>
        <v>0</v>
      </c>
      <c r="AL30" s="883">
        <f t="shared" si="28"/>
        <v>0</v>
      </c>
      <c r="AM30" s="883">
        <f t="shared" si="29"/>
        <v>6.6361512800000005E-3</v>
      </c>
      <c r="AN30" s="883">
        <f t="shared" si="30"/>
        <v>0</v>
      </c>
      <c r="AO30" s="883">
        <f t="shared" si="31"/>
        <v>0</v>
      </c>
      <c r="AP30" s="883">
        <f t="shared" si="32"/>
        <v>0</v>
      </c>
      <c r="AQ30" s="890">
        <f t="shared" si="35"/>
        <v>6.6361512800000005E-3</v>
      </c>
    </row>
    <row r="31" spans="1:43">
      <c r="A31" s="817"/>
      <c r="B31" s="865" t="s">
        <v>1612</v>
      </c>
      <c r="C31" s="883"/>
      <c r="D31" s="883"/>
      <c r="E31" s="883">
        <f>HLOOKUP($B$2,'Consumption Input'!$E$5:$AQ$82,'Consumption Input'!$B36)</f>
        <v>0</v>
      </c>
      <c r="F31" s="883"/>
      <c r="G31" s="883"/>
      <c r="H31" s="883"/>
      <c r="I31" s="883">
        <f t="shared" si="63"/>
        <v>0</v>
      </c>
      <c r="J31" s="884"/>
      <c r="K31" s="883"/>
      <c r="L31" s="883"/>
      <c r="M31" s="883"/>
      <c r="N31" s="885">
        <f t="shared" si="40"/>
        <v>0</v>
      </c>
      <c r="O31" s="883">
        <f t="shared" si="41"/>
        <v>0</v>
      </c>
      <c r="P31" s="883">
        <f t="shared" si="42"/>
        <v>0</v>
      </c>
      <c r="Q31" s="883">
        <f t="shared" si="43"/>
        <v>0</v>
      </c>
      <c r="R31" s="883">
        <f t="shared" si="44"/>
        <v>0</v>
      </c>
      <c r="S31" s="886">
        <f t="shared" si="45"/>
        <v>0</v>
      </c>
      <c r="T31" s="883">
        <f t="shared" si="4"/>
        <v>0</v>
      </c>
      <c r="U31" s="931">
        <f>HLOOKUP($B$2,Factors!$J$12:$AB$25,Factors!$H25,FALSE)</f>
        <v>20.305515594827586</v>
      </c>
      <c r="V31" s="932">
        <f t="shared" si="46"/>
        <v>0</v>
      </c>
      <c r="W31" s="933">
        <f t="shared" si="47"/>
        <v>0</v>
      </c>
      <c r="X31" s="933">
        <f t="shared" si="48"/>
        <v>0</v>
      </c>
      <c r="Y31" s="933">
        <f t="shared" si="49"/>
        <v>0</v>
      </c>
      <c r="Z31" s="933">
        <f t="shared" si="50"/>
        <v>0</v>
      </c>
      <c r="AA31" s="933">
        <f t="shared" si="51"/>
        <v>0</v>
      </c>
      <c r="AB31" s="933">
        <f t="shared" si="34"/>
        <v>0</v>
      </c>
      <c r="AC31" s="934">
        <f>Factors!E40</f>
        <v>1</v>
      </c>
      <c r="AD31" s="885">
        <f t="shared" si="57"/>
        <v>0</v>
      </c>
      <c r="AE31" s="883">
        <f t="shared" si="58"/>
        <v>0</v>
      </c>
      <c r="AF31" s="883">
        <f t="shared" si="59"/>
        <v>0</v>
      </c>
      <c r="AG31" s="883">
        <f t="shared" si="62"/>
        <v>0</v>
      </c>
      <c r="AH31" s="883">
        <f t="shared" si="60"/>
        <v>0</v>
      </c>
      <c r="AI31" s="883">
        <f t="shared" si="61"/>
        <v>0</v>
      </c>
      <c r="AJ31" s="889">
        <f t="shared" si="6"/>
        <v>0</v>
      </c>
      <c r="AK31" s="885">
        <f t="shared" si="27"/>
        <v>0</v>
      </c>
      <c r="AL31" s="883">
        <f t="shared" si="28"/>
        <v>0</v>
      </c>
      <c r="AM31" s="883">
        <f t="shared" si="29"/>
        <v>0</v>
      </c>
      <c r="AN31" s="883">
        <f t="shared" si="30"/>
        <v>0</v>
      </c>
      <c r="AO31" s="883">
        <f t="shared" si="31"/>
        <v>0</v>
      </c>
      <c r="AP31" s="883">
        <f t="shared" si="32"/>
        <v>0</v>
      </c>
      <c r="AQ31" s="890">
        <f t="shared" si="35"/>
        <v>0</v>
      </c>
    </row>
    <row r="32" spans="1:43">
      <c r="A32" s="817"/>
      <c r="B32" s="865" t="s">
        <v>1613</v>
      </c>
      <c r="C32" s="883"/>
      <c r="D32" s="883"/>
      <c r="E32" s="883">
        <f>HLOOKUP($B$2,'Consumption Input'!$E$5:$AQ$82,'Consumption Input'!$B37)</f>
        <v>0</v>
      </c>
      <c r="F32" s="883"/>
      <c r="G32" s="883"/>
      <c r="H32" s="883"/>
      <c r="I32" s="883">
        <f t="shared" si="63"/>
        <v>0</v>
      </c>
      <c r="J32" s="884"/>
      <c r="K32" s="883"/>
      <c r="L32" s="883"/>
      <c r="M32" s="883"/>
      <c r="N32" s="885">
        <f t="shared" si="40"/>
        <v>0</v>
      </c>
      <c r="O32" s="883">
        <f t="shared" si="41"/>
        <v>0</v>
      </c>
      <c r="P32" s="952">
        <f t="shared" si="42"/>
        <v>0</v>
      </c>
      <c r="Q32" s="883">
        <f t="shared" si="43"/>
        <v>0</v>
      </c>
      <c r="R32" s="883">
        <f t="shared" si="44"/>
        <v>0</v>
      </c>
      <c r="S32" s="886">
        <f t="shared" si="45"/>
        <v>0</v>
      </c>
      <c r="T32" s="883">
        <f t="shared" si="4"/>
        <v>0</v>
      </c>
      <c r="U32" s="931">
        <f>HLOOKUP($B$2,Factors!$J$12:$AB$25,Factors!$H22,FALSE)</f>
        <v>19.456118437849259</v>
      </c>
      <c r="V32" s="932">
        <f t="shared" si="46"/>
        <v>0</v>
      </c>
      <c r="W32" s="933">
        <f t="shared" si="47"/>
        <v>0</v>
      </c>
      <c r="X32" s="933">
        <f t="shared" si="48"/>
        <v>0</v>
      </c>
      <c r="Y32" s="933">
        <f t="shared" si="49"/>
        <v>0</v>
      </c>
      <c r="Z32" s="933">
        <f t="shared" si="50"/>
        <v>0</v>
      </c>
      <c r="AA32" s="933">
        <f t="shared" si="51"/>
        <v>0</v>
      </c>
      <c r="AB32" s="933">
        <f t="shared" si="34"/>
        <v>0</v>
      </c>
      <c r="AC32" s="934">
        <f>Factors!E41</f>
        <v>1</v>
      </c>
      <c r="AD32" s="885">
        <f t="shared" si="57"/>
        <v>0</v>
      </c>
      <c r="AE32" s="883">
        <f t="shared" si="58"/>
        <v>0</v>
      </c>
      <c r="AF32" s="883">
        <f t="shared" si="59"/>
        <v>0</v>
      </c>
      <c r="AG32" s="883">
        <f t="shared" si="62"/>
        <v>0</v>
      </c>
      <c r="AH32" s="883">
        <f t="shared" si="60"/>
        <v>0</v>
      </c>
      <c r="AI32" s="883">
        <f t="shared" si="61"/>
        <v>0</v>
      </c>
      <c r="AJ32" s="889">
        <f t="shared" si="6"/>
        <v>0</v>
      </c>
      <c r="AK32" s="885">
        <f t="shared" si="27"/>
        <v>0</v>
      </c>
      <c r="AL32" s="883">
        <f t="shared" si="28"/>
        <v>0</v>
      </c>
      <c r="AM32" s="883">
        <f t="shared" si="29"/>
        <v>0</v>
      </c>
      <c r="AN32" s="883">
        <f t="shared" si="30"/>
        <v>0</v>
      </c>
      <c r="AO32" s="883">
        <f t="shared" si="31"/>
        <v>0</v>
      </c>
      <c r="AP32" s="883">
        <f t="shared" si="32"/>
        <v>0</v>
      </c>
      <c r="AQ32" s="890">
        <f t="shared" si="35"/>
        <v>0</v>
      </c>
    </row>
    <row r="33" spans="1:43">
      <c r="A33" s="817"/>
      <c r="B33" s="865" t="s">
        <v>1739</v>
      </c>
      <c r="C33" s="883"/>
      <c r="D33" s="883"/>
      <c r="E33" s="883">
        <f>HLOOKUP($B$2,'Consumption Input'!$E$5:$AQ$82,'Consumption Input'!$B38)</f>
        <v>142.028916624</v>
      </c>
      <c r="F33" s="883"/>
      <c r="G33" s="883"/>
      <c r="H33" s="883">
        <f>HLOOKUP($B$2,'US Territories'!$D$28:$Z$38,'US Territories'!$B38)</f>
        <v>75.361607173360682</v>
      </c>
      <c r="I33" s="883">
        <f t="shared" si="63"/>
        <v>217.39052379736069</v>
      </c>
      <c r="J33" s="884"/>
      <c r="K33" s="883">
        <f>HLOOKUP($B$2,NEUConsumption,'Non-Energy Use'!C22)</f>
        <v>142.028916624</v>
      </c>
      <c r="L33" s="883"/>
      <c r="M33" s="883">
        <f>HLOOKUP($B$2,NEUConsumption,'Non-Energy Use'!$C$27)</f>
        <v>75.361607173360682</v>
      </c>
      <c r="N33" s="885">
        <f t="shared" si="40"/>
        <v>0</v>
      </c>
      <c r="O33" s="883">
        <f t="shared" si="41"/>
        <v>0</v>
      </c>
      <c r="P33" s="952">
        <f t="shared" si="42"/>
        <v>0</v>
      </c>
      <c r="Q33" s="883">
        <f t="shared" si="43"/>
        <v>0</v>
      </c>
      <c r="R33" s="883">
        <f t="shared" si="44"/>
        <v>0</v>
      </c>
      <c r="S33" s="886">
        <f t="shared" si="45"/>
        <v>0</v>
      </c>
      <c r="T33" s="883">
        <f t="shared" si="4"/>
        <v>0</v>
      </c>
      <c r="U33" s="931">
        <f>HLOOKUP($B$2,Factors!$J$12:$AB$25,Factors!$H23,FALSE)</f>
        <v>0</v>
      </c>
      <c r="V33" s="932">
        <f t="shared" si="46"/>
        <v>0</v>
      </c>
      <c r="W33" s="933">
        <f t="shared" si="47"/>
        <v>0</v>
      </c>
      <c r="X33" s="933">
        <f t="shared" si="48"/>
        <v>0</v>
      </c>
      <c r="Y33" s="933">
        <f t="shared" si="49"/>
        <v>0</v>
      </c>
      <c r="Z33" s="933">
        <f t="shared" si="50"/>
        <v>0</v>
      </c>
      <c r="AA33" s="933">
        <f t="shared" si="51"/>
        <v>0</v>
      </c>
      <c r="AB33" s="933">
        <f t="shared" si="34"/>
        <v>0</v>
      </c>
      <c r="AC33" s="934">
        <f>Factors!E42</f>
        <v>1</v>
      </c>
      <c r="AD33" s="885">
        <f t="shared" si="57"/>
        <v>0</v>
      </c>
      <c r="AE33" s="883">
        <f t="shared" si="58"/>
        <v>0</v>
      </c>
      <c r="AF33" s="883">
        <f t="shared" si="59"/>
        <v>0</v>
      </c>
      <c r="AG33" s="883">
        <f t="shared" si="62"/>
        <v>0</v>
      </c>
      <c r="AH33" s="883">
        <f t="shared" si="60"/>
        <v>0</v>
      </c>
      <c r="AI33" s="883">
        <f t="shared" si="61"/>
        <v>0</v>
      </c>
      <c r="AJ33" s="889">
        <f t="shared" si="6"/>
        <v>0</v>
      </c>
      <c r="AK33" s="885">
        <f t="shared" si="27"/>
        <v>0</v>
      </c>
      <c r="AL33" s="883">
        <f t="shared" si="28"/>
        <v>0</v>
      </c>
      <c r="AM33" s="883">
        <f t="shared" si="29"/>
        <v>0</v>
      </c>
      <c r="AN33" s="883">
        <f t="shared" si="30"/>
        <v>0</v>
      </c>
      <c r="AO33" s="883">
        <f t="shared" si="31"/>
        <v>0</v>
      </c>
      <c r="AP33" s="883">
        <f t="shared" si="32"/>
        <v>0</v>
      </c>
      <c r="AQ33" s="890">
        <f t="shared" si="35"/>
        <v>0</v>
      </c>
    </row>
    <row r="34" spans="1:43">
      <c r="A34" s="817"/>
      <c r="B34" s="865" t="s">
        <v>1615</v>
      </c>
      <c r="C34" s="883"/>
      <c r="D34" s="883"/>
      <c r="E34" s="883">
        <f>HLOOKUP($B$2,'Consumption Input'!$E$5:$AQ$82,'Consumption Input'!$B39)</f>
        <v>477.17439999999999</v>
      </c>
      <c r="F34" s="883"/>
      <c r="G34" s="883"/>
      <c r="H34" s="883"/>
      <c r="I34" s="883">
        <f t="shared" si="63"/>
        <v>477.17439999999999</v>
      </c>
      <c r="J34" s="884"/>
      <c r="K34" s="883">
        <f>HLOOKUP($B$2,NEUConsumption,'Non-Energy Use'!C14)</f>
        <v>477.17439999999999</v>
      </c>
      <c r="L34" s="883"/>
      <c r="M34" s="883"/>
      <c r="N34" s="885">
        <f t="shared" si="40"/>
        <v>0</v>
      </c>
      <c r="O34" s="883">
        <f t="shared" si="41"/>
        <v>0</v>
      </c>
      <c r="P34" s="952">
        <f t="shared" si="42"/>
        <v>0</v>
      </c>
      <c r="Q34" s="883">
        <f t="shared" si="43"/>
        <v>0</v>
      </c>
      <c r="R34" s="883">
        <f t="shared" si="44"/>
        <v>0</v>
      </c>
      <c r="S34" s="886">
        <f t="shared" si="45"/>
        <v>0</v>
      </c>
      <c r="T34" s="883">
        <f t="shared" si="4"/>
        <v>0</v>
      </c>
      <c r="U34" s="931">
        <f>Factors!D44</f>
        <v>18.550649350649344</v>
      </c>
      <c r="V34" s="932">
        <f t="shared" si="46"/>
        <v>0</v>
      </c>
      <c r="W34" s="933">
        <f t="shared" si="47"/>
        <v>0</v>
      </c>
      <c r="X34" s="933">
        <f t="shared" si="48"/>
        <v>0</v>
      </c>
      <c r="Y34" s="933">
        <f t="shared" si="49"/>
        <v>0</v>
      </c>
      <c r="Z34" s="933">
        <f t="shared" si="50"/>
        <v>0</v>
      </c>
      <c r="AA34" s="933">
        <f t="shared" si="51"/>
        <v>0</v>
      </c>
      <c r="AB34" s="933">
        <f t="shared" si="34"/>
        <v>0</v>
      </c>
      <c r="AC34" s="934">
        <f>Factors!E44</f>
        <v>1</v>
      </c>
      <c r="AD34" s="885">
        <f t="shared" si="57"/>
        <v>0</v>
      </c>
      <c r="AE34" s="883">
        <f t="shared" si="58"/>
        <v>0</v>
      </c>
      <c r="AF34" s="883">
        <f t="shared" si="59"/>
        <v>0</v>
      </c>
      <c r="AG34" s="883">
        <f t="shared" si="62"/>
        <v>0</v>
      </c>
      <c r="AH34" s="883">
        <f t="shared" si="60"/>
        <v>0</v>
      </c>
      <c r="AI34" s="883">
        <f t="shared" si="61"/>
        <v>0</v>
      </c>
      <c r="AJ34" s="889">
        <f t="shared" si="6"/>
        <v>0</v>
      </c>
      <c r="AK34" s="885">
        <f t="shared" si="27"/>
        <v>0</v>
      </c>
      <c r="AL34" s="883">
        <f t="shared" si="28"/>
        <v>0</v>
      </c>
      <c r="AM34" s="883">
        <f t="shared" si="29"/>
        <v>0</v>
      </c>
      <c r="AN34" s="883">
        <f t="shared" si="30"/>
        <v>0</v>
      </c>
      <c r="AO34" s="883">
        <f t="shared" si="31"/>
        <v>0</v>
      </c>
      <c r="AP34" s="883">
        <f t="shared" si="32"/>
        <v>0</v>
      </c>
      <c r="AQ34" s="890">
        <f t="shared" si="35"/>
        <v>0</v>
      </c>
    </row>
    <row r="35" spans="1:43">
      <c r="A35" s="817"/>
      <c r="B35" s="865" t="s">
        <v>1616</v>
      </c>
      <c r="C35" s="883"/>
      <c r="D35" s="883"/>
      <c r="E35" s="940">
        <f>HLOOKUP($B$2,'Consumption Input'!$E$5:$AQ$82,'Consumption Input'!$B40)</f>
        <v>647.76329999999996</v>
      </c>
      <c r="F35" s="883"/>
      <c r="G35" s="883"/>
      <c r="H35" s="883"/>
      <c r="I35" s="883">
        <f t="shared" si="63"/>
        <v>647.76329999999996</v>
      </c>
      <c r="J35" s="884"/>
      <c r="K35" s="883">
        <f>HLOOKUP($B$2,NEUConsumption,'Non-Energy Use'!$C$15)</f>
        <v>647.76329999999996</v>
      </c>
      <c r="L35" s="883"/>
      <c r="M35" s="883"/>
      <c r="N35" s="885">
        <f t="shared" si="40"/>
        <v>0</v>
      </c>
      <c r="O35" s="883">
        <f t="shared" si="41"/>
        <v>0</v>
      </c>
      <c r="P35" s="952">
        <f t="shared" si="42"/>
        <v>0</v>
      </c>
      <c r="Q35" s="883">
        <f t="shared" si="43"/>
        <v>0</v>
      </c>
      <c r="R35" s="883">
        <f t="shared" si="44"/>
        <v>0</v>
      </c>
      <c r="S35" s="886">
        <f t="shared" si="45"/>
        <v>0</v>
      </c>
      <c r="T35" s="883">
        <f t="shared" si="4"/>
        <v>0</v>
      </c>
      <c r="U35" s="931">
        <f>Factors!D45</f>
        <v>20.170000000000002</v>
      </c>
      <c r="V35" s="932">
        <f t="shared" si="46"/>
        <v>0</v>
      </c>
      <c r="W35" s="933">
        <f t="shared" si="47"/>
        <v>0</v>
      </c>
      <c r="X35" s="933">
        <f t="shared" si="48"/>
        <v>0</v>
      </c>
      <c r="Y35" s="933">
        <f t="shared" si="49"/>
        <v>0</v>
      </c>
      <c r="Z35" s="933">
        <f t="shared" si="50"/>
        <v>0</v>
      </c>
      <c r="AA35" s="933">
        <f t="shared" si="51"/>
        <v>0</v>
      </c>
      <c r="AB35" s="933">
        <f t="shared" si="34"/>
        <v>0</v>
      </c>
      <c r="AC35" s="934">
        <f>Factors!E45</f>
        <v>1</v>
      </c>
      <c r="AD35" s="885">
        <f t="shared" si="57"/>
        <v>0</v>
      </c>
      <c r="AE35" s="883">
        <f t="shared" si="58"/>
        <v>0</v>
      </c>
      <c r="AF35" s="883">
        <f t="shared" si="59"/>
        <v>0</v>
      </c>
      <c r="AG35" s="883">
        <f t="shared" si="62"/>
        <v>0</v>
      </c>
      <c r="AH35" s="883">
        <f t="shared" si="60"/>
        <v>0</v>
      </c>
      <c r="AI35" s="883">
        <f t="shared" si="61"/>
        <v>0</v>
      </c>
      <c r="AJ35" s="889">
        <f t="shared" si="6"/>
        <v>0</v>
      </c>
      <c r="AK35" s="885">
        <f t="shared" si="27"/>
        <v>0</v>
      </c>
      <c r="AL35" s="883">
        <f t="shared" si="28"/>
        <v>0</v>
      </c>
      <c r="AM35" s="883">
        <f t="shared" si="29"/>
        <v>0</v>
      </c>
      <c r="AN35" s="883">
        <f t="shared" si="30"/>
        <v>0</v>
      </c>
      <c r="AO35" s="883">
        <f t="shared" si="31"/>
        <v>0</v>
      </c>
      <c r="AP35" s="883">
        <f t="shared" si="32"/>
        <v>0</v>
      </c>
      <c r="AQ35" s="890">
        <f t="shared" si="35"/>
        <v>0</v>
      </c>
    </row>
    <row r="36" spans="1:43">
      <c r="A36" s="817"/>
      <c r="B36" s="865" t="s">
        <v>1617</v>
      </c>
      <c r="C36" s="883"/>
      <c r="D36" s="883"/>
      <c r="E36" s="883">
        <f>HLOOKUP($B$2,'Consumption Input'!$E$5:$AQ$82,'Consumption Input'!$B41)</f>
        <v>0</v>
      </c>
      <c r="F36" s="883"/>
      <c r="G36" s="883"/>
      <c r="H36" s="883"/>
      <c r="I36" s="883">
        <f t="shared" si="63"/>
        <v>0</v>
      </c>
      <c r="J36" s="884"/>
      <c r="K36" s="883">
        <f>HLOOKUP($B$2,NEUConsumption,'Non-Energy Use'!$C$13)</f>
        <v>0</v>
      </c>
      <c r="L36" s="883"/>
      <c r="M36" s="883"/>
      <c r="N36" s="885">
        <f t="shared" si="40"/>
        <v>0</v>
      </c>
      <c r="O36" s="883">
        <f t="shared" si="41"/>
        <v>0</v>
      </c>
      <c r="P36" s="883">
        <f t="shared" si="42"/>
        <v>0</v>
      </c>
      <c r="Q36" s="883">
        <f t="shared" si="43"/>
        <v>0</v>
      </c>
      <c r="R36" s="883">
        <f t="shared" si="44"/>
        <v>0</v>
      </c>
      <c r="S36" s="886">
        <f t="shared" si="45"/>
        <v>0</v>
      </c>
      <c r="T36" s="883">
        <f t="shared" si="4"/>
        <v>0</v>
      </c>
      <c r="U36" s="931">
        <f>Factors!D46</f>
        <v>18.239999999999998</v>
      </c>
      <c r="V36" s="932">
        <f t="shared" si="46"/>
        <v>0</v>
      </c>
      <c r="W36" s="933">
        <f t="shared" si="47"/>
        <v>0</v>
      </c>
      <c r="X36" s="933">
        <f t="shared" si="48"/>
        <v>0</v>
      </c>
      <c r="Y36" s="933">
        <f t="shared" si="49"/>
        <v>0</v>
      </c>
      <c r="Z36" s="933">
        <f t="shared" si="50"/>
        <v>0</v>
      </c>
      <c r="AA36" s="933">
        <f t="shared" si="51"/>
        <v>0</v>
      </c>
      <c r="AB36" s="933">
        <f t="shared" si="34"/>
        <v>0</v>
      </c>
      <c r="AC36" s="934">
        <f>Factors!E46</f>
        <v>1</v>
      </c>
      <c r="AD36" s="885">
        <f t="shared" si="57"/>
        <v>0</v>
      </c>
      <c r="AE36" s="883">
        <f t="shared" si="58"/>
        <v>0</v>
      </c>
      <c r="AF36" s="883">
        <f t="shared" si="59"/>
        <v>0</v>
      </c>
      <c r="AG36" s="883">
        <f t="shared" si="62"/>
        <v>0</v>
      </c>
      <c r="AH36" s="883">
        <f t="shared" si="60"/>
        <v>0</v>
      </c>
      <c r="AI36" s="883">
        <f t="shared" si="61"/>
        <v>0</v>
      </c>
      <c r="AJ36" s="889">
        <f t="shared" si="6"/>
        <v>0</v>
      </c>
      <c r="AK36" s="885">
        <f t="shared" si="27"/>
        <v>0</v>
      </c>
      <c r="AL36" s="883">
        <f t="shared" si="28"/>
        <v>0</v>
      </c>
      <c r="AM36" s="883">
        <f t="shared" si="29"/>
        <v>0</v>
      </c>
      <c r="AN36" s="883">
        <f t="shared" si="30"/>
        <v>0</v>
      </c>
      <c r="AO36" s="883">
        <f t="shared" si="31"/>
        <v>0</v>
      </c>
      <c r="AP36" s="883">
        <f t="shared" si="32"/>
        <v>0</v>
      </c>
      <c r="AQ36" s="890">
        <f t="shared" si="35"/>
        <v>0</v>
      </c>
    </row>
    <row r="37" spans="1:43">
      <c r="A37" s="817"/>
      <c r="B37" s="865" t="s">
        <v>1604</v>
      </c>
      <c r="C37" s="883"/>
      <c r="D37" s="883">
        <f>HLOOKUP($B$2,'Consumption Input'!$E$5:$AQ$82,'Consumption Input'!$B21)</f>
        <v>0.28699999999999998</v>
      </c>
      <c r="E37" s="883">
        <f>HLOOKUP($B$2,'Consumption Input'!$E$5:$AQ$82,'Consumption Input'!$B42)</f>
        <v>870.15</v>
      </c>
      <c r="F37" s="883"/>
      <c r="G37" s="883">
        <f>HLOOKUP($B$2,'Consumption Input'!$E$5:$AQ$82,'Consumption Input'!$B63)</f>
        <v>146.39099999999999</v>
      </c>
      <c r="H37" s="883"/>
      <c r="I37" s="883">
        <f t="shared" si="63"/>
        <v>1016.828</v>
      </c>
      <c r="J37" s="884"/>
      <c r="K37" s="883">
        <f>HLOOKUP($B$2,NEUConsumption,'Non-Energy Use'!$C$17)</f>
        <v>225.10882087824848</v>
      </c>
      <c r="L37" s="883"/>
      <c r="M37" s="883"/>
      <c r="N37" s="885">
        <f t="shared" si="40"/>
        <v>0</v>
      </c>
      <c r="O37" s="883">
        <f t="shared" si="41"/>
        <v>0.28699999999999998</v>
      </c>
      <c r="P37" s="883">
        <f t="shared" si="42"/>
        <v>645.0411791217515</v>
      </c>
      <c r="Q37" s="883">
        <f t="shared" si="43"/>
        <v>0</v>
      </c>
      <c r="R37" s="883">
        <f t="shared" si="44"/>
        <v>146.39099999999999</v>
      </c>
      <c r="S37" s="886">
        <f t="shared" si="45"/>
        <v>0</v>
      </c>
      <c r="T37" s="883">
        <f t="shared" si="4"/>
        <v>791.71917912175149</v>
      </c>
      <c r="U37" s="931">
        <f>Factors!D48</f>
        <v>27.84770010865628</v>
      </c>
      <c r="V37" s="932">
        <f t="shared" si="46"/>
        <v>0</v>
      </c>
      <c r="W37" s="933">
        <f t="shared" si="47"/>
        <v>7.9922899311843515E-3</v>
      </c>
      <c r="X37" s="933">
        <f t="shared" si="48"/>
        <v>17.962913313916577</v>
      </c>
      <c r="Y37" s="933">
        <f t="shared" si="49"/>
        <v>0</v>
      </c>
      <c r="Z37" s="933">
        <f t="shared" si="50"/>
        <v>4.0766526666063019</v>
      </c>
      <c r="AA37" s="933">
        <f t="shared" si="51"/>
        <v>0</v>
      </c>
      <c r="AB37" s="933">
        <f t="shared" si="34"/>
        <v>22.047558270454061</v>
      </c>
      <c r="AC37" s="934">
        <f>Factors!E48</f>
        <v>1</v>
      </c>
      <c r="AD37" s="885">
        <f t="shared" si="57"/>
        <v>0</v>
      </c>
      <c r="AE37" s="883">
        <f t="shared" si="58"/>
        <v>7.9922899311843515E-3</v>
      </c>
      <c r="AF37" s="883">
        <f t="shared" si="59"/>
        <v>17.962913313916577</v>
      </c>
      <c r="AG37" s="883">
        <f t="shared" si="62"/>
        <v>0</v>
      </c>
      <c r="AH37" s="883">
        <f t="shared" si="60"/>
        <v>4.0766526666063019</v>
      </c>
      <c r="AI37" s="883">
        <f t="shared" si="61"/>
        <v>0</v>
      </c>
      <c r="AJ37" s="889">
        <f t="shared" si="6"/>
        <v>22.047558270454061</v>
      </c>
      <c r="AK37" s="885">
        <f t="shared" si="27"/>
        <v>0</v>
      </c>
      <c r="AL37" s="883">
        <f t="shared" si="28"/>
        <v>2.9305063081009289E-2</v>
      </c>
      <c r="AM37" s="883">
        <f t="shared" si="29"/>
        <v>65.864015484360777</v>
      </c>
      <c r="AN37" s="883">
        <f t="shared" si="30"/>
        <v>0</v>
      </c>
      <c r="AO37" s="883">
        <f t="shared" si="31"/>
        <v>14.947726444223106</v>
      </c>
      <c r="AP37" s="883">
        <f t="shared" si="32"/>
        <v>0</v>
      </c>
      <c r="AQ37" s="890">
        <f t="shared" si="35"/>
        <v>80.841046991664896</v>
      </c>
    </row>
    <row r="38" spans="1:43">
      <c r="A38" s="817"/>
      <c r="B38" s="865" t="s">
        <v>1618</v>
      </c>
      <c r="C38" s="883"/>
      <c r="D38" s="883"/>
      <c r="E38" s="883">
        <f>HLOOKUP($B$2,'Consumption Input'!$E$5:$AQ$82,'Consumption Input'!$B43)</f>
        <v>1470.3</v>
      </c>
      <c r="F38" s="883"/>
      <c r="G38" s="883"/>
      <c r="H38" s="883"/>
      <c r="I38" s="883">
        <f t="shared" si="63"/>
        <v>1470.3</v>
      </c>
      <c r="J38" s="884"/>
      <c r="K38" s="883">
        <f>HLOOKUP($B$2,NEUConsumption,'Non-Energy Use'!$C$16)</f>
        <v>47.334000000000017</v>
      </c>
      <c r="L38" s="883"/>
      <c r="M38" s="883"/>
      <c r="N38" s="885">
        <f t="shared" si="40"/>
        <v>0</v>
      </c>
      <c r="O38" s="883">
        <f t="shared" si="41"/>
        <v>0</v>
      </c>
      <c r="P38" s="883">
        <f t="shared" si="42"/>
        <v>1422.9659999999999</v>
      </c>
      <c r="Q38" s="883">
        <f t="shared" si="43"/>
        <v>0</v>
      </c>
      <c r="R38" s="883">
        <f t="shared" si="44"/>
        <v>0</v>
      </c>
      <c r="S38" s="886">
        <f t="shared" si="45"/>
        <v>0</v>
      </c>
      <c r="T38" s="883">
        <f t="shared" si="4"/>
        <v>1422.9659999999999</v>
      </c>
      <c r="U38" s="931">
        <f>Factors!D51</f>
        <v>18.195454545454545</v>
      </c>
      <c r="V38" s="932">
        <f t="shared" si="46"/>
        <v>0</v>
      </c>
      <c r="W38" s="933">
        <f t="shared" si="47"/>
        <v>0</v>
      </c>
      <c r="X38" s="933">
        <f t="shared" si="48"/>
        <v>25.891513172727272</v>
      </c>
      <c r="Y38" s="933">
        <f t="shared" si="49"/>
        <v>0</v>
      </c>
      <c r="Z38" s="933">
        <f t="shared" si="50"/>
        <v>0</v>
      </c>
      <c r="AA38" s="933">
        <f t="shared" si="51"/>
        <v>0</v>
      </c>
      <c r="AB38" s="933">
        <f t="shared" si="34"/>
        <v>25.891513172727272</v>
      </c>
      <c r="AC38" s="934">
        <f>Factors!E51</f>
        <v>1</v>
      </c>
      <c r="AD38" s="885">
        <f t="shared" si="57"/>
        <v>0</v>
      </c>
      <c r="AE38" s="883">
        <f t="shared" si="58"/>
        <v>0</v>
      </c>
      <c r="AF38" s="883">
        <f t="shared" si="59"/>
        <v>25.891513172727272</v>
      </c>
      <c r="AG38" s="883">
        <f t="shared" si="62"/>
        <v>0</v>
      </c>
      <c r="AH38" s="883">
        <f t="shared" si="60"/>
        <v>0</v>
      </c>
      <c r="AI38" s="883">
        <f t="shared" si="61"/>
        <v>0</v>
      </c>
      <c r="AJ38" s="889">
        <f t="shared" si="6"/>
        <v>25.891513172727272</v>
      </c>
      <c r="AK38" s="885">
        <f t="shared" si="27"/>
        <v>0</v>
      </c>
      <c r="AL38" s="883">
        <f t="shared" si="28"/>
        <v>0</v>
      </c>
      <c r="AM38" s="883">
        <f t="shared" si="29"/>
        <v>94.935548299999994</v>
      </c>
      <c r="AN38" s="883">
        <f t="shared" si="30"/>
        <v>0</v>
      </c>
      <c r="AO38" s="883">
        <f t="shared" si="31"/>
        <v>0</v>
      </c>
      <c r="AP38" s="883">
        <f t="shared" si="32"/>
        <v>0</v>
      </c>
      <c r="AQ38" s="890">
        <f t="shared" si="35"/>
        <v>94.935548299999994</v>
      </c>
    </row>
    <row r="39" spans="1:43">
      <c r="A39" s="817"/>
      <c r="B39" s="865" t="s">
        <v>1619</v>
      </c>
      <c r="C39" s="883"/>
      <c r="D39" s="883"/>
      <c r="E39" s="883">
        <f>HLOOKUP($B$2,'Consumption Input'!$E$5:$AQ$82,'Consumption Input'!$B44)</f>
        <v>84.885061759999999</v>
      </c>
      <c r="F39" s="883"/>
      <c r="G39" s="883"/>
      <c r="H39" s="883"/>
      <c r="I39" s="883">
        <f t="shared" si="63"/>
        <v>84.885061759999999</v>
      </c>
      <c r="J39" s="884"/>
      <c r="K39" s="883">
        <f>HLOOKUP($B$2,NEUConsumption,'Non-Energy Use'!$C$18)</f>
        <v>84.885061759999999</v>
      </c>
      <c r="L39" s="883"/>
      <c r="M39" s="883"/>
      <c r="N39" s="885">
        <f t="shared" si="40"/>
        <v>0</v>
      </c>
      <c r="O39" s="883">
        <f t="shared" si="41"/>
        <v>0</v>
      </c>
      <c r="P39" s="883">
        <f t="shared" si="42"/>
        <v>0</v>
      </c>
      <c r="Q39" s="883">
        <f t="shared" si="43"/>
        <v>0</v>
      </c>
      <c r="R39" s="883">
        <f t="shared" si="44"/>
        <v>0</v>
      </c>
      <c r="S39" s="886">
        <f t="shared" si="45"/>
        <v>0</v>
      </c>
      <c r="T39" s="883">
        <f t="shared" si="4"/>
        <v>0</v>
      </c>
      <c r="U39" s="931">
        <f>Factors!D37</f>
        <v>19.737389135254986</v>
      </c>
      <c r="V39" s="932">
        <f t="shared" si="46"/>
        <v>0</v>
      </c>
      <c r="W39" s="933">
        <f t="shared" si="47"/>
        <v>0</v>
      </c>
      <c r="X39" s="933">
        <f t="shared" si="48"/>
        <v>0</v>
      </c>
      <c r="Y39" s="933">
        <f t="shared" si="49"/>
        <v>0</v>
      </c>
      <c r="Z39" s="933">
        <f t="shared" si="50"/>
        <v>0</v>
      </c>
      <c r="AA39" s="933">
        <f t="shared" si="51"/>
        <v>0</v>
      </c>
      <c r="AB39" s="933">
        <f t="shared" si="34"/>
        <v>0</v>
      </c>
      <c r="AC39" s="934">
        <f>Factors!E37</f>
        <v>1</v>
      </c>
      <c r="AD39" s="885">
        <f t="shared" si="57"/>
        <v>0</v>
      </c>
      <c r="AE39" s="883">
        <f t="shared" si="58"/>
        <v>0</v>
      </c>
      <c r="AF39" s="883">
        <f t="shared" si="59"/>
        <v>0</v>
      </c>
      <c r="AG39" s="883">
        <f t="shared" si="62"/>
        <v>0</v>
      </c>
      <c r="AH39" s="883">
        <f t="shared" si="60"/>
        <v>0</v>
      </c>
      <c r="AI39" s="883">
        <f t="shared" si="61"/>
        <v>0</v>
      </c>
      <c r="AJ39" s="889">
        <f t="shared" si="6"/>
        <v>0</v>
      </c>
      <c r="AK39" s="885">
        <f t="shared" si="27"/>
        <v>0</v>
      </c>
      <c r="AL39" s="883">
        <f t="shared" si="28"/>
        <v>0</v>
      </c>
      <c r="AM39" s="883">
        <f t="shared" si="29"/>
        <v>0</v>
      </c>
      <c r="AN39" s="883">
        <f t="shared" si="30"/>
        <v>0</v>
      </c>
      <c r="AO39" s="883">
        <f t="shared" si="31"/>
        <v>0</v>
      </c>
      <c r="AP39" s="883">
        <f t="shared" si="32"/>
        <v>0</v>
      </c>
      <c r="AQ39" s="890">
        <f t="shared" si="35"/>
        <v>0</v>
      </c>
    </row>
    <row r="40" spans="1:43">
      <c r="A40" s="817"/>
      <c r="B40" s="865" t="s">
        <v>1620</v>
      </c>
      <c r="C40" s="883"/>
      <c r="D40" s="883"/>
      <c r="E40" s="883">
        <f>HLOOKUP($B$2,'Consumption Input'!$E$5:$AQ$82,'Consumption Input'!$B45)</f>
        <v>0</v>
      </c>
      <c r="F40" s="883"/>
      <c r="G40" s="883"/>
      <c r="H40" s="883"/>
      <c r="I40" s="883">
        <f t="shared" si="63"/>
        <v>0</v>
      </c>
      <c r="J40" s="884"/>
      <c r="K40" s="883"/>
      <c r="L40" s="883"/>
      <c r="M40" s="883"/>
      <c r="N40" s="885">
        <f t="shared" si="40"/>
        <v>0</v>
      </c>
      <c r="O40" s="883">
        <f t="shared" si="41"/>
        <v>0</v>
      </c>
      <c r="P40" s="883">
        <f t="shared" si="42"/>
        <v>0</v>
      </c>
      <c r="Q40" s="883">
        <f t="shared" si="43"/>
        <v>0</v>
      </c>
      <c r="R40" s="883">
        <f t="shared" si="44"/>
        <v>0</v>
      </c>
      <c r="S40" s="886">
        <f t="shared" si="45"/>
        <v>0</v>
      </c>
      <c r="T40" s="883">
        <f t="shared" si="4"/>
        <v>0</v>
      </c>
      <c r="U40" s="931">
        <f>HLOOKUP($B$2,Factors!$J$12:$AB$25,Factors!$H24,FALSE)</f>
        <v>20.305515594827586</v>
      </c>
      <c r="V40" s="932">
        <f t="shared" si="46"/>
        <v>0</v>
      </c>
      <c r="W40" s="933">
        <f t="shared" si="47"/>
        <v>0</v>
      </c>
      <c r="X40" s="933">
        <f t="shared" si="48"/>
        <v>0</v>
      </c>
      <c r="Y40" s="933">
        <f t="shared" si="49"/>
        <v>0</v>
      </c>
      <c r="Z40" s="933">
        <f t="shared" si="50"/>
        <v>0</v>
      </c>
      <c r="AA40" s="933">
        <f t="shared" si="51"/>
        <v>0</v>
      </c>
      <c r="AB40" s="933">
        <f t="shared" si="34"/>
        <v>0</v>
      </c>
      <c r="AC40" s="934">
        <f>Factors!E53</f>
        <v>1</v>
      </c>
      <c r="AD40" s="885">
        <f t="shared" si="57"/>
        <v>0</v>
      </c>
      <c r="AE40" s="883">
        <f t="shared" si="58"/>
        <v>0</v>
      </c>
      <c r="AF40" s="883">
        <f t="shared" si="59"/>
        <v>0</v>
      </c>
      <c r="AG40" s="883">
        <f t="shared" si="62"/>
        <v>0</v>
      </c>
      <c r="AH40" s="883">
        <f t="shared" si="60"/>
        <v>0</v>
      </c>
      <c r="AI40" s="883">
        <f t="shared" si="61"/>
        <v>0</v>
      </c>
      <c r="AJ40" s="889">
        <f t="shared" si="6"/>
        <v>0</v>
      </c>
      <c r="AK40" s="885">
        <f t="shared" si="27"/>
        <v>0</v>
      </c>
      <c r="AL40" s="883">
        <f t="shared" si="28"/>
        <v>0</v>
      </c>
      <c r="AM40" s="883">
        <f t="shared" si="29"/>
        <v>0</v>
      </c>
      <c r="AN40" s="883">
        <f t="shared" si="30"/>
        <v>0</v>
      </c>
      <c r="AO40" s="883">
        <f t="shared" si="31"/>
        <v>0</v>
      </c>
      <c r="AP40" s="883">
        <f t="shared" si="32"/>
        <v>0</v>
      </c>
      <c r="AQ40" s="890">
        <f t="shared" si="35"/>
        <v>0</v>
      </c>
    </row>
    <row r="41" spans="1:43">
      <c r="A41" s="817"/>
      <c r="B41" s="865" t="s">
        <v>1621</v>
      </c>
      <c r="C41" s="883"/>
      <c r="D41" s="883"/>
      <c r="E41" s="883">
        <f>HLOOKUP($B$2,'Consumption Input'!$E$5:$AQ$82,'Consumption Input'!$B46)</f>
        <v>19.142239549999999</v>
      </c>
      <c r="F41" s="883"/>
      <c r="G41" s="883"/>
      <c r="H41" s="883"/>
      <c r="I41" s="883">
        <f t="shared" si="63"/>
        <v>19.142239549999999</v>
      </c>
      <c r="J41" s="884"/>
      <c r="K41" s="883">
        <f>HLOOKUP($B$2,NEUConsumption,'Non-Energy Use'!$C$21)</f>
        <v>19.142239549999999</v>
      </c>
      <c r="L41" s="883"/>
      <c r="M41" s="883"/>
      <c r="N41" s="885">
        <f t="shared" si="40"/>
        <v>0</v>
      </c>
      <c r="O41" s="883">
        <f t="shared" si="41"/>
        <v>0</v>
      </c>
      <c r="P41" s="883">
        <f t="shared" si="42"/>
        <v>0</v>
      </c>
      <c r="Q41" s="883">
        <f t="shared" si="43"/>
        <v>0</v>
      </c>
      <c r="R41" s="883">
        <f t="shared" si="44"/>
        <v>0</v>
      </c>
      <c r="S41" s="886">
        <f t="shared" si="45"/>
        <v>0</v>
      </c>
      <c r="T41" s="883">
        <f t="shared" si="4"/>
        <v>0</v>
      </c>
      <c r="U41" s="931">
        <f>Factors!D55</f>
        <v>19.795754182606267</v>
      </c>
      <c r="V41" s="941">
        <f t="shared" si="46"/>
        <v>0</v>
      </c>
      <c r="W41" s="942">
        <f t="shared" si="47"/>
        <v>0</v>
      </c>
      <c r="X41" s="942">
        <f t="shared" si="48"/>
        <v>0</v>
      </c>
      <c r="Y41" s="942">
        <f t="shared" si="49"/>
        <v>0</v>
      </c>
      <c r="Z41" s="942">
        <f t="shared" si="50"/>
        <v>0</v>
      </c>
      <c r="AA41" s="942">
        <f t="shared" si="51"/>
        <v>0</v>
      </c>
      <c r="AB41" s="933">
        <f t="shared" si="34"/>
        <v>0</v>
      </c>
      <c r="AC41" s="934">
        <f>Factors!E55</f>
        <v>1</v>
      </c>
      <c r="AD41" s="885">
        <f t="shared" si="57"/>
        <v>0</v>
      </c>
      <c r="AE41" s="883">
        <f t="shared" si="58"/>
        <v>0</v>
      </c>
      <c r="AF41" s="883">
        <f t="shared" si="59"/>
        <v>0</v>
      </c>
      <c r="AG41" s="883">
        <f t="shared" si="62"/>
        <v>0</v>
      </c>
      <c r="AH41" s="883">
        <f t="shared" si="60"/>
        <v>0</v>
      </c>
      <c r="AI41" s="883">
        <f t="shared" si="61"/>
        <v>0</v>
      </c>
      <c r="AJ41" s="889">
        <f t="shared" si="6"/>
        <v>0</v>
      </c>
      <c r="AK41" s="885">
        <f t="shared" si="27"/>
        <v>0</v>
      </c>
      <c r="AL41" s="883">
        <f t="shared" si="28"/>
        <v>0</v>
      </c>
      <c r="AM41" s="883">
        <f t="shared" si="29"/>
        <v>0</v>
      </c>
      <c r="AN41" s="883">
        <f t="shared" si="30"/>
        <v>0</v>
      </c>
      <c r="AO41" s="883">
        <f t="shared" si="31"/>
        <v>0</v>
      </c>
      <c r="AP41" s="883">
        <f t="shared" si="32"/>
        <v>0</v>
      </c>
      <c r="AQ41" s="890">
        <f t="shared" si="35"/>
        <v>0</v>
      </c>
    </row>
    <row r="42" spans="1:43" ht="11.1" thickBot="1">
      <c r="A42" s="817"/>
      <c r="B42" s="866" t="s">
        <v>82</v>
      </c>
      <c r="C42" s="917"/>
      <c r="D42" s="917"/>
      <c r="E42" s="917"/>
      <c r="F42" s="917"/>
      <c r="G42" s="917">
        <f>INDEX(Geothermal!$C$6:$AE$10,MATCH("Total",Geothermal!$C$6:$C$10,0),MATCH($B$2,Geothermal!$C$6:$AE$6,0))/Factors!$J$61*Factors!$J$55/BBtuToBtu*BBtuToTBtu</f>
        <v>50.634000022720002</v>
      </c>
      <c r="H42" s="917"/>
      <c r="I42" s="917">
        <f>G42</f>
        <v>50.634000022720002</v>
      </c>
      <c r="J42" s="918"/>
      <c r="K42" s="919"/>
      <c r="L42" s="917"/>
      <c r="M42" s="920"/>
      <c r="N42" s="917">
        <f t="shared" si="40"/>
        <v>0</v>
      </c>
      <c r="O42" s="917">
        <f t="shared" si="41"/>
        <v>0</v>
      </c>
      <c r="P42" s="917">
        <f>E42</f>
        <v>0</v>
      </c>
      <c r="Q42" s="917">
        <f>F42</f>
        <v>0</v>
      </c>
      <c r="R42" s="917">
        <f t="shared" si="44"/>
        <v>50.634000022720002</v>
      </c>
      <c r="S42" s="917">
        <f>H42</f>
        <v>0</v>
      </c>
      <c r="T42" s="917">
        <f t="shared" si="4"/>
        <v>50.634000022720002</v>
      </c>
      <c r="U42" s="953">
        <f>Factors!D56</f>
        <v>2.6974658424810825</v>
      </c>
      <c r="V42" s="954"/>
      <c r="W42" s="954"/>
      <c r="X42" s="954"/>
      <c r="Y42" s="954"/>
      <c r="Z42" s="954">
        <f>INDEX(Geothermal!$C$14:$AE$18,MATCH("Total",Geothermal!$C$14:$C$18,0),MATCH($B$2,Geothermal!$C$14:$AE$14,0))/CtoCO2</f>
        <v>0.12050739792720655</v>
      </c>
      <c r="AA42" s="954"/>
      <c r="AB42" s="954">
        <f t="shared" si="34"/>
        <v>0.12050739792720655</v>
      </c>
      <c r="AC42" s="955">
        <f>Factors!$E$56</f>
        <v>1</v>
      </c>
      <c r="AD42" s="917">
        <f t="shared" si="57"/>
        <v>0</v>
      </c>
      <c r="AE42" s="917">
        <f t="shared" si="58"/>
        <v>0</v>
      </c>
      <c r="AF42" s="917">
        <f t="shared" si="59"/>
        <v>0</v>
      </c>
      <c r="AG42" s="917">
        <f t="shared" si="62"/>
        <v>0</v>
      </c>
      <c r="AH42" s="917">
        <f t="shared" si="60"/>
        <v>0.12050739792720655</v>
      </c>
      <c r="AI42" s="917">
        <f t="shared" si="61"/>
        <v>0</v>
      </c>
      <c r="AJ42" s="920">
        <f t="shared" si="6"/>
        <v>0.12050739792720655</v>
      </c>
      <c r="AK42" s="919">
        <f t="shared" si="27"/>
        <v>0</v>
      </c>
      <c r="AL42" s="917">
        <f t="shared" si="28"/>
        <v>0</v>
      </c>
      <c r="AM42" s="917">
        <f t="shared" si="29"/>
        <v>0</v>
      </c>
      <c r="AN42" s="917">
        <f t="shared" si="30"/>
        <v>0</v>
      </c>
      <c r="AO42" s="917">
        <f t="shared" si="31"/>
        <v>0.44186045906642402</v>
      </c>
      <c r="AP42" s="917">
        <f t="shared" si="32"/>
        <v>0</v>
      </c>
      <c r="AQ42" s="920">
        <f t="shared" si="35"/>
        <v>0.44186045906642402</v>
      </c>
    </row>
    <row r="43" spans="1:43" ht="11.1" thickBot="1">
      <c r="A43" s="817"/>
      <c r="B43" s="867" t="s">
        <v>1740</v>
      </c>
      <c r="C43" s="922">
        <f>C8+C17+C18+C42</f>
        <v>6190.8500883082324</v>
      </c>
      <c r="D43" s="922">
        <f>D8+D17+D18+D42</f>
        <v>3988.5609096956832</v>
      </c>
      <c r="E43" s="922">
        <f>E8+E17+E18+E42</f>
        <v>17514.473725904987</v>
      </c>
      <c r="F43" s="922">
        <f>F8+F17+F18+F42</f>
        <v>26355.068614098804</v>
      </c>
      <c r="G43" s="922">
        <f>G8+G17+G18+G42</f>
        <v>27851.849000022721</v>
      </c>
      <c r="H43" s="922">
        <f>H16+H17+H18+H42</f>
        <v>601.78017786338455</v>
      </c>
      <c r="I43" s="922">
        <f>SUM(C43:H43)</f>
        <v>82502.58251589381</v>
      </c>
      <c r="J43" s="923">
        <f t="shared" ref="J43:S43" si="64">J8+J17+J18+J42</f>
        <v>1574.7123468079212</v>
      </c>
      <c r="K43" s="924">
        <f t="shared" si="64"/>
        <v>4725.6193963584592</v>
      </c>
      <c r="L43" s="922">
        <f t="shared" si="64"/>
        <v>141.33000000000001</v>
      </c>
      <c r="M43" s="925">
        <f t="shared" si="64"/>
        <v>78.017961025666509</v>
      </c>
      <c r="N43" s="922">
        <f t="shared" si="64"/>
        <v>6190.8500883082324</v>
      </c>
      <c r="O43" s="922">
        <f t="shared" si="64"/>
        <v>3988.5609096956832</v>
      </c>
      <c r="P43" s="922">
        <f t="shared" si="64"/>
        <v>12788.854329546526</v>
      </c>
      <c r="Q43" s="922">
        <f t="shared" si="64"/>
        <v>24639.026267290887</v>
      </c>
      <c r="R43" s="922">
        <f t="shared" si="64"/>
        <v>27851.849000022721</v>
      </c>
      <c r="S43" s="922">
        <f t="shared" si="64"/>
        <v>523.76221683771803</v>
      </c>
      <c r="T43" s="922">
        <f t="shared" si="4"/>
        <v>75982.902811701759</v>
      </c>
      <c r="U43" s="956" t="s">
        <v>1731</v>
      </c>
      <c r="V43" s="957">
        <f t="shared" ref="V43:AA43" si="65">V8+V17+V18+V42</f>
        <v>94.641982608721122</v>
      </c>
      <c r="W43" s="957">
        <f t="shared" si="65"/>
        <v>61.927013848712505</v>
      </c>
      <c r="X43" s="957">
        <f t="shared" si="65"/>
        <v>222.62610219986846</v>
      </c>
      <c r="Y43" s="957">
        <f t="shared" si="65"/>
        <v>479.91308829855893</v>
      </c>
      <c r="Z43" s="957">
        <f t="shared" si="65"/>
        <v>643.4542068305883</v>
      </c>
      <c r="AA43" s="957">
        <f t="shared" si="65"/>
        <v>10.490097382657618</v>
      </c>
      <c r="AB43" s="957">
        <f t="shared" si="34"/>
        <v>1513.052491169107</v>
      </c>
      <c r="AC43" s="958" t="s">
        <v>1731</v>
      </c>
      <c r="AD43" s="922">
        <f t="shared" ref="AD43:AQ43" si="66">AD8+AD17+AD18+AD42</f>
        <v>94.641982608721122</v>
      </c>
      <c r="AE43" s="922">
        <f t="shared" si="66"/>
        <v>61.927013848712505</v>
      </c>
      <c r="AF43" s="922">
        <f t="shared" si="66"/>
        <v>222.62610219986846</v>
      </c>
      <c r="AG43" s="922">
        <f t="shared" si="66"/>
        <v>479.91308829855893</v>
      </c>
      <c r="AH43" s="922">
        <f t="shared" si="66"/>
        <v>643.4542068305883</v>
      </c>
      <c r="AI43" s="922">
        <f t="shared" si="66"/>
        <v>10.490097382657618</v>
      </c>
      <c r="AJ43" s="925">
        <f t="shared" si="66"/>
        <v>1513.0524911691068</v>
      </c>
      <c r="AK43" s="922">
        <f t="shared" si="66"/>
        <v>347.02060289864409</v>
      </c>
      <c r="AL43" s="922">
        <f t="shared" si="66"/>
        <v>227.06571744527918</v>
      </c>
      <c r="AM43" s="922">
        <f t="shared" si="66"/>
        <v>816.29570806618426</v>
      </c>
      <c r="AN43" s="922">
        <f t="shared" si="66"/>
        <v>1759.6813237613826</v>
      </c>
      <c r="AO43" s="922">
        <f t="shared" si="66"/>
        <v>2359.3320917121569</v>
      </c>
      <c r="AP43" s="922">
        <f t="shared" si="66"/>
        <v>38.463690403077933</v>
      </c>
      <c r="AQ43" s="925">
        <f t="shared" si="66"/>
        <v>5547.8591342867257</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0" type="noConversion"/>
  <printOptions gridLines="1" gridLinesSet="0"/>
  <pageMargins left="0.5" right="0.5" top="0.5" bottom="0.75" header="0.27" footer="0.21"/>
  <pageSetup scale="31"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ransitionEvaluation="1" transitionEntry="1" codeName="Sheet17">
    <pageSetUpPr fitToPage="1"/>
  </sheetPr>
  <dimension ref="A1:AQ1177"/>
  <sheetViews>
    <sheetView workbookViewId="0"/>
  </sheetViews>
  <sheetFormatPr defaultColWidth="9.6640625" defaultRowHeight="10.5"/>
  <cols>
    <col min="1" max="1" width="8" customWidth="1"/>
    <col min="2" max="2" width="24.6640625" style="152" customWidth="1"/>
    <col min="3" max="8" width="8.6640625" style="152" customWidth="1"/>
    <col min="9" max="9" width="10" style="152" customWidth="1"/>
    <col min="10" max="11" width="9" style="152" customWidth="1"/>
    <col min="12" max="12" width="7" style="152" customWidth="1"/>
    <col min="13" max="13" width="9" style="152" customWidth="1"/>
    <col min="14" max="14" width="8.6640625" style="152" customWidth="1"/>
    <col min="15" max="15" width="10.1640625" style="152" customWidth="1"/>
    <col min="16" max="16" width="9" style="152" customWidth="1"/>
    <col min="17" max="17" width="9.6640625" style="152" customWidth="1"/>
    <col min="18" max="18" width="9" style="152" customWidth="1"/>
    <col min="19" max="19" width="7" style="152" customWidth="1"/>
    <col min="20" max="20" width="10.6640625" customWidth="1"/>
    <col min="21" max="21" width="8"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41" width="9.6640625" customWidth="1"/>
    <col min="42" max="42" width="9" bestFit="1" customWidth="1"/>
    <col min="43" max="43" width="10"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2009</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1760</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 t="shared" si="0"/>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69.7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73.35299999999998</v>
      </c>
      <c r="E8" s="876">
        <f t="shared" si="1"/>
        <v>935.53500335691456</v>
      </c>
      <c r="F8" s="876">
        <f t="shared" si="1"/>
        <v>0</v>
      </c>
      <c r="G8" s="876">
        <f t="shared" si="1"/>
        <v>18225.331999999999</v>
      </c>
      <c r="H8" s="876">
        <f t="shared" si="1"/>
        <v>36.988296399999335</v>
      </c>
      <c r="I8" s="876">
        <f t="shared" ref="I8:I14" si="2">SUM(C8:H8)</f>
        <v>19271.208299756912</v>
      </c>
      <c r="J8" s="877"/>
      <c r="K8" s="876">
        <f>SUM(K9:K16)</f>
        <v>17.392466440040714</v>
      </c>
      <c r="L8" s="876">
        <f>SUM(L9:L16)</f>
        <v>0</v>
      </c>
      <c r="M8" s="876"/>
      <c r="N8" s="878">
        <f t="shared" ref="N8:S8" si="3">SUM(N9:N16)</f>
        <v>0</v>
      </c>
      <c r="O8" s="876">
        <f t="shared" si="3"/>
        <v>73.35299999999998</v>
      </c>
      <c r="P8" s="876">
        <f t="shared" si="3"/>
        <v>918.14253691687384</v>
      </c>
      <c r="Q8" s="876">
        <f t="shared" si="3"/>
        <v>0</v>
      </c>
      <c r="R8" s="876">
        <f t="shared" si="3"/>
        <v>18225.331999999999</v>
      </c>
      <c r="S8" s="879">
        <f t="shared" si="3"/>
        <v>36.988296399999335</v>
      </c>
      <c r="T8" s="876">
        <f t="shared" ref="T8:T42" si="4">SUM(N8:S8)</f>
        <v>19253.815833316872</v>
      </c>
      <c r="U8" s="880" t="s">
        <v>1731</v>
      </c>
      <c r="V8" s="876">
        <f>SUM(V9:V16)</f>
        <v>0</v>
      </c>
      <c r="W8" s="876">
        <f>SUM(W9:W16)</f>
        <v>1.8876257694416578</v>
      </c>
      <c r="X8" s="876">
        <f>SUM(X9:X16)</f>
        <v>23.745544058274607</v>
      </c>
      <c r="Y8" s="876"/>
      <c r="Z8" s="876">
        <f>SUM(Z9:Z16)</f>
        <v>474.58709161211311</v>
      </c>
      <c r="AA8" s="876">
        <f>SUM(AA9:AA16)</f>
        <v>0.92988577149598328</v>
      </c>
      <c r="AB8" s="876">
        <f t="shared" ref="AB8:AB13" si="5">SUM(V8:AA8)</f>
        <v>501.15014721132536</v>
      </c>
      <c r="AC8" s="881" t="s">
        <v>1731</v>
      </c>
      <c r="AD8" s="878">
        <f>SUM(AD9:AD16)</f>
        <v>0</v>
      </c>
      <c r="AE8" s="876">
        <f>SUM(AE9:AE16)</f>
        <v>1.8876257694416578</v>
      </c>
      <c r="AF8" s="876">
        <f>SUM(AF9:AF16)</f>
        <v>23.745544058274607</v>
      </c>
      <c r="AG8" s="876" t="s">
        <v>108</v>
      </c>
      <c r="AH8" s="876">
        <f>SUM(AH9:AH16)</f>
        <v>474.58709161211311</v>
      </c>
      <c r="AI8" s="876">
        <f>SUM(AI9:AI16)</f>
        <v>0.92988577149598328</v>
      </c>
      <c r="AJ8" s="876">
        <f t="shared" ref="AJ8:AJ42" si="6">SUM(AD8:AI8)</f>
        <v>501.15014721132536</v>
      </c>
      <c r="AK8" s="878">
        <f t="shared" ref="AK8:AP8" si="7">SUM(AK9:AK16)</f>
        <v>0</v>
      </c>
      <c r="AL8" s="876">
        <f t="shared" si="7"/>
        <v>6.9212944879527454</v>
      </c>
      <c r="AM8" s="876">
        <f t="shared" si="7"/>
        <v>87.066994880340218</v>
      </c>
      <c r="AN8" s="876">
        <f t="shared" si="7"/>
        <v>0</v>
      </c>
      <c r="AO8" s="876">
        <f t="shared" si="7"/>
        <v>1740.1526692444147</v>
      </c>
      <c r="AP8" s="876">
        <f t="shared" si="7"/>
        <v>3.4095811621519387</v>
      </c>
      <c r="AQ8" s="882">
        <f t="shared" ref="AQ8:AQ14" si="8">SUM(AK8:AP8)</f>
        <v>1837.5505397748595</v>
      </c>
    </row>
    <row r="9" spans="1:43">
      <c r="A9" s="817"/>
      <c r="B9" s="860" t="s">
        <v>1732</v>
      </c>
      <c r="C9" s="883">
        <f>HLOOKUP($B$2,'Consumption Input'!$E$5:$AQ$82,'Consumption Input'!$B7)</f>
        <v>0</v>
      </c>
      <c r="D9" s="883"/>
      <c r="E9" s="883"/>
      <c r="F9" s="883"/>
      <c r="G9" s="883"/>
      <c r="H9" s="883"/>
      <c r="I9" s="883">
        <f t="shared" si="2"/>
        <v>0</v>
      </c>
      <c r="J9" s="884"/>
      <c r="K9" s="883"/>
      <c r="L9" s="883"/>
      <c r="M9" s="883"/>
      <c r="N9" s="885">
        <f t="shared" ref="N9:O17" si="9">C9</f>
        <v>0</v>
      </c>
      <c r="O9" s="883">
        <f t="shared" si="9"/>
        <v>0</v>
      </c>
      <c r="P9" s="883">
        <f t="shared" ref="P9:P17" si="10">E9-K9</f>
        <v>0</v>
      </c>
      <c r="Q9" s="883">
        <f t="shared" ref="Q9:S17" si="11">F9</f>
        <v>0</v>
      </c>
      <c r="R9" s="883">
        <f t="shared" si="11"/>
        <v>0</v>
      </c>
      <c r="S9" s="886">
        <f t="shared" si="11"/>
        <v>0</v>
      </c>
      <c r="T9" s="883">
        <f t="shared" si="4"/>
        <v>0</v>
      </c>
      <c r="U9" s="887">
        <f>HLOOKUP($B$2,Factors!$J$12:$AE$25,Factors!$H13,FALSE)</f>
        <v>25.73345015802569</v>
      </c>
      <c r="V9" s="885">
        <f t="shared" ref="V9:V17" si="12">N9*$U9*TbtuToQBtu</f>
        <v>0</v>
      </c>
      <c r="W9" s="883">
        <f t="shared" ref="W9:W17" si="13">O9*$U9*TbtuToQBtu</f>
        <v>0</v>
      </c>
      <c r="X9" s="883">
        <f t="shared" ref="X9:X17" si="14">P9*$U9*TbtuToQBtu</f>
        <v>0</v>
      </c>
      <c r="Y9" s="883">
        <f t="shared" ref="Y9:Y17" si="15">Q9*$U9*TbtuToQBtu</f>
        <v>0</v>
      </c>
      <c r="Z9" s="883">
        <f t="shared" ref="Z9:Z17" si="16">R9*$U9*TbtuToQBtu</f>
        <v>0</v>
      </c>
      <c r="AA9" s="883">
        <f t="shared" ref="AA9:AA17" si="17">S9*$U9*TbtuToQBtu</f>
        <v>0</v>
      </c>
      <c r="AB9" s="883">
        <f t="shared" si="5"/>
        <v>0</v>
      </c>
      <c r="AC9" s="888">
        <f>Factors!E10</f>
        <v>1</v>
      </c>
      <c r="AD9" s="885">
        <f t="shared" ref="AD9:AI17" si="18">V9*$AC9</f>
        <v>0</v>
      </c>
      <c r="AE9" s="883">
        <f t="shared" si="18"/>
        <v>0</v>
      </c>
      <c r="AF9" s="883">
        <f t="shared" si="18"/>
        <v>0</v>
      </c>
      <c r="AG9" s="883">
        <f t="shared" si="18"/>
        <v>0</v>
      </c>
      <c r="AH9" s="883">
        <f t="shared" si="18"/>
        <v>0</v>
      </c>
      <c r="AI9" s="883">
        <f t="shared" si="18"/>
        <v>0</v>
      </c>
      <c r="AJ9" s="889">
        <f t="shared" si="6"/>
        <v>0</v>
      </c>
      <c r="AK9" s="885">
        <f t="shared" ref="AK9:AK42" si="19">AD9*CtoCO2</f>
        <v>0</v>
      </c>
      <c r="AL9" s="883">
        <f t="shared" ref="AL9:AL42" si="20">AE9*CtoCO2</f>
        <v>0</v>
      </c>
      <c r="AM9" s="883">
        <f t="shared" ref="AM9:AM42" si="21">AF9*CtoCO2</f>
        <v>0</v>
      </c>
      <c r="AN9" s="883">
        <f t="shared" ref="AN9:AN42" si="22">AG9*CtoCO2</f>
        <v>0</v>
      </c>
      <c r="AO9" s="883">
        <f t="shared" ref="AO9:AO42" si="23">AH9*CtoCO2</f>
        <v>0</v>
      </c>
      <c r="AP9" s="883">
        <f t="shared" ref="AP9:AP42" si="24">AI9*CtoCO2</f>
        <v>0</v>
      </c>
      <c r="AQ9" s="890">
        <f t="shared" si="8"/>
        <v>0</v>
      </c>
    </row>
    <row r="10" spans="1:43">
      <c r="A10" s="817"/>
      <c r="B10" s="860" t="s">
        <v>1733</v>
      </c>
      <c r="C10" s="883"/>
      <c r="D10" s="883">
        <f>HLOOKUP($B$2,'Consumption Input'!$E$5:$AQ$82,'Consumption Input'!$B13)</f>
        <v>73.35299999999998</v>
      </c>
      <c r="E10" s="883"/>
      <c r="F10" s="883"/>
      <c r="G10" s="883"/>
      <c r="H10" s="883"/>
      <c r="I10" s="883">
        <f t="shared" si="2"/>
        <v>73.35299999999998</v>
      </c>
      <c r="J10" s="884"/>
      <c r="K10" s="883"/>
      <c r="L10" s="883"/>
      <c r="M10" s="883"/>
      <c r="N10" s="885">
        <f t="shared" si="9"/>
        <v>0</v>
      </c>
      <c r="O10" s="883">
        <f t="shared" si="9"/>
        <v>73.35299999999998</v>
      </c>
      <c r="P10" s="883">
        <f t="shared" si="10"/>
        <v>0</v>
      </c>
      <c r="Q10" s="883">
        <f t="shared" si="11"/>
        <v>0</v>
      </c>
      <c r="R10" s="883">
        <f t="shared" si="11"/>
        <v>0</v>
      </c>
      <c r="S10" s="886">
        <f t="shared" si="11"/>
        <v>0</v>
      </c>
      <c r="T10" s="883">
        <f t="shared" si="4"/>
        <v>73.35299999999998</v>
      </c>
      <c r="U10" s="887">
        <f>HLOOKUP($B$2,Factors!$J$12:$AE$25,Factors!$H14,FALSE)</f>
        <v>25.73345015802569</v>
      </c>
      <c r="V10" s="885">
        <f t="shared" si="12"/>
        <v>0</v>
      </c>
      <c r="W10" s="883">
        <f t="shared" si="13"/>
        <v>1.8876257694416578</v>
      </c>
      <c r="X10" s="883">
        <f t="shared" si="14"/>
        <v>0</v>
      </c>
      <c r="Y10" s="883">
        <f t="shared" si="15"/>
        <v>0</v>
      </c>
      <c r="Z10" s="883">
        <f t="shared" si="16"/>
        <v>0</v>
      </c>
      <c r="AA10" s="883">
        <f t="shared" si="17"/>
        <v>0</v>
      </c>
      <c r="AB10" s="883">
        <f t="shared" si="5"/>
        <v>1.8876257694416578</v>
      </c>
      <c r="AC10" s="888">
        <f>Factors!E11</f>
        <v>1</v>
      </c>
      <c r="AD10" s="885">
        <f t="shared" si="18"/>
        <v>0</v>
      </c>
      <c r="AE10" s="883">
        <f t="shared" si="18"/>
        <v>1.8876257694416578</v>
      </c>
      <c r="AF10" s="883">
        <f t="shared" si="18"/>
        <v>0</v>
      </c>
      <c r="AG10" s="883">
        <f t="shared" si="18"/>
        <v>0</v>
      </c>
      <c r="AH10" s="883">
        <f t="shared" si="18"/>
        <v>0</v>
      </c>
      <c r="AI10" s="883">
        <f t="shared" si="18"/>
        <v>0</v>
      </c>
      <c r="AJ10" s="889">
        <f t="shared" si="6"/>
        <v>1.8876257694416578</v>
      </c>
      <c r="AK10" s="885">
        <f t="shared" si="19"/>
        <v>0</v>
      </c>
      <c r="AL10" s="883">
        <f t="shared" si="20"/>
        <v>6.9212944879527454</v>
      </c>
      <c r="AM10" s="883">
        <f t="shared" si="21"/>
        <v>0</v>
      </c>
      <c r="AN10" s="883">
        <f t="shared" si="22"/>
        <v>0</v>
      </c>
      <c r="AO10" s="883">
        <f t="shared" si="23"/>
        <v>0</v>
      </c>
      <c r="AP10" s="883">
        <f t="shared" si="24"/>
        <v>0</v>
      </c>
      <c r="AQ10" s="890">
        <f t="shared" si="8"/>
        <v>6.9212944879527454</v>
      </c>
    </row>
    <row r="11" spans="1:43" s="244" customFormat="1" hidden="1">
      <c r="A11" s="861"/>
      <c r="B11" s="862" t="s">
        <v>1734</v>
      </c>
      <c r="C11" s="891"/>
      <c r="D11" s="891"/>
      <c r="E11" s="891">
        <f>HLOOKUP($B$2,'Consumption Input'!$E$5:$AQ$82,'Consumption Input'!$B23)</f>
        <v>6.3849143400174171</v>
      </c>
      <c r="F11" s="891"/>
      <c r="G11" s="891"/>
      <c r="H11" s="891"/>
      <c r="I11" s="891">
        <f t="shared" si="2"/>
        <v>6.3849143400174171</v>
      </c>
      <c r="J11" s="892"/>
      <c r="K11" s="891">
        <f>HLOOKUP($B$2,NEUConsumption,'Non-Energy Use'!$C$7)</f>
        <v>6.3849143400174171</v>
      </c>
      <c r="L11" s="891"/>
      <c r="M11" s="891"/>
      <c r="N11" s="893">
        <f t="shared" si="9"/>
        <v>0</v>
      </c>
      <c r="O11" s="891">
        <f t="shared" si="9"/>
        <v>0</v>
      </c>
      <c r="P11" s="891">
        <f t="shared" si="10"/>
        <v>0</v>
      </c>
      <c r="Q11" s="891">
        <f t="shared" si="11"/>
        <v>0</v>
      </c>
      <c r="R11" s="891">
        <f t="shared" si="11"/>
        <v>0</v>
      </c>
      <c r="S11" s="894">
        <f t="shared" si="11"/>
        <v>0</v>
      </c>
      <c r="T11" s="891">
        <f t="shared" si="4"/>
        <v>0</v>
      </c>
      <c r="U11" s="1013">
        <f>HLOOKUP($B$2,Factors!$J$12:$BE$28,Factors!$H28,FALSE)</f>
        <v>25.583890249034596</v>
      </c>
      <c r="V11" s="893">
        <f t="shared" si="12"/>
        <v>0</v>
      </c>
      <c r="W11" s="891">
        <f t="shared" si="13"/>
        <v>0</v>
      </c>
      <c r="X11" s="891">
        <f t="shared" si="14"/>
        <v>0</v>
      </c>
      <c r="Y11" s="891">
        <f t="shared" si="15"/>
        <v>0</v>
      </c>
      <c r="Z11" s="891">
        <f t="shared" si="16"/>
        <v>0</v>
      </c>
      <c r="AA11" s="891">
        <f t="shared" si="17"/>
        <v>0</v>
      </c>
      <c r="AB11" s="891">
        <f t="shared" si="5"/>
        <v>0</v>
      </c>
      <c r="AC11" s="896">
        <f>Factors!E12</f>
        <v>1</v>
      </c>
      <c r="AD11" s="893">
        <f t="shared" si="18"/>
        <v>0</v>
      </c>
      <c r="AE11" s="891">
        <f t="shared" si="18"/>
        <v>0</v>
      </c>
      <c r="AF11" s="891">
        <f t="shared" si="18"/>
        <v>0</v>
      </c>
      <c r="AG11" s="891">
        <f t="shared" si="18"/>
        <v>0</v>
      </c>
      <c r="AH11" s="891">
        <f t="shared" si="18"/>
        <v>0</v>
      </c>
      <c r="AI11" s="891">
        <f t="shared" si="18"/>
        <v>0</v>
      </c>
      <c r="AJ11" s="897">
        <f t="shared" si="6"/>
        <v>0</v>
      </c>
      <c r="AK11" s="893">
        <f t="shared" si="19"/>
        <v>0</v>
      </c>
      <c r="AL11" s="891">
        <f t="shared" si="20"/>
        <v>0</v>
      </c>
      <c r="AM11" s="891">
        <f t="shared" si="21"/>
        <v>0</v>
      </c>
      <c r="AN11" s="891">
        <f t="shared" si="22"/>
        <v>0</v>
      </c>
      <c r="AO11" s="891">
        <f t="shared" si="23"/>
        <v>0</v>
      </c>
      <c r="AP11" s="891">
        <f t="shared" si="24"/>
        <v>0</v>
      </c>
      <c r="AQ11" s="898">
        <f t="shared" si="8"/>
        <v>0</v>
      </c>
    </row>
    <row r="12" spans="1:43">
      <c r="A12" s="817"/>
      <c r="B12" s="860" t="s">
        <v>1701</v>
      </c>
      <c r="C12" s="883"/>
      <c r="D12" s="883"/>
      <c r="E12" s="883">
        <f>HLOOKUP($B$2,'Consumption Input'!$E$5:$AQ$82,'Consumption Input'!$B24)</f>
        <v>929.15008901689714</v>
      </c>
      <c r="F12" s="883"/>
      <c r="G12" s="883"/>
      <c r="H12" s="883"/>
      <c r="I12" s="883">
        <f t="shared" si="2"/>
        <v>929.15008901689714</v>
      </c>
      <c r="J12" s="884"/>
      <c r="K12" s="883">
        <f>HLOOKUP($B$2,NEUConsumption,'Non-Energy Use'!$C$8)</f>
        <v>11.007552100023295</v>
      </c>
      <c r="L12" s="883"/>
      <c r="M12" s="883"/>
      <c r="N12" s="885">
        <f t="shared" si="9"/>
        <v>0</v>
      </c>
      <c r="O12" s="883">
        <f t="shared" si="9"/>
        <v>0</v>
      </c>
      <c r="P12" s="883">
        <f t="shared" si="10"/>
        <v>918.14253691687384</v>
      </c>
      <c r="Q12" s="883">
        <f t="shared" si="11"/>
        <v>0</v>
      </c>
      <c r="R12" s="883">
        <f t="shared" si="11"/>
        <v>0</v>
      </c>
      <c r="S12" s="886">
        <f t="shared" si="11"/>
        <v>0</v>
      </c>
      <c r="T12" s="883">
        <f t="shared" si="4"/>
        <v>918.14253691687384</v>
      </c>
      <c r="U12" s="887">
        <f>HLOOKUP($B$2,Factors!$J$12:$AE$25,Factors!$H15,FALSE)</f>
        <v>25.862590070178246</v>
      </c>
      <c r="V12" s="885">
        <f t="shared" si="12"/>
        <v>0</v>
      </c>
      <c r="W12" s="883">
        <f t="shared" si="13"/>
        <v>0</v>
      </c>
      <c r="X12" s="883">
        <f t="shared" si="14"/>
        <v>23.745544058274607</v>
      </c>
      <c r="Y12" s="883">
        <f t="shared" si="15"/>
        <v>0</v>
      </c>
      <c r="Z12" s="883">
        <f t="shared" si="16"/>
        <v>0</v>
      </c>
      <c r="AA12" s="883">
        <f t="shared" si="17"/>
        <v>0</v>
      </c>
      <c r="AB12" s="883">
        <f t="shared" si="5"/>
        <v>23.745544058274607</v>
      </c>
      <c r="AC12" s="888">
        <f>Factors!E13</f>
        <v>1</v>
      </c>
      <c r="AD12" s="885">
        <f t="shared" si="18"/>
        <v>0</v>
      </c>
      <c r="AE12" s="883">
        <f t="shared" si="18"/>
        <v>0</v>
      </c>
      <c r="AF12" s="883">
        <f t="shared" si="18"/>
        <v>23.745544058274607</v>
      </c>
      <c r="AG12" s="883">
        <f t="shared" si="18"/>
        <v>0</v>
      </c>
      <c r="AH12" s="883">
        <f t="shared" si="18"/>
        <v>0</v>
      </c>
      <c r="AI12" s="883">
        <f t="shared" si="18"/>
        <v>0</v>
      </c>
      <c r="AJ12" s="889">
        <f t="shared" si="6"/>
        <v>23.745544058274607</v>
      </c>
      <c r="AK12" s="885">
        <f t="shared" si="19"/>
        <v>0</v>
      </c>
      <c r="AL12" s="883">
        <f t="shared" si="20"/>
        <v>0</v>
      </c>
      <c r="AM12" s="883">
        <f t="shared" si="21"/>
        <v>87.066994880340218</v>
      </c>
      <c r="AN12" s="883">
        <f t="shared" si="22"/>
        <v>0</v>
      </c>
      <c r="AO12" s="883">
        <f t="shared" si="23"/>
        <v>0</v>
      </c>
      <c r="AP12" s="883">
        <f t="shared" si="24"/>
        <v>0</v>
      </c>
      <c r="AQ12" s="890">
        <f t="shared" si="8"/>
        <v>87.066994880340218</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9"/>
        <v>0</v>
      </c>
      <c r="O13" s="891">
        <f t="shared" si="9"/>
        <v>0</v>
      </c>
      <c r="P13" s="891">
        <f t="shared" si="10"/>
        <v>0</v>
      </c>
      <c r="Q13" s="891">
        <f t="shared" si="11"/>
        <v>0</v>
      </c>
      <c r="R13" s="891">
        <f t="shared" si="11"/>
        <v>0</v>
      </c>
      <c r="S13" s="894">
        <f t="shared" si="11"/>
        <v>0</v>
      </c>
      <c r="T13" s="891">
        <f t="shared" si="4"/>
        <v>0</v>
      </c>
      <c r="U13" s="895">
        <f>Factors!D14</f>
        <v>27.85</v>
      </c>
      <c r="V13" s="893">
        <f t="shared" si="12"/>
        <v>0</v>
      </c>
      <c r="W13" s="891">
        <f t="shared" si="13"/>
        <v>0</v>
      </c>
      <c r="X13" s="891">
        <f t="shared" si="14"/>
        <v>0</v>
      </c>
      <c r="Y13" s="891">
        <f t="shared" si="15"/>
        <v>0</v>
      </c>
      <c r="Z13" s="891">
        <f t="shared" si="16"/>
        <v>0</v>
      </c>
      <c r="AA13" s="891">
        <f t="shared" si="17"/>
        <v>0</v>
      </c>
      <c r="AB13" s="891">
        <f t="shared" si="5"/>
        <v>0</v>
      </c>
      <c r="AC13" s="896">
        <f>Factors!E14</f>
        <v>1</v>
      </c>
      <c r="AD13" s="893">
        <f t="shared" si="18"/>
        <v>0</v>
      </c>
      <c r="AE13" s="891">
        <f t="shared" si="18"/>
        <v>0</v>
      </c>
      <c r="AF13" s="891">
        <f t="shared" si="18"/>
        <v>0</v>
      </c>
      <c r="AG13" s="891">
        <f t="shared" si="18"/>
        <v>0</v>
      </c>
      <c r="AH13" s="891">
        <f t="shared" si="18"/>
        <v>0</v>
      </c>
      <c r="AI13" s="891">
        <f t="shared" si="18"/>
        <v>0</v>
      </c>
      <c r="AJ13" s="897">
        <f t="shared" si="6"/>
        <v>0</v>
      </c>
      <c r="AK13" s="893">
        <f t="shared" si="19"/>
        <v>0</v>
      </c>
      <c r="AL13" s="891">
        <f t="shared" si="20"/>
        <v>0</v>
      </c>
      <c r="AM13" s="891">
        <f t="shared" si="21"/>
        <v>0</v>
      </c>
      <c r="AN13" s="891">
        <f t="shared" si="22"/>
        <v>0</v>
      </c>
      <c r="AO13" s="891">
        <f t="shared" si="23"/>
        <v>0</v>
      </c>
      <c r="AP13" s="891">
        <f t="shared" si="24"/>
        <v>0</v>
      </c>
      <c r="AQ13" s="890">
        <f t="shared" si="8"/>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9"/>
        <v>0</v>
      </c>
      <c r="O14" s="883">
        <f t="shared" si="9"/>
        <v>0</v>
      </c>
      <c r="P14" s="883">
        <f t="shared" si="10"/>
        <v>0</v>
      </c>
      <c r="Q14" s="883">
        <f t="shared" si="11"/>
        <v>0</v>
      </c>
      <c r="R14" s="883">
        <f t="shared" si="11"/>
        <v>0</v>
      </c>
      <c r="S14" s="886">
        <f t="shared" si="11"/>
        <v>0</v>
      </c>
      <c r="T14" s="883">
        <f t="shared" si="4"/>
        <v>0</v>
      </c>
      <c r="U14" s="887" t="str">
        <f>Factors!D15</f>
        <v>NC</v>
      </c>
      <c r="V14" s="885">
        <f t="shared" si="12"/>
        <v>0</v>
      </c>
      <c r="W14" s="883">
        <f t="shared" si="13"/>
        <v>0</v>
      </c>
      <c r="X14" s="883">
        <f t="shared" si="14"/>
        <v>0</v>
      </c>
      <c r="Y14" s="883">
        <f t="shared" si="15"/>
        <v>0</v>
      </c>
      <c r="Z14" s="883">
        <f t="shared" si="16"/>
        <v>0</v>
      </c>
      <c r="AA14" s="883">
        <f t="shared" si="17"/>
        <v>0</v>
      </c>
      <c r="AB14" s="883" t="s">
        <v>103</v>
      </c>
      <c r="AC14" s="888" t="str">
        <f>Factors!E15</f>
        <v>NC</v>
      </c>
      <c r="AD14" s="885">
        <f t="shared" si="18"/>
        <v>0</v>
      </c>
      <c r="AE14" s="883">
        <f t="shared" si="18"/>
        <v>0</v>
      </c>
      <c r="AF14" s="883">
        <f t="shared" si="18"/>
        <v>0</v>
      </c>
      <c r="AG14" s="883">
        <f t="shared" si="18"/>
        <v>0</v>
      </c>
      <c r="AH14" s="883">
        <f t="shared" si="18"/>
        <v>0</v>
      </c>
      <c r="AI14" s="883">
        <f t="shared" si="18"/>
        <v>0</v>
      </c>
      <c r="AJ14" s="889">
        <f t="shared" si="6"/>
        <v>0</v>
      </c>
      <c r="AK14" s="885">
        <f t="shared" si="19"/>
        <v>0</v>
      </c>
      <c r="AL14" s="883">
        <f t="shared" si="20"/>
        <v>0</v>
      </c>
      <c r="AM14" s="883">
        <f t="shared" si="21"/>
        <v>0</v>
      </c>
      <c r="AN14" s="883">
        <f t="shared" si="22"/>
        <v>0</v>
      </c>
      <c r="AO14" s="883">
        <f t="shared" si="23"/>
        <v>0</v>
      </c>
      <c r="AP14" s="883">
        <f t="shared" si="24"/>
        <v>0</v>
      </c>
      <c r="AQ14" s="890">
        <f t="shared" si="8"/>
        <v>0</v>
      </c>
    </row>
    <row r="15" spans="1:43">
      <c r="A15" s="817"/>
      <c r="B15" s="860" t="s">
        <v>1736</v>
      </c>
      <c r="C15" s="883"/>
      <c r="D15" s="883"/>
      <c r="E15" s="883"/>
      <c r="F15" s="883"/>
      <c r="G15" s="883">
        <f>HLOOKUP($B$2,'Consumption Input'!$E$5:$AQ$82,'Consumption Input'!$B58)</f>
        <v>18225.331999999999</v>
      </c>
      <c r="H15" s="883"/>
      <c r="I15" s="883">
        <f t="shared" ref="I15:I28" si="25">SUM(C15:H15)</f>
        <v>18225.331999999999</v>
      </c>
      <c r="J15" s="884"/>
      <c r="K15" s="883"/>
      <c r="L15" s="883"/>
      <c r="M15" s="883"/>
      <c r="N15" s="885">
        <f t="shared" si="9"/>
        <v>0</v>
      </c>
      <c r="O15" s="883">
        <f t="shared" si="9"/>
        <v>0</v>
      </c>
      <c r="P15" s="883">
        <f t="shared" si="10"/>
        <v>0</v>
      </c>
      <c r="Q15" s="883">
        <f t="shared" si="11"/>
        <v>0</v>
      </c>
      <c r="R15" s="883">
        <f t="shared" si="11"/>
        <v>18225.331999999999</v>
      </c>
      <c r="S15" s="886">
        <f t="shared" si="11"/>
        <v>0</v>
      </c>
      <c r="T15" s="883">
        <f t="shared" si="4"/>
        <v>18225.331999999999</v>
      </c>
      <c r="U15" s="887">
        <f>HLOOKUP($B$2,Factors!$J$12:$AE$25,Factors!$H16,FALSE)</f>
        <v>26.039969620971139</v>
      </c>
      <c r="V15" s="885">
        <f t="shared" si="12"/>
        <v>0</v>
      </c>
      <c r="W15" s="883">
        <f t="shared" si="13"/>
        <v>0</v>
      </c>
      <c r="X15" s="883">
        <f t="shared" si="14"/>
        <v>0</v>
      </c>
      <c r="Y15" s="883">
        <f t="shared" si="15"/>
        <v>0</v>
      </c>
      <c r="Z15" s="883">
        <f t="shared" si="16"/>
        <v>474.58709161211311</v>
      </c>
      <c r="AA15" s="883">
        <f t="shared" si="17"/>
        <v>0</v>
      </c>
      <c r="AB15" s="883">
        <f t="shared" ref="AB15:AB43" si="26">SUM(V15:AA15)</f>
        <v>474.58709161211311</v>
      </c>
      <c r="AC15" s="888">
        <f>Factors!E16</f>
        <v>1</v>
      </c>
      <c r="AD15" s="885">
        <f t="shared" si="18"/>
        <v>0</v>
      </c>
      <c r="AE15" s="883">
        <f t="shared" si="18"/>
        <v>0</v>
      </c>
      <c r="AF15" s="883">
        <f t="shared" si="18"/>
        <v>0</v>
      </c>
      <c r="AG15" s="883">
        <f t="shared" si="18"/>
        <v>0</v>
      </c>
      <c r="AH15" s="883">
        <f t="shared" si="18"/>
        <v>474.58709161211311</v>
      </c>
      <c r="AI15" s="883">
        <f t="shared" si="18"/>
        <v>0</v>
      </c>
      <c r="AJ15" s="889">
        <f t="shared" si="6"/>
        <v>474.58709161211311</v>
      </c>
      <c r="AK15" s="885">
        <f t="shared" si="19"/>
        <v>0</v>
      </c>
      <c r="AL15" s="883">
        <f t="shared" si="20"/>
        <v>0</v>
      </c>
      <c r="AM15" s="883">
        <f t="shared" si="21"/>
        <v>0</v>
      </c>
      <c r="AN15" s="883">
        <f t="shared" si="22"/>
        <v>0</v>
      </c>
      <c r="AO15" s="883">
        <f t="shared" si="23"/>
        <v>1740.1526692444147</v>
      </c>
      <c r="AP15" s="883">
        <f t="shared" si="24"/>
        <v>0</v>
      </c>
      <c r="AQ15" s="890">
        <f t="shared" ref="AQ15:AQ42" si="27">SUM(AK15:AP15)</f>
        <v>1740.1526692444147</v>
      </c>
    </row>
    <row r="16" spans="1:43">
      <c r="A16" s="817"/>
      <c r="B16" s="860" t="s">
        <v>1737</v>
      </c>
      <c r="C16" s="883"/>
      <c r="D16" s="883"/>
      <c r="E16" s="883"/>
      <c r="F16" s="883"/>
      <c r="G16" s="883"/>
      <c r="H16" s="883">
        <f>HLOOKUP($B$2,'US Territories'!$D$28:$Z$38,'US Territories'!$B29)</f>
        <v>36.988296399999335</v>
      </c>
      <c r="I16" s="883">
        <f t="shared" si="25"/>
        <v>36.988296399999335</v>
      </c>
      <c r="J16" s="884"/>
      <c r="K16" s="883"/>
      <c r="L16" s="883"/>
      <c r="M16" s="883"/>
      <c r="N16" s="885">
        <f t="shared" si="9"/>
        <v>0</v>
      </c>
      <c r="O16" s="883">
        <f t="shared" si="9"/>
        <v>0</v>
      </c>
      <c r="P16" s="883">
        <f t="shared" si="10"/>
        <v>0</v>
      </c>
      <c r="Q16" s="883">
        <f t="shared" si="11"/>
        <v>0</v>
      </c>
      <c r="R16" s="883">
        <f t="shared" si="11"/>
        <v>0</v>
      </c>
      <c r="S16" s="886">
        <f t="shared" si="11"/>
        <v>36.988296399999335</v>
      </c>
      <c r="T16" s="883">
        <f t="shared" si="4"/>
        <v>36.988296399999335</v>
      </c>
      <c r="U16" s="887">
        <f>Factors!D17</f>
        <v>25.14</v>
      </c>
      <c r="V16" s="899">
        <f t="shared" si="12"/>
        <v>0</v>
      </c>
      <c r="W16" s="900">
        <f t="shared" si="13"/>
        <v>0</v>
      </c>
      <c r="X16" s="900">
        <f t="shared" si="14"/>
        <v>0</v>
      </c>
      <c r="Y16" s="900">
        <f t="shared" si="15"/>
        <v>0</v>
      </c>
      <c r="Z16" s="900">
        <f t="shared" si="16"/>
        <v>0</v>
      </c>
      <c r="AA16" s="900">
        <f t="shared" si="17"/>
        <v>0.92988577149598328</v>
      </c>
      <c r="AB16" s="883">
        <f t="shared" si="26"/>
        <v>0.92988577149598328</v>
      </c>
      <c r="AC16" s="888">
        <f>Factors!E17</f>
        <v>1</v>
      </c>
      <c r="AD16" s="899">
        <f t="shared" si="18"/>
        <v>0</v>
      </c>
      <c r="AE16" s="900">
        <f t="shared" si="18"/>
        <v>0</v>
      </c>
      <c r="AF16" s="900">
        <f t="shared" si="18"/>
        <v>0</v>
      </c>
      <c r="AG16" s="900">
        <f t="shared" si="18"/>
        <v>0</v>
      </c>
      <c r="AH16" s="900">
        <f t="shared" si="18"/>
        <v>0</v>
      </c>
      <c r="AI16" s="900">
        <f t="shared" si="18"/>
        <v>0.92988577149598328</v>
      </c>
      <c r="AJ16" s="889">
        <f t="shared" si="6"/>
        <v>0.92988577149598328</v>
      </c>
      <c r="AK16" s="885">
        <f t="shared" si="19"/>
        <v>0</v>
      </c>
      <c r="AL16" s="883">
        <f t="shared" si="20"/>
        <v>0</v>
      </c>
      <c r="AM16" s="883">
        <f t="shared" si="21"/>
        <v>0</v>
      </c>
      <c r="AN16" s="883">
        <f t="shared" si="22"/>
        <v>0</v>
      </c>
      <c r="AO16" s="883">
        <f t="shared" si="23"/>
        <v>0</v>
      </c>
      <c r="AP16" s="883">
        <f t="shared" si="24"/>
        <v>3.4095811621519387</v>
      </c>
      <c r="AQ16" s="890">
        <f t="shared" si="27"/>
        <v>3.4095811621519387</v>
      </c>
    </row>
    <row r="17" spans="1:43">
      <c r="A17" s="817"/>
      <c r="B17" s="863" t="s">
        <v>1439</v>
      </c>
      <c r="C17" s="901">
        <f>HLOOKUP($B$2,'Consumption Input'!$E$5:$AQ$82,'Consumption Input'!$B8)</f>
        <v>4883.1119999999992</v>
      </c>
      <c r="D17" s="901">
        <f>HLOOKUP($B$2,'Consumption Input'!$E$5:$AQ$82,'Consumption Input'!$B14)</f>
        <v>3186.5940000000001</v>
      </c>
      <c r="E17" s="901">
        <f>HLOOKUP($B$2,'Consumption Input'!$E$5:$AQ$82,'Consumption Input'!$B26)</f>
        <v>7344.627521184957</v>
      </c>
      <c r="F17" s="901">
        <f>HLOOKUP($B$2,'Consumption Input'!$E$5:$AQ$82,'Consumption Input'!$B49)</f>
        <v>714.87199999999996</v>
      </c>
      <c r="G17" s="901">
        <f>HLOOKUP($B$2,'Consumption Input'!$E$5:$AQ$82,'Consumption Input'!$B59)</f>
        <v>7022.39</v>
      </c>
      <c r="H17" s="902">
        <f>HLOOKUP($B$2,'US Territories'!$D$28:$Z$38,'US Territories'!$B30)</f>
        <v>27.391075000000001</v>
      </c>
      <c r="I17" s="901">
        <f t="shared" si="25"/>
        <v>23178.986596184954</v>
      </c>
      <c r="J17" s="903"/>
      <c r="K17" s="901">
        <f>HLOOKUP($B$2,NEUConsumption,'Non-Energy Use'!$C$9)</f>
        <v>291.10000000000002</v>
      </c>
      <c r="L17" s="901"/>
      <c r="M17" s="901"/>
      <c r="N17" s="904">
        <f t="shared" si="9"/>
        <v>4883.1119999999992</v>
      </c>
      <c r="O17" s="901">
        <f t="shared" si="9"/>
        <v>3186.5940000000001</v>
      </c>
      <c r="P17" s="901">
        <f t="shared" si="10"/>
        <v>7053.5275211849566</v>
      </c>
      <c r="Q17" s="901">
        <f t="shared" si="11"/>
        <v>714.87199999999996</v>
      </c>
      <c r="R17" s="901">
        <f t="shared" si="11"/>
        <v>7022.39</v>
      </c>
      <c r="S17" s="902">
        <f t="shared" si="11"/>
        <v>27.391075000000001</v>
      </c>
      <c r="T17" s="901">
        <f t="shared" si="4"/>
        <v>22887.886596184955</v>
      </c>
      <c r="U17" s="905">
        <f>HLOOKUP($B$2,Factors!$J$12:$AE$26,Factors!$H26,FALSE)</f>
        <v>14.468568668292685</v>
      </c>
      <c r="V17" s="901">
        <f t="shared" si="12"/>
        <v>70.651641286964022</v>
      </c>
      <c r="W17" s="901">
        <f t="shared" si="13"/>
        <v>46.105454106969461</v>
      </c>
      <c r="X17" s="901">
        <f t="shared" si="14"/>
        <v>102.05444729395683</v>
      </c>
      <c r="Y17" s="901">
        <f t="shared" si="15"/>
        <v>10.343174621039728</v>
      </c>
      <c r="Z17" s="901">
        <f t="shared" si="16"/>
        <v>101.60393193053187</v>
      </c>
      <c r="AA17" s="901">
        <f t="shared" si="17"/>
        <v>0.39630964953585507</v>
      </c>
      <c r="AB17" s="901">
        <f t="shared" si="26"/>
        <v>331.15495888899778</v>
      </c>
      <c r="AC17" s="906">
        <f>Factors!E19</f>
        <v>1</v>
      </c>
      <c r="AD17" s="904">
        <f t="shared" si="18"/>
        <v>70.651641286964022</v>
      </c>
      <c r="AE17" s="901">
        <f t="shared" si="18"/>
        <v>46.105454106969461</v>
      </c>
      <c r="AF17" s="901">
        <f t="shared" si="18"/>
        <v>102.05444729395683</v>
      </c>
      <c r="AG17" s="901">
        <f t="shared" si="18"/>
        <v>10.343174621039728</v>
      </c>
      <c r="AH17" s="901">
        <f t="shared" si="18"/>
        <v>101.60393193053187</v>
      </c>
      <c r="AI17" s="901">
        <f t="shared" si="18"/>
        <v>0.39630964953585507</v>
      </c>
      <c r="AJ17" s="901">
        <f t="shared" si="6"/>
        <v>331.15495888899778</v>
      </c>
      <c r="AK17" s="904">
        <f t="shared" si="19"/>
        <v>259.05601805220141</v>
      </c>
      <c r="AL17" s="901">
        <f t="shared" si="20"/>
        <v>169.05333172555467</v>
      </c>
      <c r="AM17" s="901">
        <f t="shared" si="21"/>
        <v>374.19964007784171</v>
      </c>
      <c r="AN17" s="901">
        <f t="shared" si="22"/>
        <v>37.924973610479</v>
      </c>
      <c r="AO17" s="901">
        <f t="shared" si="23"/>
        <v>372.54775041195018</v>
      </c>
      <c r="AP17" s="901">
        <f t="shared" si="24"/>
        <v>1.4531353816314685</v>
      </c>
      <c r="AQ17" s="907">
        <f t="shared" si="27"/>
        <v>1214.2348492596584</v>
      </c>
    </row>
    <row r="18" spans="1:43">
      <c r="A18" s="817"/>
      <c r="B18" s="864" t="s">
        <v>1440</v>
      </c>
      <c r="C18" s="908">
        <f t="shared" ref="C18:H18" si="28">SUM(C19:C41)</f>
        <v>1120.1941494952348</v>
      </c>
      <c r="D18" s="908">
        <f t="shared" si="28"/>
        <v>723.11663757680549</v>
      </c>
      <c r="E18" s="908">
        <f t="shared" si="28"/>
        <v>7921.9647916839122</v>
      </c>
      <c r="F18" s="908">
        <f t="shared" si="28"/>
        <v>24491.603977828421</v>
      </c>
      <c r="G18" s="908">
        <f t="shared" si="28"/>
        <v>382.37099999999998</v>
      </c>
      <c r="H18" s="908">
        <f t="shared" si="28"/>
        <v>507.08645245405387</v>
      </c>
      <c r="I18" s="908">
        <f t="shared" si="25"/>
        <v>35146.337009038427</v>
      </c>
      <c r="J18" s="909">
        <f t="shared" ref="J18:S18" si="29">SUM(J19:J41)</f>
        <v>1465.9126396399506</v>
      </c>
      <c r="K18" s="908">
        <f t="shared" si="29"/>
        <v>4185.7797986532669</v>
      </c>
      <c r="L18" s="908">
        <f t="shared" si="29"/>
        <v>127.06500000000001</v>
      </c>
      <c r="M18" s="908">
        <f t="shared" si="29"/>
        <v>40.347229932612429</v>
      </c>
      <c r="N18" s="910">
        <f t="shared" si="29"/>
        <v>1120.1941494952348</v>
      </c>
      <c r="O18" s="908">
        <f t="shared" si="29"/>
        <v>723.11663757680549</v>
      </c>
      <c r="P18" s="908">
        <f t="shared" si="29"/>
        <v>3736.1849930306453</v>
      </c>
      <c r="Q18" s="908">
        <f t="shared" si="29"/>
        <v>22898.626338188475</v>
      </c>
      <c r="R18" s="908">
        <f t="shared" si="29"/>
        <v>382.37099999999998</v>
      </c>
      <c r="S18" s="911">
        <f t="shared" si="29"/>
        <v>466.73922252144143</v>
      </c>
      <c r="T18" s="889">
        <f t="shared" si="4"/>
        <v>29327.232340812603</v>
      </c>
      <c r="U18" s="912" t="s">
        <v>1731</v>
      </c>
      <c r="V18" s="908">
        <f t="shared" ref="V18:AA18" si="30">SUM(V19:V41)</f>
        <v>20.965006791097025</v>
      </c>
      <c r="W18" s="908">
        <f t="shared" si="30"/>
        <v>14.10899320496755</v>
      </c>
      <c r="X18" s="908">
        <f t="shared" si="30"/>
        <v>76.86148232589963</v>
      </c>
      <c r="Y18" s="908">
        <f t="shared" si="30"/>
        <v>450.15152751433988</v>
      </c>
      <c r="Z18" s="908">
        <f t="shared" si="30"/>
        <v>8.784936897725462</v>
      </c>
      <c r="AA18" s="908">
        <f t="shared" si="30"/>
        <v>9.2987186602419278</v>
      </c>
      <c r="AB18" s="908">
        <f t="shared" si="26"/>
        <v>580.17066539427151</v>
      </c>
      <c r="AC18" s="913" t="s">
        <v>1731</v>
      </c>
      <c r="AD18" s="910">
        <f t="shared" ref="AD18:AI18" si="31">SUM(AD19:AD41)</f>
        <v>20.965006791097025</v>
      </c>
      <c r="AE18" s="908">
        <f t="shared" si="31"/>
        <v>14.10899320496755</v>
      </c>
      <c r="AF18" s="908">
        <f t="shared" si="31"/>
        <v>76.86148232589963</v>
      </c>
      <c r="AG18" s="908">
        <f t="shared" si="31"/>
        <v>450.15152751433988</v>
      </c>
      <c r="AH18" s="908">
        <f t="shared" si="31"/>
        <v>8.784936897725462</v>
      </c>
      <c r="AI18" s="908">
        <f t="shared" si="31"/>
        <v>9.2987186602419278</v>
      </c>
      <c r="AJ18" s="908">
        <f t="shared" si="6"/>
        <v>580.17066539427151</v>
      </c>
      <c r="AK18" s="914">
        <f t="shared" si="19"/>
        <v>76.871691567355754</v>
      </c>
      <c r="AL18" s="889">
        <f t="shared" si="20"/>
        <v>51.732975084881019</v>
      </c>
      <c r="AM18" s="889">
        <f t="shared" si="21"/>
        <v>281.82543519496528</v>
      </c>
      <c r="AN18" s="889">
        <f t="shared" si="22"/>
        <v>1650.5556008859128</v>
      </c>
      <c r="AO18" s="889">
        <f t="shared" si="23"/>
        <v>32.211435291660024</v>
      </c>
      <c r="AP18" s="889">
        <f t="shared" si="24"/>
        <v>34.095301754220401</v>
      </c>
      <c r="AQ18" s="915">
        <f t="shared" si="27"/>
        <v>2127.2924397789957</v>
      </c>
    </row>
    <row r="19" spans="1:43">
      <c r="A19" s="817"/>
      <c r="B19" s="860" t="s">
        <v>1608</v>
      </c>
      <c r="C19" s="883"/>
      <c r="D19" s="883"/>
      <c r="E19" s="883">
        <f>HLOOKUP($B$2,'Consumption Input'!$E$5:$AQ$82,'Consumption Input'!$B27)</f>
        <v>873.08299999999997</v>
      </c>
      <c r="F19" s="883"/>
      <c r="G19" s="883"/>
      <c r="H19" s="883"/>
      <c r="I19" s="883">
        <f t="shared" si="25"/>
        <v>873.08299999999997</v>
      </c>
      <c r="J19" s="884"/>
      <c r="K19" s="883">
        <f>HLOOKUP($B$2,NEUConsumption,'Non-Energy Use'!$C$10)</f>
        <v>873.08299999999997</v>
      </c>
      <c r="L19" s="883"/>
      <c r="M19" s="883"/>
      <c r="N19" s="885">
        <f t="shared" ref="N19:O42" si="32">C19</f>
        <v>0</v>
      </c>
      <c r="O19" s="883">
        <f t="shared" si="32"/>
        <v>0</v>
      </c>
      <c r="P19" s="883">
        <f t="shared" ref="P19:P41" si="33">E19-K19</f>
        <v>0</v>
      </c>
      <c r="Q19" s="883">
        <f t="shared" ref="Q19:Q41" si="34">F19-J19-L19</f>
        <v>0</v>
      </c>
      <c r="R19" s="883">
        <f t="shared" ref="R19:R42" si="35">G19</f>
        <v>0</v>
      </c>
      <c r="S19" s="886">
        <f t="shared" ref="S19:S41" si="36">H19-M19</f>
        <v>0</v>
      </c>
      <c r="T19" s="883">
        <f t="shared" si="4"/>
        <v>0</v>
      </c>
      <c r="U19" s="887">
        <f>Factors!D24</f>
        <v>20.55318099621897</v>
      </c>
      <c r="V19" s="885">
        <f t="shared" ref="V19:V41" si="37">N19*$U19*TbtuToQBtu</f>
        <v>0</v>
      </c>
      <c r="W19" s="883">
        <f t="shared" ref="W19:W41" si="38">O19*$U19*TbtuToQBtu</f>
        <v>0</v>
      </c>
      <c r="X19" s="883">
        <f t="shared" ref="X19:X41" si="39">P19*$U19*TbtuToQBtu</f>
        <v>0</v>
      </c>
      <c r="Y19" s="883">
        <f t="shared" ref="Y19:Y41" si="40">Q19*$U19*TbtuToQBtu</f>
        <v>0</v>
      </c>
      <c r="Z19" s="883">
        <f t="shared" ref="Z19:Z41" si="41">R19*$U19*TbtuToQBtu</f>
        <v>0</v>
      </c>
      <c r="AA19" s="883">
        <f t="shared" ref="AA19:AA41" si="42">S19*$U19*TbtuToQBtu</f>
        <v>0</v>
      </c>
      <c r="AB19" s="883">
        <f t="shared" si="26"/>
        <v>0</v>
      </c>
      <c r="AC19" s="888">
        <f>Factors!E24</f>
        <v>1</v>
      </c>
      <c r="AD19" s="885">
        <f t="shared" ref="AD19:AI35" si="43">V19*$AC19</f>
        <v>0</v>
      </c>
      <c r="AE19" s="883">
        <f t="shared" si="43"/>
        <v>0</v>
      </c>
      <c r="AF19" s="883">
        <f t="shared" si="43"/>
        <v>0</v>
      </c>
      <c r="AG19" s="883">
        <f t="shared" si="43"/>
        <v>0</v>
      </c>
      <c r="AH19" s="883">
        <f t="shared" si="43"/>
        <v>0</v>
      </c>
      <c r="AI19" s="883">
        <f t="shared" si="43"/>
        <v>0</v>
      </c>
      <c r="AJ19" s="889">
        <f t="shared" si="6"/>
        <v>0</v>
      </c>
      <c r="AK19" s="885">
        <f t="shared" si="19"/>
        <v>0</v>
      </c>
      <c r="AL19" s="883">
        <f t="shared" si="20"/>
        <v>0</v>
      </c>
      <c r="AM19" s="883">
        <f t="shared" si="21"/>
        <v>0</v>
      </c>
      <c r="AN19" s="883">
        <f t="shared" si="22"/>
        <v>0</v>
      </c>
      <c r="AO19" s="883">
        <f t="shared" si="23"/>
        <v>0</v>
      </c>
      <c r="AP19" s="883">
        <f t="shared" si="24"/>
        <v>0</v>
      </c>
      <c r="AQ19" s="890">
        <f t="shared" si="27"/>
        <v>0</v>
      </c>
    </row>
    <row r="20" spans="1:43">
      <c r="A20" s="817"/>
      <c r="B20" s="860" t="s">
        <v>1622</v>
      </c>
      <c r="C20" s="883"/>
      <c r="D20" s="883"/>
      <c r="E20" s="883"/>
      <c r="F20" s="883">
        <f>HLOOKUP($B$2,'Consumption Input'!$E$5:$AQ$82,'Consumption Input'!$B50)</f>
        <v>26.557999999999996</v>
      </c>
      <c r="G20" s="883"/>
      <c r="H20" s="883"/>
      <c r="I20" s="883">
        <f t="shared" si="25"/>
        <v>26.557999999999996</v>
      </c>
      <c r="J20" s="884"/>
      <c r="K20" s="883"/>
      <c r="L20" s="883"/>
      <c r="M20" s="883"/>
      <c r="N20" s="885">
        <f t="shared" si="32"/>
        <v>0</v>
      </c>
      <c r="O20" s="883">
        <f t="shared" si="32"/>
        <v>0</v>
      </c>
      <c r="P20" s="883">
        <f t="shared" si="33"/>
        <v>0</v>
      </c>
      <c r="Q20" s="883">
        <f t="shared" si="34"/>
        <v>26.557999999999996</v>
      </c>
      <c r="R20" s="883">
        <f t="shared" si="35"/>
        <v>0</v>
      </c>
      <c r="S20" s="886">
        <f t="shared" si="36"/>
        <v>0</v>
      </c>
      <c r="T20" s="883">
        <f t="shared" si="4"/>
        <v>26.557999999999996</v>
      </c>
      <c r="U20" s="887">
        <f>Factors!D25</f>
        <v>18.855352254718337</v>
      </c>
      <c r="V20" s="885">
        <f t="shared" si="37"/>
        <v>0</v>
      </c>
      <c r="W20" s="883">
        <f t="shared" si="38"/>
        <v>0</v>
      </c>
      <c r="X20" s="883">
        <f t="shared" si="39"/>
        <v>0</v>
      </c>
      <c r="Y20" s="883">
        <f t="shared" si="40"/>
        <v>0.50076044518080953</v>
      </c>
      <c r="Z20" s="883">
        <f t="shared" si="41"/>
        <v>0</v>
      </c>
      <c r="AA20" s="883">
        <f t="shared" si="42"/>
        <v>0</v>
      </c>
      <c r="AB20" s="883">
        <f t="shared" si="26"/>
        <v>0.50076044518080953</v>
      </c>
      <c r="AC20" s="888">
        <f>Factors!E25</f>
        <v>1</v>
      </c>
      <c r="AD20" s="885">
        <f t="shared" si="43"/>
        <v>0</v>
      </c>
      <c r="AE20" s="883">
        <f t="shared" si="43"/>
        <v>0</v>
      </c>
      <c r="AF20" s="883">
        <f t="shared" si="43"/>
        <v>0</v>
      </c>
      <c r="AG20" s="883">
        <f t="shared" si="43"/>
        <v>0.50076044518080953</v>
      </c>
      <c r="AH20" s="883">
        <f t="shared" si="43"/>
        <v>0</v>
      </c>
      <c r="AI20" s="883">
        <f t="shared" si="43"/>
        <v>0</v>
      </c>
      <c r="AJ20" s="889">
        <f t="shared" si="6"/>
        <v>0.50076044518080953</v>
      </c>
      <c r="AK20" s="885">
        <f t="shared" si="19"/>
        <v>0</v>
      </c>
      <c r="AL20" s="883">
        <f t="shared" si="20"/>
        <v>0</v>
      </c>
      <c r="AM20" s="883">
        <f t="shared" si="21"/>
        <v>0</v>
      </c>
      <c r="AN20" s="883">
        <f t="shared" si="22"/>
        <v>1.8361216323296348</v>
      </c>
      <c r="AO20" s="883">
        <f t="shared" si="23"/>
        <v>0</v>
      </c>
      <c r="AP20" s="883">
        <f t="shared" si="24"/>
        <v>0</v>
      </c>
      <c r="AQ20" s="890">
        <f t="shared" si="27"/>
        <v>1.8361216323296348</v>
      </c>
    </row>
    <row r="21" spans="1:43">
      <c r="A21" s="817"/>
      <c r="B21" s="860" t="s">
        <v>1738</v>
      </c>
      <c r="C21" s="883">
        <f>HLOOKUP($B$2,'Consumption Input'!$E$5:$AQ$82,'Consumption Input'!$B9)</f>
        <v>544.72014949523475</v>
      </c>
      <c r="D21" s="883">
        <f>HLOOKUP($B$2,'Consumption Input'!$E$5:$AQ$82,'Consumption Input'!$B15)</f>
        <v>369.69415191195827</v>
      </c>
      <c r="E21" s="883">
        <f>HLOOKUP($B$2,'Consumption Input'!$E$5:$AQ$82,'Consumption Input'!$B28)</f>
        <v>1001.0325444753072</v>
      </c>
      <c r="F21" s="883">
        <f>HLOOKUP($B$2,'Consumption Input'!$E$5:$AQ$82,'Consumption Input'!$B51)</f>
        <v>5605.7221304398809</v>
      </c>
      <c r="G21" s="883">
        <f>HLOOKUP($B$2,'Consumption Input'!$E$5:$AQ$82,'Consumption Input'!$B60)</f>
        <v>69.573999999999998</v>
      </c>
      <c r="H21" s="883">
        <f>HLOOKUP($B$2,'US Territories'!$D$28:$Z$38,'US Territories'!$B31)</f>
        <v>67.948014456215802</v>
      </c>
      <c r="I21" s="883">
        <f t="shared" si="25"/>
        <v>7658.6909907785966</v>
      </c>
      <c r="J21" s="884">
        <f>HLOOKUP($B$2,IBFConsumption,'International Bunker Fuels'!$B$10)</f>
        <v>111.01643203936906</v>
      </c>
      <c r="K21" s="883">
        <f>HLOOKUP($B$2,NEUConsumption,'Non-Energy Use'!$C$20)</f>
        <v>8.7375000000000007</v>
      </c>
      <c r="L21" s="883"/>
      <c r="M21" s="883"/>
      <c r="N21" s="885">
        <f t="shared" si="32"/>
        <v>544.72014949523475</v>
      </c>
      <c r="O21" s="883">
        <f>D21</f>
        <v>369.69415191195827</v>
      </c>
      <c r="P21" s="883">
        <f t="shared" si="33"/>
        <v>992.29504447530724</v>
      </c>
      <c r="Q21" s="883">
        <f t="shared" si="34"/>
        <v>5494.7056984005121</v>
      </c>
      <c r="R21" s="883">
        <f t="shared" si="35"/>
        <v>69.573999999999998</v>
      </c>
      <c r="S21" s="886">
        <f t="shared" si="36"/>
        <v>67.948014456215802</v>
      </c>
      <c r="T21" s="883">
        <f t="shared" si="4"/>
        <v>7538.9370587392277</v>
      </c>
      <c r="U21" s="887">
        <f>HLOOKUP($B$2,Factors!$J$12:$BE$27,Factors!$H27,FALSE)</f>
        <v>20.23</v>
      </c>
      <c r="V21" s="885">
        <f t="shared" si="37"/>
        <v>11.0196886242886</v>
      </c>
      <c r="W21" s="883">
        <f t="shared" si="38"/>
        <v>7.4789126931789163</v>
      </c>
      <c r="X21" s="883">
        <f t="shared" si="39"/>
        <v>20.074128749735465</v>
      </c>
      <c r="Y21" s="883">
        <f t="shared" si="40"/>
        <v>111.15789627864237</v>
      </c>
      <c r="Z21" s="883">
        <f t="shared" si="41"/>
        <v>1.40748202</v>
      </c>
      <c r="AA21" s="883">
        <f t="shared" si="42"/>
        <v>1.3745883324492456</v>
      </c>
      <c r="AB21" s="883">
        <f t="shared" si="26"/>
        <v>152.51269669829458</v>
      </c>
      <c r="AC21" s="888">
        <f>Factors!E26</f>
        <v>1</v>
      </c>
      <c r="AD21" s="885">
        <f t="shared" si="43"/>
        <v>11.0196886242886</v>
      </c>
      <c r="AE21" s="883">
        <f>W21*$AC21</f>
        <v>7.4789126931789163</v>
      </c>
      <c r="AF21" s="883">
        <f t="shared" si="43"/>
        <v>20.074128749735465</v>
      </c>
      <c r="AG21" s="883">
        <f t="shared" si="43"/>
        <v>111.15789627864237</v>
      </c>
      <c r="AH21" s="883">
        <f t="shared" si="43"/>
        <v>1.40748202</v>
      </c>
      <c r="AI21" s="883">
        <f t="shared" si="43"/>
        <v>1.3745883324492456</v>
      </c>
      <c r="AJ21" s="889">
        <f t="shared" si="6"/>
        <v>152.51269669829458</v>
      </c>
      <c r="AK21" s="885">
        <f t="shared" si="19"/>
        <v>40.405524955724864</v>
      </c>
      <c r="AL21" s="883">
        <f t="shared" si="20"/>
        <v>27.42267987498936</v>
      </c>
      <c r="AM21" s="883">
        <f t="shared" si="21"/>
        <v>73.605138749030033</v>
      </c>
      <c r="AN21" s="883">
        <f t="shared" si="22"/>
        <v>407.57895302168868</v>
      </c>
      <c r="AO21" s="883">
        <f t="shared" si="23"/>
        <v>5.1607674066666664</v>
      </c>
      <c r="AP21" s="883">
        <f t="shared" si="24"/>
        <v>5.0401572189805668</v>
      </c>
      <c r="AQ21" s="890">
        <f t="shared" si="27"/>
        <v>559.21322122708011</v>
      </c>
    </row>
    <row r="22" spans="1:43">
      <c r="A22" s="817"/>
      <c r="B22" s="860" t="s">
        <v>1623</v>
      </c>
      <c r="C22" s="883"/>
      <c r="D22" s="883"/>
      <c r="E22" s="883"/>
      <c r="F22" s="883">
        <f>HLOOKUP($B$2,'Consumption Input'!$E$5:$AQ$82,'Consumption Input'!$B52)</f>
        <v>2883.277</v>
      </c>
      <c r="G22" s="883"/>
      <c r="H22" s="883">
        <f>HLOOKUP($B$2,'US Territories'!$D$28:$Z$38,'US Territories'!$B32)</f>
        <v>51.158775393369879</v>
      </c>
      <c r="I22" s="883">
        <f t="shared" si="25"/>
        <v>2934.43577539337</v>
      </c>
      <c r="J22" s="884">
        <f>HLOOKUP($B$2,IBFConsumption,'International Bunker Fuels'!$B$8)</f>
        <v>750.11662055458169</v>
      </c>
      <c r="K22" s="883"/>
      <c r="L22" s="883"/>
      <c r="M22" s="883"/>
      <c r="N22" s="885">
        <f t="shared" si="32"/>
        <v>0</v>
      </c>
      <c r="O22" s="883">
        <f t="shared" si="32"/>
        <v>0</v>
      </c>
      <c r="P22" s="883">
        <f t="shared" si="33"/>
        <v>0</v>
      </c>
      <c r="Q22" s="883">
        <f t="shared" si="34"/>
        <v>2133.1603794454186</v>
      </c>
      <c r="R22" s="883">
        <f t="shared" si="35"/>
        <v>0</v>
      </c>
      <c r="S22" s="886">
        <f t="shared" si="36"/>
        <v>51.158775393369879</v>
      </c>
      <c r="T22" s="883">
        <f t="shared" si="4"/>
        <v>2184.3191548387886</v>
      </c>
      <c r="U22" s="887">
        <f>HLOOKUP($B$2,Factors!$J$12:$AE$25,Factors!$H21,FALSE)</f>
        <v>19.696969696969692</v>
      </c>
      <c r="V22" s="885">
        <f t="shared" si="37"/>
        <v>0</v>
      </c>
      <c r="W22" s="883">
        <f t="shared" si="38"/>
        <v>0</v>
      </c>
      <c r="X22" s="883">
        <f t="shared" si="39"/>
        <v>0</v>
      </c>
      <c r="Y22" s="883">
        <f t="shared" si="40"/>
        <v>42.016795352712784</v>
      </c>
      <c r="Z22" s="883">
        <f t="shared" si="41"/>
        <v>0</v>
      </c>
      <c r="AA22" s="883">
        <f t="shared" si="42"/>
        <v>1.0076728486572852</v>
      </c>
      <c r="AB22" s="883">
        <f t="shared" si="26"/>
        <v>43.02446820137007</v>
      </c>
      <c r="AC22" s="888">
        <f>Factors!E27</f>
        <v>1</v>
      </c>
      <c r="AD22" s="885">
        <f t="shared" si="43"/>
        <v>0</v>
      </c>
      <c r="AE22" s="883">
        <f t="shared" si="43"/>
        <v>0</v>
      </c>
      <c r="AF22" s="883">
        <f t="shared" si="43"/>
        <v>0</v>
      </c>
      <c r="AG22" s="883">
        <f t="shared" si="43"/>
        <v>42.016795352712784</v>
      </c>
      <c r="AH22" s="883">
        <f t="shared" si="43"/>
        <v>0</v>
      </c>
      <c r="AI22" s="883">
        <f t="shared" si="43"/>
        <v>1.0076728486572852</v>
      </c>
      <c r="AJ22" s="889">
        <f t="shared" si="6"/>
        <v>43.02446820137007</v>
      </c>
      <c r="AK22" s="885">
        <f t="shared" si="19"/>
        <v>0</v>
      </c>
      <c r="AL22" s="883">
        <f t="shared" si="20"/>
        <v>0</v>
      </c>
      <c r="AM22" s="883">
        <f t="shared" si="21"/>
        <v>0</v>
      </c>
      <c r="AN22" s="883">
        <f t="shared" si="22"/>
        <v>154.06158295994686</v>
      </c>
      <c r="AO22" s="883">
        <f t="shared" si="23"/>
        <v>0</v>
      </c>
      <c r="AP22" s="883">
        <f t="shared" si="24"/>
        <v>3.6948004450767122</v>
      </c>
      <c r="AQ22" s="890">
        <f t="shared" si="27"/>
        <v>157.75638340502357</v>
      </c>
    </row>
    <row r="23" spans="1:43">
      <c r="A23" s="817"/>
      <c r="B23" s="860" t="s">
        <v>1599</v>
      </c>
      <c r="C23" s="883">
        <f>HLOOKUP($B$2,'Consumption Input'!$E$5:$AQ$82,'Consumption Input'!$B10)</f>
        <v>27.693000000000001</v>
      </c>
      <c r="D23" s="883">
        <f>HLOOKUP($B$2,'Consumption Input'!$E$5:$AQ$82,'Consumption Input'!$B16)</f>
        <v>4.2240000000000002</v>
      </c>
      <c r="E23" s="883">
        <f>HLOOKUP($B$2,'Consumption Input'!$E$5:$AQ$82,'Consumption Input'!$B29)</f>
        <v>4.399</v>
      </c>
      <c r="F23" s="883"/>
      <c r="G23" s="883"/>
      <c r="H23" s="883">
        <f>HLOOKUP($B$2,'US Territories'!$D$28:$Z$38,'US Territories'!$B33)</f>
        <v>8.7350316883458898</v>
      </c>
      <c r="I23" s="883">
        <f t="shared" si="25"/>
        <v>45.051031688345894</v>
      </c>
      <c r="J23" s="884"/>
      <c r="K23" s="883"/>
      <c r="L23" s="883"/>
      <c r="M23" s="883"/>
      <c r="N23" s="885">
        <f t="shared" si="32"/>
        <v>27.693000000000001</v>
      </c>
      <c r="O23" s="883">
        <f t="shared" si="32"/>
        <v>4.2240000000000002</v>
      </c>
      <c r="P23" s="883">
        <f t="shared" si="33"/>
        <v>4.399</v>
      </c>
      <c r="Q23" s="883">
        <f t="shared" si="34"/>
        <v>0</v>
      </c>
      <c r="R23" s="883">
        <f t="shared" si="35"/>
        <v>0</v>
      </c>
      <c r="S23" s="886">
        <f t="shared" si="36"/>
        <v>8.7350316883458898</v>
      </c>
      <c r="T23" s="883">
        <f t="shared" si="4"/>
        <v>45.051031688345894</v>
      </c>
      <c r="U23" s="887">
        <f>Factors!D28</f>
        <v>19.964104564962931</v>
      </c>
      <c r="V23" s="885">
        <f t="shared" si="37"/>
        <v>0.55286594771751851</v>
      </c>
      <c r="W23" s="883">
        <f t="shared" si="38"/>
        <v>8.4328377682403435E-2</v>
      </c>
      <c r="X23" s="883">
        <f t="shared" si="39"/>
        <v>8.7822095981271928E-2</v>
      </c>
      <c r="Y23" s="883">
        <f t="shared" si="40"/>
        <v>0</v>
      </c>
      <c r="Z23" s="883">
        <f t="shared" si="41"/>
        <v>0</v>
      </c>
      <c r="AA23" s="883">
        <f t="shared" si="42"/>
        <v>0.17438708600440203</v>
      </c>
      <c r="AB23" s="883">
        <f t="shared" si="26"/>
        <v>0.89940350738559582</v>
      </c>
      <c r="AC23" s="888">
        <f>Factors!E28</f>
        <v>1</v>
      </c>
      <c r="AD23" s="885">
        <f t="shared" si="43"/>
        <v>0.55286594771751851</v>
      </c>
      <c r="AE23" s="883">
        <f t="shared" si="43"/>
        <v>8.4328377682403435E-2</v>
      </c>
      <c r="AF23" s="883">
        <f t="shared" si="43"/>
        <v>8.7822095981271928E-2</v>
      </c>
      <c r="AG23" s="883">
        <f t="shared" si="43"/>
        <v>0</v>
      </c>
      <c r="AH23" s="883">
        <f t="shared" si="43"/>
        <v>0</v>
      </c>
      <c r="AI23" s="883">
        <f t="shared" si="43"/>
        <v>0.17438708600440203</v>
      </c>
      <c r="AJ23" s="889">
        <f t="shared" si="6"/>
        <v>0.89940350738559582</v>
      </c>
      <c r="AK23" s="885">
        <f t="shared" si="19"/>
        <v>2.027175141630901</v>
      </c>
      <c r="AL23" s="883">
        <f t="shared" si="20"/>
        <v>0.30920405150214592</v>
      </c>
      <c r="AM23" s="883">
        <f t="shared" si="21"/>
        <v>0.32201435193133038</v>
      </c>
      <c r="AN23" s="883">
        <f t="shared" si="22"/>
        <v>0</v>
      </c>
      <c r="AO23" s="883">
        <f t="shared" si="23"/>
        <v>0</v>
      </c>
      <c r="AP23" s="883">
        <f t="shared" si="24"/>
        <v>0.63941931534947405</v>
      </c>
      <c r="AQ23" s="890">
        <f t="shared" si="27"/>
        <v>3.2978128604138517</v>
      </c>
    </row>
    <row r="24" spans="1:43">
      <c r="A24" s="817"/>
      <c r="B24" s="860" t="s">
        <v>1600</v>
      </c>
      <c r="C24" s="883">
        <f>HLOOKUP($B$2,'Consumption Input'!$E$5:$AQ$82,'Consumption Input'!$B11)</f>
        <v>547.78099999999995</v>
      </c>
      <c r="D24" s="883">
        <f>HLOOKUP($B$2,'Consumption Input'!$E$5:$AQ$82,'Consumption Input'!$B17)</f>
        <v>139.03299999999999</v>
      </c>
      <c r="E24"/>
      <c r="F24" s="883">
        <f>HLOOKUP($B$2,'Consumption Input'!$E$5:$AQ$82,'Consumption Input'!$B53)</f>
        <v>28.07</v>
      </c>
      <c r="G24" s="883"/>
      <c r="H24"/>
      <c r="I24" s="883">
        <f>SUM(C24:H24)</f>
        <v>714.88400000000001</v>
      </c>
      <c r="J24" s="884"/>
      <c r="K24"/>
      <c r="L24" s="883"/>
      <c r="M24" s="883"/>
      <c r="N24" s="885">
        <f>C24</f>
        <v>547.78099999999995</v>
      </c>
      <c r="O24" s="883">
        <f t="shared" si="32"/>
        <v>139.03299999999999</v>
      </c>
      <c r="P24"/>
      <c r="Q24" s="883">
        <f t="shared" si="34"/>
        <v>28.07</v>
      </c>
      <c r="R24" s="883">
        <f t="shared" si="35"/>
        <v>0</v>
      </c>
      <c r="S24" s="1007"/>
      <c r="T24" s="883">
        <f t="shared" si="4"/>
        <v>714.88400000000001</v>
      </c>
      <c r="U24" s="1005">
        <f>HLOOKUP($B$2,Factors!$J$12:$BE$25,Factors!$H17,FALSE)</f>
        <v>17.146363636363635</v>
      </c>
      <c r="V24" s="885">
        <f>N24*$U24*TbtuToQBtu</f>
        <v>9.3924522190909059</v>
      </c>
      <c r="W24" s="883">
        <f>O24*$U24*TbtuToQBtu</f>
        <v>2.383910375454545</v>
      </c>
      <c r="X24"/>
      <c r="Y24" s="883">
        <f>Q24*$U24*TbtuToQBtu</f>
        <v>0.48129842727272726</v>
      </c>
      <c r="Z24" s="883">
        <f t="shared" ref="Z24" si="44">R24*$U24*TbtuToQBtu</f>
        <v>0</v>
      </c>
      <c r="AA24"/>
      <c r="AB24" s="883">
        <f>SUM(V24:AA24)</f>
        <v>12.257661021818178</v>
      </c>
      <c r="AC24" s="888">
        <f>Factors!E30</f>
        <v>1</v>
      </c>
      <c r="AD24" s="885">
        <f>V24*$AC24</f>
        <v>9.3924522190909059</v>
      </c>
      <c r="AE24" s="883">
        <f t="shared" si="43"/>
        <v>2.383910375454545</v>
      </c>
      <c r="AF24"/>
      <c r="AG24" s="883">
        <f t="shared" si="43"/>
        <v>0.48129842727272726</v>
      </c>
      <c r="AH24" s="883">
        <f t="shared" si="43"/>
        <v>0</v>
      </c>
      <c r="AI24"/>
      <c r="AJ24" s="889">
        <f t="shared" si="6"/>
        <v>12.257661021818178</v>
      </c>
      <c r="AK24" s="885">
        <f>AD24*CtoCO2</f>
        <v>34.438991469999984</v>
      </c>
      <c r="AL24" s="883">
        <f t="shared" ref="AL24" si="45">AE24*CtoCO2</f>
        <v>8.7410047099999986</v>
      </c>
      <c r="AN24" s="883">
        <f t="shared" ref="AN24" si="46">AG24*CtoCO2</f>
        <v>1.7647609</v>
      </c>
      <c r="AO24" s="883">
        <f t="shared" ref="AO24" si="47">AH24*CtoCO2</f>
        <v>0</v>
      </c>
      <c r="AQ24" s="890">
        <f t="shared" si="27"/>
        <v>44.944757079999981</v>
      </c>
    </row>
    <row r="25" spans="1:43">
      <c r="A25" s="817"/>
      <c r="B25" s="860" t="s">
        <v>1609</v>
      </c>
      <c r="C25" s="883"/>
      <c r="D25" s="883"/>
      <c r="E25" s="883">
        <f>HLOOKUP($B$2,'Consumption Input'!$E$5:$AQ$82,'Consumption Input'!$B30)</f>
        <v>1863.969982933</v>
      </c>
      <c r="F25" s="883"/>
      <c r="G25" s="883"/>
      <c r="H25" s="883">
        <f>HLOOKUP($B$2,'US Territories'!$D$28:$AO$38,'US Territories'!$B34)</f>
        <v>15.595624304069185</v>
      </c>
      <c r="I25" s="883">
        <f>SUM(C25:H25)</f>
        <v>1879.5656072370691</v>
      </c>
      <c r="J25" s="884"/>
      <c r="K25" s="883">
        <f>HLOOKUP($B$2,NEUConsumption,'Non-Energy Use'!$C$11)</f>
        <v>1747.9982040749719</v>
      </c>
      <c r="L25" s="883"/>
      <c r="M25" s="883"/>
      <c r="N25" s="885"/>
      <c r="O25" s="883"/>
      <c r="P25" s="883">
        <f>E25-K25</f>
        <v>115.97177885802807</v>
      </c>
      <c r="Q25" s="883"/>
      <c r="R25" s="883"/>
      <c r="S25" s="886">
        <f>H25-M25</f>
        <v>15.595624304069185</v>
      </c>
      <c r="T25" s="883">
        <f t="shared" si="4"/>
        <v>131.56740316209726</v>
      </c>
      <c r="U25" s="1005">
        <f>HLOOKUP($B$2,Factors!$J$12:$BE$25,Factors!$H18,FALSE)</f>
        <v>17.680080156052945</v>
      </c>
      <c r="V25" s="885"/>
      <c r="W25" s="883"/>
      <c r="X25" s="883">
        <f>P25*$U25*TbtuToQBtu</f>
        <v>2.0503903460499826</v>
      </c>
      <c r="Y25" s="883"/>
      <c r="Z25" s="883"/>
      <c r="AA25" s="883">
        <f>S25*$U25*TbtuToQBtu</f>
        <v>0.27573188777963059</v>
      </c>
      <c r="AB25" s="883">
        <f>SUM(V25:AA25)</f>
        <v>2.3261222338296133</v>
      </c>
      <c r="AC25" s="888">
        <f>Factors!E31</f>
        <v>1</v>
      </c>
      <c r="AD25" s="885"/>
      <c r="AE25" s="883"/>
      <c r="AF25" s="883">
        <f>X25*$AC25</f>
        <v>2.0503903460499826</v>
      </c>
      <c r="AG25" s="883"/>
      <c r="AH25" s="883"/>
      <c r="AI25" s="883">
        <f>AA25*$AC25</f>
        <v>0.27573188777963059</v>
      </c>
      <c r="AJ25" s="889">
        <f t="shared" si="6"/>
        <v>2.3261222338296133</v>
      </c>
      <c r="AK25" s="885"/>
      <c r="AL25" s="883"/>
      <c r="AM25" s="883">
        <f>AF25*CtoCO2</f>
        <v>7.5180979355166029</v>
      </c>
      <c r="AN25" s="883"/>
      <c r="AO25" s="883"/>
      <c r="AP25" s="883">
        <f>AI25*CtoCO2</f>
        <v>1.0110169218586456</v>
      </c>
      <c r="AQ25" s="890">
        <f t="shared" si="27"/>
        <v>8.529114857375248</v>
      </c>
    </row>
    <row r="26" spans="1:43">
      <c r="A26" s="817"/>
      <c r="B26" s="860" t="s">
        <v>1610</v>
      </c>
      <c r="C26" s="883"/>
      <c r="D26" s="883"/>
      <c r="E26" s="883">
        <f>HLOOKUP($B$2,'Consumption Input'!$E$5:$AQ$82,'Consumption Input'!$B31)</f>
        <v>134.53299999999999</v>
      </c>
      <c r="F26" s="883">
        <f>HLOOKUP($B$2,'Consumption Input'!$E$5:$AQ$82,'Consumption Input'!$B54)</f>
        <v>127.06500000000001</v>
      </c>
      <c r="G26" s="883"/>
      <c r="H26" s="883">
        <f>HLOOKUP($B$2,'US Territories'!$D$28:$Z$38,'US Territories'!$B35)</f>
        <v>1.0411633874999999</v>
      </c>
      <c r="I26" s="883">
        <f t="shared" si="25"/>
        <v>262.63916338749999</v>
      </c>
      <c r="J26" s="884"/>
      <c r="K26" s="883">
        <f>HLOOKUP($B$2,NEUConsumption,'Non-Energy Use'!$C$12)</f>
        <v>134.53299999999999</v>
      </c>
      <c r="L26" s="883">
        <f>HLOOKUP($B$2,NEUConsumption,'Non-Energy Use'!$C$24)</f>
        <v>127.06500000000001</v>
      </c>
      <c r="M26" s="883">
        <f>HLOOKUP($B$2,NEUConsumption,'Non-Energy Use'!$C$26)</f>
        <v>1.0411633874999999</v>
      </c>
      <c r="N26" s="885">
        <f t="shared" si="32"/>
        <v>0</v>
      </c>
      <c r="O26" s="883">
        <f t="shared" si="32"/>
        <v>0</v>
      </c>
      <c r="P26" s="883">
        <f t="shared" si="33"/>
        <v>0</v>
      </c>
      <c r="Q26" s="883">
        <f t="shared" si="34"/>
        <v>0</v>
      </c>
      <c r="R26" s="883">
        <f t="shared" si="35"/>
        <v>0</v>
      </c>
      <c r="S26" s="886">
        <f t="shared" si="36"/>
        <v>0</v>
      </c>
      <c r="T26" s="883">
        <f t="shared" si="4"/>
        <v>0</v>
      </c>
      <c r="U26" s="887">
        <f>Factors!D33</f>
        <v>20.199355467286214</v>
      </c>
      <c r="V26" s="885">
        <f t="shared" si="37"/>
        <v>0</v>
      </c>
      <c r="W26" s="883">
        <f t="shared" si="38"/>
        <v>0</v>
      </c>
      <c r="X26" s="883">
        <f t="shared" si="39"/>
        <v>0</v>
      </c>
      <c r="Y26" s="883">
        <f t="shared" si="40"/>
        <v>0</v>
      </c>
      <c r="Z26" s="883">
        <f t="shared" si="41"/>
        <v>0</v>
      </c>
      <c r="AA26" s="883">
        <f t="shared" si="42"/>
        <v>0</v>
      </c>
      <c r="AB26" s="883">
        <f t="shared" si="26"/>
        <v>0</v>
      </c>
      <c r="AC26" s="888">
        <f>Factors!E33</f>
        <v>1</v>
      </c>
      <c r="AD26" s="885">
        <f t="shared" si="43"/>
        <v>0</v>
      </c>
      <c r="AE26" s="883">
        <f t="shared" si="43"/>
        <v>0</v>
      </c>
      <c r="AF26" s="883">
        <f t="shared" si="43"/>
        <v>0</v>
      </c>
      <c r="AG26" s="883">
        <f t="shared" si="43"/>
        <v>0</v>
      </c>
      <c r="AH26" s="883">
        <f t="shared" si="43"/>
        <v>0</v>
      </c>
      <c r="AI26" s="883">
        <f t="shared" si="43"/>
        <v>0</v>
      </c>
      <c r="AJ26" s="889">
        <f t="shared" si="6"/>
        <v>0</v>
      </c>
      <c r="AK26" s="885">
        <f t="shared" si="19"/>
        <v>0</v>
      </c>
      <c r="AL26" s="883">
        <f t="shared" si="20"/>
        <v>0</v>
      </c>
      <c r="AM26" s="883">
        <f t="shared" si="21"/>
        <v>0</v>
      </c>
      <c r="AN26" s="883">
        <f t="shared" si="22"/>
        <v>0</v>
      </c>
      <c r="AO26" s="883">
        <f t="shared" si="23"/>
        <v>0</v>
      </c>
      <c r="AP26" s="883">
        <f t="shared" si="24"/>
        <v>0</v>
      </c>
      <c r="AQ26" s="890">
        <f t="shared" si="27"/>
        <v>0</v>
      </c>
    </row>
    <row r="27" spans="1:43">
      <c r="A27" s="817"/>
      <c r="B27" s="860" t="s">
        <v>1601</v>
      </c>
      <c r="C27" s="883"/>
      <c r="D27" s="883">
        <f>HLOOKUP($B$2,'Consumption Input'!$E$5:$AQ$82,'Consumption Input'!$B18)</f>
        <v>138.63648566484724</v>
      </c>
      <c r="E27" s="883">
        <f>HLOOKUP($B$2,'Consumption Input'!$E$5:$AQ$82,'Consumption Input'!$B32)</f>
        <v>635.50066694660484</v>
      </c>
      <c r="F27" s="883">
        <f>HLOOKUP($B$2,'Consumption Input'!$E$5:$AQ$82,'Consumption Input'!$B55)</f>
        <v>15030.395847388543</v>
      </c>
      <c r="G27" s="883"/>
      <c r="H27" s="883">
        <f>HLOOKUP($B$2,'US Territories'!$D$28:$Z$38,'US Territories'!$B36)</f>
        <v>148.92488561882868</v>
      </c>
      <c r="I27" s="883">
        <f t="shared" si="25"/>
        <v>15953.457885618824</v>
      </c>
      <c r="J27" s="884"/>
      <c r="K27" s="883"/>
      <c r="L27" s="883"/>
      <c r="M27" s="883"/>
      <c r="N27" s="885">
        <f t="shared" si="32"/>
        <v>0</v>
      </c>
      <c r="O27" s="883">
        <f t="shared" si="32"/>
        <v>138.63648566484724</v>
      </c>
      <c r="P27" s="883">
        <f t="shared" si="33"/>
        <v>635.50066694660484</v>
      </c>
      <c r="Q27" s="883">
        <f t="shared" si="34"/>
        <v>15030.395847388543</v>
      </c>
      <c r="R27" s="883">
        <f t="shared" si="35"/>
        <v>0</v>
      </c>
      <c r="S27" s="886">
        <f t="shared" si="36"/>
        <v>148.92488561882868</v>
      </c>
      <c r="T27" s="883">
        <f t="shared" si="4"/>
        <v>15953.457885618824</v>
      </c>
      <c r="U27" s="887">
        <f>HLOOKUP($B$2,Factors!$J$12:$AE$25,Factors!$H20,FALSE)</f>
        <v>19.440000000000001</v>
      </c>
      <c r="V27" s="885">
        <f t="shared" si="37"/>
        <v>0</v>
      </c>
      <c r="W27" s="883">
        <f t="shared" si="38"/>
        <v>2.6950932813246307</v>
      </c>
      <c r="X27" s="883">
        <f t="shared" si="39"/>
        <v>12.354132965441998</v>
      </c>
      <c r="Y27" s="883">
        <f t="shared" si="40"/>
        <v>292.19089527323331</v>
      </c>
      <c r="Z27" s="883">
        <f t="shared" si="41"/>
        <v>0</v>
      </c>
      <c r="AA27" s="883">
        <f t="shared" si="42"/>
        <v>2.8950997764300297</v>
      </c>
      <c r="AB27" s="883">
        <f t="shared" si="26"/>
        <v>310.13522129642996</v>
      </c>
      <c r="AC27" s="888">
        <f>Factors!E34</f>
        <v>1</v>
      </c>
      <c r="AD27" s="885">
        <f t="shared" si="43"/>
        <v>0</v>
      </c>
      <c r="AE27" s="883">
        <f t="shared" si="43"/>
        <v>2.6950932813246307</v>
      </c>
      <c r="AF27" s="883">
        <f t="shared" si="43"/>
        <v>12.354132965441998</v>
      </c>
      <c r="AG27" s="883">
        <f>Y27*$AC44</f>
        <v>292.19089527323331</v>
      </c>
      <c r="AH27" s="883">
        <f t="shared" si="43"/>
        <v>0</v>
      </c>
      <c r="AI27" s="883">
        <f t="shared" si="43"/>
        <v>2.8950997764300297</v>
      </c>
      <c r="AJ27" s="889">
        <f t="shared" si="6"/>
        <v>310.13522129642996</v>
      </c>
      <c r="AK27" s="885">
        <f t="shared" si="19"/>
        <v>0</v>
      </c>
      <c r="AL27" s="883">
        <f t="shared" si="20"/>
        <v>9.8820086981903117</v>
      </c>
      <c r="AM27" s="883">
        <f t="shared" si="21"/>
        <v>45.298487539953989</v>
      </c>
      <c r="AN27" s="883">
        <f t="shared" si="22"/>
        <v>1071.3666160018554</v>
      </c>
      <c r="AO27" s="883">
        <f t="shared" si="23"/>
        <v>0</v>
      </c>
      <c r="AP27" s="883">
        <f t="shared" si="24"/>
        <v>10.615365846910109</v>
      </c>
      <c r="AQ27" s="890">
        <f t="shared" si="27"/>
        <v>1137.1624780869099</v>
      </c>
    </row>
    <row r="28" spans="1:43">
      <c r="A28" s="817"/>
      <c r="B28" s="860" t="s">
        <v>1602</v>
      </c>
      <c r="C28" s="883"/>
      <c r="D28" s="883">
        <f>HLOOKUP($B$2,'Consumption Input'!$E$5:$AQ$82,'Consumption Input'!$B19)</f>
        <v>71.28</v>
      </c>
      <c r="E28" s="883">
        <f>HLOOKUP($B$2,'Consumption Input'!$E$5:$AQ$82,'Consumption Input'!$B33)</f>
        <v>43.692750000000004</v>
      </c>
      <c r="F28" s="883">
        <f>HLOOKUP($B$2,'Consumption Input'!$E$5:$AQ$82,'Consumption Input'!$B56)</f>
        <v>790.51599999999996</v>
      </c>
      <c r="G28" s="883">
        <f>HLOOKUP($B$2,'Consumption Input'!$E$5:$AQ$82,'Consumption Input'!$B61)</f>
        <v>180.95500000000001</v>
      </c>
      <c r="H28" s="883">
        <f>HLOOKUP($B$2,'US Territories'!$D$28:$Z$38,'US Territories'!$B37)</f>
        <v>174.376891060612</v>
      </c>
      <c r="I28" s="883">
        <f t="shared" si="25"/>
        <v>1260.8206410606119</v>
      </c>
      <c r="J28" s="884">
        <f>HLOOKUP($B$2,IBFConsumption,'International Bunker Fuels'!$B$9)</f>
        <v>604.77958704599996</v>
      </c>
      <c r="K28" s="883"/>
      <c r="L28" s="883"/>
      <c r="M28" s="883"/>
      <c r="N28" s="885">
        <f t="shared" si="32"/>
        <v>0</v>
      </c>
      <c r="O28" s="883">
        <f t="shared" si="32"/>
        <v>71.28</v>
      </c>
      <c r="P28" s="883">
        <f t="shared" si="33"/>
        <v>43.692750000000004</v>
      </c>
      <c r="Q28" s="883">
        <f t="shared" si="34"/>
        <v>185.736412954</v>
      </c>
      <c r="R28" s="883">
        <f t="shared" si="35"/>
        <v>180.95500000000001</v>
      </c>
      <c r="S28" s="886">
        <f t="shared" si="36"/>
        <v>174.376891060612</v>
      </c>
      <c r="T28" s="883">
        <f t="shared" si="4"/>
        <v>656.04105401461209</v>
      </c>
      <c r="U28" s="887">
        <f>Factors!D36</f>
        <v>20.48</v>
      </c>
      <c r="V28" s="885">
        <f t="shared" si="37"/>
        <v>0</v>
      </c>
      <c r="W28" s="883">
        <f t="shared" si="38"/>
        <v>1.4598144</v>
      </c>
      <c r="X28" s="883">
        <f t="shared" si="39"/>
        <v>0.8948275200000001</v>
      </c>
      <c r="Y28" s="883">
        <f t="shared" si="40"/>
        <v>3.8038817372979201</v>
      </c>
      <c r="Z28" s="883">
        <f t="shared" si="41"/>
        <v>3.7059584000000005</v>
      </c>
      <c r="AA28" s="883">
        <f t="shared" si="42"/>
        <v>3.5712387289213341</v>
      </c>
      <c r="AB28" s="883">
        <f t="shared" si="26"/>
        <v>13.435720786219253</v>
      </c>
      <c r="AC28" s="888">
        <f>Factors!E36</f>
        <v>1</v>
      </c>
      <c r="AD28" s="885">
        <f t="shared" si="43"/>
        <v>0</v>
      </c>
      <c r="AE28" s="883">
        <f t="shared" si="43"/>
        <v>1.4598144</v>
      </c>
      <c r="AF28" s="883">
        <f t="shared" si="43"/>
        <v>0.8948275200000001</v>
      </c>
      <c r="AG28" s="883">
        <f t="shared" si="43"/>
        <v>3.8038817372979201</v>
      </c>
      <c r="AH28" s="883">
        <f t="shared" si="43"/>
        <v>3.7059584000000005</v>
      </c>
      <c r="AI28" s="883">
        <f t="shared" si="43"/>
        <v>3.5712387289213341</v>
      </c>
      <c r="AJ28" s="889">
        <f t="shared" si="6"/>
        <v>13.435720786219253</v>
      </c>
      <c r="AK28" s="885">
        <f t="shared" si="19"/>
        <v>0</v>
      </c>
      <c r="AL28" s="883">
        <f t="shared" si="20"/>
        <v>5.3526527999999995</v>
      </c>
      <c r="AM28" s="883">
        <f t="shared" si="21"/>
        <v>3.2810342400000003</v>
      </c>
      <c r="AN28" s="883">
        <f t="shared" si="22"/>
        <v>13.947566370092373</v>
      </c>
      <c r="AO28" s="883">
        <f t="shared" si="23"/>
        <v>13.588514133333335</v>
      </c>
      <c r="AP28" s="883">
        <f t="shared" si="24"/>
        <v>13.094542006044891</v>
      </c>
      <c r="AQ28" s="890">
        <f t="shared" si="27"/>
        <v>49.264309549470596</v>
      </c>
    </row>
    <row r="29" spans="1:43">
      <c r="A29" s="817"/>
      <c r="B29" s="860" t="s">
        <v>1603</v>
      </c>
      <c r="C29" s="883"/>
      <c r="D29" s="883"/>
      <c r="E29" s="883"/>
      <c r="F29" s="883"/>
      <c r="G29" s="883"/>
      <c r="H29" s="883"/>
      <c r="I29" s="883"/>
      <c r="J29" s="884"/>
      <c r="K29" s="883"/>
      <c r="L29" s="883"/>
      <c r="M29" s="883"/>
      <c r="N29" s="885">
        <f t="shared" si="32"/>
        <v>0</v>
      </c>
      <c r="O29" s="883">
        <f t="shared" si="32"/>
        <v>0</v>
      </c>
      <c r="P29" s="883">
        <f t="shared" si="33"/>
        <v>0</v>
      </c>
      <c r="Q29" s="883">
        <f t="shared" si="34"/>
        <v>0</v>
      </c>
      <c r="R29" s="883">
        <f t="shared" si="35"/>
        <v>0</v>
      </c>
      <c r="S29" s="886">
        <f t="shared" si="36"/>
        <v>0</v>
      </c>
      <c r="T29" s="883">
        <f t="shared" si="4"/>
        <v>0</v>
      </c>
      <c r="U29" s="887"/>
      <c r="V29" s="885">
        <f t="shared" si="37"/>
        <v>0</v>
      </c>
      <c r="W29" s="883">
        <f t="shared" si="38"/>
        <v>0</v>
      </c>
      <c r="X29" s="883">
        <f t="shared" si="39"/>
        <v>0</v>
      </c>
      <c r="Y29" s="883">
        <f t="shared" si="40"/>
        <v>0</v>
      </c>
      <c r="Z29" s="883">
        <f t="shared" si="41"/>
        <v>0</v>
      </c>
      <c r="AA29" s="883">
        <f t="shared" si="42"/>
        <v>0</v>
      </c>
      <c r="AB29" s="883">
        <f t="shared" si="26"/>
        <v>0</v>
      </c>
      <c r="AC29" s="888"/>
      <c r="AD29" s="885">
        <f t="shared" si="43"/>
        <v>0</v>
      </c>
      <c r="AE29" s="883">
        <f t="shared" si="43"/>
        <v>0</v>
      </c>
      <c r="AF29" s="883">
        <f t="shared" si="43"/>
        <v>0</v>
      </c>
      <c r="AG29" s="883">
        <f t="shared" si="43"/>
        <v>0</v>
      </c>
      <c r="AH29" s="883">
        <f t="shared" si="43"/>
        <v>0</v>
      </c>
      <c r="AI29" s="883">
        <f t="shared" si="43"/>
        <v>0</v>
      </c>
      <c r="AJ29" s="889">
        <f t="shared" si="6"/>
        <v>0</v>
      </c>
      <c r="AK29" s="885">
        <f t="shared" si="19"/>
        <v>0</v>
      </c>
      <c r="AL29" s="883">
        <f t="shared" si="20"/>
        <v>0</v>
      </c>
      <c r="AM29" s="883">
        <f t="shared" si="21"/>
        <v>0</v>
      </c>
      <c r="AN29" s="883">
        <f t="shared" si="22"/>
        <v>0</v>
      </c>
      <c r="AO29" s="883">
        <f t="shared" si="23"/>
        <v>0</v>
      </c>
      <c r="AP29" s="883">
        <f t="shared" si="24"/>
        <v>0</v>
      </c>
      <c r="AQ29" s="890">
        <f t="shared" si="27"/>
        <v>0</v>
      </c>
    </row>
    <row r="30" spans="1:43">
      <c r="A30" s="817"/>
      <c r="B30" s="865" t="s">
        <v>1611</v>
      </c>
      <c r="C30" s="883"/>
      <c r="D30" s="883"/>
      <c r="E30" s="883">
        <f>HLOOKUP($B$2,'Consumption Input'!$E$5:$AQ$82,'Consumption Input'!$B35)</f>
        <v>-0.80263200000000001</v>
      </c>
      <c r="F30" s="883"/>
      <c r="G30" s="883"/>
      <c r="H30" s="883"/>
      <c r="I30" s="883">
        <f t="shared" ref="I30:I41" si="48">SUM(C30:H30)</f>
        <v>-0.80263200000000001</v>
      </c>
      <c r="J30" s="884"/>
      <c r="K30" s="883"/>
      <c r="L30" s="883"/>
      <c r="M30" s="883"/>
      <c r="N30" s="885">
        <f t="shared" si="32"/>
        <v>0</v>
      </c>
      <c r="O30" s="883">
        <f t="shared" si="32"/>
        <v>0</v>
      </c>
      <c r="P30" s="883">
        <f t="shared" si="33"/>
        <v>-0.80263200000000001</v>
      </c>
      <c r="Q30" s="883">
        <f t="shared" si="34"/>
        <v>0</v>
      </c>
      <c r="R30" s="883">
        <f t="shared" si="35"/>
        <v>0</v>
      </c>
      <c r="S30" s="886">
        <f t="shared" si="36"/>
        <v>0</v>
      </c>
      <c r="T30" s="883">
        <f t="shared" si="4"/>
        <v>-0.80263200000000001</v>
      </c>
      <c r="U30" s="887">
        <f>Factors!D39</f>
        <v>18.87</v>
      </c>
      <c r="V30" s="885">
        <f t="shared" si="37"/>
        <v>0</v>
      </c>
      <c r="W30" s="883">
        <f t="shared" si="38"/>
        <v>0</v>
      </c>
      <c r="X30" s="883">
        <f t="shared" si="39"/>
        <v>-1.5145665840000001E-2</v>
      </c>
      <c r="Y30" s="883">
        <f t="shared" si="40"/>
        <v>0</v>
      </c>
      <c r="Z30" s="883">
        <f t="shared" si="41"/>
        <v>0</v>
      </c>
      <c r="AA30" s="883">
        <f t="shared" si="42"/>
        <v>0</v>
      </c>
      <c r="AB30" s="883">
        <f t="shared" si="26"/>
        <v>-1.5145665840000001E-2</v>
      </c>
      <c r="AC30" s="888">
        <f>Factors!E39</f>
        <v>1</v>
      </c>
      <c r="AD30" s="885">
        <f t="shared" si="43"/>
        <v>0</v>
      </c>
      <c r="AE30" s="883">
        <f t="shared" si="43"/>
        <v>0</v>
      </c>
      <c r="AF30" s="883">
        <f t="shared" si="43"/>
        <v>-1.5145665840000001E-2</v>
      </c>
      <c r="AG30" s="883">
        <f t="shared" si="43"/>
        <v>0</v>
      </c>
      <c r="AH30" s="883">
        <f t="shared" si="43"/>
        <v>0</v>
      </c>
      <c r="AI30" s="883">
        <f t="shared" si="43"/>
        <v>0</v>
      </c>
      <c r="AJ30" s="889">
        <f t="shared" si="6"/>
        <v>-1.5145665840000001E-2</v>
      </c>
      <c r="AK30" s="885">
        <f t="shared" si="19"/>
        <v>0</v>
      </c>
      <c r="AL30" s="883">
        <f t="shared" si="20"/>
        <v>0</v>
      </c>
      <c r="AM30" s="883">
        <f t="shared" si="21"/>
        <v>-5.5534108079999998E-2</v>
      </c>
      <c r="AN30" s="883">
        <f t="shared" si="22"/>
        <v>0</v>
      </c>
      <c r="AO30" s="883">
        <f t="shared" si="23"/>
        <v>0</v>
      </c>
      <c r="AP30" s="883">
        <f t="shared" si="24"/>
        <v>0</v>
      </c>
      <c r="AQ30" s="890">
        <f t="shared" si="27"/>
        <v>-5.5534108079999998E-2</v>
      </c>
    </row>
    <row r="31" spans="1:43">
      <c r="A31" s="817"/>
      <c r="B31" s="865" t="s">
        <v>1612</v>
      </c>
      <c r="C31" s="883"/>
      <c r="D31" s="883"/>
      <c r="E31" s="883">
        <f>HLOOKUP($B$2,'Consumption Input'!$E$5:$AQ$82,'Consumption Input'!$B36)</f>
        <v>0</v>
      </c>
      <c r="F31" s="883"/>
      <c r="G31" s="883"/>
      <c r="H31" s="883"/>
      <c r="I31" s="883">
        <f t="shared" si="48"/>
        <v>0</v>
      </c>
      <c r="J31" s="884"/>
      <c r="K31" s="883"/>
      <c r="L31" s="883"/>
      <c r="M31" s="883"/>
      <c r="N31" s="885">
        <f t="shared" si="32"/>
        <v>0</v>
      </c>
      <c r="O31" s="883">
        <f t="shared" si="32"/>
        <v>0</v>
      </c>
      <c r="P31" s="883">
        <f t="shared" si="33"/>
        <v>0</v>
      </c>
      <c r="Q31" s="883">
        <f t="shared" si="34"/>
        <v>0</v>
      </c>
      <c r="R31" s="883">
        <f t="shared" si="35"/>
        <v>0</v>
      </c>
      <c r="S31" s="886">
        <f t="shared" si="36"/>
        <v>0</v>
      </c>
      <c r="T31" s="883">
        <f t="shared" si="4"/>
        <v>0</v>
      </c>
      <c r="U31" s="887">
        <f>HLOOKUP($B$2,Factors!$J$12:$AE$25,Factors!$H25,FALSE)</f>
        <v>20.305515594827586</v>
      </c>
      <c r="V31" s="885">
        <f t="shared" si="37"/>
        <v>0</v>
      </c>
      <c r="W31" s="883">
        <f t="shared" si="38"/>
        <v>0</v>
      </c>
      <c r="X31" s="883">
        <f t="shared" si="39"/>
        <v>0</v>
      </c>
      <c r="Y31" s="883">
        <f t="shared" si="40"/>
        <v>0</v>
      </c>
      <c r="Z31" s="883">
        <f t="shared" si="41"/>
        <v>0</v>
      </c>
      <c r="AA31" s="883">
        <f t="shared" si="42"/>
        <v>0</v>
      </c>
      <c r="AB31" s="883">
        <f t="shared" si="26"/>
        <v>0</v>
      </c>
      <c r="AC31" s="888">
        <f>Factors!E40</f>
        <v>1</v>
      </c>
      <c r="AD31" s="885">
        <f t="shared" si="43"/>
        <v>0</v>
      </c>
      <c r="AE31" s="883">
        <f t="shared" si="43"/>
        <v>0</v>
      </c>
      <c r="AF31" s="883">
        <f t="shared" si="43"/>
        <v>0</v>
      </c>
      <c r="AG31" s="883">
        <f t="shared" si="43"/>
        <v>0</v>
      </c>
      <c r="AH31" s="883">
        <f t="shared" si="43"/>
        <v>0</v>
      </c>
      <c r="AI31" s="883">
        <f t="shared" si="43"/>
        <v>0</v>
      </c>
      <c r="AJ31" s="889">
        <f t="shared" si="6"/>
        <v>0</v>
      </c>
      <c r="AK31" s="885">
        <f t="shared" si="19"/>
        <v>0</v>
      </c>
      <c r="AL31" s="883">
        <f t="shared" si="20"/>
        <v>0</v>
      </c>
      <c r="AM31" s="883">
        <f t="shared" si="21"/>
        <v>0</v>
      </c>
      <c r="AN31" s="883">
        <f t="shared" si="22"/>
        <v>0</v>
      </c>
      <c r="AO31" s="883">
        <f t="shared" si="23"/>
        <v>0</v>
      </c>
      <c r="AP31" s="883">
        <f t="shared" si="24"/>
        <v>0</v>
      </c>
      <c r="AQ31" s="890">
        <f t="shared" si="27"/>
        <v>0</v>
      </c>
    </row>
    <row r="32" spans="1:43">
      <c r="A32" s="817"/>
      <c r="B32" s="865" t="s">
        <v>1613</v>
      </c>
      <c r="C32" s="883"/>
      <c r="D32" s="883"/>
      <c r="E32" s="883">
        <f>HLOOKUP($B$2,'Consumption Input'!$E$5:$AQ$82,'Consumption Input'!$B37)</f>
        <v>0</v>
      </c>
      <c r="F32" s="883"/>
      <c r="G32" s="883"/>
      <c r="H32" s="883"/>
      <c r="I32" s="883">
        <f t="shared" si="48"/>
        <v>0</v>
      </c>
      <c r="J32" s="884"/>
      <c r="K32" s="883"/>
      <c r="L32" s="883"/>
      <c r="M32" s="883"/>
      <c r="N32" s="885">
        <f t="shared" si="32"/>
        <v>0</v>
      </c>
      <c r="O32" s="883">
        <f t="shared" si="32"/>
        <v>0</v>
      </c>
      <c r="P32" s="883">
        <f t="shared" si="33"/>
        <v>0</v>
      </c>
      <c r="Q32" s="883">
        <f t="shared" si="34"/>
        <v>0</v>
      </c>
      <c r="R32" s="883">
        <f t="shared" si="35"/>
        <v>0</v>
      </c>
      <c r="S32" s="886">
        <f t="shared" si="36"/>
        <v>0</v>
      </c>
      <c r="T32" s="883">
        <f t="shared" si="4"/>
        <v>0</v>
      </c>
      <c r="U32" s="887">
        <f>HLOOKUP($B$2,Factors!$J$12:$AE$25,Factors!$H22,FALSE)</f>
        <v>19.456118437849259</v>
      </c>
      <c r="V32" s="885">
        <f t="shared" si="37"/>
        <v>0</v>
      </c>
      <c r="W32" s="883">
        <f t="shared" si="38"/>
        <v>0</v>
      </c>
      <c r="X32" s="883">
        <f t="shared" si="39"/>
        <v>0</v>
      </c>
      <c r="Y32" s="883">
        <f t="shared" si="40"/>
        <v>0</v>
      </c>
      <c r="Z32" s="883">
        <f t="shared" si="41"/>
        <v>0</v>
      </c>
      <c r="AA32" s="883">
        <f t="shared" si="42"/>
        <v>0</v>
      </c>
      <c r="AB32" s="883">
        <f t="shared" si="26"/>
        <v>0</v>
      </c>
      <c r="AC32" s="888">
        <f>Factors!E41</f>
        <v>1</v>
      </c>
      <c r="AD32" s="885">
        <f t="shared" si="43"/>
        <v>0</v>
      </c>
      <c r="AE32" s="883">
        <f t="shared" si="43"/>
        <v>0</v>
      </c>
      <c r="AF32" s="883">
        <f t="shared" si="43"/>
        <v>0</v>
      </c>
      <c r="AG32" s="883">
        <f t="shared" si="43"/>
        <v>0</v>
      </c>
      <c r="AH32" s="883">
        <f t="shared" si="43"/>
        <v>0</v>
      </c>
      <c r="AI32" s="883">
        <f t="shared" si="43"/>
        <v>0</v>
      </c>
      <c r="AJ32" s="889">
        <f t="shared" si="6"/>
        <v>0</v>
      </c>
      <c r="AK32" s="885">
        <f t="shared" si="19"/>
        <v>0</v>
      </c>
      <c r="AL32" s="883">
        <f t="shared" si="20"/>
        <v>0</v>
      </c>
      <c r="AM32" s="883">
        <f t="shared" si="21"/>
        <v>0</v>
      </c>
      <c r="AN32" s="883">
        <f t="shared" si="22"/>
        <v>0</v>
      </c>
      <c r="AO32" s="883">
        <f t="shared" si="23"/>
        <v>0</v>
      </c>
      <c r="AP32" s="883">
        <f t="shared" si="24"/>
        <v>0</v>
      </c>
      <c r="AQ32" s="890">
        <f t="shared" si="27"/>
        <v>0</v>
      </c>
    </row>
    <row r="33" spans="1:43">
      <c r="A33" s="817"/>
      <c r="B33" s="865" t="s">
        <v>1739</v>
      </c>
      <c r="C33" s="883"/>
      <c r="D33" s="883"/>
      <c r="E33" s="883">
        <f>HLOOKUP($B$2,'Consumption Input'!$E$5:$AQ$82,'Consumption Input'!$B38)</f>
        <v>151.82563460399999</v>
      </c>
      <c r="F33" s="883"/>
      <c r="G33" s="883"/>
      <c r="H33" s="883">
        <f>HLOOKUP($B$2,'US Territories'!$D$28:$Z$38,'US Territories'!$B38)</f>
        <v>39.306066545112429</v>
      </c>
      <c r="I33" s="883">
        <f t="shared" si="48"/>
        <v>191.13170114911242</v>
      </c>
      <c r="J33" s="884"/>
      <c r="K33" s="883">
        <f>HLOOKUP($B$2,NEUConsumption,'Non-Energy Use'!C22)</f>
        <v>151.82563460399999</v>
      </c>
      <c r="L33" s="883"/>
      <c r="M33" s="883">
        <f>HLOOKUP($B$2,NEUConsumption,'Non-Energy Use'!$C$27)</f>
        <v>39.306066545112429</v>
      </c>
      <c r="N33" s="885">
        <f t="shared" si="32"/>
        <v>0</v>
      </c>
      <c r="O33" s="883">
        <f t="shared" si="32"/>
        <v>0</v>
      </c>
      <c r="P33" s="883">
        <f t="shared" si="33"/>
        <v>0</v>
      </c>
      <c r="Q33" s="883">
        <f t="shared" si="34"/>
        <v>0</v>
      </c>
      <c r="R33" s="883">
        <f t="shared" si="35"/>
        <v>0</v>
      </c>
      <c r="S33" s="886">
        <f t="shared" si="36"/>
        <v>0</v>
      </c>
      <c r="T33" s="883">
        <f t="shared" si="4"/>
        <v>0</v>
      </c>
      <c r="U33" s="887">
        <f>HLOOKUP($B$2,Factors!$J$12:$AE$25,Factors!$H23,FALSE)</f>
        <v>0</v>
      </c>
      <c r="V33" s="885">
        <f t="shared" si="37"/>
        <v>0</v>
      </c>
      <c r="W33" s="883">
        <f t="shared" si="38"/>
        <v>0</v>
      </c>
      <c r="X33" s="883">
        <f t="shared" si="39"/>
        <v>0</v>
      </c>
      <c r="Y33" s="883">
        <f t="shared" si="40"/>
        <v>0</v>
      </c>
      <c r="Z33" s="883">
        <f t="shared" si="41"/>
        <v>0</v>
      </c>
      <c r="AA33" s="883">
        <f t="shared" si="42"/>
        <v>0</v>
      </c>
      <c r="AB33" s="883">
        <f t="shared" si="26"/>
        <v>0</v>
      </c>
      <c r="AC33" s="888">
        <f>Factors!E42</f>
        <v>1</v>
      </c>
      <c r="AD33" s="885">
        <f t="shared" si="43"/>
        <v>0</v>
      </c>
      <c r="AE33" s="883">
        <f t="shared" si="43"/>
        <v>0</v>
      </c>
      <c r="AF33" s="883">
        <f t="shared" si="43"/>
        <v>0</v>
      </c>
      <c r="AG33" s="883">
        <f t="shared" si="43"/>
        <v>0</v>
      </c>
      <c r="AH33" s="883">
        <f t="shared" si="43"/>
        <v>0</v>
      </c>
      <c r="AI33" s="883">
        <f t="shared" si="43"/>
        <v>0</v>
      </c>
      <c r="AJ33" s="889">
        <f t="shared" si="6"/>
        <v>0</v>
      </c>
      <c r="AK33" s="885">
        <f t="shared" si="19"/>
        <v>0</v>
      </c>
      <c r="AL33" s="883">
        <f t="shared" si="20"/>
        <v>0</v>
      </c>
      <c r="AM33" s="883">
        <f t="shared" si="21"/>
        <v>0</v>
      </c>
      <c r="AN33" s="883">
        <f t="shared" si="22"/>
        <v>0</v>
      </c>
      <c r="AO33" s="883">
        <f t="shared" si="23"/>
        <v>0</v>
      </c>
      <c r="AP33" s="883">
        <f t="shared" si="24"/>
        <v>0</v>
      </c>
      <c r="AQ33" s="890">
        <f t="shared" si="27"/>
        <v>0</v>
      </c>
    </row>
    <row r="34" spans="1:43">
      <c r="A34" s="817"/>
      <c r="B34" s="865" t="s">
        <v>1615</v>
      </c>
      <c r="C34" s="883"/>
      <c r="D34" s="883"/>
      <c r="E34" s="883">
        <f>HLOOKUP($B$2,'Consumption Input'!$E$5:$AQ$82,'Consumption Input'!$B39)</f>
        <v>471.868672</v>
      </c>
      <c r="F34" s="883"/>
      <c r="G34" s="883"/>
      <c r="H34" s="883"/>
      <c r="I34" s="883">
        <f t="shared" si="48"/>
        <v>471.868672</v>
      </c>
      <c r="J34" s="884"/>
      <c r="K34" s="883">
        <f>HLOOKUP($B$2,NEUConsumption,'Non-Energy Use'!C14)</f>
        <v>471.868672</v>
      </c>
      <c r="L34" s="883"/>
      <c r="M34" s="883"/>
      <c r="N34" s="885">
        <f t="shared" si="32"/>
        <v>0</v>
      </c>
      <c r="O34" s="883">
        <f t="shared" si="32"/>
        <v>0</v>
      </c>
      <c r="P34" s="883">
        <f t="shared" si="33"/>
        <v>0</v>
      </c>
      <c r="Q34" s="883">
        <f t="shared" si="34"/>
        <v>0</v>
      </c>
      <c r="R34" s="883">
        <f t="shared" si="35"/>
        <v>0</v>
      </c>
      <c r="S34" s="886">
        <f t="shared" si="36"/>
        <v>0</v>
      </c>
      <c r="T34" s="883">
        <f t="shared" si="4"/>
        <v>0</v>
      </c>
      <c r="U34" s="887">
        <f>Factors!D44</f>
        <v>18.550649350649344</v>
      </c>
      <c r="V34" s="885">
        <f t="shared" si="37"/>
        <v>0</v>
      </c>
      <c r="W34" s="883">
        <f t="shared" si="38"/>
        <v>0</v>
      </c>
      <c r="X34" s="883">
        <f t="shared" si="39"/>
        <v>0</v>
      </c>
      <c r="Y34" s="883">
        <f t="shared" si="40"/>
        <v>0</v>
      </c>
      <c r="Z34" s="883">
        <f t="shared" si="41"/>
        <v>0</v>
      </c>
      <c r="AA34" s="883">
        <f t="shared" si="42"/>
        <v>0</v>
      </c>
      <c r="AB34" s="883">
        <f t="shared" si="26"/>
        <v>0</v>
      </c>
      <c r="AC34" s="888">
        <f>Factors!E44</f>
        <v>1</v>
      </c>
      <c r="AD34" s="885">
        <f t="shared" si="43"/>
        <v>0</v>
      </c>
      <c r="AE34" s="883">
        <f t="shared" si="43"/>
        <v>0</v>
      </c>
      <c r="AF34" s="883">
        <f t="shared" si="43"/>
        <v>0</v>
      </c>
      <c r="AG34" s="883">
        <f t="shared" si="43"/>
        <v>0</v>
      </c>
      <c r="AH34" s="883">
        <f t="shared" si="43"/>
        <v>0</v>
      </c>
      <c r="AI34" s="883">
        <f t="shared" si="43"/>
        <v>0</v>
      </c>
      <c r="AJ34" s="889">
        <f t="shared" si="6"/>
        <v>0</v>
      </c>
      <c r="AK34" s="885">
        <f t="shared" si="19"/>
        <v>0</v>
      </c>
      <c r="AL34" s="883">
        <f t="shared" si="20"/>
        <v>0</v>
      </c>
      <c r="AM34" s="883">
        <f t="shared" si="21"/>
        <v>0</v>
      </c>
      <c r="AN34" s="883">
        <f t="shared" si="22"/>
        <v>0</v>
      </c>
      <c r="AO34" s="883">
        <f t="shared" si="23"/>
        <v>0</v>
      </c>
      <c r="AP34" s="883">
        <f t="shared" si="24"/>
        <v>0</v>
      </c>
      <c r="AQ34" s="890">
        <f t="shared" si="27"/>
        <v>0</v>
      </c>
    </row>
    <row r="35" spans="1:43">
      <c r="A35" s="817"/>
      <c r="B35" s="865" t="s">
        <v>1616</v>
      </c>
      <c r="C35" s="883"/>
      <c r="D35" s="883"/>
      <c r="E35" s="883">
        <f>HLOOKUP($B$2,'Consumption Input'!$E$5:$AQ$82,'Consumption Input'!$B40)</f>
        <v>424.776475</v>
      </c>
      <c r="F35" s="883"/>
      <c r="G35" s="883"/>
      <c r="H35" s="883"/>
      <c r="I35" s="883">
        <f t="shared" si="48"/>
        <v>424.776475</v>
      </c>
      <c r="J35" s="884"/>
      <c r="K35" s="883">
        <f>HLOOKUP($B$2,NEUConsumption,'Non-Energy Use'!$C$15)</f>
        <v>424.776475</v>
      </c>
      <c r="L35" s="883"/>
      <c r="M35" s="883"/>
      <c r="N35" s="885">
        <f t="shared" si="32"/>
        <v>0</v>
      </c>
      <c r="O35" s="883">
        <f t="shared" si="32"/>
        <v>0</v>
      </c>
      <c r="P35" s="883">
        <f t="shared" si="33"/>
        <v>0</v>
      </c>
      <c r="Q35" s="883">
        <f t="shared" si="34"/>
        <v>0</v>
      </c>
      <c r="R35" s="883">
        <f t="shared" si="35"/>
        <v>0</v>
      </c>
      <c r="S35" s="886">
        <f t="shared" si="36"/>
        <v>0</v>
      </c>
      <c r="T35" s="883">
        <f t="shared" si="4"/>
        <v>0</v>
      </c>
      <c r="U35" s="887">
        <f>Factors!D45</f>
        <v>20.170000000000002</v>
      </c>
      <c r="V35" s="885">
        <f t="shared" si="37"/>
        <v>0</v>
      </c>
      <c r="W35" s="883">
        <f t="shared" si="38"/>
        <v>0</v>
      </c>
      <c r="X35" s="883">
        <f t="shared" si="39"/>
        <v>0</v>
      </c>
      <c r="Y35" s="883">
        <f t="shared" si="40"/>
        <v>0</v>
      </c>
      <c r="Z35" s="883">
        <f t="shared" si="41"/>
        <v>0</v>
      </c>
      <c r="AA35" s="883">
        <f t="shared" si="42"/>
        <v>0</v>
      </c>
      <c r="AB35" s="883">
        <f t="shared" si="26"/>
        <v>0</v>
      </c>
      <c r="AC35" s="888">
        <f>Factors!E45</f>
        <v>1</v>
      </c>
      <c r="AD35" s="885">
        <f t="shared" si="43"/>
        <v>0</v>
      </c>
      <c r="AE35" s="883">
        <f t="shared" si="43"/>
        <v>0</v>
      </c>
      <c r="AF35" s="883">
        <f t="shared" si="43"/>
        <v>0</v>
      </c>
      <c r="AG35" s="883">
        <f t="shared" si="43"/>
        <v>0</v>
      </c>
      <c r="AH35" s="883">
        <f t="shared" si="43"/>
        <v>0</v>
      </c>
      <c r="AI35" s="883">
        <f t="shared" si="43"/>
        <v>0</v>
      </c>
      <c r="AJ35" s="889">
        <f t="shared" si="6"/>
        <v>0</v>
      </c>
      <c r="AK35" s="885">
        <f t="shared" si="19"/>
        <v>0</v>
      </c>
      <c r="AL35" s="883">
        <f t="shared" si="20"/>
        <v>0</v>
      </c>
      <c r="AM35" s="883">
        <f t="shared" si="21"/>
        <v>0</v>
      </c>
      <c r="AN35" s="883">
        <f t="shared" si="22"/>
        <v>0</v>
      </c>
      <c r="AO35" s="883">
        <f t="shared" si="23"/>
        <v>0</v>
      </c>
      <c r="AP35" s="883">
        <f t="shared" si="24"/>
        <v>0</v>
      </c>
      <c r="AQ35" s="890">
        <f t="shared" si="27"/>
        <v>0</v>
      </c>
    </row>
    <row r="36" spans="1:43">
      <c r="A36" s="817"/>
      <c r="B36" s="865" t="s">
        <v>1617</v>
      </c>
      <c r="C36" s="883"/>
      <c r="D36" s="883"/>
      <c r="E36" s="883">
        <f>HLOOKUP($B$2,'Consumption Input'!$E$5:$AQ$82,'Consumption Input'!$B41)</f>
        <v>0</v>
      </c>
      <c r="F36" s="883"/>
      <c r="G36" s="883"/>
      <c r="H36" s="883"/>
      <c r="I36" s="883">
        <f t="shared" si="48"/>
        <v>0</v>
      </c>
      <c r="J36" s="884"/>
      <c r="K36" s="883">
        <f>HLOOKUP($B$2,NEUConsumption,'Non-Energy Use'!$C$13)</f>
        <v>0</v>
      </c>
      <c r="L36" s="883"/>
      <c r="M36" s="883"/>
      <c r="N36" s="885">
        <f t="shared" si="32"/>
        <v>0</v>
      </c>
      <c r="O36" s="883">
        <f t="shared" si="32"/>
        <v>0</v>
      </c>
      <c r="P36" s="883">
        <f t="shared" si="33"/>
        <v>0</v>
      </c>
      <c r="Q36" s="883">
        <f t="shared" si="34"/>
        <v>0</v>
      </c>
      <c r="R36" s="883">
        <f t="shared" si="35"/>
        <v>0</v>
      </c>
      <c r="S36" s="886">
        <f t="shared" si="36"/>
        <v>0</v>
      </c>
      <c r="T36" s="883">
        <f t="shared" si="4"/>
        <v>0</v>
      </c>
      <c r="U36" s="887">
        <f>Factors!D46</f>
        <v>18.239999999999998</v>
      </c>
      <c r="V36" s="885">
        <f t="shared" si="37"/>
        <v>0</v>
      </c>
      <c r="W36" s="883">
        <f t="shared" si="38"/>
        <v>0</v>
      </c>
      <c r="X36" s="883">
        <f t="shared" si="39"/>
        <v>0</v>
      </c>
      <c r="Y36" s="883">
        <f t="shared" si="40"/>
        <v>0</v>
      </c>
      <c r="Z36" s="883">
        <f t="shared" si="41"/>
        <v>0</v>
      </c>
      <c r="AA36" s="883">
        <f t="shared" si="42"/>
        <v>0</v>
      </c>
      <c r="AB36" s="883">
        <f t="shared" si="26"/>
        <v>0</v>
      </c>
      <c r="AC36" s="888">
        <f>Factors!E46</f>
        <v>1</v>
      </c>
      <c r="AD36" s="885">
        <f t="shared" ref="AD36:AI42" si="49">V36*$AC36</f>
        <v>0</v>
      </c>
      <c r="AE36" s="883">
        <f t="shared" si="49"/>
        <v>0</v>
      </c>
      <c r="AF36" s="883">
        <f t="shared" si="49"/>
        <v>0</v>
      </c>
      <c r="AG36" s="883">
        <f t="shared" si="49"/>
        <v>0</v>
      </c>
      <c r="AH36" s="883">
        <f t="shared" si="49"/>
        <v>0</v>
      </c>
      <c r="AI36" s="883">
        <f t="shared" si="49"/>
        <v>0</v>
      </c>
      <c r="AJ36" s="889">
        <f t="shared" si="6"/>
        <v>0</v>
      </c>
      <c r="AK36" s="885">
        <f t="shared" si="19"/>
        <v>0</v>
      </c>
      <c r="AL36" s="883">
        <f t="shared" si="20"/>
        <v>0</v>
      </c>
      <c r="AM36" s="883">
        <f t="shared" si="21"/>
        <v>0</v>
      </c>
      <c r="AN36" s="883">
        <f t="shared" si="22"/>
        <v>0</v>
      </c>
      <c r="AO36" s="883">
        <f t="shared" si="23"/>
        <v>0</v>
      </c>
      <c r="AP36" s="883">
        <f t="shared" si="24"/>
        <v>0</v>
      </c>
      <c r="AQ36" s="890">
        <f t="shared" si="27"/>
        <v>0</v>
      </c>
    </row>
    <row r="37" spans="1:43">
      <c r="A37" s="817"/>
      <c r="B37" s="865" t="s">
        <v>1604</v>
      </c>
      <c r="C37" s="883"/>
      <c r="D37" s="883">
        <f>HLOOKUP($B$2,'Consumption Input'!$E$5:$AQ$82,'Consumption Input'!$B21)</f>
        <v>0.24899999999999997</v>
      </c>
      <c r="E37" s="883">
        <f>HLOOKUP($B$2,'Consumption Input'!$E$5:$AQ$82,'Consumption Input'!$B42)</f>
        <v>804.67499999999995</v>
      </c>
      <c r="F37" s="883"/>
      <c r="G37" s="883">
        <f>HLOOKUP($B$2,'Consumption Input'!$E$5:$AQ$82,'Consumption Input'!$B63)</f>
        <v>131.84200000000001</v>
      </c>
      <c r="H37" s="883"/>
      <c r="I37" s="883">
        <f t="shared" si="48"/>
        <v>936.76599999999996</v>
      </c>
      <c r="J37" s="884"/>
      <c r="K37" s="883">
        <f>HLOOKUP($B$2,NEUConsumption,'Non-Energy Use'!$C$17)</f>
        <v>180.6926152492947</v>
      </c>
      <c r="L37" s="883"/>
      <c r="M37" s="883"/>
      <c r="N37" s="885">
        <f t="shared" si="32"/>
        <v>0</v>
      </c>
      <c r="O37" s="883">
        <f t="shared" si="32"/>
        <v>0.24899999999999997</v>
      </c>
      <c r="P37" s="883">
        <f t="shared" si="33"/>
        <v>623.98238475070525</v>
      </c>
      <c r="Q37" s="883">
        <f t="shared" si="34"/>
        <v>0</v>
      </c>
      <c r="R37" s="883">
        <f t="shared" si="35"/>
        <v>131.84200000000001</v>
      </c>
      <c r="S37" s="886">
        <f t="shared" si="36"/>
        <v>0</v>
      </c>
      <c r="T37" s="883">
        <f t="shared" si="4"/>
        <v>756.07338475070526</v>
      </c>
      <c r="U37" s="887">
        <f>Factors!D48</f>
        <v>27.84770010865628</v>
      </c>
      <c r="V37" s="885">
        <f t="shared" si="37"/>
        <v>0</v>
      </c>
      <c r="W37" s="883">
        <f t="shared" si="38"/>
        <v>6.9340773270554134E-3</v>
      </c>
      <c r="X37" s="883">
        <f t="shared" si="39"/>
        <v>17.376474323621821</v>
      </c>
      <c r="Y37" s="883">
        <f t="shared" si="40"/>
        <v>0</v>
      </c>
      <c r="Z37" s="883">
        <f t="shared" si="41"/>
        <v>3.6714964777254617</v>
      </c>
      <c r="AA37" s="883">
        <f t="shared" si="42"/>
        <v>0</v>
      </c>
      <c r="AB37" s="883">
        <f t="shared" si="26"/>
        <v>21.054904878674339</v>
      </c>
      <c r="AC37" s="888">
        <f>Factors!E48</f>
        <v>1</v>
      </c>
      <c r="AD37" s="885">
        <f t="shared" si="49"/>
        <v>0</v>
      </c>
      <c r="AE37" s="883">
        <f t="shared" si="49"/>
        <v>6.9340773270554134E-3</v>
      </c>
      <c r="AF37" s="883">
        <f t="shared" si="49"/>
        <v>17.376474323621821</v>
      </c>
      <c r="AG37" s="883">
        <f t="shared" si="49"/>
        <v>0</v>
      </c>
      <c r="AH37" s="883">
        <f t="shared" si="49"/>
        <v>3.6714964777254617</v>
      </c>
      <c r="AI37" s="883">
        <f t="shared" si="49"/>
        <v>0</v>
      </c>
      <c r="AJ37" s="889">
        <f t="shared" si="6"/>
        <v>21.054904878674339</v>
      </c>
      <c r="AK37" s="885">
        <f t="shared" si="19"/>
        <v>0</v>
      </c>
      <c r="AL37" s="883">
        <f t="shared" si="20"/>
        <v>2.542495019920318E-2</v>
      </c>
      <c r="AM37" s="883">
        <f t="shared" si="21"/>
        <v>63.713739186613338</v>
      </c>
      <c r="AN37" s="883">
        <f t="shared" si="22"/>
        <v>0</v>
      </c>
      <c r="AO37" s="883">
        <f t="shared" si="23"/>
        <v>13.462153751660026</v>
      </c>
      <c r="AP37" s="883">
        <f t="shared" si="24"/>
        <v>0</v>
      </c>
      <c r="AQ37" s="890">
        <f t="shared" si="27"/>
        <v>77.201317888472573</v>
      </c>
    </row>
    <row r="38" spans="1:43">
      <c r="A38" s="817"/>
      <c r="B38" s="865" t="s">
        <v>1618</v>
      </c>
      <c r="C38" s="883"/>
      <c r="D38" s="883"/>
      <c r="E38" s="883">
        <f>HLOOKUP($B$2,'Consumption Input'!$E$5:$AQ$82,'Consumption Input'!$B43)</f>
        <v>1455.0179999999998</v>
      </c>
      <c r="F38" s="883"/>
      <c r="G38" s="883"/>
      <c r="H38" s="883"/>
      <c r="I38" s="883">
        <f t="shared" si="48"/>
        <v>1455.0179999999998</v>
      </c>
      <c r="J38" s="884"/>
      <c r="K38" s="883">
        <f>HLOOKUP($B$2,NEUConsumption,'Non-Energy Use'!$C$16)</f>
        <v>133.87199999999984</v>
      </c>
      <c r="L38" s="883"/>
      <c r="M38" s="883"/>
      <c r="N38" s="885">
        <f t="shared" si="32"/>
        <v>0</v>
      </c>
      <c r="O38" s="883">
        <f t="shared" si="32"/>
        <v>0</v>
      </c>
      <c r="P38" s="883">
        <f t="shared" si="33"/>
        <v>1321.146</v>
      </c>
      <c r="Q38" s="883">
        <f t="shared" si="34"/>
        <v>0</v>
      </c>
      <c r="R38" s="883">
        <f t="shared" si="35"/>
        <v>0</v>
      </c>
      <c r="S38" s="886">
        <f t="shared" si="36"/>
        <v>0</v>
      </c>
      <c r="T38" s="883">
        <f t="shared" si="4"/>
        <v>1321.146</v>
      </c>
      <c r="U38" s="887">
        <f>Factors!D51</f>
        <v>18.195454545454545</v>
      </c>
      <c r="V38" s="885">
        <f t="shared" si="37"/>
        <v>0</v>
      </c>
      <c r="W38" s="883">
        <f t="shared" si="38"/>
        <v>0</v>
      </c>
      <c r="X38" s="883">
        <f t="shared" si="39"/>
        <v>24.038851990909091</v>
      </c>
      <c r="Y38" s="883">
        <f t="shared" si="40"/>
        <v>0</v>
      </c>
      <c r="Z38" s="883">
        <f t="shared" si="41"/>
        <v>0</v>
      </c>
      <c r="AA38" s="883">
        <f t="shared" si="42"/>
        <v>0</v>
      </c>
      <c r="AB38" s="883">
        <f t="shared" si="26"/>
        <v>24.038851990909091</v>
      </c>
      <c r="AC38" s="888">
        <f>Factors!E51</f>
        <v>1</v>
      </c>
      <c r="AD38" s="885">
        <f t="shared" si="49"/>
        <v>0</v>
      </c>
      <c r="AE38" s="883">
        <f t="shared" si="49"/>
        <v>0</v>
      </c>
      <c r="AF38" s="883">
        <f t="shared" si="49"/>
        <v>24.038851990909091</v>
      </c>
      <c r="AG38" s="883">
        <f t="shared" si="49"/>
        <v>0</v>
      </c>
      <c r="AH38" s="883">
        <f t="shared" si="49"/>
        <v>0</v>
      </c>
      <c r="AI38" s="883">
        <f t="shared" si="49"/>
        <v>0</v>
      </c>
      <c r="AJ38" s="889">
        <f t="shared" si="6"/>
        <v>24.038851990909091</v>
      </c>
      <c r="AK38" s="885">
        <f t="shared" si="19"/>
        <v>0</v>
      </c>
      <c r="AL38" s="883">
        <f t="shared" si="20"/>
        <v>0</v>
      </c>
      <c r="AM38" s="883">
        <f t="shared" si="21"/>
        <v>88.14245729999999</v>
      </c>
      <c r="AN38" s="883">
        <f t="shared" si="22"/>
        <v>0</v>
      </c>
      <c r="AO38" s="883">
        <f t="shared" si="23"/>
        <v>0</v>
      </c>
      <c r="AP38" s="883">
        <f t="shared" si="24"/>
        <v>0</v>
      </c>
      <c r="AQ38" s="890">
        <f t="shared" si="27"/>
        <v>88.14245729999999</v>
      </c>
    </row>
    <row r="39" spans="1:43">
      <c r="A39" s="817"/>
      <c r="B39" s="865" t="s">
        <v>1619</v>
      </c>
      <c r="C39" s="883"/>
      <c r="D39" s="883"/>
      <c r="E39" s="883">
        <f>HLOOKUP($B$2,'Consumption Input'!$E$5:$AQ$82,'Consumption Input'!$B44)</f>
        <v>46.170030464</v>
      </c>
      <c r="F39" s="883"/>
      <c r="G39" s="883"/>
      <c r="H39" s="883"/>
      <c r="I39" s="883">
        <f t="shared" si="48"/>
        <v>46.170030464</v>
      </c>
      <c r="J39" s="884"/>
      <c r="K39" s="883">
        <f>HLOOKUP($B$2,NEUConsumption,'Non-Energy Use'!$C$18)</f>
        <v>46.170030464</v>
      </c>
      <c r="L39" s="883"/>
      <c r="M39" s="883"/>
      <c r="N39" s="885">
        <f t="shared" si="32"/>
        <v>0</v>
      </c>
      <c r="O39" s="883">
        <f t="shared" si="32"/>
        <v>0</v>
      </c>
      <c r="P39" s="883">
        <f t="shared" si="33"/>
        <v>0</v>
      </c>
      <c r="Q39" s="883">
        <f t="shared" si="34"/>
        <v>0</v>
      </c>
      <c r="R39" s="883">
        <f t="shared" si="35"/>
        <v>0</v>
      </c>
      <c r="S39" s="886">
        <f t="shared" si="36"/>
        <v>0</v>
      </c>
      <c r="T39" s="883">
        <f t="shared" si="4"/>
        <v>0</v>
      </c>
      <c r="U39" s="887">
        <f>Factors!D37</f>
        <v>19.737389135254986</v>
      </c>
      <c r="V39" s="885">
        <f t="shared" si="37"/>
        <v>0</v>
      </c>
      <c r="W39" s="883">
        <f t="shared" si="38"/>
        <v>0</v>
      </c>
      <c r="X39" s="883">
        <f t="shared" si="39"/>
        <v>0</v>
      </c>
      <c r="Y39" s="883">
        <f t="shared" si="40"/>
        <v>0</v>
      </c>
      <c r="Z39" s="883">
        <f t="shared" si="41"/>
        <v>0</v>
      </c>
      <c r="AA39" s="883">
        <f t="shared" si="42"/>
        <v>0</v>
      </c>
      <c r="AB39" s="883">
        <f t="shared" si="26"/>
        <v>0</v>
      </c>
      <c r="AC39" s="888">
        <f>Factors!E37</f>
        <v>1</v>
      </c>
      <c r="AD39" s="885">
        <f t="shared" si="49"/>
        <v>0</v>
      </c>
      <c r="AE39" s="883">
        <f t="shared" si="49"/>
        <v>0</v>
      </c>
      <c r="AF39" s="883">
        <f t="shared" si="49"/>
        <v>0</v>
      </c>
      <c r="AG39" s="883">
        <f t="shared" si="49"/>
        <v>0</v>
      </c>
      <c r="AH39" s="883">
        <f t="shared" si="49"/>
        <v>0</v>
      </c>
      <c r="AI39" s="883">
        <f t="shared" si="49"/>
        <v>0</v>
      </c>
      <c r="AJ39" s="889">
        <f t="shared" si="6"/>
        <v>0</v>
      </c>
      <c r="AK39" s="885">
        <f t="shared" si="19"/>
        <v>0</v>
      </c>
      <c r="AL39" s="883">
        <f t="shared" si="20"/>
        <v>0</v>
      </c>
      <c r="AM39" s="883">
        <f t="shared" si="21"/>
        <v>0</v>
      </c>
      <c r="AN39" s="883">
        <f t="shared" si="22"/>
        <v>0</v>
      </c>
      <c r="AO39" s="883">
        <f t="shared" si="23"/>
        <v>0</v>
      </c>
      <c r="AP39" s="883">
        <f t="shared" si="24"/>
        <v>0</v>
      </c>
      <c r="AQ39" s="890">
        <f t="shared" si="27"/>
        <v>0</v>
      </c>
    </row>
    <row r="40" spans="1:43">
      <c r="A40" s="817"/>
      <c r="B40" s="865" t="s">
        <v>1620</v>
      </c>
      <c r="C40" s="883"/>
      <c r="D40" s="883"/>
      <c r="E40" s="883">
        <f>HLOOKUP($B$2,'Consumption Input'!$E$5:$AQ$82,'Consumption Input'!$B45)</f>
        <v>0</v>
      </c>
      <c r="F40" s="883"/>
      <c r="G40" s="883"/>
      <c r="H40" s="883"/>
      <c r="I40" s="883">
        <f t="shared" si="48"/>
        <v>0</v>
      </c>
      <c r="J40" s="884"/>
      <c r="K40" s="883"/>
      <c r="L40" s="883"/>
      <c r="M40" s="883"/>
      <c r="N40" s="885">
        <f t="shared" si="32"/>
        <v>0</v>
      </c>
      <c r="O40" s="883">
        <f t="shared" si="32"/>
        <v>0</v>
      </c>
      <c r="P40" s="883">
        <f t="shared" si="33"/>
        <v>0</v>
      </c>
      <c r="Q40" s="883">
        <f t="shared" si="34"/>
        <v>0</v>
      </c>
      <c r="R40" s="883">
        <f t="shared" si="35"/>
        <v>0</v>
      </c>
      <c r="S40" s="886">
        <f t="shared" si="36"/>
        <v>0</v>
      </c>
      <c r="T40" s="883">
        <f t="shared" si="4"/>
        <v>0</v>
      </c>
      <c r="U40" s="887">
        <f>HLOOKUP($B$2,Factors!$J$12:$AE$25,Factors!$H24,FALSE)</f>
        <v>20.305515594827586</v>
      </c>
      <c r="V40" s="885">
        <f t="shared" si="37"/>
        <v>0</v>
      </c>
      <c r="W40" s="883">
        <f t="shared" si="38"/>
        <v>0</v>
      </c>
      <c r="X40" s="883">
        <f t="shared" si="39"/>
        <v>0</v>
      </c>
      <c r="Y40" s="883">
        <f t="shared" si="40"/>
        <v>0</v>
      </c>
      <c r="Z40" s="883">
        <f t="shared" si="41"/>
        <v>0</v>
      </c>
      <c r="AA40" s="883">
        <f t="shared" si="42"/>
        <v>0</v>
      </c>
      <c r="AB40" s="883">
        <f t="shared" si="26"/>
        <v>0</v>
      </c>
      <c r="AC40" s="888">
        <f>Factors!E53</f>
        <v>1</v>
      </c>
      <c r="AD40" s="885">
        <f t="shared" si="49"/>
        <v>0</v>
      </c>
      <c r="AE40" s="883">
        <f t="shared" si="49"/>
        <v>0</v>
      </c>
      <c r="AF40" s="883">
        <f t="shared" si="49"/>
        <v>0</v>
      </c>
      <c r="AG40" s="883">
        <f t="shared" si="49"/>
        <v>0</v>
      </c>
      <c r="AH40" s="883">
        <f t="shared" si="49"/>
        <v>0</v>
      </c>
      <c r="AI40" s="883">
        <f t="shared" si="49"/>
        <v>0</v>
      </c>
      <c r="AJ40" s="889">
        <f t="shared" si="6"/>
        <v>0</v>
      </c>
      <c r="AK40" s="885">
        <f t="shared" si="19"/>
        <v>0</v>
      </c>
      <c r="AL40" s="883">
        <f t="shared" si="20"/>
        <v>0</v>
      </c>
      <c r="AM40" s="883">
        <f t="shared" si="21"/>
        <v>0</v>
      </c>
      <c r="AN40" s="883">
        <f t="shared" si="22"/>
        <v>0</v>
      </c>
      <c r="AO40" s="883">
        <f t="shared" si="23"/>
        <v>0</v>
      </c>
      <c r="AP40" s="883">
        <f t="shared" si="24"/>
        <v>0</v>
      </c>
      <c r="AQ40" s="890">
        <f t="shared" si="27"/>
        <v>0</v>
      </c>
    </row>
    <row r="41" spans="1:43">
      <c r="A41" s="817"/>
      <c r="B41" s="865" t="s">
        <v>1621</v>
      </c>
      <c r="C41" s="883"/>
      <c r="D41" s="883"/>
      <c r="E41" s="883">
        <f>HLOOKUP($B$2,'Consumption Input'!$E$5:$AQ$82,'Consumption Input'!$B46)</f>
        <v>12.222667260999998</v>
      </c>
      <c r="F41" s="883"/>
      <c r="G41" s="883"/>
      <c r="H41" s="883"/>
      <c r="I41" s="883">
        <f t="shared" si="48"/>
        <v>12.222667260999998</v>
      </c>
      <c r="J41" s="884"/>
      <c r="K41" s="883">
        <f>HLOOKUP($B$2,NEUConsumption,'Non-Energy Use'!$C$21)</f>
        <v>12.222667260999998</v>
      </c>
      <c r="L41" s="883"/>
      <c r="M41" s="883"/>
      <c r="N41" s="885">
        <f t="shared" si="32"/>
        <v>0</v>
      </c>
      <c r="O41" s="883">
        <f t="shared" si="32"/>
        <v>0</v>
      </c>
      <c r="P41" s="883">
        <f t="shared" si="33"/>
        <v>0</v>
      </c>
      <c r="Q41" s="883">
        <f t="shared" si="34"/>
        <v>0</v>
      </c>
      <c r="R41" s="883">
        <f t="shared" si="35"/>
        <v>0</v>
      </c>
      <c r="S41" s="886">
        <f t="shared" si="36"/>
        <v>0</v>
      </c>
      <c r="T41" s="883">
        <f t="shared" si="4"/>
        <v>0</v>
      </c>
      <c r="U41" s="887">
        <f>Factors!D55</f>
        <v>19.795754182606267</v>
      </c>
      <c r="V41" s="899">
        <f t="shared" si="37"/>
        <v>0</v>
      </c>
      <c r="W41" s="900">
        <f t="shared" si="38"/>
        <v>0</v>
      </c>
      <c r="X41" s="900">
        <f t="shared" si="39"/>
        <v>0</v>
      </c>
      <c r="Y41" s="900">
        <f t="shared" si="40"/>
        <v>0</v>
      </c>
      <c r="Z41" s="900">
        <f t="shared" si="41"/>
        <v>0</v>
      </c>
      <c r="AA41" s="900">
        <f t="shared" si="42"/>
        <v>0</v>
      </c>
      <c r="AB41" s="883">
        <f t="shared" si="26"/>
        <v>0</v>
      </c>
      <c r="AC41" s="888">
        <f>Factors!E55</f>
        <v>1</v>
      </c>
      <c r="AD41" s="885">
        <f t="shared" si="49"/>
        <v>0</v>
      </c>
      <c r="AE41" s="883">
        <f t="shared" si="49"/>
        <v>0</v>
      </c>
      <c r="AF41" s="883">
        <f t="shared" si="49"/>
        <v>0</v>
      </c>
      <c r="AG41" s="883">
        <f t="shared" si="49"/>
        <v>0</v>
      </c>
      <c r="AH41" s="883">
        <f t="shared" si="49"/>
        <v>0</v>
      </c>
      <c r="AI41" s="883">
        <f t="shared" si="49"/>
        <v>0</v>
      </c>
      <c r="AJ41" s="889">
        <f t="shared" si="6"/>
        <v>0</v>
      </c>
      <c r="AK41" s="885">
        <f t="shared" si="19"/>
        <v>0</v>
      </c>
      <c r="AL41" s="883">
        <f t="shared" si="20"/>
        <v>0</v>
      </c>
      <c r="AM41" s="883">
        <f t="shared" si="21"/>
        <v>0</v>
      </c>
      <c r="AN41" s="883">
        <f t="shared" si="22"/>
        <v>0</v>
      </c>
      <c r="AO41" s="883">
        <f t="shared" si="23"/>
        <v>0</v>
      </c>
      <c r="AP41" s="883">
        <f t="shared" si="24"/>
        <v>0</v>
      </c>
      <c r="AQ41" s="890">
        <f t="shared" si="27"/>
        <v>0</v>
      </c>
    </row>
    <row r="42" spans="1:43" ht="11.1" thickBot="1">
      <c r="A42" s="817"/>
      <c r="B42" s="866" t="s">
        <v>82</v>
      </c>
      <c r="C42" s="917"/>
      <c r="D42" s="917"/>
      <c r="E42" s="917"/>
      <c r="F42" s="917"/>
      <c r="G42" s="917">
        <f>INDEX(Geothermal!$C$6:$AE$10,MATCH("Total",Geothermal!$C$6:$C$10,0),MATCH($B$2,Geothermal!$C$6:$AE$6,0))/Factors!$J$61*Factors!$J$55/BBtuToBtu*BBtuToTBtu</f>
        <v>51.209541096000002</v>
      </c>
      <c r="H42" s="917"/>
      <c r="I42" s="917">
        <f>G42</f>
        <v>51.209541096000002</v>
      </c>
      <c r="J42" s="918"/>
      <c r="K42" s="919"/>
      <c r="L42" s="917"/>
      <c r="M42" s="920"/>
      <c r="N42" s="917">
        <f t="shared" si="32"/>
        <v>0</v>
      </c>
      <c r="O42" s="917">
        <f t="shared" si="32"/>
        <v>0</v>
      </c>
      <c r="P42" s="917">
        <f>E42</f>
        <v>0</v>
      </c>
      <c r="Q42" s="917">
        <f>F42</f>
        <v>0</v>
      </c>
      <c r="R42" s="917">
        <f t="shared" si="35"/>
        <v>51.209541096000002</v>
      </c>
      <c r="S42" s="917">
        <f>H42</f>
        <v>0</v>
      </c>
      <c r="T42" s="917">
        <f t="shared" si="4"/>
        <v>51.209541096000002</v>
      </c>
      <c r="U42" s="921">
        <f>Factors!D56</f>
        <v>2.6974658424810825</v>
      </c>
      <c r="V42" s="917"/>
      <c r="W42" s="917"/>
      <c r="X42" s="917"/>
      <c r="Y42" s="917"/>
      <c r="Z42" s="917">
        <f>INDEX(Geothermal!$C$14:$AE$18,MATCH("Total",Geothermal!$C$14:$C$18,0),MATCH($B$2,Geothermal!$C$14:$AE$14,0))/CtoCO2</f>
        <v>0.11837612957092365</v>
      </c>
      <c r="AA42" s="917"/>
      <c r="AB42" s="917">
        <f t="shared" si="26"/>
        <v>0.11837612957092365</v>
      </c>
      <c r="AC42" s="921">
        <f>Factors!$E$56</f>
        <v>1</v>
      </c>
      <c r="AD42" s="917">
        <f t="shared" si="49"/>
        <v>0</v>
      </c>
      <c r="AE42" s="917">
        <f t="shared" si="49"/>
        <v>0</v>
      </c>
      <c r="AF42" s="917">
        <f t="shared" si="49"/>
        <v>0</v>
      </c>
      <c r="AG42" s="917">
        <f t="shared" si="49"/>
        <v>0</v>
      </c>
      <c r="AH42" s="917">
        <f t="shared" si="49"/>
        <v>0.11837612957092365</v>
      </c>
      <c r="AI42" s="917">
        <f t="shared" si="49"/>
        <v>0</v>
      </c>
      <c r="AJ42" s="920">
        <f t="shared" si="6"/>
        <v>0.11837612957092365</v>
      </c>
      <c r="AK42" s="919">
        <f t="shared" si="19"/>
        <v>0</v>
      </c>
      <c r="AL42" s="917">
        <f t="shared" si="20"/>
        <v>0</v>
      </c>
      <c r="AM42" s="917">
        <f t="shared" si="21"/>
        <v>0</v>
      </c>
      <c r="AN42" s="917">
        <f t="shared" si="22"/>
        <v>0</v>
      </c>
      <c r="AO42" s="917">
        <f t="shared" si="23"/>
        <v>0.43404580842672003</v>
      </c>
      <c r="AP42" s="917">
        <f t="shared" si="24"/>
        <v>0</v>
      </c>
      <c r="AQ42" s="920">
        <f t="shared" si="27"/>
        <v>0.43404580842672003</v>
      </c>
    </row>
    <row r="43" spans="1:43" ht="11.1" thickBot="1">
      <c r="A43" s="817"/>
      <c r="B43" s="867" t="s">
        <v>1740</v>
      </c>
      <c r="C43" s="922">
        <f>C8+C17+C18+C42</f>
        <v>6003.3061494952344</v>
      </c>
      <c r="D43" s="922">
        <f>D8+D17+D18+D42</f>
        <v>3983.0636375768054</v>
      </c>
      <c r="E43" s="922">
        <f>E8+E17+E18+E42</f>
        <v>16202.127316225782</v>
      </c>
      <c r="F43" s="922">
        <f>F8+F17+F18+F42</f>
        <v>25206.475977828421</v>
      </c>
      <c r="G43" s="922">
        <f>G8+G17+G18+G42</f>
        <v>25681.302541095996</v>
      </c>
      <c r="H43" s="922">
        <f>H16+H17+H18+H42</f>
        <v>571.46582385405327</v>
      </c>
      <c r="I43" s="922">
        <f>SUM(C43:H43)</f>
        <v>77647.741446076296</v>
      </c>
      <c r="J43" s="923">
        <f t="shared" ref="J43:S43" si="50">J8+J17+J18+J42</f>
        <v>1465.9126396399506</v>
      </c>
      <c r="K43" s="924">
        <f t="shared" si="50"/>
        <v>4494.2722650933074</v>
      </c>
      <c r="L43" s="922">
        <f t="shared" si="50"/>
        <v>127.06500000000001</v>
      </c>
      <c r="M43" s="925">
        <f t="shared" si="50"/>
        <v>40.347229932612429</v>
      </c>
      <c r="N43" s="922">
        <f t="shared" si="50"/>
        <v>6003.3061494952344</v>
      </c>
      <c r="O43" s="922">
        <f t="shared" si="50"/>
        <v>3983.0636375768054</v>
      </c>
      <c r="P43" s="922">
        <f t="shared" si="50"/>
        <v>11707.855051132476</v>
      </c>
      <c r="Q43" s="922">
        <f t="shared" si="50"/>
        <v>23613.498338188474</v>
      </c>
      <c r="R43" s="922">
        <f t="shared" si="50"/>
        <v>25681.302541095996</v>
      </c>
      <c r="S43" s="922">
        <f t="shared" si="50"/>
        <v>531.11859392144083</v>
      </c>
      <c r="T43" s="922">
        <f>SUM(N43:S43)</f>
        <v>71520.144311410419</v>
      </c>
      <c r="U43" s="926" t="s">
        <v>1731</v>
      </c>
      <c r="V43" s="922">
        <f t="shared" ref="V43:AA43" si="51">V8+V17+V18+V42</f>
        <v>91.616648078061047</v>
      </c>
      <c r="W43" s="922">
        <f t="shared" si="51"/>
        <v>62.102073081378663</v>
      </c>
      <c r="X43" s="922">
        <f t="shared" si="51"/>
        <v>202.66147367813107</v>
      </c>
      <c r="Y43" s="922">
        <f t="shared" si="51"/>
        <v>460.49470213537961</v>
      </c>
      <c r="Z43" s="922">
        <f t="shared" si="51"/>
        <v>585.09433656994145</v>
      </c>
      <c r="AA43" s="922">
        <f t="shared" si="51"/>
        <v>10.624914081273767</v>
      </c>
      <c r="AB43" s="922">
        <f t="shared" si="26"/>
        <v>1412.5941476241655</v>
      </c>
      <c r="AC43" s="926" t="s">
        <v>1731</v>
      </c>
      <c r="AD43" s="922">
        <f t="shared" ref="AD43:AQ43" si="52">AD8+AD17+AD18+AD42</f>
        <v>91.616648078061047</v>
      </c>
      <c r="AE43" s="922">
        <f t="shared" si="52"/>
        <v>62.102073081378663</v>
      </c>
      <c r="AF43" s="922">
        <f t="shared" si="52"/>
        <v>202.66147367813107</v>
      </c>
      <c r="AG43" s="922">
        <f t="shared" si="52"/>
        <v>460.49470213537961</v>
      </c>
      <c r="AH43" s="922">
        <f t="shared" si="52"/>
        <v>585.09433656994145</v>
      </c>
      <c r="AI43" s="922">
        <f t="shared" si="52"/>
        <v>10.624914081273767</v>
      </c>
      <c r="AJ43" s="925">
        <f t="shared" si="52"/>
        <v>1412.5941476241655</v>
      </c>
      <c r="AK43" s="922">
        <f t="shared" si="52"/>
        <v>335.92770961955716</v>
      </c>
      <c r="AL43" s="922">
        <f t="shared" si="52"/>
        <v>227.70760129838843</v>
      </c>
      <c r="AM43" s="922">
        <f t="shared" si="52"/>
        <v>743.09207015314723</v>
      </c>
      <c r="AN43" s="922">
        <f t="shared" si="52"/>
        <v>1688.4805744963917</v>
      </c>
      <c r="AO43" s="922">
        <f t="shared" si="52"/>
        <v>2145.3459007564516</v>
      </c>
      <c r="AP43" s="922">
        <f t="shared" si="52"/>
        <v>38.958018298003807</v>
      </c>
      <c r="AQ43" s="925">
        <f t="shared" si="52"/>
        <v>5179.5118746219405</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33" type="noConversion"/>
  <printOptions gridLines="1" gridLinesSet="0"/>
  <pageMargins left="0.5" right="0.5" top="0.5" bottom="0.75" header="0.27" footer="0.21"/>
  <pageSetup scale="30"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ransitionEvaluation="1" transitionEntry="1" codeName="Sheet35">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8"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41" width="9.6640625" customWidth="1"/>
    <col min="42" max="42" width="9" bestFit="1" customWidth="1"/>
    <col min="43" max="43" width="10"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2010</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1761</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 t="shared" si="0"/>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56.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69.653999999999996</v>
      </c>
      <c r="E8" s="876">
        <f t="shared" si="1"/>
        <v>1067.299933501992</v>
      </c>
      <c r="F8" s="876">
        <f t="shared" si="1"/>
        <v>0</v>
      </c>
      <c r="G8" s="876">
        <f t="shared" si="1"/>
        <v>19133.455000000002</v>
      </c>
      <c r="H8" s="876">
        <f t="shared" si="1"/>
        <v>34.668182100000891</v>
      </c>
      <c r="I8" s="876">
        <f t="shared" ref="I8:I14" si="2">SUM(C8:H8)</f>
        <v>20305.077115601995</v>
      </c>
      <c r="J8" s="877"/>
      <c r="K8" s="876">
        <f>SUM(K9:K16)</f>
        <v>74.309770013675063</v>
      </c>
      <c r="L8" s="876">
        <f>SUM(L9:L16)</f>
        <v>0</v>
      </c>
      <c r="M8" s="876"/>
      <c r="N8" s="878">
        <f t="shared" ref="N8:S8" si="3">SUM(N9:N16)</f>
        <v>0</v>
      </c>
      <c r="O8" s="876">
        <f t="shared" si="3"/>
        <v>69.653999999999996</v>
      </c>
      <c r="P8" s="876">
        <f t="shared" si="3"/>
        <v>992.99016348831685</v>
      </c>
      <c r="Q8" s="876">
        <f t="shared" si="3"/>
        <v>0</v>
      </c>
      <c r="R8" s="876">
        <f t="shared" si="3"/>
        <v>19133.455000000002</v>
      </c>
      <c r="S8" s="879">
        <f t="shared" si="3"/>
        <v>34.668182100000891</v>
      </c>
      <c r="T8" s="876">
        <f t="shared" ref="T8:T42" si="4">SUM(N8:S8)</f>
        <v>20230.76734558832</v>
      </c>
      <c r="U8" s="880" t="s">
        <v>1731</v>
      </c>
      <c r="V8" s="876">
        <f>SUM(V9:V16)</f>
        <v>0</v>
      </c>
      <c r="W8" s="876">
        <f>SUM(W9:W16)</f>
        <v>1.7935773313770182</v>
      </c>
      <c r="X8" s="876">
        <f>SUM(X9:X16)</f>
        <v>25.681207235561804</v>
      </c>
      <c r="Y8" s="876"/>
      <c r="Z8" s="876">
        <f>SUM(Z9:Z16)</f>
        <v>498.3396108074736</v>
      </c>
      <c r="AA8" s="876">
        <f>SUM(AA9:AA16)</f>
        <v>0.8715580979940224</v>
      </c>
      <c r="AB8" s="876">
        <f t="shared" ref="AB8:AB13" si="5">SUM(V8:AA8)</f>
        <v>526.68595347240648</v>
      </c>
      <c r="AC8" s="881" t="s">
        <v>1731</v>
      </c>
      <c r="AD8" s="878">
        <f>SUM(AD9:AD16)</f>
        <v>0</v>
      </c>
      <c r="AE8" s="876">
        <f>SUM(AE9:AE16)</f>
        <v>1.7935773313770182</v>
      </c>
      <c r="AF8" s="876">
        <f>SUM(AF9:AF16)</f>
        <v>25.681207235561804</v>
      </c>
      <c r="AG8" s="876" t="s">
        <v>108</v>
      </c>
      <c r="AH8" s="876">
        <f>SUM(AH9:AH16)</f>
        <v>498.3396108074736</v>
      </c>
      <c r="AI8" s="876">
        <f>SUM(AI9:AI16)</f>
        <v>0.8715580979940224</v>
      </c>
      <c r="AJ8" s="876">
        <f t="shared" ref="AJ8:AJ42" si="6">SUM(AD8:AI8)</f>
        <v>526.68595347240648</v>
      </c>
      <c r="AK8" s="878">
        <f t="shared" ref="AK8:AP8" si="7">SUM(AK9:AK16)</f>
        <v>0</v>
      </c>
      <c r="AL8" s="876">
        <f t="shared" si="7"/>
        <v>6.5764502150490669</v>
      </c>
      <c r="AM8" s="876">
        <f t="shared" si="7"/>
        <v>94.164426530393271</v>
      </c>
      <c r="AN8" s="876">
        <f t="shared" si="7"/>
        <v>0</v>
      </c>
      <c r="AO8" s="876">
        <f t="shared" si="7"/>
        <v>1827.2452396274032</v>
      </c>
      <c r="AP8" s="876">
        <f t="shared" si="7"/>
        <v>3.1957130259780819</v>
      </c>
      <c r="AQ8" s="882">
        <f t="shared" ref="AQ8:AQ14" si="8">SUM(AK8:AP8)</f>
        <v>1931.1818293988238</v>
      </c>
    </row>
    <row r="9" spans="1:43">
      <c r="A9" s="817"/>
      <c r="B9" s="860" t="s">
        <v>1732</v>
      </c>
      <c r="C9" s="883">
        <f>HLOOKUP($B$2,'Consumption Input'!$E$5:$AQ$82,'Consumption Input'!$B7)</f>
        <v>0</v>
      </c>
      <c r="D9" s="883"/>
      <c r="E9" s="883"/>
      <c r="F9" s="883"/>
      <c r="G9" s="883"/>
      <c r="H9" s="883"/>
      <c r="I9" s="883">
        <f t="shared" si="2"/>
        <v>0</v>
      </c>
      <c r="J9" s="884"/>
      <c r="K9" s="883"/>
      <c r="L9" s="883"/>
      <c r="M9" s="883"/>
      <c r="N9" s="885">
        <f t="shared" ref="N9:O17" si="9">C9</f>
        <v>0</v>
      </c>
      <c r="O9" s="883">
        <f t="shared" si="9"/>
        <v>0</v>
      </c>
      <c r="P9" s="883">
        <f t="shared" ref="P9:P17" si="10">E9-K9</f>
        <v>0</v>
      </c>
      <c r="Q9" s="883">
        <f t="shared" ref="Q9:S17" si="11">F9</f>
        <v>0</v>
      </c>
      <c r="R9" s="883">
        <f t="shared" si="11"/>
        <v>0</v>
      </c>
      <c r="S9" s="886">
        <f t="shared" si="11"/>
        <v>0</v>
      </c>
      <c r="T9" s="883">
        <f t="shared" si="4"/>
        <v>0</v>
      </c>
      <c r="U9" s="887">
        <f>HLOOKUP($B$2,Factors!$J$12:$AE$25,Factors!$H13,FALSE)</f>
        <v>25.749810942329489</v>
      </c>
      <c r="V9" s="885">
        <f t="shared" ref="V9:V17" si="12">N9*$U9*TbtuToQBtu</f>
        <v>0</v>
      </c>
      <c r="W9" s="883">
        <f t="shared" ref="W9:W17" si="13">O9*$U9*TbtuToQBtu</f>
        <v>0</v>
      </c>
      <c r="X9" s="883">
        <f t="shared" ref="X9:X17" si="14">P9*$U9*TbtuToQBtu</f>
        <v>0</v>
      </c>
      <c r="Y9" s="883">
        <f t="shared" ref="Y9:Y17" si="15">Q9*$U9*TbtuToQBtu</f>
        <v>0</v>
      </c>
      <c r="Z9" s="883">
        <f t="shared" ref="Z9:Z17" si="16">R9*$U9*TbtuToQBtu</f>
        <v>0</v>
      </c>
      <c r="AA9" s="883">
        <f t="shared" ref="AA9:AA17" si="17">S9*$U9*TbtuToQBtu</f>
        <v>0</v>
      </c>
      <c r="AB9" s="883">
        <f t="shared" si="5"/>
        <v>0</v>
      </c>
      <c r="AC9" s="888">
        <f>Factors!E10</f>
        <v>1</v>
      </c>
      <c r="AD9" s="885">
        <f t="shared" ref="AD9:AI17" si="18">V9*$AC9</f>
        <v>0</v>
      </c>
      <c r="AE9" s="883">
        <f t="shared" si="18"/>
        <v>0</v>
      </c>
      <c r="AF9" s="883">
        <f t="shared" si="18"/>
        <v>0</v>
      </c>
      <c r="AG9" s="883">
        <f t="shared" si="18"/>
        <v>0</v>
      </c>
      <c r="AH9" s="883">
        <f t="shared" si="18"/>
        <v>0</v>
      </c>
      <c r="AI9" s="883">
        <f t="shared" si="18"/>
        <v>0</v>
      </c>
      <c r="AJ9" s="889">
        <f t="shared" si="6"/>
        <v>0</v>
      </c>
      <c r="AK9" s="885">
        <f t="shared" ref="AK9:AK42" si="19">AD9*CtoCO2</f>
        <v>0</v>
      </c>
      <c r="AL9" s="883">
        <f t="shared" ref="AL9:AL42" si="20">AE9*CtoCO2</f>
        <v>0</v>
      </c>
      <c r="AM9" s="883">
        <f t="shared" ref="AM9:AM42" si="21">AF9*CtoCO2</f>
        <v>0</v>
      </c>
      <c r="AN9" s="883">
        <f t="shared" ref="AN9:AN42" si="22">AG9*CtoCO2</f>
        <v>0</v>
      </c>
      <c r="AO9" s="883">
        <f t="shared" ref="AO9:AO42" si="23">AH9*CtoCO2</f>
        <v>0</v>
      </c>
      <c r="AP9" s="883">
        <f t="shared" ref="AP9:AP42" si="24">AI9*CtoCO2</f>
        <v>0</v>
      </c>
      <c r="AQ9" s="890">
        <f t="shared" si="8"/>
        <v>0</v>
      </c>
    </row>
    <row r="10" spans="1:43">
      <c r="A10" s="817"/>
      <c r="B10" s="860" t="s">
        <v>1733</v>
      </c>
      <c r="C10" s="883"/>
      <c r="D10" s="883">
        <f>HLOOKUP($B$2,'Consumption Input'!$E$5:$AQ$82,'Consumption Input'!$B13)</f>
        <v>69.653999999999996</v>
      </c>
      <c r="E10" s="883"/>
      <c r="F10" s="883"/>
      <c r="G10" s="883"/>
      <c r="H10" s="883"/>
      <c r="I10" s="883">
        <f t="shared" si="2"/>
        <v>69.653999999999996</v>
      </c>
      <c r="J10" s="884"/>
      <c r="K10" s="883"/>
      <c r="L10" s="883"/>
      <c r="M10" s="883"/>
      <c r="N10" s="885">
        <f t="shared" si="9"/>
        <v>0</v>
      </c>
      <c r="O10" s="883">
        <f t="shared" si="9"/>
        <v>69.653999999999996</v>
      </c>
      <c r="P10" s="883">
        <f t="shared" si="10"/>
        <v>0</v>
      </c>
      <c r="Q10" s="883">
        <f t="shared" si="11"/>
        <v>0</v>
      </c>
      <c r="R10" s="883">
        <f t="shared" si="11"/>
        <v>0</v>
      </c>
      <c r="S10" s="886">
        <f t="shared" si="11"/>
        <v>0</v>
      </c>
      <c r="T10" s="883">
        <f t="shared" si="4"/>
        <v>69.653999999999996</v>
      </c>
      <c r="U10" s="887">
        <f>HLOOKUP($B$2,Factors!$J$12:$AE$25,Factors!$H14,FALSE)</f>
        <v>25.749810942329489</v>
      </c>
      <c r="V10" s="885">
        <f t="shared" si="12"/>
        <v>0</v>
      </c>
      <c r="W10" s="883">
        <f t="shared" si="13"/>
        <v>1.7935773313770182</v>
      </c>
      <c r="X10" s="883">
        <f t="shared" si="14"/>
        <v>0</v>
      </c>
      <c r="Y10" s="883">
        <f t="shared" si="15"/>
        <v>0</v>
      </c>
      <c r="Z10" s="883">
        <f t="shared" si="16"/>
        <v>0</v>
      </c>
      <c r="AA10" s="883">
        <f t="shared" si="17"/>
        <v>0</v>
      </c>
      <c r="AB10" s="883">
        <f t="shared" si="5"/>
        <v>1.7935773313770182</v>
      </c>
      <c r="AC10" s="888">
        <f>Factors!E11</f>
        <v>1</v>
      </c>
      <c r="AD10" s="885">
        <f t="shared" si="18"/>
        <v>0</v>
      </c>
      <c r="AE10" s="883">
        <f t="shared" si="18"/>
        <v>1.7935773313770182</v>
      </c>
      <c r="AF10" s="883">
        <f t="shared" si="18"/>
        <v>0</v>
      </c>
      <c r="AG10" s="883">
        <f t="shared" si="18"/>
        <v>0</v>
      </c>
      <c r="AH10" s="883">
        <f t="shared" si="18"/>
        <v>0</v>
      </c>
      <c r="AI10" s="883">
        <f t="shared" si="18"/>
        <v>0</v>
      </c>
      <c r="AJ10" s="889">
        <f t="shared" si="6"/>
        <v>1.7935773313770182</v>
      </c>
      <c r="AK10" s="885">
        <f t="shared" si="19"/>
        <v>0</v>
      </c>
      <c r="AL10" s="883">
        <f t="shared" si="20"/>
        <v>6.5764502150490669</v>
      </c>
      <c r="AM10" s="883">
        <f t="shared" si="21"/>
        <v>0</v>
      </c>
      <c r="AN10" s="883">
        <f t="shared" si="22"/>
        <v>0</v>
      </c>
      <c r="AO10" s="883">
        <f t="shared" si="23"/>
        <v>0</v>
      </c>
      <c r="AP10" s="883">
        <f t="shared" si="24"/>
        <v>0</v>
      </c>
      <c r="AQ10" s="890">
        <f t="shared" si="8"/>
        <v>6.5764502150490669</v>
      </c>
    </row>
    <row r="11" spans="1:43" s="244" customFormat="1" hidden="1">
      <c r="A11" s="861"/>
      <c r="B11" s="862" t="s">
        <v>1734</v>
      </c>
      <c r="C11" s="891"/>
      <c r="D11" s="891"/>
      <c r="E11" s="891">
        <f>HLOOKUP($B$2,'Consumption Input'!$E$5:$AQ$82,'Consumption Input'!$B23)</f>
        <v>64.75700410595033</v>
      </c>
      <c r="F11" s="891"/>
      <c r="G11" s="891"/>
      <c r="H11" s="891"/>
      <c r="I11" s="891">
        <f t="shared" si="2"/>
        <v>64.75700410595033</v>
      </c>
      <c r="J11" s="892"/>
      <c r="K11" s="891">
        <f>HLOOKUP($B$2,NEUConsumption,'Non-Energy Use'!$C$7)</f>
        <v>64.75700410595033</v>
      </c>
      <c r="L11" s="891"/>
      <c r="M11" s="891"/>
      <c r="N11" s="893">
        <f t="shared" si="9"/>
        <v>0</v>
      </c>
      <c r="O11" s="891">
        <f t="shared" si="9"/>
        <v>0</v>
      </c>
      <c r="P11" s="891">
        <f t="shared" si="10"/>
        <v>0</v>
      </c>
      <c r="Q11" s="891">
        <f t="shared" si="11"/>
        <v>0</v>
      </c>
      <c r="R11" s="891">
        <f t="shared" si="11"/>
        <v>0</v>
      </c>
      <c r="S11" s="894">
        <f t="shared" si="11"/>
        <v>0</v>
      </c>
      <c r="T11" s="891">
        <f t="shared" si="4"/>
        <v>0</v>
      </c>
      <c r="U11" s="1013">
        <f>HLOOKUP($B$2,Factors!$J$12:$BE$28,Factors!$H28,FALSE)</f>
        <v>25.580590045198662</v>
      </c>
      <c r="V11" s="893">
        <f t="shared" si="12"/>
        <v>0</v>
      </c>
      <c r="W11" s="891">
        <f t="shared" si="13"/>
        <v>0</v>
      </c>
      <c r="X11" s="891">
        <f t="shared" si="14"/>
        <v>0</v>
      </c>
      <c r="Y11" s="891">
        <f t="shared" si="15"/>
        <v>0</v>
      </c>
      <c r="Z11" s="891">
        <f t="shared" si="16"/>
        <v>0</v>
      </c>
      <c r="AA11" s="891">
        <f t="shared" si="17"/>
        <v>0</v>
      </c>
      <c r="AB11" s="891">
        <f t="shared" si="5"/>
        <v>0</v>
      </c>
      <c r="AC11" s="896">
        <f>Factors!E12</f>
        <v>1</v>
      </c>
      <c r="AD11" s="893">
        <f t="shared" si="18"/>
        <v>0</v>
      </c>
      <c r="AE11" s="891">
        <f t="shared" si="18"/>
        <v>0</v>
      </c>
      <c r="AF11" s="891">
        <f t="shared" si="18"/>
        <v>0</v>
      </c>
      <c r="AG11" s="891">
        <f t="shared" si="18"/>
        <v>0</v>
      </c>
      <c r="AH11" s="891">
        <f t="shared" si="18"/>
        <v>0</v>
      </c>
      <c r="AI11" s="891">
        <f t="shared" si="18"/>
        <v>0</v>
      </c>
      <c r="AJ11" s="897">
        <f t="shared" si="6"/>
        <v>0</v>
      </c>
      <c r="AK11" s="893">
        <f t="shared" si="19"/>
        <v>0</v>
      </c>
      <c r="AL11" s="891">
        <f t="shared" si="20"/>
        <v>0</v>
      </c>
      <c r="AM11" s="891">
        <f t="shared" si="21"/>
        <v>0</v>
      </c>
      <c r="AN11" s="891">
        <f t="shared" si="22"/>
        <v>0</v>
      </c>
      <c r="AO11" s="891">
        <f t="shared" si="23"/>
        <v>0</v>
      </c>
      <c r="AP11" s="891">
        <f t="shared" si="24"/>
        <v>0</v>
      </c>
      <c r="AQ11" s="898">
        <f t="shared" si="8"/>
        <v>0</v>
      </c>
    </row>
    <row r="12" spans="1:43">
      <c r="A12" s="817"/>
      <c r="B12" s="860" t="s">
        <v>1701</v>
      </c>
      <c r="C12" s="883"/>
      <c r="D12" s="883"/>
      <c r="E12" s="883">
        <f>HLOOKUP($B$2,'Consumption Input'!$E$5:$AQ$82,'Consumption Input'!$B24)</f>
        <v>1002.5429293960416</v>
      </c>
      <c r="F12" s="883"/>
      <c r="G12" s="883"/>
      <c r="H12" s="883"/>
      <c r="I12" s="883">
        <f t="shared" si="2"/>
        <v>1002.5429293960416</v>
      </c>
      <c r="J12" s="884"/>
      <c r="K12" s="883">
        <f>HLOOKUP($B$2,NEUConsumption,'Non-Energy Use'!$C$8)</f>
        <v>9.5527659077247407</v>
      </c>
      <c r="L12" s="883"/>
      <c r="M12" s="883"/>
      <c r="N12" s="885">
        <f t="shared" si="9"/>
        <v>0</v>
      </c>
      <c r="O12" s="883">
        <f t="shared" si="9"/>
        <v>0</v>
      </c>
      <c r="P12" s="883">
        <f t="shared" si="10"/>
        <v>992.99016348831685</v>
      </c>
      <c r="Q12" s="883">
        <f t="shared" si="11"/>
        <v>0</v>
      </c>
      <c r="R12" s="883">
        <f t="shared" si="11"/>
        <v>0</v>
      </c>
      <c r="S12" s="886">
        <f t="shared" si="11"/>
        <v>0</v>
      </c>
      <c r="T12" s="883">
        <f t="shared" si="4"/>
        <v>992.99016348831685</v>
      </c>
      <c r="U12" s="887">
        <f>HLOOKUP($B$2,Factors!$J$12:$AE$25,Factors!$H15,FALSE)</f>
        <v>25.862499126220154</v>
      </c>
      <c r="V12" s="885">
        <f t="shared" si="12"/>
        <v>0</v>
      </c>
      <c r="W12" s="883">
        <f t="shared" si="13"/>
        <v>0</v>
      </c>
      <c r="X12" s="883">
        <f t="shared" si="14"/>
        <v>25.681207235561804</v>
      </c>
      <c r="Y12" s="883">
        <f t="shared" si="15"/>
        <v>0</v>
      </c>
      <c r="Z12" s="883">
        <f t="shared" si="16"/>
        <v>0</v>
      </c>
      <c r="AA12" s="883">
        <f t="shared" si="17"/>
        <v>0</v>
      </c>
      <c r="AB12" s="883">
        <f t="shared" si="5"/>
        <v>25.681207235561804</v>
      </c>
      <c r="AC12" s="888">
        <f>Factors!E13</f>
        <v>1</v>
      </c>
      <c r="AD12" s="885">
        <f t="shared" si="18"/>
        <v>0</v>
      </c>
      <c r="AE12" s="883">
        <f t="shared" si="18"/>
        <v>0</v>
      </c>
      <c r="AF12" s="883">
        <f t="shared" si="18"/>
        <v>25.681207235561804</v>
      </c>
      <c r="AG12" s="883">
        <f t="shared" si="18"/>
        <v>0</v>
      </c>
      <c r="AH12" s="883">
        <f t="shared" si="18"/>
        <v>0</v>
      </c>
      <c r="AI12" s="883">
        <f t="shared" si="18"/>
        <v>0</v>
      </c>
      <c r="AJ12" s="889">
        <f t="shared" si="6"/>
        <v>25.681207235561804</v>
      </c>
      <c r="AK12" s="885">
        <f t="shared" si="19"/>
        <v>0</v>
      </c>
      <c r="AL12" s="883">
        <f t="shared" si="20"/>
        <v>0</v>
      </c>
      <c r="AM12" s="883">
        <f t="shared" si="21"/>
        <v>94.164426530393271</v>
      </c>
      <c r="AN12" s="883">
        <f t="shared" si="22"/>
        <v>0</v>
      </c>
      <c r="AO12" s="883">
        <f t="shared" si="23"/>
        <v>0</v>
      </c>
      <c r="AP12" s="883">
        <f t="shared" si="24"/>
        <v>0</v>
      </c>
      <c r="AQ12" s="890">
        <f t="shared" si="8"/>
        <v>94.164426530393271</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9"/>
        <v>0</v>
      </c>
      <c r="O13" s="891">
        <f t="shared" si="9"/>
        <v>0</v>
      </c>
      <c r="P13" s="891">
        <f t="shared" si="10"/>
        <v>0</v>
      </c>
      <c r="Q13" s="891">
        <f t="shared" si="11"/>
        <v>0</v>
      </c>
      <c r="R13" s="891">
        <f t="shared" si="11"/>
        <v>0</v>
      </c>
      <c r="S13" s="894">
        <f t="shared" si="11"/>
        <v>0</v>
      </c>
      <c r="T13" s="891">
        <f t="shared" si="4"/>
        <v>0</v>
      </c>
      <c r="U13" s="895">
        <f>Factors!D14</f>
        <v>27.85</v>
      </c>
      <c r="V13" s="893">
        <f t="shared" si="12"/>
        <v>0</v>
      </c>
      <c r="W13" s="891">
        <f t="shared" si="13"/>
        <v>0</v>
      </c>
      <c r="X13" s="891">
        <f t="shared" si="14"/>
        <v>0</v>
      </c>
      <c r="Y13" s="891">
        <f t="shared" si="15"/>
        <v>0</v>
      </c>
      <c r="Z13" s="891">
        <f t="shared" si="16"/>
        <v>0</v>
      </c>
      <c r="AA13" s="891">
        <f t="shared" si="17"/>
        <v>0</v>
      </c>
      <c r="AB13" s="891">
        <f t="shared" si="5"/>
        <v>0</v>
      </c>
      <c r="AC13" s="896">
        <f>Factors!E14</f>
        <v>1</v>
      </c>
      <c r="AD13" s="893">
        <f t="shared" si="18"/>
        <v>0</v>
      </c>
      <c r="AE13" s="891">
        <f t="shared" si="18"/>
        <v>0</v>
      </c>
      <c r="AF13" s="891">
        <f t="shared" si="18"/>
        <v>0</v>
      </c>
      <c r="AG13" s="891">
        <f t="shared" si="18"/>
        <v>0</v>
      </c>
      <c r="AH13" s="891">
        <f t="shared" si="18"/>
        <v>0</v>
      </c>
      <c r="AI13" s="891">
        <f t="shared" si="18"/>
        <v>0</v>
      </c>
      <c r="AJ13" s="897">
        <f t="shared" si="6"/>
        <v>0</v>
      </c>
      <c r="AK13" s="893">
        <f t="shared" si="19"/>
        <v>0</v>
      </c>
      <c r="AL13" s="891">
        <f t="shared" si="20"/>
        <v>0</v>
      </c>
      <c r="AM13" s="891">
        <f t="shared" si="21"/>
        <v>0</v>
      </c>
      <c r="AN13" s="891">
        <f t="shared" si="22"/>
        <v>0</v>
      </c>
      <c r="AO13" s="891">
        <f t="shared" si="23"/>
        <v>0</v>
      </c>
      <c r="AP13" s="891">
        <f t="shared" si="24"/>
        <v>0</v>
      </c>
      <c r="AQ13" s="890">
        <f t="shared" si="8"/>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9"/>
        <v>0</v>
      </c>
      <c r="O14" s="883">
        <f t="shared" si="9"/>
        <v>0</v>
      </c>
      <c r="P14" s="883">
        <f t="shared" si="10"/>
        <v>0</v>
      </c>
      <c r="Q14" s="883">
        <f t="shared" si="11"/>
        <v>0</v>
      </c>
      <c r="R14" s="883">
        <f t="shared" si="11"/>
        <v>0</v>
      </c>
      <c r="S14" s="886">
        <f t="shared" si="11"/>
        <v>0</v>
      </c>
      <c r="T14" s="883">
        <f t="shared" si="4"/>
        <v>0</v>
      </c>
      <c r="U14" s="887" t="str">
        <f>Factors!D15</f>
        <v>NC</v>
      </c>
      <c r="V14" s="885">
        <f t="shared" si="12"/>
        <v>0</v>
      </c>
      <c r="W14" s="883">
        <f t="shared" si="13"/>
        <v>0</v>
      </c>
      <c r="X14" s="883">
        <f t="shared" si="14"/>
        <v>0</v>
      </c>
      <c r="Y14" s="883">
        <f t="shared" si="15"/>
        <v>0</v>
      </c>
      <c r="Z14" s="883">
        <f t="shared" si="16"/>
        <v>0</v>
      </c>
      <c r="AA14" s="883">
        <f t="shared" si="17"/>
        <v>0</v>
      </c>
      <c r="AB14" s="883" t="s">
        <v>103</v>
      </c>
      <c r="AC14" s="888" t="str">
        <f>Factors!E15</f>
        <v>NC</v>
      </c>
      <c r="AD14" s="885">
        <f t="shared" si="18"/>
        <v>0</v>
      </c>
      <c r="AE14" s="883">
        <f t="shared" si="18"/>
        <v>0</v>
      </c>
      <c r="AF14" s="883">
        <f t="shared" si="18"/>
        <v>0</v>
      </c>
      <c r="AG14" s="883">
        <f t="shared" si="18"/>
        <v>0</v>
      </c>
      <c r="AH14" s="883">
        <f t="shared" si="18"/>
        <v>0</v>
      </c>
      <c r="AI14" s="883">
        <f t="shared" si="18"/>
        <v>0</v>
      </c>
      <c r="AJ14" s="889">
        <f t="shared" si="6"/>
        <v>0</v>
      </c>
      <c r="AK14" s="885">
        <f t="shared" si="19"/>
        <v>0</v>
      </c>
      <c r="AL14" s="883">
        <f t="shared" si="20"/>
        <v>0</v>
      </c>
      <c r="AM14" s="883">
        <f t="shared" si="21"/>
        <v>0</v>
      </c>
      <c r="AN14" s="883">
        <f t="shared" si="22"/>
        <v>0</v>
      </c>
      <c r="AO14" s="883">
        <f t="shared" si="23"/>
        <v>0</v>
      </c>
      <c r="AP14" s="883">
        <f t="shared" si="24"/>
        <v>0</v>
      </c>
      <c r="AQ14" s="890">
        <f t="shared" si="8"/>
        <v>0</v>
      </c>
    </row>
    <row r="15" spans="1:43">
      <c r="A15" s="817"/>
      <c r="B15" s="860" t="s">
        <v>1736</v>
      </c>
      <c r="C15" s="883"/>
      <c r="D15" s="883"/>
      <c r="E15" s="883"/>
      <c r="F15" s="883"/>
      <c r="G15" s="883">
        <f>HLOOKUP($B$2,'Consumption Input'!$E$5:$AQ$82,'Consumption Input'!$B58)</f>
        <v>19133.455000000002</v>
      </c>
      <c r="H15" s="883"/>
      <c r="I15" s="883">
        <f t="shared" ref="I15:I28" si="25">SUM(C15:H15)</f>
        <v>19133.455000000002</v>
      </c>
      <c r="J15" s="884"/>
      <c r="K15" s="883"/>
      <c r="L15" s="883"/>
      <c r="M15" s="883"/>
      <c r="N15" s="885">
        <f t="shared" si="9"/>
        <v>0</v>
      </c>
      <c r="O15" s="883">
        <f t="shared" si="9"/>
        <v>0</v>
      </c>
      <c r="P15" s="883">
        <f t="shared" si="10"/>
        <v>0</v>
      </c>
      <c r="Q15" s="883">
        <f t="shared" si="11"/>
        <v>0</v>
      </c>
      <c r="R15" s="883">
        <f t="shared" si="11"/>
        <v>19133.455000000002</v>
      </c>
      <c r="S15" s="886">
        <f t="shared" si="11"/>
        <v>0</v>
      </c>
      <c r="T15" s="883">
        <f t="shared" si="4"/>
        <v>19133.455000000002</v>
      </c>
      <c r="U15" s="887">
        <f>HLOOKUP($B$2,Factors!$J$12:$AE$25,Factors!$H16,FALSE)</f>
        <v>26.045458638153619</v>
      </c>
      <c r="V15" s="885">
        <f t="shared" si="12"/>
        <v>0</v>
      </c>
      <c r="W15" s="883">
        <f t="shared" si="13"/>
        <v>0</v>
      </c>
      <c r="X15" s="883">
        <f t="shared" si="14"/>
        <v>0</v>
      </c>
      <c r="Y15" s="883">
        <f t="shared" si="15"/>
        <v>0</v>
      </c>
      <c r="Z15" s="883">
        <f t="shared" si="16"/>
        <v>498.3396108074736</v>
      </c>
      <c r="AA15" s="883">
        <f t="shared" si="17"/>
        <v>0</v>
      </c>
      <c r="AB15" s="883">
        <f t="shared" ref="AB15:AB43" si="26">SUM(V15:AA15)</f>
        <v>498.3396108074736</v>
      </c>
      <c r="AC15" s="888">
        <f>Factors!E16</f>
        <v>1</v>
      </c>
      <c r="AD15" s="885">
        <f t="shared" si="18"/>
        <v>0</v>
      </c>
      <c r="AE15" s="883">
        <f t="shared" si="18"/>
        <v>0</v>
      </c>
      <c r="AF15" s="883">
        <f t="shared" si="18"/>
        <v>0</v>
      </c>
      <c r="AG15" s="883">
        <f t="shared" si="18"/>
        <v>0</v>
      </c>
      <c r="AH15" s="883">
        <f t="shared" si="18"/>
        <v>498.3396108074736</v>
      </c>
      <c r="AI15" s="883">
        <f t="shared" si="18"/>
        <v>0</v>
      </c>
      <c r="AJ15" s="889">
        <f t="shared" si="6"/>
        <v>498.3396108074736</v>
      </c>
      <c r="AK15" s="885">
        <f t="shared" si="19"/>
        <v>0</v>
      </c>
      <c r="AL15" s="883">
        <f t="shared" si="20"/>
        <v>0</v>
      </c>
      <c r="AM15" s="883">
        <f t="shared" si="21"/>
        <v>0</v>
      </c>
      <c r="AN15" s="883">
        <f t="shared" si="22"/>
        <v>0</v>
      </c>
      <c r="AO15" s="883">
        <f t="shared" si="23"/>
        <v>1827.2452396274032</v>
      </c>
      <c r="AP15" s="883">
        <f t="shared" si="24"/>
        <v>0</v>
      </c>
      <c r="AQ15" s="890">
        <f t="shared" ref="AQ15:AQ42" si="27">SUM(AK15:AP15)</f>
        <v>1827.2452396274032</v>
      </c>
    </row>
    <row r="16" spans="1:43">
      <c r="A16" s="817"/>
      <c r="B16" s="860" t="s">
        <v>1737</v>
      </c>
      <c r="C16" s="883"/>
      <c r="D16" s="883"/>
      <c r="E16" s="883"/>
      <c r="F16" s="883"/>
      <c r="G16" s="883"/>
      <c r="H16" s="883">
        <f>HLOOKUP($B$2,'US Territories'!$D$28:$Z$38,'US Territories'!$B29)</f>
        <v>34.668182100000891</v>
      </c>
      <c r="I16" s="883">
        <f t="shared" si="25"/>
        <v>34.668182100000891</v>
      </c>
      <c r="J16" s="884"/>
      <c r="K16" s="883"/>
      <c r="L16" s="883"/>
      <c r="M16" s="883"/>
      <c r="N16" s="885">
        <f t="shared" si="9"/>
        <v>0</v>
      </c>
      <c r="O16" s="883">
        <f t="shared" si="9"/>
        <v>0</v>
      </c>
      <c r="P16" s="883">
        <f t="shared" si="10"/>
        <v>0</v>
      </c>
      <c r="Q16" s="883">
        <f t="shared" si="11"/>
        <v>0</v>
      </c>
      <c r="R16" s="883">
        <f t="shared" si="11"/>
        <v>0</v>
      </c>
      <c r="S16" s="886">
        <f t="shared" si="11"/>
        <v>34.668182100000891</v>
      </c>
      <c r="T16" s="883">
        <f t="shared" si="4"/>
        <v>34.668182100000891</v>
      </c>
      <c r="U16" s="887">
        <f>Factors!D17</f>
        <v>25.14</v>
      </c>
      <c r="V16" s="899">
        <f t="shared" si="12"/>
        <v>0</v>
      </c>
      <c r="W16" s="900">
        <f t="shared" si="13"/>
        <v>0</v>
      </c>
      <c r="X16" s="900">
        <f t="shared" si="14"/>
        <v>0</v>
      </c>
      <c r="Y16" s="900">
        <f t="shared" si="15"/>
        <v>0</v>
      </c>
      <c r="Z16" s="900">
        <f t="shared" si="16"/>
        <v>0</v>
      </c>
      <c r="AA16" s="900">
        <f t="shared" si="17"/>
        <v>0.8715580979940224</v>
      </c>
      <c r="AB16" s="883">
        <f t="shared" si="26"/>
        <v>0.8715580979940224</v>
      </c>
      <c r="AC16" s="888">
        <f>Factors!E17</f>
        <v>1</v>
      </c>
      <c r="AD16" s="899">
        <f t="shared" si="18"/>
        <v>0</v>
      </c>
      <c r="AE16" s="900">
        <f t="shared" si="18"/>
        <v>0</v>
      </c>
      <c r="AF16" s="900">
        <f t="shared" si="18"/>
        <v>0</v>
      </c>
      <c r="AG16" s="900">
        <f t="shared" si="18"/>
        <v>0</v>
      </c>
      <c r="AH16" s="900">
        <f t="shared" si="18"/>
        <v>0</v>
      </c>
      <c r="AI16" s="900">
        <f t="shared" si="18"/>
        <v>0.8715580979940224</v>
      </c>
      <c r="AJ16" s="889">
        <f t="shared" si="6"/>
        <v>0.8715580979940224</v>
      </c>
      <c r="AK16" s="885">
        <f t="shared" si="19"/>
        <v>0</v>
      </c>
      <c r="AL16" s="883">
        <f t="shared" si="20"/>
        <v>0</v>
      </c>
      <c r="AM16" s="883">
        <f t="shared" si="21"/>
        <v>0</v>
      </c>
      <c r="AN16" s="883">
        <f t="shared" si="22"/>
        <v>0</v>
      </c>
      <c r="AO16" s="883">
        <f t="shared" si="23"/>
        <v>0</v>
      </c>
      <c r="AP16" s="883">
        <f t="shared" si="24"/>
        <v>3.1957130259780819</v>
      </c>
      <c r="AQ16" s="890">
        <f t="shared" si="27"/>
        <v>3.1957130259780819</v>
      </c>
    </row>
    <row r="17" spans="1:43">
      <c r="A17" s="817"/>
      <c r="B17" s="863" t="s">
        <v>1439</v>
      </c>
      <c r="C17" s="901">
        <f>HLOOKUP($B$2,'Consumption Input'!$E$5:$AQ$82,'Consumption Input'!$B8)</f>
        <v>4878.1109999999999</v>
      </c>
      <c r="D17" s="901">
        <f>HLOOKUP($B$2,'Consumption Input'!$E$5:$AQ$82,'Consumption Input'!$B14)</f>
        <v>3164.6779999999999</v>
      </c>
      <c r="E17" s="901">
        <f>HLOOKUP($B$2,'Consumption Input'!$E$5:$AQ$82,'Consumption Input'!$B26)</f>
        <v>7979.88483813116</v>
      </c>
      <c r="F17" s="901">
        <f>HLOOKUP($B$2,'Consumption Input'!$E$5:$AQ$82,'Consumption Input'!$B49)</f>
        <v>718.952</v>
      </c>
      <c r="G17" s="901">
        <f>HLOOKUP($B$2,'Consumption Input'!$E$5:$AQ$82,'Consumption Input'!$B59)</f>
        <v>7527.6409999999996</v>
      </c>
      <c r="H17" s="902">
        <f>HLOOKUP($B$2,'US Territories'!$D$28:$Z$38,'US Territories'!$B30)</f>
        <v>27.818439000000001</v>
      </c>
      <c r="I17" s="901">
        <f t="shared" si="25"/>
        <v>24297.085277131158</v>
      </c>
      <c r="J17" s="903"/>
      <c r="K17" s="901">
        <f>HLOOKUP($B$2,NEUConsumption,'Non-Energy Use'!$C$9)</f>
        <v>309.96899999999999</v>
      </c>
      <c r="L17" s="901"/>
      <c r="M17" s="901"/>
      <c r="N17" s="904">
        <f t="shared" si="9"/>
        <v>4878.1109999999999</v>
      </c>
      <c r="O17" s="901">
        <f t="shared" si="9"/>
        <v>3164.6779999999999</v>
      </c>
      <c r="P17" s="901">
        <f t="shared" si="10"/>
        <v>7669.9158381311599</v>
      </c>
      <c r="Q17" s="901">
        <f t="shared" si="11"/>
        <v>718.952</v>
      </c>
      <c r="R17" s="901">
        <f t="shared" si="11"/>
        <v>7527.6409999999996</v>
      </c>
      <c r="S17" s="902">
        <f t="shared" si="11"/>
        <v>27.818439000000001</v>
      </c>
      <c r="T17" s="901">
        <f t="shared" si="4"/>
        <v>23987.116277131157</v>
      </c>
      <c r="U17" s="905">
        <f>HLOOKUP($B$2,Factors!$J$12:$AE$26,Factors!$H26,FALSE)</f>
        <v>14.47530943597263</v>
      </c>
      <c r="V17" s="901">
        <f t="shared" si="12"/>
        <v>70.612166188021874</v>
      </c>
      <c r="W17" s="901">
        <f t="shared" si="13"/>
        <v>45.809693315214986</v>
      </c>
      <c r="X17" s="901">
        <f t="shared" si="14"/>
        <v>111.0244051048159</v>
      </c>
      <c r="Y17" s="901">
        <f t="shared" si="15"/>
        <v>10.407052669611394</v>
      </c>
      <c r="Z17" s="901">
        <f t="shared" si="16"/>
        <v>108.96493279791444</v>
      </c>
      <c r="AA17" s="901">
        <f t="shared" si="17"/>
        <v>0.40268051255072901</v>
      </c>
      <c r="AB17" s="901">
        <f t="shared" si="26"/>
        <v>347.22093058812931</v>
      </c>
      <c r="AC17" s="906">
        <f>Factors!E19</f>
        <v>1</v>
      </c>
      <c r="AD17" s="904">
        <f t="shared" si="18"/>
        <v>70.612166188021874</v>
      </c>
      <c r="AE17" s="901">
        <f t="shared" si="18"/>
        <v>45.809693315214986</v>
      </c>
      <c r="AF17" s="901">
        <f t="shared" si="18"/>
        <v>111.0244051048159</v>
      </c>
      <c r="AG17" s="901">
        <f t="shared" si="18"/>
        <v>10.407052669611394</v>
      </c>
      <c r="AH17" s="901">
        <f t="shared" si="18"/>
        <v>108.96493279791444</v>
      </c>
      <c r="AI17" s="901">
        <f t="shared" si="18"/>
        <v>0.40268051255072901</v>
      </c>
      <c r="AJ17" s="901">
        <f t="shared" si="6"/>
        <v>347.22093058812931</v>
      </c>
      <c r="AK17" s="904">
        <f t="shared" si="19"/>
        <v>258.91127602274685</v>
      </c>
      <c r="AL17" s="901">
        <f t="shared" si="20"/>
        <v>167.96887548912161</v>
      </c>
      <c r="AM17" s="901">
        <f t="shared" si="21"/>
        <v>407.08948538432492</v>
      </c>
      <c r="AN17" s="901">
        <f t="shared" si="22"/>
        <v>38.159193121908444</v>
      </c>
      <c r="AO17" s="901">
        <f t="shared" si="23"/>
        <v>399.53808692568629</v>
      </c>
      <c r="AP17" s="901">
        <f t="shared" si="24"/>
        <v>1.4764952126860063</v>
      </c>
      <c r="AQ17" s="907">
        <f t="shared" si="27"/>
        <v>1273.1434121564739</v>
      </c>
    </row>
    <row r="18" spans="1:43">
      <c r="A18" s="817"/>
      <c r="B18" s="864" t="s">
        <v>1440</v>
      </c>
      <c r="C18" s="908">
        <f t="shared" ref="C18:H18" si="28">SUM(C19:C41)</f>
        <v>1099.8514798329275</v>
      </c>
      <c r="D18" s="908">
        <f t="shared" si="28"/>
        <v>695.47670483154889</v>
      </c>
      <c r="E18" s="908">
        <f t="shared" si="28"/>
        <v>8075.0594649021414</v>
      </c>
      <c r="F18" s="908">
        <f t="shared" si="28"/>
        <v>24797.612646000762</v>
      </c>
      <c r="G18" s="908">
        <f t="shared" si="28"/>
        <v>370.32600000000002</v>
      </c>
      <c r="H18" s="908">
        <f t="shared" si="28"/>
        <v>435.13993048279639</v>
      </c>
      <c r="I18" s="908">
        <f t="shared" si="25"/>
        <v>35473.466226050172</v>
      </c>
      <c r="J18" s="909">
        <f t="shared" ref="J18:S18" si="29">SUM(J19:J41)</f>
        <v>1614.4467360760746</v>
      </c>
      <c r="K18" s="908">
        <f t="shared" si="29"/>
        <v>4273.0396504348828</v>
      </c>
      <c r="L18" s="908">
        <f t="shared" si="29"/>
        <v>154.773</v>
      </c>
      <c r="M18" s="908">
        <f t="shared" si="29"/>
        <v>27.417366214417783</v>
      </c>
      <c r="N18" s="910">
        <f t="shared" si="29"/>
        <v>1099.8514798329275</v>
      </c>
      <c r="O18" s="908">
        <f t="shared" si="29"/>
        <v>695.47670483154889</v>
      </c>
      <c r="P18" s="908">
        <f t="shared" si="29"/>
        <v>3802.0198144672595</v>
      </c>
      <c r="Q18" s="908">
        <f t="shared" si="29"/>
        <v>23028.392909924685</v>
      </c>
      <c r="R18" s="908">
        <f t="shared" si="29"/>
        <v>370.32600000000002</v>
      </c>
      <c r="S18" s="911">
        <f t="shared" si="29"/>
        <v>407.72256426837862</v>
      </c>
      <c r="T18" s="889">
        <f t="shared" si="4"/>
        <v>29403.789473324799</v>
      </c>
      <c r="U18" s="912" t="s">
        <v>1731</v>
      </c>
      <c r="V18" s="908">
        <f t="shared" ref="V18:AA18" si="30">SUM(V19:V41)</f>
        <v>20.613850286090788</v>
      </c>
      <c r="W18" s="908">
        <f t="shared" si="30"/>
        <v>13.564411809169423</v>
      </c>
      <c r="X18" s="908">
        <f t="shared" si="30"/>
        <v>78.21380775355442</v>
      </c>
      <c r="Y18" s="908">
        <f t="shared" si="30"/>
        <v>452.30599893246978</v>
      </c>
      <c r="Z18" s="908">
        <f t="shared" si="30"/>
        <v>8.5715445163419037</v>
      </c>
      <c r="AA18" s="908">
        <f t="shared" si="30"/>
        <v>8.1357525575600285</v>
      </c>
      <c r="AB18" s="908">
        <f t="shared" si="26"/>
        <v>581.40536585518635</v>
      </c>
      <c r="AC18" s="913" t="s">
        <v>1731</v>
      </c>
      <c r="AD18" s="910">
        <f t="shared" ref="AD18:AH18" si="31">SUM(AD19:AD41)</f>
        <v>20.613850286090788</v>
      </c>
      <c r="AE18" s="908">
        <f t="shared" si="31"/>
        <v>13.564411809169423</v>
      </c>
      <c r="AF18" s="908">
        <f t="shared" si="31"/>
        <v>78.21380775355442</v>
      </c>
      <c r="AG18" s="908">
        <f t="shared" si="31"/>
        <v>452.30599893246978</v>
      </c>
      <c r="AH18" s="908">
        <f t="shared" si="31"/>
        <v>8.5715445163419037</v>
      </c>
      <c r="AI18" s="908">
        <f>SUM(AI19:AI41)</f>
        <v>8.1357525575600285</v>
      </c>
      <c r="AJ18" s="908">
        <f t="shared" si="6"/>
        <v>581.40536585518635</v>
      </c>
      <c r="AK18" s="914">
        <f t="shared" si="19"/>
        <v>75.584117715666224</v>
      </c>
      <c r="AL18" s="889">
        <f t="shared" si="20"/>
        <v>49.736176633621213</v>
      </c>
      <c r="AM18" s="889">
        <f t="shared" si="21"/>
        <v>286.78396176303283</v>
      </c>
      <c r="AN18" s="889">
        <f t="shared" si="22"/>
        <v>1658.4553294190557</v>
      </c>
      <c r="AO18" s="889">
        <f t="shared" si="23"/>
        <v>31.428996559920311</v>
      </c>
      <c r="AP18" s="889">
        <f t="shared" si="24"/>
        <v>29.831092711053437</v>
      </c>
      <c r="AQ18" s="915">
        <f t="shared" si="27"/>
        <v>2131.8196748023497</v>
      </c>
    </row>
    <row r="19" spans="1:43">
      <c r="A19" s="817"/>
      <c r="B19" s="860" t="s">
        <v>1608</v>
      </c>
      <c r="C19" s="883"/>
      <c r="D19" s="883"/>
      <c r="E19" s="883">
        <f>HLOOKUP($B$2,'Consumption Input'!$E$5:$AQ$82,'Consumption Input'!$B27)</f>
        <v>877.76800000000003</v>
      </c>
      <c r="F19" s="883"/>
      <c r="G19" s="883"/>
      <c r="H19" s="883"/>
      <c r="I19" s="883">
        <f t="shared" si="25"/>
        <v>877.76800000000003</v>
      </c>
      <c r="J19" s="884"/>
      <c r="K19" s="883">
        <f>HLOOKUP($B$2,NEUConsumption,'Non-Energy Use'!$C$10)</f>
        <v>877.76800000000003</v>
      </c>
      <c r="L19" s="883"/>
      <c r="M19" s="883"/>
      <c r="N19" s="885">
        <f t="shared" ref="N19:O42" si="32">C19</f>
        <v>0</v>
      </c>
      <c r="O19" s="883">
        <f t="shared" si="32"/>
        <v>0</v>
      </c>
      <c r="P19" s="883">
        <f t="shared" ref="P19:P41" si="33">E19-K19</f>
        <v>0</v>
      </c>
      <c r="Q19" s="883">
        <f t="shared" ref="Q19:Q41" si="34">F19-J19-L19</f>
        <v>0</v>
      </c>
      <c r="R19" s="883">
        <f t="shared" ref="R19:R42" si="35">G19</f>
        <v>0</v>
      </c>
      <c r="S19" s="886">
        <f t="shared" ref="S19:S41" si="36">H19-M19</f>
        <v>0</v>
      </c>
      <c r="T19" s="883">
        <f t="shared" si="4"/>
        <v>0</v>
      </c>
      <c r="U19" s="887">
        <f>Factors!D24</f>
        <v>20.55318099621897</v>
      </c>
      <c r="V19" s="885">
        <f t="shared" ref="V19:V41" si="37">N19*$U19*TbtuToQBtu</f>
        <v>0</v>
      </c>
      <c r="W19" s="883">
        <f t="shared" ref="W19:W41" si="38">O19*$U19*TbtuToQBtu</f>
        <v>0</v>
      </c>
      <c r="X19" s="883">
        <f t="shared" ref="X19:X41" si="39">P19*$U19*TbtuToQBtu</f>
        <v>0</v>
      </c>
      <c r="Y19" s="883">
        <f t="shared" ref="Y19:Y41" si="40">Q19*$U19*TbtuToQBtu</f>
        <v>0</v>
      </c>
      <c r="Z19" s="883">
        <f t="shared" ref="Z19:Z41" si="41">R19*$U19*TbtuToQBtu</f>
        <v>0</v>
      </c>
      <c r="AA19" s="883">
        <f t="shared" ref="AA19:AA41" si="42">S19*$U19*TbtuToQBtu</f>
        <v>0</v>
      </c>
      <c r="AB19" s="883">
        <f t="shared" si="26"/>
        <v>0</v>
      </c>
      <c r="AC19" s="888">
        <f>Factors!E24</f>
        <v>1</v>
      </c>
      <c r="AD19" s="885">
        <f t="shared" ref="AD19:AI35" si="43">V19*$AC19</f>
        <v>0</v>
      </c>
      <c r="AE19" s="883">
        <f t="shared" si="43"/>
        <v>0</v>
      </c>
      <c r="AF19" s="883">
        <f t="shared" si="43"/>
        <v>0</v>
      </c>
      <c r="AG19" s="883">
        <f t="shared" si="43"/>
        <v>0</v>
      </c>
      <c r="AH19" s="883">
        <f t="shared" si="43"/>
        <v>0</v>
      </c>
      <c r="AI19" s="883">
        <f t="shared" si="43"/>
        <v>0</v>
      </c>
      <c r="AJ19" s="889">
        <f t="shared" si="6"/>
        <v>0</v>
      </c>
      <c r="AK19" s="885">
        <f t="shared" si="19"/>
        <v>0</v>
      </c>
      <c r="AL19" s="883">
        <f t="shared" si="20"/>
        <v>0</v>
      </c>
      <c r="AM19" s="883">
        <f t="shared" si="21"/>
        <v>0</v>
      </c>
      <c r="AN19" s="883">
        <f t="shared" si="22"/>
        <v>0</v>
      </c>
      <c r="AO19" s="883">
        <f t="shared" si="23"/>
        <v>0</v>
      </c>
      <c r="AP19" s="883">
        <f t="shared" si="24"/>
        <v>0</v>
      </c>
      <c r="AQ19" s="890">
        <f t="shared" si="27"/>
        <v>0</v>
      </c>
    </row>
    <row r="20" spans="1:43">
      <c r="A20" s="817"/>
      <c r="B20" s="860" t="s">
        <v>1622</v>
      </c>
      <c r="C20" s="883"/>
      <c r="D20" s="883"/>
      <c r="E20" s="883"/>
      <c r="F20" s="883">
        <f>HLOOKUP($B$2,'Consumption Input'!$E$5:$AQ$82,'Consumption Input'!$B50)</f>
        <v>27.047000000000001</v>
      </c>
      <c r="G20" s="883"/>
      <c r="H20" s="883"/>
      <c r="I20" s="883">
        <f t="shared" si="25"/>
        <v>27.047000000000001</v>
      </c>
      <c r="J20" s="884"/>
      <c r="K20" s="883"/>
      <c r="L20" s="883"/>
      <c r="M20" s="883"/>
      <c r="N20" s="885">
        <f t="shared" si="32"/>
        <v>0</v>
      </c>
      <c r="O20" s="883">
        <f t="shared" si="32"/>
        <v>0</v>
      </c>
      <c r="P20" s="883">
        <f t="shared" si="33"/>
        <v>0</v>
      </c>
      <c r="Q20" s="883">
        <f t="shared" si="34"/>
        <v>27.047000000000001</v>
      </c>
      <c r="R20" s="883">
        <f t="shared" si="35"/>
        <v>0</v>
      </c>
      <c r="S20" s="886">
        <f t="shared" si="36"/>
        <v>0</v>
      </c>
      <c r="T20" s="883">
        <f t="shared" si="4"/>
        <v>27.047000000000001</v>
      </c>
      <c r="U20" s="887">
        <f>Factors!D25</f>
        <v>18.855352254718337</v>
      </c>
      <c r="V20" s="885">
        <f t="shared" si="37"/>
        <v>0</v>
      </c>
      <c r="W20" s="883">
        <f t="shared" si="38"/>
        <v>0</v>
      </c>
      <c r="X20" s="883">
        <f t="shared" si="39"/>
        <v>0</v>
      </c>
      <c r="Y20" s="883">
        <f t="shared" si="40"/>
        <v>0.50998071243336685</v>
      </c>
      <c r="Z20" s="883">
        <f t="shared" si="41"/>
        <v>0</v>
      </c>
      <c r="AA20" s="883">
        <f t="shared" si="42"/>
        <v>0</v>
      </c>
      <c r="AB20" s="883">
        <f t="shared" si="26"/>
        <v>0.50998071243336685</v>
      </c>
      <c r="AC20" s="888">
        <f>Factors!E25</f>
        <v>1</v>
      </c>
      <c r="AD20" s="885">
        <f t="shared" si="43"/>
        <v>0</v>
      </c>
      <c r="AE20" s="883">
        <f t="shared" si="43"/>
        <v>0</v>
      </c>
      <c r="AF20" s="883">
        <f t="shared" si="43"/>
        <v>0</v>
      </c>
      <c r="AG20" s="883">
        <f t="shared" si="43"/>
        <v>0.50998071243336685</v>
      </c>
      <c r="AH20" s="883">
        <f t="shared" si="43"/>
        <v>0</v>
      </c>
      <c r="AI20" s="883">
        <f t="shared" si="43"/>
        <v>0</v>
      </c>
      <c r="AJ20" s="889">
        <f t="shared" si="6"/>
        <v>0.50998071243336685</v>
      </c>
      <c r="AK20" s="885">
        <f t="shared" si="19"/>
        <v>0</v>
      </c>
      <c r="AL20" s="883">
        <f t="shared" si="20"/>
        <v>0</v>
      </c>
      <c r="AM20" s="883">
        <f t="shared" si="21"/>
        <v>0</v>
      </c>
      <c r="AN20" s="883">
        <f t="shared" si="22"/>
        <v>1.869929278922345</v>
      </c>
      <c r="AO20" s="883">
        <f t="shared" si="23"/>
        <v>0</v>
      </c>
      <c r="AP20" s="883">
        <f t="shared" si="24"/>
        <v>0</v>
      </c>
      <c r="AQ20" s="890">
        <f t="shared" si="27"/>
        <v>1.869929278922345</v>
      </c>
    </row>
    <row r="21" spans="1:43">
      <c r="A21" s="817"/>
      <c r="B21" s="860" t="s">
        <v>1738</v>
      </c>
      <c r="C21" s="883">
        <f>HLOOKUP($B$2,'Consumption Input'!$E$5:$AQ$82,'Consumption Input'!$B9)</f>
        <v>540.9124798329276</v>
      </c>
      <c r="D21" s="883">
        <f>HLOOKUP($B$2,'Consumption Input'!$E$5:$AQ$82,'Consumption Input'!$B15)</f>
        <v>376.84173758227683</v>
      </c>
      <c r="E21" s="883">
        <f>HLOOKUP($B$2,'Consumption Input'!$E$5:$AQ$82,'Consumption Input'!$B28)</f>
        <v>1107.2281179715806</v>
      </c>
      <c r="F21" s="883">
        <f>HLOOKUP($B$2,'Consumption Input'!$E$5:$AQ$82,'Consumption Input'!$B51)</f>
        <v>5857.5844457255953</v>
      </c>
      <c r="G21" s="883">
        <f>HLOOKUP($B$2,'Consumption Input'!$E$5:$AQ$82,'Consumption Input'!$B60)</f>
        <v>79.679000000000002</v>
      </c>
      <c r="H21" s="883">
        <f>HLOOKUP($B$2,'US Territories'!$D$28:$Z$38,'US Territories'!$B31)</f>
        <v>66.436478728895594</v>
      </c>
      <c r="I21" s="883">
        <f t="shared" si="25"/>
        <v>8028.6822598412764</v>
      </c>
      <c r="J21" s="884">
        <f>HLOOKUP($B$2,IBFConsumption,'International Bunker Fuels'!$B$10)</f>
        <v>128.2033434235893</v>
      </c>
      <c r="K21" s="883">
        <f>HLOOKUP($B$2,NEUConsumption,'Non-Energy Use'!$C$20)</f>
        <v>5.8250000000000002</v>
      </c>
      <c r="L21" s="883"/>
      <c r="M21" s="883"/>
      <c r="N21" s="885">
        <f t="shared" si="32"/>
        <v>540.9124798329276</v>
      </c>
      <c r="O21" s="883">
        <f t="shared" si="32"/>
        <v>376.84173758227683</v>
      </c>
      <c r="P21" s="883">
        <f t="shared" si="33"/>
        <v>1101.4031179715805</v>
      </c>
      <c r="Q21" s="883">
        <f t="shared" si="34"/>
        <v>5729.3811023020062</v>
      </c>
      <c r="R21" s="883">
        <f t="shared" si="35"/>
        <v>79.679000000000002</v>
      </c>
      <c r="S21" s="886">
        <f>H21-M21</f>
        <v>66.436478728895594</v>
      </c>
      <c r="T21" s="883">
        <f t="shared" si="4"/>
        <v>7894.6539164176875</v>
      </c>
      <c r="U21" s="887">
        <f>HLOOKUP($B$2,Factors!$J$12:$BE$27,Factors!$H27,FALSE)</f>
        <v>20.239999999999998</v>
      </c>
      <c r="V21" s="885">
        <f t="shared" si="37"/>
        <v>10.948068591818453</v>
      </c>
      <c r="W21" s="883">
        <f t="shared" si="38"/>
        <v>7.6272767686652827</v>
      </c>
      <c r="X21" s="883">
        <f t="shared" si="39"/>
        <v>22.292399107744785</v>
      </c>
      <c r="Y21" s="883">
        <f t="shared" si="40"/>
        <v>115.96267351059259</v>
      </c>
      <c r="Z21" s="883">
        <f t="shared" si="41"/>
        <v>1.6127029599999998</v>
      </c>
      <c r="AA21" s="883">
        <f>S21*$U21*TbtuToQBtu</f>
        <v>1.3446743294728467</v>
      </c>
      <c r="AB21" s="883">
        <f t="shared" si="26"/>
        <v>159.78779526829396</v>
      </c>
      <c r="AC21" s="888">
        <f>Factors!E26</f>
        <v>1</v>
      </c>
      <c r="AD21" s="885">
        <f t="shared" si="43"/>
        <v>10.948068591818453</v>
      </c>
      <c r="AE21" s="883">
        <f t="shared" si="43"/>
        <v>7.6272767686652827</v>
      </c>
      <c r="AF21" s="883">
        <f t="shared" si="43"/>
        <v>22.292399107744785</v>
      </c>
      <c r="AG21" s="883">
        <f t="shared" si="43"/>
        <v>115.96267351059259</v>
      </c>
      <c r="AH21" s="883">
        <f t="shared" si="43"/>
        <v>1.6127029599999998</v>
      </c>
      <c r="AI21" s="883">
        <f>AA21*$AC21</f>
        <v>1.3446743294728467</v>
      </c>
      <c r="AJ21" s="889">
        <f t="shared" si="6"/>
        <v>159.78779526829396</v>
      </c>
      <c r="AK21" s="885">
        <f t="shared" si="19"/>
        <v>40.142918170000996</v>
      </c>
      <c r="AL21" s="883">
        <f t="shared" si="20"/>
        <v>27.966681485106037</v>
      </c>
      <c r="AM21" s="883">
        <f t="shared" si="21"/>
        <v>81.738796728397546</v>
      </c>
      <c r="AN21" s="883">
        <f t="shared" si="22"/>
        <v>425.19646953883949</v>
      </c>
      <c r="AO21" s="883">
        <f t="shared" si="23"/>
        <v>5.9132441866666658</v>
      </c>
      <c r="AP21" s="883">
        <f t="shared" si="24"/>
        <v>4.9304725414004373</v>
      </c>
      <c r="AQ21" s="890">
        <f t="shared" si="27"/>
        <v>585.88858265041131</v>
      </c>
    </row>
    <row r="22" spans="1:43">
      <c r="A22" s="817"/>
      <c r="B22" s="860" t="s">
        <v>1623</v>
      </c>
      <c r="C22" s="883"/>
      <c r="D22" s="883"/>
      <c r="E22" s="883"/>
      <c r="F22" s="883">
        <f>HLOOKUP($B$2,'Consumption Input'!$E$5:$AQ$82,'Consumption Input'!$B52)</f>
        <v>2962.8689999999997</v>
      </c>
      <c r="G22" s="916"/>
      <c r="H22" s="883">
        <f>HLOOKUP($B$2,'US Territories'!$D$28:$Z$38,'US Territories'!$B32)</f>
        <v>36.560111292369861</v>
      </c>
      <c r="I22" s="883">
        <f t="shared" si="25"/>
        <v>2999.4291112923697</v>
      </c>
      <c r="J22" s="884">
        <f>HLOOKUP($B$2,IBFConsumption,'International Bunker Fuels'!$B$8)</f>
        <v>866.4359203494854</v>
      </c>
      <c r="K22" s="883"/>
      <c r="L22" s="883"/>
      <c r="M22" s="883"/>
      <c r="N22" s="885">
        <f t="shared" si="32"/>
        <v>0</v>
      </c>
      <c r="O22" s="883">
        <f t="shared" si="32"/>
        <v>0</v>
      </c>
      <c r="P22" s="883">
        <f t="shared" si="33"/>
        <v>0</v>
      </c>
      <c r="Q22" s="883">
        <f t="shared" si="34"/>
        <v>2096.4330796505142</v>
      </c>
      <c r="R22" s="883">
        <f t="shared" si="35"/>
        <v>0</v>
      </c>
      <c r="S22" s="886">
        <f t="shared" si="36"/>
        <v>36.560111292369861</v>
      </c>
      <c r="T22" s="883">
        <f t="shared" si="4"/>
        <v>2132.9931909428842</v>
      </c>
      <c r="U22" s="887">
        <f>HLOOKUP($B$2,Factors!$J$12:$AE$25,Factors!$H21,FALSE)</f>
        <v>19.696969696969692</v>
      </c>
      <c r="V22" s="885">
        <f t="shared" si="37"/>
        <v>0</v>
      </c>
      <c r="W22" s="883">
        <f t="shared" si="38"/>
        <v>0</v>
      </c>
      <c r="X22" s="883">
        <f t="shared" si="39"/>
        <v>0</v>
      </c>
      <c r="Y22" s="883">
        <f t="shared" si="40"/>
        <v>41.293378841601026</v>
      </c>
      <c r="Z22" s="883">
        <f t="shared" si="41"/>
        <v>0</v>
      </c>
      <c r="AA22" s="883">
        <f t="shared" si="42"/>
        <v>0.72012340424364862</v>
      </c>
      <c r="AB22" s="883">
        <f t="shared" si="26"/>
        <v>42.013502245844677</v>
      </c>
      <c r="AC22" s="888">
        <f>Factors!E27</f>
        <v>1</v>
      </c>
      <c r="AD22" s="885">
        <f t="shared" si="43"/>
        <v>0</v>
      </c>
      <c r="AE22" s="883">
        <f t="shared" si="43"/>
        <v>0</v>
      </c>
      <c r="AF22" s="883">
        <f t="shared" si="43"/>
        <v>0</v>
      </c>
      <c r="AG22" s="883">
        <f t="shared" si="43"/>
        <v>41.293378841601026</v>
      </c>
      <c r="AH22" s="883">
        <f t="shared" si="43"/>
        <v>0</v>
      </c>
      <c r="AI22" s="883">
        <f t="shared" si="43"/>
        <v>0.72012340424364862</v>
      </c>
      <c r="AJ22" s="889">
        <f t="shared" si="6"/>
        <v>42.013502245844677</v>
      </c>
      <c r="AK22" s="885">
        <f t="shared" si="19"/>
        <v>0</v>
      </c>
      <c r="AL22" s="883">
        <f t="shared" si="20"/>
        <v>0</v>
      </c>
      <c r="AM22" s="883">
        <f t="shared" si="21"/>
        <v>0</v>
      </c>
      <c r="AN22" s="883">
        <f t="shared" si="22"/>
        <v>151.40905575253709</v>
      </c>
      <c r="AO22" s="883">
        <f t="shared" si="23"/>
        <v>0</v>
      </c>
      <c r="AP22" s="883">
        <f t="shared" si="24"/>
        <v>2.6404524822267117</v>
      </c>
      <c r="AQ22" s="890">
        <f t="shared" si="27"/>
        <v>154.04950823476381</v>
      </c>
    </row>
    <row r="23" spans="1:43">
      <c r="A23" s="817"/>
      <c r="B23" s="860" t="s">
        <v>1599</v>
      </c>
      <c r="C23" s="883">
        <f>HLOOKUP($B$2,'Consumption Input'!$E$5:$AQ$82,'Consumption Input'!$B10)</f>
        <v>29.104999999999997</v>
      </c>
      <c r="D23" s="883">
        <f>HLOOKUP($B$2,'Consumption Input'!$E$5:$AQ$82,'Consumption Input'!$B16)</f>
        <v>4.8220000000000001</v>
      </c>
      <c r="E23" s="883">
        <f>HLOOKUP($B$2,'Consumption Input'!$E$5:$AQ$82,'Consumption Input'!$B29)</f>
        <v>7.3179999999999996</v>
      </c>
      <c r="F23" s="883"/>
      <c r="G23" s="883"/>
      <c r="H23" s="883">
        <f>HLOOKUP($B$2,'US Territories'!$D$28:$Z$38,'US Territories'!$B33)</f>
        <v>7.4686180404452065</v>
      </c>
      <c r="I23" s="883">
        <f t="shared" si="25"/>
        <v>48.713618040445205</v>
      </c>
      <c r="J23" s="884"/>
      <c r="K23" s="883"/>
      <c r="L23" s="883"/>
      <c r="M23" s="883"/>
      <c r="N23" s="885">
        <f t="shared" si="32"/>
        <v>29.104999999999997</v>
      </c>
      <c r="O23" s="883">
        <f t="shared" si="32"/>
        <v>4.8220000000000001</v>
      </c>
      <c r="P23" s="883">
        <f t="shared" si="33"/>
        <v>7.3179999999999996</v>
      </c>
      <c r="Q23" s="883">
        <f t="shared" si="34"/>
        <v>0</v>
      </c>
      <c r="R23" s="883">
        <f t="shared" si="35"/>
        <v>0</v>
      </c>
      <c r="S23" s="886">
        <f t="shared" si="36"/>
        <v>7.4686180404452065</v>
      </c>
      <c r="T23" s="883">
        <f t="shared" si="4"/>
        <v>48.713618040445205</v>
      </c>
      <c r="U23" s="887">
        <f>Factors!D28</f>
        <v>19.964104564962931</v>
      </c>
      <c r="V23" s="885">
        <f t="shared" si="37"/>
        <v>0.58105526336324598</v>
      </c>
      <c r="W23" s="883">
        <f t="shared" si="38"/>
        <v>9.6266912212251254E-2</v>
      </c>
      <c r="X23" s="883">
        <f t="shared" si="39"/>
        <v>0.14609731720639871</v>
      </c>
      <c r="Y23" s="883">
        <f t="shared" si="40"/>
        <v>0</v>
      </c>
      <c r="Z23" s="883">
        <f t="shared" si="41"/>
        <v>0</v>
      </c>
      <c r="AA23" s="883">
        <f t="shared" si="42"/>
        <v>0.14910427151521666</v>
      </c>
      <c r="AB23" s="883">
        <f t="shared" si="26"/>
        <v>0.97252376429711263</v>
      </c>
      <c r="AC23" s="888">
        <f>Factors!E28</f>
        <v>1</v>
      </c>
      <c r="AD23" s="885">
        <f t="shared" si="43"/>
        <v>0.58105526336324598</v>
      </c>
      <c r="AE23" s="883">
        <f t="shared" si="43"/>
        <v>9.6266912212251254E-2</v>
      </c>
      <c r="AF23" s="883">
        <f t="shared" si="43"/>
        <v>0.14609731720639871</v>
      </c>
      <c r="AG23" s="883">
        <f t="shared" si="43"/>
        <v>0</v>
      </c>
      <c r="AH23" s="883">
        <f t="shared" si="43"/>
        <v>0</v>
      </c>
      <c r="AI23" s="883">
        <f t="shared" si="43"/>
        <v>0.14910427151521666</v>
      </c>
      <c r="AJ23" s="889">
        <f t="shared" si="6"/>
        <v>0.97252376429711263</v>
      </c>
      <c r="AK23" s="885">
        <f t="shared" si="19"/>
        <v>2.130535965665235</v>
      </c>
      <c r="AL23" s="883">
        <f t="shared" si="20"/>
        <v>0.3529786781115879</v>
      </c>
      <c r="AM23" s="883">
        <f t="shared" si="21"/>
        <v>0.53569016309012862</v>
      </c>
      <c r="AN23" s="883">
        <f t="shared" si="22"/>
        <v>0</v>
      </c>
      <c r="AO23" s="883">
        <f t="shared" si="23"/>
        <v>0</v>
      </c>
      <c r="AP23" s="883">
        <f t="shared" si="24"/>
        <v>0.54671566222246104</v>
      </c>
      <c r="AQ23" s="890">
        <f t="shared" si="27"/>
        <v>3.5659204690894128</v>
      </c>
    </row>
    <row r="24" spans="1:43">
      <c r="A24" s="817"/>
      <c r="B24" s="860" t="s">
        <v>1600</v>
      </c>
      <c r="C24" s="883">
        <f>HLOOKUP($B$2,'Consumption Input'!$E$5:$AQ$82,'Consumption Input'!$B11)</f>
        <v>529.83399999999995</v>
      </c>
      <c r="D24" s="883">
        <f>HLOOKUP($B$2,'Consumption Input'!$E$5:$AQ$82,'Consumption Input'!$B17)</f>
        <v>140.011</v>
      </c>
      <c r="E24"/>
      <c r="F24" s="883">
        <f>HLOOKUP($B$2,'Consumption Input'!$E$5:$AQ$82,'Consumption Input'!$B53)</f>
        <v>4.5739999999999998</v>
      </c>
      <c r="G24" s="883"/>
      <c r="H24"/>
      <c r="I24" s="883">
        <f>SUM(C24:H24)</f>
        <v>674.41899999999987</v>
      </c>
      <c r="J24" s="884"/>
      <c r="K24"/>
      <c r="L24" s="883"/>
      <c r="M24" s="883"/>
      <c r="N24" s="885">
        <f>C24</f>
        <v>529.83399999999995</v>
      </c>
      <c r="O24" s="883">
        <f t="shared" si="32"/>
        <v>140.011</v>
      </c>
      <c r="P24"/>
      <c r="Q24" s="883">
        <f t="shared" si="34"/>
        <v>4.5739999999999998</v>
      </c>
      <c r="R24" s="883">
        <f t="shared" si="35"/>
        <v>0</v>
      </c>
      <c r="S24" s="1007"/>
      <c r="T24" s="883">
        <f t="shared" si="4"/>
        <v>674.41899999999987</v>
      </c>
      <c r="U24" s="1005">
        <f>HLOOKUP($B$2,Factors!$J$12:$BE$25,Factors!$H17,FALSE)</f>
        <v>17.146363636363635</v>
      </c>
      <c r="V24" s="885">
        <f>N24*$U24*TbtuToQBtu</f>
        <v>9.0847264309090896</v>
      </c>
      <c r="W24" s="883">
        <f>O24*$U24*TbtuToQBtu</f>
        <v>2.4006795190909087</v>
      </c>
      <c r="X24"/>
      <c r="Y24" s="883">
        <f>Q24*$U24*TbtuToQBtu</f>
        <v>7.8427467272727258E-2</v>
      </c>
      <c r="Z24" s="883">
        <f t="shared" ref="Z24" si="44">R24*$U24*TbtuToQBtu</f>
        <v>0</v>
      </c>
      <c r="AA24"/>
      <c r="AB24" s="883">
        <f>SUM(V24:AA24)</f>
        <v>11.563833417272726</v>
      </c>
      <c r="AC24" s="888">
        <f>Factors!E30</f>
        <v>1</v>
      </c>
      <c r="AD24" s="885">
        <f>V24*$AC24</f>
        <v>9.0847264309090896</v>
      </c>
      <c r="AE24" s="883">
        <f t="shared" si="43"/>
        <v>2.4006795190909087</v>
      </c>
      <c r="AF24"/>
      <c r="AG24" s="883">
        <f t="shared" si="43"/>
        <v>7.8427467272727258E-2</v>
      </c>
      <c r="AH24" s="883">
        <f t="shared" si="43"/>
        <v>0</v>
      </c>
      <c r="AI24"/>
      <c r="AJ24" s="889">
        <f t="shared" si="6"/>
        <v>11.563833417272726</v>
      </c>
      <c r="AK24" s="885">
        <f>AD24*CtoCO2</f>
        <v>33.310663579999996</v>
      </c>
      <c r="AL24" s="883">
        <f t="shared" ref="AL24" si="45">AE24*CtoCO2</f>
        <v>8.802491569999999</v>
      </c>
      <c r="AN24" s="883">
        <f t="shared" ref="AN24" si="46">AG24*CtoCO2</f>
        <v>0.28756737999999993</v>
      </c>
      <c r="AO24" s="883">
        <f t="shared" ref="AO24" si="47">AH24*CtoCO2</f>
        <v>0</v>
      </c>
      <c r="AQ24" s="890">
        <f t="shared" si="27"/>
        <v>42.400722529999996</v>
      </c>
    </row>
    <row r="25" spans="1:43">
      <c r="A25" s="817"/>
      <c r="B25" s="860" t="s">
        <v>1609</v>
      </c>
      <c r="C25" s="883"/>
      <c r="D25" s="883"/>
      <c r="E25" s="883">
        <f>HLOOKUP($B$2,'Consumption Input'!$E$5:$AQ$82,'Consumption Input'!$B30)</f>
        <v>2050.6972163320002</v>
      </c>
      <c r="F25" s="883"/>
      <c r="G25" s="883"/>
      <c r="H25" s="883">
        <f>HLOOKUP($B$2,'US Territories'!$D$28:$AO$38,'US Territories'!$B34)</f>
        <v>15.667224412672608</v>
      </c>
      <c r="I25" s="883">
        <f>SUM(C25:H25)</f>
        <v>2066.3644407446727</v>
      </c>
      <c r="J25" s="884"/>
      <c r="K25" s="883">
        <f>HLOOKUP($B$2,NEUConsumption,'Non-Energy Use'!$C$11)</f>
        <v>1899.8664338264293</v>
      </c>
      <c r="L25" s="883"/>
      <c r="M25" s="883"/>
      <c r="N25" s="885"/>
      <c r="O25" s="883"/>
      <c r="P25" s="883">
        <f>E25-K25</f>
        <v>150.83078250557082</v>
      </c>
      <c r="Q25" s="883"/>
      <c r="R25" s="883"/>
      <c r="S25" s="886">
        <f>H25-M25</f>
        <v>15.667224412672608</v>
      </c>
      <c r="T25" s="883">
        <f t="shared" si="4"/>
        <v>166.49800691824342</v>
      </c>
      <c r="U25" s="1005">
        <f>HLOOKUP($B$2,Factors!$J$12:$BE$25,Factors!$H18,FALSE)</f>
        <v>17.74259458536784</v>
      </c>
      <c r="V25" s="885"/>
      <c r="W25" s="883"/>
      <c r="X25" s="883">
        <f>P25*$U25*TbtuToQBtu</f>
        <v>2.6761294249901355</v>
      </c>
      <c r="Y25" s="883"/>
      <c r="Z25" s="883"/>
      <c r="AA25" s="883">
        <f>S25*$U25*TbtuToQBtu</f>
        <v>0.27797721103202788</v>
      </c>
      <c r="AB25" s="883">
        <f>SUM(V25:AA25)</f>
        <v>2.9541066360221633</v>
      </c>
      <c r="AC25" s="888">
        <f>Factors!E31</f>
        <v>1</v>
      </c>
      <c r="AD25" s="885"/>
      <c r="AE25" s="883"/>
      <c r="AF25" s="883">
        <f>X25*$AC25</f>
        <v>2.6761294249901355</v>
      </c>
      <c r="AG25" s="883"/>
      <c r="AH25" s="883"/>
      <c r="AI25" s="883">
        <f>AA25*$AC25</f>
        <v>0.27797721103202788</v>
      </c>
      <c r="AJ25" s="889">
        <f t="shared" si="6"/>
        <v>2.9541066360221633</v>
      </c>
      <c r="AK25" s="885"/>
      <c r="AL25" s="883"/>
      <c r="AM25" s="883">
        <f>AF25*CtoCO2</f>
        <v>9.8124745582971631</v>
      </c>
      <c r="AN25" s="883"/>
      <c r="AO25" s="883"/>
      <c r="AP25" s="883">
        <f>AI25*CtoCO2</f>
        <v>1.0192497737841022</v>
      </c>
      <c r="AQ25" s="890">
        <f t="shared" si="27"/>
        <v>10.831724332081265</v>
      </c>
    </row>
    <row r="26" spans="1:43">
      <c r="A26" s="817"/>
      <c r="B26" s="860" t="s">
        <v>1610</v>
      </c>
      <c r="C26" s="883"/>
      <c r="D26" s="883"/>
      <c r="E26" s="883">
        <f>HLOOKUP($B$2,'Consumption Input'!$E$5:$AQ$82,'Consumption Input'!$B31)</f>
        <v>135.87899999999999</v>
      </c>
      <c r="F26" s="883">
        <f>HLOOKUP($B$2,'Consumption Input'!$E$5:$AQ$82,'Consumption Input'!$B54)</f>
        <v>154.773</v>
      </c>
      <c r="G26" s="883"/>
      <c r="H26" s="883">
        <f>HLOOKUP($B$2,'US Territories'!$D$28:$Z$38,'US Territories'!$B35)</f>
        <v>1.0411633874999999</v>
      </c>
      <c r="I26" s="883">
        <f t="shared" si="25"/>
        <v>291.69316338749996</v>
      </c>
      <c r="J26" s="884"/>
      <c r="K26" s="883">
        <f>HLOOKUP($B$2,NEUConsumption,'Non-Energy Use'!$C$12)</f>
        <v>135.87899999999999</v>
      </c>
      <c r="L26" s="883">
        <f>HLOOKUP($B$2,NEUConsumption,'Non-Energy Use'!$C$24)</f>
        <v>154.773</v>
      </c>
      <c r="M26" s="883">
        <f>HLOOKUP($B$2,NEUConsumption,'Non-Energy Use'!$C$26)</f>
        <v>1.0411633874999999</v>
      </c>
      <c r="N26" s="885">
        <f t="shared" si="32"/>
        <v>0</v>
      </c>
      <c r="O26" s="883">
        <f t="shared" si="32"/>
        <v>0</v>
      </c>
      <c r="P26" s="883">
        <f t="shared" si="33"/>
        <v>0</v>
      </c>
      <c r="Q26" s="883">
        <f>F26-J26-L26</f>
        <v>0</v>
      </c>
      <c r="R26" s="883">
        <f>G26</f>
        <v>0</v>
      </c>
      <c r="S26" s="886">
        <f t="shared" si="36"/>
        <v>0</v>
      </c>
      <c r="T26" s="883">
        <f t="shared" si="4"/>
        <v>0</v>
      </c>
      <c r="U26" s="887">
        <f>Factors!D33</f>
        <v>20.199355467286214</v>
      </c>
      <c r="V26" s="885">
        <f t="shared" si="37"/>
        <v>0</v>
      </c>
      <c r="W26" s="883">
        <f t="shared" si="38"/>
        <v>0</v>
      </c>
      <c r="X26" s="883">
        <f t="shared" si="39"/>
        <v>0</v>
      </c>
      <c r="Y26" s="883">
        <f>Q26*$U26*TbtuToQBtu</f>
        <v>0</v>
      </c>
      <c r="Z26" s="883">
        <f t="shared" si="41"/>
        <v>0</v>
      </c>
      <c r="AA26" s="883">
        <f t="shared" si="42"/>
        <v>0</v>
      </c>
      <c r="AB26" s="883">
        <f t="shared" si="26"/>
        <v>0</v>
      </c>
      <c r="AC26" s="888">
        <f>Factors!E33</f>
        <v>1</v>
      </c>
      <c r="AD26" s="885">
        <f t="shared" si="43"/>
        <v>0</v>
      </c>
      <c r="AE26" s="883">
        <f t="shared" si="43"/>
        <v>0</v>
      </c>
      <c r="AF26" s="883">
        <f t="shared" si="43"/>
        <v>0</v>
      </c>
      <c r="AG26" s="883">
        <f>Y26*$AC26</f>
        <v>0</v>
      </c>
      <c r="AH26" s="883">
        <f t="shared" si="43"/>
        <v>0</v>
      </c>
      <c r="AI26" s="883">
        <f t="shared" si="43"/>
        <v>0</v>
      </c>
      <c r="AJ26" s="889">
        <f t="shared" si="6"/>
        <v>0</v>
      </c>
      <c r="AK26" s="885">
        <f t="shared" si="19"/>
        <v>0</v>
      </c>
      <c r="AL26" s="883">
        <f t="shared" si="20"/>
        <v>0</v>
      </c>
      <c r="AM26" s="883">
        <f t="shared" si="21"/>
        <v>0</v>
      </c>
      <c r="AN26" s="883">
        <f>AG26*CtoCO2</f>
        <v>0</v>
      </c>
      <c r="AO26" s="883">
        <f t="shared" si="23"/>
        <v>0</v>
      </c>
      <c r="AP26" s="883">
        <f t="shared" si="24"/>
        <v>0</v>
      </c>
      <c r="AQ26" s="890">
        <f t="shared" si="27"/>
        <v>0</v>
      </c>
    </row>
    <row r="27" spans="1:43">
      <c r="A27" s="817"/>
      <c r="B27" s="860" t="s">
        <v>1601</v>
      </c>
      <c r="C27" s="883"/>
      <c r="D27" s="883">
        <f>HLOOKUP($B$2,'Consumption Input'!$E$5:$AQ$82,'Consumption Input'!$B18)</f>
        <v>111.76596724927209</v>
      </c>
      <c r="E27" s="883">
        <f>HLOOKUP($B$2,'Consumption Input'!$E$5:$AQ$82,'Consumption Input'!$B32)</f>
        <v>559.73983247556157</v>
      </c>
      <c r="F27" s="883">
        <f>HLOOKUP($B$2,'Consumption Input'!$E$5:$AQ$82,'Consumption Input'!$B55)</f>
        <v>14898.785200275166</v>
      </c>
      <c r="G27" s="883"/>
      <c r="H27" s="883">
        <f>HLOOKUP($B$2,'US Territories'!$D$28:$Z$38,'US Territories'!$B36)</f>
        <v>112.92895215113424</v>
      </c>
      <c r="I27" s="883">
        <f t="shared" si="25"/>
        <v>15683.219952151134</v>
      </c>
      <c r="J27" s="884"/>
      <c r="K27" s="883"/>
      <c r="L27" s="883"/>
      <c r="M27" s="883"/>
      <c r="N27" s="885">
        <f t="shared" si="32"/>
        <v>0</v>
      </c>
      <c r="O27" s="883">
        <f t="shared" si="32"/>
        <v>111.76596724927209</v>
      </c>
      <c r="P27" s="883">
        <f t="shared" si="33"/>
        <v>559.73983247556157</v>
      </c>
      <c r="Q27" s="883">
        <f t="shared" si="34"/>
        <v>14898.785200275166</v>
      </c>
      <c r="R27" s="883">
        <f t="shared" si="35"/>
        <v>0</v>
      </c>
      <c r="S27" s="886">
        <f t="shared" si="36"/>
        <v>112.92895215113424</v>
      </c>
      <c r="T27" s="883">
        <f t="shared" si="4"/>
        <v>15683.219952151134</v>
      </c>
      <c r="U27" s="887">
        <f>HLOOKUP($B$2,Factors!$J$12:$AE$25,Factors!$H20,FALSE)</f>
        <v>19.39</v>
      </c>
      <c r="V27" s="885">
        <f t="shared" si="37"/>
        <v>0</v>
      </c>
      <c r="W27" s="883">
        <f t="shared" si="38"/>
        <v>2.1671421049633861</v>
      </c>
      <c r="X27" s="883">
        <f t="shared" si="39"/>
        <v>10.853355351701138</v>
      </c>
      <c r="Y27" s="883">
        <f t="shared" si="40"/>
        <v>288.8874450333355</v>
      </c>
      <c r="Z27" s="883">
        <f t="shared" si="41"/>
        <v>0</v>
      </c>
      <c r="AA27" s="883">
        <f t="shared" si="42"/>
        <v>2.189692382210493</v>
      </c>
      <c r="AB27" s="883">
        <f t="shared" si="26"/>
        <v>304.09763487221051</v>
      </c>
      <c r="AC27" s="888">
        <f>Factors!E34</f>
        <v>1</v>
      </c>
      <c r="AD27" s="885">
        <f t="shared" si="43"/>
        <v>0</v>
      </c>
      <c r="AE27" s="883">
        <f t="shared" si="43"/>
        <v>2.1671421049633861</v>
      </c>
      <c r="AF27" s="883">
        <f t="shared" si="43"/>
        <v>10.853355351701138</v>
      </c>
      <c r="AG27" s="883">
        <f>Y27*$AC44</f>
        <v>288.8874450333355</v>
      </c>
      <c r="AH27" s="883">
        <f t="shared" si="43"/>
        <v>0</v>
      </c>
      <c r="AI27" s="883">
        <f t="shared" si="43"/>
        <v>2.189692382210493</v>
      </c>
      <c r="AJ27" s="889">
        <f t="shared" si="6"/>
        <v>304.09763487221051</v>
      </c>
      <c r="AK27" s="885">
        <f t="shared" si="19"/>
        <v>0</v>
      </c>
      <c r="AL27" s="883">
        <f t="shared" si="20"/>
        <v>7.9461877181990817</v>
      </c>
      <c r="AM27" s="883">
        <f t="shared" si="21"/>
        <v>39.795636289570837</v>
      </c>
      <c r="AN27" s="883">
        <f t="shared" si="22"/>
        <v>1059.2539651222301</v>
      </c>
      <c r="AO27" s="883">
        <f t="shared" si="23"/>
        <v>0</v>
      </c>
      <c r="AP27" s="883">
        <f t="shared" si="24"/>
        <v>8.0288720681051409</v>
      </c>
      <c r="AQ27" s="890">
        <f t="shared" si="27"/>
        <v>1115.0246611981052</v>
      </c>
    </row>
    <row r="28" spans="1:43">
      <c r="A28" s="817"/>
      <c r="B28" s="860" t="s">
        <v>1602</v>
      </c>
      <c r="C28" s="883"/>
      <c r="D28" s="883">
        <f>HLOOKUP($B$2,'Consumption Input'!$E$5:$AQ$82,'Consumption Input'!$B19)</f>
        <v>61.689999999999991</v>
      </c>
      <c r="E28" s="883">
        <f>HLOOKUP($B$2,'Consumption Input'!$E$5:$AQ$82,'Consumption Input'!$B33)</f>
        <v>25.895999999999972</v>
      </c>
      <c r="F28" s="883">
        <f>HLOOKUP($B$2,'Consumption Input'!$E$5:$AQ$82,'Consumption Input'!$B56)</f>
        <v>891.98</v>
      </c>
      <c r="G28" s="883">
        <f>HLOOKUP($B$2,'Consumption Input'!$E$5:$AQ$82,'Consumption Input'!$B61)</f>
        <v>154.05199999999999</v>
      </c>
      <c r="H28" s="883">
        <f>HLOOKUP($B$2,'US Territories'!$D$28:$Z$38,'US Territories'!$B37)</f>
        <v>168.66117964286107</v>
      </c>
      <c r="I28" s="883">
        <f t="shared" si="25"/>
        <v>1302.279179642861</v>
      </c>
      <c r="J28" s="884">
        <f>HLOOKUP($B$2,IBFConsumption,'International Bunker Fuels'!$B$9)</f>
        <v>619.80747230299994</v>
      </c>
      <c r="K28" s="883"/>
      <c r="L28" s="883"/>
      <c r="M28" s="883"/>
      <c r="N28" s="885">
        <f t="shared" si="32"/>
        <v>0</v>
      </c>
      <c r="O28" s="883">
        <f t="shared" si="32"/>
        <v>61.689999999999991</v>
      </c>
      <c r="P28" s="883">
        <f t="shared" si="33"/>
        <v>25.895999999999972</v>
      </c>
      <c r="Q28" s="883">
        <f t="shared" si="34"/>
        <v>272.17252769700008</v>
      </c>
      <c r="R28" s="883">
        <f t="shared" si="35"/>
        <v>154.05199999999999</v>
      </c>
      <c r="S28" s="886">
        <f t="shared" si="36"/>
        <v>168.66117964286107</v>
      </c>
      <c r="T28" s="883">
        <f t="shared" si="4"/>
        <v>682.47170733986104</v>
      </c>
      <c r="U28" s="887">
        <f>Factors!D36</f>
        <v>20.48</v>
      </c>
      <c r="V28" s="885">
        <f t="shared" si="37"/>
        <v>0</v>
      </c>
      <c r="W28" s="883">
        <f t="shared" si="38"/>
        <v>1.2634111999999997</v>
      </c>
      <c r="X28" s="883">
        <f t="shared" si="39"/>
        <v>0.5303500799999995</v>
      </c>
      <c r="Y28" s="883">
        <f t="shared" si="40"/>
        <v>5.5740933672345623</v>
      </c>
      <c r="Z28" s="883">
        <f t="shared" si="41"/>
        <v>3.1549849599999997</v>
      </c>
      <c r="AA28" s="883">
        <f t="shared" si="42"/>
        <v>3.4541809590857948</v>
      </c>
      <c r="AB28" s="883">
        <f t="shared" si="26"/>
        <v>13.977020566320355</v>
      </c>
      <c r="AC28" s="888">
        <f>Factors!E36</f>
        <v>1</v>
      </c>
      <c r="AD28" s="885">
        <f t="shared" si="43"/>
        <v>0</v>
      </c>
      <c r="AE28" s="883">
        <f t="shared" si="43"/>
        <v>1.2634111999999997</v>
      </c>
      <c r="AF28" s="883">
        <f t="shared" si="43"/>
        <v>0.5303500799999995</v>
      </c>
      <c r="AG28" s="883">
        <f t="shared" si="43"/>
        <v>5.5740933672345623</v>
      </c>
      <c r="AH28" s="883">
        <f t="shared" si="43"/>
        <v>3.1549849599999997</v>
      </c>
      <c r="AI28" s="883">
        <f t="shared" si="43"/>
        <v>3.4541809590857948</v>
      </c>
      <c r="AJ28" s="889">
        <f t="shared" si="6"/>
        <v>13.977020566320355</v>
      </c>
      <c r="AK28" s="885">
        <f t="shared" si="19"/>
        <v>0</v>
      </c>
      <c r="AL28" s="883">
        <f t="shared" si="20"/>
        <v>4.6325077333333322</v>
      </c>
      <c r="AM28" s="883">
        <f t="shared" si="21"/>
        <v>1.9446169599999981</v>
      </c>
      <c r="AN28" s="883">
        <f t="shared" si="22"/>
        <v>20.438342346526728</v>
      </c>
      <c r="AO28" s="883">
        <f t="shared" si="23"/>
        <v>11.568278186666666</v>
      </c>
      <c r="AP28" s="883">
        <f t="shared" si="24"/>
        <v>12.66533018331458</v>
      </c>
      <c r="AQ28" s="890">
        <f t="shared" si="27"/>
        <v>51.249075409841303</v>
      </c>
    </row>
    <row r="29" spans="1:43">
      <c r="A29" s="817"/>
      <c r="B29" s="860" t="s">
        <v>1603</v>
      </c>
      <c r="C29" s="883"/>
      <c r="D29" s="883"/>
      <c r="E29" s="883"/>
      <c r="F29" s="883"/>
      <c r="G29" s="883"/>
      <c r="H29" s="883"/>
      <c r="I29" s="883"/>
      <c r="J29" s="884"/>
      <c r="K29" s="883"/>
      <c r="L29" s="883"/>
      <c r="M29" s="883"/>
      <c r="N29" s="885">
        <f t="shared" si="32"/>
        <v>0</v>
      </c>
      <c r="O29" s="883">
        <f t="shared" si="32"/>
        <v>0</v>
      </c>
      <c r="P29" s="883">
        <f t="shared" si="33"/>
        <v>0</v>
      </c>
      <c r="Q29" s="883">
        <f t="shared" si="34"/>
        <v>0</v>
      </c>
      <c r="R29" s="883">
        <f t="shared" si="35"/>
        <v>0</v>
      </c>
      <c r="S29" s="886">
        <f t="shared" si="36"/>
        <v>0</v>
      </c>
      <c r="T29" s="883">
        <f t="shared" si="4"/>
        <v>0</v>
      </c>
      <c r="U29" s="887"/>
      <c r="V29" s="885">
        <f t="shared" si="37"/>
        <v>0</v>
      </c>
      <c r="W29" s="883">
        <f t="shared" si="38"/>
        <v>0</v>
      </c>
      <c r="X29" s="883">
        <f t="shared" si="39"/>
        <v>0</v>
      </c>
      <c r="Y29" s="883">
        <f t="shared" si="40"/>
        <v>0</v>
      </c>
      <c r="Z29" s="883">
        <f t="shared" si="41"/>
        <v>0</v>
      </c>
      <c r="AA29" s="883">
        <f t="shared" si="42"/>
        <v>0</v>
      </c>
      <c r="AB29" s="883">
        <f t="shared" si="26"/>
        <v>0</v>
      </c>
      <c r="AC29" s="888"/>
      <c r="AD29" s="885">
        <f t="shared" si="43"/>
        <v>0</v>
      </c>
      <c r="AE29" s="883">
        <f t="shared" si="43"/>
        <v>0</v>
      </c>
      <c r="AF29" s="883">
        <f t="shared" si="43"/>
        <v>0</v>
      </c>
      <c r="AG29" s="883">
        <f t="shared" si="43"/>
        <v>0</v>
      </c>
      <c r="AH29" s="883">
        <f t="shared" si="43"/>
        <v>0</v>
      </c>
      <c r="AI29" s="883">
        <f t="shared" si="43"/>
        <v>0</v>
      </c>
      <c r="AJ29" s="889">
        <f t="shared" si="6"/>
        <v>0</v>
      </c>
      <c r="AK29" s="885">
        <f t="shared" si="19"/>
        <v>0</v>
      </c>
      <c r="AL29" s="883">
        <f t="shared" si="20"/>
        <v>0</v>
      </c>
      <c r="AM29" s="883">
        <f t="shared" si="21"/>
        <v>0</v>
      </c>
      <c r="AN29" s="883">
        <f t="shared" si="22"/>
        <v>0</v>
      </c>
      <c r="AO29" s="883">
        <f t="shared" si="23"/>
        <v>0</v>
      </c>
      <c r="AP29" s="883">
        <f t="shared" si="24"/>
        <v>0</v>
      </c>
      <c r="AQ29" s="890">
        <f t="shared" si="27"/>
        <v>0</v>
      </c>
    </row>
    <row r="30" spans="1:43">
      <c r="A30" s="817"/>
      <c r="B30" s="865" t="s">
        <v>1611</v>
      </c>
      <c r="C30" s="883"/>
      <c r="D30" s="883"/>
      <c r="E30" s="883">
        <f>HLOOKUP($B$2,'Consumption Input'!$E$5:$AQ$82,'Consumption Input'!$B35)</f>
        <v>-0.24230399999999999</v>
      </c>
      <c r="F30" s="883"/>
      <c r="G30" s="883"/>
      <c r="H30" s="883"/>
      <c r="I30" s="883">
        <f t="shared" ref="I30:I41" si="48">SUM(C30:H30)</f>
        <v>-0.24230399999999999</v>
      </c>
      <c r="J30" s="884"/>
      <c r="K30" s="883"/>
      <c r="L30" s="883"/>
      <c r="M30" s="883"/>
      <c r="N30" s="885">
        <f t="shared" si="32"/>
        <v>0</v>
      </c>
      <c r="O30" s="883">
        <f t="shared" si="32"/>
        <v>0</v>
      </c>
      <c r="P30" s="883">
        <f t="shared" si="33"/>
        <v>-0.24230399999999999</v>
      </c>
      <c r="Q30" s="883">
        <f t="shared" si="34"/>
        <v>0</v>
      </c>
      <c r="R30" s="883">
        <f t="shared" si="35"/>
        <v>0</v>
      </c>
      <c r="S30" s="886">
        <f t="shared" si="36"/>
        <v>0</v>
      </c>
      <c r="T30" s="883">
        <f t="shared" si="4"/>
        <v>-0.24230399999999999</v>
      </c>
      <c r="U30" s="887">
        <f>Factors!D39</f>
        <v>18.87</v>
      </c>
      <c r="V30" s="885">
        <f t="shared" si="37"/>
        <v>0</v>
      </c>
      <c r="W30" s="883">
        <f t="shared" si="38"/>
        <v>0</v>
      </c>
      <c r="X30" s="883">
        <f t="shared" si="39"/>
        <v>-4.5722764799999999E-3</v>
      </c>
      <c r="Y30" s="883">
        <f t="shared" si="40"/>
        <v>0</v>
      </c>
      <c r="Z30" s="883">
        <f t="shared" si="41"/>
        <v>0</v>
      </c>
      <c r="AA30" s="883">
        <f t="shared" si="42"/>
        <v>0</v>
      </c>
      <c r="AB30" s="883">
        <f t="shared" si="26"/>
        <v>-4.5722764799999999E-3</v>
      </c>
      <c r="AC30" s="888">
        <f>Factors!E39</f>
        <v>1</v>
      </c>
      <c r="AD30" s="885">
        <f t="shared" si="43"/>
        <v>0</v>
      </c>
      <c r="AE30" s="883">
        <f t="shared" si="43"/>
        <v>0</v>
      </c>
      <c r="AF30" s="883">
        <f t="shared" si="43"/>
        <v>-4.5722764799999999E-3</v>
      </c>
      <c r="AG30" s="883">
        <f t="shared" si="43"/>
        <v>0</v>
      </c>
      <c r="AH30" s="883">
        <f t="shared" si="43"/>
        <v>0</v>
      </c>
      <c r="AI30" s="883">
        <f t="shared" si="43"/>
        <v>0</v>
      </c>
      <c r="AJ30" s="889">
        <f t="shared" si="6"/>
        <v>-4.5722764799999999E-3</v>
      </c>
      <c r="AK30" s="885">
        <f t="shared" si="19"/>
        <v>0</v>
      </c>
      <c r="AL30" s="883">
        <f t="shared" si="20"/>
        <v>0</v>
      </c>
      <c r="AM30" s="883">
        <f t="shared" si="21"/>
        <v>-1.6765013759999999E-2</v>
      </c>
      <c r="AN30" s="883">
        <f t="shared" si="22"/>
        <v>0</v>
      </c>
      <c r="AO30" s="883">
        <f t="shared" si="23"/>
        <v>0</v>
      </c>
      <c r="AP30" s="883">
        <f t="shared" si="24"/>
        <v>0</v>
      </c>
      <c r="AQ30" s="890">
        <f t="shared" si="27"/>
        <v>-1.6765013759999999E-2</v>
      </c>
    </row>
    <row r="31" spans="1:43">
      <c r="A31" s="817"/>
      <c r="B31" s="865" t="s">
        <v>1612</v>
      </c>
      <c r="C31" s="883"/>
      <c r="D31" s="883"/>
      <c r="E31" s="883">
        <f>HLOOKUP($B$2,'Consumption Input'!$E$5:$AQ$82,'Consumption Input'!$B36)</f>
        <v>0</v>
      </c>
      <c r="F31" s="883"/>
      <c r="G31" s="883"/>
      <c r="H31" s="883"/>
      <c r="I31" s="883">
        <f t="shared" si="48"/>
        <v>0</v>
      </c>
      <c r="J31" s="884"/>
      <c r="K31" s="883"/>
      <c r="L31" s="883"/>
      <c r="M31" s="883"/>
      <c r="N31" s="885">
        <f t="shared" si="32"/>
        <v>0</v>
      </c>
      <c r="O31" s="883">
        <f t="shared" si="32"/>
        <v>0</v>
      </c>
      <c r="P31" s="883">
        <f t="shared" si="33"/>
        <v>0</v>
      </c>
      <c r="Q31" s="883">
        <f t="shared" si="34"/>
        <v>0</v>
      </c>
      <c r="R31" s="883">
        <f t="shared" si="35"/>
        <v>0</v>
      </c>
      <c r="S31" s="886">
        <f t="shared" si="36"/>
        <v>0</v>
      </c>
      <c r="T31" s="883">
        <f t="shared" si="4"/>
        <v>0</v>
      </c>
      <c r="U31" s="887">
        <f>HLOOKUP($B$2,Factors!$J$12:$AE$25,Factors!$H25,FALSE)</f>
        <v>20.305515594827586</v>
      </c>
      <c r="V31" s="885">
        <f t="shared" si="37"/>
        <v>0</v>
      </c>
      <c r="W31" s="883">
        <f t="shared" si="38"/>
        <v>0</v>
      </c>
      <c r="X31" s="883">
        <f t="shared" si="39"/>
        <v>0</v>
      </c>
      <c r="Y31" s="883">
        <f t="shared" si="40"/>
        <v>0</v>
      </c>
      <c r="Z31" s="883">
        <f t="shared" si="41"/>
        <v>0</v>
      </c>
      <c r="AA31" s="883">
        <f t="shared" si="42"/>
        <v>0</v>
      </c>
      <c r="AB31" s="883">
        <f t="shared" si="26"/>
        <v>0</v>
      </c>
      <c r="AC31" s="888">
        <f>Factors!E40</f>
        <v>1</v>
      </c>
      <c r="AD31" s="885">
        <f t="shared" si="43"/>
        <v>0</v>
      </c>
      <c r="AE31" s="883">
        <f t="shared" si="43"/>
        <v>0</v>
      </c>
      <c r="AF31" s="883">
        <f t="shared" si="43"/>
        <v>0</v>
      </c>
      <c r="AG31" s="883">
        <f t="shared" si="43"/>
        <v>0</v>
      </c>
      <c r="AH31" s="883">
        <f t="shared" si="43"/>
        <v>0</v>
      </c>
      <c r="AI31" s="883">
        <f t="shared" si="43"/>
        <v>0</v>
      </c>
      <c r="AJ31" s="889">
        <f t="shared" si="6"/>
        <v>0</v>
      </c>
      <c r="AK31" s="885">
        <f t="shared" si="19"/>
        <v>0</v>
      </c>
      <c r="AL31" s="883">
        <f t="shared" si="20"/>
        <v>0</v>
      </c>
      <c r="AM31" s="883">
        <f t="shared" si="21"/>
        <v>0</v>
      </c>
      <c r="AN31" s="883">
        <f t="shared" si="22"/>
        <v>0</v>
      </c>
      <c r="AO31" s="883">
        <f t="shared" si="23"/>
        <v>0</v>
      </c>
      <c r="AP31" s="883">
        <f t="shared" si="24"/>
        <v>0</v>
      </c>
      <c r="AQ31" s="890">
        <f t="shared" si="27"/>
        <v>0</v>
      </c>
    </row>
    <row r="32" spans="1:43">
      <c r="A32" s="817"/>
      <c r="B32" s="865" t="s">
        <v>1613</v>
      </c>
      <c r="C32" s="883"/>
      <c r="D32" s="883"/>
      <c r="E32" s="883">
        <f>HLOOKUP($B$2,'Consumption Input'!$E$5:$AQ$82,'Consumption Input'!$B37)</f>
        <v>0</v>
      </c>
      <c r="F32" s="883"/>
      <c r="G32" s="883"/>
      <c r="H32" s="883"/>
      <c r="I32" s="883">
        <f t="shared" si="48"/>
        <v>0</v>
      </c>
      <c r="J32" s="884"/>
      <c r="K32" s="883"/>
      <c r="L32" s="883"/>
      <c r="M32" s="883"/>
      <c r="N32" s="885">
        <f t="shared" si="32"/>
        <v>0</v>
      </c>
      <c r="O32" s="883">
        <f t="shared" si="32"/>
        <v>0</v>
      </c>
      <c r="P32" s="883">
        <f t="shared" si="33"/>
        <v>0</v>
      </c>
      <c r="Q32" s="883">
        <f t="shared" si="34"/>
        <v>0</v>
      </c>
      <c r="R32" s="883">
        <f t="shared" si="35"/>
        <v>0</v>
      </c>
      <c r="S32" s="886">
        <f t="shared" si="36"/>
        <v>0</v>
      </c>
      <c r="T32" s="883">
        <f t="shared" si="4"/>
        <v>0</v>
      </c>
      <c r="U32" s="887">
        <f>HLOOKUP($B$2,Factors!$J$12:$AE$25,Factors!$H22,FALSE)</f>
        <v>19.456118437849259</v>
      </c>
      <c r="V32" s="885">
        <f t="shared" si="37"/>
        <v>0</v>
      </c>
      <c r="W32" s="883">
        <f t="shared" si="38"/>
        <v>0</v>
      </c>
      <c r="X32" s="883">
        <f t="shared" si="39"/>
        <v>0</v>
      </c>
      <c r="Y32" s="883">
        <f t="shared" si="40"/>
        <v>0</v>
      </c>
      <c r="Z32" s="883">
        <f t="shared" si="41"/>
        <v>0</v>
      </c>
      <c r="AA32" s="883">
        <f t="shared" si="42"/>
        <v>0</v>
      </c>
      <c r="AB32" s="883">
        <f t="shared" si="26"/>
        <v>0</v>
      </c>
      <c r="AC32" s="888">
        <f>Factors!E41</f>
        <v>1</v>
      </c>
      <c r="AD32" s="885">
        <f t="shared" si="43"/>
        <v>0</v>
      </c>
      <c r="AE32" s="883">
        <f t="shared" si="43"/>
        <v>0</v>
      </c>
      <c r="AF32" s="883">
        <f t="shared" si="43"/>
        <v>0</v>
      </c>
      <c r="AG32" s="883">
        <f t="shared" si="43"/>
        <v>0</v>
      </c>
      <c r="AH32" s="883">
        <f t="shared" si="43"/>
        <v>0</v>
      </c>
      <c r="AI32" s="883">
        <f t="shared" si="43"/>
        <v>0</v>
      </c>
      <c r="AJ32" s="889">
        <f t="shared" si="6"/>
        <v>0</v>
      </c>
      <c r="AK32" s="885">
        <f t="shared" si="19"/>
        <v>0</v>
      </c>
      <c r="AL32" s="883">
        <f t="shared" si="20"/>
        <v>0</v>
      </c>
      <c r="AM32" s="883">
        <f t="shared" si="21"/>
        <v>0</v>
      </c>
      <c r="AN32" s="883">
        <f t="shared" si="22"/>
        <v>0</v>
      </c>
      <c r="AO32" s="883">
        <f t="shared" si="23"/>
        <v>0</v>
      </c>
      <c r="AP32" s="883">
        <f t="shared" si="24"/>
        <v>0</v>
      </c>
      <c r="AQ32" s="890">
        <f t="shared" si="27"/>
        <v>0</v>
      </c>
    </row>
    <row r="33" spans="1:43">
      <c r="A33" s="817"/>
      <c r="B33" s="865" t="s">
        <v>1739</v>
      </c>
      <c r="C33" s="883"/>
      <c r="D33" s="883"/>
      <c r="E33" s="883">
        <f>HLOOKUP($B$2,'Consumption Input'!$E$5:$AQ$82,'Consumption Input'!$B38)</f>
        <v>158.69992823999999</v>
      </c>
      <c r="F33" s="883"/>
      <c r="G33" s="883"/>
      <c r="H33" s="883">
        <f>HLOOKUP($B$2,'US Territories'!$D$28:$Z$38,'US Territories'!$B38)</f>
        <v>26.376202826917783</v>
      </c>
      <c r="I33" s="883">
        <f t="shared" si="48"/>
        <v>185.07613106691778</v>
      </c>
      <c r="J33" s="884"/>
      <c r="K33" s="883">
        <f>HLOOKUP($B$2,NEUConsumption,'Non-Energy Use'!C22)</f>
        <v>158.69992823999999</v>
      </c>
      <c r="L33" s="883"/>
      <c r="M33" s="883">
        <f>HLOOKUP($B$2,NEUConsumption,'Non-Energy Use'!$C$27)</f>
        <v>26.376202826917783</v>
      </c>
      <c r="N33" s="885">
        <f t="shared" si="32"/>
        <v>0</v>
      </c>
      <c r="O33" s="883">
        <f t="shared" si="32"/>
        <v>0</v>
      </c>
      <c r="P33" s="883">
        <f t="shared" si="33"/>
        <v>0</v>
      </c>
      <c r="Q33" s="883">
        <f t="shared" si="34"/>
        <v>0</v>
      </c>
      <c r="R33" s="883">
        <f t="shared" si="35"/>
        <v>0</v>
      </c>
      <c r="S33" s="886">
        <f t="shared" si="36"/>
        <v>0</v>
      </c>
      <c r="T33" s="883">
        <f t="shared" si="4"/>
        <v>0</v>
      </c>
      <c r="U33" s="887">
        <f>HLOOKUP($B$2,Factors!$J$12:$AE$25,Factors!$H23,FALSE)</f>
        <v>0</v>
      </c>
      <c r="V33" s="885">
        <f t="shared" si="37"/>
        <v>0</v>
      </c>
      <c r="W33" s="883">
        <f t="shared" si="38"/>
        <v>0</v>
      </c>
      <c r="X33" s="883">
        <f t="shared" si="39"/>
        <v>0</v>
      </c>
      <c r="Y33" s="883">
        <f t="shared" si="40"/>
        <v>0</v>
      </c>
      <c r="Z33" s="883">
        <f t="shared" si="41"/>
        <v>0</v>
      </c>
      <c r="AA33" s="883">
        <f t="shared" si="42"/>
        <v>0</v>
      </c>
      <c r="AB33" s="883">
        <f t="shared" si="26"/>
        <v>0</v>
      </c>
      <c r="AC33" s="888">
        <f>Factors!E42</f>
        <v>1</v>
      </c>
      <c r="AD33" s="885">
        <f t="shared" si="43"/>
        <v>0</v>
      </c>
      <c r="AE33" s="883">
        <f t="shared" si="43"/>
        <v>0</v>
      </c>
      <c r="AF33" s="883">
        <f t="shared" si="43"/>
        <v>0</v>
      </c>
      <c r="AG33" s="883">
        <f t="shared" si="43"/>
        <v>0</v>
      </c>
      <c r="AH33" s="883">
        <f t="shared" si="43"/>
        <v>0</v>
      </c>
      <c r="AI33" s="883">
        <f t="shared" si="43"/>
        <v>0</v>
      </c>
      <c r="AJ33" s="889">
        <f t="shared" si="6"/>
        <v>0</v>
      </c>
      <c r="AK33" s="885">
        <f t="shared" si="19"/>
        <v>0</v>
      </c>
      <c r="AL33" s="883">
        <f t="shared" si="20"/>
        <v>0</v>
      </c>
      <c r="AM33" s="883">
        <f t="shared" si="21"/>
        <v>0</v>
      </c>
      <c r="AN33" s="883">
        <f t="shared" si="22"/>
        <v>0</v>
      </c>
      <c r="AO33" s="883">
        <f t="shared" si="23"/>
        <v>0</v>
      </c>
      <c r="AP33" s="883">
        <f t="shared" si="24"/>
        <v>0</v>
      </c>
      <c r="AQ33" s="890">
        <f t="shared" si="27"/>
        <v>0</v>
      </c>
    </row>
    <row r="34" spans="1:43">
      <c r="A34" s="817"/>
      <c r="B34" s="865" t="s">
        <v>1615</v>
      </c>
      <c r="C34" s="883"/>
      <c r="D34" s="883"/>
      <c r="E34" s="883">
        <f>HLOOKUP($B$2,'Consumption Input'!$E$5:$AQ$82,'Consumption Input'!$B39)</f>
        <v>490.57254399999999</v>
      </c>
      <c r="F34" s="883"/>
      <c r="G34" s="883"/>
      <c r="H34" s="883"/>
      <c r="I34" s="883">
        <f t="shared" si="48"/>
        <v>490.57254399999999</v>
      </c>
      <c r="J34" s="884"/>
      <c r="K34" s="883">
        <f>HLOOKUP($B$2,NEUConsumption,'Non-Energy Use'!C14)</f>
        <v>490.57254399999999</v>
      </c>
      <c r="L34" s="883"/>
      <c r="M34" s="883"/>
      <c r="N34" s="885">
        <f t="shared" si="32"/>
        <v>0</v>
      </c>
      <c r="O34" s="883">
        <f t="shared" si="32"/>
        <v>0</v>
      </c>
      <c r="P34" s="883">
        <f t="shared" si="33"/>
        <v>0</v>
      </c>
      <c r="Q34" s="883">
        <f t="shared" si="34"/>
        <v>0</v>
      </c>
      <c r="R34" s="883">
        <f t="shared" si="35"/>
        <v>0</v>
      </c>
      <c r="S34" s="886">
        <f t="shared" si="36"/>
        <v>0</v>
      </c>
      <c r="T34" s="883">
        <f t="shared" si="4"/>
        <v>0</v>
      </c>
      <c r="U34" s="887">
        <f>Factors!D44</f>
        <v>18.550649350649344</v>
      </c>
      <c r="V34" s="885">
        <f t="shared" si="37"/>
        <v>0</v>
      </c>
      <c r="W34" s="883">
        <f t="shared" si="38"/>
        <v>0</v>
      </c>
      <c r="X34" s="883">
        <f t="shared" si="39"/>
        <v>0</v>
      </c>
      <c r="Y34" s="883">
        <f t="shared" si="40"/>
        <v>0</v>
      </c>
      <c r="Z34" s="883">
        <f t="shared" si="41"/>
        <v>0</v>
      </c>
      <c r="AA34" s="883">
        <f t="shared" si="42"/>
        <v>0</v>
      </c>
      <c r="AB34" s="883">
        <f t="shared" si="26"/>
        <v>0</v>
      </c>
      <c r="AC34" s="888">
        <f>Factors!E44</f>
        <v>1</v>
      </c>
      <c r="AD34" s="885">
        <f t="shared" si="43"/>
        <v>0</v>
      </c>
      <c r="AE34" s="883">
        <f t="shared" si="43"/>
        <v>0</v>
      </c>
      <c r="AF34" s="883">
        <f t="shared" si="43"/>
        <v>0</v>
      </c>
      <c r="AG34" s="883">
        <f t="shared" si="43"/>
        <v>0</v>
      </c>
      <c r="AH34" s="883">
        <f t="shared" si="43"/>
        <v>0</v>
      </c>
      <c r="AI34" s="883">
        <f t="shared" si="43"/>
        <v>0</v>
      </c>
      <c r="AJ34" s="889">
        <f t="shared" si="6"/>
        <v>0</v>
      </c>
      <c r="AK34" s="885">
        <f t="shared" si="19"/>
        <v>0</v>
      </c>
      <c r="AL34" s="883">
        <f t="shared" si="20"/>
        <v>0</v>
      </c>
      <c r="AM34" s="883">
        <f t="shared" si="21"/>
        <v>0</v>
      </c>
      <c r="AN34" s="883">
        <f t="shared" si="22"/>
        <v>0</v>
      </c>
      <c r="AO34" s="883">
        <f t="shared" si="23"/>
        <v>0</v>
      </c>
      <c r="AP34" s="883">
        <f t="shared" si="24"/>
        <v>0</v>
      </c>
      <c r="AQ34" s="890">
        <f t="shared" si="27"/>
        <v>0</v>
      </c>
    </row>
    <row r="35" spans="1:43">
      <c r="A35" s="817"/>
      <c r="B35" s="865" t="s">
        <v>1616</v>
      </c>
      <c r="C35" s="883"/>
      <c r="D35" s="883"/>
      <c r="E35" s="883">
        <f>HLOOKUP($B$2,'Consumption Input'!$E$5:$AQ$82,'Consumption Input'!$B40)</f>
        <v>452.52095000000003</v>
      </c>
      <c r="F35" s="883"/>
      <c r="G35" s="883"/>
      <c r="H35" s="883"/>
      <c r="I35" s="883">
        <f t="shared" si="48"/>
        <v>452.52095000000003</v>
      </c>
      <c r="J35" s="884"/>
      <c r="K35" s="883">
        <f>HLOOKUP($B$2,NEUConsumption,'Non-Energy Use'!$C$15)</f>
        <v>452.52095000000003</v>
      </c>
      <c r="L35" s="883"/>
      <c r="M35" s="883"/>
      <c r="N35" s="885">
        <f t="shared" si="32"/>
        <v>0</v>
      </c>
      <c r="O35" s="883">
        <f t="shared" si="32"/>
        <v>0</v>
      </c>
      <c r="P35" s="883">
        <f t="shared" si="33"/>
        <v>0</v>
      </c>
      <c r="Q35" s="883">
        <f t="shared" si="34"/>
        <v>0</v>
      </c>
      <c r="R35" s="883">
        <f t="shared" si="35"/>
        <v>0</v>
      </c>
      <c r="S35" s="886">
        <f t="shared" si="36"/>
        <v>0</v>
      </c>
      <c r="T35" s="883">
        <f t="shared" si="4"/>
        <v>0</v>
      </c>
      <c r="U35" s="887">
        <f>Factors!D45</f>
        <v>20.170000000000002</v>
      </c>
      <c r="V35" s="885">
        <f t="shared" si="37"/>
        <v>0</v>
      </c>
      <c r="W35" s="883">
        <f t="shared" si="38"/>
        <v>0</v>
      </c>
      <c r="X35" s="883">
        <f t="shared" si="39"/>
        <v>0</v>
      </c>
      <c r="Y35" s="883">
        <f t="shared" si="40"/>
        <v>0</v>
      </c>
      <c r="Z35" s="883">
        <f t="shared" si="41"/>
        <v>0</v>
      </c>
      <c r="AA35" s="883">
        <f t="shared" si="42"/>
        <v>0</v>
      </c>
      <c r="AB35" s="883">
        <f t="shared" si="26"/>
        <v>0</v>
      </c>
      <c r="AC35" s="888">
        <f>Factors!E45</f>
        <v>1</v>
      </c>
      <c r="AD35" s="885">
        <f t="shared" si="43"/>
        <v>0</v>
      </c>
      <c r="AE35" s="883">
        <f t="shared" si="43"/>
        <v>0</v>
      </c>
      <c r="AF35" s="883">
        <f t="shared" si="43"/>
        <v>0</v>
      </c>
      <c r="AG35" s="883">
        <f t="shared" si="43"/>
        <v>0</v>
      </c>
      <c r="AH35" s="883">
        <f t="shared" si="43"/>
        <v>0</v>
      </c>
      <c r="AI35" s="883">
        <f t="shared" si="43"/>
        <v>0</v>
      </c>
      <c r="AJ35" s="889">
        <f t="shared" si="6"/>
        <v>0</v>
      </c>
      <c r="AK35" s="885">
        <f t="shared" si="19"/>
        <v>0</v>
      </c>
      <c r="AL35" s="883">
        <f t="shared" si="20"/>
        <v>0</v>
      </c>
      <c r="AM35" s="883">
        <f t="shared" si="21"/>
        <v>0</v>
      </c>
      <c r="AN35" s="883">
        <f t="shared" si="22"/>
        <v>0</v>
      </c>
      <c r="AO35" s="883">
        <f t="shared" si="23"/>
        <v>0</v>
      </c>
      <c r="AP35" s="883">
        <f t="shared" si="24"/>
        <v>0</v>
      </c>
      <c r="AQ35" s="890">
        <f t="shared" si="27"/>
        <v>0</v>
      </c>
    </row>
    <row r="36" spans="1:43">
      <c r="A36" s="817"/>
      <c r="B36" s="865" t="s">
        <v>1617</v>
      </c>
      <c r="C36" s="883"/>
      <c r="D36" s="883"/>
      <c r="E36" s="883">
        <f>HLOOKUP($B$2,'Consumption Input'!$E$5:$AQ$82,'Consumption Input'!$B41)</f>
        <v>0</v>
      </c>
      <c r="F36" s="883"/>
      <c r="G36" s="883"/>
      <c r="H36" s="883"/>
      <c r="I36" s="883">
        <f t="shared" si="48"/>
        <v>0</v>
      </c>
      <c r="J36" s="884"/>
      <c r="K36" s="883">
        <f>HLOOKUP($B$2,NEUConsumption,'Non-Energy Use'!$C$13)</f>
        <v>0</v>
      </c>
      <c r="L36" s="883"/>
      <c r="M36" s="883"/>
      <c r="N36" s="885">
        <f t="shared" si="32"/>
        <v>0</v>
      </c>
      <c r="O36" s="883">
        <f t="shared" si="32"/>
        <v>0</v>
      </c>
      <c r="P36" s="883">
        <f t="shared" si="33"/>
        <v>0</v>
      </c>
      <c r="Q36" s="883">
        <f t="shared" si="34"/>
        <v>0</v>
      </c>
      <c r="R36" s="883">
        <f t="shared" si="35"/>
        <v>0</v>
      </c>
      <c r="S36" s="886">
        <f t="shared" si="36"/>
        <v>0</v>
      </c>
      <c r="T36" s="883">
        <f t="shared" si="4"/>
        <v>0</v>
      </c>
      <c r="U36" s="887">
        <f>Factors!D46</f>
        <v>18.239999999999998</v>
      </c>
      <c r="V36" s="885">
        <f t="shared" si="37"/>
        <v>0</v>
      </c>
      <c r="W36" s="883">
        <f t="shared" si="38"/>
        <v>0</v>
      </c>
      <c r="X36" s="883">
        <f t="shared" si="39"/>
        <v>0</v>
      </c>
      <c r="Y36" s="883">
        <f t="shared" si="40"/>
        <v>0</v>
      </c>
      <c r="Z36" s="883">
        <f t="shared" si="41"/>
        <v>0</v>
      </c>
      <c r="AA36" s="883">
        <f t="shared" si="42"/>
        <v>0</v>
      </c>
      <c r="AB36" s="883">
        <f t="shared" si="26"/>
        <v>0</v>
      </c>
      <c r="AC36" s="888">
        <f>Factors!E46</f>
        <v>1</v>
      </c>
      <c r="AD36" s="885">
        <f t="shared" ref="AD36:AI42" si="49">V36*$AC36</f>
        <v>0</v>
      </c>
      <c r="AE36" s="883">
        <f t="shared" si="49"/>
        <v>0</v>
      </c>
      <c r="AF36" s="883">
        <f t="shared" si="49"/>
        <v>0</v>
      </c>
      <c r="AG36" s="883">
        <f t="shared" si="49"/>
        <v>0</v>
      </c>
      <c r="AH36" s="883">
        <f t="shared" si="49"/>
        <v>0</v>
      </c>
      <c r="AI36" s="883">
        <f t="shared" si="49"/>
        <v>0</v>
      </c>
      <c r="AJ36" s="889">
        <f t="shared" si="6"/>
        <v>0</v>
      </c>
      <c r="AK36" s="885">
        <f t="shared" si="19"/>
        <v>0</v>
      </c>
      <c r="AL36" s="883">
        <f t="shared" si="20"/>
        <v>0</v>
      </c>
      <c r="AM36" s="883">
        <f t="shared" si="21"/>
        <v>0</v>
      </c>
      <c r="AN36" s="883">
        <f t="shared" si="22"/>
        <v>0</v>
      </c>
      <c r="AO36" s="883">
        <f t="shared" si="23"/>
        <v>0</v>
      </c>
      <c r="AP36" s="883">
        <f t="shared" si="24"/>
        <v>0</v>
      </c>
      <c r="AQ36" s="890">
        <f t="shared" si="27"/>
        <v>0</v>
      </c>
    </row>
    <row r="37" spans="1:43">
      <c r="A37" s="817"/>
      <c r="B37" s="865" t="s">
        <v>1604</v>
      </c>
      <c r="C37" s="883"/>
      <c r="D37" s="883">
        <f>HLOOKUP($B$2,'Consumption Input'!$E$5:$AQ$82,'Consumption Input'!$B21)</f>
        <v>0.34599999999999992</v>
      </c>
      <c r="E37" s="883">
        <f>HLOOKUP($B$2,'Consumption Input'!$E$5:$AQ$82,'Consumption Input'!$B42)</f>
        <v>693.9849999999999</v>
      </c>
      <c r="F37" s="883"/>
      <c r="G37" s="883">
        <f>HLOOKUP($B$2,'Consumption Input'!$E$5:$AQ$82,'Consumption Input'!$B63)</f>
        <v>136.595</v>
      </c>
      <c r="H37" s="883"/>
      <c r="I37" s="883">
        <f t="shared" si="48"/>
        <v>830.92599999999993</v>
      </c>
      <c r="J37" s="884"/>
      <c r="K37" s="883">
        <f>HLOOKUP($B$2,NEUConsumption,'Non-Energy Use'!$C$17)</f>
        <v>60.951921357330654</v>
      </c>
      <c r="L37" s="883"/>
      <c r="M37" s="883"/>
      <c r="N37" s="885">
        <f t="shared" si="32"/>
        <v>0</v>
      </c>
      <c r="O37" s="883">
        <f t="shared" si="32"/>
        <v>0.34599999999999992</v>
      </c>
      <c r="P37" s="883">
        <f t="shared" si="33"/>
        <v>633.03307864266924</v>
      </c>
      <c r="Q37" s="883">
        <f t="shared" si="34"/>
        <v>0</v>
      </c>
      <c r="R37" s="883">
        <f t="shared" si="35"/>
        <v>136.595</v>
      </c>
      <c r="S37" s="886">
        <f t="shared" si="36"/>
        <v>0</v>
      </c>
      <c r="T37" s="883">
        <f t="shared" si="4"/>
        <v>769.97407864266927</v>
      </c>
      <c r="U37" s="887">
        <f>Factors!D48</f>
        <v>27.84770010865628</v>
      </c>
      <c r="V37" s="885">
        <f t="shared" si="37"/>
        <v>0</v>
      </c>
      <c r="W37" s="883">
        <f t="shared" si="38"/>
        <v>9.6353042375950711E-3</v>
      </c>
      <c r="X37" s="883">
        <f t="shared" si="39"/>
        <v>17.628515332900481</v>
      </c>
      <c r="Y37" s="883">
        <f t="shared" si="40"/>
        <v>0</v>
      </c>
      <c r="Z37" s="883">
        <f t="shared" si="41"/>
        <v>3.8038565963419049</v>
      </c>
      <c r="AA37" s="883">
        <f t="shared" si="42"/>
        <v>0</v>
      </c>
      <c r="AB37" s="883">
        <f t="shared" si="26"/>
        <v>21.44200723347998</v>
      </c>
      <c r="AC37" s="888">
        <f>Factors!E48</f>
        <v>1</v>
      </c>
      <c r="AD37" s="885">
        <f t="shared" si="49"/>
        <v>0</v>
      </c>
      <c r="AE37" s="883">
        <f t="shared" si="49"/>
        <v>9.6353042375950711E-3</v>
      </c>
      <c r="AF37" s="883">
        <f t="shared" si="49"/>
        <v>17.628515332900481</v>
      </c>
      <c r="AG37" s="883">
        <f t="shared" si="49"/>
        <v>0</v>
      </c>
      <c r="AH37" s="883">
        <f t="shared" si="49"/>
        <v>3.8038565963419049</v>
      </c>
      <c r="AI37" s="883">
        <f t="shared" si="49"/>
        <v>0</v>
      </c>
      <c r="AJ37" s="889">
        <f t="shared" si="6"/>
        <v>21.44200723347998</v>
      </c>
      <c r="AK37" s="885">
        <f t="shared" si="19"/>
        <v>0</v>
      </c>
      <c r="AL37" s="883">
        <f t="shared" si="20"/>
        <v>3.5329448871181925E-2</v>
      </c>
      <c r="AM37" s="883">
        <f t="shared" si="21"/>
        <v>64.637889553968421</v>
      </c>
      <c r="AN37" s="883">
        <f t="shared" si="22"/>
        <v>0</v>
      </c>
      <c r="AO37" s="883">
        <f t="shared" si="23"/>
        <v>13.947474186586984</v>
      </c>
      <c r="AP37" s="883">
        <f t="shared" si="24"/>
        <v>0</v>
      </c>
      <c r="AQ37" s="890">
        <f t="shared" si="27"/>
        <v>78.620693189426589</v>
      </c>
    </row>
    <row r="38" spans="1:43">
      <c r="A38" s="817"/>
      <c r="B38" s="865" t="s">
        <v>1618</v>
      </c>
      <c r="C38" s="883"/>
      <c r="D38" s="883"/>
      <c r="E38" s="883">
        <f>HLOOKUP($B$2,'Consumption Input'!$E$5:$AQ$82,'Consumption Input'!$B43)</f>
        <v>1471.8119999999999</v>
      </c>
      <c r="F38" s="883"/>
      <c r="G38" s="883"/>
      <c r="H38" s="883"/>
      <c r="I38" s="883">
        <f t="shared" si="48"/>
        <v>1471.8119999999999</v>
      </c>
      <c r="J38" s="884"/>
      <c r="K38" s="883">
        <f>HLOOKUP($B$2,NEUConsumption,'Non-Energy Use'!$C$16)</f>
        <v>147.77069312812213</v>
      </c>
      <c r="L38" s="883"/>
      <c r="M38" s="883"/>
      <c r="N38" s="885">
        <f t="shared" si="32"/>
        <v>0</v>
      </c>
      <c r="O38" s="883">
        <f t="shared" si="32"/>
        <v>0</v>
      </c>
      <c r="P38" s="883">
        <f t="shared" si="33"/>
        <v>1324.0413068718779</v>
      </c>
      <c r="Q38" s="883">
        <f t="shared" si="34"/>
        <v>0</v>
      </c>
      <c r="R38" s="883">
        <f t="shared" si="35"/>
        <v>0</v>
      </c>
      <c r="S38" s="886">
        <f t="shared" si="36"/>
        <v>0</v>
      </c>
      <c r="T38" s="883">
        <f t="shared" si="4"/>
        <v>1324.0413068718779</v>
      </c>
      <c r="U38" s="887">
        <f>Factors!D51</f>
        <v>18.195454545454545</v>
      </c>
      <c r="V38" s="885">
        <f t="shared" si="37"/>
        <v>0</v>
      </c>
      <c r="W38" s="883">
        <f t="shared" si="38"/>
        <v>0</v>
      </c>
      <c r="X38" s="883">
        <f t="shared" si="39"/>
        <v>24.091533415491487</v>
      </c>
      <c r="Y38" s="883">
        <f t="shared" si="40"/>
        <v>0</v>
      </c>
      <c r="Z38" s="883">
        <f t="shared" si="41"/>
        <v>0</v>
      </c>
      <c r="AA38" s="883">
        <f t="shared" si="42"/>
        <v>0</v>
      </c>
      <c r="AB38" s="883">
        <f t="shared" si="26"/>
        <v>24.091533415491487</v>
      </c>
      <c r="AC38" s="888">
        <f>Factors!E51</f>
        <v>1</v>
      </c>
      <c r="AD38" s="885">
        <f t="shared" si="49"/>
        <v>0</v>
      </c>
      <c r="AE38" s="883">
        <f t="shared" si="49"/>
        <v>0</v>
      </c>
      <c r="AF38" s="883">
        <f t="shared" si="49"/>
        <v>24.091533415491487</v>
      </c>
      <c r="AG38" s="883">
        <f t="shared" si="49"/>
        <v>0</v>
      </c>
      <c r="AH38" s="883">
        <f t="shared" si="49"/>
        <v>0</v>
      </c>
      <c r="AI38" s="883">
        <f t="shared" si="49"/>
        <v>0</v>
      </c>
      <c r="AJ38" s="889">
        <f t="shared" si="6"/>
        <v>24.091533415491487</v>
      </c>
      <c r="AK38" s="885">
        <f t="shared" si="19"/>
        <v>0</v>
      </c>
      <c r="AL38" s="883">
        <f t="shared" si="20"/>
        <v>0</v>
      </c>
      <c r="AM38" s="883">
        <f t="shared" si="21"/>
        <v>88.335622523468786</v>
      </c>
      <c r="AN38" s="883">
        <f t="shared" si="22"/>
        <v>0</v>
      </c>
      <c r="AO38" s="883">
        <f t="shared" si="23"/>
        <v>0</v>
      </c>
      <c r="AP38" s="883">
        <f t="shared" si="24"/>
        <v>0</v>
      </c>
      <c r="AQ38" s="890">
        <f t="shared" si="27"/>
        <v>88.335622523468786</v>
      </c>
    </row>
    <row r="39" spans="1:43">
      <c r="A39" s="817"/>
      <c r="B39" s="865" t="s">
        <v>1619</v>
      </c>
      <c r="C39" s="883"/>
      <c r="D39" s="883"/>
      <c r="E39" s="883">
        <f>HLOOKUP($B$2,'Consumption Input'!$E$5:$AQ$82,'Consumption Input'!$B44)</f>
        <v>26.102455167999999</v>
      </c>
      <c r="F39" s="883"/>
      <c r="G39" s="883"/>
      <c r="H39" s="883"/>
      <c r="I39" s="883">
        <f t="shared" si="48"/>
        <v>26.102455167999999</v>
      </c>
      <c r="J39" s="884"/>
      <c r="K39" s="883">
        <f>HLOOKUP($B$2,NEUConsumption,'Non-Energy Use'!$C$18)</f>
        <v>26.102455167999999</v>
      </c>
      <c r="L39" s="883"/>
      <c r="M39" s="883"/>
      <c r="N39" s="885">
        <f t="shared" si="32"/>
        <v>0</v>
      </c>
      <c r="O39" s="883">
        <f t="shared" si="32"/>
        <v>0</v>
      </c>
      <c r="P39" s="883">
        <f t="shared" si="33"/>
        <v>0</v>
      </c>
      <c r="Q39" s="883">
        <f t="shared" si="34"/>
        <v>0</v>
      </c>
      <c r="R39" s="883">
        <f t="shared" si="35"/>
        <v>0</v>
      </c>
      <c r="S39" s="886">
        <f t="shared" si="36"/>
        <v>0</v>
      </c>
      <c r="T39" s="883">
        <f t="shared" si="4"/>
        <v>0</v>
      </c>
      <c r="U39" s="887">
        <f>Factors!D37</f>
        <v>19.737389135254986</v>
      </c>
      <c r="V39" s="885">
        <f t="shared" si="37"/>
        <v>0</v>
      </c>
      <c r="W39" s="883">
        <f t="shared" si="38"/>
        <v>0</v>
      </c>
      <c r="X39" s="883">
        <f t="shared" si="39"/>
        <v>0</v>
      </c>
      <c r="Y39" s="883">
        <f t="shared" si="40"/>
        <v>0</v>
      </c>
      <c r="Z39" s="883">
        <f t="shared" si="41"/>
        <v>0</v>
      </c>
      <c r="AA39" s="883">
        <f t="shared" si="42"/>
        <v>0</v>
      </c>
      <c r="AB39" s="883">
        <f t="shared" si="26"/>
        <v>0</v>
      </c>
      <c r="AC39" s="888">
        <f>Factors!E37</f>
        <v>1</v>
      </c>
      <c r="AD39" s="885">
        <f t="shared" si="49"/>
        <v>0</v>
      </c>
      <c r="AE39" s="883">
        <f t="shared" si="49"/>
        <v>0</v>
      </c>
      <c r="AF39" s="883">
        <f t="shared" si="49"/>
        <v>0</v>
      </c>
      <c r="AG39" s="883">
        <f t="shared" si="49"/>
        <v>0</v>
      </c>
      <c r="AH39" s="883">
        <f t="shared" si="49"/>
        <v>0</v>
      </c>
      <c r="AI39" s="883">
        <f t="shared" si="49"/>
        <v>0</v>
      </c>
      <c r="AJ39" s="889">
        <f t="shared" si="6"/>
        <v>0</v>
      </c>
      <c r="AK39" s="885">
        <f t="shared" si="19"/>
        <v>0</v>
      </c>
      <c r="AL39" s="883">
        <f t="shared" si="20"/>
        <v>0</v>
      </c>
      <c r="AM39" s="883">
        <f t="shared" si="21"/>
        <v>0</v>
      </c>
      <c r="AN39" s="883">
        <f t="shared" si="22"/>
        <v>0</v>
      </c>
      <c r="AO39" s="883">
        <f t="shared" si="23"/>
        <v>0</v>
      </c>
      <c r="AP39" s="883">
        <f t="shared" si="24"/>
        <v>0</v>
      </c>
      <c r="AQ39" s="890">
        <f t="shared" si="27"/>
        <v>0</v>
      </c>
    </row>
    <row r="40" spans="1:43">
      <c r="A40" s="817"/>
      <c r="B40" s="865" t="s">
        <v>1620</v>
      </c>
      <c r="C40" s="883"/>
      <c r="D40" s="883"/>
      <c r="E40" s="883">
        <f>HLOOKUP($B$2,'Consumption Input'!$E$5:$AQ$82,'Consumption Input'!$B45)</f>
        <v>0</v>
      </c>
      <c r="F40" s="883"/>
      <c r="G40" s="883"/>
      <c r="H40" s="883"/>
      <c r="I40" s="883">
        <f t="shared" si="48"/>
        <v>0</v>
      </c>
      <c r="J40" s="884"/>
      <c r="K40" s="883"/>
      <c r="L40" s="883"/>
      <c r="M40" s="883"/>
      <c r="N40" s="885">
        <f t="shared" si="32"/>
        <v>0</v>
      </c>
      <c r="O40" s="883">
        <f t="shared" si="32"/>
        <v>0</v>
      </c>
      <c r="P40" s="883">
        <f t="shared" si="33"/>
        <v>0</v>
      </c>
      <c r="Q40" s="883">
        <f t="shared" si="34"/>
        <v>0</v>
      </c>
      <c r="R40" s="883">
        <f t="shared" si="35"/>
        <v>0</v>
      </c>
      <c r="S40" s="886">
        <f t="shared" si="36"/>
        <v>0</v>
      </c>
      <c r="T40" s="883">
        <f t="shared" si="4"/>
        <v>0</v>
      </c>
      <c r="U40" s="887">
        <f>HLOOKUP($B$2,Factors!$J$12:$AE$25,Factors!$H24,FALSE)</f>
        <v>20.305515594827586</v>
      </c>
      <c r="V40" s="885">
        <f t="shared" si="37"/>
        <v>0</v>
      </c>
      <c r="W40" s="883">
        <f t="shared" si="38"/>
        <v>0</v>
      </c>
      <c r="X40" s="883">
        <f t="shared" si="39"/>
        <v>0</v>
      </c>
      <c r="Y40" s="883">
        <f t="shared" si="40"/>
        <v>0</v>
      </c>
      <c r="Z40" s="883">
        <f t="shared" si="41"/>
        <v>0</v>
      </c>
      <c r="AA40" s="883">
        <f t="shared" si="42"/>
        <v>0</v>
      </c>
      <c r="AB40" s="883">
        <f t="shared" si="26"/>
        <v>0</v>
      </c>
      <c r="AC40" s="888">
        <f>Factors!E53</f>
        <v>1</v>
      </c>
      <c r="AD40" s="885">
        <f t="shared" si="49"/>
        <v>0</v>
      </c>
      <c r="AE40" s="883">
        <f t="shared" si="49"/>
        <v>0</v>
      </c>
      <c r="AF40" s="883">
        <f t="shared" si="49"/>
        <v>0</v>
      </c>
      <c r="AG40" s="883">
        <f t="shared" si="49"/>
        <v>0</v>
      </c>
      <c r="AH40" s="883">
        <f t="shared" si="49"/>
        <v>0</v>
      </c>
      <c r="AI40" s="883">
        <f t="shared" si="49"/>
        <v>0</v>
      </c>
      <c r="AJ40" s="889">
        <f t="shared" si="6"/>
        <v>0</v>
      </c>
      <c r="AK40" s="885">
        <f t="shared" si="19"/>
        <v>0</v>
      </c>
      <c r="AL40" s="883">
        <f t="shared" si="20"/>
        <v>0</v>
      </c>
      <c r="AM40" s="883">
        <f t="shared" si="21"/>
        <v>0</v>
      </c>
      <c r="AN40" s="883">
        <f t="shared" si="22"/>
        <v>0</v>
      </c>
      <c r="AO40" s="883">
        <f t="shared" si="23"/>
        <v>0</v>
      </c>
      <c r="AP40" s="883">
        <f t="shared" si="24"/>
        <v>0</v>
      </c>
      <c r="AQ40" s="890">
        <f t="shared" si="27"/>
        <v>0</v>
      </c>
    </row>
    <row r="41" spans="1:43">
      <c r="A41" s="817"/>
      <c r="B41" s="865" t="s">
        <v>1621</v>
      </c>
      <c r="C41" s="883"/>
      <c r="D41" s="883"/>
      <c r="E41" s="883">
        <f>HLOOKUP($B$2,'Consumption Input'!$E$5:$AQ$82,'Consumption Input'!$B46)</f>
        <v>17.082724715000001</v>
      </c>
      <c r="F41" s="883"/>
      <c r="G41" s="883"/>
      <c r="H41" s="883"/>
      <c r="I41" s="883">
        <f t="shared" si="48"/>
        <v>17.082724715000001</v>
      </c>
      <c r="J41" s="884"/>
      <c r="K41" s="883">
        <f>HLOOKUP($B$2,NEUConsumption,'Non-Energy Use'!$C$21)</f>
        <v>17.082724715000001</v>
      </c>
      <c r="L41" s="883"/>
      <c r="M41" s="883"/>
      <c r="N41" s="885">
        <f t="shared" si="32"/>
        <v>0</v>
      </c>
      <c r="O41" s="883">
        <f t="shared" si="32"/>
        <v>0</v>
      </c>
      <c r="P41" s="883">
        <f t="shared" si="33"/>
        <v>0</v>
      </c>
      <c r="Q41" s="883">
        <f t="shared" si="34"/>
        <v>0</v>
      </c>
      <c r="R41" s="883">
        <f t="shared" si="35"/>
        <v>0</v>
      </c>
      <c r="S41" s="886">
        <f t="shared" si="36"/>
        <v>0</v>
      </c>
      <c r="T41" s="883">
        <f t="shared" si="4"/>
        <v>0</v>
      </c>
      <c r="U41" s="887">
        <f>Factors!D55</f>
        <v>19.795754182606267</v>
      </c>
      <c r="V41" s="899">
        <f t="shared" si="37"/>
        <v>0</v>
      </c>
      <c r="W41" s="900">
        <f t="shared" si="38"/>
        <v>0</v>
      </c>
      <c r="X41" s="900">
        <f t="shared" si="39"/>
        <v>0</v>
      </c>
      <c r="Y41" s="900">
        <f t="shared" si="40"/>
        <v>0</v>
      </c>
      <c r="Z41" s="900">
        <f t="shared" si="41"/>
        <v>0</v>
      </c>
      <c r="AA41" s="900">
        <f t="shared" si="42"/>
        <v>0</v>
      </c>
      <c r="AB41" s="883">
        <f t="shared" si="26"/>
        <v>0</v>
      </c>
      <c r="AC41" s="888">
        <f>Factors!E55</f>
        <v>1</v>
      </c>
      <c r="AD41" s="885">
        <f t="shared" si="49"/>
        <v>0</v>
      </c>
      <c r="AE41" s="883">
        <f t="shared" si="49"/>
        <v>0</v>
      </c>
      <c r="AF41" s="883">
        <f t="shared" si="49"/>
        <v>0</v>
      </c>
      <c r="AG41" s="883">
        <f t="shared" si="49"/>
        <v>0</v>
      </c>
      <c r="AH41" s="883">
        <f t="shared" si="49"/>
        <v>0</v>
      </c>
      <c r="AI41" s="883">
        <f t="shared" si="49"/>
        <v>0</v>
      </c>
      <c r="AJ41" s="889">
        <f t="shared" si="6"/>
        <v>0</v>
      </c>
      <c r="AK41" s="885">
        <f t="shared" si="19"/>
        <v>0</v>
      </c>
      <c r="AL41" s="883">
        <f t="shared" si="20"/>
        <v>0</v>
      </c>
      <c r="AM41" s="883">
        <f t="shared" si="21"/>
        <v>0</v>
      </c>
      <c r="AN41" s="883">
        <f t="shared" si="22"/>
        <v>0</v>
      </c>
      <c r="AO41" s="883">
        <f t="shared" si="23"/>
        <v>0</v>
      </c>
      <c r="AP41" s="883">
        <f t="shared" si="24"/>
        <v>0</v>
      </c>
      <c r="AQ41" s="890">
        <f t="shared" si="27"/>
        <v>0</v>
      </c>
    </row>
    <row r="42" spans="1:43" ht="11.1" thickBot="1">
      <c r="A42" s="817"/>
      <c r="B42" s="866" t="s">
        <v>82</v>
      </c>
      <c r="C42" s="917"/>
      <c r="D42" s="917"/>
      <c r="E42" s="917"/>
      <c r="F42" s="917"/>
      <c r="G42" s="917">
        <f>INDEX(Geothermal!$C$6:$AE$10,MATCH("Total",Geothermal!$C$6:$C$10,0),MATCH($B$2,Geothermal!$C$6:$AE$6,0))/Factors!$J$61*Factors!$J$55/BBtuToBtu*BBtuToTBtu</f>
        <v>51.927955165439997</v>
      </c>
      <c r="H42" s="917"/>
      <c r="I42" s="917">
        <f>G42</f>
        <v>51.927955165439997</v>
      </c>
      <c r="J42" s="918"/>
      <c r="K42" s="919"/>
      <c r="L42" s="917"/>
      <c r="M42" s="920"/>
      <c r="N42" s="917">
        <f t="shared" si="32"/>
        <v>0</v>
      </c>
      <c r="O42" s="917">
        <f t="shared" si="32"/>
        <v>0</v>
      </c>
      <c r="P42" s="917">
        <f>E42</f>
        <v>0</v>
      </c>
      <c r="Q42" s="917">
        <f>F42</f>
        <v>0</v>
      </c>
      <c r="R42" s="917">
        <f t="shared" si="35"/>
        <v>51.927955165439997</v>
      </c>
      <c r="S42" s="917">
        <f>H42</f>
        <v>0</v>
      </c>
      <c r="T42" s="917">
        <f t="shared" si="4"/>
        <v>51.927955165439997</v>
      </c>
      <c r="U42" s="921">
        <f>Factors!D56</f>
        <v>2.6974658424810825</v>
      </c>
      <c r="V42" s="917"/>
      <c r="W42" s="917"/>
      <c r="X42" s="917"/>
      <c r="Y42" s="917"/>
      <c r="Z42" s="917">
        <f>INDEX(Geothermal!$C$14:$AE$18,MATCH("Total",Geothermal!$C$14:$C$18,0),MATCH($B$2,Geothermal!$C$14:$AE$14,0))/CtoCO2</f>
        <v>0.11636425646098691</v>
      </c>
      <c r="AA42" s="917"/>
      <c r="AB42" s="917">
        <f t="shared" si="26"/>
        <v>0.11636425646098691</v>
      </c>
      <c r="AC42" s="921">
        <f>Factors!$E$56</f>
        <v>1</v>
      </c>
      <c r="AD42" s="917">
        <f t="shared" si="49"/>
        <v>0</v>
      </c>
      <c r="AE42" s="917">
        <f t="shared" si="49"/>
        <v>0</v>
      </c>
      <c r="AF42" s="917">
        <f t="shared" si="49"/>
        <v>0</v>
      </c>
      <c r="AG42" s="917">
        <f t="shared" si="49"/>
        <v>0</v>
      </c>
      <c r="AH42" s="917">
        <f t="shared" si="49"/>
        <v>0.11636425646098691</v>
      </c>
      <c r="AI42" s="917">
        <f t="shared" si="49"/>
        <v>0</v>
      </c>
      <c r="AJ42" s="920">
        <f t="shared" si="6"/>
        <v>0.11636425646098691</v>
      </c>
      <c r="AK42" s="919">
        <f t="shared" si="19"/>
        <v>0</v>
      </c>
      <c r="AL42" s="917">
        <f t="shared" si="20"/>
        <v>0</v>
      </c>
      <c r="AM42" s="917">
        <f t="shared" si="21"/>
        <v>0</v>
      </c>
      <c r="AN42" s="917">
        <f t="shared" si="22"/>
        <v>0</v>
      </c>
      <c r="AO42" s="917">
        <f t="shared" si="23"/>
        <v>0.42666894035695202</v>
      </c>
      <c r="AP42" s="917">
        <f t="shared" si="24"/>
        <v>0</v>
      </c>
      <c r="AQ42" s="920">
        <f t="shared" si="27"/>
        <v>0.42666894035695202</v>
      </c>
    </row>
    <row r="43" spans="1:43" ht="11.1" thickBot="1">
      <c r="A43" s="817"/>
      <c r="B43" s="867" t="s">
        <v>1740</v>
      </c>
      <c r="C43" s="922">
        <f>C8+C17+C18+C42</f>
        <v>5977.9624798329278</v>
      </c>
      <c r="D43" s="922">
        <f>D8+D17+D18+D42</f>
        <v>3929.8087048315488</v>
      </c>
      <c r="E43" s="922">
        <f>E8+E17+E18+E42</f>
        <v>17122.244236535294</v>
      </c>
      <c r="F43" s="922">
        <f>F8+F17+F18+F42</f>
        <v>25516.564646000763</v>
      </c>
      <c r="G43" s="922">
        <f>G8+G17+G18+G42</f>
        <v>27083.349955165442</v>
      </c>
      <c r="H43" s="922">
        <f>H16+H17+H18+H42</f>
        <v>497.62655158279728</v>
      </c>
      <c r="I43" s="922">
        <f>SUM(C43:H43)</f>
        <v>80127.556573948779</v>
      </c>
      <c r="J43" s="923">
        <f t="shared" ref="J43:S43" si="50">J8+J17+J18+J42</f>
        <v>1614.4467360760746</v>
      </c>
      <c r="K43" s="924">
        <f t="shared" si="50"/>
        <v>4657.3184204485578</v>
      </c>
      <c r="L43" s="922">
        <f t="shared" si="50"/>
        <v>154.773</v>
      </c>
      <c r="M43" s="925">
        <f t="shared" si="50"/>
        <v>27.417366214417783</v>
      </c>
      <c r="N43" s="922">
        <f t="shared" si="50"/>
        <v>5977.9624798329278</v>
      </c>
      <c r="O43" s="922">
        <f t="shared" si="50"/>
        <v>3929.8087048315488</v>
      </c>
      <c r="P43" s="922">
        <f t="shared" si="50"/>
        <v>12464.925816086736</v>
      </c>
      <c r="Q43" s="922">
        <f t="shared" si="50"/>
        <v>23747.344909924686</v>
      </c>
      <c r="R43" s="922">
        <f t="shared" si="50"/>
        <v>27083.349955165442</v>
      </c>
      <c r="S43" s="922">
        <f t="shared" si="50"/>
        <v>470.20918536837951</v>
      </c>
      <c r="T43" s="922">
        <f>SUM(N43:S43)</f>
        <v>73673.601051209727</v>
      </c>
      <c r="U43" s="926" t="s">
        <v>1731</v>
      </c>
      <c r="V43" s="922">
        <f t="shared" ref="V43:AA43" si="51">V8+V17+V18+V42</f>
        <v>91.226016474112669</v>
      </c>
      <c r="W43" s="922">
        <f t="shared" si="51"/>
        <v>61.167682455761422</v>
      </c>
      <c r="X43" s="922">
        <f t="shared" si="51"/>
        <v>214.91942009393213</v>
      </c>
      <c r="Y43" s="922">
        <f t="shared" si="51"/>
        <v>462.71305160208118</v>
      </c>
      <c r="Z43" s="922">
        <f t="shared" si="51"/>
        <v>615.99245237819093</v>
      </c>
      <c r="AA43" s="922">
        <f t="shared" si="51"/>
        <v>9.4099911681047796</v>
      </c>
      <c r="AB43" s="922">
        <f t="shared" si="26"/>
        <v>1455.4286141721832</v>
      </c>
      <c r="AC43" s="926" t="s">
        <v>1731</v>
      </c>
      <c r="AD43" s="922">
        <f t="shared" ref="AD43:AQ43" si="52">AD8+AD17+AD18+AD42</f>
        <v>91.226016474112669</v>
      </c>
      <c r="AE43" s="922">
        <f t="shared" si="52"/>
        <v>61.167682455761422</v>
      </c>
      <c r="AF43" s="922">
        <f t="shared" si="52"/>
        <v>214.91942009393213</v>
      </c>
      <c r="AG43" s="922">
        <f t="shared" si="52"/>
        <v>462.71305160208118</v>
      </c>
      <c r="AH43" s="922">
        <f t="shared" si="52"/>
        <v>615.99245237819093</v>
      </c>
      <c r="AI43" s="922">
        <f t="shared" si="52"/>
        <v>9.4099911681047796</v>
      </c>
      <c r="AJ43" s="925">
        <f t="shared" si="52"/>
        <v>1455.428614172183</v>
      </c>
      <c r="AK43" s="922">
        <f t="shared" si="52"/>
        <v>334.4953937384131</v>
      </c>
      <c r="AL43" s="922">
        <f t="shared" si="52"/>
        <v>224.28150233779189</v>
      </c>
      <c r="AM43" s="922">
        <f t="shared" si="52"/>
        <v>788.03787367775101</v>
      </c>
      <c r="AN43" s="922">
        <f t="shared" si="52"/>
        <v>1696.6145225409641</v>
      </c>
      <c r="AO43" s="922">
        <f t="shared" si="52"/>
        <v>2258.638992053367</v>
      </c>
      <c r="AP43" s="922">
        <f t="shared" si="52"/>
        <v>34.503300949717527</v>
      </c>
      <c r="AQ43" s="925">
        <f t="shared" si="52"/>
        <v>5336.5715852980038</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honeticPr fontId="16" type="noConversion"/>
  <printOptions gridLines="1" gridLinesSet="0"/>
  <pageMargins left="0.5" right="0.5" top="0.5" bottom="0.75" header="0.27" footer="0.21"/>
  <pageSetup scale="29"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ransitionEvaluation="1" transitionEntry="1" codeName="Sheet40">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8"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41" width="9.6640625" customWidth="1"/>
    <col min="42" max="42" width="9" bestFit="1" customWidth="1"/>
    <col min="43" max="43" width="10"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2011</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1762</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 t="shared" si="0"/>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1723</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56.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61.715000000000003</v>
      </c>
      <c r="E8" s="876">
        <f t="shared" si="1"/>
        <v>976.10615354601441</v>
      </c>
      <c r="F8" s="876">
        <f t="shared" si="1"/>
        <v>0</v>
      </c>
      <c r="G8" s="876">
        <f t="shared" si="1"/>
        <v>18035.174999999999</v>
      </c>
      <c r="H8" s="876">
        <f t="shared" si="1"/>
        <v>37.299648999999107</v>
      </c>
      <c r="I8" s="876">
        <f t="shared" ref="I8:I14" si="2">SUM(C8:H8)</f>
        <v>19110.295802546014</v>
      </c>
      <c r="J8" s="877"/>
      <c r="K8" s="876">
        <f>SUM(K9:K16)</f>
        <v>70.386718702467292</v>
      </c>
      <c r="L8" s="876">
        <f>SUM(L9:L16)</f>
        <v>0</v>
      </c>
      <c r="M8" s="876"/>
      <c r="N8" s="878">
        <f t="shared" ref="N8:S8" si="3">SUM(N9:N16)</f>
        <v>0</v>
      </c>
      <c r="O8" s="876">
        <f t="shared" si="3"/>
        <v>61.715000000000003</v>
      </c>
      <c r="P8" s="876">
        <f t="shared" si="3"/>
        <v>905.71943484354711</v>
      </c>
      <c r="Q8" s="876">
        <f t="shared" si="3"/>
        <v>0</v>
      </c>
      <c r="R8" s="876">
        <f t="shared" si="3"/>
        <v>18035.174999999999</v>
      </c>
      <c r="S8" s="879">
        <f t="shared" si="3"/>
        <v>37.299648999999107</v>
      </c>
      <c r="T8" s="876">
        <f t="shared" ref="T8:T42" si="4">SUM(N8:S8)</f>
        <v>19039.909083843548</v>
      </c>
      <c r="U8" s="880" t="s">
        <v>1731</v>
      </c>
      <c r="V8" s="876">
        <f>SUM(V9:V16)</f>
        <v>0</v>
      </c>
      <c r="W8" s="876">
        <f>SUM(W9:W16)</f>
        <v>1.5930287657831101</v>
      </c>
      <c r="X8" s="876">
        <f>SUM(X9:X16)</f>
        <v>23.44191570190134</v>
      </c>
      <c r="Y8" s="876"/>
      <c r="Z8" s="876">
        <f>SUM(Z9:Z16)</f>
        <v>469.73723742624389</v>
      </c>
      <c r="AA8" s="876">
        <f>SUM(AA9:AA16)</f>
        <v>0.9377131758599776</v>
      </c>
      <c r="AB8" s="876">
        <f t="shared" ref="AB8:AB13" si="5">SUM(V8:AA8)</f>
        <v>495.70989506978833</v>
      </c>
      <c r="AC8" s="881" t="s">
        <v>1731</v>
      </c>
      <c r="AD8" s="878">
        <f>SUM(AD9:AD16)</f>
        <v>0</v>
      </c>
      <c r="AE8" s="876">
        <f>SUM(AE9:AE16)</f>
        <v>1.5930287657831101</v>
      </c>
      <c r="AF8" s="876">
        <f>SUM(AF9:AF16)</f>
        <v>23.44191570190134</v>
      </c>
      <c r="AG8" s="876" t="s">
        <v>108</v>
      </c>
      <c r="AH8" s="876">
        <f>SUM(AH9:AH16)</f>
        <v>469.73723742624389</v>
      </c>
      <c r="AI8" s="876">
        <f>SUM(AI9:AI16)</f>
        <v>0.9377131758599776</v>
      </c>
      <c r="AJ8" s="876">
        <f t="shared" ref="AJ8:AJ42" si="6">SUM(AD8:AI8)</f>
        <v>495.70989506978833</v>
      </c>
      <c r="AK8" s="878">
        <f t="shared" ref="AK8:AP8" si="7">SUM(AK9:AK16)</f>
        <v>0</v>
      </c>
      <c r="AL8" s="876">
        <f t="shared" si="7"/>
        <v>5.8411054745380699</v>
      </c>
      <c r="AM8" s="876">
        <f t="shared" si="7"/>
        <v>85.953690906971573</v>
      </c>
      <c r="AN8" s="876">
        <f t="shared" si="7"/>
        <v>0</v>
      </c>
      <c r="AO8" s="876">
        <f t="shared" si="7"/>
        <v>1722.3698705628942</v>
      </c>
      <c r="AP8" s="876">
        <f t="shared" si="7"/>
        <v>3.4382816448199178</v>
      </c>
      <c r="AQ8" s="882">
        <f t="shared" ref="AQ8:AQ14" si="8">SUM(AK8:AP8)</f>
        <v>1817.6029485892238</v>
      </c>
    </row>
    <row r="9" spans="1:43">
      <c r="A9" s="817"/>
      <c r="B9" s="860" t="s">
        <v>1732</v>
      </c>
      <c r="C9" s="883">
        <f>HLOOKUP($B$2,'Consumption Input'!$E$5:$AQ$82,'Consumption Input'!$B7)</f>
        <v>0</v>
      </c>
      <c r="D9" s="883"/>
      <c r="E9" s="883"/>
      <c r="F9" s="883"/>
      <c r="G9" s="883"/>
      <c r="H9" s="883"/>
      <c r="I9" s="883">
        <f t="shared" si="2"/>
        <v>0</v>
      </c>
      <c r="J9" s="884"/>
      <c r="K9" s="883"/>
      <c r="L9" s="883"/>
      <c r="M9" s="883"/>
      <c r="N9" s="885">
        <f t="shared" ref="N9:O17" si="9">C9</f>
        <v>0</v>
      </c>
      <c r="O9" s="883">
        <f t="shared" si="9"/>
        <v>0</v>
      </c>
      <c r="P9" s="883">
        <f t="shared" ref="P9:P17" si="10">E9-K9</f>
        <v>0</v>
      </c>
      <c r="Q9" s="883">
        <f t="shared" ref="Q9:S17" si="11">F9</f>
        <v>0</v>
      </c>
      <c r="R9" s="883">
        <f t="shared" si="11"/>
        <v>0</v>
      </c>
      <c r="S9" s="886">
        <f t="shared" si="11"/>
        <v>0</v>
      </c>
      <c r="T9" s="883">
        <f t="shared" si="4"/>
        <v>0</v>
      </c>
      <c r="U9" s="887">
        <f>HLOOKUP($B$2,Factors!$J$12:$AE$25,Factors!$H13,FALSE)</f>
        <v>25.81266735450231</v>
      </c>
      <c r="V9" s="885">
        <f t="shared" ref="V9:V17" si="12">N9*$U9*TbtuToQBtu</f>
        <v>0</v>
      </c>
      <c r="W9" s="883">
        <f t="shared" ref="W9:W17" si="13">O9*$U9*TbtuToQBtu</f>
        <v>0</v>
      </c>
      <c r="X9" s="883">
        <f t="shared" ref="X9:X17" si="14">P9*$U9*TbtuToQBtu</f>
        <v>0</v>
      </c>
      <c r="Y9" s="883">
        <f t="shared" ref="Y9:Y17" si="15">Q9*$U9*TbtuToQBtu</f>
        <v>0</v>
      </c>
      <c r="Z9" s="883">
        <f t="shared" ref="Z9:Z17" si="16">R9*$U9*TbtuToQBtu</f>
        <v>0</v>
      </c>
      <c r="AA9" s="883">
        <f t="shared" ref="AA9:AA17" si="17">S9*$U9*TbtuToQBtu</f>
        <v>0</v>
      </c>
      <c r="AB9" s="883">
        <f t="shared" si="5"/>
        <v>0</v>
      </c>
      <c r="AC9" s="888">
        <f>Factors!E10</f>
        <v>1</v>
      </c>
      <c r="AD9" s="885">
        <f t="shared" ref="AD9:AI17" si="18">V9*$AC9</f>
        <v>0</v>
      </c>
      <c r="AE9" s="883">
        <f t="shared" si="18"/>
        <v>0</v>
      </c>
      <c r="AF9" s="883">
        <f t="shared" si="18"/>
        <v>0</v>
      </c>
      <c r="AG9" s="883">
        <f t="shared" si="18"/>
        <v>0</v>
      </c>
      <c r="AH9" s="883">
        <f t="shared" si="18"/>
        <v>0</v>
      </c>
      <c r="AI9" s="883">
        <f t="shared" si="18"/>
        <v>0</v>
      </c>
      <c r="AJ9" s="889">
        <f t="shared" si="6"/>
        <v>0</v>
      </c>
      <c r="AK9" s="885">
        <f t="shared" ref="AK9:AK42" si="19">AD9*CtoCO2</f>
        <v>0</v>
      </c>
      <c r="AL9" s="883">
        <f t="shared" ref="AL9:AL42" si="20">AE9*CtoCO2</f>
        <v>0</v>
      </c>
      <c r="AM9" s="883">
        <f t="shared" ref="AM9:AM42" si="21">AF9*CtoCO2</f>
        <v>0</v>
      </c>
      <c r="AN9" s="883">
        <f t="shared" ref="AN9:AN42" si="22">AG9*CtoCO2</f>
        <v>0</v>
      </c>
      <c r="AO9" s="883">
        <f t="shared" ref="AO9:AO42" si="23">AH9*CtoCO2</f>
        <v>0</v>
      </c>
      <c r="AP9" s="883">
        <f t="shared" ref="AP9:AP42" si="24">AI9*CtoCO2</f>
        <v>0</v>
      </c>
      <c r="AQ9" s="890">
        <f t="shared" si="8"/>
        <v>0</v>
      </c>
    </row>
    <row r="10" spans="1:43">
      <c r="A10" s="817"/>
      <c r="B10" s="860" t="s">
        <v>1733</v>
      </c>
      <c r="C10" s="883"/>
      <c r="D10" s="883">
        <f>HLOOKUP($B$2,'Consumption Input'!$E$5:$AQ$82,'Consumption Input'!$B13)</f>
        <v>61.715000000000003</v>
      </c>
      <c r="E10" s="883"/>
      <c r="F10" s="883"/>
      <c r="G10" s="883"/>
      <c r="H10" s="883"/>
      <c r="I10" s="883">
        <f t="shared" si="2"/>
        <v>61.715000000000003</v>
      </c>
      <c r="J10" s="884"/>
      <c r="K10" s="883"/>
      <c r="L10" s="883"/>
      <c r="M10" s="883"/>
      <c r="N10" s="885">
        <f t="shared" si="9"/>
        <v>0</v>
      </c>
      <c r="O10" s="883">
        <f t="shared" si="9"/>
        <v>61.715000000000003</v>
      </c>
      <c r="P10" s="883">
        <f t="shared" si="10"/>
        <v>0</v>
      </c>
      <c r="Q10" s="883">
        <f t="shared" si="11"/>
        <v>0</v>
      </c>
      <c r="R10" s="883">
        <f t="shared" si="11"/>
        <v>0</v>
      </c>
      <c r="S10" s="886">
        <f t="shared" si="11"/>
        <v>0</v>
      </c>
      <c r="T10" s="883">
        <f t="shared" si="4"/>
        <v>61.715000000000003</v>
      </c>
      <c r="U10" s="887">
        <f>HLOOKUP($B$2,Factors!$J$12:$AE$25,Factors!$H14,FALSE)</f>
        <v>25.81266735450231</v>
      </c>
      <c r="V10" s="885">
        <f t="shared" si="12"/>
        <v>0</v>
      </c>
      <c r="W10" s="883">
        <f>O10*$U10*TbtuToQBtu</f>
        <v>1.5930287657831101</v>
      </c>
      <c r="X10" s="883">
        <f t="shared" si="14"/>
        <v>0</v>
      </c>
      <c r="Y10" s="883">
        <f t="shared" si="15"/>
        <v>0</v>
      </c>
      <c r="Z10" s="883">
        <f t="shared" si="16"/>
        <v>0</v>
      </c>
      <c r="AA10" s="883">
        <f t="shared" si="17"/>
        <v>0</v>
      </c>
      <c r="AB10" s="883">
        <f t="shared" si="5"/>
        <v>1.5930287657831101</v>
      </c>
      <c r="AC10" s="888">
        <f>Factors!E11</f>
        <v>1</v>
      </c>
      <c r="AD10" s="885">
        <f t="shared" si="18"/>
        <v>0</v>
      </c>
      <c r="AE10" s="883">
        <f t="shared" si="18"/>
        <v>1.5930287657831101</v>
      </c>
      <c r="AF10" s="883">
        <f t="shared" si="18"/>
        <v>0</v>
      </c>
      <c r="AG10" s="883">
        <f t="shared" si="18"/>
        <v>0</v>
      </c>
      <c r="AH10" s="883">
        <f t="shared" si="18"/>
        <v>0</v>
      </c>
      <c r="AI10" s="883">
        <f t="shared" si="18"/>
        <v>0</v>
      </c>
      <c r="AJ10" s="889">
        <f t="shared" si="6"/>
        <v>1.5930287657831101</v>
      </c>
      <c r="AK10" s="885">
        <f t="shared" si="19"/>
        <v>0</v>
      </c>
      <c r="AL10" s="883">
        <f t="shared" si="20"/>
        <v>5.8411054745380699</v>
      </c>
      <c r="AM10" s="883">
        <f t="shared" si="21"/>
        <v>0</v>
      </c>
      <c r="AN10" s="883">
        <f t="shared" si="22"/>
        <v>0</v>
      </c>
      <c r="AO10" s="883">
        <f t="shared" si="23"/>
        <v>0</v>
      </c>
      <c r="AP10" s="883">
        <f t="shared" si="24"/>
        <v>0</v>
      </c>
      <c r="AQ10" s="890">
        <f t="shared" si="8"/>
        <v>5.8411054745380699</v>
      </c>
    </row>
    <row r="11" spans="1:43" s="244" customFormat="1" hidden="1">
      <c r="A11" s="861"/>
      <c r="B11" s="862" t="s">
        <v>1734</v>
      </c>
      <c r="C11" s="891"/>
      <c r="D11" s="891"/>
      <c r="E11" s="891">
        <f>HLOOKUP($B$2,'Consumption Input'!$E$5:$AQ$82,'Consumption Input'!$B23)</f>
        <v>60.841185085936445</v>
      </c>
      <c r="F11" s="891"/>
      <c r="G11" s="891"/>
      <c r="H11" s="891"/>
      <c r="I11" s="891">
        <f t="shared" si="2"/>
        <v>60.841185085936445</v>
      </c>
      <c r="J11" s="892"/>
      <c r="K11" s="891">
        <f>HLOOKUP($B$2,NEUConsumption,'Non-Energy Use'!$C$7)</f>
        <v>60.841185085936445</v>
      </c>
      <c r="L11" s="891"/>
      <c r="M11" s="891"/>
      <c r="N11" s="893">
        <f t="shared" si="9"/>
        <v>0</v>
      </c>
      <c r="O11" s="891">
        <f t="shared" si="9"/>
        <v>0</v>
      </c>
      <c r="P11" s="891">
        <f t="shared" si="10"/>
        <v>0</v>
      </c>
      <c r="Q11" s="891">
        <f t="shared" si="11"/>
        <v>0</v>
      </c>
      <c r="R11" s="891">
        <f t="shared" si="11"/>
        <v>0</v>
      </c>
      <c r="S11" s="894">
        <f t="shared" si="11"/>
        <v>0</v>
      </c>
      <c r="T11" s="891">
        <f t="shared" si="4"/>
        <v>0</v>
      </c>
      <c r="U11" s="1013">
        <f>HLOOKUP($B$2,Factors!$J$12:$BE$28,Factors!$H28,FALSE)</f>
        <v>25.574389306102162</v>
      </c>
      <c r="V11" s="893">
        <f t="shared" si="12"/>
        <v>0</v>
      </c>
      <c r="W11" s="891">
        <f t="shared" si="13"/>
        <v>0</v>
      </c>
      <c r="X11" s="891">
        <f t="shared" si="14"/>
        <v>0</v>
      </c>
      <c r="Y11" s="891">
        <f t="shared" si="15"/>
        <v>0</v>
      </c>
      <c r="Z11" s="891">
        <f t="shared" si="16"/>
        <v>0</v>
      </c>
      <c r="AA11" s="891">
        <f t="shared" si="17"/>
        <v>0</v>
      </c>
      <c r="AB11" s="891">
        <f t="shared" si="5"/>
        <v>0</v>
      </c>
      <c r="AC11" s="896">
        <f>Factors!E12</f>
        <v>1</v>
      </c>
      <c r="AD11" s="893">
        <f t="shared" si="18"/>
        <v>0</v>
      </c>
      <c r="AE11" s="891">
        <f t="shared" si="18"/>
        <v>0</v>
      </c>
      <c r="AF11" s="891">
        <f t="shared" si="18"/>
        <v>0</v>
      </c>
      <c r="AG11" s="891">
        <f t="shared" si="18"/>
        <v>0</v>
      </c>
      <c r="AH11" s="891">
        <f t="shared" si="18"/>
        <v>0</v>
      </c>
      <c r="AI11" s="891">
        <f t="shared" si="18"/>
        <v>0</v>
      </c>
      <c r="AJ11" s="897">
        <f t="shared" si="6"/>
        <v>0</v>
      </c>
      <c r="AK11" s="893">
        <f t="shared" si="19"/>
        <v>0</v>
      </c>
      <c r="AL11" s="891">
        <f t="shared" si="20"/>
        <v>0</v>
      </c>
      <c r="AM11" s="891">
        <f t="shared" si="21"/>
        <v>0</v>
      </c>
      <c r="AN11" s="891">
        <f t="shared" si="22"/>
        <v>0</v>
      </c>
      <c r="AO11" s="891">
        <f t="shared" si="23"/>
        <v>0</v>
      </c>
      <c r="AP11" s="891">
        <f t="shared" si="24"/>
        <v>0</v>
      </c>
      <c r="AQ11" s="898">
        <f t="shared" si="8"/>
        <v>0</v>
      </c>
    </row>
    <row r="12" spans="1:43">
      <c r="A12" s="817"/>
      <c r="B12" s="860" t="s">
        <v>1701</v>
      </c>
      <c r="C12" s="883"/>
      <c r="D12" s="883"/>
      <c r="E12" s="883">
        <f>HLOOKUP($B$2,'Consumption Input'!$E$5:$AQ$82,'Consumption Input'!$B24)</f>
        <v>915.26496846007797</v>
      </c>
      <c r="F12" s="883"/>
      <c r="G12" s="883"/>
      <c r="H12" s="883"/>
      <c r="I12" s="883">
        <f t="shared" si="2"/>
        <v>915.26496846007797</v>
      </c>
      <c r="J12" s="884"/>
      <c r="K12" s="883">
        <f>HLOOKUP($B$2,NEUConsumption,'Non-Energy Use'!$C$8)</f>
        <v>9.5455336165308484</v>
      </c>
      <c r="L12" s="883"/>
      <c r="M12" s="883"/>
      <c r="N12" s="885">
        <f t="shared" si="9"/>
        <v>0</v>
      </c>
      <c r="O12" s="883">
        <f t="shared" si="9"/>
        <v>0</v>
      </c>
      <c r="P12" s="883">
        <f t="shared" si="10"/>
        <v>905.71943484354711</v>
      </c>
      <c r="Q12" s="883">
        <f t="shared" si="11"/>
        <v>0</v>
      </c>
      <c r="R12" s="883">
        <f t="shared" si="11"/>
        <v>0</v>
      </c>
      <c r="S12" s="886">
        <f t="shared" si="11"/>
        <v>0</v>
      </c>
      <c r="T12" s="883">
        <f t="shared" si="4"/>
        <v>905.71943484354711</v>
      </c>
      <c r="U12" s="887">
        <f>HLOOKUP($B$2,Factors!$J$12:$AE$25,Factors!$H15,FALSE)</f>
        <v>25.88209416744013</v>
      </c>
      <c r="V12" s="885">
        <f t="shared" si="12"/>
        <v>0</v>
      </c>
      <c r="W12" s="883">
        <f t="shared" si="13"/>
        <v>0</v>
      </c>
      <c r="X12" s="883">
        <f t="shared" si="14"/>
        <v>23.44191570190134</v>
      </c>
      <c r="Y12" s="883">
        <f t="shared" si="15"/>
        <v>0</v>
      </c>
      <c r="Z12" s="883">
        <f t="shared" si="16"/>
        <v>0</v>
      </c>
      <c r="AA12" s="883">
        <f t="shared" si="17"/>
        <v>0</v>
      </c>
      <c r="AB12" s="883">
        <f t="shared" si="5"/>
        <v>23.44191570190134</v>
      </c>
      <c r="AC12" s="888">
        <f>Factors!E13</f>
        <v>1</v>
      </c>
      <c r="AD12" s="885">
        <f t="shared" si="18"/>
        <v>0</v>
      </c>
      <c r="AE12" s="883">
        <f t="shared" si="18"/>
        <v>0</v>
      </c>
      <c r="AF12" s="883">
        <f t="shared" si="18"/>
        <v>23.44191570190134</v>
      </c>
      <c r="AG12" s="883">
        <f t="shared" si="18"/>
        <v>0</v>
      </c>
      <c r="AH12" s="883">
        <f t="shared" si="18"/>
        <v>0</v>
      </c>
      <c r="AI12" s="883">
        <f t="shared" si="18"/>
        <v>0</v>
      </c>
      <c r="AJ12" s="889">
        <f t="shared" si="6"/>
        <v>23.44191570190134</v>
      </c>
      <c r="AK12" s="885">
        <f t="shared" si="19"/>
        <v>0</v>
      </c>
      <c r="AL12" s="883">
        <f t="shared" si="20"/>
        <v>0</v>
      </c>
      <c r="AM12" s="883">
        <f t="shared" si="21"/>
        <v>85.953690906971573</v>
      </c>
      <c r="AN12" s="883">
        <f t="shared" si="22"/>
        <v>0</v>
      </c>
      <c r="AO12" s="883">
        <f t="shared" si="23"/>
        <v>0</v>
      </c>
      <c r="AP12" s="883">
        <f t="shared" si="24"/>
        <v>0</v>
      </c>
      <c r="AQ12" s="890">
        <f t="shared" si="8"/>
        <v>85.953690906971573</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9"/>
        <v>0</v>
      </c>
      <c r="O13" s="891">
        <f t="shared" si="9"/>
        <v>0</v>
      </c>
      <c r="P13" s="891">
        <f t="shared" si="10"/>
        <v>0</v>
      </c>
      <c r="Q13" s="891">
        <f t="shared" si="11"/>
        <v>0</v>
      </c>
      <c r="R13" s="891">
        <f t="shared" si="11"/>
        <v>0</v>
      </c>
      <c r="S13" s="894">
        <f t="shared" si="11"/>
        <v>0</v>
      </c>
      <c r="T13" s="891">
        <f t="shared" si="4"/>
        <v>0</v>
      </c>
      <c r="U13" s="895">
        <f>Factors!D14</f>
        <v>27.85</v>
      </c>
      <c r="V13" s="893">
        <f t="shared" si="12"/>
        <v>0</v>
      </c>
      <c r="W13" s="891">
        <f t="shared" si="13"/>
        <v>0</v>
      </c>
      <c r="X13" s="891">
        <f t="shared" si="14"/>
        <v>0</v>
      </c>
      <c r="Y13" s="891">
        <f t="shared" si="15"/>
        <v>0</v>
      </c>
      <c r="Z13" s="891">
        <f t="shared" si="16"/>
        <v>0</v>
      </c>
      <c r="AA13" s="891">
        <f t="shared" si="17"/>
        <v>0</v>
      </c>
      <c r="AB13" s="891">
        <f t="shared" si="5"/>
        <v>0</v>
      </c>
      <c r="AC13" s="896">
        <f>Factors!E14</f>
        <v>1</v>
      </c>
      <c r="AD13" s="893">
        <f t="shared" si="18"/>
        <v>0</v>
      </c>
      <c r="AE13" s="891">
        <f t="shared" si="18"/>
        <v>0</v>
      </c>
      <c r="AF13" s="891">
        <f t="shared" si="18"/>
        <v>0</v>
      </c>
      <c r="AG13" s="891">
        <f t="shared" si="18"/>
        <v>0</v>
      </c>
      <c r="AH13" s="891">
        <f t="shared" si="18"/>
        <v>0</v>
      </c>
      <c r="AI13" s="891">
        <f t="shared" si="18"/>
        <v>0</v>
      </c>
      <c r="AJ13" s="897">
        <f t="shared" si="6"/>
        <v>0</v>
      </c>
      <c r="AK13" s="893">
        <f t="shared" si="19"/>
        <v>0</v>
      </c>
      <c r="AL13" s="891">
        <f t="shared" si="20"/>
        <v>0</v>
      </c>
      <c r="AM13" s="891">
        <f t="shared" si="21"/>
        <v>0</v>
      </c>
      <c r="AN13" s="891">
        <f t="shared" si="22"/>
        <v>0</v>
      </c>
      <c r="AO13" s="891">
        <f t="shared" si="23"/>
        <v>0</v>
      </c>
      <c r="AP13" s="891">
        <f t="shared" si="24"/>
        <v>0</v>
      </c>
      <c r="AQ13" s="890">
        <f t="shared" si="8"/>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9"/>
        <v>0</v>
      </c>
      <c r="O14" s="883">
        <f t="shared" si="9"/>
        <v>0</v>
      </c>
      <c r="P14" s="883">
        <f t="shared" si="10"/>
        <v>0</v>
      </c>
      <c r="Q14" s="883">
        <f t="shared" si="11"/>
        <v>0</v>
      </c>
      <c r="R14" s="883">
        <f t="shared" si="11"/>
        <v>0</v>
      </c>
      <c r="S14" s="886">
        <f t="shared" si="11"/>
        <v>0</v>
      </c>
      <c r="T14" s="883">
        <f t="shared" si="4"/>
        <v>0</v>
      </c>
      <c r="U14" s="887" t="str">
        <f>Factors!D15</f>
        <v>NC</v>
      </c>
      <c r="V14" s="885">
        <f t="shared" si="12"/>
        <v>0</v>
      </c>
      <c r="W14" s="883">
        <f t="shared" si="13"/>
        <v>0</v>
      </c>
      <c r="X14" s="883">
        <f t="shared" si="14"/>
        <v>0</v>
      </c>
      <c r="Y14" s="883">
        <f t="shared" si="15"/>
        <v>0</v>
      </c>
      <c r="Z14" s="883">
        <f t="shared" si="16"/>
        <v>0</v>
      </c>
      <c r="AA14" s="883">
        <f t="shared" si="17"/>
        <v>0</v>
      </c>
      <c r="AB14" s="883" t="s">
        <v>103</v>
      </c>
      <c r="AC14" s="888" t="str">
        <f>Factors!E15</f>
        <v>NC</v>
      </c>
      <c r="AD14" s="885">
        <f t="shared" si="18"/>
        <v>0</v>
      </c>
      <c r="AE14" s="883">
        <f t="shared" si="18"/>
        <v>0</v>
      </c>
      <c r="AF14" s="883">
        <f t="shared" si="18"/>
        <v>0</v>
      </c>
      <c r="AG14" s="883">
        <f t="shared" si="18"/>
        <v>0</v>
      </c>
      <c r="AH14" s="883">
        <f t="shared" si="18"/>
        <v>0</v>
      </c>
      <c r="AI14" s="883">
        <f t="shared" si="18"/>
        <v>0</v>
      </c>
      <c r="AJ14" s="889">
        <f t="shared" si="6"/>
        <v>0</v>
      </c>
      <c r="AK14" s="885">
        <f t="shared" si="19"/>
        <v>0</v>
      </c>
      <c r="AL14" s="883">
        <f t="shared" si="20"/>
        <v>0</v>
      </c>
      <c r="AM14" s="883">
        <f t="shared" si="21"/>
        <v>0</v>
      </c>
      <c r="AN14" s="883">
        <f t="shared" si="22"/>
        <v>0</v>
      </c>
      <c r="AO14" s="883">
        <f t="shared" si="23"/>
        <v>0</v>
      </c>
      <c r="AP14" s="883">
        <f t="shared" si="24"/>
        <v>0</v>
      </c>
      <c r="AQ14" s="890">
        <f t="shared" si="8"/>
        <v>0</v>
      </c>
    </row>
    <row r="15" spans="1:43">
      <c r="A15" s="817"/>
      <c r="B15" s="860" t="s">
        <v>1736</v>
      </c>
      <c r="C15" s="883"/>
      <c r="D15" s="883"/>
      <c r="E15" s="883"/>
      <c r="F15" s="883"/>
      <c r="G15" s="883">
        <f>HLOOKUP($B$2,'Consumption Input'!$E$5:$AQ$82,'Consumption Input'!$B58)</f>
        <v>18035.174999999999</v>
      </c>
      <c r="H15" s="883"/>
      <c r="I15" s="883">
        <f t="shared" ref="I15:I28" si="25">SUM(C15:H15)</f>
        <v>18035.174999999999</v>
      </c>
      <c r="J15" s="884"/>
      <c r="K15" s="883"/>
      <c r="L15" s="883"/>
      <c r="M15" s="883"/>
      <c r="N15" s="885">
        <f t="shared" si="9"/>
        <v>0</v>
      </c>
      <c r="O15" s="883">
        <f t="shared" si="9"/>
        <v>0</v>
      </c>
      <c r="P15" s="883">
        <f t="shared" si="10"/>
        <v>0</v>
      </c>
      <c r="Q15" s="883">
        <f t="shared" si="11"/>
        <v>0</v>
      </c>
      <c r="R15" s="883">
        <f t="shared" si="11"/>
        <v>18035.174999999999</v>
      </c>
      <c r="S15" s="886">
        <f t="shared" si="11"/>
        <v>0</v>
      </c>
      <c r="T15" s="883">
        <f t="shared" si="4"/>
        <v>18035.174999999999</v>
      </c>
      <c r="U15" s="887">
        <f>HLOOKUP($B$2,Factors!$J$12:$AE$25,Factors!$H16,FALSE)</f>
        <v>26.045615716301278</v>
      </c>
      <c r="V15" s="885">
        <f t="shared" si="12"/>
        <v>0</v>
      </c>
      <c r="W15" s="883">
        <f t="shared" si="13"/>
        <v>0</v>
      </c>
      <c r="X15" s="883">
        <f t="shared" si="14"/>
        <v>0</v>
      </c>
      <c r="Y15" s="883">
        <f t="shared" si="15"/>
        <v>0</v>
      </c>
      <c r="Z15" s="883">
        <f t="shared" si="16"/>
        <v>469.73723742624389</v>
      </c>
      <c r="AA15" s="883">
        <f t="shared" si="17"/>
        <v>0</v>
      </c>
      <c r="AB15" s="883">
        <f t="shared" ref="AB15:AB43" si="26">SUM(V15:AA15)</f>
        <v>469.73723742624389</v>
      </c>
      <c r="AC15" s="888">
        <f>Factors!E16</f>
        <v>1</v>
      </c>
      <c r="AD15" s="885">
        <f t="shared" si="18"/>
        <v>0</v>
      </c>
      <c r="AE15" s="883">
        <f t="shared" si="18"/>
        <v>0</v>
      </c>
      <c r="AF15" s="883">
        <f t="shared" si="18"/>
        <v>0</v>
      </c>
      <c r="AG15" s="883">
        <f t="shared" si="18"/>
        <v>0</v>
      </c>
      <c r="AH15" s="883">
        <f t="shared" si="18"/>
        <v>469.73723742624389</v>
      </c>
      <c r="AI15" s="883">
        <f t="shared" si="18"/>
        <v>0</v>
      </c>
      <c r="AJ15" s="889">
        <f t="shared" si="6"/>
        <v>469.73723742624389</v>
      </c>
      <c r="AK15" s="885">
        <f t="shared" si="19"/>
        <v>0</v>
      </c>
      <c r="AL15" s="883">
        <f t="shared" si="20"/>
        <v>0</v>
      </c>
      <c r="AM15" s="883">
        <f t="shared" si="21"/>
        <v>0</v>
      </c>
      <c r="AN15" s="883">
        <f t="shared" si="22"/>
        <v>0</v>
      </c>
      <c r="AO15" s="883">
        <f t="shared" si="23"/>
        <v>1722.3698705628942</v>
      </c>
      <c r="AP15" s="883">
        <f t="shared" si="24"/>
        <v>0</v>
      </c>
      <c r="AQ15" s="890">
        <f t="shared" ref="AQ15:AQ42" si="27">SUM(AK15:AP15)</f>
        <v>1722.3698705628942</v>
      </c>
    </row>
    <row r="16" spans="1:43">
      <c r="A16" s="817"/>
      <c r="B16" s="860" t="s">
        <v>1737</v>
      </c>
      <c r="C16" s="883"/>
      <c r="D16" s="883"/>
      <c r="E16" s="883"/>
      <c r="F16" s="883"/>
      <c r="G16" s="883"/>
      <c r="H16" s="883">
        <f>HLOOKUP($B$2,'US Territories'!$D$28:$Z$38,'US Territories'!$B29)</f>
        <v>37.299648999999107</v>
      </c>
      <c r="I16" s="883">
        <f t="shared" si="25"/>
        <v>37.299648999999107</v>
      </c>
      <c r="J16" s="884"/>
      <c r="K16" s="883"/>
      <c r="L16" s="883"/>
      <c r="M16" s="883"/>
      <c r="N16" s="885">
        <f t="shared" si="9"/>
        <v>0</v>
      </c>
      <c r="O16" s="883">
        <f t="shared" si="9"/>
        <v>0</v>
      </c>
      <c r="P16" s="883">
        <f t="shared" si="10"/>
        <v>0</v>
      </c>
      <c r="Q16" s="883">
        <f t="shared" si="11"/>
        <v>0</v>
      </c>
      <c r="R16" s="883">
        <f t="shared" si="11"/>
        <v>0</v>
      </c>
      <c r="S16" s="886">
        <f t="shared" si="11"/>
        <v>37.299648999999107</v>
      </c>
      <c r="T16" s="883">
        <f t="shared" si="4"/>
        <v>37.299648999999107</v>
      </c>
      <c r="U16" s="887">
        <f>Factors!D17</f>
        <v>25.14</v>
      </c>
      <c r="V16" s="899">
        <f t="shared" si="12"/>
        <v>0</v>
      </c>
      <c r="W16" s="900">
        <f t="shared" si="13"/>
        <v>0</v>
      </c>
      <c r="X16" s="900">
        <f t="shared" si="14"/>
        <v>0</v>
      </c>
      <c r="Y16" s="900">
        <f t="shared" si="15"/>
        <v>0</v>
      </c>
      <c r="Z16" s="900">
        <f t="shared" si="16"/>
        <v>0</v>
      </c>
      <c r="AA16" s="900">
        <f t="shared" si="17"/>
        <v>0.9377131758599776</v>
      </c>
      <c r="AB16" s="883">
        <f t="shared" si="26"/>
        <v>0.9377131758599776</v>
      </c>
      <c r="AC16" s="888">
        <f>Factors!E17</f>
        <v>1</v>
      </c>
      <c r="AD16" s="899">
        <f t="shared" si="18"/>
        <v>0</v>
      </c>
      <c r="AE16" s="900">
        <f t="shared" si="18"/>
        <v>0</v>
      </c>
      <c r="AF16" s="900">
        <f t="shared" si="18"/>
        <v>0</v>
      </c>
      <c r="AG16" s="900">
        <f t="shared" si="18"/>
        <v>0</v>
      </c>
      <c r="AH16" s="900">
        <f t="shared" si="18"/>
        <v>0</v>
      </c>
      <c r="AI16" s="900">
        <f t="shared" si="18"/>
        <v>0.9377131758599776</v>
      </c>
      <c r="AJ16" s="889">
        <f t="shared" si="6"/>
        <v>0.9377131758599776</v>
      </c>
      <c r="AK16" s="885">
        <f t="shared" si="19"/>
        <v>0</v>
      </c>
      <c r="AL16" s="883">
        <f t="shared" si="20"/>
        <v>0</v>
      </c>
      <c r="AM16" s="883">
        <f t="shared" si="21"/>
        <v>0</v>
      </c>
      <c r="AN16" s="883">
        <f t="shared" si="22"/>
        <v>0</v>
      </c>
      <c r="AO16" s="883">
        <f t="shared" si="23"/>
        <v>0</v>
      </c>
      <c r="AP16" s="883">
        <f t="shared" si="24"/>
        <v>3.4382816448199178</v>
      </c>
      <c r="AQ16" s="890">
        <f t="shared" si="27"/>
        <v>3.4382816448199178</v>
      </c>
    </row>
    <row r="17" spans="1:43">
      <c r="A17" s="817"/>
      <c r="B17" s="863" t="s">
        <v>1439</v>
      </c>
      <c r="C17" s="901">
        <f>HLOOKUP($B$2,'Consumption Input'!$E$5:$AQ$82,'Consumption Input'!$B8)</f>
        <v>4804.5789999999997</v>
      </c>
      <c r="D17" s="901">
        <f>HLOOKUP($B$2,'Consumption Input'!$E$5:$AQ$82,'Consumption Input'!$B14)</f>
        <v>3216.1</v>
      </c>
      <c r="E17" s="901">
        <f>HLOOKUP($B$2,'Consumption Input'!$E$5:$AQ$82,'Consumption Input'!$B26)</f>
        <v>8172.0100719061047</v>
      </c>
      <c r="F17" s="901">
        <f>HLOOKUP($B$2,'Consumption Input'!$E$5:$AQ$82,'Consumption Input'!$B49)</f>
        <v>733.548</v>
      </c>
      <c r="G17" s="901">
        <f>HLOOKUP($B$2,'Consumption Input'!$E$5:$AQ$82,'Consumption Input'!$B59)</f>
        <v>7712.2049999999999</v>
      </c>
      <c r="H17" s="902">
        <f>HLOOKUP($B$2,'US Territories'!$D$28:$Z$38,'US Territories'!$B30)</f>
        <v>27.0689475</v>
      </c>
      <c r="I17" s="901">
        <f t="shared" si="25"/>
        <v>24665.511019406102</v>
      </c>
      <c r="J17" s="903"/>
      <c r="K17" s="901">
        <f>HLOOKUP($B$2,NEUConsumption,'Non-Energy Use'!$C$9)</f>
        <v>314.0095</v>
      </c>
      <c r="L17" s="901"/>
      <c r="M17" s="901"/>
      <c r="N17" s="904">
        <f t="shared" si="9"/>
        <v>4804.5789999999997</v>
      </c>
      <c r="O17" s="901">
        <f t="shared" si="9"/>
        <v>3216.1</v>
      </c>
      <c r="P17" s="901">
        <f t="shared" si="10"/>
        <v>7858.0005719061046</v>
      </c>
      <c r="Q17" s="901">
        <f t="shared" si="11"/>
        <v>733.548</v>
      </c>
      <c r="R17" s="901">
        <f t="shared" si="11"/>
        <v>7712.2049999999999</v>
      </c>
      <c r="S17" s="902">
        <f t="shared" si="11"/>
        <v>27.0689475</v>
      </c>
      <c r="T17" s="901">
        <f t="shared" si="4"/>
        <v>24351.501519406102</v>
      </c>
      <c r="U17" s="905">
        <f>HLOOKUP($B$2,Factors!$J$12:$AE$26,Factors!$H26,FALSE)</f>
        <v>14.47868971330724</v>
      </c>
      <c r="V17" s="901">
        <f t="shared" si="12"/>
        <v>69.564008544071982</v>
      </c>
      <c r="W17" s="901">
        <f t="shared" si="13"/>
        <v>46.564913986967412</v>
      </c>
      <c r="X17" s="901">
        <f t="shared" si="14"/>
        <v>113.77355204761932</v>
      </c>
      <c r="Y17" s="901">
        <f t="shared" si="15"/>
        <v>10.620813881817099</v>
      </c>
      <c r="Z17" s="901">
        <f t="shared" si="16"/>
        <v>111.66262320041668</v>
      </c>
      <c r="AA17" s="901">
        <f t="shared" si="17"/>
        <v>0.39192289171830375</v>
      </c>
      <c r="AB17" s="901">
        <f t="shared" si="26"/>
        <v>352.5778345526108</v>
      </c>
      <c r="AC17" s="906">
        <f>Factors!E19</f>
        <v>1</v>
      </c>
      <c r="AD17" s="904">
        <f t="shared" si="18"/>
        <v>69.564008544071982</v>
      </c>
      <c r="AE17" s="901">
        <f t="shared" si="18"/>
        <v>46.564913986967412</v>
      </c>
      <c r="AF17" s="901">
        <f t="shared" si="18"/>
        <v>113.77355204761932</v>
      </c>
      <c r="AG17" s="901">
        <f t="shared" si="18"/>
        <v>10.620813881817099</v>
      </c>
      <c r="AH17" s="901">
        <f t="shared" si="18"/>
        <v>111.66262320041668</v>
      </c>
      <c r="AI17" s="901">
        <f t="shared" si="18"/>
        <v>0.39192289171830375</v>
      </c>
      <c r="AJ17" s="901">
        <f t="shared" si="6"/>
        <v>352.5778345526108</v>
      </c>
      <c r="AK17" s="904">
        <f t="shared" si="19"/>
        <v>255.06803132826391</v>
      </c>
      <c r="AL17" s="901">
        <f t="shared" si="20"/>
        <v>170.73801795221382</v>
      </c>
      <c r="AM17" s="901">
        <f t="shared" si="21"/>
        <v>417.16969084127084</v>
      </c>
      <c r="AN17" s="901">
        <f t="shared" si="22"/>
        <v>38.942984233329362</v>
      </c>
      <c r="AO17" s="901">
        <f t="shared" si="23"/>
        <v>409.42961840152782</v>
      </c>
      <c r="AP17" s="901">
        <f t="shared" si="24"/>
        <v>1.4370506029671137</v>
      </c>
      <c r="AQ17" s="907">
        <f t="shared" si="27"/>
        <v>1292.7853933595727</v>
      </c>
    </row>
    <row r="18" spans="1:43">
      <c r="A18" s="817"/>
      <c r="B18" s="864" t="s">
        <v>1440</v>
      </c>
      <c r="C18" s="908">
        <f t="shared" ref="C18:H18" si="28">SUM(C19:C41)</f>
        <v>1036.3369037068765</v>
      </c>
      <c r="D18" s="908">
        <f t="shared" si="28"/>
        <v>671.90914813148845</v>
      </c>
      <c r="E18" s="908">
        <f t="shared" si="28"/>
        <v>8080.0774646892423</v>
      </c>
      <c r="F18" s="908">
        <f t="shared" si="28"/>
        <v>24356.954441877391</v>
      </c>
      <c r="G18" s="908">
        <f t="shared" si="28"/>
        <v>295.03999999999996</v>
      </c>
      <c r="H18" s="908">
        <f t="shared" si="28"/>
        <v>416.34931593244403</v>
      </c>
      <c r="I18" s="908">
        <f t="shared" si="25"/>
        <v>34856.667274337444</v>
      </c>
      <c r="J18" s="909">
        <f t="shared" ref="J18:S18" si="29">SUM(J19:J41)</f>
        <v>1546.5956919714622</v>
      </c>
      <c r="K18" s="908">
        <f t="shared" si="29"/>
        <v>4251.3625593232518</v>
      </c>
      <c r="L18" s="908">
        <f t="shared" si="29"/>
        <v>148.37200000000001</v>
      </c>
      <c r="M18" s="908">
        <f t="shared" si="29"/>
        <v>14.600021119828765</v>
      </c>
      <c r="N18" s="910">
        <f t="shared" si="29"/>
        <v>1036.3369037068765</v>
      </c>
      <c r="O18" s="908">
        <f t="shared" si="29"/>
        <v>671.90914813148845</v>
      </c>
      <c r="P18" s="908">
        <f t="shared" si="29"/>
        <v>3828.7149053659896</v>
      </c>
      <c r="Q18" s="908">
        <f t="shared" si="29"/>
        <v>22661.986749905933</v>
      </c>
      <c r="R18" s="908">
        <f t="shared" si="29"/>
        <v>295.03999999999996</v>
      </c>
      <c r="S18" s="911">
        <f t="shared" si="29"/>
        <v>401.74929481261529</v>
      </c>
      <c r="T18" s="889">
        <f t="shared" si="4"/>
        <v>28895.737001922906</v>
      </c>
      <c r="U18" s="912" t="s">
        <v>1731</v>
      </c>
      <c r="V18" s="908">
        <f t="shared" ref="V18:AA18" si="30">SUM(V19:V41)</f>
        <v>19.435881317759907</v>
      </c>
      <c r="W18" s="908">
        <f t="shared" si="30"/>
        <v>13.096203238196344</v>
      </c>
      <c r="X18" s="908">
        <f t="shared" si="30"/>
        <v>78.540712566102684</v>
      </c>
      <c r="Y18" s="908">
        <f t="shared" si="30"/>
        <v>444.9367025532606</v>
      </c>
      <c r="Z18" s="908">
        <f t="shared" si="30"/>
        <v>7.0449691790293372</v>
      </c>
      <c r="AA18" s="908">
        <f t="shared" si="30"/>
        <v>7.9601076229751246</v>
      </c>
      <c r="AB18" s="908">
        <f t="shared" si="26"/>
        <v>571.014576477324</v>
      </c>
      <c r="AC18" s="913" t="s">
        <v>1731</v>
      </c>
      <c r="AD18" s="910">
        <f t="shared" ref="AD18:AI18" si="31">SUM(AD19:AD41)</f>
        <v>19.435881317759907</v>
      </c>
      <c r="AE18" s="908">
        <f t="shared" si="31"/>
        <v>13.096203238196344</v>
      </c>
      <c r="AF18" s="908">
        <f t="shared" si="31"/>
        <v>78.540712566102684</v>
      </c>
      <c r="AG18" s="908">
        <f t="shared" si="31"/>
        <v>444.9367025532606</v>
      </c>
      <c r="AH18" s="908">
        <f t="shared" si="31"/>
        <v>7.0449691790293372</v>
      </c>
      <c r="AI18" s="908">
        <f t="shared" si="31"/>
        <v>7.9601076229751246</v>
      </c>
      <c r="AJ18" s="908">
        <f t="shared" si="6"/>
        <v>571.014576477324</v>
      </c>
      <c r="AK18" s="914">
        <f t="shared" si="19"/>
        <v>71.264898165119661</v>
      </c>
      <c r="AL18" s="889">
        <f t="shared" si="20"/>
        <v>48.019411873386588</v>
      </c>
      <c r="AM18" s="889">
        <f t="shared" si="21"/>
        <v>287.98261274237649</v>
      </c>
      <c r="AN18" s="889">
        <f t="shared" si="22"/>
        <v>1631.4345760286221</v>
      </c>
      <c r="AO18" s="889">
        <f t="shared" si="23"/>
        <v>25.831553656440903</v>
      </c>
      <c r="AP18" s="889">
        <f t="shared" si="24"/>
        <v>29.187061284242123</v>
      </c>
      <c r="AQ18" s="915">
        <f t="shared" si="27"/>
        <v>2093.7201137501879</v>
      </c>
    </row>
    <row r="19" spans="1:43">
      <c r="A19" s="817"/>
      <c r="B19" s="860" t="s">
        <v>1608</v>
      </c>
      <c r="C19" s="883"/>
      <c r="D19" s="883"/>
      <c r="E19" s="883">
        <f>HLOOKUP($B$2,'Consumption Input'!$E$5:$AQ$82,'Consumption Input'!$B27)</f>
        <v>859.48900000000003</v>
      </c>
      <c r="F19" s="883"/>
      <c r="G19" s="883"/>
      <c r="H19" s="883"/>
      <c r="I19" s="883">
        <f t="shared" si="25"/>
        <v>859.48900000000003</v>
      </c>
      <c r="J19" s="884"/>
      <c r="K19" s="883">
        <f>HLOOKUP($B$2,NEUConsumption,'Non-Energy Use'!$C$10)</f>
        <v>859.48900000000003</v>
      </c>
      <c r="L19" s="883"/>
      <c r="M19" s="883"/>
      <c r="N19" s="885">
        <f t="shared" ref="N19:O42" si="32">C19</f>
        <v>0</v>
      </c>
      <c r="O19" s="883">
        <f t="shared" si="32"/>
        <v>0</v>
      </c>
      <c r="P19" s="883">
        <f t="shared" ref="P19:P41" si="33">E19-K19</f>
        <v>0</v>
      </c>
      <c r="Q19" s="883">
        <f t="shared" ref="Q19:Q41" si="34">F19-J19-L19</f>
        <v>0</v>
      </c>
      <c r="R19" s="883">
        <f t="shared" ref="R19:R42" si="35">G19</f>
        <v>0</v>
      </c>
      <c r="S19" s="886">
        <f t="shared" ref="S19:S41" si="36">H19-M19</f>
        <v>0</v>
      </c>
      <c r="T19" s="883">
        <f t="shared" si="4"/>
        <v>0</v>
      </c>
      <c r="U19" s="887">
        <f>Factors!D24</f>
        <v>20.55318099621897</v>
      </c>
      <c r="V19" s="885">
        <f t="shared" ref="V19:V41" si="37">N19*$U19*TbtuToQBtu</f>
        <v>0</v>
      </c>
      <c r="W19" s="883">
        <f t="shared" ref="W19:W41" si="38">O19*$U19*TbtuToQBtu</f>
        <v>0</v>
      </c>
      <c r="X19" s="883">
        <f t="shared" ref="X19:X41" si="39">P19*$U19*TbtuToQBtu</f>
        <v>0</v>
      </c>
      <c r="Y19" s="883">
        <f t="shared" ref="Y19:Y41" si="40">Q19*$U19*TbtuToQBtu</f>
        <v>0</v>
      </c>
      <c r="Z19" s="883">
        <f t="shared" ref="Z19:Z41" si="41">R19*$U19*TbtuToQBtu</f>
        <v>0</v>
      </c>
      <c r="AA19" s="883">
        <f t="shared" ref="AA19:AA41" si="42">S19*$U19*TbtuToQBtu</f>
        <v>0</v>
      </c>
      <c r="AB19" s="883">
        <f t="shared" si="26"/>
        <v>0</v>
      </c>
      <c r="AC19" s="888">
        <f>Factors!E24</f>
        <v>1</v>
      </c>
      <c r="AD19" s="885">
        <f t="shared" ref="AD19:AI35" si="43">V19*$AC19</f>
        <v>0</v>
      </c>
      <c r="AE19" s="883">
        <f t="shared" si="43"/>
        <v>0</v>
      </c>
      <c r="AF19" s="883">
        <f t="shared" si="43"/>
        <v>0</v>
      </c>
      <c r="AG19" s="883">
        <f t="shared" si="43"/>
        <v>0</v>
      </c>
      <c r="AH19" s="883">
        <f t="shared" si="43"/>
        <v>0</v>
      </c>
      <c r="AI19" s="883">
        <f t="shared" si="43"/>
        <v>0</v>
      </c>
      <c r="AJ19" s="889">
        <f t="shared" si="6"/>
        <v>0</v>
      </c>
      <c r="AK19" s="885">
        <f t="shared" si="19"/>
        <v>0</v>
      </c>
      <c r="AL19" s="883">
        <f t="shared" si="20"/>
        <v>0</v>
      </c>
      <c r="AM19" s="883">
        <f t="shared" si="21"/>
        <v>0</v>
      </c>
      <c r="AN19" s="883">
        <f t="shared" si="22"/>
        <v>0</v>
      </c>
      <c r="AO19" s="883">
        <f t="shared" si="23"/>
        <v>0</v>
      </c>
      <c r="AP19" s="883">
        <f t="shared" si="24"/>
        <v>0</v>
      </c>
      <c r="AQ19" s="890">
        <f t="shared" si="27"/>
        <v>0</v>
      </c>
    </row>
    <row r="20" spans="1:43">
      <c r="A20" s="817"/>
      <c r="B20" s="860" t="s">
        <v>1622</v>
      </c>
      <c r="C20" s="883"/>
      <c r="D20" s="883"/>
      <c r="E20" s="883"/>
      <c r="F20" s="883">
        <f>HLOOKUP($B$2,'Consumption Input'!$E$5:$AQ$82,'Consumption Input'!$B50)</f>
        <v>27.056999999999999</v>
      </c>
      <c r="G20" s="883"/>
      <c r="H20" s="883"/>
      <c r="I20" s="883">
        <f t="shared" si="25"/>
        <v>27.056999999999999</v>
      </c>
      <c r="J20" s="884"/>
      <c r="K20" s="883"/>
      <c r="L20" s="883"/>
      <c r="M20" s="883"/>
      <c r="N20" s="885">
        <f t="shared" si="32"/>
        <v>0</v>
      </c>
      <c r="O20" s="883">
        <f t="shared" si="32"/>
        <v>0</v>
      </c>
      <c r="P20" s="883">
        <f t="shared" si="33"/>
        <v>0</v>
      </c>
      <c r="Q20" s="883">
        <f t="shared" si="34"/>
        <v>27.056999999999999</v>
      </c>
      <c r="R20" s="883">
        <f t="shared" si="35"/>
        <v>0</v>
      </c>
      <c r="S20" s="886">
        <f t="shared" si="36"/>
        <v>0</v>
      </c>
      <c r="T20" s="883">
        <f t="shared" si="4"/>
        <v>27.056999999999999</v>
      </c>
      <c r="U20" s="887">
        <f>Factors!D25</f>
        <v>18.855352254718337</v>
      </c>
      <c r="V20" s="885">
        <f t="shared" si="37"/>
        <v>0</v>
      </c>
      <c r="W20" s="883">
        <f t="shared" si="38"/>
        <v>0</v>
      </c>
      <c r="X20" s="883">
        <f t="shared" si="39"/>
        <v>0</v>
      </c>
      <c r="Y20" s="883">
        <f t="shared" si="40"/>
        <v>0.51016926595591405</v>
      </c>
      <c r="Z20" s="883">
        <f t="shared" si="41"/>
        <v>0</v>
      </c>
      <c r="AA20" s="883">
        <f t="shared" si="42"/>
        <v>0</v>
      </c>
      <c r="AB20" s="883">
        <f t="shared" si="26"/>
        <v>0.51016926595591405</v>
      </c>
      <c r="AC20" s="888">
        <f>Factors!E25</f>
        <v>1</v>
      </c>
      <c r="AD20" s="885">
        <f t="shared" si="43"/>
        <v>0</v>
      </c>
      <c r="AE20" s="883">
        <f t="shared" si="43"/>
        <v>0</v>
      </c>
      <c r="AF20" s="883">
        <f t="shared" si="43"/>
        <v>0</v>
      </c>
      <c r="AG20" s="883">
        <f t="shared" si="43"/>
        <v>0.51016926595591405</v>
      </c>
      <c r="AH20" s="883">
        <f t="shared" si="43"/>
        <v>0</v>
      </c>
      <c r="AI20" s="883">
        <f t="shared" si="43"/>
        <v>0</v>
      </c>
      <c r="AJ20" s="889">
        <f t="shared" si="6"/>
        <v>0.51016926595591405</v>
      </c>
      <c r="AK20" s="885">
        <f t="shared" si="19"/>
        <v>0</v>
      </c>
      <c r="AL20" s="883">
        <f t="shared" si="20"/>
        <v>0</v>
      </c>
      <c r="AM20" s="883">
        <f t="shared" si="21"/>
        <v>0</v>
      </c>
      <c r="AN20" s="883">
        <f t="shared" si="22"/>
        <v>1.8706206418383515</v>
      </c>
      <c r="AO20" s="883">
        <f t="shared" si="23"/>
        <v>0</v>
      </c>
      <c r="AP20" s="883">
        <f t="shared" si="24"/>
        <v>0</v>
      </c>
      <c r="AQ20" s="890">
        <f t="shared" si="27"/>
        <v>1.8706206418383515</v>
      </c>
    </row>
    <row r="21" spans="1:43">
      <c r="A21" s="817"/>
      <c r="B21" s="860" t="s">
        <v>1738</v>
      </c>
      <c r="C21" s="883">
        <f>HLOOKUP($B$2,'Consumption Input'!$E$5:$AQ$82,'Consumption Input'!$B9)</f>
        <v>525.19890370687642</v>
      </c>
      <c r="D21" s="883">
        <f>HLOOKUP($B$2,'Consumption Input'!$E$5:$AQ$82,'Consumption Input'!$B15)</f>
        <v>393.32267709810907</v>
      </c>
      <c r="E21" s="883">
        <f>HLOOKUP($B$2,'Consumption Input'!$E$5:$AQ$82,'Consumption Input'!$B28)</f>
        <v>1238.9677608672785</v>
      </c>
      <c r="F21" s="883">
        <f>HLOOKUP($B$2,'Consumption Input'!$E$5:$AQ$82,'Consumption Input'!$B51)</f>
        <v>5875.2594188077364</v>
      </c>
      <c r="G21" s="883">
        <f>HLOOKUP($B$2,'Consumption Input'!$E$5:$AQ$82,'Consumption Input'!$B60)</f>
        <v>63.655000000000001</v>
      </c>
      <c r="H21" s="883">
        <f>HLOOKUP($B$2,'US Territories'!$D$28:$Z$38,'US Territories'!$B31)</f>
        <v>59.267687759052954</v>
      </c>
      <c r="I21" s="883">
        <f t="shared" si="25"/>
        <v>8155.6714482390535</v>
      </c>
      <c r="J21" s="884">
        <f>HLOOKUP($B$2,IBFConsumption,'International Bunker Fuels'!$B$10)</f>
        <v>107.41368474261905</v>
      </c>
      <c r="K21" s="883">
        <f>HLOOKUP($B$2,NEUConsumption,'Non-Energy Use'!$C$20)</f>
        <v>5.8250000000000002</v>
      </c>
      <c r="L21" s="883"/>
      <c r="M21" s="883"/>
      <c r="N21" s="885">
        <f t="shared" si="32"/>
        <v>525.19890370687642</v>
      </c>
      <c r="O21" s="883">
        <f t="shared" si="32"/>
        <v>393.32267709810907</v>
      </c>
      <c r="P21" s="883">
        <f t="shared" si="33"/>
        <v>1233.1427608672784</v>
      </c>
      <c r="Q21" s="883">
        <f t="shared" si="34"/>
        <v>5767.8457340651175</v>
      </c>
      <c r="R21" s="883">
        <f t="shared" si="35"/>
        <v>63.655000000000001</v>
      </c>
      <c r="S21" s="886">
        <f t="shared" si="36"/>
        <v>59.267687759052954</v>
      </c>
      <c r="T21" s="883">
        <f t="shared" si="4"/>
        <v>8042.4327634964338</v>
      </c>
      <c r="U21" s="887">
        <f>HLOOKUP($B$2,Factors!$J$12:$BE$27,Factors!$H27,FALSE)</f>
        <v>20.22</v>
      </c>
      <c r="V21" s="885">
        <f t="shared" si="37"/>
        <v>10.619521832953041</v>
      </c>
      <c r="W21" s="883">
        <f t="shared" si="38"/>
        <v>7.9529845309237652</v>
      </c>
      <c r="X21" s="883">
        <f t="shared" si="39"/>
        <v>24.934146624736368</v>
      </c>
      <c r="Y21" s="883">
        <f t="shared" si="40"/>
        <v>116.62584074279668</v>
      </c>
      <c r="Z21" s="883">
        <f t="shared" si="41"/>
        <v>1.2871041000000001</v>
      </c>
      <c r="AA21" s="883">
        <f t="shared" si="42"/>
        <v>1.1983926464880506</v>
      </c>
      <c r="AB21" s="883">
        <f t="shared" si="26"/>
        <v>162.61799047789791</v>
      </c>
      <c r="AC21" s="888">
        <f>Factors!E26</f>
        <v>1</v>
      </c>
      <c r="AD21" s="885">
        <f t="shared" si="43"/>
        <v>10.619521832953041</v>
      </c>
      <c r="AE21" s="883">
        <f t="shared" si="43"/>
        <v>7.9529845309237652</v>
      </c>
      <c r="AF21" s="883">
        <f t="shared" si="43"/>
        <v>24.934146624736368</v>
      </c>
      <c r="AG21" s="883">
        <f t="shared" si="43"/>
        <v>116.62584074279668</v>
      </c>
      <c r="AH21" s="883">
        <f t="shared" si="43"/>
        <v>1.2871041000000001</v>
      </c>
      <c r="AI21" s="883">
        <f t="shared" si="43"/>
        <v>1.1983926464880506</v>
      </c>
      <c r="AJ21" s="889">
        <f t="shared" si="6"/>
        <v>162.61799047789791</v>
      </c>
      <c r="AK21" s="885">
        <f t="shared" si="19"/>
        <v>38.938246720827813</v>
      </c>
      <c r="AL21" s="883">
        <f t="shared" si="20"/>
        <v>29.160943280053804</v>
      </c>
      <c r="AM21" s="883">
        <f t="shared" si="21"/>
        <v>91.425204290700009</v>
      </c>
      <c r="AN21" s="883">
        <f t="shared" si="22"/>
        <v>427.6280827235878</v>
      </c>
      <c r="AO21" s="883">
        <f t="shared" si="23"/>
        <v>4.7193817000000005</v>
      </c>
      <c r="AP21" s="883">
        <f t="shared" si="24"/>
        <v>4.3941063704561856</v>
      </c>
      <c r="AQ21" s="890">
        <f t="shared" si="27"/>
        <v>596.26596508562557</v>
      </c>
    </row>
    <row r="22" spans="1:43">
      <c r="A22" s="817"/>
      <c r="B22" s="860" t="s">
        <v>1623</v>
      </c>
      <c r="C22" s="883"/>
      <c r="D22" s="883"/>
      <c r="E22" s="883"/>
      <c r="F22" s="883">
        <f>HLOOKUP($B$2,'Consumption Input'!$E$5:$AQ$82,'Consumption Input'!$B52)</f>
        <v>2949.8180000000002</v>
      </c>
      <c r="G22" s="916"/>
      <c r="H22" s="883">
        <f>HLOOKUP($B$2,'US Territories'!$D$28:$Z$38,'US Territories'!$B32)</f>
        <v>47.118124888828767</v>
      </c>
      <c r="I22" s="883">
        <f t="shared" si="25"/>
        <v>2996.936124888829</v>
      </c>
      <c r="J22" s="884">
        <f>HLOOKUP($B$2,IBFConsumption,'International Bunker Fuels'!$B$8)</f>
        <v>920.81140713384332</v>
      </c>
      <c r="K22" s="883"/>
      <c r="L22" s="883"/>
      <c r="M22" s="883"/>
      <c r="N22" s="885">
        <f t="shared" si="32"/>
        <v>0</v>
      </c>
      <c r="O22" s="883">
        <f t="shared" si="32"/>
        <v>0</v>
      </c>
      <c r="P22" s="883">
        <f t="shared" si="33"/>
        <v>0</v>
      </c>
      <c r="Q22" s="883">
        <f t="shared" si="34"/>
        <v>2029.006592866157</v>
      </c>
      <c r="R22" s="883">
        <f t="shared" si="35"/>
        <v>0</v>
      </c>
      <c r="S22" s="886">
        <f t="shared" si="36"/>
        <v>47.118124888828767</v>
      </c>
      <c r="T22" s="883">
        <f t="shared" si="4"/>
        <v>2076.1247177549858</v>
      </c>
      <c r="U22" s="887">
        <f>HLOOKUP($B$2,Factors!$J$12:$AE$25,Factors!$H21,FALSE)</f>
        <v>19.696969696969692</v>
      </c>
      <c r="V22" s="885">
        <f t="shared" si="37"/>
        <v>0</v>
      </c>
      <c r="W22" s="883">
        <f t="shared" si="38"/>
        <v>0</v>
      </c>
      <c r="X22" s="883">
        <f t="shared" si="39"/>
        <v>0</v>
      </c>
      <c r="Y22" s="883">
        <f t="shared" si="40"/>
        <v>39.965281374636419</v>
      </c>
      <c r="Z22" s="883">
        <f t="shared" si="41"/>
        <v>0</v>
      </c>
      <c r="AA22" s="883">
        <f t="shared" si="42"/>
        <v>0.92808427811329364</v>
      </c>
      <c r="AB22" s="883">
        <f t="shared" si="26"/>
        <v>40.893365652749715</v>
      </c>
      <c r="AC22" s="888">
        <f>Factors!E27</f>
        <v>1</v>
      </c>
      <c r="AD22" s="885">
        <f t="shared" si="43"/>
        <v>0</v>
      </c>
      <c r="AE22" s="883">
        <f t="shared" si="43"/>
        <v>0</v>
      </c>
      <c r="AF22" s="883">
        <f t="shared" si="43"/>
        <v>0</v>
      </c>
      <c r="AG22" s="883">
        <f t="shared" si="43"/>
        <v>39.965281374636419</v>
      </c>
      <c r="AH22" s="883">
        <f t="shared" si="43"/>
        <v>0</v>
      </c>
      <c r="AI22" s="883">
        <f t="shared" si="43"/>
        <v>0.92808427811329364</v>
      </c>
      <c r="AJ22" s="889">
        <f t="shared" si="6"/>
        <v>40.893365652749715</v>
      </c>
      <c r="AK22" s="885">
        <f t="shared" si="19"/>
        <v>0</v>
      </c>
      <c r="AL22" s="883">
        <f t="shared" si="20"/>
        <v>0</v>
      </c>
      <c r="AM22" s="883">
        <f t="shared" si="21"/>
        <v>0</v>
      </c>
      <c r="AN22" s="883">
        <f t="shared" si="22"/>
        <v>146.53936504033354</v>
      </c>
      <c r="AO22" s="883">
        <f t="shared" si="23"/>
        <v>0</v>
      </c>
      <c r="AP22" s="883">
        <f t="shared" si="24"/>
        <v>3.4029756864154099</v>
      </c>
      <c r="AQ22" s="890">
        <f t="shared" si="27"/>
        <v>149.94234072674894</v>
      </c>
    </row>
    <row r="23" spans="1:43">
      <c r="A23" s="817"/>
      <c r="B23" s="860" t="s">
        <v>1599</v>
      </c>
      <c r="C23" s="883">
        <f>HLOOKUP($B$2,'Consumption Input'!$E$5:$AQ$82,'Consumption Input'!$B10)</f>
        <v>18.526</v>
      </c>
      <c r="D23" s="883">
        <f>HLOOKUP($B$2,'Consumption Input'!$E$5:$AQ$82,'Consumption Input'!$B16)</f>
        <v>3.1919999999999997</v>
      </c>
      <c r="E23" s="883">
        <f>HLOOKUP($B$2,'Consumption Input'!$E$5:$AQ$82,'Consumption Input'!$B29)</f>
        <v>3.6150000000000002</v>
      </c>
      <c r="F23" s="883"/>
      <c r="G23" s="883"/>
      <c r="H23" s="883">
        <f>HLOOKUP($B$2,'US Territories'!$D$28:$Z$38,'US Territories'!$B33)</f>
        <v>1.1108045542808211</v>
      </c>
      <c r="I23" s="883">
        <f t="shared" si="25"/>
        <v>26.44380455428082</v>
      </c>
      <c r="J23" s="884"/>
      <c r="K23" s="883"/>
      <c r="L23" s="883"/>
      <c r="M23" s="883"/>
      <c r="N23" s="885">
        <f t="shared" si="32"/>
        <v>18.526</v>
      </c>
      <c r="O23" s="883">
        <f t="shared" si="32"/>
        <v>3.1919999999999997</v>
      </c>
      <c r="P23" s="883">
        <f t="shared" si="33"/>
        <v>3.6150000000000002</v>
      </c>
      <c r="Q23" s="883">
        <f t="shared" si="34"/>
        <v>0</v>
      </c>
      <c r="R23" s="883">
        <f t="shared" si="35"/>
        <v>0</v>
      </c>
      <c r="S23" s="886">
        <f t="shared" si="36"/>
        <v>1.1108045542808211</v>
      </c>
      <c r="T23" s="883">
        <f t="shared" si="4"/>
        <v>26.44380455428082</v>
      </c>
      <c r="U23" s="887">
        <f>Factors!D28</f>
        <v>19.964104564962931</v>
      </c>
      <c r="V23" s="885">
        <f t="shared" si="37"/>
        <v>0.36985500117050329</v>
      </c>
      <c r="W23" s="883">
        <f t="shared" si="38"/>
        <v>6.3725421771361673E-2</v>
      </c>
      <c r="X23" s="883">
        <f t="shared" si="39"/>
        <v>7.2170238002341E-2</v>
      </c>
      <c r="Y23" s="883">
        <f t="shared" si="40"/>
        <v>0</v>
      </c>
      <c r="Z23" s="883">
        <f t="shared" si="41"/>
        <v>0</v>
      </c>
      <c r="AA23" s="883">
        <f t="shared" si="42"/>
        <v>2.2176218272899357E-2</v>
      </c>
      <c r="AB23" s="883">
        <f t="shared" si="26"/>
        <v>0.52792687921710535</v>
      </c>
      <c r="AC23" s="888">
        <f>Factors!E28</f>
        <v>1</v>
      </c>
      <c r="AD23" s="885">
        <f t="shared" si="43"/>
        <v>0.36985500117050329</v>
      </c>
      <c r="AE23" s="883">
        <f t="shared" si="43"/>
        <v>6.3725421771361673E-2</v>
      </c>
      <c r="AF23" s="883">
        <f t="shared" si="43"/>
        <v>7.2170238002341E-2</v>
      </c>
      <c r="AG23" s="883">
        <f t="shared" si="43"/>
        <v>0</v>
      </c>
      <c r="AH23" s="883">
        <f t="shared" si="43"/>
        <v>0</v>
      </c>
      <c r="AI23" s="883">
        <f t="shared" si="43"/>
        <v>2.2176218272899357E-2</v>
      </c>
      <c r="AJ23" s="889">
        <f t="shared" si="6"/>
        <v>0.52792687921710535</v>
      </c>
      <c r="AK23" s="885">
        <f t="shared" si="19"/>
        <v>1.3561350042918454</v>
      </c>
      <c r="AL23" s="883">
        <f t="shared" si="20"/>
        <v>0.23365987982832612</v>
      </c>
      <c r="AM23" s="883">
        <f t="shared" si="21"/>
        <v>0.26462420600858366</v>
      </c>
      <c r="AN23" s="883">
        <f t="shared" si="22"/>
        <v>0</v>
      </c>
      <c r="AO23" s="883">
        <f t="shared" si="23"/>
        <v>0</v>
      </c>
      <c r="AP23" s="883">
        <f t="shared" si="24"/>
        <v>8.1312800333964305E-2</v>
      </c>
      <c r="AQ23" s="890">
        <f t="shared" si="27"/>
        <v>1.9357318904627194</v>
      </c>
    </row>
    <row r="24" spans="1:43">
      <c r="A24" s="817"/>
      <c r="B24" s="860" t="s">
        <v>1600</v>
      </c>
      <c r="C24" s="883">
        <f>HLOOKUP($B$2,'Consumption Input'!$E$5:$AQ$82,'Consumption Input'!$B11)</f>
        <v>492.61200000000002</v>
      </c>
      <c r="D24" s="883">
        <f>HLOOKUP($B$2,'Consumption Input'!$E$5:$AQ$82,'Consumption Input'!$B17)</f>
        <v>142.50899999999999</v>
      </c>
      <c r="E24"/>
      <c r="F24" s="883">
        <f>HLOOKUP($B$2,'Consumption Input'!$E$5:$AQ$82,'Consumption Input'!$B53)</f>
        <v>4.5999999999999996</v>
      </c>
      <c r="G24" s="883"/>
      <c r="H24"/>
      <c r="I24" s="883">
        <f>SUM(C24:H24)</f>
        <v>639.721</v>
      </c>
      <c r="J24" s="884"/>
      <c r="K24"/>
      <c r="L24" s="883"/>
      <c r="M24" s="883"/>
      <c r="N24" s="885">
        <f>C24</f>
        <v>492.61200000000002</v>
      </c>
      <c r="O24" s="883">
        <f t="shared" si="32"/>
        <v>142.50899999999999</v>
      </c>
      <c r="P24"/>
      <c r="Q24" s="883">
        <f t="shared" si="34"/>
        <v>4.5999999999999996</v>
      </c>
      <c r="R24" s="883">
        <f t="shared" si="35"/>
        <v>0</v>
      </c>
      <c r="S24" s="1007"/>
      <c r="T24" s="883">
        <f t="shared" si="4"/>
        <v>639.721</v>
      </c>
      <c r="U24" s="1005">
        <f>HLOOKUP($B$2,Factors!$J$12:$BE$25,Factors!$H17,FALSE)</f>
        <v>17.146363636363635</v>
      </c>
      <c r="V24" s="885">
        <f>N24*$U24*TbtuToQBtu</f>
        <v>8.4465044836363639</v>
      </c>
      <c r="W24" s="883">
        <f>O24*$U24*TbtuToQBtu</f>
        <v>2.4435111354545453</v>
      </c>
      <c r="X24"/>
      <c r="Y24" s="883">
        <f>Q24*$U24*TbtuToQBtu</f>
        <v>7.8873272727272722E-2</v>
      </c>
      <c r="Z24" s="883">
        <f t="shared" ref="Z24" si="44">R24*$U24*TbtuToQBtu</f>
        <v>0</v>
      </c>
      <c r="AA24"/>
      <c r="AB24" s="883">
        <f>SUM(V24:AA24)</f>
        <v>10.968888891818183</v>
      </c>
      <c r="AC24" s="888">
        <f>Factors!E30</f>
        <v>1</v>
      </c>
      <c r="AD24" s="885">
        <f>V24*$AC24</f>
        <v>8.4465044836363639</v>
      </c>
      <c r="AE24" s="883">
        <f t="shared" si="43"/>
        <v>2.4435111354545453</v>
      </c>
      <c r="AF24"/>
      <c r="AG24" s="883">
        <f t="shared" si="43"/>
        <v>7.8873272727272722E-2</v>
      </c>
      <c r="AH24" s="883">
        <f t="shared" si="43"/>
        <v>0</v>
      </c>
      <c r="AI24"/>
      <c r="AJ24" s="889">
        <f t="shared" si="6"/>
        <v>10.968888891818183</v>
      </c>
      <c r="AK24" s="885">
        <f>AD24*CtoCO2</f>
        <v>30.970516440000001</v>
      </c>
      <c r="AL24" s="883">
        <f t="shared" ref="AL24" si="45">AE24*CtoCO2</f>
        <v>8.9595408299999999</v>
      </c>
      <c r="AN24" s="883">
        <f t="shared" ref="AN24" si="46">AG24*CtoCO2</f>
        <v>0.28920199999999996</v>
      </c>
      <c r="AO24" s="883">
        <f t="shared" ref="AO24" si="47">AH24*CtoCO2</f>
        <v>0</v>
      </c>
      <c r="AQ24" s="890">
        <f t="shared" si="27"/>
        <v>40.219259270000002</v>
      </c>
    </row>
    <row r="25" spans="1:43">
      <c r="A25" s="817"/>
      <c r="B25" s="860" t="s">
        <v>1609</v>
      </c>
      <c r="C25" s="883"/>
      <c r="D25" s="883"/>
      <c r="E25" s="883">
        <f>HLOOKUP($B$2,'Consumption Input'!$E$5:$AQ$82,'Consumption Input'!$B30)</f>
        <v>2116.6836242680001</v>
      </c>
      <c r="F25" s="883"/>
      <c r="G25" s="883"/>
      <c r="H25" s="883">
        <f>HLOOKUP($B$2,'US Territories'!$D$28:$AO$38,'US Territories'!$B34)</f>
        <v>19.026779830033579</v>
      </c>
      <c r="I25" s="883">
        <f>SUM(C25:H25)</f>
        <v>2135.7104040980339</v>
      </c>
      <c r="J25" s="884"/>
      <c r="K25" s="883">
        <f>HLOOKUP($B$2,NEUConsumption,'Non-Energy Use'!$C$11)</f>
        <v>1954.4033134040958</v>
      </c>
      <c r="L25" s="883"/>
      <c r="M25" s="883"/>
      <c r="N25" s="885"/>
      <c r="O25" s="883"/>
      <c r="P25" s="883">
        <f>E25-K25</f>
        <v>162.28031086390433</v>
      </c>
      <c r="Q25" s="883"/>
      <c r="R25" s="883"/>
      <c r="S25" s="886">
        <f>H25-M25</f>
        <v>19.026779830033579</v>
      </c>
      <c r="T25" s="883">
        <f t="shared" si="4"/>
        <v>181.30709069393791</v>
      </c>
      <c r="U25" s="1005">
        <f>HLOOKUP($B$2,Factors!$J$12:$BE$25,Factors!$H18,FALSE)</f>
        <v>17.727109048868925</v>
      </c>
      <c r="V25" s="885"/>
      <c r="W25" s="883"/>
      <c r="X25" s="883">
        <f>P25*$U25*TbtuToQBtu</f>
        <v>2.8767607671687805</v>
      </c>
      <c r="Y25" s="883"/>
      <c r="Z25" s="883"/>
      <c r="AA25" s="883">
        <f>S25*$U25*TbtuToQBtu</f>
        <v>0.337289800895825</v>
      </c>
      <c r="AB25" s="883">
        <f>SUM(V25:AA25)</f>
        <v>3.2140505680646054</v>
      </c>
      <c r="AC25" s="888">
        <f>Factors!E31</f>
        <v>1</v>
      </c>
      <c r="AD25" s="885"/>
      <c r="AE25" s="883"/>
      <c r="AF25" s="883">
        <f>X25*$AC25</f>
        <v>2.8767607671687805</v>
      </c>
      <c r="AG25" s="883"/>
      <c r="AH25" s="883"/>
      <c r="AI25" s="883">
        <f>AA25*$AC25</f>
        <v>0.337289800895825</v>
      </c>
      <c r="AJ25" s="889">
        <f t="shared" si="6"/>
        <v>3.2140505680646054</v>
      </c>
      <c r="AK25" s="885"/>
      <c r="AL25" s="883"/>
      <c r="AM25" s="883">
        <f>AF25*CtoCO2</f>
        <v>10.548122812952196</v>
      </c>
      <c r="AN25" s="883"/>
      <c r="AO25" s="883"/>
      <c r="AP25" s="883">
        <f>AI25*CtoCO2</f>
        <v>1.2367292699513583</v>
      </c>
      <c r="AQ25" s="890">
        <f t="shared" si="27"/>
        <v>11.784852082903553</v>
      </c>
    </row>
    <row r="26" spans="1:43">
      <c r="A26" s="817"/>
      <c r="B26" s="860" t="s">
        <v>1610</v>
      </c>
      <c r="C26" s="883"/>
      <c r="D26" s="883"/>
      <c r="E26" s="883">
        <f>HLOOKUP($B$2,'Consumption Input'!$E$5:$AQ$82,'Consumption Input'!$B31)</f>
        <v>127.396</v>
      </c>
      <c r="F26" s="883">
        <f>HLOOKUP($B$2,'Consumption Input'!$E$5:$AQ$82,'Consumption Input'!$B54)</f>
        <v>148.37200000000001</v>
      </c>
      <c r="G26" s="883"/>
      <c r="H26" s="883">
        <f>HLOOKUP($B$2,'US Territories'!$D$28:$Z$38,'US Territories'!$B35)</f>
        <v>1.0411633874999999</v>
      </c>
      <c r="I26" s="883">
        <f t="shared" si="25"/>
        <v>276.80916338750001</v>
      </c>
      <c r="J26" s="884"/>
      <c r="K26" s="883">
        <f>HLOOKUP($B$2,NEUConsumption,'Non-Energy Use'!$C$12)</f>
        <v>127.396</v>
      </c>
      <c r="L26" s="883">
        <f>HLOOKUP($B$2,NEUConsumption,'Non-Energy Use'!$C$24)</f>
        <v>148.37200000000001</v>
      </c>
      <c r="M26" s="883">
        <f>HLOOKUP($B$2,NEUConsumption,'Non-Energy Use'!$C$26)</f>
        <v>1.0411633874999999</v>
      </c>
      <c r="N26" s="885">
        <f t="shared" si="32"/>
        <v>0</v>
      </c>
      <c r="O26" s="883">
        <f t="shared" si="32"/>
        <v>0</v>
      </c>
      <c r="P26" s="883">
        <f t="shared" si="33"/>
        <v>0</v>
      </c>
      <c r="Q26" s="883">
        <f>F26-J26-L26</f>
        <v>0</v>
      </c>
      <c r="R26" s="883">
        <f>G26</f>
        <v>0</v>
      </c>
      <c r="S26" s="886">
        <f t="shared" si="36"/>
        <v>0</v>
      </c>
      <c r="T26" s="883">
        <f t="shared" si="4"/>
        <v>0</v>
      </c>
      <c r="U26" s="887">
        <f>Factors!D33</f>
        <v>20.199355467286214</v>
      </c>
      <c r="V26" s="885">
        <f t="shared" si="37"/>
        <v>0</v>
      </c>
      <c r="W26" s="883">
        <f t="shared" si="38"/>
        <v>0</v>
      </c>
      <c r="X26" s="883">
        <f t="shared" si="39"/>
        <v>0</v>
      </c>
      <c r="Y26" s="883">
        <f>Q26*$U26*TbtuToQBtu</f>
        <v>0</v>
      </c>
      <c r="Z26" s="883">
        <f t="shared" si="41"/>
        <v>0</v>
      </c>
      <c r="AA26" s="883">
        <f t="shared" si="42"/>
        <v>0</v>
      </c>
      <c r="AB26" s="883">
        <f t="shared" si="26"/>
        <v>0</v>
      </c>
      <c r="AC26" s="888">
        <f>Factors!E33</f>
        <v>1</v>
      </c>
      <c r="AD26" s="885">
        <f t="shared" si="43"/>
        <v>0</v>
      </c>
      <c r="AE26" s="883">
        <f t="shared" si="43"/>
        <v>0</v>
      </c>
      <c r="AF26" s="883">
        <f t="shared" si="43"/>
        <v>0</v>
      </c>
      <c r="AG26" s="883">
        <f>Y26*$AC26</f>
        <v>0</v>
      </c>
      <c r="AH26" s="883">
        <f t="shared" si="43"/>
        <v>0</v>
      </c>
      <c r="AI26" s="883">
        <f t="shared" si="43"/>
        <v>0</v>
      </c>
      <c r="AJ26" s="889">
        <f t="shared" si="6"/>
        <v>0</v>
      </c>
      <c r="AK26" s="885">
        <f t="shared" si="19"/>
        <v>0</v>
      </c>
      <c r="AL26" s="883">
        <f t="shared" si="20"/>
        <v>0</v>
      </c>
      <c r="AM26" s="883">
        <f t="shared" si="21"/>
        <v>0</v>
      </c>
      <c r="AN26" s="883">
        <f>AG26*CtoCO2</f>
        <v>0</v>
      </c>
      <c r="AO26" s="883">
        <f t="shared" si="23"/>
        <v>0</v>
      </c>
      <c r="AP26" s="883">
        <f t="shared" si="24"/>
        <v>0</v>
      </c>
      <c r="AQ26" s="890">
        <f t="shared" si="27"/>
        <v>0</v>
      </c>
    </row>
    <row r="27" spans="1:43">
      <c r="A27" s="817"/>
      <c r="B27" s="860" t="s">
        <v>1601</v>
      </c>
      <c r="C27" s="883"/>
      <c r="D27" s="883">
        <f>HLOOKUP($B$2,'Consumption Input'!$E$5:$AQ$82,'Consumption Input'!$B18)</f>
        <v>78.957471033379463</v>
      </c>
      <c r="E27" s="883">
        <f>HLOOKUP($B$2,'Consumption Input'!$E$5:$AQ$82,'Consumption Input'!$B32)</f>
        <v>455.91850589696293</v>
      </c>
      <c r="F27" s="883">
        <f>HLOOKUP($B$2,'Consumption Input'!$E$5:$AQ$82,'Consumption Input'!$B55)</f>
        <v>14575.527023069657</v>
      </c>
      <c r="G27" s="883"/>
      <c r="H27" s="883">
        <f>HLOOKUP($B$2,'US Territories'!$D$28:$Z$38,'US Territories'!$B36)</f>
        <v>147.69246121629848</v>
      </c>
      <c r="I27" s="883">
        <f t="shared" si="25"/>
        <v>15258.095461216297</v>
      </c>
      <c r="J27" s="884"/>
      <c r="K27" s="883"/>
      <c r="L27" s="883"/>
      <c r="M27" s="883"/>
      <c r="N27" s="885">
        <f t="shared" si="32"/>
        <v>0</v>
      </c>
      <c r="O27" s="883">
        <f t="shared" si="32"/>
        <v>78.957471033379463</v>
      </c>
      <c r="P27" s="883">
        <f t="shared" si="33"/>
        <v>455.91850589696293</v>
      </c>
      <c r="Q27" s="883">
        <f t="shared" si="34"/>
        <v>14575.527023069657</v>
      </c>
      <c r="R27" s="883">
        <f t="shared" si="35"/>
        <v>0</v>
      </c>
      <c r="S27" s="886">
        <f t="shared" si="36"/>
        <v>147.69246121629848</v>
      </c>
      <c r="T27" s="883">
        <f t="shared" si="4"/>
        <v>15258.095461216297</v>
      </c>
      <c r="U27" s="887">
        <f>HLOOKUP($B$2,Factors!$J$12:$AE$25,Factors!$H20,FALSE)</f>
        <v>19.38</v>
      </c>
      <c r="V27" s="885">
        <f t="shared" si="37"/>
        <v>0</v>
      </c>
      <c r="W27" s="883">
        <f t="shared" si="38"/>
        <v>1.530195788626894</v>
      </c>
      <c r="X27" s="883">
        <f t="shared" si="39"/>
        <v>8.8357006442831416</v>
      </c>
      <c r="Y27" s="883">
        <f t="shared" si="40"/>
        <v>282.47371370708993</v>
      </c>
      <c r="Z27" s="883">
        <f t="shared" si="41"/>
        <v>0</v>
      </c>
      <c r="AA27" s="883">
        <f t="shared" si="42"/>
        <v>2.8622798983718645</v>
      </c>
      <c r="AB27" s="883">
        <f t="shared" si="26"/>
        <v>295.70189003837186</v>
      </c>
      <c r="AC27" s="888">
        <f>Factors!E34</f>
        <v>1</v>
      </c>
      <c r="AD27" s="885">
        <f t="shared" si="43"/>
        <v>0</v>
      </c>
      <c r="AE27" s="883">
        <f t="shared" si="43"/>
        <v>1.530195788626894</v>
      </c>
      <c r="AF27" s="883">
        <f t="shared" si="43"/>
        <v>8.8357006442831416</v>
      </c>
      <c r="AG27" s="883">
        <f>Y27*$AC44</f>
        <v>282.47371370708993</v>
      </c>
      <c r="AH27" s="883">
        <f t="shared" si="43"/>
        <v>0</v>
      </c>
      <c r="AI27" s="883">
        <f t="shared" si="43"/>
        <v>2.8622798983718645</v>
      </c>
      <c r="AJ27" s="889">
        <f t="shared" si="6"/>
        <v>295.70189003837186</v>
      </c>
      <c r="AK27" s="885">
        <f t="shared" si="19"/>
        <v>0</v>
      </c>
      <c r="AL27" s="883">
        <f t="shared" si="20"/>
        <v>5.6107178916319445</v>
      </c>
      <c r="AM27" s="883">
        <f t="shared" si="21"/>
        <v>32.397569029038188</v>
      </c>
      <c r="AN27" s="883">
        <f t="shared" si="22"/>
        <v>1035.7369502593297</v>
      </c>
      <c r="AO27" s="883">
        <f t="shared" si="23"/>
        <v>0</v>
      </c>
      <c r="AP27" s="883">
        <f t="shared" si="24"/>
        <v>10.49502629403017</v>
      </c>
      <c r="AQ27" s="890">
        <f t="shared" si="27"/>
        <v>1084.2402634740299</v>
      </c>
    </row>
    <row r="28" spans="1:43">
      <c r="A28" s="817"/>
      <c r="B28" s="860" t="s">
        <v>1602</v>
      </c>
      <c r="C28" s="883"/>
      <c r="D28" s="883">
        <f>HLOOKUP($B$2,'Consumption Input'!$E$5:$AQ$82,'Consumption Input'!$B19)</f>
        <v>53.746000000000002</v>
      </c>
      <c r="E28" s="883">
        <f>HLOOKUP($B$2,'Consumption Input'!$E$5:$AQ$82,'Consumption Input'!$B33)</f>
        <v>50.0505</v>
      </c>
      <c r="F28" s="883">
        <f>HLOOKUP($B$2,'Consumption Input'!$E$5:$AQ$82,'Consumption Input'!$B56)</f>
        <v>776.32100000000003</v>
      </c>
      <c r="G28" s="883">
        <f>HLOOKUP($B$2,'Consumption Input'!$E$5:$AQ$82,'Consumption Input'!$B61)</f>
        <v>93.064999999999998</v>
      </c>
      <c r="H28" s="883">
        <f>HLOOKUP($B$2,'US Territories'!$D$28:$Z$38,'US Territories'!$B37)</f>
        <v>127.53343656412068</v>
      </c>
      <c r="I28" s="883">
        <f t="shared" si="25"/>
        <v>1100.7159365641207</v>
      </c>
      <c r="J28" s="884">
        <f>HLOOKUP($B$2,IBFConsumption,'International Bunker Fuels'!$B$9)</f>
        <v>518.37060009499999</v>
      </c>
      <c r="K28" s="883"/>
      <c r="L28" s="883"/>
      <c r="M28" s="883"/>
      <c r="N28" s="885">
        <f t="shared" si="32"/>
        <v>0</v>
      </c>
      <c r="O28" s="883">
        <f t="shared" si="32"/>
        <v>53.746000000000002</v>
      </c>
      <c r="P28" s="883">
        <f t="shared" si="33"/>
        <v>50.0505</v>
      </c>
      <c r="Q28" s="883">
        <f t="shared" si="34"/>
        <v>257.95039990500004</v>
      </c>
      <c r="R28" s="883">
        <f t="shared" si="35"/>
        <v>93.064999999999998</v>
      </c>
      <c r="S28" s="886">
        <f t="shared" si="36"/>
        <v>127.53343656412068</v>
      </c>
      <c r="T28" s="883">
        <f t="shared" si="4"/>
        <v>582.34533646912075</v>
      </c>
      <c r="U28" s="887">
        <f>Factors!D36</f>
        <v>20.48</v>
      </c>
      <c r="V28" s="885">
        <f t="shared" si="37"/>
        <v>0</v>
      </c>
      <c r="W28" s="883">
        <f t="shared" si="38"/>
        <v>1.10071808</v>
      </c>
      <c r="X28" s="883">
        <f t="shared" si="39"/>
        <v>1.0250342399999999</v>
      </c>
      <c r="Y28" s="883">
        <f t="shared" si="40"/>
        <v>5.2828241900544013</v>
      </c>
      <c r="Z28" s="883">
        <f t="shared" si="41"/>
        <v>1.9059712</v>
      </c>
      <c r="AA28" s="883">
        <f t="shared" si="42"/>
        <v>2.6118847808331918</v>
      </c>
      <c r="AB28" s="883">
        <f t="shared" si="26"/>
        <v>11.926432490887594</v>
      </c>
      <c r="AC28" s="888">
        <f>Factors!E36</f>
        <v>1</v>
      </c>
      <c r="AD28" s="885">
        <f t="shared" si="43"/>
        <v>0</v>
      </c>
      <c r="AE28" s="883">
        <f t="shared" si="43"/>
        <v>1.10071808</v>
      </c>
      <c r="AF28" s="883">
        <f t="shared" si="43"/>
        <v>1.0250342399999999</v>
      </c>
      <c r="AG28" s="883">
        <f t="shared" si="43"/>
        <v>5.2828241900544013</v>
      </c>
      <c r="AH28" s="883">
        <f t="shared" si="43"/>
        <v>1.9059712</v>
      </c>
      <c r="AI28" s="883">
        <f t="shared" si="43"/>
        <v>2.6118847808331918</v>
      </c>
      <c r="AJ28" s="889">
        <f t="shared" si="6"/>
        <v>11.926432490887594</v>
      </c>
      <c r="AK28" s="885">
        <f t="shared" si="19"/>
        <v>0</v>
      </c>
      <c r="AL28" s="883">
        <f t="shared" si="20"/>
        <v>4.0359662933333329</v>
      </c>
      <c r="AM28" s="883">
        <f t="shared" si="21"/>
        <v>3.7584588799999992</v>
      </c>
      <c r="AN28" s="883">
        <f t="shared" si="22"/>
        <v>19.370355363532806</v>
      </c>
      <c r="AO28" s="883">
        <f t="shared" si="23"/>
        <v>6.9885610666666667</v>
      </c>
      <c r="AP28" s="883">
        <f t="shared" si="24"/>
        <v>9.5769108630550353</v>
      </c>
      <c r="AQ28" s="890">
        <f t="shared" si="27"/>
        <v>43.730252466587842</v>
      </c>
    </row>
    <row r="29" spans="1:43">
      <c r="A29" s="817"/>
      <c r="B29" s="860" t="s">
        <v>1603</v>
      </c>
      <c r="C29" s="883"/>
      <c r="D29" s="883"/>
      <c r="E29" s="883"/>
      <c r="F29" s="883"/>
      <c r="G29" s="883"/>
      <c r="H29" s="883"/>
      <c r="I29" s="883"/>
      <c r="J29" s="884"/>
      <c r="K29" s="883"/>
      <c r="L29" s="883"/>
      <c r="M29" s="883"/>
      <c r="N29" s="885">
        <f t="shared" si="32"/>
        <v>0</v>
      </c>
      <c r="O29" s="883">
        <f t="shared" si="32"/>
        <v>0</v>
      </c>
      <c r="P29" s="883">
        <f t="shared" si="33"/>
        <v>0</v>
      </c>
      <c r="Q29" s="883">
        <f t="shared" si="34"/>
        <v>0</v>
      </c>
      <c r="R29" s="883">
        <f t="shared" si="35"/>
        <v>0</v>
      </c>
      <c r="S29" s="886">
        <f t="shared" si="36"/>
        <v>0</v>
      </c>
      <c r="T29" s="883">
        <f t="shared" si="4"/>
        <v>0</v>
      </c>
      <c r="U29" s="887"/>
      <c r="V29" s="885">
        <f t="shared" si="37"/>
        <v>0</v>
      </c>
      <c r="W29" s="883">
        <f t="shared" si="38"/>
        <v>0</v>
      </c>
      <c r="X29" s="883">
        <f t="shared" si="39"/>
        <v>0</v>
      </c>
      <c r="Y29" s="883">
        <f t="shared" si="40"/>
        <v>0</v>
      </c>
      <c r="Z29" s="883">
        <f t="shared" si="41"/>
        <v>0</v>
      </c>
      <c r="AA29" s="883">
        <f t="shared" si="42"/>
        <v>0</v>
      </c>
      <c r="AB29" s="883">
        <f t="shared" si="26"/>
        <v>0</v>
      </c>
      <c r="AC29" s="888"/>
      <c r="AD29" s="885">
        <f t="shared" si="43"/>
        <v>0</v>
      </c>
      <c r="AE29" s="883">
        <f t="shared" si="43"/>
        <v>0</v>
      </c>
      <c r="AF29" s="883">
        <f t="shared" si="43"/>
        <v>0</v>
      </c>
      <c r="AG29" s="883">
        <f t="shared" si="43"/>
        <v>0</v>
      </c>
      <c r="AH29" s="883">
        <f t="shared" si="43"/>
        <v>0</v>
      </c>
      <c r="AI29" s="883">
        <f t="shared" si="43"/>
        <v>0</v>
      </c>
      <c r="AJ29" s="889">
        <f t="shared" si="6"/>
        <v>0</v>
      </c>
      <c r="AK29" s="885">
        <f t="shared" si="19"/>
        <v>0</v>
      </c>
      <c r="AL29" s="883">
        <f t="shared" si="20"/>
        <v>0</v>
      </c>
      <c r="AM29" s="883">
        <f t="shared" si="21"/>
        <v>0</v>
      </c>
      <c r="AN29" s="883">
        <f t="shared" si="22"/>
        <v>0</v>
      </c>
      <c r="AO29" s="883">
        <f t="shared" si="23"/>
        <v>0</v>
      </c>
      <c r="AP29" s="883">
        <f t="shared" si="24"/>
        <v>0</v>
      </c>
      <c r="AQ29" s="890">
        <f t="shared" si="27"/>
        <v>0</v>
      </c>
    </row>
    <row r="30" spans="1:43">
      <c r="A30" s="817"/>
      <c r="B30" s="865" t="s">
        <v>1611</v>
      </c>
      <c r="C30" s="883"/>
      <c r="D30" s="883"/>
      <c r="E30" s="883">
        <f>HLOOKUP($B$2,'Consumption Input'!$E$5:$AQ$82,'Consumption Input'!$B35)</f>
        <v>1.0096000000000001E-2</v>
      </c>
      <c r="F30" s="883"/>
      <c r="G30" s="883"/>
      <c r="H30" s="883"/>
      <c r="I30" s="883">
        <f t="shared" ref="I30:I41" si="48">SUM(C30:H30)</f>
        <v>1.0096000000000001E-2</v>
      </c>
      <c r="J30" s="884"/>
      <c r="K30" s="883"/>
      <c r="L30" s="883"/>
      <c r="M30" s="883"/>
      <c r="N30" s="885">
        <f t="shared" si="32"/>
        <v>0</v>
      </c>
      <c r="O30" s="883">
        <f t="shared" si="32"/>
        <v>0</v>
      </c>
      <c r="P30" s="883">
        <f t="shared" si="33"/>
        <v>1.0096000000000001E-2</v>
      </c>
      <c r="Q30" s="883">
        <f t="shared" si="34"/>
        <v>0</v>
      </c>
      <c r="R30" s="883">
        <f t="shared" si="35"/>
        <v>0</v>
      </c>
      <c r="S30" s="886">
        <f t="shared" si="36"/>
        <v>0</v>
      </c>
      <c r="T30" s="883">
        <f t="shared" si="4"/>
        <v>1.0096000000000001E-2</v>
      </c>
      <c r="U30" s="887">
        <f>Factors!D39</f>
        <v>18.87</v>
      </c>
      <c r="V30" s="885">
        <f t="shared" si="37"/>
        <v>0</v>
      </c>
      <c r="W30" s="883">
        <f t="shared" si="38"/>
        <v>0</v>
      </c>
      <c r="X30" s="883">
        <f t="shared" si="39"/>
        <v>1.9051152000000002E-4</v>
      </c>
      <c r="Y30" s="883">
        <f t="shared" si="40"/>
        <v>0</v>
      </c>
      <c r="Z30" s="883">
        <f t="shared" si="41"/>
        <v>0</v>
      </c>
      <c r="AA30" s="883">
        <f t="shared" si="42"/>
        <v>0</v>
      </c>
      <c r="AB30" s="883">
        <f t="shared" si="26"/>
        <v>1.9051152000000002E-4</v>
      </c>
      <c r="AC30" s="888">
        <f>Factors!E39</f>
        <v>1</v>
      </c>
      <c r="AD30" s="885">
        <f t="shared" si="43"/>
        <v>0</v>
      </c>
      <c r="AE30" s="883">
        <f t="shared" si="43"/>
        <v>0</v>
      </c>
      <c r="AF30" s="883">
        <f t="shared" si="43"/>
        <v>1.9051152000000002E-4</v>
      </c>
      <c r="AG30" s="883">
        <f t="shared" si="43"/>
        <v>0</v>
      </c>
      <c r="AH30" s="883">
        <f t="shared" si="43"/>
        <v>0</v>
      </c>
      <c r="AI30" s="883">
        <f t="shared" si="43"/>
        <v>0</v>
      </c>
      <c r="AJ30" s="889">
        <f t="shared" si="6"/>
        <v>1.9051152000000002E-4</v>
      </c>
      <c r="AK30" s="885">
        <f t="shared" si="19"/>
        <v>0</v>
      </c>
      <c r="AL30" s="883">
        <f t="shared" si="20"/>
        <v>0</v>
      </c>
      <c r="AM30" s="883">
        <f t="shared" si="21"/>
        <v>6.9854224000000004E-4</v>
      </c>
      <c r="AN30" s="883">
        <f t="shared" si="22"/>
        <v>0</v>
      </c>
      <c r="AO30" s="883">
        <f t="shared" si="23"/>
        <v>0</v>
      </c>
      <c r="AP30" s="883">
        <f t="shared" si="24"/>
        <v>0</v>
      </c>
      <c r="AQ30" s="890">
        <f t="shared" si="27"/>
        <v>6.9854224000000004E-4</v>
      </c>
    </row>
    <row r="31" spans="1:43">
      <c r="A31" s="817"/>
      <c r="B31" s="865" t="s">
        <v>1612</v>
      </c>
      <c r="C31" s="883"/>
      <c r="D31" s="883"/>
      <c r="E31" s="883">
        <f>HLOOKUP($B$2,'Consumption Input'!$E$5:$AQ$82,'Consumption Input'!$B36)</f>
        <v>0</v>
      </c>
      <c r="F31" s="883"/>
      <c r="G31" s="883"/>
      <c r="H31" s="883"/>
      <c r="I31" s="883">
        <f t="shared" si="48"/>
        <v>0</v>
      </c>
      <c r="J31" s="884"/>
      <c r="K31" s="883"/>
      <c r="L31" s="883"/>
      <c r="M31" s="883"/>
      <c r="N31" s="885">
        <f t="shared" si="32"/>
        <v>0</v>
      </c>
      <c r="O31" s="883">
        <f t="shared" si="32"/>
        <v>0</v>
      </c>
      <c r="P31" s="883">
        <f t="shared" si="33"/>
        <v>0</v>
      </c>
      <c r="Q31" s="883">
        <f t="shared" si="34"/>
        <v>0</v>
      </c>
      <c r="R31" s="883">
        <f t="shared" si="35"/>
        <v>0</v>
      </c>
      <c r="S31" s="886">
        <f t="shared" si="36"/>
        <v>0</v>
      </c>
      <c r="T31" s="883">
        <f t="shared" si="4"/>
        <v>0</v>
      </c>
      <c r="U31" s="887">
        <f>HLOOKUP($B$2,Factors!$J$12:$AE$25,Factors!$H25,FALSE)</f>
        <v>20.305515594827586</v>
      </c>
      <c r="V31" s="885">
        <f t="shared" si="37"/>
        <v>0</v>
      </c>
      <c r="W31" s="883">
        <f t="shared" si="38"/>
        <v>0</v>
      </c>
      <c r="X31" s="883">
        <f t="shared" si="39"/>
        <v>0</v>
      </c>
      <c r="Y31" s="883">
        <f t="shared" si="40"/>
        <v>0</v>
      </c>
      <c r="Z31" s="883">
        <f t="shared" si="41"/>
        <v>0</v>
      </c>
      <c r="AA31" s="883">
        <f t="shared" si="42"/>
        <v>0</v>
      </c>
      <c r="AB31" s="883">
        <f t="shared" si="26"/>
        <v>0</v>
      </c>
      <c r="AC31" s="888">
        <f>Factors!E40</f>
        <v>1</v>
      </c>
      <c r="AD31" s="885">
        <f t="shared" si="43"/>
        <v>0</v>
      </c>
      <c r="AE31" s="883">
        <f t="shared" si="43"/>
        <v>0</v>
      </c>
      <c r="AF31" s="883">
        <f t="shared" si="43"/>
        <v>0</v>
      </c>
      <c r="AG31" s="883">
        <f t="shared" si="43"/>
        <v>0</v>
      </c>
      <c r="AH31" s="883">
        <f t="shared" si="43"/>
        <v>0</v>
      </c>
      <c r="AI31" s="883">
        <f t="shared" si="43"/>
        <v>0</v>
      </c>
      <c r="AJ31" s="889">
        <f t="shared" si="6"/>
        <v>0</v>
      </c>
      <c r="AK31" s="885">
        <f t="shared" si="19"/>
        <v>0</v>
      </c>
      <c r="AL31" s="883">
        <f t="shared" si="20"/>
        <v>0</v>
      </c>
      <c r="AM31" s="883">
        <f t="shared" si="21"/>
        <v>0</v>
      </c>
      <c r="AN31" s="883">
        <f t="shared" si="22"/>
        <v>0</v>
      </c>
      <c r="AO31" s="883">
        <f t="shared" si="23"/>
        <v>0</v>
      </c>
      <c r="AP31" s="883">
        <f t="shared" si="24"/>
        <v>0</v>
      </c>
      <c r="AQ31" s="890">
        <f t="shared" si="27"/>
        <v>0</v>
      </c>
    </row>
    <row r="32" spans="1:43">
      <c r="A32" s="817"/>
      <c r="B32" s="865" t="s">
        <v>1613</v>
      </c>
      <c r="C32" s="883"/>
      <c r="D32" s="883"/>
      <c r="E32" s="883">
        <f>HLOOKUP($B$2,'Consumption Input'!$E$5:$AQ$82,'Consumption Input'!$B37)</f>
        <v>0</v>
      </c>
      <c r="F32" s="883"/>
      <c r="G32" s="883"/>
      <c r="H32" s="883"/>
      <c r="I32" s="883">
        <f t="shared" si="48"/>
        <v>0</v>
      </c>
      <c r="J32" s="884"/>
      <c r="K32" s="883"/>
      <c r="L32" s="883"/>
      <c r="M32" s="883"/>
      <c r="N32" s="885">
        <f t="shared" si="32"/>
        <v>0</v>
      </c>
      <c r="O32" s="883">
        <f t="shared" si="32"/>
        <v>0</v>
      </c>
      <c r="P32" s="883">
        <f t="shared" si="33"/>
        <v>0</v>
      </c>
      <c r="Q32" s="883">
        <f t="shared" si="34"/>
        <v>0</v>
      </c>
      <c r="R32" s="883">
        <f t="shared" si="35"/>
        <v>0</v>
      </c>
      <c r="S32" s="886">
        <f t="shared" si="36"/>
        <v>0</v>
      </c>
      <c r="T32" s="883">
        <f t="shared" si="4"/>
        <v>0</v>
      </c>
      <c r="U32" s="887">
        <f>HLOOKUP($B$2,Factors!$J$12:$AE$25,Factors!$H22,FALSE)</f>
        <v>19.456118437849259</v>
      </c>
      <c r="V32" s="885">
        <f t="shared" si="37"/>
        <v>0</v>
      </c>
      <c r="W32" s="883">
        <f t="shared" si="38"/>
        <v>0</v>
      </c>
      <c r="X32" s="883">
        <f t="shared" si="39"/>
        <v>0</v>
      </c>
      <c r="Y32" s="883">
        <f t="shared" si="40"/>
        <v>0</v>
      </c>
      <c r="Z32" s="883">
        <f t="shared" si="41"/>
        <v>0</v>
      </c>
      <c r="AA32" s="883">
        <f t="shared" si="42"/>
        <v>0</v>
      </c>
      <c r="AB32" s="883">
        <f t="shared" si="26"/>
        <v>0</v>
      </c>
      <c r="AC32" s="888">
        <f>Factors!E41</f>
        <v>1</v>
      </c>
      <c r="AD32" s="885">
        <f t="shared" si="43"/>
        <v>0</v>
      </c>
      <c r="AE32" s="883">
        <f t="shared" si="43"/>
        <v>0</v>
      </c>
      <c r="AF32" s="883">
        <f t="shared" si="43"/>
        <v>0</v>
      </c>
      <c r="AG32" s="883">
        <f t="shared" si="43"/>
        <v>0</v>
      </c>
      <c r="AH32" s="883">
        <f t="shared" si="43"/>
        <v>0</v>
      </c>
      <c r="AI32" s="883">
        <f t="shared" si="43"/>
        <v>0</v>
      </c>
      <c r="AJ32" s="889">
        <f t="shared" si="6"/>
        <v>0</v>
      </c>
      <c r="AK32" s="885">
        <f t="shared" si="19"/>
        <v>0</v>
      </c>
      <c r="AL32" s="883">
        <f t="shared" si="20"/>
        <v>0</v>
      </c>
      <c r="AM32" s="883">
        <f t="shared" si="21"/>
        <v>0</v>
      </c>
      <c r="AN32" s="883">
        <f t="shared" si="22"/>
        <v>0</v>
      </c>
      <c r="AO32" s="883">
        <f t="shared" si="23"/>
        <v>0</v>
      </c>
      <c r="AP32" s="883">
        <f t="shared" si="24"/>
        <v>0</v>
      </c>
      <c r="AQ32" s="890">
        <f t="shared" si="27"/>
        <v>0</v>
      </c>
    </row>
    <row r="33" spans="1:43">
      <c r="A33" s="817"/>
      <c r="B33" s="865" t="s">
        <v>1739</v>
      </c>
      <c r="C33" s="883"/>
      <c r="D33" s="883"/>
      <c r="E33" s="883">
        <f>HLOOKUP($B$2,'Consumption Input'!$E$5:$AQ$82,'Consumption Input'!$B38)</f>
        <v>164.74156271999999</v>
      </c>
      <c r="F33" s="883"/>
      <c r="G33" s="883"/>
      <c r="H33" s="883">
        <f>HLOOKUP($B$2,'US Territories'!$D$28:$Z$38,'US Territories'!$B38)</f>
        <v>13.558857732328766</v>
      </c>
      <c r="I33" s="883">
        <f t="shared" si="48"/>
        <v>178.30042045232875</v>
      </c>
      <c r="J33" s="884"/>
      <c r="K33" s="883">
        <f>HLOOKUP($B$2,NEUConsumption,'Non-Energy Use'!C22)</f>
        <v>164.74156271999999</v>
      </c>
      <c r="L33" s="883"/>
      <c r="M33" s="883">
        <f>HLOOKUP($B$2,NEUConsumption,'Non-Energy Use'!$C$27)</f>
        <v>13.558857732328766</v>
      </c>
      <c r="N33" s="885">
        <f t="shared" si="32"/>
        <v>0</v>
      </c>
      <c r="O33" s="883">
        <f t="shared" si="32"/>
        <v>0</v>
      </c>
      <c r="P33" s="883">
        <f t="shared" si="33"/>
        <v>0</v>
      </c>
      <c r="Q33" s="883">
        <f t="shared" si="34"/>
        <v>0</v>
      </c>
      <c r="R33" s="883">
        <f t="shared" si="35"/>
        <v>0</v>
      </c>
      <c r="S33" s="886">
        <f t="shared" si="36"/>
        <v>0</v>
      </c>
      <c r="T33" s="883">
        <f t="shared" si="4"/>
        <v>0</v>
      </c>
      <c r="U33" s="887">
        <f>HLOOKUP($B$2,Factors!$J$12:$AE$25,Factors!$H23,FALSE)</f>
        <v>0</v>
      </c>
      <c r="V33" s="885">
        <f t="shared" si="37"/>
        <v>0</v>
      </c>
      <c r="W33" s="883">
        <f t="shared" si="38"/>
        <v>0</v>
      </c>
      <c r="X33" s="883">
        <f t="shared" si="39"/>
        <v>0</v>
      </c>
      <c r="Y33" s="883">
        <f t="shared" si="40"/>
        <v>0</v>
      </c>
      <c r="Z33" s="883">
        <f t="shared" si="41"/>
        <v>0</v>
      </c>
      <c r="AA33" s="883">
        <f t="shared" si="42"/>
        <v>0</v>
      </c>
      <c r="AB33" s="883">
        <f t="shared" si="26"/>
        <v>0</v>
      </c>
      <c r="AC33" s="888">
        <f>Factors!E42</f>
        <v>1</v>
      </c>
      <c r="AD33" s="885">
        <f t="shared" si="43"/>
        <v>0</v>
      </c>
      <c r="AE33" s="883">
        <f t="shared" si="43"/>
        <v>0</v>
      </c>
      <c r="AF33" s="883">
        <f t="shared" si="43"/>
        <v>0</v>
      </c>
      <c r="AG33" s="883">
        <f t="shared" si="43"/>
        <v>0</v>
      </c>
      <c r="AH33" s="883">
        <f t="shared" si="43"/>
        <v>0</v>
      </c>
      <c r="AI33" s="883">
        <f t="shared" si="43"/>
        <v>0</v>
      </c>
      <c r="AJ33" s="889">
        <f t="shared" si="6"/>
        <v>0</v>
      </c>
      <c r="AK33" s="885">
        <f t="shared" si="19"/>
        <v>0</v>
      </c>
      <c r="AL33" s="883">
        <f t="shared" si="20"/>
        <v>0</v>
      </c>
      <c r="AM33" s="883">
        <f t="shared" si="21"/>
        <v>0</v>
      </c>
      <c r="AN33" s="883">
        <f t="shared" si="22"/>
        <v>0</v>
      </c>
      <c r="AO33" s="883">
        <f t="shared" si="23"/>
        <v>0</v>
      </c>
      <c r="AP33" s="883">
        <f t="shared" si="24"/>
        <v>0</v>
      </c>
      <c r="AQ33" s="890">
        <f t="shared" si="27"/>
        <v>0</v>
      </c>
    </row>
    <row r="34" spans="1:43">
      <c r="A34" s="817"/>
      <c r="B34" s="865" t="s">
        <v>1615</v>
      </c>
      <c r="C34" s="883"/>
      <c r="D34" s="883"/>
      <c r="E34" s="883">
        <f>HLOOKUP($B$2,'Consumption Input'!$E$5:$AQ$82,'Consumption Input'!$B39)</f>
        <v>487.31878399999999</v>
      </c>
      <c r="F34" s="883"/>
      <c r="G34" s="883"/>
      <c r="H34" s="883"/>
      <c r="I34" s="883">
        <f t="shared" si="48"/>
        <v>487.31878399999999</v>
      </c>
      <c r="J34" s="884"/>
      <c r="K34" s="883">
        <f>HLOOKUP($B$2,NEUConsumption,'Non-Energy Use'!C14)</f>
        <v>487.31878399999999</v>
      </c>
      <c r="L34" s="883"/>
      <c r="M34" s="883"/>
      <c r="N34" s="885">
        <f t="shared" si="32"/>
        <v>0</v>
      </c>
      <c r="O34" s="883">
        <f t="shared" si="32"/>
        <v>0</v>
      </c>
      <c r="P34" s="883">
        <f t="shared" si="33"/>
        <v>0</v>
      </c>
      <c r="Q34" s="883">
        <f t="shared" si="34"/>
        <v>0</v>
      </c>
      <c r="R34" s="883">
        <f t="shared" si="35"/>
        <v>0</v>
      </c>
      <c r="S34" s="886">
        <f t="shared" si="36"/>
        <v>0</v>
      </c>
      <c r="T34" s="883">
        <f t="shared" si="4"/>
        <v>0</v>
      </c>
      <c r="U34" s="887">
        <f>Factors!D44</f>
        <v>18.550649350649344</v>
      </c>
      <c r="V34" s="885">
        <f t="shared" si="37"/>
        <v>0</v>
      </c>
      <c r="W34" s="883">
        <f t="shared" si="38"/>
        <v>0</v>
      </c>
      <c r="X34" s="883">
        <f t="shared" si="39"/>
        <v>0</v>
      </c>
      <c r="Y34" s="883">
        <f t="shared" si="40"/>
        <v>0</v>
      </c>
      <c r="Z34" s="883">
        <f t="shared" si="41"/>
        <v>0</v>
      </c>
      <c r="AA34" s="883">
        <f t="shared" si="42"/>
        <v>0</v>
      </c>
      <c r="AB34" s="883">
        <f t="shared" si="26"/>
        <v>0</v>
      </c>
      <c r="AC34" s="888">
        <f>Factors!E44</f>
        <v>1</v>
      </c>
      <c r="AD34" s="885">
        <f t="shared" si="43"/>
        <v>0</v>
      </c>
      <c r="AE34" s="883">
        <f t="shared" si="43"/>
        <v>0</v>
      </c>
      <c r="AF34" s="883">
        <f t="shared" si="43"/>
        <v>0</v>
      </c>
      <c r="AG34" s="883">
        <f t="shared" si="43"/>
        <v>0</v>
      </c>
      <c r="AH34" s="883">
        <f t="shared" si="43"/>
        <v>0</v>
      </c>
      <c r="AI34" s="883">
        <f t="shared" si="43"/>
        <v>0</v>
      </c>
      <c r="AJ34" s="889">
        <f t="shared" si="6"/>
        <v>0</v>
      </c>
      <c r="AK34" s="885">
        <f t="shared" si="19"/>
        <v>0</v>
      </c>
      <c r="AL34" s="883">
        <f t="shared" si="20"/>
        <v>0</v>
      </c>
      <c r="AM34" s="883">
        <f t="shared" si="21"/>
        <v>0</v>
      </c>
      <c r="AN34" s="883">
        <f t="shared" si="22"/>
        <v>0</v>
      </c>
      <c r="AO34" s="883">
        <f t="shared" si="23"/>
        <v>0</v>
      </c>
      <c r="AP34" s="883">
        <f t="shared" si="24"/>
        <v>0</v>
      </c>
      <c r="AQ34" s="890">
        <f t="shared" si="27"/>
        <v>0</v>
      </c>
    </row>
    <row r="35" spans="1:43">
      <c r="A35" s="817"/>
      <c r="B35" s="865" t="s">
        <v>1616</v>
      </c>
      <c r="C35" s="883"/>
      <c r="D35" s="883"/>
      <c r="E35" s="883">
        <f>HLOOKUP($B$2,'Consumption Input'!$E$5:$AQ$82,'Consumption Input'!$B40)</f>
        <v>388.52749999999997</v>
      </c>
      <c r="F35" s="883"/>
      <c r="G35" s="883"/>
      <c r="H35" s="883"/>
      <c r="I35" s="883">
        <f t="shared" si="48"/>
        <v>388.52749999999997</v>
      </c>
      <c r="J35" s="884"/>
      <c r="K35" s="883">
        <f>HLOOKUP($B$2,NEUConsumption,'Non-Energy Use'!$C$15)</f>
        <v>388.52749999999997</v>
      </c>
      <c r="L35" s="883"/>
      <c r="M35" s="883"/>
      <c r="N35" s="885">
        <f t="shared" si="32"/>
        <v>0</v>
      </c>
      <c r="O35" s="883">
        <f t="shared" si="32"/>
        <v>0</v>
      </c>
      <c r="P35" s="883">
        <f t="shared" si="33"/>
        <v>0</v>
      </c>
      <c r="Q35" s="883">
        <f t="shared" si="34"/>
        <v>0</v>
      </c>
      <c r="R35" s="883">
        <f t="shared" si="35"/>
        <v>0</v>
      </c>
      <c r="S35" s="886">
        <f t="shared" si="36"/>
        <v>0</v>
      </c>
      <c r="T35" s="883">
        <f t="shared" si="4"/>
        <v>0</v>
      </c>
      <c r="U35" s="887">
        <f>Factors!D45</f>
        <v>20.170000000000002</v>
      </c>
      <c r="V35" s="885">
        <f t="shared" si="37"/>
        <v>0</v>
      </c>
      <c r="W35" s="883">
        <f t="shared" si="38"/>
        <v>0</v>
      </c>
      <c r="X35" s="883">
        <f t="shared" si="39"/>
        <v>0</v>
      </c>
      <c r="Y35" s="883">
        <f t="shared" si="40"/>
        <v>0</v>
      </c>
      <c r="Z35" s="883">
        <f t="shared" si="41"/>
        <v>0</v>
      </c>
      <c r="AA35" s="883">
        <f t="shared" si="42"/>
        <v>0</v>
      </c>
      <c r="AB35" s="883">
        <f t="shared" si="26"/>
        <v>0</v>
      </c>
      <c r="AC35" s="888">
        <f>Factors!E45</f>
        <v>1</v>
      </c>
      <c r="AD35" s="885">
        <f t="shared" si="43"/>
        <v>0</v>
      </c>
      <c r="AE35" s="883">
        <f t="shared" si="43"/>
        <v>0</v>
      </c>
      <c r="AF35" s="883">
        <f t="shared" si="43"/>
        <v>0</v>
      </c>
      <c r="AG35" s="883">
        <f t="shared" si="43"/>
        <v>0</v>
      </c>
      <c r="AH35" s="883">
        <f t="shared" si="43"/>
        <v>0</v>
      </c>
      <c r="AI35" s="883">
        <f t="shared" si="43"/>
        <v>0</v>
      </c>
      <c r="AJ35" s="889">
        <f t="shared" si="6"/>
        <v>0</v>
      </c>
      <c r="AK35" s="885">
        <f t="shared" si="19"/>
        <v>0</v>
      </c>
      <c r="AL35" s="883">
        <f t="shared" si="20"/>
        <v>0</v>
      </c>
      <c r="AM35" s="883">
        <f t="shared" si="21"/>
        <v>0</v>
      </c>
      <c r="AN35" s="883">
        <f t="shared" si="22"/>
        <v>0</v>
      </c>
      <c r="AO35" s="883">
        <f t="shared" si="23"/>
        <v>0</v>
      </c>
      <c r="AP35" s="883">
        <f t="shared" si="24"/>
        <v>0</v>
      </c>
      <c r="AQ35" s="890">
        <f t="shared" si="27"/>
        <v>0</v>
      </c>
    </row>
    <row r="36" spans="1:43">
      <c r="A36" s="817"/>
      <c r="B36" s="865" t="s">
        <v>1617</v>
      </c>
      <c r="C36" s="883"/>
      <c r="D36" s="883"/>
      <c r="E36" s="883">
        <f>HLOOKUP($B$2,'Consumption Input'!$E$5:$AQ$82,'Consumption Input'!$B41)</f>
        <v>0</v>
      </c>
      <c r="F36" s="883"/>
      <c r="G36" s="883"/>
      <c r="H36" s="883"/>
      <c r="I36" s="883">
        <f t="shared" si="48"/>
        <v>0</v>
      </c>
      <c r="J36" s="884"/>
      <c r="K36" s="883">
        <f>HLOOKUP($B$2,NEUConsumption,'Non-Energy Use'!$C$13)</f>
        <v>0</v>
      </c>
      <c r="L36" s="883"/>
      <c r="M36" s="883"/>
      <c r="N36" s="885">
        <f t="shared" si="32"/>
        <v>0</v>
      </c>
      <c r="O36" s="883">
        <f t="shared" si="32"/>
        <v>0</v>
      </c>
      <c r="P36" s="883">
        <f t="shared" si="33"/>
        <v>0</v>
      </c>
      <c r="Q36" s="883">
        <f t="shared" si="34"/>
        <v>0</v>
      </c>
      <c r="R36" s="883">
        <f t="shared" si="35"/>
        <v>0</v>
      </c>
      <c r="S36" s="886">
        <f t="shared" si="36"/>
        <v>0</v>
      </c>
      <c r="T36" s="883">
        <f t="shared" si="4"/>
        <v>0</v>
      </c>
      <c r="U36" s="887">
        <f>Factors!D46</f>
        <v>18.239999999999998</v>
      </c>
      <c r="V36" s="885">
        <f t="shared" si="37"/>
        <v>0</v>
      </c>
      <c r="W36" s="883">
        <f t="shared" si="38"/>
        <v>0</v>
      </c>
      <c r="X36" s="883">
        <f t="shared" si="39"/>
        <v>0</v>
      </c>
      <c r="Y36" s="883">
        <f t="shared" si="40"/>
        <v>0</v>
      </c>
      <c r="Z36" s="883">
        <f t="shared" si="41"/>
        <v>0</v>
      </c>
      <c r="AA36" s="883">
        <f t="shared" si="42"/>
        <v>0</v>
      </c>
      <c r="AB36" s="883">
        <f t="shared" si="26"/>
        <v>0</v>
      </c>
      <c r="AC36" s="888">
        <f>Factors!E46</f>
        <v>1</v>
      </c>
      <c r="AD36" s="885">
        <f t="shared" ref="AD36:AI42" si="49">V36*$AC36</f>
        <v>0</v>
      </c>
      <c r="AE36" s="883">
        <f t="shared" si="49"/>
        <v>0</v>
      </c>
      <c r="AF36" s="883">
        <f t="shared" si="49"/>
        <v>0</v>
      </c>
      <c r="AG36" s="883">
        <f t="shared" si="49"/>
        <v>0</v>
      </c>
      <c r="AH36" s="883">
        <f t="shared" si="49"/>
        <v>0</v>
      </c>
      <c r="AI36" s="883">
        <f t="shared" si="49"/>
        <v>0</v>
      </c>
      <c r="AJ36" s="889">
        <f t="shared" si="6"/>
        <v>0</v>
      </c>
      <c r="AK36" s="885">
        <f t="shared" si="19"/>
        <v>0</v>
      </c>
      <c r="AL36" s="883">
        <f t="shared" si="20"/>
        <v>0</v>
      </c>
      <c r="AM36" s="883">
        <f t="shared" si="21"/>
        <v>0</v>
      </c>
      <c r="AN36" s="883">
        <f t="shared" si="22"/>
        <v>0</v>
      </c>
      <c r="AO36" s="883">
        <f t="shared" si="23"/>
        <v>0</v>
      </c>
      <c r="AP36" s="883">
        <f t="shared" si="24"/>
        <v>0</v>
      </c>
      <c r="AQ36" s="890">
        <f t="shared" si="27"/>
        <v>0</v>
      </c>
    </row>
    <row r="37" spans="1:43">
      <c r="A37" s="817"/>
      <c r="B37" s="865" t="s">
        <v>1604</v>
      </c>
      <c r="C37" s="883"/>
      <c r="D37" s="883">
        <f>HLOOKUP($B$2,'Consumption Input'!$E$5:$AQ$82,'Consumption Input'!$B21)</f>
        <v>0.182</v>
      </c>
      <c r="E37" s="883">
        <f>HLOOKUP($B$2,'Consumption Input'!$E$5:$AQ$82,'Consumption Input'!$B42)</f>
        <v>662.69600000000003</v>
      </c>
      <c r="F37" s="883"/>
      <c r="G37" s="883">
        <f>HLOOKUP($B$2,'Consumption Input'!$E$5:$AQ$82,'Consumption Input'!$B63)</f>
        <v>138.32</v>
      </c>
      <c r="H37" s="883"/>
      <c r="I37" s="883">
        <f t="shared" si="48"/>
        <v>801.19800000000009</v>
      </c>
      <c r="J37" s="884"/>
      <c r="K37" s="883">
        <f>HLOOKUP($B$2,NEUConsumption,'Non-Energy Use'!$C$17)</f>
        <v>62.405128262155976</v>
      </c>
      <c r="L37" s="883"/>
      <c r="M37" s="883"/>
      <c r="N37" s="885">
        <f t="shared" si="32"/>
        <v>0</v>
      </c>
      <c r="O37" s="883">
        <f t="shared" si="32"/>
        <v>0.182</v>
      </c>
      <c r="P37" s="883">
        <f t="shared" si="33"/>
        <v>600.2908717378441</v>
      </c>
      <c r="Q37" s="883">
        <f t="shared" si="34"/>
        <v>0</v>
      </c>
      <c r="R37" s="883">
        <f t="shared" si="35"/>
        <v>138.32</v>
      </c>
      <c r="S37" s="886">
        <f t="shared" si="36"/>
        <v>0</v>
      </c>
      <c r="T37" s="883">
        <f t="shared" si="4"/>
        <v>738.79287173784405</v>
      </c>
      <c r="U37" s="887">
        <f>Factors!D48</f>
        <v>27.84770010865628</v>
      </c>
      <c r="V37" s="885">
        <f t="shared" si="37"/>
        <v>0</v>
      </c>
      <c r="W37" s="883">
        <f t="shared" si="38"/>
        <v>5.0682814197754427E-3</v>
      </c>
      <c r="X37" s="883">
        <f t="shared" si="39"/>
        <v>16.716720174119335</v>
      </c>
      <c r="Y37" s="883">
        <f t="shared" si="40"/>
        <v>0</v>
      </c>
      <c r="Z37" s="883">
        <f t="shared" si="41"/>
        <v>3.8518938790293364</v>
      </c>
      <c r="AA37" s="883">
        <f t="shared" si="42"/>
        <v>0</v>
      </c>
      <c r="AB37" s="883">
        <f t="shared" si="26"/>
        <v>20.573682334568446</v>
      </c>
      <c r="AC37" s="888">
        <f>Factors!E48</f>
        <v>1</v>
      </c>
      <c r="AD37" s="885">
        <f t="shared" si="49"/>
        <v>0</v>
      </c>
      <c r="AE37" s="883">
        <f t="shared" si="49"/>
        <v>5.0682814197754427E-3</v>
      </c>
      <c r="AF37" s="883">
        <f t="shared" si="49"/>
        <v>16.716720174119335</v>
      </c>
      <c r="AG37" s="883">
        <f t="shared" si="49"/>
        <v>0</v>
      </c>
      <c r="AH37" s="883">
        <f t="shared" si="49"/>
        <v>3.8518938790293364</v>
      </c>
      <c r="AI37" s="883">
        <f t="shared" si="49"/>
        <v>0</v>
      </c>
      <c r="AJ37" s="889">
        <f t="shared" si="6"/>
        <v>20.573682334568446</v>
      </c>
      <c r="AK37" s="885">
        <f t="shared" si="19"/>
        <v>0</v>
      </c>
      <c r="AL37" s="883">
        <f t="shared" si="20"/>
        <v>1.8583698539176623E-2</v>
      </c>
      <c r="AM37" s="883">
        <f t="shared" si="21"/>
        <v>61.294640638437556</v>
      </c>
      <c r="AN37" s="883">
        <f t="shared" si="22"/>
        <v>0</v>
      </c>
      <c r="AO37" s="883">
        <f t="shared" si="23"/>
        <v>14.123610889774232</v>
      </c>
      <c r="AP37" s="883">
        <f t="shared" si="24"/>
        <v>0</v>
      </c>
      <c r="AQ37" s="890">
        <f t="shared" si="27"/>
        <v>75.436835226750958</v>
      </c>
    </row>
    <row r="38" spans="1:43">
      <c r="A38" s="817"/>
      <c r="B38" s="865" t="s">
        <v>1618</v>
      </c>
      <c r="C38" s="883"/>
      <c r="D38" s="883"/>
      <c r="E38" s="883">
        <f>HLOOKUP($B$2,'Consumption Input'!$E$5:$AQ$82,'Consumption Input'!$B43)</f>
        <v>1486.9739999999999</v>
      </c>
      <c r="F38" s="883"/>
      <c r="G38" s="883"/>
      <c r="H38" s="883"/>
      <c r="I38" s="883">
        <f t="shared" si="48"/>
        <v>1486.9739999999999</v>
      </c>
      <c r="J38" s="884"/>
      <c r="K38" s="883">
        <f>HLOOKUP($B$2,NEUConsumption,'Non-Energy Use'!$C$16)</f>
        <v>163.56713999999999</v>
      </c>
      <c r="L38" s="883"/>
      <c r="M38" s="883"/>
      <c r="N38" s="885">
        <f t="shared" si="32"/>
        <v>0</v>
      </c>
      <c r="O38" s="883">
        <f t="shared" si="32"/>
        <v>0</v>
      </c>
      <c r="P38" s="883">
        <f t="shared" si="33"/>
        <v>1323.4068600000001</v>
      </c>
      <c r="Q38" s="883">
        <f t="shared" si="34"/>
        <v>0</v>
      </c>
      <c r="R38" s="883">
        <f t="shared" si="35"/>
        <v>0</v>
      </c>
      <c r="S38" s="886">
        <f t="shared" si="36"/>
        <v>0</v>
      </c>
      <c r="T38" s="883">
        <f t="shared" si="4"/>
        <v>1323.4068600000001</v>
      </c>
      <c r="U38" s="887">
        <f>Factors!D51</f>
        <v>18.195454545454545</v>
      </c>
      <c r="V38" s="885">
        <f t="shared" si="37"/>
        <v>0</v>
      </c>
      <c r="W38" s="883">
        <f t="shared" si="38"/>
        <v>0</v>
      </c>
      <c r="X38" s="883">
        <f t="shared" si="39"/>
        <v>24.079989366272727</v>
      </c>
      <c r="Y38" s="883">
        <f t="shared" si="40"/>
        <v>0</v>
      </c>
      <c r="Z38" s="883">
        <f t="shared" si="41"/>
        <v>0</v>
      </c>
      <c r="AA38" s="883">
        <f t="shared" si="42"/>
        <v>0</v>
      </c>
      <c r="AB38" s="883">
        <f t="shared" si="26"/>
        <v>24.079989366272727</v>
      </c>
      <c r="AC38" s="888">
        <f>Factors!E51</f>
        <v>1</v>
      </c>
      <c r="AD38" s="885">
        <f t="shared" si="49"/>
        <v>0</v>
      </c>
      <c r="AE38" s="883">
        <f t="shared" si="49"/>
        <v>0</v>
      </c>
      <c r="AF38" s="883">
        <f t="shared" si="49"/>
        <v>24.079989366272727</v>
      </c>
      <c r="AG38" s="883">
        <f t="shared" si="49"/>
        <v>0</v>
      </c>
      <c r="AH38" s="883">
        <f t="shared" si="49"/>
        <v>0</v>
      </c>
      <c r="AI38" s="883">
        <f t="shared" si="49"/>
        <v>0</v>
      </c>
      <c r="AJ38" s="889">
        <f t="shared" si="6"/>
        <v>24.079989366272727</v>
      </c>
      <c r="AK38" s="885">
        <f t="shared" si="19"/>
        <v>0</v>
      </c>
      <c r="AL38" s="883">
        <f t="shared" si="20"/>
        <v>0</v>
      </c>
      <c r="AM38" s="883">
        <f t="shared" si="21"/>
        <v>88.293294342999999</v>
      </c>
      <c r="AN38" s="883">
        <f t="shared" si="22"/>
        <v>0</v>
      </c>
      <c r="AO38" s="883">
        <f t="shared" si="23"/>
        <v>0</v>
      </c>
      <c r="AP38" s="883">
        <f t="shared" si="24"/>
        <v>0</v>
      </c>
      <c r="AQ38" s="890">
        <f t="shared" si="27"/>
        <v>88.293294342999999</v>
      </c>
    </row>
    <row r="39" spans="1:43">
      <c r="A39" s="817"/>
      <c r="B39" s="865" t="s">
        <v>1619</v>
      </c>
      <c r="C39" s="883"/>
      <c r="D39" s="883"/>
      <c r="E39" s="883">
        <f>HLOOKUP($B$2,'Consumption Input'!$E$5:$AQ$82,'Consumption Input'!$B44)</f>
        <v>22.614177792</v>
      </c>
      <c r="F39" s="883"/>
      <c r="G39" s="883"/>
      <c r="H39" s="883"/>
      <c r="I39" s="883">
        <f t="shared" si="48"/>
        <v>22.614177792</v>
      </c>
      <c r="J39" s="884"/>
      <c r="K39" s="883">
        <f>HLOOKUP($B$2,NEUConsumption,'Non-Energy Use'!$C$18)</f>
        <v>22.614177792</v>
      </c>
      <c r="L39" s="883"/>
      <c r="M39" s="883"/>
      <c r="N39" s="885">
        <f t="shared" si="32"/>
        <v>0</v>
      </c>
      <c r="O39" s="883">
        <f t="shared" si="32"/>
        <v>0</v>
      </c>
      <c r="P39" s="883">
        <f t="shared" si="33"/>
        <v>0</v>
      </c>
      <c r="Q39" s="883">
        <f t="shared" si="34"/>
        <v>0</v>
      </c>
      <c r="R39" s="883">
        <f t="shared" si="35"/>
        <v>0</v>
      </c>
      <c r="S39" s="886">
        <f t="shared" si="36"/>
        <v>0</v>
      </c>
      <c r="T39" s="883">
        <f t="shared" si="4"/>
        <v>0</v>
      </c>
      <c r="U39" s="887">
        <f>Factors!D37</f>
        <v>19.737389135254986</v>
      </c>
      <c r="V39" s="885">
        <f t="shared" si="37"/>
        <v>0</v>
      </c>
      <c r="W39" s="883">
        <f t="shared" si="38"/>
        <v>0</v>
      </c>
      <c r="X39" s="883">
        <f t="shared" si="39"/>
        <v>0</v>
      </c>
      <c r="Y39" s="883">
        <f t="shared" si="40"/>
        <v>0</v>
      </c>
      <c r="Z39" s="883">
        <f t="shared" si="41"/>
        <v>0</v>
      </c>
      <c r="AA39" s="883">
        <f t="shared" si="42"/>
        <v>0</v>
      </c>
      <c r="AB39" s="883">
        <f t="shared" si="26"/>
        <v>0</v>
      </c>
      <c r="AC39" s="888">
        <f>Factors!E37</f>
        <v>1</v>
      </c>
      <c r="AD39" s="885">
        <f t="shared" si="49"/>
        <v>0</v>
      </c>
      <c r="AE39" s="883">
        <f t="shared" si="49"/>
        <v>0</v>
      </c>
      <c r="AF39" s="883">
        <f t="shared" si="49"/>
        <v>0</v>
      </c>
      <c r="AG39" s="883">
        <f t="shared" si="49"/>
        <v>0</v>
      </c>
      <c r="AH39" s="883">
        <f t="shared" si="49"/>
        <v>0</v>
      </c>
      <c r="AI39" s="883">
        <f t="shared" si="49"/>
        <v>0</v>
      </c>
      <c r="AJ39" s="889">
        <f t="shared" si="6"/>
        <v>0</v>
      </c>
      <c r="AK39" s="885">
        <f t="shared" si="19"/>
        <v>0</v>
      </c>
      <c r="AL39" s="883">
        <f t="shared" si="20"/>
        <v>0</v>
      </c>
      <c r="AM39" s="883">
        <f t="shared" si="21"/>
        <v>0</v>
      </c>
      <c r="AN39" s="883">
        <f t="shared" si="22"/>
        <v>0</v>
      </c>
      <c r="AO39" s="883">
        <f t="shared" si="23"/>
        <v>0</v>
      </c>
      <c r="AP39" s="883">
        <f t="shared" si="24"/>
        <v>0</v>
      </c>
      <c r="AQ39" s="890">
        <f t="shared" si="27"/>
        <v>0</v>
      </c>
    </row>
    <row r="40" spans="1:43">
      <c r="A40" s="817"/>
      <c r="B40" s="865" t="s">
        <v>1620</v>
      </c>
      <c r="C40" s="883"/>
      <c r="D40" s="883"/>
      <c r="E40" s="883">
        <f>HLOOKUP($B$2,'Consumption Input'!$E$5:$AQ$82,'Consumption Input'!$B45)</f>
        <v>0</v>
      </c>
      <c r="F40" s="883"/>
      <c r="G40" s="883"/>
      <c r="H40" s="883"/>
      <c r="I40" s="883">
        <f t="shared" si="48"/>
        <v>0</v>
      </c>
      <c r="J40" s="884"/>
      <c r="K40" s="883"/>
      <c r="L40" s="883"/>
      <c r="M40" s="883"/>
      <c r="N40" s="885">
        <f t="shared" si="32"/>
        <v>0</v>
      </c>
      <c r="O40" s="883">
        <f t="shared" si="32"/>
        <v>0</v>
      </c>
      <c r="P40" s="883">
        <f t="shared" si="33"/>
        <v>0</v>
      </c>
      <c r="Q40" s="883">
        <f t="shared" si="34"/>
        <v>0</v>
      </c>
      <c r="R40" s="883">
        <f t="shared" si="35"/>
        <v>0</v>
      </c>
      <c r="S40" s="886">
        <f t="shared" si="36"/>
        <v>0</v>
      </c>
      <c r="T40" s="883">
        <f t="shared" si="4"/>
        <v>0</v>
      </c>
      <c r="U40" s="887">
        <f>HLOOKUP($B$2,Factors!$J$12:$AE$25,Factors!$H24,FALSE)</f>
        <v>20.305515594827586</v>
      </c>
      <c r="V40" s="885">
        <f t="shared" si="37"/>
        <v>0</v>
      </c>
      <c r="W40" s="883">
        <f t="shared" si="38"/>
        <v>0</v>
      </c>
      <c r="X40" s="883">
        <f t="shared" si="39"/>
        <v>0</v>
      </c>
      <c r="Y40" s="883">
        <f t="shared" si="40"/>
        <v>0</v>
      </c>
      <c r="Z40" s="883">
        <f t="shared" si="41"/>
        <v>0</v>
      </c>
      <c r="AA40" s="883">
        <f t="shared" si="42"/>
        <v>0</v>
      </c>
      <c r="AB40" s="883">
        <f t="shared" si="26"/>
        <v>0</v>
      </c>
      <c r="AC40" s="888">
        <f>Factors!E53</f>
        <v>1</v>
      </c>
      <c r="AD40" s="885">
        <f t="shared" si="49"/>
        <v>0</v>
      </c>
      <c r="AE40" s="883">
        <f t="shared" si="49"/>
        <v>0</v>
      </c>
      <c r="AF40" s="883">
        <f t="shared" si="49"/>
        <v>0</v>
      </c>
      <c r="AG40" s="883">
        <f t="shared" si="49"/>
        <v>0</v>
      </c>
      <c r="AH40" s="883">
        <f t="shared" si="49"/>
        <v>0</v>
      </c>
      <c r="AI40" s="883">
        <f t="shared" si="49"/>
        <v>0</v>
      </c>
      <c r="AJ40" s="889">
        <f t="shared" si="6"/>
        <v>0</v>
      </c>
      <c r="AK40" s="885">
        <f t="shared" si="19"/>
        <v>0</v>
      </c>
      <c r="AL40" s="883">
        <f t="shared" si="20"/>
        <v>0</v>
      </c>
      <c r="AM40" s="883">
        <f t="shared" si="21"/>
        <v>0</v>
      </c>
      <c r="AN40" s="883">
        <f t="shared" si="22"/>
        <v>0</v>
      </c>
      <c r="AO40" s="883">
        <f t="shared" si="23"/>
        <v>0</v>
      </c>
      <c r="AP40" s="883">
        <f t="shared" si="24"/>
        <v>0</v>
      </c>
      <c r="AQ40" s="890">
        <f t="shared" si="27"/>
        <v>0</v>
      </c>
    </row>
    <row r="41" spans="1:43">
      <c r="A41" s="817"/>
      <c r="B41" s="865" t="s">
        <v>1621</v>
      </c>
      <c r="C41" s="883"/>
      <c r="D41" s="883"/>
      <c r="E41" s="883">
        <f>HLOOKUP($B$2,'Consumption Input'!$E$5:$AQ$82,'Consumption Input'!$B46)</f>
        <v>15.074953145</v>
      </c>
      <c r="F41" s="883"/>
      <c r="G41" s="883"/>
      <c r="H41" s="883"/>
      <c r="I41" s="883">
        <f t="shared" si="48"/>
        <v>15.074953145</v>
      </c>
      <c r="J41" s="884"/>
      <c r="K41" s="883">
        <f>HLOOKUP($B$2,NEUConsumption,'Non-Energy Use'!$C$21)</f>
        <v>15.074953145</v>
      </c>
      <c r="L41" s="883"/>
      <c r="M41" s="883"/>
      <c r="N41" s="885">
        <f t="shared" si="32"/>
        <v>0</v>
      </c>
      <c r="O41" s="883">
        <f t="shared" si="32"/>
        <v>0</v>
      </c>
      <c r="P41" s="883">
        <f t="shared" si="33"/>
        <v>0</v>
      </c>
      <c r="Q41" s="883">
        <f t="shared" si="34"/>
        <v>0</v>
      </c>
      <c r="R41" s="883">
        <f t="shared" si="35"/>
        <v>0</v>
      </c>
      <c r="S41" s="886">
        <f t="shared" si="36"/>
        <v>0</v>
      </c>
      <c r="T41" s="883">
        <f t="shared" si="4"/>
        <v>0</v>
      </c>
      <c r="U41" s="887">
        <f>Factors!D55</f>
        <v>19.795754182606267</v>
      </c>
      <c r="V41" s="899">
        <f t="shared" si="37"/>
        <v>0</v>
      </c>
      <c r="W41" s="900">
        <f t="shared" si="38"/>
        <v>0</v>
      </c>
      <c r="X41" s="900">
        <f t="shared" si="39"/>
        <v>0</v>
      </c>
      <c r="Y41" s="900">
        <f t="shared" si="40"/>
        <v>0</v>
      </c>
      <c r="Z41" s="900">
        <f t="shared" si="41"/>
        <v>0</v>
      </c>
      <c r="AA41" s="900">
        <f t="shared" si="42"/>
        <v>0</v>
      </c>
      <c r="AB41" s="883">
        <f t="shared" si="26"/>
        <v>0</v>
      </c>
      <c r="AC41" s="888">
        <f>Factors!E55</f>
        <v>1</v>
      </c>
      <c r="AD41" s="885">
        <f t="shared" si="49"/>
        <v>0</v>
      </c>
      <c r="AE41" s="883">
        <f t="shared" si="49"/>
        <v>0</v>
      </c>
      <c r="AF41" s="883">
        <f t="shared" si="49"/>
        <v>0</v>
      </c>
      <c r="AG41" s="883">
        <f t="shared" si="49"/>
        <v>0</v>
      </c>
      <c r="AH41" s="883">
        <f t="shared" si="49"/>
        <v>0</v>
      </c>
      <c r="AI41" s="883">
        <f t="shared" si="49"/>
        <v>0</v>
      </c>
      <c r="AJ41" s="889">
        <f t="shared" si="6"/>
        <v>0</v>
      </c>
      <c r="AK41" s="885">
        <f t="shared" si="19"/>
        <v>0</v>
      </c>
      <c r="AL41" s="883">
        <f t="shared" si="20"/>
        <v>0</v>
      </c>
      <c r="AM41" s="883">
        <f t="shared" si="21"/>
        <v>0</v>
      </c>
      <c r="AN41" s="883">
        <f t="shared" si="22"/>
        <v>0</v>
      </c>
      <c r="AO41" s="883">
        <f t="shared" si="23"/>
        <v>0</v>
      </c>
      <c r="AP41" s="883">
        <f t="shared" si="24"/>
        <v>0</v>
      </c>
      <c r="AQ41" s="890">
        <f t="shared" si="27"/>
        <v>0</v>
      </c>
    </row>
    <row r="42" spans="1:43" ht="11.1" thickBot="1">
      <c r="A42" s="817"/>
      <c r="B42" s="866" t="s">
        <v>82</v>
      </c>
      <c r="C42" s="917"/>
      <c r="D42" s="917"/>
      <c r="E42" s="917"/>
      <c r="F42" s="917"/>
      <c r="G42" s="917">
        <f>INDEX(Geothermal!$C$6:$AE$10,MATCH("Total",Geothermal!$C$6:$C$10,0),MATCH($B$2,Geothermal!$C$6:$AE$6,0))/Factors!$J$61*Factors!$J$55/BBtuToBtu*BBtuToTBtu</f>
        <v>52.258424015999999</v>
      </c>
      <c r="H42" s="917"/>
      <c r="I42" s="917">
        <f>G42</f>
        <v>52.258424015999999</v>
      </c>
      <c r="J42" s="918"/>
      <c r="K42" s="919"/>
      <c r="L42" s="917"/>
      <c r="M42" s="920"/>
      <c r="N42" s="917">
        <f t="shared" si="32"/>
        <v>0</v>
      </c>
      <c r="O42" s="917">
        <f t="shared" si="32"/>
        <v>0</v>
      </c>
      <c r="P42" s="917">
        <f>E42</f>
        <v>0</v>
      </c>
      <c r="Q42" s="917">
        <f>F42</f>
        <v>0</v>
      </c>
      <c r="R42" s="917">
        <f t="shared" si="35"/>
        <v>52.258424015999999</v>
      </c>
      <c r="S42" s="917">
        <f>H42</f>
        <v>0</v>
      </c>
      <c r="T42" s="917">
        <f t="shared" si="4"/>
        <v>52.258424015999999</v>
      </c>
      <c r="U42" s="921">
        <f>Factors!D56</f>
        <v>2.6974658424810825</v>
      </c>
      <c r="V42" s="917"/>
      <c r="W42" s="917"/>
      <c r="X42" s="917"/>
      <c r="Y42" s="917"/>
      <c r="Z42" s="917">
        <f>INDEX(Geothermal!$C$14:$AE$18,MATCH("Total",Geothermal!$C$14:$C$18,0),MATCH($B$2,Geothermal!$C$14:$AE$14,0))/CtoCO2</f>
        <v>0.11893585791552873</v>
      </c>
      <c r="AA42" s="917"/>
      <c r="AB42" s="917">
        <f t="shared" si="26"/>
        <v>0.11893585791552873</v>
      </c>
      <c r="AC42" s="921">
        <f>Factors!$E$56</f>
        <v>1</v>
      </c>
      <c r="AD42" s="917">
        <f t="shared" si="49"/>
        <v>0</v>
      </c>
      <c r="AE42" s="917">
        <f t="shared" si="49"/>
        <v>0</v>
      </c>
      <c r="AF42" s="917">
        <f t="shared" si="49"/>
        <v>0</v>
      </c>
      <c r="AG42" s="917">
        <f t="shared" si="49"/>
        <v>0</v>
      </c>
      <c r="AH42" s="917">
        <f t="shared" si="49"/>
        <v>0.11893585791552873</v>
      </c>
      <c r="AI42" s="917">
        <f t="shared" si="49"/>
        <v>0</v>
      </c>
      <c r="AJ42" s="920">
        <f t="shared" si="6"/>
        <v>0.11893585791552873</v>
      </c>
      <c r="AK42" s="919">
        <f t="shared" si="19"/>
        <v>0</v>
      </c>
      <c r="AL42" s="917">
        <f t="shared" si="20"/>
        <v>0</v>
      </c>
      <c r="AM42" s="917">
        <f t="shared" si="21"/>
        <v>0</v>
      </c>
      <c r="AN42" s="917">
        <f t="shared" si="22"/>
        <v>0</v>
      </c>
      <c r="AO42" s="917">
        <f t="shared" si="23"/>
        <v>0.436098145690272</v>
      </c>
      <c r="AP42" s="917">
        <f t="shared" si="24"/>
        <v>0</v>
      </c>
      <c r="AQ42" s="920">
        <f t="shared" si="27"/>
        <v>0.436098145690272</v>
      </c>
    </row>
    <row r="43" spans="1:43" ht="11.1" thickBot="1">
      <c r="A43" s="817"/>
      <c r="B43" s="867" t="s">
        <v>1740</v>
      </c>
      <c r="C43" s="922">
        <f>C8+C17+C18+C42</f>
        <v>5840.9159037068766</v>
      </c>
      <c r="D43" s="922">
        <f>D8+D17+D18+D42</f>
        <v>3949.7241481314886</v>
      </c>
      <c r="E43" s="922">
        <f>E8+E17+E18+E42</f>
        <v>17228.193690141361</v>
      </c>
      <c r="F43" s="922">
        <f>F8+F17+F18+F42</f>
        <v>25090.50244187739</v>
      </c>
      <c r="G43" s="922">
        <f>G8+G17+G18+G42</f>
        <v>26094.678424015998</v>
      </c>
      <c r="H43" s="922">
        <f>H16+H17+H18+H42</f>
        <v>480.71791243244314</v>
      </c>
      <c r="I43" s="922">
        <f>SUM(C43:H43)</f>
        <v>78684.732520305552</v>
      </c>
      <c r="J43" s="923">
        <f t="shared" ref="J43:S43" si="50">J8+J17+J18+J42</f>
        <v>1546.5956919714622</v>
      </c>
      <c r="K43" s="924">
        <f t="shared" si="50"/>
        <v>4635.758778025719</v>
      </c>
      <c r="L43" s="922">
        <f t="shared" si="50"/>
        <v>148.37200000000001</v>
      </c>
      <c r="M43" s="925">
        <f t="shared" si="50"/>
        <v>14.600021119828765</v>
      </c>
      <c r="N43" s="922">
        <f t="shared" si="50"/>
        <v>5840.9159037068766</v>
      </c>
      <c r="O43" s="922">
        <f t="shared" si="50"/>
        <v>3949.7241481314886</v>
      </c>
      <c r="P43" s="922">
        <f t="shared" si="50"/>
        <v>12592.434912115641</v>
      </c>
      <c r="Q43" s="922">
        <f t="shared" si="50"/>
        <v>23395.534749905932</v>
      </c>
      <c r="R43" s="922">
        <f t="shared" si="50"/>
        <v>26094.678424015998</v>
      </c>
      <c r="S43" s="922">
        <f t="shared" si="50"/>
        <v>466.1178913126144</v>
      </c>
      <c r="T43" s="922">
        <f>SUM(N43:S43)</f>
        <v>72339.406029188554</v>
      </c>
      <c r="U43" s="926" t="s">
        <v>1731</v>
      </c>
      <c r="V43" s="922">
        <f t="shared" ref="V43:AA43" si="51">V8+V17+V18+V42</f>
        <v>88.999889861831889</v>
      </c>
      <c r="W43" s="922">
        <f t="shared" si="51"/>
        <v>61.254145990946867</v>
      </c>
      <c r="X43" s="922">
        <f t="shared" si="51"/>
        <v>215.75618031562334</v>
      </c>
      <c r="Y43" s="922">
        <f t="shared" si="51"/>
        <v>455.55751643507767</v>
      </c>
      <c r="Z43" s="922">
        <f t="shared" si="51"/>
        <v>588.56376566360541</v>
      </c>
      <c r="AA43" s="922">
        <f t="shared" si="51"/>
        <v>9.2897436905534061</v>
      </c>
      <c r="AB43" s="922">
        <f t="shared" si="26"/>
        <v>1419.4212419576386</v>
      </c>
      <c r="AC43" s="926" t="s">
        <v>1731</v>
      </c>
      <c r="AD43" s="922">
        <f t="shared" ref="AD43:AQ43" si="52">AD8+AD17+AD18+AD42</f>
        <v>88.999889861831889</v>
      </c>
      <c r="AE43" s="922">
        <f t="shared" si="52"/>
        <v>61.254145990946867</v>
      </c>
      <c r="AF43" s="922">
        <f t="shared" si="52"/>
        <v>215.75618031562334</v>
      </c>
      <c r="AG43" s="922">
        <f t="shared" si="52"/>
        <v>455.55751643507767</v>
      </c>
      <c r="AH43" s="922">
        <f t="shared" si="52"/>
        <v>588.56376566360541</v>
      </c>
      <c r="AI43" s="922">
        <f t="shared" si="52"/>
        <v>9.2897436905534061</v>
      </c>
      <c r="AJ43" s="925">
        <f t="shared" si="52"/>
        <v>1419.4212419576388</v>
      </c>
      <c r="AK43" s="922">
        <f t="shared" si="52"/>
        <v>326.33292949338357</v>
      </c>
      <c r="AL43" s="922">
        <f t="shared" si="52"/>
        <v>224.59853530013848</v>
      </c>
      <c r="AM43" s="922">
        <f t="shared" si="52"/>
        <v>791.10599449061897</v>
      </c>
      <c r="AN43" s="922">
        <f t="shared" si="52"/>
        <v>1670.3775602619514</v>
      </c>
      <c r="AO43" s="922">
        <f t="shared" si="52"/>
        <v>2158.0671407665532</v>
      </c>
      <c r="AP43" s="922">
        <f t="shared" si="52"/>
        <v>34.062393532029155</v>
      </c>
      <c r="AQ43" s="925">
        <f t="shared" si="52"/>
        <v>5204.5445538446747</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9"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ransitionEvaluation="1" transitionEntry="1" codeName="Sheet44">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7.6640625"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41" width="9.6640625" customWidth="1"/>
    <col min="42" max="42" width="9" bestFit="1" customWidth="1"/>
    <col min="43" max="43" width="10" customWidth="1"/>
    <col min="44" max="45" width="9" customWidth="1"/>
  </cols>
  <sheetData>
    <row r="1" spans="1:43" ht="17.45">
      <c r="A1" s="151" t="s">
        <v>1714</v>
      </c>
      <c r="Z1" s="152">
        <f>I29*U29/10^3</f>
        <v>0</v>
      </c>
    </row>
    <row r="2" spans="1:43" ht="15.6">
      <c r="A2" s="156" t="s">
        <v>1715</v>
      </c>
      <c r="B2" s="157">
        <v>2012</v>
      </c>
      <c r="H2" s="158"/>
      <c r="I2" s="158"/>
      <c r="N2" s="114" t="s">
        <v>1716</v>
      </c>
      <c r="AK2" s="114" t="s">
        <v>1716</v>
      </c>
      <c r="AN2" s="112"/>
      <c r="AO2" s="5"/>
    </row>
    <row r="3" spans="1:43">
      <c r="A3" s="159" t="s">
        <v>1763</v>
      </c>
      <c r="H3" s="158"/>
      <c r="I3" s="158"/>
    </row>
    <row r="4" spans="1:43" ht="11.1" thickBot="1">
      <c r="B4" s="160">
        <v>1</v>
      </c>
      <c r="C4" s="161">
        <f t="shared" ref="C4:AQ4" si="0">B4+1</f>
        <v>2</v>
      </c>
      <c r="D4" s="161">
        <f t="shared" si="0"/>
        <v>3</v>
      </c>
      <c r="E4" s="161">
        <f t="shared" si="0"/>
        <v>4</v>
      </c>
      <c r="F4" s="161">
        <f t="shared" si="0"/>
        <v>5</v>
      </c>
      <c r="G4" s="161">
        <f t="shared" si="0"/>
        <v>6</v>
      </c>
      <c r="H4" s="161">
        <f t="shared" si="0"/>
        <v>7</v>
      </c>
      <c r="I4" s="161">
        <f t="shared" si="0"/>
        <v>8</v>
      </c>
      <c r="J4" s="161">
        <f t="shared" si="0"/>
        <v>9</v>
      </c>
      <c r="K4" s="161">
        <f t="shared" si="0"/>
        <v>10</v>
      </c>
      <c r="L4" s="161">
        <f t="shared" si="0"/>
        <v>11</v>
      </c>
      <c r="M4" s="161">
        <f t="shared" si="0"/>
        <v>12</v>
      </c>
      <c r="N4" s="161">
        <f t="shared" si="0"/>
        <v>13</v>
      </c>
      <c r="O4" s="161">
        <f t="shared" si="0"/>
        <v>14</v>
      </c>
      <c r="P4" s="161">
        <f t="shared" si="0"/>
        <v>15</v>
      </c>
      <c r="Q4" s="161">
        <f t="shared" si="0"/>
        <v>16</v>
      </c>
      <c r="R4" s="161">
        <f t="shared" si="0"/>
        <v>17</v>
      </c>
      <c r="S4" s="161">
        <f t="shared" si="0"/>
        <v>18</v>
      </c>
      <c r="T4" s="161">
        <f t="shared" si="0"/>
        <v>19</v>
      </c>
      <c r="U4" s="162">
        <f t="shared" si="0"/>
        <v>20</v>
      </c>
      <c r="V4" s="163">
        <f t="shared" si="0"/>
        <v>21</v>
      </c>
      <c r="W4" s="163">
        <f t="shared" si="0"/>
        <v>22</v>
      </c>
      <c r="X4" s="163">
        <f t="shared" si="0"/>
        <v>23</v>
      </c>
      <c r="Y4" s="163">
        <f t="shared" si="0"/>
        <v>24</v>
      </c>
      <c r="Z4" s="163">
        <f t="shared" si="0"/>
        <v>25</v>
      </c>
      <c r="AA4" s="163">
        <f t="shared" si="0"/>
        <v>26</v>
      </c>
      <c r="AB4" s="163">
        <f t="shared" si="0"/>
        <v>27</v>
      </c>
      <c r="AC4" s="162">
        <f t="shared" si="0"/>
        <v>28</v>
      </c>
      <c r="AD4" s="161">
        <f t="shared" si="0"/>
        <v>29</v>
      </c>
      <c r="AE4" s="161">
        <f t="shared" si="0"/>
        <v>30</v>
      </c>
      <c r="AF4" s="161">
        <f t="shared" si="0"/>
        <v>31</v>
      </c>
      <c r="AG4" s="161">
        <f t="shared" si="0"/>
        <v>32</v>
      </c>
      <c r="AH4" s="161">
        <f t="shared" si="0"/>
        <v>33</v>
      </c>
      <c r="AI4" s="161">
        <f t="shared" si="0"/>
        <v>34</v>
      </c>
      <c r="AJ4" s="160">
        <f t="shared" si="0"/>
        <v>35</v>
      </c>
      <c r="AK4" s="161">
        <f t="shared" si="0"/>
        <v>36</v>
      </c>
      <c r="AL4" s="161">
        <f t="shared" si="0"/>
        <v>37</v>
      </c>
      <c r="AM4" s="161">
        <f t="shared" si="0"/>
        <v>38</v>
      </c>
      <c r="AN4" s="161">
        <f t="shared" si="0"/>
        <v>39</v>
      </c>
      <c r="AO4" s="161">
        <f t="shared" si="0"/>
        <v>40</v>
      </c>
      <c r="AP4" s="161">
        <f t="shared" si="0"/>
        <v>41</v>
      </c>
      <c r="AQ4" s="160">
        <f t="shared" si="0"/>
        <v>42</v>
      </c>
    </row>
    <row r="5" spans="1:43">
      <c r="B5" s="164"/>
      <c r="C5" s="165" t="s">
        <v>1718</v>
      </c>
      <c r="D5" s="165"/>
      <c r="E5" s="165"/>
      <c r="F5" s="165"/>
      <c r="G5" s="165"/>
      <c r="H5" s="166"/>
      <c r="I5" s="166"/>
      <c r="J5" s="167" t="s">
        <v>1719</v>
      </c>
      <c r="K5" s="213"/>
      <c r="L5" s="213"/>
      <c r="M5" s="214"/>
      <c r="N5" s="165" t="s">
        <v>1720</v>
      </c>
      <c r="O5" s="165"/>
      <c r="P5" s="165"/>
      <c r="Q5" s="165"/>
      <c r="R5" s="165"/>
      <c r="S5" s="166"/>
      <c r="T5" s="233"/>
      <c r="U5" s="168"/>
      <c r="V5" s="169" t="s">
        <v>1721</v>
      </c>
      <c r="W5" s="169"/>
      <c r="X5" s="169"/>
      <c r="Y5" s="169"/>
      <c r="Z5" s="169"/>
      <c r="AA5" s="169"/>
      <c r="AB5" s="169"/>
      <c r="AC5" s="170"/>
      <c r="AD5" s="165" t="s">
        <v>1722</v>
      </c>
      <c r="AE5" s="165"/>
      <c r="AF5" s="165"/>
      <c r="AG5" s="165"/>
      <c r="AH5" s="165"/>
      <c r="AI5" s="166"/>
      <c r="AJ5" s="171"/>
      <c r="AL5" s="165"/>
      <c r="AM5" s="209"/>
      <c r="AN5" s="209" t="s">
        <v>1723</v>
      </c>
      <c r="AO5" s="165"/>
      <c r="AP5" s="166"/>
      <c r="AQ5" s="171"/>
    </row>
    <row r="6" spans="1:43" ht="21" customHeight="1">
      <c r="B6" s="164"/>
      <c r="C6" s="172"/>
      <c r="D6" s="172"/>
      <c r="E6" s="172"/>
      <c r="F6" s="172"/>
      <c r="G6" s="172"/>
      <c r="H6" s="173"/>
      <c r="I6" s="172"/>
      <c r="J6" s="174"/>
      <c r="K6" s="241" t="s">
        <v>1724</v>
      </c>
      <c r="L6" s="165"/>
      <c r="M6" s="171"/>
      <c r="N6" s="172"/>
      <c r="O6" s="172"/>
      <c r="P6" s="172"/>
      <c r="Q6" s="172"/>
      <c r="R6" s="172"/>
      <c r="S6" s="172"/>
      <c r="T6" s="234"/>
      <c r="U6" s="168"/>
      <c r="V6" s="175"/>
      <c r="W6" s="175"/>
      <c r="X6" s="175"/>
      <c r="Y6" s="175"/>
      <c r="Z6" s="175"/>
      <c r="AA6" s="175"/>
      <c r="AB6" s="175"/>
      <c r="AC6" s="176"/>
      <c r="AD6" s="172"/>
      <c r="AE6" s="172"/>
      <c r="AF6" s="172"/>
      <c r="AG6" s="172"/>
      <c r="AH6" s="172"/>
      <c r="AI6" s="172"/>
      <c r="AJ6" s="177"/>
      <c r="AK6" s="172"/>
      <c r="AL6" s="172"/>
      <c r="AM6" s="172"/>
      <c r="AN6" s="172"/>
      <c r="AO6" s="172"/>
      <c r="AP6" s="172"/>
      <c r="AQ6" s="177"/>
    </row>
    <row r="7" spans="1:43" ht="56.25" customHeight="1" thickBot="1">
      <c r="B7" s="178" t="s">
        <v>1583</v>
      </c>
      <c r="C7" s="179" t="s">
        <v>1434</v>
      </c>
      <c r="D7" s="179" t="s">
        <v>1441</v>
      </c>
      <c r="E7" s="179" t="s">
        <v>1443</v>
      </c>
      <c r="F7" s="179" t="s">
        <v>1445</v>
      </c>
      <c r="G7" s="179" t="s">
        <v>1474</v>
      </c>
      <c r="H7" s="179" t="s">
        <v>1725</v>
      </c>
      <c r="I7" s="179" t="s">
        <v>1480</v>
      </c>
      <c r="J7" s="180" t="s">
        <v>1726</v>
      </c>
      <c r="K7" s="180" t="s">
        <v>1443</v>
      </c>
      <c r="L7" s="179" t="s">
        <v>1445</v>
      </c>
      <c r="M7" s="181" t="s">
        <v>1725</v>
      </c>
      <c r="N7" s="179" t="s">
        <v>1434</v>
      </c>
      <c r="O7" s="179" t="s">
        <v>1441</v>
      </c>
      <c r="P7" s="179" t="s">
        <v>1443</v>
      </c>
      <c r="Q7" s="179" t="s">
        <v>1445</v>
      </c>
      <c r="R7" s="179" t="s">
        <v>1474</v>
      </c>
      <c r="S7" s="181" t="s">
        <v>1725</v>
      </c>
      <c r="T7" s="231" t="s">
        <v>1727</v>
      </c>
      <c r="U7" s="182" t="s">
        <v>1728</v>
      </c>
      <c r="V7" s="183" t="s">
        <v>1434</v>
      </c>
      <c r="W7" s="183" t="s">
        <v>1441</v>
      </c>
      <c r="X7" s="183" t="s">
        <v>1443</v>
      </c>
      <c r="Y7" s="183" t="s">
        <v>1445</v>
      </c>
      <c r="Z7" s="183" t="s">
        <v>1474</v>
      </c>
      <c r="AA7" s="183" t="s">
        <v>1725</v>
      </c>
      <c r="AB7" s="183" t="s">
        <v>1480</v>
      </c>
      <c r="AC7" s="182" t="s">
        <v>1729</v>
      </c>
      <c r="AD7" s="179" t="s">
        <v>1434</v>
      </c>
      <c r="AE7" s="179" t="s">
        <v>1441</v>
      </c>
      <c r="AF7" s="179" t="s">
        <v>1443</v>
      </c>
      <c r="AG7" s="179" t="s">
        <v>1445</v>
      </c>
      <c r="AH7" s="179" t="s">
        <v>1474</v>
      </c>
      <c r="AI7" s="179" t="s">
        <v>1725</v>
      </c>
      <c r="AJ7" s="181" t="s">
        <v>1730</v>
      </c>
      <c r="AK7" s="179" t="s">
        <v>1434</v>
      </c>
      <c r="AL7" s="179" t="s">
        <v>1441</v>
      </c>
      <c r="AM7" s="179" t="s">
        <v>1443</v>
      </c>
      <c r="AN7" s="179" t="s">
        <v>1445</v>
      </c>
      <c r="AO7" s="179" t="s">
        <v>1474</v>
      </c>
      <c r="AP7" s="179" t="s">
        <v>1725</v>
      </c>
      <c r="AQ7" s="181" t="s">
        <v>1730</v>
      </c>
    </row>
    <row r="8" spans="1:43">
      <c r="B8" s="184" t="s">
        <v>1435</v>
      </c>
      <c r="C8" s="185">
        <f t="shared" ref="C8:H8" si="1">SUM(C9:C16)</f>
        <v>0</v>
      </c>
      <c r="D8" s="185">
        <f t="shared" si="1"/>
        <v>43.552</v>
      </c>
      <c r="E8" s="185">
        <f t="shared" si="1"/>
        <v>964.58553622589341</v>
      </c>
      <c r="F8" s="185">
        <f t="shared" si="1"/>
        <v>0</v>
      </c>
      <c r="G8" s="185">
        <f t="shared" si="1"/>
        <v>15821.247999999998</v>
      </c>
      <c r="H8" s="185">
        <f t="shared" si="1"/>
        <v>35.667677036947332</v>
      </c>
      <c r="I8" s="185">
        <f t="shared" ref="I8:I14" si="2">SUM(C8:H8)</f>
        <v>16865.05321326284</v>
      </c>
      <c r="J8" s="259"/>
      <c r="K8" s="185">
        <f>SUM(K9:K16)</f>
        <v>142.008686536337</v>
      </c>
      <c r="L8" s="185">
        <f>SUM(L9:L16)</f>
        <v>0</v>
      </c>
      <c r="M8" s="185"/>
      <c r="N8" s="186">
        <f t="shared" ref="N8:S8" si="3">SUM(N9:N16)</f>
        <v>0</v>
      </c>
      <c r="O8" s="185">
        <f t="shared" si="3"/>
        <v>43.552</v>
      </c>
      <c r="P8" s="185">
        <f t="shared" si="3"/>
        <v>822.57684968955641</v>
      </c>
      <c r="Q8" s="185">
        <f t="shared" si="3"/>
        <v>0</v>
      </c>
      <c r="R8" s="185">
        <f t="shared" si="3"/>
        <v>15821.247999999998</v>
      </c>
      <c r="S8" s="187">
        <f t="shared" si="3"/>
        <v>35.667677036947332</v>
      </c>
      <c r="T8" s="185">
        <f t="shared" ref="T8:T42" si="4">SUM(N8:S8)</f>
        <v>16723.044526726502</v>
      </c>
      <c r="U8" s="260" t="s">
        <v>1731</v>
      </c>
      <c r="V8" s="185">
        <f>SUM(V9:V16)</f>
        <v>0</v>
      </c>
      <c r="W8" s="185">
        <f>SUM(W9:W16)</f>
        <v>1.12725761938264</v>
      </c>
      <c r="X8" s="185">
        <f>SUM(X9:X16)</f>
        <v>21.333902662076493</v>
      </c>
      <c r="Y8" s="185"/>
      <c r="Z8" s="185">
        <f>SUM(Z9:Z16)</f>
        <v>412.2799378823579</v>
      </c>
      <c r="AA8" s="185">
        <f>SUM(AA9:AA16)</f>
        <v>0.89668540070885594</v>
      </c>
      <c r="AB8" s="185">
        <f t="shared" ref="AB8:AB13" si="5">SUM(V8:AA8)</f>
        <v>435.63778356452588</v>
      </c>
      <c r="AC8" s="261" t="s">
        <v>1731</v>
      </c>
      <c r="AD8" s="186">
        <f>SUM(AD9:AD16)</f>
        <v>0</v>
      </c>
      <c r="AE8" s="185">
        <f>SUM(AE9:AE16)</f>
        <v>1.12725761938264</v>
      </c>
      <c r="AF8" s="185">
        <f>SUM(AF9:AF16)</f>
        <v>21.333902662076493</v>
      </c>
      <c r="AG8" s="185" t="s">
        <v>108</v>
      </c>
      <c r="AH8" s="185">
        <f>SUM(AH9:AH16)</f>
        <v>412.2799378823579</v>
      </c>
      <c r="AI8" s="185">
        <f>SUM(AI9:AI16)</f>
        <v>0.89668540070885594</v>
      </c>
      <c r="AJ8" s="185">
        <f t="shared" ref="AJ8:AJ42" si="6">SUM(AD8:AI8)</f>
        <v>435.63778356452588</v>
      </c>
      <c r="AK8" s="186">
        <f t="shared" ref="AK8:AP8" si="7">SUM(AK9:AK16)</f>
        <v>0</v>
      </c>
      <c r="AL8" s="185">
        <f t="shared" si="7"/>
        <v>4.1332779377363469</v>
      </c>
      <c r="AM8" s="185">
        <f t="shared" si="7"/>
        <v>78.224309760947136</v>
      </c>
      <c r="AN8" s="185">
        <f t="shared" si="7"/>
        <v>0</v>
      </c>
      <c r="AO8" s="185">
        <f t="shared" si="7"/>
        <v>1511.6931055686455</v>
      </c>
      <c r="AP8" s="185">
        <f t="shared" si="7"/>
        <v>3.2878464692658049</v>
      </c>
      <c r="AQ8" s="210">
        <f t="shared" ref="AQ8:AQ14" si="8">SUM(AK8:AP8)</f>
        <v>1597.3385397365948</v>
      </c>
    </row>
    <row r="9" spans="1:43">
      <c r="B9" s="188" t="s">
        <v>1732</v>
      </c>
      <c r="C9" s="84">
        <f>HLOOKUP($B$2,'Consumption Input'!$E$5:$AQ$82,'Consumption Input'!$B7)</f>
        <v>0</v>
      </c>
      <c r="D9" s="84"/>
      <c r="E9" s="84"/>
      <c r="F9" s="84"/>
      <c r="G9" s="84"/>
      <c r="H9" s="84"/>
      <c r="I9" s="84">
        <f t="shared" si="2"/>
        <v>0</v>
      </c>
      <c r="J9" s="262"/>
      <c r="K9" s="84"/>
      <c r="L9" s="84"/>
      <c r="M9" s="84"/>
      <c r="N9" s="189">
        <f t="shared" ref="N9:O17" si="9">C9</f>
        <v>0</v>
      </c>
      <c r="O9" s="84">
        <f t="shared" si="9"/>
        <v>0</v>
      </c>
      <c r="P9" s="84">
        <f t="shared" ref="P9:P17" si="10">E9-K9</f>
        <v>0</v>
      </c>
      <c r="Q9" s="84">
        <f t="shared" ref="Q9:S17" si="11">F9</f>
        <v>0</v>
      </c>
      <c r="R9" s="84">
        <f t="shared" si="11"/>
        <v>0</v>
      </c>
      <c r="S9" s="190">
        <f t="shared" si="11"/>
        <v>0</v>
      </c>
      <c r="T9" s="84">
        <f t="shared" si="4"/>
        <v>0</v>
      </c>
      <c r="U9" s="263">
        <f>HLOOKUP($B$2,Factors!$J$12:$AF$25,Factors!$H13,FALSE)</f>
        <v>25.883027630938649</v>
      </c>
      <c r="V9" s="189">
        <f t="shared" ref="V9:V17" si="12">N9*$U9*TbtuToQBtu</f>
        <v>0</v>
      </c>
      <c r="W9" s="84">
        <f t="shared" ref="W9:W17" si="13">O9*$U9*TbtuToQBtu</f>
        <v>0</v>
      </c>
      <c r="X9" s="84">
        <f t="shared" ref="X9:X17" si="14">P9*$U9*TbtuToQBtu</f>
        <v>0</v>
      </c>
      <c r="Y9" s="84">
        <f t="shared" ref="Y9:Y17" si="15">Q9*$U9*TbtuToQBtu</f>
        <v>0</v>
      </c>
      <c r="Z9" s="84">
        <f t="shared" ref="Z9:Z17" si="16">R9*$U9*TbtuToQBtu</f>
        <v>0</v>
      </c>
      <c r="AA9" s="84">
        <f t="shared" ref="AA9:AA17" si="17">S9*$U9*TbtuToQBtu</f>
        <v>0</v>
      </c>
      <c r="AB9" s="84">
        <f t="shared" si="5"/>
        <v>0</v>
      </c>
      <c r="AC9" s="264">
        <f>Factors!E10</f>
        <v>1</v>
      </c>
      <c r="AD9" s="189">
        <f t="shared" ref="AD9:AI17" si="18">V9*$AC9</f>
        <v>0</v>
      </c>
      <c r="AE9" s="84">
        <f t="shared" si="18"/>
        <v>0</v>
      </c>
      <c r="AF9" s="84">
        <f t="shared" si="18"/>
        <v>0</v>
      </c>
      <c r="AG9" s="84">
        <f t="shared" si="18"/>
        <v>0</v>
      </c>
      <c r="AH9" s="84">
        <f t="shared" si="18"/>
        <v>0</v>
      </c>
      <c r="AI9" s="84">
        <f t="shared" si="18"/>
        <v>0</v>
      </c>
      <c r="AJ9" s="191">
        <f t="shared" si="6"/>
        <v>0</v>
      </c>
      <c r="AK9" s="189">
        <f t="shared" ref="AK9:AK42" si="19">AD9*CtoCO2</f>
        <v>0</v>
      </c>
      <c r="AL9" s="84">
        <f t="shared" ref="AL9:AL42" si="20">AE9*CtoCO2</f>
        <v>0</v>
      </c>
      <c r="AM9" s="84">
        <f t="shared" ref="AM9:AM42" si="21">AF9*CtoCO2</f>
        <v>0</v>
      </c>
      <c r="AN9" s="84">
        <f t="shared" ref="AN9:AN42" si="22">AG9*CtoCO2</f>
        <v>0</v>
      </c>
      <c r="AO9" s="84">
        <f t="shared" ref="AO9:AO42" si="23">AH9*CtoCO2</f>
        <v>0</v>
      </c>
      <c r="AP9" s="84">
        <f t="shared" ref="AP9:AP42" si="24">AI9*CtoCO2</f>
        <v>0</v>
      </c>
      <c r="AQ9" s="250">
        <f t="shared" si="8"/>
        <v>0</v>
      </c>
    </row>
    <row r="10" spans="1:43">
      <c r="B10" s="188" t="s">
        <v>1733</v>
      </c>
      <c r="C10" s="84"/>
      <c r="D10" s="84">
        <f>HLOOKUP($B$2,'Consumption Input'!$E$5:$AQ$82,'Consumption Input'!$B13)</f>
        <v>43.552</v>
      </c>
      <c r="E10" s="84"/>
      <c r="F10" s="84"/>
      <c r="G10" s="84"/>
      <c r="H10" s="84"/>
      <c r="I10" s="84">
        <f t="shared" si="2"/>
        <v>43.552</v>
      </c>
      <c r="J10" s="262"/>
      <c r="K10" s="84"/>
      <c r="L10" s="84"/>
      <c r="M10" s="84"/>
      <c r="N10" s="189">
        <f t="shared" si="9"/>
        <v>0</v>
      </c>
      <c r="O10" s="84">
        <f t="shared" si="9"/>
        <v>43.552</v>
      </c>
      <c r="P10" s="84">
        <f t="shared" si="10"/>
        <v>0</v>
      </c>
      <c r="Q10" s="84">
        <f t="shared" si="11"/>
        <v>0</v>
      </c>
      <c r="R10" s="84">
        <f t="shared" si="11"/>
        <v>0</v>
      </c>
      <c r="S10" s="190">
        <f t="shared" si="11"/>
        <v>0</v>
      </c>
      <c r="T10" s="84">
        <f t="shared" si="4"/>
        <v>43.552</v>
      </c>
      <c r="U10" s="263">
        <f>HLOOKUP($B$2,Factors!$J$12:$AF$25,Factors!$H14,FALSE)</f>
        <v>25.883027630938649</v>
      </c>
      <c r="V10" s="189">
        <f t="shared" si="12"/>
        <v>0</v>
      </c>
      <c r="W10" s="84">
        <f t="shared" si="13"/>
        <v>1.12725761938264</v>
      </c>
      <c r="X10" s="84">
        <f t="shared" si="14"/>
        <v>0</v>
      </c>
      <c r="Y10" s="84">
        <f t="shared" si="15"/>
        <v>0</v>
      </c>
      <c r="Z10" s="84">
        <f t="shared" si="16"/>
        <v>0</v>
      </c>
      <c r="AA10" s="84">
        <f t="shared" si="17"/>
        <v>0</v>
      </c>
      <c r="AB10" s="84">
        <f t="shared" si="5"/>
        <v>1.12725761938264</v>
      </c>
      <c r="AC10" s="264">
        <f>Factors!E11</f>
        <v>1</v>
      </c>
      <c r="AD10" s="189">
        <f t="shared" si="18"/>
        <v>0</v>
      </c>
      <c r="AE10" s="84">
        <f t="shared" si="18"/>
        <v>1.12725761938264</v>
      </c>
      <c r="AF10" s="84">
        <f t="shared" si="18"/>
        <v>0</v>
      </c>
      <c r="AG10" s="84">
        <f t="shared" si="18"/>
        <v>0</v>
      </c>
      <c r="AH10" s="84">
        <f t="shared" si="18"/>
        <v>0</v>
      </c>
      <c r="AI10" s="84">
        <f t="shared" si="18"/>
        <v>0</v>
      </c>
      <c r="AJ10" s="191">
        <f t="shared" si="6"/>
        <v>1.12725761938264</v>
      </c>
      <c r="AK10" s="189">
        <f t="shared" si="19"/>
        <v>0</v>
      </c>
      <c r="AL10" s="84">
        <f t="shared" si="20"/>
        <v>4.1332779377363469</v>
      </c>
      <c r="AM10" s="84">
        <f t="shared" si="21"/>
        <v>0</v>
      </c>
      <c r="AN10" s="84">
        <f t="shared" si="22"/>
        <v>0</v>
      </c>
      <c r="AO10" s="84">
        <f t="shared" si="23"/>
        <v>0</v>
      </c>
      <c r="AP10" s="84">
        <f t="shared" si="24"/>
        <v>0</v>
      </c>
      <c r="AQ10" s="250">
        <f t="shared" si="8"/>
        <v>4.1332779377363469</v>
      </c>
    </row>
    <row r="11" spans="1:43" s="244" customFormat="1" hidden="1">
      <c r="B11" s="245" t="s">
        <v>1734</v>
      </c>
      <c r="C11" s="246"/>
      <c r="D11" s="246"/>
      <c r="E11" s="246">
        <f>HLOOKUP($B$2,'Consumption Input'!$E$5:$AQ$82,'Consumption Input'!$B23)</f>
        <v>132.48279136693179</v>
      </c>
      <c r="F11" s="246"/>
      <c r="G11" s="246"/>
      <c r="H11" s="246"/>
      <c r="I11" s="246">
        <f t="shared" si="2"/>
        <v>132.48279136693179</v>
      </c>
      <c r="J11" s="265"/>
      <c r="K11" s="246">
        <f>HLOOKUP($B$2,NEUConsumption,'Non-Energy Use'!$C$7)</f>
        <v>132.48279136693179</v>
      </c>
      <c r="L11" s="246"/>
      <c r="M11" s="246"/>
      <c r="N11" s="247">
        <f t="shared" si="9"/>
        <v>0</v>
      </c>
      <c r="O11" s="246">
        <f t="shared" si="9"/>
        <v>0</v>
      </c>
      <c r="P11" s="246">
        <f t="shared" si="10"/>
        <v>0</v>
      </c>
      <c r="Q11" s="246">
        <f t="shared" si="11"/>
        <v>0</v>
      </c>
      <c r="R11" s="246">
        <f t="shared" si="11"/>
        <v>0</v>
      </c>
      <c r="S11" s="248">
        <f t="shared" si="11"/>
        <v>0</v>
      </c>
      <c r="T11" s="246">
        <f t="shared" si="4"/>
        <v>0</v>
      </c>
      <c r="U11" s="1013">
        <f>HLOOKUP($B$2,Factors!$J$12:$BE$28,Factors!$H28,FALSE)</f>
        <v>25.57194123561866</v>
      </c>
      <c r="V11" s="247">
        <f t="shared" si="12"/>
        <v>0</v>
      </c>
      <c r="W11" s="246">
        <f t="shared" si="13"/>
        <v>0</v>
      </c>
      <c r="X11" s="246">
        <f t="shared" si="14"/>
        <v>0</v>
      </c>
      <c r="Y11" s="246">
        <f t="shared" si="15"/>
        <v>0</v>
      </c>
      <c r="Z11" s="246">
        <f t="shared" si="16"/>
        <v>0</v>
      </c>
      <c r="AA11" s="246">
        <f t="shared" si="17"/>
        <v>0</v>
      </c>
      <c r="AB11" s="246">
        <f t="shared" si="5"/>
        <v>0</v>
      </c>
      <c r="AC11" s="267">
        <f>Factors!E12</f>
        <v>1</v>
      </c>
      <c r="AD11" s="247">
        <f t="shared" si="18"/>
        <v>0</v>
      </c>
      <c r="AE11" s="246">
        <f t="shared" si="18"/>
        <v>0</v>
      </c>
      <c r="AF11" s="246">
        <f t="shared" si="18"/>
        <v>0</v>
      </c>
      <c r="AG11" s="246">
        <f t="shared" si="18"/>
        <v>0</v>
      </c>
      <c r="AH11" s="246">
        <f t="shared" si="18"/>
        <v>0</v>
      </c>
      <c r="AI11" s="246">
        <f t="shared" si="18"/>
        <v>0</v>
      </c>
      <c r="AJ11" s="249">
        <f t="shared" si="6"/>
        <v>0</v>
      </c>
      <c r="AK11" s="247">
        <f t="shared" si="19"/>
        <v>0</v>
      </c>
      <c r="AL11" s="246">
        <f t="shared" si="20"/>
        <v>0</v>
      </c>
      <c r="AM11" s="246">
        <f t="shared" si="21"/>
        <v>0</v>
      </c>
      <c r="AN11" s="246">
        <f t="shared" si="22"/>
        <v>0</v>
      </c>
      <c r="AO11" s="246">
        <f t="shared" si="23"/>
        <v>0</v>
      </c>
      <c r="AP11" s="246">
        <f t="shared" si="24"/>
        <v>0</v>
      </c>
      <c r="AQ11" s="251">
        <f t="shared" si="8"/>
        <v>0</v>
      </c>
    </row>
    <row r="12" spans="1:43">
      <c r="B12" s="188" t="s">
        <v>1701</v>
      </c>
      <c r="C12" s="84"/>
      <c r="D12" s="84"/>
      <c r="E12" s="84">
        <f>HLOOKUP($B$2,'Consumption Input'!$E$5:$AQ$82,'Consumption Input'!$B24)</f>
        <v>832.10274485896161</v>
      </c>
      <c r="F12" s="84"/>
      <c r="G12" s="84"/>
      <c r="H12" s="84"/>
      <c r="I12" s="84">
        <f t="shared" si="2"/>
        <v>832.10274485896161</v>
      </c>
      <c r="J12" s="262"/>
      <c r="K12" s="84">
        <f>HLOOKUP($B$2,NEUConsumption,'Non-Energy Use'!$C$8)</f>
        <v>9.5258951694052083</v>
      </c>
      <c r="L12" s="84"/>
      <c r="M12" s="84"/>
      <c r="N12" s="189">
        <f t="shared" si="9"/>
        <v>0</v>
      </c>
      <c r="O12" s="84">
        <f t="shared" si="9"/>
        <v>0</v>
      </c>
      <c r="P12" s="84">
        <f t="shared" si="10"/>
        <v>822.57684968955641</v>
      </c>
      <c r="Q12" s="84">
        <f t="shared" si="11"/>
        <v>0</v>
      </c>
      <c r="R12" s="84">
        <f t="shared" si="11"/>
        <v>0</v>
      </c>
      <c r="S12" s="190">
        <f t="shared" si="11"/>
        <v>0</v>
      </c>
      <c r="T12" s="84">
        <f t="shared" si="4"/>
        <v>822.57684968955641</v>
      </c>
      <c r="U12" s="263">
        <f>HLOOKUP($B$2,Factors!$J$12:$AF$25,Factors!$H15,FALSE)</f>
        <v>25.935452316860108</v>
      </c>
      <c r="V12" s="189">
        <f t="shared" si="12"/>
        <v>0</v>
      </c>
      <c r="W12" s="84">
        <f t="shared" si="13"/>
        <v>0</v>
      </c>
      <c r="X12" s="84">
        <f t="shared" si="14"/>
        <v>21.333902662076493</v>
      </c>
      <c r="Y12" s="84">
        <f t="shared" si="15"/>
        <v>0</v>
      </c>
      <c r="Z12" s="84">
        <f t="shared" si="16"/>
        <v>0</v>
      </c>
      <c r="AA12" s="84">
        <f t="shared" si="17"/>
        <v>0</v>
      </c>
      <c r="AB12" s="84">
        <f t="shared" si="5"/>
        <v>21.333902662076493</v>
      </c>
      <c r="AC12" s="264">
        <f>Factors!E13</f>
        <v>1</v>
      </c>
      <c r="AD12" s="189">
        <f t="shared" si="18"/>
        <v>0</v>
      </c>
      <c r="AE12" s="84">
        <f t="shared" si="18"/>
        <v>0</v>
      </c>
      <c r="AF12" s="84">
        <f t="shared" si="18"/>
        <v>21.333902662076493</v>
      </c>
      <c r="AG12" s="84">
        <f t="shared" si="18"/>
        <v>0</v>
      </c>
      <c r="AH12" s="84">
        <f t="shared" si="18"/>
        <v>0</v>
      </c>
      <c r="AI12" s="84">
        <f t="shared" si="18"/>
        <v>0</v>
      </c>
      <c r="AJ12" s="191">
        <f t="shared" si="6"/>
        <v>21.333902662076493</v>
      </c>
      <c r="AK12" s="189">
        <f t="shared" si="19"/>
        <v>0</v>
      </c>
      <c r="AL12" s="84">
        <f t="shared" si="20"/>
        <v>0</v>
      </c>
      <c r="AM12" s="84">
        <f t="shared" si="21"/>
        <v>78.224309760947136</v>
      </c>
      <c r="AN12" s="84">
        <f t="shared" si="22"/>
        <v>0</v>
      </c>
      <c r="AO12" s="84">
        <f t="shared" si="23"/>
        <v>0</v>
      </c>
      <c r="AP12" s="84">
        <f t="shared" si="24"/>
        <v>0</v>
      </c>
      <c r="AQ12" s="250">
        <f t="shared" si="8"/>
        <v>78.224309760947136</v>
      </c>
    </row>
    <row r="13" spans="1:43" s="244" customFormat="1" hidden="1">
      <c r="B13" s="245" t="s">
        <v>1607</v>
      </c>
      <c r="C13" s="246"/>
      <c r="D13" s="246"/>
      <c r="E13" s="246">
        <f>HLOOKUP($B$2,'Consumption Input'!$E$5:$AQ$82,'Consumption Input'!$B25)</f>
        <v>0</v>
      </c>
      <c r="F13" s="246"/>
      <c r="G13" s="246"/>
      <c r="H13" s="246"/>
      <c r="I13" s="84">
        <f t="shared" si="2"/>
        <v>0</v>
      </c>
      <c r="J13" s="265"/>
      <c r="K13" s="246"/>
      <c r="L13" s="246"/>
      <c r="M13" s="246"/>
      <c r="N13" s="247">
        <f t="shared" si="9"/>
        <v>0</v>
      </c>
      <c r="O13" s="246">
        <f t="shared" si="9"/>
        <v>0</v>
      </c>
      <c r="P13" s="246">
        <f t="shared" si="10"/>
        <v>0</v>
      </c>
      <c r="Q13" s="246">
        <f t="shared" si="11"/>
        <v>0</v>
      </c>
      <c r="R13" s="246">
        <f t="shared" si="11"/>
        <v>0</v>
      </c>
      <c r="S13" s="248">
        <f t="shared" si="11"/>
        <v>0</v>
      </c>
      <c r="T13" s="246">
        <f t="shared" si="4"/>
        <v>0</v>
      </c>
      <c r="U13" s="266">
        <f>Factors!D14</f>
        <v>27.85</v>
      </c>
      <c r="V13" s="247">
        <f t="shared" si="12"/>
        <v>0</v>
      </c>
      <c r="W13" s="246">
        <f t="shared" si="13"/>
        <v>0</v>
      </c>
      <c r="X13" s="246">
        <f t="shared" si="14"/>
        <v>0</v>
      </c>
      <c r="Y13" s="246">
        <f t="shared" si="15"/>
        <v>0</v>
      </c>
      <c r="Z13" s="246">
        <f t="shared" si="16"/>
        <v>0</v>
      </c>
      <c r="AA13" s="246">
        <f t="shared" si="17"/>
        <v>0</v>
      </c>
      <c r="AB13" s="246">
        <f t="shared" si="5"/>
        <v>0</v>
      </c>
      <c r="AC13" s="267">
        <f>Factors!E14</f>
        <v>1</v>
      </c>
      <c r="AD13" s="247">
        <f t="shared" si="18"/>
        <v>0</v>
      </c>
      <c r="AE13" s="246">
        <f t="shared" si="18"/>
        <v>0</v>
      </c>
      <c r="AF13" s="246">
        <f t="shared" si="18"/>
        <v>0</v>
      </c>
      <c r="AG13" s="246">
        <f t="shared" si="18"/>
        <v>0</v>
      </c>
      <c r="AH13" s="246">
        <f t="shared" si="18"/>
        <v>0</v>
      </c>
      <c r="AI13" s="246">
        <f t="shared" si="18"/>
        <v>0</v>
      </c>
      <c r="AJ13" s="249">
        <f t="shared" si="6"/>
        <v>0</v>
      </c>
      <c r="AK13" s="247">
        <f t="shared" si="19"/>
        <v>0</v>
      </c>
      <c r="AL13" s="246">
        <f t="shared" si="20"/>
        <v>0</v>
      </c>
      <c r="AM13" s="246">
        <f t="shared" si="21"/>
        <v>0</v>
      </c>
      <c r="AN13" s="246">
        <f t="shared" si="22"/>
        <v>0</v>
      </c>
      <c r="AO13" s="246">
        <f t="shared" si="23"/>
        <v>0</v>
      </c>
      <c r="AP13" s="246">
        <f t="shared" si="24"/>
        <v>0</v>
      </c>
      <c r="AQ13" s="250">
        <f t="shared" si="8"/>
        <v>0</v>
      </c>
    </row>
    <row r="14" spans="1:43">
      <c r="B14" s="188" t="s">
        <v>1735</v>
      </c>
      <c r="C14" s="84"/>
      <c r="D14" s="84"/>
      <c r="E14" s="84"/>
      <c r="F14" s="191">
        <f>HLOOKUP($B$2,'Consumption Input'!$E$5:$AQ$82,'Consumption Input'!$B48)</f>
        <v>0</v>
      </c>
      <c r="G14" s="84"/>
      <c r="H14" s="84"/>
      <c r="I14" s="84">
        <f t="shared" si="2"/>
        <v>0</v>
      </c>
      <c r="J14" s="262"/>
      <c r="K14" s="84"/>
      <c r="L14" s="84"/>
      <c r="M14" s="84"/>
      <c r="N14" s="189">
        <f t="shared" si="9"/>
        <v>0</v>
      </c>
      <c r="O14" s="84">
        <f t="shared" si="9"/>
        <v>0</v>
      </c>
      <c r="P14" s="84">
        <f t="shared" si="10"/>
        <v>0</v>
      </c>
      <c r="Q14" s="84">
        <f t="shared" si="11"/>
        <v>0</v>
      </c>
      <c r="R14" s="84">
        <f t="shared" si="11"/>
        <v>0</v>
      </c>
      <c r="S14" s="190">
        <f t="shared" si="11"/>
        <v>0</v>
      </c>
      <c r="T14" s="84">
        <f t="shared" si="4"/>
        <v>0</v>
      </c>
      <c r="U14" s="263" t="str">
        <f>Factors!D15</f>
        <v>NC</v>
      </c>
      <c r="V14" s="189">
        <f t="shared" si="12"/>
        <v>0</v>
      </c>
      <c r="W14" s="84">
        <f t="shared" si="13"/>
        <v>0</v>
      </c>
      <c r="X14" s="84">
        <f t="shared" si="14"/>
        <v>0</v>
      </c>
      <c r="Y14" s="84">
        <f t="shared" si="15"/>
        <v>0</v>
      </c>
      <c r="Z14" s="84">
        <f t="shared" si="16"/>
        <v>0</v>
      </c>
      <c r="AA14" s="84">
        <f t="shared" si="17"/>
        <v>0</v>
      </c>
      <c r="AB14" s="84" t="s">
        <v>103</v>
      </c>
      <c r="AC14" s="264" t="str">
        <f>Factors!E15</f>
        <v>NC</v>
      </c>
      <c r="AD14" s="189">
        <f t="shared" si="18"/>
        <v>0</v>
      </c>
      <c r="AE14" s="84">
        <f t="shared" si="18"/>
        <v>0</v>
      </c>
      <c r="AF14" s="84">
        <f t="shared" si="18"/>
        <v>0</v>
      </c>
      <c r="AG14" s="84">
        <f t="shared" si="18"/>
        <v>0</v>
      </c>
      <c r="AH14" s="84">
        <f t="shared" si="18"/>
        <v>0</v>
      </c>
      <c r="AI14" s="84">
        <f t="shared" si="18"/>
        <v>0</v>
      </c>
      <c r="AJ14" s="191">
        <f t="shared" si="6"/>
        <v>0</v>
      </c>
      <c r="AK14" s="189">
        <f t="shared" si="19"/>
        <v>0</v>
      </c>
      <c r="AL14" s="84">
        <f t="shared" si="20"/>
        <v>0</v>
      </c>
      <c r="AM14" s="84">
        <f t="shared" si="21"/>
        <v>0</v>
      </c>
      <c r="AN14" s="84">
        <f t="shared" si="22"/>
        <v>0</v>
      </c>
      <c r="AO14" s="84">
        <f t="shared" si="23"/>
        <v>0</v>
      </c>
      <c r="AP14" s="84">
        <f t="shared" si="24"/>
        <v>0</v>
      </c>
      <c r="AQ14" s="250">
        <f t="shared" si="8"/>
        <v>0</v>
      </c>
    </row>
    <row r="15" spans="1:43">
      <c r="B15" s="188" t="s">
        <v>1736</v>
      </c>
      <c r="C15" s="84"/>
      <c r="D15" s="84"/>
      <c r="E15" s="84"/>
      <c r="F15" s="84"/>
      <c r="G15" s="84">
        <f>HLOOKUP($B$2,'Consumption Input'!$E$5:$AQ$82,'Consumption Input'!$B58)</f>
        <v>15821.247999999998</v>
      </c>
      <c r="H15" s="84"/>
      <c r="I15" s="84">
        <f t="shared" ref="I15:I28" si="25">SUM(C15:H15)</f>
        <v>15821.247999999998</v>
      </c>
      <c r="J15" s="262"/>
      <c r="K15" s="84"/>
      <c r="L15" s="84"/>
      <c r="M15" s="84"/>
      <c r="N15" s="189">
        <f t="shared" si="9"/>
        <v>0</v>
      </c>
      <c r="O15" s="84">
        <f t="shared" si="9"/>
        <v>0</v>
      </c>
      <c r="P15" s="84">
        <f t="shared" si="10"/>
        <v>0</v>
      </c>
      <c r="Q15" s="84">
        <f t="shared" si="11"/>
        <v>0</v>
      </c>
      <c r="R15" s="84">
        <f t="shared" si="11"/>
        <v>15821.247999999998</v>
      </c>
      <c r="S15" s="190">
        <f t="shared" si="11"/>
        <v>0</v>
      </c>
      <c r="T15" s="84">
        <f t="shared" si="4"/>
        <v>15821.247999999998</v>
      </c>
      <c r="U15" s="263">
        <f>HLOOKUP($B$2,Factors!$J$12:$AF$25,Factors!$H16,FALSE)</f>
        <v>26.058623054411257</v>
      </c>
      <c r="V15" s="189">
        <f t="shared" si="12"/>
        <v>0</v>
      </c>
      <c r="W15" s="84">
        <f t="shared" si="13"/>
        <v>0</v>
      </c>
      <c r="X15" s="84">
        <f t="shared" si="14"/>
        <v>0</v>
      </c>
      <c r="Y15" s="84">
        <f t="shared" si="15"/>
        <v>0</v>
      </c>
      <c r="Z15" s="84">
        <f t="shared" si="16"/>
        <v>412.2799378823579</v>
      </c>
      <c r="AA15" s="84">
        <f t="shared" si="17"/>
        <v>0</v>
      </c>
      <c r="AB15" s="84">
        <f t="shared" ref="AB15:AB43" si="26">SUM(V15:AA15)</f>
        <v>412.2799378823579</v>
      </c>
      <c r="AC15" s="264">
        <f>Factors!E16</f>
        <v>1</v>
      </c>
      <c r="AD15" s="189">
        <f t="shared" si="18"/>
        <v>0</v>
      </c>
      <c r="AE15" s="84">
        <f t="shared" si="18"/>
        <v>0</v>
      </c>
      <c r="AF15" s="84">
        <f t="shared" si="18"/>
        <v>0</v>
      </c>
      <c r="AG15" s="84">
        <f t="shared" si="18"/>
        <v>0</v>
      </c>
      <c r="AH15" s="84">
        <f t="shared" si="18"/>
        <v>412.2799378823579</v>
      </c>
      <c r="AI15" s="84">
        <f t="shared" si="18"/>
        <v>0</v>
      </c>
      <c r="AJ15" s="191">
        <f t="shared" si="6"/>
        <v>412.2799378823579</v>
      </c>
      <c r="AK15" s="189">
        <f t="shared" si="19"/>
        <v>0</v>
      </c>
      <c r="AL15" s="84">
        <f t="shared" si="20"/>
        <v>0</v>
      </c>
      <c r="AM15" s="84">
        <f t="shared" si="21"/>
        <v>0</v>
      </c>
      <c r="AN15" s="84">
        <f t="shared" si="22"/>
        <v>0</v>
      </c>
      <c r="AO15" s="84">
        <f t="shared" si="23"/>
        <v>1511.6931055686455</v>
      </c>
      <c r="AP15" s="84">
        <f t="shared" si="24"/>
        <v>0</v>
      </c>
      <c r="AQ15" s="250">
        <f t="shared" ref="AQ15:AQ42" si="27">SUM(AK15:AP15)</f>
        <v>1511.6931055686455</v>
      </c>
    </row>
    <row r="16" spans="1:43">
      <c r="B16" s="188" t="s">
        <v>1737</v>
      </c>
      <c r="C16" s="84"/>
      <c r="D16" s="84"/>
      <c r="E16" s="84"/>
      <c r="F16" s="84"/>
      <c r="G16" s="84"/>
      <c r="H16" s="84">
        <f>HLOOKUP($B$2,'US Territories'!$D$28:$Z$38,'US Territories'!$B29)</f>
        <v>35.667677036947332</v>
      </c>
      <c r="I16" s="84">
        <f t="shared" si="25"/>
        <v>35.667677036947332</v>
      </c>
      <c r="J16" s="262"/>
      <c r="K16" s="84"/>
      <c r="L16" s="84"/>
      <c r="M16" s="84"/>
      <c r="N16" s="189">
        <f t="shared" si="9"/>
        <v>0</v>
      </c>
      <c r="O16" s="84">
        <f t="shared" si="9"/>
        <v>0</v>
      </c>
      <c r="P16" s="84">
        <f t="shared" si="10"/>
        <v>0</v>
      </c>
      <c r="Q16" s="84">
        <f t="shared" si="11"/>
        <v>0</v>
      </c>
      <c r="R16" s="84">
        <f t="shared" si="11"/>
        <v>0</v>
      </c>
      <c r="S16" s="190">
        <f t="shared" si="11"/>
        <v>35.667677036947332</v>
      </c>
      <c r="T16" s="84">
        <f t="shared" si="4"/>
        <v>35.667677036947332</v>
      </c>
      <c r="U16" s="263">
        <f>Factors!D17</f>
        <v>25.14</v>
      </c>
      <c r="V16" s="192">
        <f t="shared" si="12"/>
        <v>0</v>
      </c>
      <c r="W16" s="193">
        <f t="shared" si="13"/>
        <v>0</v>
      </c>
      <c r="X16" s="193">
        <f t="shared" si="14"/>
        <v>0</v>
      </c>
      <c r="Y16" s="193">
        <f t="shared" si="15"/>
        <v>0</v>
      </c>
      <c r="Z16" s="193">
        <f t="shared" si="16"/>
        <v>0</v>
      </c>
      <c r="AA16" s="193">
        <f t="shared" si="17"/>
        <v>0.89668540070885594</v>
      </c>
      <c r="AB16" s="84">
        <f t="shared" si="26"/>
        <v>0.89668540070885594</v>
      </c>
      <c r="AC16" s="264">
        <f>Factors!E17</f>
        <v>1</v>
      </c>
      <c r="AD16" s="192">
        <f t="shared" si="18"/>
        <v>0</v>
      </c>
      <c r="AE16" s="193">
        <f t="shared" si="18"/>
        <v>0</v>
      </c>
      <c r="AF16" s="193">
        <f t="shared" si="18"/>
        <v>0</v>
      </c>
      <c r="AG16" s="193">
        <f t="shared" si="18"/>
        <v>0</v>
      </c>
      <c r="AH16" s="193">
        <f t="shared" si="18"/>
        <v>0</v>
      </c>
      <c r="AI16" s="193">
        <f t="shared" si="18"/>
        <v>0.89668540070885594</v>
      </c>
      <c r="AJ16" s="191">
        <f t="shared" si="6"/>
        <v>0.89668540070885594</v>
      </c>
      <c r="AK16" s="189">
        <f t="shared" si="19"/>
        <v>0</v>
      </c>
      <c r="AL16" s="84">
        <f t="shared" si="20"/>
        <v>0</v>
      </c>
      <c r="AM16" s="84">
        <f t="shared" si="21"/>
        <v>0</v>
      </c>
      <c r="AN16" s="84">
        <f t="shared" si="22"/>
        <v>0</v>
      </c>
      <c r="AO16" s="84">
        <f t="shared" si="23"/>
        <v>0</v>
      </c>
      <c r="AP16" s="84">
        <f t="shared" si="24"/>
        <v>3.2878464692658049</v>
      </c>
      <c r="AQ16" s="250">
        <f t="shared" si="27"/>
        <v>3.2878464692658049</v>
      </c>
    </row>
    <row r="17" spans="1:43">
      <c r="B17" s="194" t="s">
        <v>1439</v>
      </c>
      <c r="C17" s="124">
        <f>HLOOKUP($B$2,'Consumption Input'!$E$5:$AQ$82,'Consumption Input'!$B8)</f>
        <v>4242.0940000000001</v>
      </c>
      <c r="D17" s="124">
        <f>HLOOKUP($B$2,'Consumption Input'!$E$5:$AQ$82,'Consumption Input'!$B14)</f>
        <v>2959.511</v>
      </c>
      <c r="E17" s="124">
        <f>HLOOKUP($B$2,'Consumption Input'!$E$5:$AQ$82,'Consumption Input'!$B26)</f>
        <v>8495.7543983742817</v>
      </c>
      <c r="F17" s="124">
        <f>HLOOKUP($B$2,'Consumption Input'!$E$5:$AQ$82,'Consumption Input'!$B49)</f>
        <v>779.779</v>
      </c>
      <c r="G17" s="124">
        <f>HLOOKUP($B$2,'Consumption Input'!$E$5:$AQ$82,'Consumption Input'!$B59)</f>
        <v>9286.7929999999997</v>
      </c>
      <c r="H17" s="268">
        <f>HLOOKUP($B$2,'US Territories'!$D$28:$Z$38,'US Territories'!$B30)</f>
        <v>49.181081599999999</v>
      </c>
      <c r="I17" s="124">
        <f t="shared" si="25"/>
        <v>25813.112479974283</v>
      </c>
      <c r="J17" s="269"/>
      <c r="K17" s="124">
        <f>HLOOKUP($B$2,NEUConsumption,'Non-Energy Use'!$C$9)</f>
        <v>319.28750000000002</v>
      </c>
      <c r="L17" s="124"/>
      <c r="M17" s="124"/>
      <c r="N17" s="123">
        <f t="shared" si="9"/>
        <v>4242.0940000000001</v>
      </c>
      <c r="O17" s="124">
        <f t="shared" si="9"/>
        <v>2959.511</v>
      </c>
      <c r="P17" s="124">
        <f t="shared" si="10"/>
        <v>8176.4668983742813</v>
      </c>
      <c r="Q17" s="124">
        <f t="shared" si="11"/>
        <v>779.779</v>
      </c>
      <c r="R17" s="124">
        <f t="shared" si="11"/>
        <v>9286.7929999999997</v>
      </c>
      <c r="S17" s="268">
        <f t="shared" si="11"/>
        <v>49.181081599999999</v>
      </c>
      <c r="T17" s="124">
        <f t="shared" si="4"/>
        <v>25493.824979974281</v>
      </c>
      <c r="U17" s="270">
        <f>HLOOKUP($B$2,Factors!$J$12:$AF$26,Factors!$H26,FALSE)</f>
        <v>14.471935760742188</v>
      </c>
      <c r="V17" s="124">
        <f t="shared" si="12"/>
        <v>61.391311859029869</v>
      </c>
      <c r="W17" s="124">
        <f t="shared" si="13"/>
        <v>42.829853075209876</v>
      </c>
      <c r="X17" s="124">
        <f t="shared" si="14"/>
        <v>118.32930370310753</v>
      </c>
      <c r="Y17" s="124">
        <f t="shared" si="15"/>
        <v>11.284911595575783</v>
      </c>
      <c r="Z17" s="124">
        <f t="shared" si="16"/>
        <v>134.39787171931022</v>
      </c>
      <c r="AA17" s="124">
        <f t="shared" si="17"/>
        <v>0.71174545355901953</v>
      </c>
      <c r="AB17" s="124">
        <f t="shared" si="26"/>
        <v>368.94499740579226</v>
      </c>
      <c r="AC17" s="271">
        <f>Factors!E19</f>
        <v>1</v>
      </c>
      <c r="AD17" s="123">
        <f t="shared" si="18"/>
        <v>61.391311859029869</v>
      </c>
      <c r="AE17" s="124">
        <f t="shared" si="18"/>
        <v>42.829853075209876</v>
      </c>
      <c r="AF17" s="124">
        <f t="shared" si="18"/>
        <v>118.32930370310753</v>
      </c>
      <c r="AG17" s="124">
        <f t="shared" si="18"/>
        <v>11.284911595575783</v>
      </c>
      <c r="AH17" s="124">
        <f t="shared" si="18"/>
        <v>134.39787171931022</v>
      </c>
      <c r="AI17" s="124">
        <f t="shared" si="18"/>
        <v>0.71174545355901953</v>
      </c>
      <c r="AJ17" s="124">
        <f t="shared" si="6"/>
        <v>368.94499740579226</v>
      </c>
      <c r="AK17" s="123">
        <f t="shared" si="19"/>
        <v>225.10147681644284</v>
      </c>
      <c r="AL17" s="124">
        <f t="shared" si="20"/>
        <v>157.04279460910288</v>
      </c>
      <c r="AM17" s="124">
        <f t="shared" si="21"/>
        <v>433.87411357806093</v>
      </c>
      <c r="AN17" s="124">
        <f t="shared" si="22"/>
        <v>41.37800918377787</v>
      </c>
      <c r="AO17" s="124">
        <f t="shared" si="23"/>
        <v>492.79219630413746</v>
      </c>
      <c r="AP17" s="124">
        <f t="shared" si="24"/>
        <v>2.6097333297164047</v>
      </c>
      <c r="AQ17" s="211">
        <f t="shared" si="27"/>
        <v>1352.7983238212385</v>
      </c>
    </row>
    <row r="18" spans="1:43">
      <c r="B18" s="195" t="s">
        <v>1440</v>
      </c>
      <c r="C18" s="196">
        <f t="shared" ref="C18:H18" si="28">SUM(C19:C41)</f>
        <v>834.84397582041333</v>
      </c>
      <c r="D18" s="196">
        <f t="shared" si="28"/>
        <v>552.36545916346483</v>
      </c>
      <c r="E18" s="196">
        <f t="shared" si="28"/>
        <v>7910.8152035823568</v>
      </c>
      <c r="F18" s="196">
        <f t="shared" si="28"/>
        <v>24103.48367724186</v>
      </c>
      <c r="G18" s="196">
        <f t="shared" si="28"/>
        <v>214.20500000000001</v>
      </c>
      <c r="H18" s="196">
        <f t="shared" si="28"/>
        <v>388.75495812607585</v>
      </c>
      <c r="I18" s="196">
        <f t="shared" si="25"/>
        <v>34004.468273934173</v>
      </c>
      <c r="J18" s="272">
        <f t="shared" ref="J18:S18" si="29">SUM(J19:J41)</f>
        <v>1468.2978600875404</v>
      </c>
      <c r="K18" s="196">
        <f t="shared" si="29"/>
        <v>4095.6566067431631</v>
      </c>
      <c r="L18" s="196">
        <f t="shared" si="29"/>
        <v>135.40799999999999</v>
      </c>
      <c r="M18" s="196">
        <f t="shared" si="29"/>
        <v>17.620195201115784</v>
      </c>
      <c r="N18" s="197">
        <f t="shared" si="29"/>
        <v>834.84397582041333</v>
      </c>
      <c r="O18" s="196">
        <f t="shared" si="29"/>
        <v>552.36545916346483</v>
      </c>
      <c r="P18" s="196">
        <f t="shared" si="29"/>
        <v>3815.1585968391928</v>
      </c>
      <c r="Q18" s="196">
        <f t="shared" si="29"/>
        <v>22499.777817154318</v>
      </c>
      <c r="R18" s="196">
        <f t="shared" si="29"/>
        <v>214.20500000000001</v>
      </c>
      <c r="S18" s="198">
        <f t="shared" si="29"/>
        <v>371.13476292496011</v>
      </c>
      <c r="T18" s="191">
        <f t="shared" si="4"/>
        <v>28287.48561190235</v>
      </c>
      <c r="U18" s="273" t="s">
        <v>1731</v>
      </c>
      <c r="V18" s="196">
        <f t="shared" ref="V18:AA18" si="30">SUM(V19:V41)</f>
        <v>15.662770022653326</v>
      </c>
      <c r="W18" s="196">
        <f t="shared" si="30"/>
        <v>10.705374910193003</v>
      </c>
      <c r="X18" s="196">
        <f t="shared" si="30"/>
        <v>78.320686518310765</v>
      </c>
      <c r="Y18" s="196">
        <f t="shared" si="30"/>
        <v>441.27908789652918</v>
      </c>
      <c r="Z18" s="196">
        <f t="shared" si="30"/>
        <v>4.9999387050416519</v>
      </c>
      <c r="AA18" s="196">
        <f t="shared" si="30"/>
        <v>7.3789964923244815</v>
      </c>
      <c r="AB18" s="196">
        <f t="shared" si="26"/>
        <v>558.34685454505245</v>
      </c>
      <c r="AC18" s="274" t="s">
        <v>1731</v>
      </c>
      <c r="AD18" s="197">
        <f t="shared" ref="AD18:AI18" si="31">SUM(AD19:AD41)</f>
        <v>15.662770022653326</v>
      </c>
      <c r="AE18" s="196">
        <f t="shared" si="31"/>
        <v>10.705374910193003</v>
      </c>
      <c r="AF18" s="196">
        <f t="shared" si="31"/>
        <v>78.320686518310765</v>
      </c>
      <c r="AG18" s="196">
        <f t="shared" si="31"/>
        <v>441.27908789652918</v>
      </c>
      <c r="AH18" s="196">
        <f t="shared" si="31"/>
        <v>4.9999387050416519</v>
      </c>
      <c r="AI18" s="196">
        <f t="shared" si="31"/>
        <v>7.3789964923244815</v>
      </c>
      <c r="AJ18" s="196">
        <f t="shared" si="6"/>
        <v>558.34685454505245</v>
      </c>
      <c r="AK18" s="199">
        <f t="shared" si="19"/>
        <v>57.430156749728859</v>
      </c>
      <c r="AL18" s="191">
        <f t="shared" si="20"/>
        <v>39.253041337374341</v>
      </c>
      <c r="AM18" s="191">
        <f t="shared" si="21"/>
        <v>287.17585056713943</v>
      </c>
      <c r="AN18" s="191">
        <f t="shared" si="22"/>
        <v>1618.0233222872737</v>
      </c>
      <c r="AO18" s="191">
        <f t="shared" si="23"/>
        <v>18.333108585152722</v>
      </c>
      <c r="AP18" s="191">
        <f t="shared" si="24"/>
        <v>27.056320471856431</v>
      </c>
      <c r="AQ18" s="212">
        <f t="shared" si="27"/>
        <v>2047.2717999985257</v>
      </c>
    </row>
    <row r="19" spans="1:43">
      <c r="B19" s="188" t="s">
        <v>1608</v>
      </c>
      <c r="C19" s="84"/>
      <c r="D19" s="84"/>
      <c r="E19" s="84">
        <f>HLOOKUP($B$2,'Consumption Input'!$E$5:$AQ$82,'Consumption Input'!$B27)</f>
        <v>826.697</v>
      </c>
      <c r="F19" s="84"/>
      <c r="G19" s="84"/>
      <c r="H19" s="84"/>
      <c r="I19" s="84">
        <f t="shared" si="25"/>
        <v>826.697</v>
      </c>
      <c r="J19" s="262"/>
      <c r="K19" s="84">
        <f>HLOOKUP($B$2,NEUConsumption,'Non-Energy Use'!$C$10)</f>
        <v>826.697</v>
      </c>
      <c r="L19" s="84"/>
      <c r="M19" s="84"/>
      <c r="N19" s="189">
        <f t="shared" ref="N19:O42" si="32">C19</f>
        <v>0</v>
      </c>
      <c r="O19" s="84">
        <f t="shared" si="32"/>
        <v>0</v>
      </c>
      <c r="P19" s="84">
        <f t="shared" ref="P19:P41" si="33">E19-K19</f>
        <v>0</v>
      </c>
      <c r="Q19" s="84">
        <f t="shared" ref="Q19:Q41" si="34">F19-J19-L19</f>
        <v>0</v>
      </c>
      <c r="R19" s="84">
        <f t="shared" ref="R19:R42" si="35">G19</f>
        <v>0</v>
      </c>
      <c r="S19" s="190">
        <f t="shared" ref="S19:S41" si="36">H19-M19</f>
        <v>0</v>
      </c>
      <c r="T19" s="84">
        <f t="shared" si="4"/>
        <v>0</v>
      </c>
      <c r="U19" s="263">
        <f>Factors!D24</f>
        <v>20.55318099621897</v>
      </c>
      <c r="V19" s="189">
        <f t="shared" ref="V19:V41" si="37">N19*$U19*TbtuToQBtu</f>
        <v>0</v>
      </c>
      <c r="W19" s="84">
        <f t="shared" ref="W19:W41" si="38">O19*$U19*TbtuToQBtu</f>
        <v>0</v>
      </c>
      <c r="X19" s="84">
        <f t="shared" ref="X19:X41" si="39">P19*$U19*TbtuToQBtu</f>
        <v>0</v>
      </c>
      <c r="Y19" s="84">
        <f t="shared" ref="Y19:Y41" si="40">Q19*$U19*TbtuToQBtu</f>
        <v>0</v>
      </c>
      <c r="Z19" s="84">
        <f t="shared" ref="Z19:Z41" si="41">R19*$U19*TbtuToQBtu</f>
        <v>0</v>
      </c>
      <c r="AA19" s="84">
        <f t="shared" ref="AA19:AA41" si="42">S19*$U19*TbtuToQBtu</f>
        <v>0</v>
      </c>
      <c r="AB19" s="84">
        <f t="shared" si="26"/>
        <v>0</v>
      </c>
      <c r="AC19" s="264">
        <f>Factors!E24</f>
        <v>1</v>
      </c>
      <c r="AD19" s="189">
        <f t="shared" ref="AD19:AI35" si="43">V19*$AC19</f>
        <v>0</v>
      </c>
      <c r="AE19" s="84">
        <f t="shared" si="43"/>
        <v>0</v>
      </c>
      <c r="AF19" s="84">
        <f t="shared" si="43"/>
        <v>0</v>
      </c>
      <c r="AG19" s="84">
        <f t="shared" si="43"/>
        <v>0</v>
      </c>
      <c r="AH19" s="84">
        <f t="shared" si="43"/>
        <v>0</v>
      </c>
      <c r="AI19" s="84">
        <f t="shared" si="43"/>
        <v>0</v>
      </c>
      <c r="AJ19" s="191">
        <f t="shared" si="6"/>
        <v>0</v>
      </c>
      <c r="AK19" s="189">
        <f t="shared" si="19"/>
        <v>0</v>
      </c>
      <c r="AL19" s="84">
        <f t="shared" si="20"/>
        <v>0</v>
      </c>
      <c r="AM19" s="84">
        <f t="shared" si="21"/>
        <v>0</v>
      </c>
      <c r="AN19" s="84">
        <f t="shared" si="22"/>
        <v>0</v>
      </c>
      <c r="AO19" s="84">
        <f t="shared" si="23"/>
        <v>0</v>
      </c>
      <c r="AP19" s="84">
        <f t="shared" si="24"/>
        <v>0</v>
      </c>
      <c r="AQ19" s="250">
        <f t="shared" si="27"/>
        <v>0</v>
      </c>
    </row>
    <row r="20" spans="1:43">
      <c r="B20" s="188" t="s">
        <v>1622</v>
      </c>
      <c r="C20" s="84"/>
      <c r="D20" s="84"/>
      <c r="E20" s="84"/>
      <c r="F20" s="84">
        <f>HLOOKUP($B$2,'Consumption Input'!$E$5:$AQ$82,'Consumption Input'!$B50)</f>
        <v>25.114000000000001</v>
      </c>
      <c r="G20" s="84"/>
      <c r="H20" s="84"/>
      <c r="I20" s="84">
        <f t="shared" si="25"/>
        <v>25.114000000000001</v>
      </c>
      <c r="J20" s="262"/>
      <c r="K20" s="84"/>
      <c r="L20" s="84"/>
      <c r="M20" s="84"/>
      <c r="N20" s="189">
        <f t="shared" si="32"/>
        <v>0</v>
      </c>
      <c r="O20" s="84">
        <f t="shared" si="32"/>
        <v>0</v>
      </c>
      <c r="P20" s="84">
        <f t="shared" si="33"/>
        <v>0</v>
      </c>
      <c r="Q20" s="84">
        <f t="shared" si="34"/>
        <v>25.114000000000001</v>
      </c>
      <c r="R20" s="84">
        <f t="shared" si="35"/>
        <v>0</v>
      </c>
      <c r="S20" s="190">
        <f t="shared" si="36"/>
        <v>0</v>
      </c>
      <c r="T20" s="84">
        <f t="shared" si="4"/>
        <v>25.114000000000001</v>
      </c>
      <c r="U20" s="263">
        <f>Factors!D25</f>
        <v>18.855352254718337</v>
      </c>
      <c r="V20" s="189">
        <f t="shared" si="37"/>
        <v>0</v>
      </c>
      <c r="W20" s="84">
        <f t="shared" si="38"/>
        <v>0</v>
      </c>
      <c r="X20" s="84">
        <f t="shared" si="39"/>
        <v>0</v>
      </c>
      <c r="Y20" s="84">
        <f t="shared" si="40"/>
        <v>0.47353331652499636</v>
      </c>
      <c r="Z20" s="84">
        <f t="shared" si="41"/>
        <v>0</v>
      </c>
      <c r="AA20" s="84">
        <f t="shared" si="42"/>
        <v>0</v>
      </c>
      <c r="AB20" s="84">
        <f t="shared" si="26"/>
        <v>0.47353331652499636</v>
      </c>
      <c r="AC20" s="264">
        <f>Factors!E25</f>
        <v>1</v>
      </c>
      <c r="AD20" s="189">
        <f t="shared" si="43"/>
        <v>0</v>
      </c>
      <c r="AE20" s="84">
        <f t="shared" si="43"/>
        <v>0</v>
      </c>
      <c r="AF20" s="84">
        <f t="shared" si="43"/>
        <v>0</v>
      </c>
      <c r="AG20" s="84">
        <f t="shared" si="43"/>
        <v>0.47353331652499636</v>
      </c>
      <c r="AH20" s="84">
        <f t="shared" si="43"/>
        <v>0</v>
      </c>
      <c r="AI20" s="84">
        <f t="shared" si="43"/>
        <v>0</v>
      </c>
      <c r="AJ20" s="191">
        <f t="shared" si="6"/>
        <v>0.47353331652499636</v>
      </c>
      <c r="AK20" s="189">
        <f t="shared" si="19"/>
        <v>0</v>
      </c>
      <c r="AL20" s="84">
        <f t="shared" si="20"/>
        <v>0</v>
      </c>
      <c r="AM20" s="84">
        <f t="shared" si="21"/>
        <v>0</v>
      </c>
      <c r="AN20" s="84">
        <f t="shared" si="22"/>
        <v>1.7362888272583199</v>
      </c>
      <c r="AO20" s="84">
        <f t="shared" si="23"/>
        <v>0</v>
      </c>
      <c r="AP20" s="84">
        <f t="shared" si="24"/>
        <v>0</v>
      </c>
      <c r="AQ20" s="250">
        <f t="shared" si="27"/>
        <v>1.7362888272583199</v>
      </c>
    </row>
    <row r="21" spans="1:43">
      <c r="B21" s="188" t="s">
        <v>1738</v>
      </c>
      <c r="C21" s="84">
        <f>HLOOKUP($B$2,'Consumption Input'!$E$5:$AQ$82,'Consumption Input'!$B9)</f>
        <v>431.55097582041327</v>
      </c>
      <c r="D21" s="84">
        <f>HLOOKUP($B$2,'Consumption Input'!$E$5:$AQ$82,'Consumption Input'!$B15)</f>
        <v>317.76859578251867</v>
      </c>
      <c r="E21" s="84">
        <f>HLOOKUP($B$2,'Consumption Input'!$E$5:$AQ$82,'Consumption Input'!$B28)</f>
        <v>1134.9496101202799</v>
      </c>
      <c r="F21" s="84">
        <f>HLOOKUP($B$2,'Consumption Input'!$E$5:$AQ$82,'Consumption Input'!$B51)</f>
        <v>5843.1484955148835</v>
      </c>
      <c r="G21" s="84">
        <f>HLOOKUP($B$2,'Consumption Input'!$E$5:$AQ$82,'Consumption Input'!$B60)</f>
        <v>52.430999999999997</v>
      </c>
      <c r="H21" s="84">
        <f>HLOOKUP($B$2,'US Territories'!$D$28:$Z$38,'US Territories'!$B31)</f>
        <v>63.533798264471194</v>
      </c>
      <c r="I21" s="84">
        <f t="shared" si="25"/>
        <v>7843.3824755025662</v>
      </c>
      <c r="J21" s="262">
        <f>HLOOKUP($B$2,IBFConsumption,'International Bunker Fuels'!$B$10)</f>
        <v>91.666193134638803</v>
      </c>
      <c r="K21" s="84">
        <f>HLOOKUP($B$2,NEUConsumption,'Non-Energy Use'!$C$20)</f>
        <v>5.8250000000000002</v>
      </c>
      <c r="L21" s="84"/>
      <c r="M21" s="84"/>
      <c r="N21" s="189">
        <f t="shared" si="32"/>
        <v>431.55097582041327</v>
      </c>
      <c r="O21" s="84">
        <f t="shared" si="32"/>
        <v>317.76859578251867</v>
      </c>
      <c r="P21" s="84">
        <f t="shared" si="33"/>
        <v>1129.1246101202798</v>
      </c>
      <c r="Q21" s="84">
        <f t="shared" si="34"/>
        <v>5751.4823023802446</v>
      </c>
      <c r="R21" s="84">
        <f t="shared" si="35"/>
        <v>52.430999999999997</v>
      </c>
      <c r="S21" s="190">
        <f t="shared" si="36"/>
        <v>63.533798264471194</v>
      </c>
      <c r="T21" s="84">
        <f t="shared" si="4"/>
        <v>7745.8912823679275</v>
      </c>
      <c r="U21" s="263">
        <f>HLOOKUP($B$2,Factors!$J$12:$BE$27,Factors!$H27,FALSE)</f>
        <v>20.22</v>
      </c>
      <c r="V21" s="189">
        <f t="shared" si="37"/>
        <v>8.7259607310887546</v>
      </c>
      <c r="W21" s="84">
        <f t="shared" si="38"/>
        <v>6.4252810067225274</v>
      </c>
      <c r="X21" s="84">
        <f t="shared" si="39"/>
        <v>22.83089961663206</v>
      </c>
      <c r="Y21" s="84">
        <f t="shared" si="40"/>
        <v>116.29497215412854</v>
      </c>
      <c r="Z21" s="84">
        <f t="shared" si="41"/>
        <v>1.0601548199999999</v>
      </c>
      <c r="AA21" s="84">
        <f t="shared" si="42"/>
        <v>1.2846534009076074</v>
      </c>
      <c r="AB21" s="84">
        <f t="shared" si="26"/>
        <v>156.62192172947951</v>
      </c>
      <c r="AC21" s="264">
        <f>Factors!E26</f>
        <v>1</v>
      </c>
      <c r="AD21" s="189">
        <f t="shared" si="43"/>
        <v>8.7259607310887546</v>
      </c>
      <c r="AE21" s="84">
        <f t="shared" si="43"/>
        <v>6.4252810067225274</v>
      </c>
      <c r="AF21" s="84">
        <f t="shared" si="43"/>
        <v>22.83089961663206</v>
      </c>
      <c r="AG21" s="84">
        <f t="shared" si="43"/>
        <v>116.29497215412854</v>
      </c>
      <c r="AH21" s="84">
        <f t="shared" si="43"/>
        <v>1.0601548199999999</v>
      </c>
      <c r="AI21" s="84">
        <f t="shared" si="43"/>
        <v>1.2846534009076074</v>
      </c>
      <c r="AJ21" s="191">
        <f t="shared" si="6"/>
        <v>156.62192172947951</v>
      </c>
      <c r="AK21" s="189">
        <f t="shared" si="19"/>
        <v>31.995189347325432</v>
      </c>
      <c r="AL21" s="84">
        <f t="shared" si="20"/>
        <v>23.559363691315934</v>
      </c>
      <c r="AM21" s="84">
        <f t="shared" si="21"/>
        <v>83.71329859431755</v>
      </c>
      <c r="AN21" s="84">
        <f t="shared" si="22"/>
        <v>426.41489789847134</v>
      </c>
      <c r="AO21" s="84">
        <f t="shared" si="23"/>
        <v>3.8872343399999996</v>
      </c>
      <c r="AP21" s="84">
        <f t="shared" si="24"/>
        <v>4.7103958033278932</v>
      </c>
      <c r="AQ21" s="250">
        <f t="shared" si="27"/>
        <v>574.28037967475814</v>
      </c>
    </row>
    <row r="22" spans="1:43">
      <c r="B22" s="188" t="s">
        <v>1623</v>
      </c>
      <c r="C22" s="84"/>
      <c r="D22" s="84"/>
      <c r="E22" s="84"/>
      <c r="F22" s="84">
        <f>HLOOKUP($B$2,'Consumption Input'!$E$5:$AQ$82,'Consumption Input'!$B52)</f>
        <v>2901.4340000000002</v>
      </c>
      <c r="G22" s="279"/>
      <c r="H22" s="84">
        <f>HLOOKUP($B$2,'US Territories'!$D$28:$Z$38,'US Territories'!$B32)</f>
        <v>39.082644675743651</v>
      </c>
      <c r="I22" s="84">
        <f t="shared" si="25"/>
        <v>2940.5166446757439</v>
      </c>
      <c r="J22" s="262">
        <f>HLOOKUP($B$2,IBFConsumption,'International Bunker Fuels'!$B$8)</f>
        <v>917.17514185690175</v>
      </c>
      <c r="K22" s="84"/>
      <c r="L22" s="84"/>
      <c r="M22" s="84"/>
      <c r="N22" s="189">
        <f t="shared" si="32"/>
        <v>0</v>
      </c>
      <c r="O22" s="84">
        <f t="shared" si="32"/>
        <v>0</v>
      </c>
      <c r="P22" s="84">
        <f t="shared" si="33"/>
        <v>0</v>
      </c>
      <c r="Q22" s="84">
        <f t="shared" si="34"/>
        <v>1984.2588581430985</v>
      </c>
      <c r="R22" s="84">
        <f t="shared" si="35"/>
        <v>0</v>
      </c>
      <c r="S22" s="190">
        <f t="shared" si="36"/>
        <v>39.082644675743651</v>
      </c>
      <c r="T22" s="84">
        <f t="shared" si="4"/>
        <v>2023.3415028188422</v>
      </c>
      <c r="U22" s="263">
        <f>HLOOKUP($B$2,Factors!$J$12:$AF$25,Factors!$H21,FALSE)</f>
        <v>19.696969696969692</v>
      </c>
      <c r="V22" s="189">
        <f t="shared" si="37"/>
        <v>0</v>
      </c>
      <c r="W22" s="84">
        <f t="shared" si="38"/>
        <v>0</v>
      </c>
      <c r="X22" s="84">
        <f t="shared" si="39"/>
        <v>0</v>
      </c>
      <c r="Y22" s="84">
        <f t="shared" si="40"/>
        <v>39.083886599788293</v>
      </c>
      <c r="Z22" s="84">
        <f t="shared" si="41"/>
        <v>0</v>
      </c>
      <c r="AA22" s="84">
        <f t="shared" si="42"/>
        <v>0.7698096678555566</v>
      </c>
      <c r="AB22" s="84">
        <f t="shared" si="26"/>
        <v>39.853696267643848</v>
      </c>
      <c r="AC22" s="264">
        <f>Factors!E27</f>
        <v>1</v>
      </c>
      <c r="AD22" s="189">
        <f t="shared" si="43"/>
        <v>0</v>
      </c>
      <c r="AE22" s="84">
        <f t="shared" si="43"/>
        <v>0</v>
      </c>
      <c r="AF22" s="84">
        <f t="shared" si="43"/>
        <v>0</v>
      </c>
      <c r="AG22" s="84">
        <f t="shared" si="43"/>
        <v>39.083886599788293</v>
      </c>
      <c r="AH22" s="84">
        <f t="shared" si="43"/>
        <v>0</v>
      </c>
      <c r="AI22" s="84">
        <f t="shared" si="43"/>
        <v>0.7698096678555566</v>
      </c>
      <c r="AJ22" s="191">
        <f t="shared" si="6"/>
        <v>39.853696267643848</v>
      </c>
      <c r="AK22" s="189">
        <f t="shared" si="19"/>
        <v>0</v>
      </c>
      <c r="AL22" s="84">
        <f t="shared" si="20"/>
        <v>0</v>
      </c>
      <c r="AM22" s="84">
        <f t="shared" si="21"/>
        <v>0</v>
      </c>
      <c r="AN22" s="84">
        <f t="shared" si="22"/>
        <v>143.30758419922373</v>
      </c>
      <c r="AO22" s="84">
        <f t="shared" si="23"/>
        <v>0</v>
      </c>
      <c r="AP22" s="84">
        <f t="shared" si="24"/>
        <v>2.8226354488037075</v>
      </c>
      <c r="AQ22" s="250">
        <f t="shared" si="27"/>
        <v>146.13021964802743</v>
      </c>
    </row>
    <row r="23" spans="1:43">
      <c r="B23" s="188" t="s">
        <v>1599</v>
      </c>
      <c r="C23" s="84">
        <f>HLOOKUP($B$2,'Consumption Input'!$E$5:$AQ$82,'Consumption Input'!$B10)</f>
        <v>7.7370000000000001</v>
      </c>
      <c r="D23" s="84">
        <f>HLOOKUP($B$2,'Consumption Input'!$E$5:$AQ$82,'Consumption Input'!$B16)</f>
        <v>1.2030000000000001</v>
      </c>
      <c r="E23" s="84">
        <f>HLOOKUP($B$2,'Consumption Input'!$E$5:$AQ$82,'Consumption Input'!$B29)</f>
        <v>2.0079999999999996</v>
      </c>
      <c r="F23" s="84"/>
      <c r="G23" s="84"/>
      <c r="H23" s="84">
        <f>HLOOKUP($B$2,'US Territories'!$D$28:$Z$38,'US Territories'!$B33)</f>
        <v>0.60770600809376951</v>
      </c>
      <c r="I23" s="84">
        <f t="shared" si="25"/>
        <v>11.555706008093768</v>
      </c>
      <c r="J23" s="262"/>
      <c r="K23" s="84"/>
      <c r="L23" s="84"/>
      <c r="M23" s="84"/>
      <c r="N23" s="189">
        <f t="shared" si="32"/>
        <v>7.7370000000000001</v>
      </c>
      <c r="O23" s="84">
        <f t="shared" si="32"/>
        <v>1.2030000000000001</v>
      </c>
      <c r="P23" s="84">
        <f t="shared" si="33"/>
        <v>2.0079999999999996</v>
      </c>
      <c r="Q23" s="84">
        <f t="shared" si="34"/>
        <v>0</v>
      </c>
      <c r="R23" s="84">
        <f t="shared" si="35"/>
        <v>0</v>
      </c>
      <c r="S23" s="190">
        <f t="shared" si="36"/>
        <v>0.60770600809376951</v>
      </c>
      <c r="T23" s="84">
        <f t="shared" si="4"/>
        <v>11.555706008093768</v>
      </c>
      <c r="U23" s="263">
        <f>Factors!D28</f>
        <v>19.964104564962931</v>
      </c>
      <c r="V23" s="189">
        <f t="shared" si="37"/>
        <v>0.15446227701911822</v>
      </c>
      <c r="W23" s="84">
        <f t="shared" si="38"/>
        <v>2.4016817791650408E-2</v>
      </c>
      <c r="X23" s="84">
        <f t="shared" si="39"/>
        <v>4.0087921966445554E-2</v>
      </c>
      <c r="Y23" s="84">
        <f t="shared" si="40"/>
        <v>0</v>
      </c>
      <c r="Z23" s="84">
        <f t="shared" si="41"/>
        <v>0</v>
      </c>
      <c r="AA23" s="84">
        <f t="shared" si="42"/>
        <v>1.2132306290340223E-2</v>
      </c>
      <c r="AB23" s="84">
        <f t="shared" si="26"/>
        <v>0.23069932306755442</v>
      </c>
      <c r="AC23" s="264">
        <f>Factors!E28</f>
        <v>1</v>
      </c>
      <c r="AD23" s="189">
        <f t="shared" si="43"/>
        <v>0.15446227701911822</v>
      </c>
      <c r="AE23" s="84">
        <f t="shared" si="43"/>
        <v>2.4016817791650408E-2</v>
      </c>
      <c r="AF23" s="84">
        <f t="shared" si="43"/>
        <v>4.0087921966445554E-2</v>
      </c>
      <c r="AG23" s="84">
        <f t="shared" si="43"/>
        <v>0</v>
      </c>
      <c r="AH23" s="84">
        <f t="shared" si="43"/>
        <v>0</v>
      </c>
      <c r="AI23" s="84">
        <f t="shared" si="43"/>
        <v>1.2132306290340223E-2</v>
      </c>
      <c r="AJ23" s="191">
        <f t="shared" si="6"/>
        <v>0.23069932306755442</v>
      </c>
      <c r="AK23" s="189">
        <f t="shared" si="19"/>
        <v>0.56636168240343343</v>
      </c>
      <c r="AL23" s="84">
        <f t="shared" si="20"/>
        <v>8.8061665236051495E-2</v>
      </c>
      <c r="AM23" s="84">
        <f t="shared" si="21"/>
        <v>0.14698904721030037</v>
      </c>
      <c r="AN23" s="84">
        <f t="shared" si="22"/>
        <v>0</v>
      </c>
      <c r="AO23" s="84">
        <f t="shared" si="23"/>
        <v>0</v>
      </c>
      <c r="AP23" s="84">
        <f t="shared" si="24"/>
        <v>4.4485123064580814E-2</v>
      </c>
      <c r="AQ23" s="250">
        <f t="shared" si="27"/>
        <v>0.84589751791436618</v>
      </c>
    </row>
    <row r="24" spans="1:43">
      <c r="A24" s="817"/>
      <c r="B24" s="188" t="s">
        <v>1600</v>
      </c>
      <c r="C24" s="883">
        <f>HLOOKUP($B$2,'Consumption Input'!$E$5:$AQ$82,'Consumption Input'!$B11)</f>
        <v>395.55599999999998</v>
      </c>
      <c r="D24" s="883">
        <f>HLOOKUP($B$2,'Consumption Input'!$E$5:$AQ$82,'Consumption Input'!$B17)</f>
        <v>135.52500000000001</v>
      </c>
      <c r="E24"/>
      <c r="F24" s="883">
        <f>HLOOKUP($B$2,'Consumption Input'!$E$5:$AQ$82,'Consumption Input'!$B53)</f>
        <v>4.5199999999999996</v>
      </c>
      <c r="G24" s="883"/>
      <c r="H24"/>
      <c r="I24" s="883">
        <f>SUM(C24:H24)</f>
        <v>535.601</v>
      </c>
      <c r="J24" s="884"/>
      <c r="K24"/>
      <c r="L24" s="883"/>
      <c r="M24" s="883"/>
      <c r="N24" s="885">
        <f>C24</f>
        <v>395.55599999999998</v>
      </c>
      <c r="O24" s="883">
        <f t="shared" si="32"/>
        <v>135.52500000000001</v>
      </c>
      <c r="P24"/>
      <c r="Q24" s="883">
        <f t="shared" si="34"/>
        <v>4.5199999999999996</v>
      </c>
      <c r="R24" s="883">
        <f t="shared" si="35"/>
        <v>0</v>
      </c>
      <c r="S24" s="1007"/>
      <c r="T24" s="883">
        <f t="shared" si="4"/>
        <v>535.601</v>
      </c>
      <c r="U24" s="1005">
        <f>HLOOKUP($B$2,Factors!$J$12:$BE$25,Factors!$H17,FALSE)</f>
        <v>17.146363636363635</v>
      </c>
      <c r="V24" s="885">
        <f>N24*$U24*TbtuToQBtu</f>
        <v>6.7823470145454543</v>
      </c>
      <c r="W24" s="883">
        <f>O24*$U24*TbtuToQBtu</f>
        <v>2.3237609318181818</v>
      </c>
      <c r="X24"/>
      <c r="Y24" s="883">
        <f>Q24*$U24*TbtuToQBtu</f>
        <v>7.7501563636363624E-2</v>
      </c>
      <c r="Z24" s="883">
        <f t="shared" ref="Z24" si="44">R24*$U24*TbtuToQBtu</f>
        <v>0</v>
      </c>
      <c r="AA24"/>
      <c r="AB24" s="883">
        <f>SUM(V24:AA24)</f>
        <v>9.1836095100000001</v>
      </c>
      <c r="AC24" s="888">
        <f>Factors!E30</f>
        <v>1</v>
      </c>
      <c r="AD24" s="885">
        <f>V24*$AC24</f>
        <v>6.7823470145454543</v>
      </c>
      <c r="AE24" s="883">
        <f t="shared" si="43"/>
        <v>2.3237609318181818</v>
      </c>
      <c r="AF24"/>
      <c r="AG24" s="883">
        <f t="shared" si="43"/>
        <v>7.7501563636363624E-2</v>
      </c>
      <c r="AH24" s="883">
        <f t="shared" si="43"/>
        <v>0</v>
      </c>
      <c r="AI24"/>
      <c r="AJ24" s="889">
        <f t="shared" si="6"/>
        <v>9.1836095100000001</v>
      </c>
      <c r="AK24" s="885">
        <f>AD24*CtoCO2</f>
        <v>24.868605719999998</v>
      </c>
      <c r="AL24" s="883">
        <f t="shared" ref="AL24" si="45">AE24*CtoCO2</f>
        <v>8.5204567499999992</v>
      </c>
      <c r="AN24" s="883">
        <f t="shared" ref="AN24" si="46">AG24*CtoCO2</f>
        <v>0.28417239999999994</v>
      </c>
      <c r="AO24" s="883">
        <f t="shared" ref="AO24" si="47">AH24*CtoCO2</f>
        <v>0</v>
      </c>
      <c r="AQ24" s="890">
        <f t="shared" si="27"/>
        <v>33.673234870000002</v>
      </c>
    </row>
    <row r="25" spans="1:43">
      <c r="A25" s="817"/>
      <c r="B25" s="188" t="s">
        <v>1609</v>
      </c>
      <c r="C25" s="883"/>
      <c r="D25" s="883"/>
      <c r="E25" s="883">
        <f>HLOOKUP($B$2,'Consumption Input'!$E$5:$AQ$82,'Consumption Input'!$B30)</f>
        <v>2266.378065633</v>
      </c>
      <c r="F25" s="883"/>
      <c r="G25" s="883"/>
      <c r="H25" s="883">
        <f>HLOOKUP($B$2,'US Territories'!$D$28:$AO$38,'US Territories'!$B34)</f>
        <v>9.2100163241680271</v>
      </c>
      <c r="I25" s="883">
        <f>SUM(C25:H25)</f>
        <v>2275.588081957168</v>
      </c>
      <c r="J25" s="884"/>
      <c r="K25" s="883">
        <f>HLOOKUP($B$2,NEUConsumption,'Non-Energy Use'!$C$11)</f>
        <v>1983.6587699593242</v>
      </c>
      <c r="L25" s="883"/>
      <c r="M25" s="883"/>
      <c r="N25" s="885"/>
      <c r="O25" s="883"/>
      <c r="P25" s="883">
        <f>E25-K25</f>
        <v>282.71929567367579</v>
      </c>
      <c r="Q25" s="883"/>
      <c r="R25" s="883"/>
      <c r="S25" s="886">
        <f>H25-M25</f>
        <v>9.2100163241680271</v>
      </c>
      <c r="T25" s="883">
        <f t="shared" si="4"/>
        <v>291.9293119978438</v>
      </c>
      <c r="U25" s="1005">
        <f>HLOOKUP($B$2,Factors!$J$12:$BE$25,Factors!$H18,FALSE)</f>
        <v>17.664206338104695</v>
      </c>
      <c r="V25" s="885"/>
      <c r="W25" s="883"/>
      <c r="X25" s="883">
        <f>P25*$U25*TbtuToQBtu</f>
        <v>4.9940119745434384</v>
      </c>
      <c r="Y25" s="883"/>
      <c r="Z25" s="883"/>
      <c r="AA25" s="883">
        <f>S25*$U25*TbtuToQBtu</f>
        <v>0.16268762872741654</v>
      </c>
      <c r="AB25" s="883">
        <f>SUM(V25:AA25)</f>
        <v>5.1566996032708552</v>
      </c>
      <c r="AC25" s="888">
        <f>Factors!E31</f>
        <v>1</v>
      </c>
      <c r="AD25" s="885"/>
      <c r="AE25" s="883"/>
      <c r="AF25" s="883">
        <f>X25*$AC25</f>
        <v>4.9940119745434384</v>
      </c>
      <c r="AG25" s="883"/>
      <c r="AH25" s="883"/>
      <c r="AI25" s="883">
        <f>AA25*$AC25</f>
        <v>0.16268762872741654</v>
      </c>
      <c r="AJ25" s="889">
        <f t="shared" si="6"/>
        <v>5.1566996032708552</v>
      </c>
      <c r="AK25" s="885"/>
      <c r="AL25" s="883"/>
      <c r="AM25" s="883">
        <f>AF25*CtoCO2</f>
        <v>18.311377239992606</v>
      </c>
      <c r="AN25" s="883"/>
      <c r="AO25" s="883"/>
      <c r="AP25" s="883">
        <f>AI25*CtoCO2</f>
        <v>0.59652130533386061</v>
      </c>
      <c r="AQ25" s="890">
        <f t="shared" si="27"/>
        <v>18.907898545326468</v>
      </c>
    </row>
    <row r="26" spans="1:43">
      <c r="B26" s="188" t="s">
        <v>1610</v>
      </c>
      <c r="C26" s="84"/>
      <c r="D26" s="84"/>
      <c r="E26" s="84">
        <f>HLOOKUP($B$2,'Consumption Input'!$E$5:$AQ$82,'Consumption Input'!$B31)</f>
        <v>118.313</v>
      </c>
      <c r="F26" s="84">
        <f>HLOOKUP($B$2,'Consumption Input'!$E$5:$AQ$82,'Consumption Input'!$B54)</f>
        <v>135.40799999999999</v>
      </c>
      <c r="G26" s="84"/>
      <c r="H26" s="84">
        <f>HLOOKUP($B$2,'US Territories'!$D$28:$Z$38,'US Territories'!$B35)</f>
        <v>1.0411633874999999</v>
      </c>
      <c r="I26" s="84">
        <f t="shared" si="25"/>
        <v>254.76216338750001</v>
      </c>
      <c r="J26" s="262"/>
      <c r="K26" s="84">
        <f>HLOOKUP($B$2,NEUConsumption,'Non-Energy Use'!$C$12)</f>
        <v>118.313</v>
      </c>
      <c r="L26" s="84">
        <f>HLOOKUP($B$2,NEUConsumption,'Non-Energy Use'!$C$24)</f>
        <v>135.40799999999999</v>
      </c>
      <c r="M26" s="84">
        <f>HLOOKUP($B$2,NEUConsumption,'Non-Energy Use'!$C$26)</f>
        <v>1.0411633874999999</v>
      </c>
      <c r="N26" s="189">
        <f t="shared" si="32"/>
        <v>0</v>
      </c>
      <c r="O26" s="84">
        <f t="shared" si="32"/>
        <v>0</v>
      </c>
      <c r="P26" s="84">
        <f t="shared" si="33"/>
        <v>0</v>
      </c>
      <c r="Q26" s="84">
        <f>F26-J26-L26</f>
        <v>0</v>
      </c>
      <c r="R26" s="84">
        <f>G26</f>
        <v>0</v>
      </c>
      <c r="S26" s="190">
        <f t="shared" si="36"/>
        <v>0</v>
      </c>
      <c r="T26" s="84">
        <f t="shared" si="4"/>
        <v>0</v>
      </c>
      <c r="U26" s="263">
        <f>Factors!D33</f>
        <v>20.199355467286214</v>
      </c>
      <c r="V26" s="189">
        <f t="shared" si="37"/>
        <v>0</v>
      </c>
      <c r="W26" s="84">
        <f t="shared" si="38"/>
        <v>0</v>
      </c>
      <c r="X26" s="84">
        <f t="shared" si="39"/>
        <v>0</v>
      </c>
      <c r="Y26" s="84">
        <f>Q26*$U26*TbtuToQBtu</f>
        <v>0</v>
      </c>
      <c r="Z26" s="84">
        <f t="shared" si="41"/>
        <v>0</v>
      </c>
      <c r="AA26" s="84">
        <f t="shared" si="42"/>
        <v>0</v>
      </c>
      <c r="AB26" s="84">
        <f t="shared" si="26"/>
        <v>0</v>
      </c>
      <c r="AC26" s="264">
        <f>Factors!E33</f>
        <v>1</v>
      </c>
      <c r="AD26" s="189">
        <f t="shared" si="43"/>
        <v>0</v>
      </c>
      <c r="AE26" s="84">
        <f t="shared" si="43"/>
        <v>0</v>
      </c>
      <c r="AF26" s="84">
        <f t="shared" si="43"/>
        <v>0</v>
      </c>
      <c r="AG26" s="84">
        <f>Y26*$AC26</f>
        <v>0</v>
      </c>
      <c r="AH26" s="84">
        <f t="shared" si="43"/>
        <v>0</v>
      </c>
      <c r="AI26" s="84">
        <f t="shared" si="43"/>
        <v>0</v>
      </c>
      <c r="AJ26" s="191">
        <f t="shared" si="6"/>
        <v>0</v>
      </c>
      <c r="AK26" s="189">
        <f t="shared" si="19"/>
        <v>0</v>
      </c>
      <c r="AL26" s="84">
        <f t="shared" si="20"/>
        <v>0</v>
      </c>
      <c r="AM26" s="84">
        <f t="shared" si="21"/>
        <v>0</v>
      </c>
      <c r="AN26" s="84">
        <f>AG26*CtoCO2</f>
        <v>0</v>
      </c>
      <c r="AO26" s="84">
        <f t="shared" si="23"/>
        <v>0</v>
      </c>
      <c r="AP26" s="84">
        <f t="shared" si="24"/>
        <v>0</v>
      </c>
      <c r="AQ26" s="250">
        <f t="shared" si="27"/>
        <v>0</v>
      </c>
    </row>
    <row r="27" spans="1:43">
      <c r="B27" s="188" t="s">
        <v>1601</v>
      </c>
      <c r="C27" s="84"/>
      <c r="D27" s="84">
        <f>HLOOKUP($B$2,'Consumption Input'!$E$5:$AQ$82,'Consumption Input'!$B18)</f>
        <v>66.110863380946256</v>
      </c>
      <c r="E27" s="84">
        <f>HLOOKUP($B$2,'Consumption Input'!$E$5:$AQ$82,'Consumption Input'!$B32)</f>
        <v>432.15795489207591</v>
      </c>
      <c r="F27" s="84">
        <f>HLOOKUP($B$2,'Consumption Input'!$E$5:$AQ$82,'Consumption Input'!$B55)</f>
        <v>14523.338181726976</v>
      </c>
      <c r="G27" s="84"/>
      <c r="H27" s="84">
        <f>HLOOKUP($B$2,'US Territories'!$D$28:$Z$38,'US Territories'!$B36)</f>
        <v>131.39358529141663</v>
      </c>
      <c r="I27" s="84">
        <f t="shared" si="25"/>
        <v>15153.000585291415</v>
      </c>
      <c r="J27" s="262"/>
      <c r="K27" s="84"/>
      <c r="L27" s="84"/>
      <c r="M27" s="84"/>
      <c r="N27" s="189">
        <f t="shared" si="32"/>
        <v>0</v>
      </c>
      <c r="O27" s="84">
        <f t="shared" si="32"/>
        <v>66.110863380946256</v>
      </c>
      <c r="P27" s="84">
        <f t="shared" si="33"/>
        <v>432.15795489207591</v>
      </c>
      <c r="Q27" s="84">
        <f t="shared" si="34"/>
        <v>14523.338181726976</v>
      </c>
      <c r="R27" s="84">
        <f t="shared" si="35"/>
        <v>0</v>
      </c>
      <c r="S27" s="190">
        <f t="shared" si="36"/>
        <v>131.39358529141663</v>
      </c>
      <c r="T27" s="84">
        <f t="shared" si="4"/>
        <v>15153.000585291415</v>
      </c>
      <c r="U27" s="263">
        <f>HLOOKUP($B$2,Factors!$J$12:$AF$25,Factors!$H20,FALSE)</f>
        <v>19.350000000000001</v>
      </c>
      <c r="V27" s="189">
        <f t="shared" si="37"/>
        <v>0</v>
      </c>
      <c r="W27" s="84">
        <f t="shared" si="38"/>
        <v>1.27924520642131</v>
      </c>
      <c r="X27" s="84">
        <f t="shared" si="39"/>
        <v>8.3622564271616699</v>
      </c>
      <c r="Y27" s="84">
        <f t="shared" si="40"/>
        <v>281.02659381641706</v>
      </c>
      <c r="Z27" s="84">
        <f t="shared" si="41"/>
        <v>0</v>
      </c>
      <c r="AA27" s="84">
        <f t="shared" si="42"/>
        <v>2.542465875388912</v>
      </c>
      <c r="AB27" s="84">
        <f t="shared" si="26"/>
        <v>293.21056132538899</v>
      </c>
      <c r="AC27" s="264">
        <f>Factors!E34</f>
        <v>1</v>
      </c>
      <c r="AD27" s="189">
        <f t="shared" si="43"/>
        <v>0</v>
      </c>
      <c r="AE27" s="84">
        <f t="shared" si="43"/>
        <v>1.27924520642131</v>
      </c>
      <c r="AF27" s="84">
        <f t="shared" si="43"/>
        <v>8.3622564271616699</v>
      </c>
      <c r="AG27" s="84">
        <f>Y27*$AC44</f>
        <v>281.02659381641706</v>
      </c>
      <c r="AH27" s="84">
        <f t="shared" si="43"/>
        <v>0</v>
      </c>
      <c r="AI27" s="84">
        <f t="shared" si="43"/>
        <v>2.542465875388912</v>
      </c>
      <c r="AJ27" s="191">
        <f t="shared" si="6"/>
        <v>293.21056132538899</v>
      </c>
      <c r="AK27" s="189">
        <f t="shared" si="19"/>
        <v>0</v>
      </c>
      <c r="AL27" s="84">
        <f t="shared" si="20"/>
        <v>4.6905657568781365</v>
      </c>
      <c r="AM27" s="84">
        <f t="shared" si="21"/>
        <v>30.661606899592787</v>
      </c>
      <c r="AN27" s="84">
        <f t="shared" si="22"/>
        <v>1030.4308439935292</v>
      </c>
      <c r="AO27" s="84">
        <f t="shared" si="23"/>
        <v>0</v>
      </c>
      <c r="AP27" s="84">
        <f t="shared" si="24"/>
        <v>9.3223748764260108</v>
      </c>
      <c r="AQ27" s="250">
        <f t="shared" si="27"/>
        <v>1075.105391526426</v>
      </c>
    </row>
    <row r="28" spans="1:43">
      <c r="B28" s="188" t="s">
        <v>1602</v>
      </c>
      <c r="C28" s="84"/>
      <c r="D28" s="84">
        <f>HLOOKUP($B$2,'Consumption Input'!$E$5:$AQ$82,'Consumption Input'!$B19)</f>
        <v>31.396000000000001</v>
      </c>
      <c r="E28" s="84">
        <f>HLOOKUP($B$2,'Consumption Input'!$E$5:$AQ$82,'Consumption Input'!$B33)</f>
        <v>0</v>
      </c>
      <c r="F28" s="84">
        <f>HLOOKUP($B$2,'Consumption Input'!$E$5:$AQ$82,'Consumption Input'!$B56)</f>
        <v>670.52099999999996</v>
      </c>
      <c r="G28" s="84">
        <f>HLOOKUP($B$2,'Consumption Input'!$E$5:$AQ$82,'Consumption Input'!$B61)</f>
        <v>76.72</v>
      </c>
      <c r="H28" s="84">
        <f>HLOOKUP($B$2,'US Territories'!$D$28:$Z$38,'US Territories'!$B37)</f>
        <v>127.30701236106682</v>
      </c>
      <c r="I28" s="84">
        <f t="shared" si="25"/>
        <v>905.94401236106683</v>
      </c>
      <c r="J28" s="262">
        <f>HLOOKUP($B$2,IBFConsumption,'International Bunker Fuels'!$B$9)</f>
        <v>459.45652509599995</v>
      </c>
      <c r="K28" s="84"/>
      <c r="L28" s="84"/>
      <c r="M28" s="84"/>
      <c r="N28" s="189">
        <f t="shared" si="32"/>
        <v>0</v>
      </c>
      <c r="O28" s="84">
        <f t="shared" si="32"/>
        <v>31.396000000000001</v>
      </c>
      <c r="P28" s="84">
        <f t="shared" si="33"/>
        <v>0</v>
      </c>
      <c r="Q28" s="84">
        <f t="shared" si="34"/>
        <v>211.06447490400001</v>
      </c>
      <c r="R28" s="84">
        <f t="shared" si="35"/>
        <v>76.72</v>
      </c>
      <c r="S28" s="190">
        <f t="shared" si="36"/>
        <v>127.30701236106682</v>
      </c>
      <c r="T28" s="84">
        <f t="shared" si="4"/>
        <v>446.48748726506682</v>
      </c>
      <c r="U28" s="263">
        <f>Factors!D36</f>
        <v>20.48</v>
      </c>
      <c r="V28" s="189">
        <f t="shared" si="37"/>
        <v>0</v>
      </c>
      <c r="W28" s="84">
        <f t="shared" si="38"/>
        <v>0.64299008000000002</v>
      </c>
      <c r="X28" s="84">
        <f t="shared" si="39"/>
        <v>0</v>
      </c>
      <c r="Y28" s="84">
        <f t="shared" si="40"/>
        <v>4.3226004460339205</v>
      </c>
      <c r="Z28" s="84">
        <f t="shared" si="41"/>
        <v>1.5712256</v>
      </c>
      <c r="AA28" s="84">
        <f t="shared" si="42"/>
        <v>2.6072476131546489</v>
      </c>
      <c r="AB28" s="84">
        <f t="shared" si="26"/>
        <v>9.1440637391885691</v>
      </c>
      <c r="AC28" s="264">
        <f>Factors!E36</f>
        <v>1</v>
      </c>
      <c r="AD28" s="189">
        <f t="shared" si="43"/>
        <v>0</v>
      </c>
      <c r="AE28" s="84">
        <f t="shared" si="43"/>
        <v>0.64299008000000002</v>
      </c>
      <c r="AF28" s="84">
        <f t="shared" si="43"/>
        <v>0</v>
      </c>
      <c r="AG28" s="84">
        <f t="shared" si="43"/>
        <v>4.3226004460339205</v>
      </c>
      <c r="AH28" s="84">
        <f t="shared" si="43"/>
        <v>1.5712256</v>
      </c>
      <c r="AI28" s="84">
        <f t="shared" si="43"/>
        <v>2.6072476131546489</v>
      </c>
      <c r="AJ28" s="191">
        <f t="shared" si="6"/>
        <v>9.1440637391885691</v>
      </c>
      <c r="AK28" s="189">
        <f t="shared" si="19"/>
        <v>0</v>
      </c>
      <c r="AL28" s="84">
        <f t="shared" si="20"/>
        <v>2.3576302933333335</v>
      </c>
      <c r="AM28" s="84">
        <f t="shared" si="21"/>
        <v>0</v>
      </c>
      <c r="AN28" s="84">
        <f t="shared" si="22"/>
        <v>15.849534968791041</v>
      </c>
      <c r="AO28" s="84">
        <f t="shared" si="23"/>
        <v>5.7611605333333333</v>
      </c>
      <c r="AP28" s="84">
        <f t="shared" si="24"/>
        <v>9.5599079149003785</v>
      </c>
      <c r="AQ28" s="250">
        <f t="shared" si="27"/>
        <v>33.528233710358087</v>
      </c>
    </row>
    <row r="29" spans="1:43">
      <c r="B29" s="188" t="s">
        <v>1603</v>
      </c>
      <c r="C29" s="84"/>
      <c r="D29" s="84"/>
      <c r="E29" s="84"/>
      <c r="F29" s="84"/>
      <c r="G29" s="84"/>
      <c r="H29" s="84"/>
      <c r="I29" s="84"/>
      <c r="J29" s="262"/>
      <c r="K29" s="84"/>
      <c r="L29" s="84"/>
      <c r="M29" s="84"/>
      <c r="N29" s="189">
        <f t="shared" si="32"/>
        <v>0</v>
      </c>
      <c r="O29" s="84">
        <f t="shared" si="32"/>
        <v>0</v>
      </c>
      <c r="P29" s="84">
        <f t="shared" si="33"/>
        <v>0</v>
      </c>
      <c r="Q29" s="84">
        <f t="shared" si="34"/>
        <v>0</v>
      </c>
      <c r="R29" s="84">
        <f t="shared" si="35"/>
        <v>0</v>
      </c>
      <c r="S29" s="190">
        <f t="shared" si="36"/>
        <v>0</v>
      </c>
      <c r="T29" s="84">
        <f t="shared" si="4"/>
        <v>0</v>
      </c>
      <c r="U29" s="263"/>
      <c r="V29" s="189">
        <f t="shared" si="37"/>
        <v>0</v>
      </c>
      <c r="W29" s="84">
        <f t="shared" si="38"/>
        <v>0</v>
      </c>
      <c r="X29" s="84">
        <f t="shared" si="39"/>
        <v>0</v>
      </c>
      <c r="Y29" s="84">
        <f t="shared" si="40"/>
        <v>0</v>
      </c>
      <c r="Z29" s="84">
        <f t="shared" si="41"/>
        <v>0</v>
      </c>
      <c r="AA29" s="84">
        <f t="shared" si="42"/>
        <v>0</v>
      </c>
      <c r="AB29" s="84">
        <f t="shared" si="26"/>
        <v>0</v>
      </c>
      <c r="AC29" s="264"/>
      <c r="AD29" s="189">
        <f t="shared" si="43"/>
        <v>0</v>
      </c>
      <c r="AE29" s="84">
        <f t="shared" si="43"/>
        <v>0</v>
      </c>
      <c r="AF29" s="84">
        <f t="shared" si="43"/>
        <v>0</v>
      </c>
      <c r="AG29" s="84">
        <f t="shared" si="43"/>
        <v>0</v>
      </c>
      <c r="AH29" s="84">
        <f t="shared" si="43"/>
        <v>0</v>
      </c>
      <c r="AI29" s="84">
        <f t="shared" si="43"/>
        <v>0</v>
      </c>
      <c r="AJ29" s="191">
        <f t="shared" si="6"/>
        <v>0</v>
      </c>
      <c r="AK29" s="189">
        <f t="shared" si="19"/>
        <v>0</v>
      </c>
      <c r="AL29" s="84">
        <f t="shared" si="20"/>
        <v>0</v>
      </c>
      <c r="AM29" s="84">
        <f t="shared" si="21"/>
        <v>0</v>
      </c>
      <c r="AN29" s="84">
        <f t="shared" si="22"/>
        <v>0</v>
      </c>
      <c r="AO29" s="84">
        <f t="shared" si="23"/>
        <v>0</v>
      </c>
      <c r="AP29" s="84">
        <f t="shared" si="24"/>
        <v>0</v>
      </c>
      <c r="AQ29" s="250">
        <f t="shared" si="27"/>
        <v>0</v>
      </c>
    </row>
    <row r="30" spans="1:43">
      <c r="B30" s="200" t="s">
        <v>1611</v>
      </c>
      <c r="C30" s="84"/>
      <c r="D30" s="84"/>
      <c r="E30" s="84">
        <f>HLOOKUP($B$2,'Consumption Input'!$E$5:$AQ$82,'Consumption Input'!$B35)</f>
        <v>-5.0480000000000004E-3</v>
      </c>
      <c r="F30" s="84"/>
      <c r="G30" s="84"/>
      <c r="H30" s="84"/>
      <c r="I30" s="84">
        <f t="shared" ref="I30:I41" si="48">SUM(C30:H30)</f>
        <v>-5.0480000000000004E-3</v>
      </c>
      <c r="J30" s="262"/>
      <c r="K30" s="84"/>
      <c r="L30" s="84"/>
      <c r="M30" s="84"/>
      <c r="N30" s="189">
        <f t="shared" si="32"/>
        <v>0</v>
      </c>
      <c r="O30" s="84">
        <f t="shared" si="32"/>
        <v>0</v>
      </c>
      <c r="P30" s="84">
        <f t="shared" si="33"/>
        <v>-5.0480000000000004E-3</v>
      </c>
      <c r="Q30" s="84">
        <f t="shared" si="34"/>
        <v>0</v>
      </c>
      <c r="R30" s="84">
        <f t="shared" si="35"/>
        <v>0</v>
      </c>
      <c r="S30" s="190">
        <f t="shared" si="36"/>
        <v>0</v>
      </c>
      <c r="T30" s="84">
        <f t="shared" si="4"/>
        <v>-5.0480000000000004E-3</v>
      </c>
      <c r="U30" s="263">
        <f>Factors!D39</f>
        <v>18.87</v>
      </c>
      <c r="V30" s="189">
        <f t="shared" si="37"/>
        <v>0</v>
      </c>
      <c r="W30" s="84">
        <f t="shared" si="38"/>
        <v>0</v>
      </c>
      <c r="X30" s="84">
        <f t="shared" si="39"/>
        <v>-9.5255760000000008E-5</v>
      </c>
      <c r="Y30" s="84">
        <f t="shared" si="40"/>
        <v>0</v>
      </c>
      <c r="Z30" s="84">
        <f t="shared" si="41"/>
        <v>0</v>
      </c>
      <c r="AA30" s="84">
        <f t="shared" si="42"/>
        <v>0</v>
      </c>
      <c r="AB30" s="84">
        <f t="shared" si="26"/>
        <v>-9.5255760000000008E-5</v>
      </c>
      <c r="AC30" s="264">
        <f>Factors!E39</f>
        <v>1</v>
      </c>
      <c r="AD30" s="189">
        <f t="shared" si="43"/>
        <v>0</v>
      </c>
      <c r="AE30" s="84">
        <f t="shared" si="43"/>
        <v>0</v>
      </c>
      <c r="AF30" s="84">
        <f t="shared" si="43"/>
        <v>-9.5255760000000008E-5</v>
      </c>
      <c r="AG30" s="84">
        <f t="shared" si="43"/>
        <v>0</v>
      </c>
      <c r="AH30" s="84">
        <f t="shared" si="43"/>
        <v>0</v>
      </c>
      <c r="AI30" s="84">
        <f t="shared" si="43"/>
        <v>0</v>
      </c>
      <c r="AJ30" s="191">
        <f t="shared" si="6"/>
        <v>-9.5255760000000008E-5</v>
      </c>
      <c r="AK30" s="189">
        <f t="shared" si="19"/>
        <v>0</v>
      </c>
      <c r="AL30" s="84">
        <f t="shared" si="20"/>
        <v>0</v>
      </c>
      <c r="AM30" s="84">
        <f t="shared" si="21"/>
        <v>-3.4927112000000002E-4</v>
      </c>
      <c r="AN30" s="84">
        <f t="shared" si="22"/>
        <v>0</v>
      </c>
      <c r="AO30" s="84">
        <f t="shared" si="23"/>
        <v>0</v>
      </c>
      <c r="AP30" s="84">
        <f t="shared" si="24"/>
        <v>0</v>
      </c>
      <c r="AQ30" s="250">
        <f t="shared" si="27"/>
        <v>-3.4927112000000002E-4</v>
      </c>
    </row>
    <row r="31" spans="1:43">
      <c r="B31" s="200" t="s">
        <v>1612</v>
      </c>
      <c r="C31" s="84"/>
      <c r="D31" s="84"/>
      <c r="E31" s="84">
        <f>HLOOKUP($B$2,'Consumption Input'!$E$5:$AQ$82,'Consumption Input'!$B36)</f>
        <v>0</v>
      </c>
      <c r="F31" s="84"/>
      <c r="G31" s="84"/>
      <c r="H31" s="84"/>
      <c r="I31" s="84">
        <f t="shared" si="48"/>
        <v>0</v>
      </c>
      <c r="J31" s="262"/>
      <c r="K31" s="84"/>
      <c r="L31" s="84"/>
      <c r="M31" s="84"/>
      <c r="N31" s="189">
        <f t="shared" si="32"/>
        <v>0</v>
      </c>
      <c r="O31" s="84">
        <f t="shared" si="32"/>
        <v>0</v>
      </c>
      <c r="P31" s="84">
        <f t="shared" si="33"/>
        <v>0</v>
      </c>
      <c r="Q31" s="84">
        <f t="shared" si="34"/>
        <v>0</v>
      </c>
      <c r="R31" s="84">
        <f t="shared" si="35"/>
        <v>0</v>
      </c>
      <c r="S31" s="190">
        <f t="shared" si="36"/>
        <v>0</v>
      </c>
      <c r="T31" s="84">
        <f t="shared" si="4"/>
        <v>0</v>
      </c>
      <c r="U31" s="263">
        <f>HLOOKUP($B$2,Factors!$J$12:$AF$25,Factors!$H25,FALSE)</f>
        <v>20.305515594827586</v>
      </c>
      <c r="V31" s="189">
        <f t="shared" si="37"/>
        <v>0</v>
      </c>
      <c r="W31" s="84">
        <f t="shared" si="38"/>
        <v>0</v>
      </c>
      <c r="X31" s="84">
        <f t="shared" si="39"/>
        <v>0</v>
      </c>
      <c r="Y31" s="84">
        <f t="shared" si="40"/>
        <v>0</v>
      </c>
      <c r="Z31" s="84">
        <f t="shared" si="41"/>
        <v>0</v>
      </c>
      <c r="AA31" s="84">
        <f t="shared" si="42"/>
        <v>0</v>
      </c>
      <c r="AB31" s="84">
        <f t="shared" si="26"/>
        <v>0</v>
      </c>
      <c r="AC31" s="264">
        <f>Factors!E40</f>
        <v>1</v>
      </c>
      <c r="AD31" s="189">
        <f t="shared" si="43"/>
        <v>0</v>
      </c>
      <c r="AE31" s="84">
        <f t="shared" si="43"/>
        <v>0</v>
      </c>
      <c r="AF31" s="84">
        <f t="shared" si="43"/>
        <v>0</v>
      </c>
      <c r="AG31" s="84">
        <f t="shared" si="43"/>
        <v>0</v>
      </c>
      <c r="AH31" s="84">
        <f t="shared" si="43"/>
        <v>0</v>
      </c>
      <c r="AI31" s="84">
        <f t="shared" si="43"/>
        <v>0</v>
      </c>
      <c r="AJ31" s="191">
        <f t="shared" si="6"/>
        <v>0</v>
      </c>
      <c r="AK31" s="189">
        <f t="shared" si="19"/>
        <v>0</v>
      </c>
      <c r="AL31" s="84">
        <f t="shared" si="20"/>
        <v>0</v>
      </c>
      <c r="AM31" s="84">
        <f t="shared" si="21"/>
        <v>0</v>
      </c>
      <c r="AN31" s="84">
        <f t="shared" si="22"/>
        <v>0</v>
      </c>
      <c r="AO31" s="84">
        <f t="shared" si="23"/>
        <v>0</v>
      </c>
      <c r="AP31" s="84">
        <f t="shared" si="24"/>
        <v>0</v>
      </c>
      <c r="AQ31" s="250">
        <f t="shared" si="27"/>
        <v>0</v>
      </c>
    </row>
    <row r="32" spans="1:43">
      <c r="B32" s="200" t="s">
        <v>1613</v>
      </c>
      <c r="C32" s="84"/>
      <c r="D32" s="84"/>
      <c r="E32" s="84">
        <f>HLOOKUP($B$2,'Consumption Input'!$E$5:$AQ$82,'Consumption Input'!$B37)</f>
        <v>0</v>
      </c>
      <c r="F32" s="84"/>
      <c r="G32" s="84"/>
      <c r="H32" s="84"/>
      <c r="I32" s="84">
        <f t="shared" si="48"/>
        <v>0</v>
      </c>
      <c r="J32" s="262"/>
      <c r="K32" s="84"/>
      <c r="L32" s="84"/>
      <c r="M32" s="84"/>
      <c r="N32" s="189">
        <f t="shared" si="32"/>
        <v>0</v>
      </c>
      <c r="O32" s="84">
        <f t="shared" si="32"/>
        <v>0</v>
      </c>
      <c r="P32" s="84">
        <f t="shared" si="33"/>
        <v>0</v>
      </c>
      <c r="Q32" s="84">
        <f t="shared" si="34"/>
        <v>0</v>
      </c>
      <c r="R32" s="84">
        <f t="shared" si="35"/>
        <v>0</v>
      </c>
      <c r="S32" s="190">
        <f t="shared" si="36"/>
        <v>0</v>
      </c>
      <c r="T32" s="84">
        <f t="shared" si="4"/>
        <v>0</v>
      </c>
      <c r="U32" s="263">
        <f>HLOOKUP($B$2,Factors!$J$12:$AF$25,Factors!$H22,FALSE)</f>
        <v>19.456118437849259</v>
      </c>
      <c r="V32" s="189">
        <f t="shared" si="37"/>
        <v>0</v>
      </c>
      <c r="W32" s="84">
        <f t="shared" si="38"/>
        <v>0</v>
      </c>
      <c r="X32" s="84">
        <f t="shared" si="39"/>
        <v>0</v>
      </c>
      <c r="Y32" s="84">
        <f t="shared" si="40"/>
        <v>0</v>
      </c>
      <c r="Z32" s="84">
        <f t="shared" si="41"/>
        <v>0</v>
      </c>
      <c r="AA32" s="84">
        <f t="shared" si="42"/>
        <v>0</v>
      </c>
      <c r="AB32" s="84">
        <f t="shared" si="26"/>
        <v>0</v>
      </c>
      <c r="AC32" s="264">
        <f>Factors!E41</f>
        <v>1</v>
      </c>
      <c r="AD32" s="189">
        <f t="shared" si="43"/>
        <v>0</v>
      </c>
      <c r="AE32" s="84">
        <f t="shared" si="43"/>
        <v>0</v>
      </c>
      <c r="AF32" s="84">
        <f t="shared" si="43"/>
        <v>0</v>
      </c>
      <c r="AG32" s="84">
        <f t="shared" si="43"/>
        <v>0</v>
      </c>
      <c r="AH32" s="84">
        <f t="shared" si="43"/>
        <v>0</v>
      </c>
      <c r="AI32" s="84">
        <f t="shared" si="43"/>
        <v>0</v>
      </c>
      <c r="AJ32" s="191">
        <f t="shared" si="6"/>
        <v>0</v>
      </c>
      <c r="AK32" s="189">
        <f t="shared" si="19"/>
        <v>0</v>
      </c>
      <c r="AL32" s="84">
        <f t="shared" si="20"/>
        <v>0</v>
      </c>
      <c r="AM32" s="84">
        <f t="shared" si="21"/>
        <v>0</v>
      </c>
      <c r="AN32" s="84">
        <f t="shared" si="22"/>
        <v>0</v>
      </c>
      <c r="AO32" s="84">
        <f t="shared" si="23"/>
        <v>0</v>
      </c>
      <c r="AP32" s="84">
        <f t="shared" si="24"/>
        <v>0</v>
      </c>
      <c r="AQ32" s="250">
        <f t="shared" si="27"/>
        <v>0</v>
      </c>
    </row>
    <row r="33" spans="2:43">
      <c r="B33" s="200" t="s">
        <v>1739</v>
      </c>
      <c r="C33" s="84"/>
      <c r="D33" s="84"/>
      <c r="E33" s="84">
        <f>HLOOKUP($B$2,'Consumption Input'!$E$5:$AQ$82,'Consumption Input'!$B38)</f>
        <v>161.582447124</v>
      </c>
      <c r="F33" s="84"/>
      <c r="G33" s="84"/>
      <c r="H33" s="84">
        <f>HLOOKUP($B$2,'US Territories'!$D$28:$Z$38,'US Territories'!$B38)</f>
        <v>16.579031813615785</v>
      </c>
      <c r="I33" s="84">
        <f t="shared" si="48"/>
        <v>178.16147893761578</v>
      </c>
      <c r="J33" s="262"/>
      <c r="K33" s="84">
        <f>HLOOKUP($B$2,NEUConsumption,'Non-Energy Use'!C22)</f>
        <v>161.582447124</v>
      </c>
      <c r="L33" s="84"/>
      <c r="M33" s="84">
        <f>HLOOKUP($B$2,NEUConsumption,'Non-Energy Use'!$C$27)</f>
        <v>16.579031813615785</v>
      </c>
      <c r="N33" s="189">
        <f t="shared" si="32"/>
        <v>0</v>
      </c>
      <c r="O33" s="84">
        <f t="shared" si="32"/>
        <v>0</v>
      </c>
      <c r="P33" s="84">
        <f t="shared" si="33"/>
        <v>0</v>
      </c>
      <c r="Q33" s="84">
        <f t="shared" si="34"/>
        <v>0</v>
      </c>
      <c r="R33" s="84">
        <f t="shared" si="35"/>
        <v>0</v>
      </c>
      <c r="S33" s="190">
        <f t="shared" si="36"/>
        <v>0</v>
      </c>
      <c r="T33" s="84">
        <f t="shared" si="4"/>
        <v>0</v>
      </c>
      <c r="U33" s="263">
        <f>HLOOKUP($B$2,Factors!$J$12:$AF$25,Factors!$H23,FALSE)</f>
        <v>0</v>
      </c>
      <c r="V33" s="189">
        <f t="shared" si="37"/>
        <v>0</v>
      </c>
      <c r="W33" s="84">
        <f t="shared" si="38"/>
        <v>0</v>
      </c>
      <c r="X33" s="84">
        <f t="shared" si="39"/>
        <v>0</v>
      </c>
      <c r="Y33" s="84">
        <f t="shared" si="40"/>
        <v>0</v>
      </c>
      <c r="Z33" s="84">
        <f t="shared" si="41"/>
        <v>0</v>
      </c>
      <c r="AA33" s="84">
        <f t="shared" si="42"/>
        <v>0</v>
      </c>
      <c r="AB33" s="84">
        <f t="shared" si="26"/>
        <v>0</v>
      </c>
      <c r="AC33" s="264">
        <f>Factors!E42</f>
        <v>1</v>
      </c>
      <c r="AD33" s="189">
        <f t="shared" si="43"/>
        <v>0</v>
      </c>
      <c r="AE33" s="84">
        <f t="shared" si="43"/>
        <v>0</v>
      </c>
      <c r="AF33" s="84">
        <f t="shared" si="43"/>
        <v>0</v>
      </c>
      <c r="AG33" s="84">
        <f t="shared" si="43"/>
        <v>0</v>
      </c>
      <c r="AH33" s="84">
        <f t="shared" si="43"/>
        <v>0</v>
      </c>
      <c r="AI33" s="84">
        <f t="shared" si="43"/>
        <v>0</v>
      </c>
      <c r="AJ33" s="191">
        <f t="shared" si="6"/>
        <v>0</v>
      </c>
      <c r="AK33" s="189">
        <f t="shared" si="19"/>
        <v>0</v>
      </c>
      <c r="AL33" s="84">
        <f t="shared" si="20"/>
        <v>0</v>
      </c>
      <c r="AM33" s="84">
        <f t="shared" si="21"/>
        <v>0</v>
      </c>
      <c r="AN33" s="84">
        <f t="shared" si="22"/>
        <v>0</v>
      </c>
      <c r="AO33" s="84">
        <f t="shared" si="23"/>
        <v>0</v>
      </c>
      <c r="AP33" s="84">
        <f t="shared" si="24"/>
        <v>0</v>
      </c>
      <c r="AQ33" s="250">
        <f t="shared" si="27"/>
        <v>0</v>
      </c>
    </row>
    <row r="34" spans="2:43">
      <c r="B34" s="200" t="s">
        <v>1615</v>
      </c>
      <c r="C34" s="84"/>
      <c r="D34" s="84"/>
      <c r="E34" s="84">
        <f>HLOOKUP($B$2,'Consumption Input'!$E$5:$AQ$82,'Consumption Input'!$B39)</f>
        <v>453.92051199999997</v>
      </c>
      <c r="F34" s="84"/>
      <c r="G34" s="84"/>
      <c r="H34" s="84"/>
      <c r="I34" s="84">
        <f t="shared" si="48"/>
        <v>453.92051199999997</v>
      </c>
      <c r="J34" s="262"/>
      <c r="K34" s="84">
        <f>HLOOKUP($B$2,NEUConsumption,'Non-Energy Use'!C14)</f>
        <v>453.92051199999997</v>
      </c>
      <c r="L34" s="84"/>
      <c r="M34" s="84"/>
      <c r="N34" s="189">
        <f t="shared" si="32"/>
        <v>0</v>
      </c>
      <c r="O34" s="84">
        <f t="shared" si="32"/>
        <v>0</v>
      </c>
      <c r="P34" s="84">
        <f t="shared" si="33"/>
        <v>0</v>
      </c>
      <c r="Q34" s="84">
        <f t="shared" si="34"/>
        <v>0</v>
      </c>
      <c r="R34" s="84">
        <f t="shared" si="35"/>
        <v>0</v>
      </c>
      <c r="S34" s="190">
        <f t="shared" si="36"/>
        <v>0</v>
      </c>
      <c r="T34" s="84">
        <f t="shared" si="4"/>
        <v>0</v>
      </c>
      <c r="U34" s="263">
        <f>Factors!D44</f>
        <v>18.550649350649344</v>
      </c>
      <c r="V34" s="189">
        <f t="shared" si="37"/>
        <v>0</v>
      </c>
      <c r="W34" s="84">
        <f t="shared" si="38"/>
        <v>0</v>
      </c>
      <c r="X34" s="84">
        <f t="shared" si="39"/>
        <v>0</v>
      </c>
      <c r="Y34" s="84">
        <f t="shared" si="40"/>
        <v>0</v>
      </c>
      <c r="Z34" s="84">
        <f t="shared" si="41"/>
        <v>0</v>
      </c>
      <c r="AA34" s="84">
        <f t="shared" si="42"/>
        <v>0</v>
      </c>
      <c r="AB34" s="84">
        <f t="shared" si="26"/>
        <v>0</v>
      </c>
      <c r="AC34" s="264">
        <f>Factors!E44</f>
        <v>1</v>
      </c>
      <c r="AD34" s="189">
        <f t="shared" si="43"/>
        <v>0</v>
      </c>
      <c r="AE34" s="84">
        <f t="shared" si="43"/>
        <v>0</v>
      </c>
      <c r="AF34" s="84">
        <f t="shared" si="43"/>
        <v>0</v>
      </c>
      <c r="AG34" s="84">
        <f t="shared" si="43"/>
        <v>0</v>
      </c>
      <c r="AH34" s="84">
        <f t="shared" si="43"/>
        <v>0</v>
      </c>
      <c r="AI34" s="84">
        <f t="shared" si="43"/>
        <v>0</v>
      </c>
      <c r="AJ34" s="191">
        <f t="shared" si="6"/>
        <v>0</v>
      </c>
      <c r="AK34" s="189">
        <f t="shared" si="19"/>
        <v>0</v>
      </c>
      <c r="AL34" s="84">
        <f t="shared" si="20"/>
        <v>0</v>
      </c>
      <c r="AM34" s="84">
        <f t="shared" si="21"/>
        <v>0</v>
      </c>
      <c r="AN34" s="84">
        <f t="shared" si="22"/>
        <v>0</v>
      </c>
      <c r="AO34" s="84">
        <f t="shared" si="23"/>
        <v>0</v>
      </c>
      <c r="AP34" s="84">
        <f t="shared" si="24"/>
        <v>0</v>
      </c>
      <c r="AQ34" s="250">
        <f t="shared" si="27"/>
        <v>0</v>
      </c>
    </row>
    <row r="35" spans="2:43">
      <c r="B35" s="200" t="s">
        <v>1616</v>
      </c>
      <c r="C35" s="84"/>
      <c r="D35" s="84"/>
      <c r="E35" s="84">
        <f>HLOOKUP($B$2,'Consumption Input'!$E$5:$AQ$82,'Consumption Input'!$B40)</f>
        <v>287.24239999999998</v>
      </c>
      <c r="F35" s="84"/>
      <c r="G35" s="84"/>
      <c r="H35" s="84"/>
      <c r="I35" s="84">
        <f t="shared" si="48"/>
        <v>287.24239999999998</v>
      </c>
      <c r="J35" s="262"/>
      <c r="K35" s="84">
        <f>HLOOKUP($B$2,NEUConsumption,'Non-Energy Use'!$C$15)</f>
        <v>287.24239999999998</v>
      </c>
      <c r="L35" s="84"/>
      <c r="M35" s="84"/>
      <c r="N35" s="189">
        <f t="shared" si="32"/>
        <v>0</v>
      </c>
      <c r="O35" s="84">
        <f t="shared" si="32"/>
        <v>0</v>
      </c>
      <c r="P35" s="84">
        <f t="shared" si="33"/>
        <v>0</v>
      </c>
      <c r="Q35" s="84">
        <f t="shared" si="34"/>
        <v>0</v>
      </c>
      <c r="R35" s="84">
        <f t="shared" si="35"/>
        <v>0</v>
      </c>
      <c r="S35" s="190">
        <f t="shared" si="36"/>
        <v>0</v>
      </c>
      <c r="T35" s="84">
        <f t="shared" si="4"/>
        <v>0</v>
      </c>
      <c r="U35" s="263">
        <f>Factors!D45</f>
        <v>20.170000000000002</v>
      </c>
      <c r="V35" s="189">
        <f t="shared" si="37"/>
        <v>0</v>
      </c>
      <c r="W35" s="84">
        <f t="shared" si="38"/>
        <v>0</v>
      </c>
      <c r="X35" s="84">
        <f>P35*$U35*TbtuToQBtu</f>
        <v>0</v>
      </c>
      <c r="Y35" s="84">
        <f t="shared" si="40"/>
        <v>0</v>
      </c>
      <c r="Z35" s="84">
        <f t="shared" si="41"/>
        <v>0</v>
      </c>
      <c r="AA35" s="84">
        <f t="shared" si="42"/>
        <v>0</v>
      </c>
      <c r="AB35" s="84">
        <f t="shared" si="26"/>
        <v>0</v>
      </c>
      <c r="AC35" s="264">
        <f>Factors!E45</f>
        <v>1</v>
      </c>
      <c r="AD35" s="189">
        <f t="shared" si="43"/>
        <v>0</v>
      </c>
      <c r="AE35" s="84">
        <f t="shared" si="43"/>
        <v>0</v>
      </c>
      <c r="AF35" s="84">
        <f t="shared" si="43"/>
        <v>0</v>
      </c>
      <c r="AG35" s="84">
        <f t="shared" si="43"/>
        <v>0</v>
      </c>
      <c r="AH35" s="84">
        <f t="shared" si="43"/>
        <v>0</v>
      </c>
      <c r="AI35" s="84">
        <f t="shared" si="43"/>
        <v>0</v>
      </c>
      <c r="AJ35" s="191">
        <f t="shared" si="6"/>
        <v>0</v>
      </c>
      <c r="AK35" s="189">
        <f t="shared" si="19"/>
        <v>0</v>
      </c>
      <c r="AL35" s="84">
        <f t="shared" si="20"/>
        <v>0</v>
      </c>
      <c r="AM35" s="84">
        <f t="shared" si="21"/>
        <v>0</v>
      </c>
      <c r="AN35" s="84">
        <f t="shared" si="22"/>
        <v>0</v>
      </c>
      <c r="AO35" s="84">
        <f t="shared" si="23"/>
        <v>0</v>
      </c>
      <c r="AP35" s="84">
        <f t="shared" si="24"/>
        <v>0</v>
      </c>
      <c r="AQ35" s="250">
        <f t="shared" si="27"/>
        <v>0</v>
      </c>
    </row>
    <row r="36" spans="2:43">
      <c r="B36" s="200" t="s">
        <v>1617</v>
      </c>
      <c r="C36" s="84"/>
      <c r="D36" s="84"/>
      <c r="E36" s="84">
        <f>HLOOKUP($B$2,'Consumption Input'!$E$5:$AQ$82,'Consumption Input'!$B41)</f>
        <v>0</v>
      </c>
      <c r="F36" s="84"/>
      <c r="G36" s="84"/>
      <c r="H36" s="84"/>
      <c r="I36" s="84">
        <f t="shared" si="48"/>
        <v>0</v>
      </c>
      <c r="J36" s="262"/>
      <c r="K36" s="84">
        <f>HLOOKUP($B$2,NEUConsumption,'Non-Energy Use'!$C$13)</f>
        <v>0</v>
      </c>
      <c r="L36" s="84"/>
      <c r="M36" s="84"/>
      <c r="N36" s="189">
        <f t="shared" si="32"/>
        <v>0</v>
      </c>
      <c r="O36" s="84">
        <f t="shared" si="32"/>
        <v>0</v>
      </c>
      <c r="P36" s="84">
        <f t="shared" si="33"/>
        <v>0</v>
      </c>
      <c r="Q36" s="84">
        <f t="shared" si="34"/>
        <v>0</v>
      </c>
      <c r="R36" s="84">
        <f t="shared" si="35"/>
        <v>0</v>
      </c>
      <c r="S36" s="190">
        <f t="shared" si="36"/>
        <v>0</v>
      </c>
      <c r="T36" s="84">
        <f t="shared" si="4"/>
        <v>0</v>
      </c>
      <c r="U36" s="263">
        <f>Factors!D46</f>
        <v>18.239999999999998</v>
      </c>
      <c r="V36" s="189">
        <f t="shared" si="37"/>
        <v>0</v>
      </c>
      <c r="W36" s="84">
        <f t="shared" si="38"/>
        <v>0</v>
      </c>
      <c r="X36" s="84">
        <f t="shared" si="39"/>
        <v>0</v>
      </c>
      <c r="Y36" s="84">
        <f t="shared" si="40"/>
        <v>0</v>
      </c>
      <c r="Z36" s="84">
        <f t="shared" si="41"/>
        <v>0</v>
      </c>
      <c r="AA36" s="84">
        <f t="shared" si="42"/>
        <v>0</v>
      </c>
      <c r="AB36" s="84">
        <f t="shared" si="26"/>
        <v>0</v>
      </c>
      <c r="AC36" s="264">
        <f>Factors!E46</f>
        <v>1</v>
      </c>
      <c r="AD36" s="189">
        <f t="shared" ref="AD36:AI42" si="49">V36*$AC36</f>
        <v>0</v>
      </c>
      <c r="AE36" s="84">
        <f t="shared" si="49"/>
        <v>0</v>
      </c>
      <c r="AF36" s="84">
        <f t="shared" si="49"/>
        <v>0</v>
      </c>
      <c r="AG36" s="84">
        <f t="shared" si="49"/>
        <v>0</v>
      </c>
      <c r="AH36" s="84">
        <f t="shared" si="49"/>
        <v>0</v>
      </c>
      <c r="AI36" s="84">
        <f t="shared" si="49"/>
        <v>0</v>
      </c>
      <c r="AJ36" s="191">
        <f t="shared" si="6"/>
        <v>0</v>
      </c>
      <c r="AK36" s="189">
        <f t="shared" si="19"/>
        <v>0</v>
      </c>
      <c r="AL36" s="84">
        <f t="shared" si="20"/>
        <v>0</v>
      </c>
      <c r="AM36" s="84">
        <f t="shared" si="21"/>
        <v>0</v>
      </c>
      <c r="AN36" s="84">
        <f t="shared" si="22"/>
        <v>0</v>
      </c>
      <c r="AO36" s="84">
        <f t="shared" si="23"/>
        <v>0</v>
      </c>
      <c r="AP36" s="84">
        <f t="shared" si="24"/>
        <v>0</v>
      </c>
      <c r="AQ36" s="250">
        <f t="shared" si="27"/>
        <v>0</v>
      </c>
    </row>
    <row r="37" spans="2:43">
      <c r="B37" s="200" t="s">
        <v>1604</v>
      </c>
      <c r="C37" s="84"/>
      <c r="D37" s="84">
        <f>HLOOKUP($B$2,'Consumption Input'!$E$5:$AQ$82,'Consumption Input'!$B21)</f>
        <v>0.36199999999999993</v>
      </c>
      <c r="E37" s="84">
        <f>HLOOKUP($B$2,'Consumption Input'!$E$5:$AQ$82,'Consumption Input'!$B42)</f>
        <v>716.74699999999984</v>
      </c>
      <c r="F37" s="84"/>
      <c r="G37" s="84">
        <f>HLOOKUP($B$2,'Consumption Input'!$E$5:$AQ$82,'Consumption Input'!$B63)</f>
        <v>85.054000000000002</v>
      </c>
      <c r="H37" s="84"/>
      <c r="I37" s="84">
        <f t="shared" si="48"/>
        <v>802.16299999999978</v>
      </c>
      <c r="J37" s="262"/>
      <c r="K37" s="84">
        <f>HLOOKUP($B$2,NEUConsumption,'Non-Energy Use'!$C$17)</f>
        <v>67.791519103521011</v>
      </c>
      <c r="L37" s="84"/>
      <c r="M37" s="84"/>
      <c r="N37" s="189">
        <f t="shared" si="32"/>
        <v>0</v>
      </c>
      <c r="O37" s="84">
        <f t="shared" si="32"/>
        <v>0.36199999999999993</v>
      </c>
      <c r="P37" s="84">
        <f t="shared" si="33"/>
        <v>648.95548089647878</v>
      </c>
      <c r="Q37" s="84">
        <f t="shared" si="34"/>
        <v>0</v>
      </c>
      <c r="R37" s="84">
        <f t="shared" si="35"/>
        <v>85.054000000000002</v>
      </c>
      <c r="S37" s="190">
        <f t="shared" si="36"/>
        <v>0</v>
      </c>
      <c r="T37" s="84">
        <f t="shared" si="4"/>
        <v>734.37148089647872</v>
      </c>
      <c r="U37" s="263">
        <f>Factors!D48</f>
        <v>27.84770010865628</v>
      </c>
      <c r="V37" s="189">
        <f t="shared" si="37"/>
        <v>0</v>
      </c>
      <c r="W37" s="84">
        <f t="shared" si="38"/>
        <v>1.0080867439333572E-2</v>
      </c>
      <c r="X37" s="84">
        <f t="shared" si="39"/>
        <v>18.071917615873961</v>
      </c>
      <c r="Y37" s="84">
        <f t="shared" si="40"/>
        <v>0</v>
      </c>
      <c r="Z37" s="84">
        <f t="shared" si="41"/>
        <v>2.3685582850416513</v>
      </c>
      <c r="AA37" s="84">
        <f t="shared" si="42"/>
        <v>0</v>
      </c>
      <c r="AB37" s="84">
        <f t="shared" si="26"/>
        <v>20.450556768354947</v>
      </c>
      <c r="AC37" s="264">
        <f>Factors!E48</f>
        <v>1</v>
      </c>
      <c r="AD37" s="189">
        <f t="shared" si="49"/>
        <v>0</v>
      </c>
      <c r="AE37" s="84">
        <f t="shared" si="49"/>
        <v>1.0080867439333572E-2</v>
      </c>
      <c r="AF37" s="84">
        <f t="shared" si="49"/>
        <v>18.071917615873961</v>
      </c>
      <c r="AG37" s="84">
        <f t="shared" si="49"/>
        <v>0</v>
      </c>
      <c r="AH37" s="84">
        <f t="shared" si="49"/>
        <v>2.3685582850416513</v>
      </c>
      <c r="AI37" s="84">
        <f t="shared" si="49"/>
        <v>0</v>
      </c>
      <c r="AJ37" s="191">
        <f t="shared" si="6"/>
        <v>20.450556768354947</v>
      </c>
      <c r="AK37" s="189">
        <f t="shared" si="19"/>
        <v>0</v>
      </c>
      <c r="AL37" s="84">
        <f t="shared" si="20"/>
        <v>3.6963180610889761E-2</v>
      </c>
      <c r="AM37" s="84">
        <f t="shared" si="21"/>
        <v>66.263697924871181</v>
      </c>
      <c r="AN37" s="84">
        <f t="shared" si="22"/>
        <v>0</v>
      </c>
      <c r="AO37" s="84">
        <f t="shared" si="23"/>
        <v>8.6847137118193878</v>
      </c>
      <c r="AP37" s="84">
        <f t="shared" si="24"/>
        <v>0</v>
      </c>
      <c r="AQ37" s="250">
        <f t="shared" si="27"/>
        <v>74.985374817301448</v>
      </c>
    </row>
    <row r="38" spans="2:43">
      <c r="B38" s="200" t="s">
        <v>1618</v>
      </c>
      <c r="C38" s="84"/>
      <c r="D38" s="84"/>
      <c r="E38" s="84">
        <f>HLOOKUP($B$2,'Consumption Input'!$E$5:$AQ$82,'Consumption Input'!$B43)</f>
        <v>1480.818</v>
      </c>
      <c r="F38" s="84"/>
      <c r="G38" s="84"/>
      <c r="H38" s="84"/>
      <c r="I38" s="84">
        <f t="shared" si="48"/>
        <v>1480.818</v>
      </c>
      <c r="J38" s="262"/>
      <c r="K38" s="84">
        <f>HLOOKUP($B$2,NEUConsumption,'Non-Energy Use'!$C$16)</f>
        <v>160.61969674331783</v>
      </c>
      <c r="L38" s="84"/>
      <c r="M38" s="84"/>
      <c r="N38" s="189">
        <f t="shared" si="32"/>
        <v>0</v>
      </c>
      <c r="O38" s="84">
        <f t="shared" si="32"/>
        <v>0</v>
      </c>
      <c r="P38" s="84">
        <f t="shared" si="33"/>
        <v>1320.1983032566823</v>
      </c>
      <c r="Q38" s="84">
        <f t="shared" si="34"/>
        <v>0</v>
      </c>
      <c r="R38" s="84">
        <f t="shared" si="35"/>
        <v>0</v>
      </c>
      <c r="S38" s="190">
        <f t="shared" si="36"/>
        <v>0</v>
      </c>
      <c r="T38" s="84">
        <f t="shared" si="4"/>
        <v>1320.1983032566823</v>
      </c>
      <c r="U38" s="263">
        <f>Factors!D51</f>
        <v>18.195454545454545</v>
      </c>
      <c r="V38" s="189">
        <f t="shared" si="37"/>
        <v>0</v>
      </c>
      <c r="W38" s="84">
        <f t="shared" si="38"/>
        <v>0</v>
      </c>
      <c r="X38" s="84">
        <f t="shared" si="39"/>
        <v>24.021608217893181</v>
      </c>
      <c r="Y38" s="84">
        <f t="shared" si="40"/>
        <v>0</v>
      </c>
      <c r="Z38" s="84">
        <f t="shared" si="41"/>
        <v>0</v>
      </c>
      <c r="AA38" s="84">
        <f t="shared" si="42"/>
        <v>0</v>
      </c>
      <c r="AB38" s="84">
        <f t="shared" si="26"/>
        <v>24.021608217893181</v>
      </c>
      <c r="AC38" s="264">
        <f>Factors!E51</f>
        <v>1</v>
      </c>
      <c r="AD38" s="189">
        <f t="shared" si="49"/>
        <v>0</v>
      </c>
      <c r="AE38" s="84">
        <f t="shared" si="49"/>
        <v>0</v>
      </c>
      <c r="AF38" s="84">
        <f t="shared" si="49"/>
        <v>24.021608217893181</v>
      </c>
      <c r="AG38" s="84">
        <f t="shared" si="49"/>
        <v>0</v>
      </c>
      <c r="AH38" s="84">
        <f t="shared" si="49"/>
        <v>0</v>
      </c>
      <c r="AI38" s="84">
        <f t="shared" si="49"/>
        <v>0</v>
      </c>
      <c r="AJ38" s="191">
        <f t="shared" si="6"/>
        <v>24.021608217893181</v>
      </c>
      <c r="AK38" s="189">
        <f t="shared" si="19"/>
        <v>0</v>
      </c>
      <c r="AL38" s="84">
        <f t="shared" si="20"/>
        <v>0</v>
      </c>
      <c r="AM38" s="84">
        <f t="shared" si="21"/>
        <v>88.079230132275001</v>
      </c>
      <c r="AN38" s="84">
        <f t="shared" si="22"/>
        <v>0</v>
      </c>
      <c r="AO38" s="84">
        <f t="shared" si="23"/>
        <v>0</v>
      </c>
      <c r="AP38" s="84">
        <f t="shared" si="24"/>
        <v>0</v>
      </c>
      <c r="AQ38" s="250">
        <f t="shared" si="27"/>
        <v>88.079230132275001</v>
      </c>
    </row>
    <row r="39" spans="2:43">
      <c r="B39" s="200" t="s">
        <v>1619</v>
      </c>
      <c r="C39" s="84"/>
      <c r="D39" s="84"/>
      <c r="E39" s="84">
        <f>HLOOKUP($B$2,'Consumption Input'!$E$5:$AQ$82,'Consumption Input'!$B44)</f>
        <v>14.715166335999998</v>
      </c>
      <c r="F39" s="84"/>
      <c r="G39" s="84"/>
      <c r="H39" s="84"/>
      <c r="I39" s="84">
        <f t="shared" si="48"/>
        <v>14.715166335999998</v>
      </c>
      <c r="J39" s="262"/>
      <c r="K39" s="84">
        <f>HLOOKUP($B$2,NEUConsumption,'Non-Energy Use'!$C$18)</f>
        <v>14.715166335999998</v>
      </c>
      <c r="L39" s="84"/>
      <c r="M39" s="84"/>
      <c r="N39" s="189">
        <f t="shared" si="32"/>
        <v>0</v>
      </c>
      <c r="O39" s="84">
        <f t="shared" si="32"/>
        <v>0</v>
      </c>
      <c r="P39" s="84">
        <f t="shared" si="33"/>
        <v>0</v>
      </c>
      <c r="Q39" s="84">
        <f t="shared" si="34"/>
        <v>0</v>
      </c>
      <c r="R39" s="84">
        <f t="shared" si="35"/>
        <v>0</v>
      </c>
      <c r="S39" s="190">
        <f t="shared" si="36"/>
        <v>0</v>
      </c>
      <c r="T39" s="84">
        <f t="shared" si="4"/>
        <v>0</v>
      </c>
      <c r="U39" s="263">
        <f>Factors!D37</f>
        <v>19.737389135254986</v>
      </c>
      <c r="V39" s="189">
        <f t="shared" si="37"/>
        <v>0</v>
      </c>
      <c r="W39" s="84">
        <f t="shared" si="38"/>
        <v>0</v>
      </c>
      <c r="X39" s="84">
        <f t="shared" si="39"/>
        <v>0</v>
      </c>
      <c r="Y39" s="84">
        <f t="shared" si="40"/>
        <v>0</v>
      </c>
      <c r="Z39" s="84">
        <f t="shared" si="41"/>
        <v>0</v>
      </c>
      <c r="AA39" s="84">
        <f t="shared" si="42"/>
        <v>0</v>
      </c>
      <c r="AB39" s="84">
        <f t="shared" si="26"/>
        <v>0</v>
      </c>
      <c r="AC39" s="264">
        <f>Factors!E37</f>
        <v>1</v>
      </c>
      <c r="AD39" s="189">
        <f t="shared" si="49"/>
        <v>0</v>
      </c>
      <c r="AE39" s="84">
        <f t="shared" si="49"/>
        <v>0</v>
      </c>
      <c r="AF39" s="84">
        <f t="shared" si="49"/>
        <v>0</v>
      </c>
      <c r="AG39" s="84">
        <f t="shared" si="49"/>
        <v>0</v>
      </c>
      <c r="AH39" s="84">
        <f t="shared" si="49"/>
        <v>0</v>
      </c>
      <c r="AI39" s="84">
        <f t="shared" si="49"/>
        <v>0</v>
      </c>
      <c r="AJ39" s="191">
        <f t="shared" si="6"/>
        <v>0</v>
      </c>
      <c r="AK39" s="189">
        <f t="shared" si="19"/>
        <v>0</v>
      </c>
      <c r="AL39" s="84">
        <f t="shared" si="20"/>
        <v>0</v>
      </c>
      <c r="AM39" s="84">
        <f t="shared" si="21"/>
        <v>0</v>
      </c>
      <c r="AN39" s="84">
        <f t="shared" si="22"/>
        <v>0</v>
      </c>
      <c r="AO39" s="84">
        <f t="shared" si="23"/>
        <v>0</v>
      </c>
      <c r="AP39" s="84">
        <f t="shared" si="24"/>
        <v>0</v>
      </c>
      <c r="AQ39" s="250">
        <f t="shared" si="27"/>
        <v>0</v>
      </c>
    </row>
    <row r="40" spans="2:43">
      <c r="B40" s="200" t="s">
        <v>1620</v>
      </c>
      <c r="C40" s="84"/>
      <c r="D40" s="84"/>
      <c r="E40" s="84">
        <f>HLOOKUP($B$2,'Consumption Input'!$E$5:$AQ$82,'Consumption Input'!$B45)</f>
        <v>0</v>
      </c>
      <c r="F40" s="84"/>
      <c r="G40" s="84"/>
      <c r="H40" s="84"/>
      <c r="I40" s="84">
        <f t="shared" si="48"/>
        <v>0</v>
      </c>
      <c r="J40" s="262"/>
      <c r="K40" s="84"/>
      <c r="L40" s="84"/>
      <c r="M40" s="84"/>
      <c r="N40" s="189">
        <f t="shared" si="32"/>
        <v>0</v>
      </c>
      <c r="O40" s="84">
        <f t="shared" si="32"/>
        <v>0</v>
      </c>
      <c r="P40" s="84">
        <f t="shared" si="33"/>
        <v>0</v>
      </c>
      <c r="Q40" s="84">
        <f t="shared" si="34"/>
        <v>0</v>
      </c>
      <c r="R40" s="84">
        <f t="shared" si="35"/>
        <v>0</v>
      </c>
      <c r="S40" s="190">
        <f t="shared" si="36"/>
        <v>0</v>
      </c>
      <c r="T40" s="84">
        <f t="shared" si="4"/>
        <v>0</v>
      </c>
      <c r="U40" s="263">
        <f>HLOOKUP($B$2,Factors!$J$12:$AF$25,Factors!$H24,FALSE)</f>
        <v>20.305515594827586</v>
      </c>
      <c r="V40" s="189">
        <f t="shared" si="37"/>
        <v>0</v>
      </c>
      <c r="W40" s="84">
        <f t="shared" si="38"/>
        <v>0</v>
      </c>
      <c r="X40" s="84">
        <f t="shared" si="39"/>
        <v>0</v>
      </c>
      <c r="Y40" s="84">
        <f t="shared" si="40"/>
        <v>0</v>
      </c>
      <c r="Z40" s="84">
        <f t="shared" si="41"/>
        <v>0</v>
      </c>
      <c r="AA40" s="84">
        <f t="shared" si="42"/>
        <v>0</v>
      </c>
      <c r="AB40" s="84">
        <f t="shared" si="26"/>
        <v>0</v>
      </c>
      <c r="AC40" s="264">
        <f>Factors!E53</f>
        <v>1</v>
      </c>
      <c r="AD40" s="189">
        <f t="shared" si="49"/>
        <v>0</v>
      </c>
      <c r="AE40" s="84">
        <f t="shared" si="49"/>
        <v>0</v>
      </c>
      <c r="AF40" s="84">
        <f t="shared" si="49"/>
        <v>0</v>
      </c>
      <c r="AG40" s="84">
        <f t="shared" si="49"/>
        <v>0</v>
      </c>
      <c r="AH40" s="84">
        <f t="shared" si="49"/>
        <v>0</v>
      </c>
      <c r="AI40" s="84">
        <f t="shared" si="49"/>
        <v>0</v>
      </c>
      <c r="AJ40" s="191">
        <f t="shared" si="6"/>
        <v>0</v>
      </c>
      <c r="AK40" s="189">
        <f t="shared" si="19"/>
        <v>0</v>
      </c>
      <c r="AL40" s="84">
        <f t="shared" si="20"/>
        <v>0</v>
      </c>
      <c r="AM40" s="84">
        <f t="shared" si="21"/>
        <v>0</v>
      </c>
      <c r="AN40" s="84">
        <f t="shared" si="22"/>
        <v>0</v>
      </c>
      <c r="AO40" s="84">
        <f t="shared" si="23"/>
        <v>0</v>
      </c>
      <c r="AP40" s="84">
        <f t="shared" si="24"/>
        <v>0</v>
      </c>
      <c r="AQ40" s="250">
        <f t="shared" si="27"/>
        <v>0</v>
      </c>
    </row>
    <row r="41" spans="2:43">
      <c r="B41" s="200" t="s">
        <v>1621</v>
      </c>
      <c r="C41" s="84"/>
      <c r="D41" s="84"/>
      <c r="E41" s="84">
        <f>HLOOKUP($B$2,'Consumption Input'!$E$5:$AQ$82,'Consumption Input'!$B46)</f>
        <v>15.291095477000001</v>
      </c>
      <c r="F41" s="84"/>
      <c r="G41" s="84"/>
      <c r="H41" s="84"/>
      <c r="I41" s="84">
        <f t="shared" si="48"/>
        <v>15.291095477000001</v>
      </c>
      <c r="J41" s="262"/>
      <c r="K41" s="84">
        <f>HLOOKUP($B$2,NEUConsumption,'Non-Energy Use'!$C$21)</f>
        <v>15.291095477000001</v>
      </c>
      <c r="L41" s="84"/>
      <c r="M41" s="84"/>
      <c r="N41" s="189">
        <f t="shared" si="32"/>
        <v>0</v>
      </c>
      <c r="O41" s="84">
        <f t="shared" si="32"/>
        <v>0</v>
      </c>
      <c r="P41" s="84">
        <f t="shared" si="33"/>
        <v>0</v>
      </c>
      <c r="Q41" s="84">
        <f t="shared" si="34"/>
        <v>0</v>
      </c>
      <c r="R41" s="84">
        <f t="shared" si="35"/>
        <v>0</v>
      </c>
      <c r="S41" s="190">
        <f t="shared" si="36"/>
        <v>0</v>
      </c>
      <c r="T41" s="84">
        <f t="shared" si="4"/>
        <v>0</v>
      </c>
      <c r="U41" s="263">
        <f>Factors!D55</f>
        <v>19.795754182606267</v>
      </c>
      <c r="V41" s="192">
        <f t="shared" si="37"/>
        <v>0</v>
      </c>
      <c r="W41" s="193">
        <f t="shared" si="38"/>
        <v>0</v>
      </c>
      <c r="X41" s="193">
        <f t="shared" si="39"/>
        <v>0</v>
      </c>
      <c r="Y41" s="193">
        <f t="shared" si="40"/>
        <v>0</v>
      </c>
      <c r="Z41" s="193">
        <f t="shared" si="41"/>
        <v>0</v>
      </c>
      <c r="AA41" s="193">
        <f t="shared" si="42"/>
        <v>0</v>
      </c>
      <c r="AB41" s="84">
        <f t="shared" si="26"/>
        <v>0</v>
      </c>
      <c r="AC41" s="264">
        <f>Factors!E55</f>
        <v>1</v>
      </c>
      <c r="AD41" s="189">
        <f t="shared" si="49"/>
        <v>0</v>
      </c>
      <c r="AE41" s="84">
        <f t="shared" si="49"/>
        <v>0</v>
      </c>
      <c r="AF41" s="84">
        <f t="shared" si="49"/>
        <v>0</v>
      </c>
      <c r="AG41" s="84">
        <f t="shared" si="49"/>
        <v>0</v>
      </c>
      <c r="AH41" s="84">
        <f t="shared" si="49"/>
        <v>0</v>
      </c>
      <c r="AI41" s="84">
        <f t="shared" si="49"/>
        <v>0</v>
      </c>
      <c r="AJ41" s="191">
        <f t="shared" si="6"/>
        <v>0</v>
      </c>
      <c r="AK41" s="189">
        <f t="shared" si="19"/>
        <v>0</v>
      </c>
      <c r="AL41" s="84">
        <f t="shared" si="20"/>
        <v>0</v>
      </c>
      <c r="AM41" s="84">
        <f t="shared" si="21"/>
        <v>0</v>
      </c>
      <c r="AN41" s="84">
        <f t="shared" si="22"/>
        <v>0</v>
      </c>
      <c r="AO41" s="84">
        <f t="shared" si="23"/>
        <v>0</v>
      </c>
      <c r="AP41" s="84">
        <f t="shared" si="24"/>
        <v>0</v>
      </c>
      <c r="AQ41" s="250">
        <f t="shared" si="27"/>
        <v>0</v>
      </c>
    </row>
    <row r="42" spans="2:43" ht="11.1" thickBot="1">
      <c r="B42" s="201" t="s">
        <v>82</v>
      </c>
      <c r="C42" s="13"/>
      <c r="D42" s="13"/>
      <c r="E42" s="13"/>
      <c r="F42" s="13"/>
      <c r="G42" s="13">
        <f>INDEX(Geothermal!$C$6:$AE$10,MATCH("Total",Geothermal!$C$6:$C$10,0),MATCH($B$2,Geothermal!$C$6:$AE$6,0))/Factors!$J$61*Factors!$J$55/BBtuToBtu*BBtuToTBtu</f>
        <v>53.098996235912004</v>
      </c>
      <c r="H42" s="13"/>
      <c r="I42" s="13">
        <f>G42</f>
        <v>53.098996235912004</v>
      </c>
      <c r="J42" s="275"/>
      <c r="K42" s="125"/>
      <c r="L42" s="13"/>
      <c r="M42" s="202"/>
      <c r="N42" s="13">
        <f t="shared" si="32"/>
        <v>0</v>
      </c>
      <c r="O42" s="13">
        <f t="shared" si="32"/>
        <v>0</v>
      </c>
      <c r="P42" s="13">
        <f>E42</f>
        <v>0</v>
      </c>
      <c r="Q42" s="13">
        <f>F42</f>
        <v>0</v>
      </c>
      <c r="R42" s="13">
        <f t="shared" si="35"/>
        <v>53.098996235912004</v>
      </c>
      <c r="S42" s="13">
        <f>H42</f>
        <v>0</v>
      </c>
      <c r="T42" s="13">
        <f t="shared" si="4"/>
        <v>53.098996235912004</v>
      </c>
      <c r="U42" s="276">
        <f>Factors!D56</f>
        <v>2.6974658424810825</v>
      </c>
      <c r="V42" s="13"/>
      <c r="W42" s="13"/>
      <c r="X42" s="13"/>
      <c r="Y42" s="13"/>
      <c r="Z42" s="13">
        <f>INDEX(Geothermal!$C$14:$AE$18,MATCH("Total",Geothermal!$C$14:$C$18,0),MATCH($B$2,Geothermal!$C$14:$AE$14,0))/CtoCO2</f>
        <v>0.1192926794207891</v>
      </c>
      <c r="AA42" s="13"/>
      <c r="AB42" s="13">
        <f t="shared" si="26"/>
        <v>0.1192926794207891</v>
      </c>
      <c r="AC42" s="276">
        <f>Factors!$E$56</f>
        <v>1</v>
      </c>
      <c r="AD42" s="13">
        <f t="shared" si="49"/>
        <v>0</v>
      </c>
      <c r="AE42" s="13">
        <f t="shared" si="49"/>
        <v>0</v>
      </c>
      <c r="AF42" s="13">
        <f t="shared" si="49"/>
        <v>0</v>
      </c>
      <c r="AG42" s="13">
        <f t="shared" si="49"/>
        <v>0</v>
      </c>
      <c r="AH42" s="13">
        <f t="shared" si="49"/>
        <v>0.1192926794207891</v>
      </c>
      <c r="AI42" s="13">
        <f t="shared" si="49"/>
        <v>0</v>
      </c>
      <c r="AJ42" s="202">
        <f t="shared" si="6"/>
        <v>0.1192926794207891</v>
      </c>
      <c r="AK42" s="125">
        <f t="shared" si="19"/>
        <v>0</v>
      </c>
      <c r="AL42" s="13">
        <f t="shared" si="20"/>
        <v>0</v>
      </c>
      <c r="AM42" s="13">
        <f t="shared" si="21"/>
        <v>0</v>
      </c>
      <c r="AN42" s="13">
        <f t="shared" si="22"/>
        <v>0</v>
      </c>
      <c r="AO42" s="13">
        <f t="shared" si="23"/>
        <v>0.43740649120955999</v>
      </c>
      <c r="AP42" s="13">
        <f t="shared" si="24"/>
        <v>0</v>
      </c>
      <c r="AQ42" s="202">
        <f t="shared" si="27"/>
        <v>0.43740649120955999</v>
      </c>
    </row>
    <row r="43" spans="2:43" ht="11.1" thickBot="1">
      <c r="B43" s="203" t="s">
        <v>1740</v>
      </c>
      <c r="C43" s="204">
        <f>C8+C17+C18+C42</f>
        <v>5076.9379758204132</v>
      </c>
      <c r="D43" s="204">
        <f>D8+D17+D18+D42</f>
        <v>3555.428459163465</v>
      </c>
      <c r="E43" s="204">
        <f>E8+E17+E18+E42</f>
        <v>17371.155138182534</v>
      </c>
      <c r="F43" s="204">
        <f>F8+F17+F18+F42</f>
        <v>24883.262677241859</v>
      </c>
      <c r="G43" s="204">
        <f>G8+G17+G18+G42</f>
        <v>25375.344996235912</v>
      </c>
      <c r="H43" s="204">
        <f>H16+H17+H18+H42</f>
        <v>473.60371676302316</v>
      </c>
      <c r="I43" s="204">
        <f>SUM(C43:H43)</f>
        <v>76735.732963407208</v>
      </c>
      <c r="J43" s="277">
        <f t="shared" ref="J43:S43" si="50">J8+J17+J18+J42</f>
        <v>1468.2978600875404</v>
      </c>
      <c r="K43" s="258">
        <f t="shared" si="50"/>
        <v>4556.9527932794999</v>
      </c>
      <c r="L43" s="204">
        <f t="shared" si="50"/>
        <v>135.40799999999999</v>
      </c>
      <c r="M43" s="205">
        <f t="shared" si="50"/>
        <v>17.620195201115784</v>
      </c>
      <c r="N43" s="204">
        <f t="shared" si="50"/>
        <v>5076.9379758204132</v>
      </c>
      <c r="O43" s="204">
        <f t="shared" si="50"/>
        <v>3555.428459163465</v>
      </c>
      <c r="P43" s="204">
        <f t="shared" si="50"/>
        <v>12814.202344903031</v>
      </c>
      <c r="Q43" s="204">
        <f t="shared" si="50"/>
        <v>23279.556817154316</v>
      </c>
      <c r="R43" s="204">
        <f t="shared" si="50"/>
        <v>25375.344996235912</v>
      </c>
      <c r="S43" s="204">
        <f t="shared" si="50"/>
        <v>455.98352156190742</v>
      </c>
      <c r="T43" s="204">
        <f>SUM(N43:S43)</f>
        <v>70557.454114839056</v>
      </c>
      <c r="U43" s="278" t="s">
        <v>1731</v>
      </c>
      <c r="V43" s="204">
        <f t="shared" ref="V43:AA43" si="51">V8+V17+V18+V42</f>
        <v>77.054081881683203</v>
      </c>
      <c r="W43" s="204">
        <f t="shared" si="51"/>
        <v>54.662485604785516</v>
      </c>
      <c r="X43" s="204">
        <f t="shared" si="51"/>
        <v>217.98389288349478</v>
      </c>
      <c r="Y43" s="204">
        <f t="shared" si="51"/>
        <v>452.56399949210498</v>
      </c>
      <c r="Z43" s="204">
        <f t="shared" si="51"/>
        <v>551.79704098613058</v>
      </c>
      <c r="AA43" s="204">
        <f t="shared" si="51"/>
        <v>8.9874273465923569</v>
      </c>
      <c r="AB43" s="204">
        <f t="shared" si="26"/>
        <v>1363.0489281947914</v>
      </c>
      <c r="AC43" s="278" t="s">
        <v>1731</v>
      </c>
      <c r="AD43" s="204">
        <f t="shared" ref="AD43:AQ43" si="52">AD8+AD17+AD18+AD42</f>
        <v>77.054081881683203</v>
      </c>
      <c r="AE43" s="204">
        <f t="shared" si="52"/>
        <v>54.662485604785516</v>
      </c>
      <c r="AF43" s="204">
        <f t="shared" si="52"/>
        <v>217.98389288349478</v>
      </c>
      <c r="AG43" s="204">
        <f t="shared" si="52"/>
        <v>452.56399949210498</v>
      </c>
      <c r="AH43" s="204">
        <f t="shared" si="52"/>
        <v>551.79704098613058</v>
      </c>
      <c r="AI43" s="204">
        <f t="shared" si="52"/>
        <v>8.9874273465923569</v>
      </c>
      <c r="AJ43" s="205">
        <f t="shared" si="52"/>
        <v>1363.0489281947914</v>
      </c>
      <c r="AK43" s="204">
        <f t="shared" si="52"/>
        <v>282.53163356617171</v>
      </c>
      <c r="AL43" s="204">
        <f t="shared" si="52"/>
        <v>200.42911388421356</v>
      </c>
      <c r="AM43" s="204">
        <f t="shared" si="52"/>
        <v>799.27427390614753</v>
      </c>
      <c r="AN43" s="204">
        <f t="shared" si="52"/>
        <v>1659.4013314710517</v>
      </c>
      <c r="AO43" s="204">
        <f t="shared" si="52"/>
        <v>2023.2558169491451</v>
      </c>
      <c r="AP43" s="204">
        <f t="shared" si="52"/>
        <v>32.953900270838638</v>
      </c>
      <c r="AQ43" s="205">
        <f t="shared" si="52"/>
        <v>4997.8460700475689</v>
      </c>
    </row>
    <row r="44" spans="2:43" ht="9.9499999999999993">
      <c r="B44"/>
      <c r="C44"/>
      <c r="D44"/>
      <c r="E44"/>
      <c r="F44"/>
      <c r="G44"/>
      <c r="H44"/>
      <c r="I44"/>
      <c r="J44"/>
      <c r="K44"/>
      <c r="L44"/>
      <c r="M44"/>
      <c r="N44" s="206"/>
      <c r="O44" s="206"/>
      <c r="P44" s="206"/>
      <c r="Q44" s="206"/>
      <c r="R44" s="206"/>
      <c r="S44" s="206"/>
      <c r="U44"/>
      <c r="V44" s="207"/>
      <c r="W44" s="207"/>
      <c r="X44" s="207"/>
      <c r="Y44" s="207"/>
      <c r="Z44" s="207"/>
      <c r="AA44" s="207"/>
      <c r="AB44" s="242" t="s">
        <v>1741</v>
      </c>
      <c r="AC44">
        <f>Factors!$E$58</f>
        <v>1</v>
      </c>
      <c r="AD44"/>
      <c r="AE44"/>
      <c r="AF44"/>
      <c r="AG44"/>
      <c r="AH44"/>
      <c r="AI44"/>
      <c r="AJ44"/>
    </row>
    <row r="45" spans="2: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2: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2: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2: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9"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ransitionEvaluation="1" transitionEntry="1" codeName="Sheet45">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7.6640625"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41" width="9.6640625" customWidth="1"/>
    <col min="42" max="42" width="9" bestFit="1" customWidth="1"/>
    <col min="43" max="43" width="10" customWidth="1"/>
    <col min="44" max="45" width="9" customWidth="1"/>
  </cols>
  <sheetData>
    <row r="1" spans="1:43" ht="17.45">
      <c r="A1" s="151" t="s">
        <v>1714</v>
      </c>
      <c r="Z1" s="152">
        <f>I29*U29/10^3</f>
        <v>0</v>
      </c>
    </row>
    <row r="2" spans="1:43" ht="15.6">
      <c r="A2" s="156" t="s">
        <v>1715</v>
      </c>
      <c r="B2" s="157">
        <v>2013</v>
      </c>
      <c r="H2" s="158"/>
      <c r="I2" s="158"/>
      <c r="N2" s="114" t="s">
        <v>1716</v>
      </c>
      <c r="AK2" s="114" t="s">
        <v>1716</v>
      </c>
      <c r="AN2" s="112"/>
      <c r="AO2" s="5"/>
    </row>
    <row r="3" spans="1:43">
      <c r="A3" s="159" t="s">
        <v>1764</v>
      </c>
      <c r="H3" s="158"/>
      <c r="I3" s="158"/>
    </row>
    <row r="4" spans="1:43" ht="11.1" thickBot="1">
      <c r="B4" s="160">
        <v>1</v>
      </c>
      <c r="C4" s="161">
        <f t="shared" ref="C4:AQ4" si="0">B4+1</f>
        <v>2</v>
      </c>
      <c r="D4" s="161">
        <f t="shared" si="0"/>
        <v>3</v>
      </c>
      <c r="E4" s="161">
        <f t="shared" si="0"/>
        <v>4</v>
      </c>
      <c r="F4" s="161">
        <f t="shared" si="0"/>
        <v>5</v>
      </c>
      <c r="G4" s="161">
        <f t="shared" si="0"/>
        <v>6</v>
      </c>
      <c r="H4" s="161">
        <f t="shared" si="0"/>
        <v>7</v>
      </c>
      <c r="I4" s="161">
        <f t="shared" si="0"/>
        <v>8</v>
      </c>
      <c r="J4" s="161">
        <f t="shared" si="0"/>
        <v>9</v>
      </c>
      <c r="K4" s="161">
        <f t="shared" si="0"/>
        <v>10</v>
      </c>
      <c r="L4" s="161">
        <f t="shared" si="0"/>
        <v>11</v>
      </c>
      <c r="M4" s="161">
        <f t="shared" si="0"/>
        <v>12</v>
      </c>
      <c r="N4" s="161">
        <f t="shared" si="0"/>
        <v>13</v>
      </c>
      <c r="O4" s="161">
        <f t="shared" si="0"/>
        <v>14</v>
      </c>
      <c r="P4" s="161">
        <f t="shared" si="0"/>
        <v>15</v>
      </c>
      <c r="Q4" s="161">
        <f t="shared" si="0"/>
        <v>16</v>
      </c>
      <c r="R4" s="161">
        <f t="shared" si="0"/>
        <v>17</v>
      </c>
      <c r="S4" s="161">
        <f t="shared" si="0"/>
        <v>18</v>
      </c>
      <c r="T4" s="161">
        <f t="shared" si="0"/>
        <v>19</v>
      </c>
      <c r="U4" s="162">
        <f t="shared" si="0"/>
        <v>20</v>
      </c>
      <c r="V4" s="163">
        <f t="shared" si="0"/>
        <v>21</v>
      </c>
      <c r="W4" s="163">
        <f t="shared" si="0"/>
        <v>22</v>
      </c>
      <c r="X4" s="163">
        <f t="shared" si="0"/>
        <v>23</v>
      </c>
      <c r="Y4" s="163">
        <f t="shared" si="0"/>
        <v>24</v>
      </c>
      <c r="Z4" s="163">
        <f t="shared" si="0"/>
        <v>25</v>
      </c>
      <c r="AA4" s="163">
        <f t="shared" si="0"/>
        <v>26</v>
      </c>
      <c r="AB4" s="163">
        <f t="shared" si="0"/>
        <v>27</v>
      </c>
      <c r="AC4" s="162">
        <f t="shared" si="0"/>
        <v>28</v>
      </c>
      <c r="AD4" s="161">
        <f t="shared" si="0"/>
        <v>29</v>
      </c>
      <c r="AE4" s="161">
        <f t="shared" si="0"/>
        <v>30</v>
      </c>
      <c r="AF4" s="161">
        <f t="shared" si="0"/>
        <v>31</v>
      </c>
      <c r="AG4" s="161">
        <f t="shared" si="0"/>
        <v>32</v>
      </c>
      <c r="AH4" s="161">
        <f t="shared" si="0"/>
        <v>33</v>
      </c>
      <c r="AI4" s="161">
        <f t="shared" si="0"/>
        <v>34</v>
      </c>
      <c r="AJ4" s="160">
        <f t="shared" si="0"/>
        <v>35</v>
      </c>
      <c r="AK4" s="161">
        <f t="shared" si="0"/>
        <v>36</v>
      </c>
      <c r="AL4" s="161">
        <f t="shared" si="0"/>
        <v>37</v>
      </c>
      <c r="AM4" s="161">
        <f t="shared" si="0"/>
        <v>38</v>
      </c>
      <c r="AN4" s="161">
        <f t="shared" si="0"/>
        <v>39</v>
      </c>
      <c r="AO4" s="161">
        <f t="shared" si="0"/>
        <v>40</v>
      </c>
      <c r="AP4" s="161">
        <f t="shared" si="0"/>
        <v>41</v>
      </c>
      <c r="AQ4" s="160">
        <f t="shared" si="0"/>
        <v>42</v>
      </c>
    </row>
    <row r="5" spans="1:43" ht="11.45">
      <c r="B5" s="164"/>
      <c r="C5" s="165" t="s">
        <v>1718</v>
      </c>
      <c r="D5" s="165"/>
      <c r="E5" s="165"/>
      <c r="F5" s="165"/>
      <c r="G5" s="165"/>
      <c r="H5" s="166"/>
      <c r="I5" s="166"/>
      <c r="J5" s="167" t="s">
        <v>1719</v>
      </c>
      <c r="K5" s="213"/>
      <c r="L5" s="213"/>
      <c r="M5" s="214"/>
      <c r="N5" s="165" t="s">
        <v>1720</v>
      </c>
      <c r="O5" s="165"/>
      <c r="P5" s="165"/>
      <c r="Q5" s="165"/>
      <c r="R5" s="165"/>
      <c r="S5" s="166"/>
      <c r="T5" s="233"/>
      <c r="U5" s="168"/>
      <c r="V5" s="169" t="s">
        <v>1721</v>
      </c>
      <c r="W5" s="169"/>
      <c r="X5" s="169"/>
      <c r="Y5" s="169"/>
      <c r="Z5" s="169"/>
      <c r="AA5" s="169"/>
      <c r="AB5" s="169"/>
      <c r="AC5" s="170"/>
      <c r="AD5" s="165" t="s">
        <v>1722</v>
      </c>
      <c r="AE5" s="165"/>
      <c r="AF5" s="165"/>
      <c r="AG5" s="165"/>
      <c r="AH5" s="165"/>
      <c r="AI5" s="166"/>
      <c r="AJ5" s="171"/>
      <c r="AL5" s="165"/>
      <c r="AM5" s="209"/>
      <c r="AN5" s="209" t="s">
        <v>1765</v>
      </c>
      <c r="AO5" s="165"/>
      <c r="AP5" s="166"/>
      <c r="AQ5" s="171"/>
    </row>
    <row r="6" spans="1:43" ht="21" customHeight="1">
      <c r="B6" s="164"/>
      <c r="C6" s="172"/>
      <c r="D6" s="172"/>
      <c r="E6" s="172"/>
      <c r="F6" s="172"/>
      <c r="G6" s="172"/>
      <c r="H6" s="173"/>
      <c r="I6" s="172"/>
      <c r="J6" s="174"/>
      <c r="K6" s="241" t="s">
        <v>1724</v>
      </c>
      <c r="L6" s="165"/>
      <c r="M6" s="171"/>
      <c r="N6" s="172"/>
      <c r="O6" s="172"/>
      <c r="P6" s="172"/>
      <c r="Q6" s="172"/>
      <c r="R6" s="172"/>
      <c r="S6" s="172"/>
      <c r="T6" s="234"/>
      <c r="U6" s="168"/>
      <c r="V6" s="175"/>
      <c r="W6" s="175"/>
      <c r="X6" s="175"/>
      <c r="Y6" s="175"/>
      <c r="Z6" s="175"/>
      <c r="AA6" s="175"/>
      <c r="AB6" s="175"/>
      <c r="AC6" s="176"/>
      <c r="AD6" s="172"/>
      <c r="AE6" s="172"/>
      <c r="AF6" s="172"/>
      <c r="AG6" s="172"/>
      <c r="AH6" s="172"/>
      <c r="AI6" s="172"/>
      <c r="AJ6" s="177"/>
      <c r="AK6" s="172"/>
      <c r="AL6" s="172"/>
      <c r="AM6" s="172"/>
      <c r="AN6" s="172"/>
      <c r="AO6" s="172"/>
      <c r="AP6" s="172"/>
      <c r="AQ6" s="177"/>
    </row>
    <row r="7" spans="1:43" ht="56.25" customHeight="1" thickBot="1">
      <c r="B7" s="178" t="s">
        <v>1583</v>
      </c>
      <c r="C7" s="179" t="s">
        <v>1434</v>
      </c>
      <c r="D7" s="179" t="s">
        <v>1441</v>
      </c>
      <c r="E7" s="179" t="s">
        <v>1443</v>
      </c>
      <c r="F7" s="179" t="s">
        <v>1445</v>
      </c>
      <c r="G7" s="179" t="s">
        <v>1474</v>
      </c>
      <c r="H7" s="179" t="s">
        <v>1725</v>
      </c>
      <c r="I7" s="179" t="s">
        <v>1480</v>
      </c>
      <c r="J7" s="180" t="s">
        <v>1726</v>
      </c>
      <c r="K7" s="180" t="s">
        <v>1443</v>
      </c>
      <c r="L7" s="179" t="s">
        <v>1445</v>
      </c>
      <c r="M7" s="181" t="s">
        <v>1725</v>
      </c>
      <c r="N7" s="179" t="s">
        <v>1434</v>
      </c>
      <c r="O7" s="179" t="s">
        <v>1441</v>
      </c>
      <c r="P7" s="179" t="s">
        <v>1443</v>
      </c>
      <c r="Q7" s="179" t="s">
        <v>1445</v>
      </c>
      <c r="R7" s="179" t="s">
        <v>1474</v>
      </c>
      <c r="S7" s="181" t="s">
        <v>1725</v>
      </c>
      <c r="T7" s="231" t="s">
        <v>1727</v>
      </c>
      <c r="U7" s="182" t="s">
        <v>1728</v>
      </c>
      <c r="V7" s="183" t="s">
        <v>1434</v>
      </c>
      <c r="W7" s="183" t="s">
        <v>1441</v>
      </c>
      <c r="X7" s="183" t="s">
        <v>1443</v>
      </c>
      <c r="Y7" s="183" t="s">
        <v>1445</v>
      </c>
      <c r="Z7" s="183" t="s">
        <v>1474</v>
      </c>
      <c r="AA7" s="183" t="s">
        <v>1725</v>
      </c>
      <c r="AB7" s="183" t="s">
        <v>1480</v>
      </c>
      <c r="AC7" s="182" t="s">
        <v>1729</v>
      </c>
      <c r="AD7" s="179" t="s">
        <v>1434</v>
      </c>
      <c r="AE7" s="179" t="s">
        <v>1441</v>
      </c>
      <c r="AF7" s="179" t="s">
        <v>1443</v>
      </c>
      <c r="AG7" s="179" t="s">
        <v>1445</v>
      </c>
      <c r="AH7" s="179" t="s">
        <v>1474</v>
      </c>
      <c r="AI7" s="179" t="s">
        <v>1725</v>
      </c>
      <c r="AJ7" s="181" t="s">
        <v>1730</v>
      </c>
      <c r="AK7" s="179" t="s">
        <v>1434</v>
      </c>
      <c r="AL7" s="179" t="s">
        <v>1441</v>
      </c>
      <c r="AM7" s="179" t="s">
        <v>1443</v>
      </c>
      <c r="AN7" s="179" t="s">
        <v>1445</v>
      </c>
      <c r="AO7" s="179" t="s">
        <v>1474</v>
      </c>
      <c r="AP7" s="179" t="s">
        <v>1725</v>
      </c>
      <c r="AQ7" s="181" t="s">
        <v>1730</v>
      </c>
    </row>
    <row r="8" spans="1:43">
      <c r="B8" s="184" t="s">
        <v>1435</v>
      </c>
      <c r="C8" s="185">
        <f t="shared" ref="C8:H8" si="1">SUM(C9:C16)</f>
        <v>0</v>
      </c>
      <c r="D8" s="185">
        <f t="shared" si="1"/>
        <v>41.427999999999997</v>
      </c>
      <c r="E8" s="185">
        <f t="shared" si="1"/>
        <v>966.20928635940993</v>
      </c>
      <c r="F8" s="185">
        <f t="shared" si="1"/>
        <v>0</v>
      </c>
      <c r="G8" s="185">
        <f t="shared" si="1"/>
        <v>16450.559000000001</v>
      </c>
      <c r="H8" s="185">
        <f t="shared" si="1"/>
        <v>35.534273165896998</v>
      </c>
      <c r="I8" s="185">
        <f>SUM(C8:H8)</f>
        <v>17493.730559525309</v>
      </c>
      <c r="J8" s="259"/>
      <c r="K8" s="185">
        <f>SUM(K9:K16)</f>
        <v>129.43594256632821</v>
      </c>
      <c r="L8" s="185">
        <f>SUM(L9:L16)</f>
        <v>0</v>
      </c>
      <c r="M8" s="185"/>
      <c r="N8" s="186">
        <f t="shared" ref="N8:S8" si="2">SUM(N9:N16)</f>
        <v>0</v>
      </c>
      <c r="O8" s="185">
        <f t="shared" si="2"/>
        <v>41.427999999999997</v>
      </c>
      <c r="P8" s="185">
        <f t="shared" si="2"/>
        <v>836.77334379308172</v>
      </c>
      <c r="Q8" s="185">
        <f t="shared" si="2"/>
        <v>0</v>
      </c>
      <c r="R8" s="185">
        <f t="shared" si="2"/>
        <v>16450.559000000001</v>
      </c>
      <c r="S8" s="187">
        <f t="shared" si="2"/>
        <v>35.534273165896998</v>
      </c>
      <c r="T8" s="185">
        <f t="shared" ref="T8:T42" si="3">SUM(N8:S8)</f>
        <v>17364.294616958978</v>
      </c>
      <c r="U8" s="260" t="s">
        <v>1731</v>
      </c>
      <c r="V8" s="185">
        <f>SUM(V9:V16)</f>
        <v>0</v>
      </c>
      <c r="W8" s="185">
        <f>SUM(W9:W16)</f>
        <v>1.0731706660026119</v>
      </c>
      <c r="X8" s="185">
        <f>SUM(X9:X16)</f>
        <v>21.693769397267815</v>
      </c>
      <c r="Y8" s="185"/>
      <c r="Z8" s="185">
        <f>SUM(Z9:Z16)</f>
        <v>428.52303474433756</v>
      </c>
      <c r="AA8" s="185">
        <f>SUM(AA9:AA16)</f>
        <v>0.89333162739065053</v>
      </c>
      <c r="AB8" s="185">
        <f t="shared" ref="AB8:AB13" si="4">SUM(V8:AA8)</f>
        <v>452.18330643499866</v>
      </c>
      <c r="AC8" s="261" t="s">
        <v>1731</v>
      </c>
      <c r="AD8" s="186">
        <f>SUM(AD9:AD16)</f>
        <v>0</v>
      </c>
      <c r="AE8" s="185">
        <f>SUM(AE9:AE16)</f>
        <v>1.0731706660026119</v>
      </c>
      <c r="AF8" s="185">
        <f>SUM(AF9:AF16)</f>
        <v>21.693769397267815</v>
      </c>
      <c r="AG8" s="185" t="s">
        <v>108</v>
      </c>
      <c r="AH8" s="185">
        <f>SUM(AH9:AH16)</f>
        <v>428.52303474433756</v>
      </c>
      <c r="AI8" s="185">
        <f>SUM(AI9:AI16)</f>
        <v>0.89333162739065053</v>
      </c>
      <c r="AJ8" s="185">
        <f t="shared" ref="AJ8:AJ42" si="5">SUM(AD8:AI8)</f>
        <v>452.18330643499866</v>
      </c>
      <c r="AK8" s="186">
        <f t="shared" ref="AK8:AP8" si="6">SUM(AK9:AK16)</f>
        <v>0</v>
      </c>
      <c r="AL8" s="185">
        <f t="shared" si="6"/>
        <v>3.9349591086762437</v>
      </c>
      <c r="AM8" s="185">
        <f t="shared" si="6"/>
        <v>79.543821123315311</v>
      </c>
      <c r="AN8" s="185">
        <f t="shared" si="6"/>
        <v>0</v>
      </c>
      <c r="AO8" s="185">
        <f t="shared" si="6"/>
        <v>1571.2511273959044</v>
      </c>
      <c r="AP8" s="185">
        <f t="shared" si="6"/>
        <v>3.275549300432385</v>
      </c>
      <c r="AQ8" s="778">
        <f t="shared" ref="AQ8:AQ15" si="7">SUM(AK8:AP8)</f>
        <v>1658.0054569283284</v>
      </c>
    </row>
    <row r="9" spans="1:43">
      <c r="B9" s="188" t="s">
        <v>1732</v>
      </c>
      <c r="C9" s="84">
        <f>HLOOKUP($B$2,'Consumption Input'!$E$5:$AQ$82,'Consumption Input'!$B7)</f>
        <v>0</v>
      </c>
      <c r="D9" s="84"/>
      <c r="E9" s="84"/>
      <c r="F9" s="84"/>
      <c r="G9" s="84"/>
      <c r="H9" s="84"/>
      <c r="I9" s="84">
        <f t="shared" ref="I9:I14" si="8">SUM(C9:H9)</f>
        <v>0</v>
      </c>
      <c r="J9" s="262"/>
      <c r="K9" s="84"/>
      <c r="L9" s="84"/>
      <c r="M9" s="84"/>
      <c r="N9" s="189">
        <f t="shared" ref="N9:O17" si="9">C9</f>
        <v>0</v>
      </c>
      <c r="O9" s="84">
        <f t="shared" si="9"/>
        <v>0</v>
      </c>
      <c r="P9" s="84">
        <f t="shared" ref="P9:P17" si="10">E9-K9</f>
        <v>0</v>
      </c>
      <c r="Q9" s="84">
        <f t="shared" ref="Q9:S17" si="11">F9</f>
        <v>0</v>
      </c>
      <c r="R9" s="84">
        <f t="shared" si="11"/>
        <v>0</v>
      </c>
      <c r="S9" s="190">
        <f t="shared" si="11"/>
        <v>0</v>
      </c>
      <c r="T9" s="84">
        <f t="shared" si="3"/>
        <v>0</v>
      </c>
      <c r="U9" s="263">
        <f>HLOOKUP($B$2,Factors!$J$12:$AG$25,Factors!$H13,FALSE)</f>
        <v>25.904476827329631</v>
      </c>
      <c r="V9" s="189">
        <f>N9*$U9*TbtuToQBtu</f>
        <v>0</v>
      </c>
      <c r="W9" s="84">
        <f t="shared" ref="W9:W17" si="12">O9*$U9*TbtuToQBtu</f>
        <v>0</v>
      </c>
      <c r="X9" s="84">
        <f t="shared" ref="X9:X17" si="13">P9*$U9*TbtuToQBtu</f>
        <v>0</v>
      </c>
      <c r="Y9" s="84">
        <f t="shared" ref="Y9:Y17" si="14">Q9*$U9*TbtuToQBtu</f>
        <v>0</v>
      </c>
      <c r="Z9" s="84">
        <f t="shared" ref="Z9:Z17" si="15">R9*$U9*TbtuToQBtu</f>
        <v>0</v>
      </c>
      <c r="AA9" s="84">
        <f t="shared" ref="AA9:AA17" si="16">S9*$U9*TbtuToQBtu</f>
        <v>0</v>
      </c>
      <c r="AB9" s="84">
        <f t="shared" si="4"/>
        <v>0</v>
      </c>
      <c r="AC9" s="264">
        <f>Factors!E10</f>
        <v>1</v>
      </c>
      <c r="AD9" s="189">
        <f t="shared" ref="AD9:AI17" si="17">V9*$AC9</f>
        <v>0</v>
      </c>
      <c r="AE9" s="84">
        <f t="shared" si="17"/>
        <v>0</v>
      </c>
      <c r="AF9" s="84">
        <f t="shared" si="17"/>
        <v>0</v>
      </c>
      <c r="AG9" s="84">
        <f t="shared" si="17"/>
        <v>0</v>
      </c>
      <c r="AH9" s="84">
        <f t="shared" si="17"/>
        <v>0</v>
      </c>
      <c r="AI9" s="84">
        <f t="shared" si="17"/>
        <v>0</v>
      </c>
      <c r="AJ9" s="191">
        <f t="shared" si="5"/>
        <v>0</v>
      </c>
      <c r="AK9" s="189">
        <f>AD9*CtoCO2</f>
        <v>0</v>
      </c>
      <c r="AL9" s="84">
        <f t="shared" ref="AL9:AL42" si="18">AE9*CtoCO2</f>
        <v>0</v>
      </c>
      <c r="AM9" s="84">
        <f t="shared" ref="AM9:AM42" si="19">AF9*CtoCO2</f>
        <v>0</v>
      </c>
      <c r="AN9" s="84">
        <f t="shared" ref="AN9:AN42" si="20">AG9*CtoCO2</f>
        <v>0</v>
      </c>
      <c r="AO9" s="84">
        <f t="shared" ref="AO9:AO42" si="21">AH9*CtoCO2</f>
        <v>0</v>
      </c>
      <c r="AP9" s="84">
        <f t="shared" ref="AP9:AP42" si="22">AI9*CtoCO2</f>
        <v>0</v>
      </c>
      <c r="AQ9" s="250">
        <f t="shared" si="7"/>
        <v>0</v>
      </c>
    </row>
    <row r="10" spans="1:43">
      <c r="B10" s="188" t="s">
        <v>1733</v>
      </c>
      <c r="C10" s="84"/>
      <c r="D10" s="84">
        <f>HLOOKUP($B$2,'Consumption Input'!$E$5:$AQ$82,'Consumption Input'!$B13)</f>
        <v>41.427999999999997</v>
      </c>
      <c r="E10" s="84"/>
      <c r="F10" s="84"/>
      <c r="G10" s="84"/>
      <c r="H10" s="84"/>
      <c r="I10" s="84">
        <f t="shared" si="8"/>
        <v>41.427999999999997</v>
      </c>
      <c r="J10" s="262"/>
      <c r="K10" s="84"/>
      <c r="L10" s="84"/>
      <c r="M10" s="84"/>
      <c r="N10" s="189">
        <f t="shared" si="9"/>
        <v>0</v>
      </c>
      <c r="O10" s="84">
        <f t="shared" si="9"/>
        <v>41.427999999999997</v>
      </c>
      <c r="P10" s="84">
        <f t="shared" si="10"/>
        <v>0</v>
      </c>
      <c r="Q10" s="84">
        <f t="shared" si="11"/>
        <v>0</v>
      </c>
      <c r="R10" s="84">
        <f t="shared" si="11"/>
        <v>0</v>
      </c>
      <c r="S10" s="190">
        <f t="shared" si="11"/>
        <v>0</v>
      </c>
      <c r="T10" s="84">
        <f t="shared" si="3"/>
        <v>41.427999999999997</v>
      </c>
      <c r="U10" s="263">
        <f>HLOOKUP($B$2,Factors!$J$12:$AG$25,Factors!$H14,FALSE)</f>
        <v>25.904476827329631</v>
      </c>
      <c r="V10" s="189">
        <f t="shared" ref="V10:V17" si="23">N10*$U10*TbtuToQBtu</f>
        <v>0</v>
      </c>
      <c r="W10" s="84">
        <f>O10*$U10*TbtuToQBtu</f>
        <v>1.0731706660026119</v>
      </c>
      <c r="X10" s="84">
        <f t="shared" si="13"/>
        <v>0</v>
      </c>
      <c r="Y10" s="84">
        <f t="shared" si="14"/>
        <v>0</v>
      </c>
      <c r="Z10" s="84">
        <f t="shared" si="15"/>
        <v>0</v>
      </c>
      <c r="AA10" s="84">
        <f t="shared" si="16"/>
        <v>0</v>
      </c>
      <c r="AB10" s="84">
        <f t="shared" si="4"/>
        <v>1.0731706660026119</v>
      </c>
      <c r="AC10" s="264">
        <f>Factors!E11</f>
        <v>1</v>
      </c>
      <c r="AD10" s="189">
        <f t="shared" si="17"/>
        <v>0</v>
      </c>
      <c r="AE10" s="84">
        <f t="shared" si="17"/>
        <v>1.0731706660026119</v>
      </c>
      <c r="AF10" s="84">
        <f t="shared" si="17"/>
        <v>0</v>
      </c>
      <c r="AG10" s="84">
        <f t="shared" si="17"/>
        <v>0</v>
      </c>
      <c r="AH10" s="84">
        <f t="shared" si="17"/>
        <v>0</v>
      </c>
      <c r="AI10" s="84">
        <f t="shared" si="17"/>
        <v>0</v>
      </c>
      <c r="AJ10" s="191">
        <f t="shared" si="5"/>
        <v>1.0731706660026119</v>
      </c>
      <c r="AK10" s="189">
        <f t="shared" ref="AK10:AK42" si="24">AD10*CtoCO2</f>
        <v>0</v>
      </c>
      <c r="AL10" s="84">
        <f t="shared" si="18"/>
        <v>3.9349591086762437</v>
      </c>
      <c r="AM10" s="84">
        <f t="shared" si="19"/>
        <v>0</v>
      </c>
      <c r="AN10" s="84">
        <f t="shared" si="20"/>
        <v>0</v>
      </c>
      <c r="AO10" s="84">
        <f t="shared" si="21"/>
        <v>0</v>
      </c>
      <c r="AP10" s="84">
        <f t="shared" si="22"/>
        <v>0</v>
      </c>
      <c r="AQ10" s="250">
        <f t="shared" si="7"/>
        <v>3.9349591086762437</v>
      </c>
    </row>
    <row r="11" spans="1:43" s="244" customFormat="1" hidden="1">
      <c r="B11" s="245" t="s">
        <v>1734</v>
      </c>
      <c r="C11" s="246"/>
      <c r="D11" s="246"/>
      <c r="E11" s="246">
        <f>HLOOKUP($B$2,'Consumption Input'!$E$5:$AQ$82,'Consumption Input'!$B23)</f>
        <v>119.90639149360095</v>
      </c>
      <c r="F11" s="246"/>
      <c r="G11" s="246"/>
      <c r="H11" s="246"/>
      <c r="I11" s="246">
        <f t="shared" si="8"/>
        <v>119.90639149360095</v>
      </c>
      <c r="J11" s="265"/>
      <c r="K11" s="246">
        <f>HLOOKUP($B$2,NEUConsumption,'Non-Energy Use'!$C$7)</f>
        <v>119.90639149360095</v>
      </c>
      <c r="L11" s="246"/>
      <c r="M11" s="246"/>
      <c r="N11" s="247">
        <f t="shared" si="9"/>
        <v>0</v>
      </c>
      <c r="O11" s="246">
        <f t="shared" si="9"/>
        <v>0</v>
      </c>
      <c r="P11" s="246">
        <f t="shared" si="10"/>
        <v>0</v>
      </c>
      <c r="Q11" s="246">
        <f t="shared" si="11"/>
        <v>0</v>
      </c>
      <c r="R11" s="246">
        <f t="shared" si="11"/>
        <v>0</v>
      </c>
      <c r="S11" s="248">
        <f t="shared" si="11"/>
        <v>0</v>
      </c>
      <c r="T11" s="246">
        <f t="shared" si="3"/>
        <v>0</v>
      </c>
      <c r="U11" s="1013">
        <f>HLOOKUP($B$2,Factors!$J$12:$BE$28,Factors!$H28,FALSE)</f>
        <v>25.579304450740384</v>
      </c>
      <c r="V11" s="247">
        <f t="shared" si="23"/>
        <v>0</v>
      </c>
      <c r="W11" s="246">
        <f t="shared" si="12"/>
        <v>0</v>
      </c>
      <c r="X11" s="246">
        <f t="shared" si="13"/>
        <v>0</v>
      </c>
      <c r="Y11" s="246">
        <f t="shared" si="14"/>
        <v>0</v>
      </c>
      <c r="Z11" s="246">
        <f t="shared" si="15"/>
        <v>0</v>
      </c>
      <c r="AA11" s="246">
        <f t="shared" si="16"/>
        <v>0</v>
      </c>
      <c r="AB11" s="246">
        <f t="shared" si="4"/>
        <v>0</v>
      </c>
      <c r="AC11" s="267">
        <f>Factors!E12</f>
        <v>1</v>
      </c>
      <c r="AD11" s="247">
        <f t="shared" si="17"/>
        <v>0</v>
      </c>
      <c r="AE11" s="246">
        <f t="shared" si="17"/>
        <v>0</v>
      </c>
      <c r="AF11" s="246">
        <f t="shared" si="17"/>
        <v>0</v>
      </c>
      <c r="AG11" s="246">
        <f t="shared" si="17"/>
        <v>0</v>
      </c>
      <c r="AH11" s="246">
        <f t="shared" si="17"/>
        <v>0</v>
      </c>
      <c r="AI11" s="246">
        <f t="shared" si="17"/>
        <v>0</v>
      </c>
      <c r="AJ11" s="249">
        <f t="shared" si="5"/>
        <v>0</v>
      </c>
      <c r="AK11" s="247">
        <f t="shared" si="24"/>
        <v>0</v>
      </c>
      <c r="AL11" s="246">
        <f t="shared" si="18"/>
        <v>0</v>
      </c>
      <c r="AM11" s="246">
        <f t="shared" si="19"/>
        <v>0</v>
      </c>
      <c r="AN11" s="246">
        <f t="shared" si="20"/>
        <v>0</v>
      </c>
      <c r="AO11" s="246">
        <f t="shared" si="21"/>
        <v>0</v>
      </c>
      <c r="AP11" s="246">
        <f t="shared" si="22"/>
        <v>0</v>
      </c>
      <c r="AQ11" s="251">
        <f t="shared" si="7"/>
        <v>0</v>
      </c>
    </row>
    <row r="12" spans="1:43">
      <c r="B12" s="188" t="s">
        <v>1701</v>
      </c>
      <c r="C12" s="84"/>
      <c r="D12" s="84"/>
      <c r="E12" s="84">
        <f>HLOOKUP($B$2,'Consumption Input'!$E$5:$AQ$82,'Consumption Input'!$B24)</f>
        <v>846.30289486580898</v>
      </c>
      <c r="F12" s="84"/>
      <c r="G12" s="84"/>
      <c r="H12" s="84"/>
      <c r="I12" s="84">
        <f t="shared" si="8"/>
        <v>846.30289486580898</v>
      </c>
      <c r="J12" s="262"/>
      <c r="K12" s="84">
        <f>HLOOKUP($B$2,NEUConsumption,'Non-Energy Use'!$C$8)</f>
        <v>9.529551072727271</v>
      </c>
      <c r="L12" s="84"/>
      <c r="M12" s="84"/>
      <c r="N12" s="189">
        <f t="shared" si="9"/>
        <v>0</v>
      </c>
      <c r="O12" s="84">
        <f t="shared" si="9"/>
        <v>0</v>
      </c>
      <c r="P12" s="84">
        <f t="shared" si="10"/>
        <v>836.77334379308172</v>
      </c>
      <c r="Q12" s="84">
        <f t="shared" si="11"/>
        <v>0</v>
      </c>
      <c r="R12" s="84">
        <f t="shared" si="11"/>
        <v>0</v>
      </c>
      <c r="S12" s="190">
        <f t="shared" si="11"/>
        <v>0</v>
      </c>
      <c r="T12" s="84">
        <f t="shared" si="3"/>
        <v>836.77334379308172</v>
      </c>
      <c r="U12" s="263">
        <f>HLOOKUP($B$2,Factors!$J$12:$AG$25,Factors!$H15,FALSE)</f>
        <v>25.92550247708688</v>
      </c>
      <c r="V12" s="189">
        <f t="shared" si="23"/>
        <v>0</v>
      </c>
      <c r="W12" s="84">
        <f t="shared" si="12"/>
        <v>0</v>
      </c>
      <c r="X12" s="84">
        <f t="shared" si="13"/>
        <v>21.693769397267815</v>
      </c>
      <c r="Y12" s="84">
        <f t="shared" si="14"/>
        <v>0</v>
      </c>
      <c r="Z12" s="84">
        <f t="shared" si="15"/>
        <v>0</v>
      </c>
      <c r="AA12" s="84">
        <f t="shared" si="16"/>
        <v>0</v>
      </c>
      <c r="AB12" s="84">
        <f t="shared" si="4"/>
        <v>21.693769397267815</v>
      </c>
      <c r="AC12" s="264">
        <f>Factors!E13</f>
        <v>1</v>
      </c>
      <c r="AD12" s="189">
        <f t="shared" si="17"/>
        <v>0</v>
      </c>
      <c r="AE12" s="84">
        <f t="shared" si="17"/>
        <v>0</v>
      </c>
      <c r="AF12" s="84">
        <f t="shared" si="17"/>
        <v>21.693769397267815</v>
      </c>
      <c r="AG12" s="84">
        <f t="shared" si="17"/>
        <v>0</v>
      </c>
      <c r="AH12" s="84">
        <f t="shared" si="17"/>
        <v>0</v>
      </c>
      <c r="AI12" s="84">
        <f t="shared" si="17"/>
        <v>0</v>
      </c>
      <c r="AJ12" s="191">
        <f t="shared" si="5"/>
        <v>21.693769397267815</v>
      </c>
      <c r="AK12" s="189">
        <f t="shared" si="24"/>
        <v>0</v>
      </c>
      <c r="AL12" s="84">
        <f t="shared" si="18"/>
        <v>0</v>
      </c>
      <c r="AM12" s="84">
        <f>AF12*CtoCO2</f>
        <v>79.543821123315311</v>
      </c>
      <c r="AN12" s="84">
        <f t="shared" si="20"/>
        <v>0</v>
      </c>
      <c r="AO12" s="84">
        <f t="shared" si="21"/>
        <v>0</v>
      </c>
      <c r="AP12" s="84">
        <f t="shared" si="22"/>
        <v>0</v>
      </c>
      <c r="AQ12" s="250">
        <f t="shared" si="7"/>
        <v>79.543821123315311</v>
      </c>
    </row>
    <row r="13" spans="1:43" s="244" customFormat="1" hidden="1">
      <c r="B13" s="245" t="s">
        <v>1607</v>
      </c>
      <c r="C13" s="246"/>
      <c r="D13" s="246"/>
      <c r="E13" s="246">
        <f>HLOOKUP($B$2,'Consumption Input'!$E$5:$AQ$82,'Consumption Input'!$B25)</f>
        <v>0</v>
      </c>
      <c r="F13" s="246"/>
      <c r="G13" s="246"/>
      <c r="H13" s="246"/>
      <c r="I13" s="84">
        <f t="shared" si="8"/>
        <v>0</v>
      </c>
      <c r="J13" s="265"/>
      <c r="K13" s="246"/>
      <c r="L13" s="246"/>
      <c r="M13" s="246"/>
      <c r="N13" s="247">
        <f t="shared" si="9"/>
        <v>0</v>
      </c>
      <c r="O13" s="246">
        <f t="shared" si="9"/>
        <v>0</v>
      </c>
      <c r="P13" s="246">
        <f t="shared" si="10"/>
        <v>0</v>
      </c>
      <c r="Q13" s="246">
        <f t="shared" si="11"/>
        <v>0</v>
      </c>
      <c r="R13" s="246">
        <f t="shared" si="11"/>
        <v>0</v>
      </c>
      <c r="S13" s="248">
        <f t="shared" si="11"/>
        <v>0</v>
      </c>
      <c r="T13" s="246">
        <f t="shared" si="3"/>
        <v>0</v>
      </c>
      <c r="U13" s="266">
        <f>Factors!D14</f>
        <v>27.85</v>
      </c>
      <c r="V13" s="247">
        <f t="shared" si="23"/>
        <v>0</v>
      </c>
      <c r="W13" s="246">
        <f t="shared" si="12"/>
        <v>0</v>
      </c>
      <c r="X13" s="246">
        <f t="shared" si="13"/>
        <v>0</v>
      </c>
      <c r="Y13" s="246">
        <f t="shared" si="14"/>
        <v>0</v>
      </c>
      <c r="Z13" s="246">
        <f t="shared" si="15"/>
        <v>0</v>
      </c>
      <c r="AA13" s="246">
        <f t="shared" si="16"/>
        <v>0</v>
      </c>
      <c r="AB13" s="246">
        <f t="shared" si="4"/>
        <v>0</v>
      </c>
      <c r="AC13" s="267">
        <f>Factors!E14</f>
        <v>1</v>
      </c>
      <c r="AD13" s="247">
        <f t="shared" si="17"/>
        <v>0</v>
      </c>
      <c r="AE13" s="246">
        <f t="shared" si="17"/>
        <v>0</v>
      </c>
      <c r="AF13" s="246">
        <f t="shared" si="17"/>
        <v>0</v>
      </c>
      <c r="AG13" s="246">
        <f t="shared" si="17"/>
        <v>0</v>
      </c>
      <c r="AH13" s="246">
        <f t="shared" si="17"/>
        <v>0</v>
      </c>
      <c r="AI13" s="246">
        <f t="shared" si="17"/>
        <v>0</v>
      </c>
      <c r="AJ13" s="249">
        <f t="shared" si="5"/>
        <v>0</v>
      </c>
      <c r="AK13" s="247">
        <f t="shared" si="24"/>
        <v>0</v>
      </c>
      <c r="AL13" s="246">
        <f t="shared" si="18"/>
        <v>0</v>
      </c>
      <c r="AM13" s="246">
        <f t="shared" si="19"/>
        <v>0</v>
      </c>
      <c r="AN13" s="246">
        <f t="shared" si="20"/>
        <v>0</v>
      </c>
      <c r="AO13" s="246">
        <f t="shared" si="21"/>
        <v>0</v>
      </c>
      <c r="AP13" s="246">
        <f t="shared" si="22"/>
        <v>0</v>
      </c>
      <c r="AQ13" s="250">
        <f t="shared" si="7"/>
        <v>0</v>
      </c>
    </row>
    <row r="14" spans="1:43">
      <c r="B14" s="188" t="s">
        <v>1735</v>
      </c>
      <c r="C14" s="84"/>
      <c r="D14" s="84"/>
      <c r="E14" s="84"/>
      <c r="F14" s="84">
        <f>HLOOKUP($B$2,'Consumption Input'!$E$5:$AQ$82,'Consumption Input'!$B48)</f>
        <v>0</v>
      </c>
      <c r="G14" s="84"/>
      <c r="H14" s="84"/>
      <c r="I14" s="84">
        <f t="shared" si="8"/>
        <v>0</v>
      </c>
      <c r="J14" s="262"/>
      <c r="K14" s="84"/>
      <c r="L14" s="84"/>
      <c r="M14" s="84"/>
      <c r="N14" s="189">
        <f t="shared" si="9"/>
        <v>0</v>
      </c>
      <c r="O14" s="84">
        <f t="shared" si="9"/>
        <v>0</v>
      </c>
      <c r="P14" s="84">
        <f t="shared" si="10"/>
        <v>0</v>
      </c>
      <c r="Q14" s="84">
        <f t="shared" si="11"/>
        <v>0</v>
      </c>
      <c r="R14" s="84">
        <f t="shared" si="11"/>
        <v>0</v>
      </c>
      <c r="S14" s="190">
        <f t="shared" si="11"/>
        <v>0</v>
      </c>
      <c r="T14" s="84">
        <f t="shared" si="3"/>
        <v>0</v>
      </c>
      <c r="U14" s="263" t="str">
        <f>Factors!D15</f>
        <v>NC</v>
      </c>
      <c r="V14" s="189">
        <f t="shared" si="23"/>
        <v>0</v>
      </c>
      <c r="W14" s="84">
        <f t="shared" si="12"/>
        <v>0</v>
      </c>
      <c r="X14" s="84">
        <f t="shared" si="13"/>
        <v>0</v>
      </c>
      <c r="Y14" s="84">
        <f t="shared" si="14"/>
        <v>0</v>
      </c>
      <c r="Z14" s="84">
        <f t="shared" si="15"/>
        <v>0</v>
      </c>
      <c r="AA14" s="84">
        <f t="shared" si="16"/>
        <v>0</v>
      </c>
      <c r="AB14" s="84" t="s">
        <v>103</v>
      </c>
      <c r="AC14" s="264" t="str">
        <f>Factors!E15</f>
        <v>NC</v>
      </c>
      <c r="AD14" s="189">
        <f t="shared" si="17"/>
        <v>0</v>
      </c>
      <c r="AE14" s="84">
        <f t="shared" si="17"/>
        <v>0</v>
      </c>
      <c r="AF14" s="84">
        <f t="shared" si="17"/>
        <v>0</v>
      </c>
      <c r="AG14" s="84">
        <f t="shared" si="17"/>
        <v>0</v>
      </c>
      <c r="AH14" s="84">
        <f t="shared" si="17"/>
        <v>0</v>
      </c>
      <c r="AI14" s="84">
        <f t="shared" si="17"/>
        <v>0</v>
      </c>
      <c r="AJ14" s="191">
        <f t="shared" si="5"/>
        <v>0</v>
      </c>
      <c r="AK14" s="189">
        <f t="shared" si="24"/>
        <v>0</v>
      </c>
      <c r="AL14" s="84">
        <f t="shared" si="18"/>
        <v>0</v>
      </c>
      <c r="AM14" s="84">
        <f t="shared" si="19"/>
        <v>0</v>
      </c>
      <c r="AN14" s="84">
        <f t="shared" si="20"/>
        <v>0</v>
      </c>
      <c r="AO14" s="84">
        <f t="shared" si="21"/>
        <v>0</v>
      </c>
      <c r="AP14" s="84">
        <f t="shared" si="22"/>
        <v>0</v>
      </c>
      <c r="AQ14" s="250">
        <f t="shared" si="7"/>
        <v>0</v>
      </c>
    </row>
    <row r="15" spans="1:43">
      <c r="B15" s="188" t="s">
        <v>1736</v>
      </c>
      <c r="C15" s="84"/>
      <c r="D15" s="84"/>
      <c r="E15" s="84"/>
      <c r="F15" s="84"/>
      <c r="G15" s="84">
        <f>HLOOKUP($B$2,'Consumption Input'!$E$5:$AQ$82,'Consumption Input'!$B58)</f>
        <v>16450.559000000001</v>
      </c>
      <c r="H15" s="84"/>
      <c r="I15" s="84">
        <f t="shared" ref="I15:I28" si="25">SUM(C15:H15)</f>
        <v>16450.559000000001</v>
      </c>
      <c r="J15" s="262"/>
      <c r="K15" s="84"/>
      <c r="L15" s="84"/>
      <c r="M15" s="84"/>
      <c r="N15" s="189">
        <f t="shared" si="9"/>
        <v>0</v>
      </c>
      <c r="O15" s="84">
        <f t="shared" si="9"/>
        <v>0</v>
      </c>
      <c r="P15" s="84">
        <f t="shared" si="10"/>
        <v>0</v>
      </c>
      <c r="Q15" s="84">
        <f t="shared" si="11"/>
        <v>0</v>
      </c>
      <c r="R15" s="84">
        <f t="shared" si="11"/>
        <v>16450.559000000001</v>
      </c>
      <c r="S15" s="190">
        <f t="shared" si="11"/>
        <v>0</v>
      </c>
      <c r="T15" s="84">
        <f t="shared" si="3"/>
        <v>16450.559000000001</v>
      </c>
      <c r="U15" s="263">
        <f>HLOOKUP($B$2,Factors!$J$12:$AG$25,Factors!$H16,FALSE)</f>
        <v>26.049147311306413</v>
      </c>
      <c r="V15" s="189">
        <f t="shared" si="23"/>
        <v>0</v>
      </c>
      <c r="W15" s="84">
        <f t="shared" si="12"/>
        <v>0</v>
      </c>
      <c r="X15" s="84">
        <f t="shared" si="13"/>
        <v>0</v>
      </c>
      <c r="Y15" s="84">
        <f t="shared" si="14"/>
        <v>0</v>
      </c>
      <c r="Z15" s="84">
        <f t="shared" si="15"/>
        <v>428.52303474433756</v>
      </c>
      <c r="AA15" s="84">
        <f t="shared" si="16"/>
        <v>0</v>
      </c>
      <c r="AB15" s="84">
        <f t="shared" ref="AB15:AB43" si="26">SUM(V15:AA15)</f>
        <v>428.52303474433756</v>
      </c>
      <c r="AC15" s="264">
        <f>Factors!E16</f>
        <v>1</v>
      </c>
      <c r="AD15" s="189">
        <f t="shared" si="17"/>
        <v>0</v>
      </c>
      <c r="AE15" s="84">
        <f t="shared" si="17"/>
        <v>0</v>
      </c>
      <c r="AF15" s="84">
        <f t="shared" si="17"/>
        <v>0</v>
      </c>
      <c r="AG15" s="84">
        <f t="shared" si="17"/>
        <v>0</v>
      </c>
      <c r="AH15" s="84">
        <f t="shared" si="17"/>
        <v>428.52303474433756</v>
      </c>
      <c r="AI15" s="84">
        <f t="shared" si="17"/>
        <v>0</v>
      </c>
      <c r="AJ15" s="191">
        <f t="shared" si="5"/>
        <v>428.52303474433756</v>
      </c>
      <c r="AK15" s="189">
        <f t="shared" si="24"/>
        <v>0</v>
      </c>
      <c r="AL15" s="84">
        <f t="shared" si="18"/>
        <v>0</v>
      </c>
      <c r="AM15" s="84">
        <f t="shared" si="19"/>
        <v>0</v>
      </c>
      <c r="AN15" s="84">
        <f t="shared" si="20"/>
        <v>0</v>
      </c>
      <c r="AO15" s="84">
        <f t="shared" si="21"/>
        <v>1571.2511273959044</v>
      </c>
      <c r="AP15" s="84">
        <f t="shared" si="22"/>
        <v>0</v>
      </c>
      <c r="AQ15" s="250">
        <f t="shared" si="7"/>
        <v>1571.2511273959044</v>
      </c>
    </row>
    <row r="16" spans="1:43">
      <c r="B16" s="188" t="s">
        <v>1737</v>
      </c>
      <c r="C16" s="84"/>
      <c r="D16" s="84"/>
      <c r="E16" s="84"/>
      <c r="F16" s="84"/>
      <c r="G16" s="84"/>
      <c r="H16" s="84">
        <f>HLOOKUP($B$2,'US Territories'!$D$28:$AA$38,'US Territories'!$B29)</f>
        <v>35.534273165896998</v>
      </c>
      <c r="I16" s="84">
        <f t="shared" si="25"/>
        <v>35.534273165896998</v>
      </c>
      <c r="J16" s="262"/>
      <c r="K16" s="84"/>
      <c r="L16" s="84"/>
      <c r="M16" s="84"/>
      <c r="N16" s="189">
        <f t="shared" si="9"/>
        <v>0</v>
      </c>
      <c r="O16" s="84">
        <f t="shared" si="9"/>
        <v>0</v>
      </c>
      <c r="P16" s="84">
        <f t="shared" si="10"/>
        <v>0</v>
      </c>
      <c r="Q16" s="84">
        <f t="shared" si="11"/>
        <v>0</v>
      </c>
      <c r="R16" s="84">
        <f t="shared" si="11"/>
        <v>0</v>
      </c>
      <c r="S16" s="190">
        <f>H16</f>
        <v>35.534273165896998</v>
      </c>
      <c r="T16" s="84">
        <f t="shared" si="3"/>
        <v>35.534273165896998</v>
      </c>
      <c r="U16" s="263">
        <f>Factors!D17</f>
        <v>25.14</v>
      </c>
      <c r="V16" s="192">
        <f t="shared" si="23"/>
        <v>0</v>
      </c>
      <c r="W16" s="193">
        <f t="shared" si="12"/>
        <v>0</v>
      </c>
      <c r="X16" s="193">
        <f t="shared" si="13"/>
        <v>0</v>
      </c>
      <c r="Y16" s="193">
        <f t="shared" si="14"/>
        <v>0</v>
      </c>
      <c r="Z16" s="193">
        <f t="shared" si="15"/>
        <v>0</v>
      </c>
      <c r="AA16" s="193">
        <f t="shared" si="16"/>
        <v>0.89333162739065053</v>
      </c>
      <c r="AB16" s="84">
        <f t="shared" si="26"/>
        <v>0.89333162739065053</v>
      </c>
      <c r="AC16" s="264">
        <f>Factors!E17</f>
        <v>1</v>
      </c>
      <c r="AD16" s="192">
        <f t="shared" si="17"/>
        <v>0</v>
      </c>
      <c r="AE16" s="193">
        <f t="shared" si="17"/>
        <v>0</v>
      </c>
      <c r="AF16" s="193">
        <f t="shared" si="17"/>
        <v>0</v>
      </c>
      <c r="AG16" s="193">
        <f t="shared" si="17"/>
        <v>0</v>
      </c>
      <c r="AH16" s="193">
        <f t="shared" si="17"/>
        <v>0</v>
      </c>
      <c r="AI16" s="193">
        <f t="shared" si="17"/>
        <v>0.89333162739065053</v>
      </c>
      <c r="AJ16" s="191">
        <f t="shared" si="5"/>
        <v>0.89333162739065053</v>
      </c>
      <c r="AK16" s="189">
        <f t="shared" si="24"/>
        <v>0</v>
      </c>
      <c r="AL16" s="84">
        <f t="shared" si="18"/>
        <v>0</v>
      </c>
      <c r="AM16" s="84">
        <f t="shared" si="19"/>
        <v>0</v>
      </c>
      <c r="AN16" s="84">
        <f t="shared" si="20"/>
        <v>0</v>
      </c>
      <c r="AO16" s="84">
        <f t="shared" si="21"/>
        <v>0</v>
      </c>
      <c r="AP16" s="84">
        <f t="shared" si="22"/>
        <v>3.275549300432385</v>
      </c>
      <c r="AQ16" s="250">
        <f t="shared" ref="AQ16:AQ42" si="27">SUM(AK16:AP16)</f>
        <v>3.275549300432385</v>
      </c>
    </row>
    <row r="17" spans="1:43">
      <c r="B17" s="194" t="s">
        <v>1439</v>
      </c>
      <c r="C17" s="124">
        <f>HLOOKUP($B$2,'Consumption Input'!$E$5:$AQ$82,'Consumption Input'!$B8)</f>
        <v>5022.9419999999991</v>
      </c>
      <c r="D17" s="124">
        <f>HLOOKUP($B$2,'Consumption Input'!$E$5:$AQ$82,'Consumption Input'!$B14)</f>
        <v>3379.7930000000001</v>
      </c>
      <c r="E17" s="124">
        <f>HLOOKUP($B$2,'Consumption Input'!$E$5:$AQ$82,'Consumption Input'!$B26)</f>
        <v>8828.5197285528957</v>
      </c>
      <c r="F17" s="124">
        <f>HLOOKUP($B$2,'Consumption Input'!$E$5:$AQ$82,'Consumption Input'!$B49)</f>
        <v>887.27299999999991</v>
      </c>
      <c r="G17" s="124">
        <f>HLOOKUP($B$2,'Consumption Input'!$E$5:$AQ$82,'Consumption Input'!$B59)</f>
        <v>8376.2540000000008</v>
      </c>
      <c r="H17" s="268">
        <f>HLOOKUP($B$2,'US Territories'!$D$28:$AA$38,'US Territories'!$B30)</f>
        <v>58.238016083000005</v>
      </c>
      <c r="I17" s="124">
        <f t="shared" si="25"/>
        <v>26553.019744635894</v>
      </c>
      <c r="J17" s="269"/>
      <c r="K17" s="124">
        <f>HLOOKUP($B$2,NEUConsumption,'Non-Energy Use'!$C$9)</f>
        <v>324.59100000000001</v>
      </c>
      <c r="L17" s="124"/>
      <c r="M17" s="124"/>
      <c r="N17" s="123">
        <f t="shared" si="9"/>
        <v>5022.9419999999991</v>
      </c>
      <c r="O17" s="124">
        <f t="shared" si="9"/>
        <v>3379.7930000000001</v>
      </c>
      <c r="P17" s="124">
        <f t="shared" si="10"/>
        <v>8503.9287285528953</v>
      </c>
      <c r="Q17" s="124">
        <f t="shared" si="11"/>
        <v>887.27299999999991</v>
      </c>
      <c r="R17" s="124">
        <f t="shared" si="11"/>
        <v>8376.2540000000008</v>
      </c>
      <c r="S17" s="268">
        <f t="shared" si="11"/>
        <v>58.238016083000005</v>
      </c>
      <c r="T17" s="124">
        <f t="shared" si="3"/>
        <v>26228.428744635894</v>
      </c>
      <c r="U17" s="270">
        <f>HLOOKUP($B$2,Factors!$J$12:$AG$26,Factors!$H26,FALSE)</f>
        <v>14.461854154819864</v>
      </c>
      <c r="V17" s="124">
        <f t="shared" si="23"/>
        <v>72.641054632119179</v>
      </c>
      <c r="W17" s="124">
        <f t="shared" si="12"/>
        <v>48.878073439481092</v>
      </c>
      <c r="X17" s="124">
        <f t="shared" si="13"/>
        <v>122.98257701531469</v>
      </c>
      <c r="Y17" s="124">
        <f t="shared" si="14"/>
        <v>12.831612721509485</v>
      </c>
      <c r="Z17" s="124">
        <f t="shared" si="15"/>
        <v>121.13616371172652</v>
      </c>
      <c r="AA17" s="124">
        <f t="shared" si="16"/>
        <v>0.84222969485839971</v>
      </c>
      <c r="AB17" s="124">
        <f t="shared" si="26"/>
        <v>379.31171121500938</v>
      </c>
      <c r="AC17" s="271">
        <f>Factors!E19</f>
        <v>1</v>
      </c>
      <c r="AD17" s="123">
        <f t="shared" si="17"/>
        <v>72.641054632119179</v>
      </c>
      <c r="AE17" s="124">
        <f t="shared" si="17"/>
        <v>48.878073439481092</v>
      </c>
      <c r="AF17" s="124">
        <f t="shared" si="17"/>
        <v>122.98257701531469</v>
      </c>
      <c r="AG17" s="124">
        <f t="shared" si="17"/>
        <v>12.831612721509485</v>
      </c>
      <c r="AH17" s="124">
        <f t="shared" si="17"/>
        <v>121.13616371172652</v>
      </c>
      <c r="AI17" s="124">
        <f t="shared" si="17"/>
        <v>0.84222969485839971</v>
      </c>
      <c r="AJ17" s="124">
        <f t="shared" si="5"/>
        <v>379.31171121500938</v>
      </c>
      <c r="AK17" s="123">
        <f t="shared" si="24"/>
        <v>266.35053365110366</v>
      </c>
      <c r="AL17" s="124">
        <f t="shared" si="18"/>
        <v>179.21960261143067</v>
      </c>
      <c r="AM17" s="124">
        <f t="shared" si="19"/>
        <v>450.93611572282049</v>
      </c>
      <c r="AN17" s="124">
        <f t="shared" si="20"/>
        <v>47.049246645534772</v>
      </c>
      <c r="AO17" s="124">
        <f t="shared" si="21"/>
        <v>444.16593360966391</v>
      </c>
      <c r="AP17" s="124">
        <f t="shared" si="22"/>
        <v>3.0881755478141319</v>
      </c>
      <c r="AQ17" s="211">
        <f t="shared" si="27"/>
        <v>1390.8096077883677</v>
      </c>
    </row>
    <row r="18" spans="1:43">
      <c r="B18" s="195" t="s">
        <v>1440</v>
      </c>
      <c r="C18" s="196">
        <f t="shared" ref="C18:H18" si="28">SUM(C19:C41)</f>
        <v>918.92361533662393</v>
      </c>
      <c r="D18" s="196">
        <f t="shared" si="28"/>
        <v>582.05536214315521</v>
      </c>
      <c r="E18" s="196">
        <f t="shared" si="28"/>
        <v>8345.6263986078848</v>
      </c>
      <c r="F18" s="196">
        <f t="shared" si="28"/>
        <v>24134.257793397239</v>
      </c>
      <c r="G18" s="196">
        <f t="shared" si="28"/>
        <v>255.16299999999998</v>
      </c>
      <c r="H18" s="196">
        <f t="shared" si="28"/>
        <v>310.29841643116259</v>
      </c>
      <c r="I18" s="196">
        <f t="shared" si="25"/>
        <v>34546.324585916067</v>
      </c>
      <c r="J18" s="272">
        <f t="shared" ref="J18:S18" si="29">SUM(J19:J41)</f>
        <v>1387.7262054949738</v>
      </c>
      <c r="K18" s="196">
        <f t="shared" si="29"/>
        <v>4328.0203378958413</v>
      </c>
      <c r="L18" s="196">
        <f t="shared" si="29"/>
        <v>143.36099999999999</v>
      </c>
      <c r="M18" s="196">
        <f t="shared" si="29"/>
        <v>10.535102645808543</v>
      </c>
      <c r="N18" s="197">
        <f t="shared" si="29"/>
        <v>918.92361533662393</v>
      </c>
      <c r="O18" s="196">
        <f t="shared" si="29"/>
        <v>582.05536214315521</v>
      </c>
      <c r="P18" s="196">
        <f t="shared" si="29"/>
        <v>4017.6060607120435</v>
      </c>
      <c r="Q18" s="196">
        <f t="shared" si="29"/>
        <v>22603.170587902263</v>
      </c>
      <c r="R18" s="196">
        <f t="shared" si="29"/>
        <v>255.16299999999998</v>
      </c>
      <c r="S18" s="198">
        <f t="shared" si="29"/>
        <v>299.763313785354</v>
      </c>
      <c r="T18" s="191">
        <f t="shared" si="3"/>
        <v>28676.68193987944</v>
      </c>
      <c r="U18" s="273" t="s">
        <v>1731</v>
      </c>
      <c r="V18" s="196">
        <f t="shared" ref="V18:AA18" si="30">SUM(V19:V41)</f>
        <v>17.15844624560286</v>
      </c>
      <c r="W18" s="196">
        <f t="shared" si="30"/>
        <v>11.228486449594216</v>
      </c>
      <c r="X18" s="196">
        <f t="shared" si="30"/>
        <v>81.724069255698836</v>
      </c>
      <c r="Y18" s="196">
        <f t="shared" si="30"/>
        <v>442.36272915847866</v>
      </c>
      <c r="Z18" s="196">
        <f t="shared" si="30"/>
        <v>6.1145591219123503</v>
      </c>
      <c r="AA18" s="196">
        <f t="shared" si="30"/>
        <v>5.9358132036344884</v>
      </c>
      <c r="AB18" s="196">
        <f t="shared" si="26"/>
        <v>564.52410343492136</v>
      </c>
      <c r="AC18" s="274" t="s">
        <v>1731</v>
      </c>
      <c r="AD18" s="197">
        <f t="shared" ref="AD18:AI18" si="31">SUM(AD19:AD41)</f>
        <v>17.15844624560286</v>
      </c>
      <c r="AE18" s="196">
        <f t="shared" si="31"/>
        <v>11.228486449594216</v>
      </c>
      <c r="AF18" s="196">
        <f t="shared" si="31"/>
        <v>81.724069255698836</v>
      </c>
      <c r="AG18" s="196">
        <f t="shared" si="31"/>
        <v>442.36272915847866</v>
      </c>
      <c r="AH18" s="196">
        <f t="shared" si="31"/>
        <v>6.1145591219123503</v>
      </c>
      <c r="AI18" s="196">
        <f t="shared" si="31"/>
        <v>5.9358132036344884</v>
      </c>
      <c r="AJ18" s="196">
        <f t="shared" si="5"/>
        <v>564.52410343492136</v>
      </c>
      <c r="AK18" s="199">
        <f t="shared" si="24"/>
        <v>62.914302900543817</v>
      </c>
      <c r="AL18" s="191">
        <f t="shared" si="18"/>
        <v>41.171116981845458</v>
      </c>
      <c r="AM18" s="191">
        <f t="shared" si="19"/>
        <v>299.65492060422906</v>
      </c>
      <c r="AN18" s="191">
        <f t="shared" si="20"/>
        <v>1621.9966735810883</v>
      </c>
      <c r="AO18" s="191">
        <f t="shared" si="21"/>
        <v>22.420050113678617</v>
      </c>
      <c r="AP18" s="191">
        <f t="shared" si="22"/>
        <v>21.764648413326455</v>
      </c>
      <c r="AQ18" s="212">
        <f t="shared" si="27"/>
        <v>2069.9217125947121</v>
      </c>
    </row>
    <row r="19" spans="1:43">
      <c r="B19" s="188" t="s">
        <v>1608</v>
      </c>
      <c r="C19" s="84"/>
      <c r="D19" s="84"/>
      <c r="E19" s="84">
        <f>HLOOKUP($B$2,'Consumption Input'!$E$5:$AQ$82,'Consumption Input'!$B27)</f>
        <v>783.34699999999998</v>
      </c>
      <c r="F19" s="84"/>
      <c r="G19" s="84"/>
      <c r="H19" s="84"/>
      <c r="I19" s="84">
        <f t="shared" si="25"/>
        <v>783.34699999999998</v>
      </c>
      <c r="J19" s="262"/>
      <c r="K19" s="84">
        <f>HLOOKUP($B$2,NEUConsumption,'Non-Energy Use'!$C$10)</f>
        <v>783.34699999999998</v>
      </c>
      <c r="L19" s="84"/>
      <c r="M19" s="84"/>
      <c r="N19" s="189">
        <f t="shared" ref="N19:O42" si="32">C19</f>
        <v>0</v>
      </c>
      <c r="O19" s="84">
        <f t="shared" si="32"/>
        <v>0</v>
      </c>
      <c r="P19" s="84">
        <f t="shared" ref="P19:P41" si="33">E19-K19</f>
        <v>0</v>
      </c>
      <c r="Q19" s="84">
        <f t="shared" ref="Q19:Q41" si="34">F19-J19-L19</f>
        <v>0</v>
      </c>
      <c r="R19" s="84">
        <f t="shared" ref="R19:R42" si="35">G19</f>
        <v>0</v>
      </c>
      <c r="S19" s="190">
        <f t="shared" ref="S19:S41" si="36">H19-M19</f>
        <v>0</v>
      </c>
      <c r="T19" s="84">
        <f t="shared" si="3"/>
        <v>0</v>
      </c>
      <c r="U19" s="263">
        <f>Factors!D24</f>
        <v>20.55318099621897</v>
      </c>
      <c r="V19" s="189">
        <f t="shared" ref="V19:V41" si="37">N19*$U19*TbtuToQBtu</f>
        <v>0</v>
      </c>
      <c r="W19" s="84">
        <f t="shared" ref="W19:W41" si="38">O19*$U19*TbtuToQBtu</f>
        <v>0</v>
      </c>
      <c r="X19" s="84">
        <f t="shared" ref="X19:X41" si="39">P19*$U19*TbtuToQBtu</f>
        <v>0</v>
      </c>
      <c r="Y19" s="84">
        <f t="shared" ref="Y19:Y41" si="40">Q19*$U19*TbtuToQBtu</f>
        <v>0</v>
      </c>
      <c r="Z19" s="84">
        <f t="shared" ref="Z19:Z41" si="41">R19*$U19*TbtuToQBtu</f>
        <v>0</v>
      </c>
      <c r="AA19" s="84">
        <f t="shared" ref="AA19:AA41" si="42">S19*$U19*TbtuToQBtu</f>
        <v>0</v>
      </c>
      <c r="AB19" s="84">
        <f t="shared" si="26"/>
        <v>0</v>
      </c>
      <c r="AC19" s="264">
        <f>Factors!E24</f>
        <v>1</v>
      </c>
      <c r="AD19" s="189">
        <f t="shared" ref="AD19:AI35" si="43">V19*$AC19</f>
        <v>0</v>
      </c>
      <c r="AE19" s="84">
        <f t="shared" si="43"/>
        <v>0</v>
      </c>
      <c r="AF19" s="84">
        <f t="shared" si="43"/>
        <v>0</v>
      </c>
      <c r="AG19" s="84">
        <f t="shared" si="43"/>
        <v>0</v>
      </c>
      <c r="AH19" s="84">
        <f t="shared" si="43"/>
        <v>0</v>
      </c>
      <c r="AI19" s="84">
        <f t="shared" si="43"/>
        <v>0</v>
      </c>
      <c r="AJ19" s="191">
        <f t="shared" si="5"/>
        <v>0</v>
      </c>
      <c r="AK19" s="189">
        <f t="shared" si="24"/>
        <v>0</v>
      </c>
      <c r="AL19" s="84">
        <f t="shared" si="18"/>
        <v>0</v>
      </c>
      <c r="AM19" s="84">
        <f t="shared" si="19"/>
        <v>0</v>
      </c>
      <c r="AN19" s="84">
        <f t="shared" si="20"/>
        <v>0</v>
      </c>
      <c r="AO19" s="84">
        <f t="shared" si="21"/>
        <v>0</v>
      </c>
      <c r="AP19" s="84">
        <f t="shared" si="22"/>
        <v>0</v>
      </c>
      <c r="AQ19" s="250">
        <f t="shared" si="27"/>
        <v>0</v>
      </c>
    </row>
    <row r="20" spans="1:43">
      <c r="B20" s="188" t="s">
        <v>1622</v>
      </c>
      <c r="C20" s="84"/>
      <c r="D20" s="84"/>
      <c r="E20" s="84"/>
      <c r="F20" s="84">
        <f>HLOOKUP($B$2,'Consumption Input'!$E$5:$AQ$82,'Consumption Input'!$B50)</f>
        <v>22.358000000000001</v>
      </c>
      <c r="G20" s="84"/>
      <c r="H20" s="84"/>
      <c r="I20" s="84">
        <f t="shared" si="25"/>
        <v>22.358000000000001</v>
      </c>
      <c r="J20" s="262"/>
      <c r="K20" s="84"/>
      <c r="L20" s="84"/>
      <c r="M20" s="84"/>
      <c r="N20" s="189">
        <f t="shared" si="32"/>
        <v>0</v>
      </c>
      <c r="O20" s="84">
        <f t="shared" si="32"/>
        <v>0</v>
      </c>
      <c r="P20" s="84">
        <f t="shared" si="33"/>
        <v>0</v>
      </c>
      <c r="Q20" s="84">
        <f t="shared" si="34"/>
        <v>22.358000000000001</v>
      </c>
      <c r="R20" s="84">
        <f t="shared" si="35"/>
        <v>0</v>
      </c>
      <c r="S20" s="190">
        <f t="shared" si="36"/>
        <v>0</v>
      </c>
      <c r="T20" s="84">
        <f t="shared" si="3"/>
        <v>22.358000000000001</v>
      </c>
      <c r="U20" s="263">
        <f>Factors!D25</f>
        <v>18.855352254718337</v>
      </c>
      <c r="V20" s="189">
        <f t="shared" si="37"/>
        <v>0</v>
      </c>
      <c r="W20" s="84">
        <f t="shared" si="38"/>
        <v>0</v>
      </c>
      <c r="X20" s="84">
        <f t="shared" si="39"/>
        <v>0</v>
      </c>
      <c r="Y20" s="84">
        <f t="shared" si="40"/>
        <v>0.42156796571099264</v>
      </c>
      <c r="Z20" s="84">
        <f t="shared" si="41"/>
        <v>0</v>
      </c>
      <c r="AA20" s="84">
        <f t="shared" si="42"/>
        <v>0</v>
      </c>
      <c r="AB20" s="84">
        <f t="shared" si="26"/>
        <v>0.42156796571099264</v>
      </c>
      <c r="AC20" s="264">
        <f>Factors!E25</f>
        <v>1</v>
      </c>
      <c r="AD20" s="189">
        <f t="shared" si="43"/>
        <v>0</v>
      </c>
      <c r="AE20" s="84">
        <f t="shared" si="43"/>
        <v>0</v>
      </c>
      <c r="AF20" s="84">
        <f t="shared" si="43"/>
        <v>0</v>
      </c>
      <c r="AG20" s="84">
        <f t="shared" si="43"/>
        <v>0.42156796571099264</v>
      </c>
      <c r="AH20" s="84">
        <f t="shared" si="43"/>
        <v>0</v>
      </c>
      <c r="AI20" s="84">
        <f t="shared" si="43"/>
        <v>0</v>
      </c>
      <c r="AJ20" s="191">
        <f t="shared" si="5"/>
        <v>0.42156796571099264</v>
      </c>
      <c r="AK20" s="189">
        <f t="shared" si="24"/>
        <v>0</v>
      </c>
      <c r="AL20" s="84">
        <f t="shared" si="18"/>
        <v>0</v>
      </c>
      <c r="AM20" s="84">
        <f t="shared" si="19"/>
        <v>0</v>
      </c>
      <c r="AN20" s="84">
        <f t="shared" si="20"/>
        <v>1.545749207606973</v>
      </c>
      <c r="AO20" s="84">
        <f t="shared" si="21"/>
        <v>0</v>
      </c>
      <c r="AP20" s="84">
        <f t="shared" si="22"/>
        <v>0</v>
      </c>
      <c r="AQ20" s="250">
        <f t="shared" si="27"/>
        <v>1.545749207606973</v>
      </c>
    </row>
    <row r="21" spans="1:43">
      <c r="B21" s="188" t="s">
        <v>1738</v>
      </c>
      <c r="C21" s="84">
        <f>HLOOKUP($B$2,'Consumption Input'!$E$5:$AQ$82,'Consumption Input'!$B9)</f>
        <v>447.19061533662392</v>
      </c>
      <c r="D21" s="84">
        <f>HLOOKUP($B$2,'Consumption Input'!$E$5:$AQ$82,'Consumption Input'!$B15)</f>
        <v>312.60620898365926</v>
      </c>
      <c r="E21" s="84">
        <f>HLOOKUP($B$2,'Consumption Input'!$E$5:$AQ$82,'Consumption Input'!$B28)</f>
        <v>1149.935917145192</v>
      </c>
      <c r="F21" s="84">
        <f>HLOOKUP($B$2,'Consumption Input'!$E$5:$AQ$82,'Consumption Input'!$B51)</f>
        <v>5870.6860832964303</v>
      </c>
      <c r="G21" s="84">
        <f>HLOOKUP($B$2,'Consumption Input'!$E$5:$AQ$82,'Consumption Input'!$B60)</f>
        <v>55.42</v>
      </c>
      <c r="H21" s="84">
        <f>HLOOKUP($B$2,'US Territories'!$D$28:$AA$38,'US Territories'!$B31)</f>
        <v>71.920633164341425</v>
      </c>
      <c r="I21" s="84">
        <f t="shared" si="25"/>
        <v>7907.7594579262477</v>
      </c>
      <c r="J21" s="262">
        <f>HLOOKUP($B$2,IBFConsumption,'International Bunker Fuels'!$B$10)</f>
        <v>75.44056699365828</v>
      </c>
      <c r="K21" s="84">
        <f>HLOOKUP($B$2,NEUConsumption,'Non-Energy Use'!$C$20)</f>
        <v>5.8250000000000002</v>
      </c>
      <c r="L21" s="84"/>
      <c r="M21" s="84"/>
      <c r="N21" s="189">
        <f t="shared" si="32"/>
        <v>447.19061533662392</v>
      </c>
      <c r="O21" s="84">
        <f t="shared" si="32"/>
        <v>312.60620898365926</v>
      </c>
      <c r="P21" s="84">
        <f t="shared" si="33"/>
        <v>1144.1109171451919</v>
      </c>
      <c r="Q21" s="84">
        <f t="shared" si="34"/>
        <v>5795.2455163027716</v>
      </c>
      <c r="R21" s="84">
        <f t="shared" si="35"/>
        <v>55.42</v>
      </c>
      <c r="S21" s="190">
        <f>H21-M21</f>
        <v>71.920633164341425</v>
      </c>
      <c r="T21" s="84">
        <f t="shared" si="3"/>
        <v>7826.4938909325883</v>
      </c>
      <c r="U21" s="263">
        <f>HLOOKUP($B$2,Factors!$J$12:$BE$27,Factors!$H27,FALSE)</f>
        <v>20.23</v>
      </c>
      <c r="V21" s="189">
        <f t="shared" si="37"/>
        <v>9.0466661482599022</v>
      </c>
      <c r="W21" s="84">
        <f t="shared" si="38"/>
        <v>6.3240236077394263</v>
      </c>
      <c r="X21" s="84">
        <f t="shared" si="39"/>
        <v>23.145363853847233</v>
      </c>
      <c r="Y21" s="84">
        <f t="shared" si="40"/>
        <v>117.23781679480507</v>
      </c>
      <c r="Z21" s="84">
        <f t="shared" si="41"/>
        <v>1.1211466000000001</v>
      </c>
      <c r="AA21" s="84">
        <f t="shared" si="42"/>
        <v>1.4549544089146271</v>
      </c>
      <c r="AB21" s="84">
        <f t="shared" si="26"/>
        <v>158.32997141356628</v>
      </c>
      <c r="AC21" s="264">
        <f>Factors!E26</f>
        <v>1</v>
      </c>
      <c r="AD21" s="189">
        <f t="shared" si="43"/>
        <v>9.0466661482599022</v>
      </c>
      <c r="AE21" s="84">
        <f t="shared" si="43"/>
        <v>6.3240236077394263</v>
      </c>
      <c r="AF21" s="84">
        <f t="shared" si="43"/>
        <v>23.145363853847233</v>
      </c>
      <c r="AG21" s="84">
        <f t="shared" si="43"/>
        <v>117.23781679480507</v>
      </c>
      <c r="AH21" s="84">
        <f t="shared" si="43"/>
        <v>1.1211466000000001</v>
      </c>
      <c r="AI21" s="84">
        <f t="shared" si="43"/>
        <v>1.4549544089146271</v>
      </c>
      <c r="AJ21" s="191">
        <f t="shared" si="5"/>
        <v>158.32997141356628</v>
      </c>
      <c r="AK21" s="189">
        <f t="shared" si="24"/>
        <v>33.171109210286303</v>
      </c>
      <c r="AL21" s="84">
        <f t="shared" si="18"/>
        <v>23.188086561711227</v>
      </c>
      <c r="AM21" s="84">
        <f t="shared" si="19"/>
        <v>84.866334130773183</v>
      </c>
      <c r="AN21" s="84">
        <f t="shared" si="20"/>
        <v>429.87199491428527</v>
      </c>
      <c r="AO21" s="84">
        <f t="shared" si="21"/>
        <v>4.1108708666666667</v>
      </c>
      <c r="AP21" s="84">
        <f t="shared" si="22"/>
        <v>5.3348328326869661</v>
      </c>
      <c r="AQ21" s="250">
        <f t="shared" si="27"/>
        <v>580.54322851640961</v>
      </c>
    </row>
    <row r="22" spans="1:43">
      <c r="B22" s="188" t="s">
        <v>1623</v>
      </c>
      <c r="C22" s="84"/>
      <c r="D22" s="84"/>
      <c r="E22" s="84"/>
      <c r="F22" s="84">
        <f>HLOOKUP($B$2,'Consumption Input'!$E$5:$AQ$82,'Consumption Input'!$B52)</f>
        <v>2968.5590000000002</v>
      </c>
      <c r="G22" s="279"/>
      <c r="H22" s="84">
        <f>HLOOKUP($B$2,'US Territories'!$D$28:$AA$38,'US Territories'!$B32)</f>
        <v>30.048046894002574</v>
      </c>
      <c r="I22" s="84">
        <f t="shared" si="25"/>
        <v>2998.6070468940029</v>
      </c>
      <c r="J22" s="262">
        <f>HLOOKUP($B$2,IBFConsumption,'International Bunker Fuels'!$B$8)</f>
        <v>932.49186776158558</v>
      </c>
      <c r="K22" s="84"/>
      <c r="L22" s="84"/>
      <c r="M22" s="84"/>
      <c r="N22" s="189">
        <f t="shared" si="32"/>
        <v>0</v>
      </c>
      <c r="O22" s="84">
        <f t="shared" si="32"/>
        <v>0</v>
      </c>
      <c r="P22" s="84">
        <f t="shared" si="33"/>
        <v>0</v>
      </c>
      <c r="Q22" s="84">
        <f t="shared" si="34"/>
        <v>2036.0671322384146</v>
      </c>
      <c r="R22" s="84">
        <f t="shared" si="35"/>
        <v>0</v>
      </c>
      <c r="S22" s="190">
        <f t="shared" si="36"/>
        <v>30.048046894002574</v>
      </c>
      <c r="T22" s="84">
        <f t="shared" si="3"/>
        <v>2066.1151791324173</v>
      </c>
      <c r="U22" s="263">
        <f>HLOOKUP($B$2,Factors!$J$12:$AG$25,Factors!$H21,FALSE)</f>
        <v>19.696969696969692</v>
      </c>
      <c r="V22" s="189">
        <f t="shared" si="37"/>
        <v>0</v>
      </c>
      <c r="W22" s="84">
        <f t="shared" si="38"/>
        <v>0</v>
      </c>
      <c r="X22" s="84">
        <f t="shared" si="39"/>
        <v>0</v>
      </c>
      <c r="Y22" s="84">
        <f t="shared" si="40"/>
        <v>40.104352604696032</v>
      </c>
      <c r="Z22" s="84">
        <f t="shared" si="41"/>
        <v>0</v>
      </c>
      <c r="AA22" s="84">
        <f t="shared" si="42"/>
        <v>0.59185546912429299</v>
      </c>
      <c r="AB22" s="84">
        <f t="shared" si="26"/>
        <v>40.696208073820323</v>
      </c>
      <c r="AC22" s="264">
        <f>Factors!E27</f>
        <v>1</v>
      </c>
      <c r="AD22" s="189">
        <f t="shared" si="43"/>
        <v>0</v>
      </c>
      <c r="AE22" s="84">
        <f t="shared" si="43"/>
        <v>0</v>
      </c>
      <c r="AF22" s="84">
        <f t="shared" si="43"/>
        <v>0</v>
      </c>
      <c r="AG22" s="84">
        <f t="shared" si="43"/>
        <v>40.104352604696032</v>
      </c>
      <c r="AH22" s="84">
        <f t="shared" si="43"/>
        <v>0</v>
      </c>
      <c r="AI22" s="84">
        <f t="shared" si="43"/>
        <v>0.59185546912429299</v>
      </c>
      <c r="AJ22" s="191">
        <f t="shared" si="5"/>
        <v>40.696208073820323</v>
      </c>
      <c r="AK22" s="189">
        <f t="shared" si="24"/>
        <v>0</v>
      </c>
      <c r="AL22" s="84">
        <f t="shared" si="18"/>
        <v>0</v>
      </c>
      <c r="AM22" s="84">
        <f t="shared" si="19"/>
        <v>0</v>
      </c>
      <c r="AN22" s="84">
        <f t="shared" si="20"/>
        <v>147.04929288388544</v>
      </c>
      <c r="AO22" s="84">
        <f t="shared" si="21"/>
        <v>0</v>
      </c>
      <c r="AP22" s="84">
        <f t="shared" si="22"/>
        <v>2.1701367201224073</v>
      </c>
      <c r="AQ22" s="250">
        <f t="shared" si="27"/>
        <v>149.21942960400784</v>
      </c>
    </row>
    <row r="23" spans="1:43">
      <c r="B23" s="188" t="s">
        <v>1599</v>
      </c>
      <c r="C23" s="84">
        <f>HLOOKUP($B$2,'Consumption Input'!$E$5:$AQ$82,'Consumption Input'!$B10)</f>
        <v>8.26</v>
      </c>
      <c r="D23" s="84">
        <f>HLOOKUP($B$2,'Consumption Input'!$E$5:$AQ$82,'Consumption Input'!$B16)</f>
        <v>1.018</v>
      </c>
      <c r="E23" s="84">
        <f>HLOOKUP($B$2,'Consumption Input'!$E$5:$AQ$82,'Consumption Input'!$B29)</f>
        <v>1.4770000000000001</v>
      </c>
      <c r="F23" s="84"/>
      <c r="G23" s="84"/>
      <c r="H23" s="84">
        <f>HLOOKUP($B$2,'US Territories'!$D$28:$AA$38,'US Territories'!$B33)</f>
        <v>0.10358241830136986</v>
      </c>
      <c r="I23" s="84">
        <f t="shared" si="25"/>
        <v>10.858582418301371</v>
      </c>
      <c r="J23" s="262"/>
      <c r="K23" s="84"/>
      <c r="L23" s="84"/>
      <c r="M23" s="84"/>
      <c r="N23" s="189">
        <f t="shared" si="32"/>
        <v>8.26</v>
      </c>
      <c r="O23" s="84">
        <f t="shared" si="32"/>
        <v>1.018</v>
      </c>
      <c r="P23" s="84">
        <f t="shared" si="33"/>
        <v>1.4770000000000001</v>
      </c>
      <c r="Q23" s="84">
        <f t="shared" si="34"/>
        <v>0</v>
      </c>
      <c r="R23" s="84">
        <f t="shared" si="35"/>
        <v>0</v>
      </c>
      <c r="S23" s="190">
        <f t="shared" si="36"/>
        <v>0.10358241830136986</v>
      </c>
      <c r="T23" s="84">
        <f t="shared" si="3"/>
        <v>10.858582418301371</v>
      </c>
      <c r="U23" s="263">
        <f>Factors!D28</f>
        <v>19.964104564962931</v>
      </c>
      <c r="V23" s="189">
        <f t="shared" si="37"/>
        <v>0.16490350370659379</v>
      </c>
      <c r="W23" s="84">
        <f t="shared" si="38"/>
        <v>2.0323458447132264E-2</v>
      </c>
      <c r="X23" s="84">
        <f t="shared" si="39"/>
        <v>2.9486982442450252E-2</v>
      </c>
      <c r="Y23" s="84">
        <f t="shared" si="40"/>
        <v>0</v>
      </c>
      <c r="Z23" s="84">
        <f t="shared" si="41"/>
        <v>0</v>
      </c>
      <c r="AA23" s="84">
        <f t="shared" si="42"/>
        <v>2.0679302300602776E-3</v>
      </c>
      <c r="AB23" s="84">
        <f t="shared" si="26"/>
        <v>0.21678187482623659</v>
      </c>
      <c r="AC23" s="264">
        <f>Factors!E28</f>
        <v>1</v>
      </c>
      <c r="AD23" s="189">
        <f t="shared" si="43"/>
        <v>0.16490350370659379</v>
      </c>
      <c r="AE23" s="84">
        <f t="shared" si="43"/>
        <v>2.0323458447132264E-2</v>
      </c>
      <c r="AF23" s="84">
        <f t="shared" si="43"/>
        <v>2.9486982442450252E-2</v>
      </c>
      <c r="AG23" s="84">
        <f t="shared" si="43"/>
        <v>0</v>
      </c>
      <c r="AH23" s="84">
        <f t="shared" si="43"/>
        <v>0</v>
      </c>
      <c r="AI23" s="84">
        <f t="shared" si="43"/>
        <v>2.0679302300602776E-3</v>
      </c>
      <c r="AJ23" s="191">
        <f t="shared" si="5"/>
        <v>0.21678187482623659</v>
      </c>
      <c r="AK23" s="189">
        <f t="shared" si="24"/>
        <v>0.60464618025751049</v>
      </c>
      <c r="AL23" s="84">
        <f t="shared" si="18"/>
        <v>7.4519347639484965E-2</v>
      </c>
      <c r="AM23" s="84">
        <f t="shared" si="19"/>
        <v>0.10811893562231759</v>
      </c>
      <c r="AN23" s="84">
        <f t="shared" si="20"/>
        <v>0</v>
      </c>
      <c r="AO23" s="84">
        <f t="shared" si="21"/>
        <v>0</v>
      </c>
      <c r="AP23" s="84">
        <f t="shared" si="22"/>
        <v>7.5824108435543509E-3</v>
      </c>
      <c r="AQ23" s="250">
        <f t="shared" si="27"/>
        <v>0.7948668743628674</v>
      </c>
    </row>
    <row r="24" spans="1:43">
      <c r="A24" s="817"/>
      <c r="B24" s="860" t="s">
        <v>1600</v>
      </c>
      <c r="C24" s="883">
        <f>HLOOKUP($B$2,'Consumption Input'!$E$5:$AQ$82,'Consumption Input'!$B11)</f>
        <v>463.47300000000001</v>
      </c>
      <c r="D24" s="883">
        <f>HLOOKUP($B$2,'Consumption Input'!$E$5:$AQ$82,'Consumption Input'!$B17)</f>
        <v>151.61699999999999</v>
      </c>
      <c r="E24"/>
      <c r="F24" s="883">
        <f>HLOOKUP($B$2,'Consumption Input'!$E$5:$AQ$82,'Consumption Input'!$B53)</f>
        <v>6.0919999999999996</v>
      </c>
      <c r="G24" s="883"/>
      <c r="H24"/>
      <c r="I24" s="883">
        <f>SUM(C24:H24)</f>
        <v>621.18200000000002</v>
      </c>
      <c r="J24" s="884"/>
      <c r="K24"/>
      <c r="L24" s="883"/>
      <c r="M24" s="883"/>
      <c r="N24" s="885">
        <f>C24</f>
        <v>463.47300000000001</v>
      </c>
      <c r="O24" s="883">
        <f t="shared" si="32"/>
        <v>151.61699999999999</v>
      </c>
      <c r="P24"/>
      <c r="Q24" s="883">
        <f t="shared" si="34"/>
        <v>6.0919999999999996</v>
      </c>
      <c r="R24" s="883">
        <f t="shared" si="35"/>
        <v>0</v>
      </c>
      <c r="S24" s="1007"/>
      <c r="T24" s="883">
        <f t="shared" si="3"/>
        <v>621.18200000000002</v>
      </c>
      <c r="U24" s="1005">
        <f>HLOOKUP($B$2,Factors!$J$12:$BE$25,Factors!$H17,FALSE)</f>
        <v>17.146363636363635</v>
      </c>
      <c r="V24" s="885">
        <f>N24*$U24*TbtuToQBtu</f>
        <v>7.9468765936363637</v>
      </c>
      <c r="W24" s="883">
        <f>O24*$U24*TbtuToQBtu</f>
        <v>2.5996802154545451</v>
      </c>
      <c r="X24"/>
      <c r="Y24" s="883">
        <f>Q24*$U24*TbtuToQBtu</f>
        <v>0.10445564727272727</v>
      </c>
      <c r="Z24" s="883">
        <f t="shared" ref="Z24" si="44">R24*$U24*TbtuToQBtu</f>
        <v>0</v>
      </c>
      <c r="AA24"/>
      <c r="AB24" s="883">
        <f>SUM(V24:AA24)</f>
        <v>10.651012456363636</v>
      </c>
      <c r="AC24" s="888">
        <f>Factors!E30</f>
        <v>1</v>
      </c>
      <c r="AD24" s="885">
        <f>V24*$AC24</f>
        <v>7.9468765936363637</v>
      </c>
      <c r="AE24" s="883">
        <f t="shared" si="43"/>
        <v>2.5996802154545451</v>
      </c>
      <c r="AF24"/>
      <c r="AG24" s="883">
        <f t="shared" si="43"/>
        <v>0.10445564727272727</v>
      </c>
      <c r="AH24" s="883">
        <f t="shared" si="43"/>
        <v>0</v>
      </c>
      <c r="AI24"/>
      <c r="AJ24" s="889">
        <f t="shared" si="5"/>
        <v>10.651012456363636</v>
      </c>
      <c r="AK24" s="885">
        <f>AD24*CtoCO2</f>
        <v>29.138547509999999</v>
      </c>
      <c r="AL24" s="883">
        <f t="shared" ref="AL24" si="45">AE24*CtoCO2</f>
        <v>9.5321607899999989</v>
      </c>
      <c r="AN24" s="883">
        <f t="shared" ref="AN24" si="46">AG24*CtoCO2</f>
        <v>0.38300403999999999</v>
      </c>
      <c r="AO24" s="883">
        <f t="shared" ref="AO24" si="47">AH24*CtoCO2</f>
        <v>0</v>
      </c>
      <c r="AQ24" s="890">
        <f t="shared" si="27"/>
        <v>39.053712340000004</v>
      </c>
    </row>
    <row r="25" spans="1:43">
      <c r="A25" s="817"/>
      <c r="B25" s="860" t="s">
        <v>1609</v>
      </c>
      <c r="C25" s="883"/>
      <c r="D25" s="883"/>
      <c r="E25" s="883">
        <f>HLOOKUP($B$2,'Consumption Input'!$E$5:$AQ$82,'Consumption Input'!$B30)</f>
        <v>2450.0035188239999</v>
      </c>
      <c r="F25" s="883"/>
      <c r="G25" s="883"/>
      <c r="H25" s="883">
        <f>HLOOKUP($B$2,'US Territories'!$D$28:$AO$38,'US Territories'!$B34)</f>
        <v>7.316453015161648</v>
      </c>
      <c r="I25" s="883">
        <f>SUM(C25:H25)</f>
        <v>2457.3199718391616</v>
      </c>
      <c r="J25" s="884"/>
      <c r="K25" s="883">
        <f>HLOOKUP($B$2,NEUConsumption,'Non-Energy Use'!$C$11)</f>
        <v>2155.1857299178482</v>
      </c>
      <c r="L25" s="883"/>
      <c r="M25" s="883"/>
      <c r="N25" s="885"/>
      <c r="O25" s="883"/>
      <c r="P25" s="883">
        <f>E25-K25</f>
        <v>294.81778890615169</v>
      </c>
      <c r="Q25" s="883"/>
      <c r="R25" s="883"/>
      <c r="S25" s="886">
        <f>H25-M25</f>
        <v>7.316453015161648</v>
      </c>
      <c r="T25" s="883">
        <f t="shared" si="3"/>
        <v>302.13424192131333</v>
      </c>
      <c r="U25" s="1005">
        <f>HLOOKUP($B$2,Factors!$J$12:$BE$25,Factors!$H18,FALSE)</f>
        <v>17.634981008548731</v>
      </c>
      <c r="V25" s="885"/>
      <c r="W25" s="883"/>
      <c r="X25" s="883">
        <f>P25*$U25*TbtuToQBtu</f>
        <v>5.1991061083423142</v>
      </c>
      <c r="Y25" s="883"/>
      <c r="Z25" s="883"/>
      <c r="AA25" s="883">
        <f>S25*$U25*TbtuToQBtu</f>
        <v>0.12902550997231479</v>
      </c>
      <c r="AB25" s="883">
        <f>SUM(V25:AA25)</f>
        <v>5.3281316183146288</v>
      </c>
      <c r="AC25" s="888">
        <f>Factors!E31</f>
        <v>1</v>
      </c>
      <c r="AD25" s="885"/>
      <c r="AE25" s="883"/>
      <c r="AF25" s="883">
        <f>X25*$AC25</f>
        <v>5.1991061083423142</v>
      </c>
      <c r="AG25" s="883"/>
      <c r="AH25" s="883"/>
      <c r="AI25" s="883">
        <f>AA25*$AC25</f>
        <v>0.12902550997231479</v>
      </c>
      <c r="AJ25" s="889">
        <f t="shared" si="5"/>
        <v>5.3281316183146288</v>
      </c>
      <c r="AK25" s="885"/>
      <c r="AL25" s="883"/>
      <c r="AM25" s="883">
        <f>AF25*CtoCO2</f>
        <v>19.063389063921818</v>
      </c>
      <c r="AN25" s="883"/>
      <c r="AO25" s="883"/>
      <c r="AP25" s="883">
        <f>AI25*CtoCO2</f>
        <v>0.47309353656515424</v>
      </c>
      <c r="AQ25" s="890">
        <f t="shared" si="27"/>
        <v>19.536482600486973</v>
      </c>
    </row>
    <row r="26" spans="1:43">
      <c r="B26" s="188" t="s">
        <v>1610</v>
      </c>
      <c r="C26" s="84"/>
      <c r="D26" s="84"/>
      <c r="E26" s="84">
        <f>HLOOKUP($B$2,'Consumption Input'!$E$5:$AQ$82,'Consumption Input'!$B31)</f>
        <v>125.09100000000001</v>
      </c>
      <c r="F26" s="84">
        <f>HLOOKUP($B$2,'Consumption Input'!$E$5:$AQ$82,'Consumption Input'!$B54)</f>
        <v>143.36099999999999</v>
      </c>
      <c r="G26" s="84"/>
      <c r="H26" s="84">
        <f>HLOOKUP($B$2,'US Territories'!$D$28:$AA$38,'US Territories'!$B35)</f>
        <v>1.0411633874999999</v>
      </c>
      <c r="I26" s="84">
        <f t="shared" si="25"/>
        <v>269.49316338749998</v>
      </c>
      <c r="J26" s="262"/>
      <c r="K26" s="84">
        <f>HLOOKUP($B$2,NEUConsumption,'Non-Energy Use'!$C$12)</f>
        <v>125.09100000000001</v>
      </c>
      <c r="L26" s="84">
        <f>HLOOKUP($B$2,NEUConsumption,'Non-Energy Use'!$C$24)</f>
        <v>143.36099999999999</v>
      </c>
      <c r="M26" s="84">
        <f>HLOOKUP($B$2,NEUConsumption,'Non-Energy Use'!$C$26)</f>
        <v>1.0411633874999999</v>
      </c>
      <c r="N26" s="189">
        <f t="shared" si="32"/>
        <v>0</v>
      </c>
      <c r="O26" s="84">
        <f t="shared" si="32"/>
        <v>0</v>
      </c>
      <c r="P26" s="84">
        <f t="shared" si="33"/>
        <v>0</v>
      </c>
      <c r="Q26" s="84">
        <f>F26-J26-L26</f>
        <v>0</v>
      </c>
      <c r="R26" s="84">
        <f>G26</f>
        <v>0</v>
      </c>
      <c r="S26" s="190">
        <f t="shared" si="36"/>
        <v>0</v>
      </c>
      <c r="T26" s="84">
        <f t="shared" si="3"/>
        <v>0</v>
      </c>
      <c r="U26" s="263">
        <f>Factors!D33</f>
        <v>20.199355467286214</v>
      </c>
      <c r="V26" s="189">
        <f t="shared" si="37"/>
        <v>0</v>
      </c>
      <c r="W26" s="84">
        <f t="shared" si="38"/>
        <v>0</v>
      </c>
      <c r="X26" s="84">
        <f t="shared" si="39"/>
        <v>0</v>
      </c>
      <c r="Y26" s="84">
        <f>Q26*$U26*TbtuToQBtu</f>
        <v>0</v>
      </c>
      <c r="Z26" s="84">
        <f t="shared" si="41"/>
        <v>0</v>
      </c>
      <c r="AA26" s="84">
        <f t="shared" si="42"/>
        <v>0</v>
      </c>
      <c r="AB26" s="84">
        <f t="shared" si="26"/>
        <v>0</v>
      </c>
      <c r="AC26" s="264">
        <f>Factors!E33</f>
        <v>1</v>
      </c>
      <c r="AD26" s="189">
        <f t="shared" si="43"/>
        <v>0</v>
      </c>
      <c r="AE26" s="84">
        <f t="shared" si="43"/>
        <v>0</v>
      </c>
      <c r="AF26" s="84">
        <f t="shared" si="43"/>
        <v>0</v>
      </c>
      <c r="AG26" s="84">
        <f>Y26*$AC26</f>
        <v>0</v>
      </c>
      <c r="AH26" s="84">
        <f t="shared" si="43"/>
        <v>0</v>
      </c>
      <c r="AI26" s="84">
        <f t="shared" si="43"/>
        <v>0</v>
      </c>
      <c r="AJ26" s="191">
        <f t="shared" si="5"/>
        <v>0</v>
      </c>
      <c r="AK26" s="189">
        <f t="shared" si="24"/>
        <v>0</v>
      </c>
      <c r="AL26" s="84">
        <f t="shared" si="18"/>
        <v>0</v>
      </c>
      <c r="AM26" s="84">
        <f t="shared" si="19"/>
        <v>0</v>
      </c>
      <c r="AN26" s="84">
        <f>AG26*CtoCO2</f>
        <v>0</v>
      </c>
      <c r="AO26" s="84">
        <f t="shared" si="21"/>
        <v>0</v>
      </c>
      <c r="AP26" s="84">
        <f t="shared" si="22"/>
        <v>0</v>
      </c>
      <c r="AQ26" s="250">
        <f t="shared" si="27"/>
        <v>0</v>
      </c>
    </row>
    <row r="27" spans="1:43">
      <c r="B27" s="188" t="s">
        <v>1601</v>
      </c>
      <c r="C27" s="84"/>
      <c r="D27" s="84">
        <f>HLOOKUP($B$2,'Consumption Input'!$E$5:$AQ$82,'Consumption Input'!$B18)</f>
        <v>92.061153159495916</v>
      </c>
      <c r="E27" s="84">
        <f>HLOOKUP($B$2,'Consumption Input'!$E$5:$AQ$82,'Consumption Input'!$B32)</f>
        <v>606.17213673969331</v>
      </c>
      <c r="F27" s="84">
        <f>HLOOKUP($B$2,'Consumption Input'!$E$5:$AQ$82,'Consumption Input'!$B55)</f>
        <v>14542.048710100808</v>
      </c>
      <c r="G27" s="84"/>
      <c r="H27" s="84">
        <f>HLOOKUP($B$2,'US Territories'!$D$28:$AA$38,'US Territories'!$B36)</f>
        <v>117.46823971554203</v>
      </c>
      <c r="I27" s="84">
        <f t="shared" si="25"/>
        <v>15357.750239715539</v>
      </c>
      <c r="J27" s="262"/>
      <c r="K27" s="84"/>
      <c r="L27" s="84"/>
      <c r="M27" s="84"/>
      <c r="N27" s="189">
        <f t="shared" si="32"/>
        <v>0</v>
      </c>
      <c r="O27" s="84">
        <f t="shared" si="32"/>
        <v>92.061153159495916</v>
      </c>
      <c r="P27" s="84">
        <f t="shared" si="33"/>
        <v>606.17213673969331</v>
      </c>
      <c r="Q27" s="84">
        <f t="shared" si="34"/>
        <v>14542.048710100808</v>
      </c>
      <c r="R27" s="84">
        <f t="shared" si="35"/>
        <v>0</v>
      </c>
      <c r="S27" s="190">
        <f t="shared" si="36"/>
        <v>117.46823971554203</v>
      </c>
      <c r="T27" s="84">
        <f t="shared" si="3"/>
        <v>15357.750239715539</v>
      </c>
      <c r="U27" s="263">
        <f>HLOOKUP($B$2,Factors!$J$12:$AG$25,Factors!$H20,FALSE)</f>
        <v>19.28</v>
      </c>
      <c r="V27" s="189">
        <f t="shared" si="37"/>
        <v>0</v>
      </c>
      <c r="W27" s="84">
        <f t="shared" si="38"/>
        <v>1.7749390329150814</v>
      </c>
      <c r="X27" s="84">
        <f t="shared" si="39"/>
        <v>11.686998796341287</v>
      </c>
      <c r="Y27" s="84">
        <f t="shared" si="40"/>
        <v>280.37069913074356</v>
      </c>
      <c r="Z27" s="84">
        <f t="shared" si="41"/>
        <v>0</v>
      </c>
      <c r="AA27" s="84">
        <f t="shared" si="42"/>
        <v>2.2647876617156504</v>
      </c>
      <c r="AB27" s="84">
        <f t="shared" si="26"/>
        <v>296.09742462171562</v>
      </c>
      <c r="AC27" s="264">
        <f>Factors!E34</f>
        <v>1</v>
      </c>
      <c r="AD27" s="189">
        <f t="shared" si="43"/>
        <v>0</v>
      </c>
      <c r="AE27" s="84">
        <f t="shared" si="43"/>
        <v>1.7749390329150814</v>
      </c>
      <c r="AF27" s="84">
        <f t="shared" si="43"/>
        <v>11.686998796341287</v>
      </c>
      <c r="AG27" s="84">
        <f>Y27*$AC44</f>
        <v>280.37069913074356</v>
      </c>
      <c r="AH27" s="84">
        <f t="shared" si="43"/>
        <v>0</v>
      </c>
      <c r="AI27" s="84">
        <f t="shared" si="43"/>
        <v>2.2647876617156504</v>
      </c>
      <c r="AJ27" s="191">
        <f t="shared" si="5"/>
        <v>296.09742462171562</v>
      </c>
      <c r="AK27" s="189">
        <f t="shared" si="24"/>
        <v>0</v>
      </c>
      <c r="AL27" s="84">
        <f t="shared" si="18"/>
        <v>6.5081097873552984</v>
      </c>
      <c r="AM27" s="84">
        <f t="shared" si="19"/>
        <v>42.852328919918051</v>
      </c>
      <c r="AN27" s="84">
        <f t="shared" si="20"/>
        <v>1028.0258968127264</v>
      </c>
      <c r="AO27" s="84">
        <f t="shared" si="21"/>
        <v>0</v>
      </c>
      <c r="AP27" s="84">
        <f t="shared" si="22"/>
        <v>8.3042214262907184</v>
      </c>
      <c r="AQ27" s="250">
        <f t="shared" si="27"/>
        <v>1085.6905569462904</v>
      </c>
    </row>
    <row r="28" spans="1:43">
      <c r="B28" s="188" t="s">
        <v>1602</v>
      </c>
      <c r="C28" s="84"/>
      <c r="D28" s="84">
        <f>HLOOKUP($B$2,'Consumption Input'!$E$5:$AQ$82,'Consumption Input'!$B19)</f>
        <v>24.402999999999999</v>
      </c>
      <c r="E28" s="84">
        <f>HLOOKUP($B$2,'Consumption Input'!$E$5:$AQ$82,'Consumption Input'!$B33)</f>
        <v>0</v>
      </c>
      <c r="F28" s="84">
        <f>HLOOKUP($B$2,'Consumption Input'!$E$5:$AQ$82,'Consumption Input'!$B56)</f>
        <v>581.15300000000002</v>
      </c>
      <c r="G28" s="84">
        <f>HLOOKUP($B$2,'Consumption Input'!$E$5:$AQ$82,'Consumption Input'!$B61)</f>
        <v>77.22499999999998</v>
      </c>
      <c r="H28" s="84">
        <f>HLOOKUP($B$2,'US Territories'!$D$28:$AA$38,'US Territories'!$B37)</f>
        <v>72.906358578004955</v>
      </c>
      <c r="I28" s="84">
        <f t="shared" si="25"/>
        <v>755.68735857800505</v>
      </c>
      <c r="J28" s="262">
        <f>HLOOKUP($B$2,IBFConsumption,'International Bunker Fuels'!$B$9)</f>
        <v>379.79377073972995</v>
      </c>
      <c r="K28" s="84"/>
      <c r="L28" s="84"/>
      <c r="M28" s="84"/>
      <c r="N28" s="189">
        <f t="shared" si="32"/>
        <v>0</v>
      </c>
      <c r="O28" s="84">
        <f t="shared" si="32"/>
        <v>24.402999999999999</v>
      </c>
      <c r="P28" s="84">
        <f t="shared" si="33"/>
        <v>0</v>
      </c>
      <c r="Q28" s="84">
        <f>F28-J28-L28</f>
        <v>201.35922926027007</v>
      </c>
      <c r="R28" s="84">
        <f t="shared" si="35"/>
        <v>77.22499999999998</v>
      </c>
      <c r="S28" s="190">
        <f t="shared" si="36"/>
        <v>72.906358578004955</v>
      </c>
      <c r="T28" s="84">
        <f t="shared" si="3"/>
        <v>375.89358783827504</v>
      </c>
      <c r="U28" s="263">
        <f>Factors!D36</f>
        <v>20.48</v>
      </c>
      <c r="V28" s="189">
        <f t="shared" si="37"/>
        <v>0</v>
      </c>
      <c r="W28" s="84">
        <f t="shared" si="38"/>
        <v>0.49977344000000001</v>
      </c>
      <c r="X28" s="84">
        <f t="shared" si="39"/>
        <v>0</v>
      </c>
      <c r="Y28" s="84">
        <f t="shared" si="40"/>
        <v>4.1238370152503316</v>
      </c>
      <c r="Z28" s="84">
        <f t="shared" si="41"/>
        <v>1.5815679999999996</v>
      </c>
      <c r="AA28" s="84">
        <f t="shared" si="42"/>
        <v>1.4931222236775417</v>
      </c>
      <c r="AB28" s="84">
        <f t="shared" si="26"/>
        <v>7.6983006789278736</v>
      </c>
      <c r="AC28" s="264">
        <f>Factors!E36</f>
        <v>1</v>
      </c>
      <c r="AD28" s="189">
        <f t="shared" si="43"/>
        <v>0</v>
      </c>
      <c r="AE28" s="84">
        <f t="shared" si="43"/>
        <v>0.49977344000000001</v>
      </c>
      <c r="AF28" s="84">
        <f t="shared" si="43"/>
        <v>0</v>
      </c>
      <c r="AG28" s="84">
        <f t="shared" si="43"/>
        <v>4.1238370152503316</v>
      </c>
      <c r="AH28" s="84">
        <f t="shared" si="43"/>
        <v>1.5815679999999996</v>
      </c>
      <c r="AI28" s="84">
        <f t="shared" si="43"/>
        <v>1.4931222236775417</v>
      </c>
      <c r="AJ28" s="191">
        <f t="shared" si="5"/>
        <v>7.6983006789278736</v>
      </c>
      <c r="AK28" s="189">
        <f t="shared" si="24"/>
        <v>0</v>
      </c>
      <c r="AL28" s="84">
        <f t="shared" si="18"/>
        <v>1.8325026133333333</v>
      </c>
      <c r="AM28" s="84">
        <f t="shared" si="19"/>
        <v>0</v>
      </c>
      <c r="AN28" s="84">
        <f t="shared" si="20"/>
        <v>15.120735722584548</v>
      </c>
      <c r="AO28" s="84">
        <f t="shared" si="21"/>
        <v>5.7990826666666653</v>
      </c>
      <c r="AP28" s="84">
        <f t="shared" si="22"/>
        <v>5.474781486817653</v>
      </c>
      <c r="AQ28" s="250">
        <f t="shared" si="27"/>
        <v>28.227102489402199</v>
      </c>
    </row>
    <row r="29" spans="1:43">
      <c r="B29" s="188" t="s">
        <v>1603</v>
      </c>
      <c r="C29" s="84"/>
      <c r="D29" s="84"/>
      <c r="E29" s="84"/>
      <c r="F29" s="84"/>
      <c r="G29" s="84"/>
      <c r="H29" s="84"/>
      <c r="I29" s="84"/>
      <c r="J29" s="262"/>
      <c r="K29" s="84"/>
      <c r="L29" s="84"/>
      <c r="M29" s="84"/>
      <c r="N29" s="189">
        <f t="shared" si="32"/>
        <v>0</v>
      </c>
      <c r="O29" s="84">
        <f t="shared" si="32"/>
        <v>0</v>
      </c>
      <c r="P29" s="84">
        <f t="shared" si="33"/>
        <v>0</v>
      </c>
      <c r="Q29" s="84">
        <f t="shared" si="34"/>
        <v>0</v>
      </c>
      <c r="R29" s="84">
        <f t="shared" si="35"/>
        <v>0</v>
      </c>
      <c r="S29" s="190">
        <f t="shared" si="36"/>
        <v>0</v>
      </c>
      <c r="T29" s="84">
        <f t="shared" si="3"/>
        <v>0</v>
      </c>
      <c r="U29" s="263"/>
      <c r="V29" s="189">
        <f t="shared" si="37"/>
        <v>0</v>
      </c>
      <c r="W29" s="84">
        <f t="shared" si="38"/>
        <v>0</v>
      </c>
      <c r="X29" s="84">
        <f t="shared" si="39"/>
        <v>0</v>
      </c>
      <c r="Y29" s="84">
        <f t="shared" si="40"/>
        <v>0</v>
      </c>
      <c r="Z29" s="84">
        <f t="shared" si="41"/>
        <v>0</v>
      </c>
      <c r="AA29" s="84">
        <f t="shared" si="42"/>
        <v>0</v>
      </c>
      <c r="AB29" s="84">
        <f t="shared" si="26"/>
        <v>0</v>
      </c>
      <c r="AC29" s="264"/>
      <c r="AD29" s="189">
        <f t="shared" si="43"/>
        <v>0</v>
      </c>
      <c r="AE29" s="84">
        <f t="shared" si="43"/>
        <v>0</v>
      </c>
      <c r="AF29" s="84">
        <f t="shared" si="43"/>
        <v>0</v>
      </c>
      <c r="AG29" s="84">
        <f t="shared" si="43"/>
        <v>0</v>
      </c>
      <c r="AH29" s="84">
        <f t="shared" si="43"/>
        <v>0</v>
      </c>
      <c r="AI29" s="84">
        <f t="shared" si="43"/>
        <v>0</v>
      </c>
      <c r="AJ29" s="191">
        <f t="shared" si="5"/>
        <v>0</v>
      </c>
      <c r="AK29" s="189">
        <f t="shared" si="24"/>
        <v>0</v>
      </c>
      <c r="AL29" s="84">
        <f t="shared" si="18"/>
        <v>0</v>
      </c>
      <c r="AM29" s="84">
        <f t="shared" si="19"/>
        <v>0</v>
      </c>
      <c r="AN29" s="84">
        <f t="shared" si="20"/>
        <v>0</v>
      </c>
      <c r="AO29" s="84">
        <f t="shared" si="21"/>
        <v>0</v>
      </c>
      <c r="AP29" s="84">
        <f t="shared" si="22"/>
        <v>0</v>
      </c>
      <c r="AQ29" s="250">
        <f t="shared" si="27"/>
        <v>0</v>
      </c>
    </row>
    <row r="30" spans="1:43">
      <c r="B30" s="200" t="s">
        <v>1611</v>
      </c>
      <c r="C30" s="84"/>
      <c r="D30" s="84"/>
      <c r="E30" s="84">
        <f>HLOOKUP($B$2,'Consumption Input'!$E$5:$AQ$82,'Consumption Input'!$B35)</f>
        <v>-0.37859999999999999</v>
      </c>
      <c r="F30" s="84"/>
      <c r="G30" s="84"/>
      <c r="H30" s="84"/>
      <c r="I30" s="84">
        <f t="shared" ref="I30:I41" si="48">SUM(C30:H30)</f>
        <v>-0.37859999999999999</v>
      </c>
      <c r="J30" s="262"/>
      <c r="K30" s="84"/>
      <c r="L30" s="84"/>
      <c r="M30" s="84"/>
      <c r="N30" s="189">
        <f t="shared" si="32"/>
        <v>0</v>
      </c>
      <c r="O30" s="84">
        <f t="shared" si="32"/>
        <v>0</v>
      </c>
      <c r="P30" s="84">
        <f t="shared" si="33"/>
        <v>-0.37859999999999999</v>
      </c>
      <c r="Q30" s="84">
        <f t="shared" si="34"/>
        <v>0</v>
      </c>
      <c r="R30" s="84">
        <f t="shared" si="35"/>
        <v>0</v>
      </c>
      <c r="S30" s="190">
        <f t="shared" si="36"/>
        <v>0</v>
      </c>
      <c r="T30" s="84">
        <f t="shared" si="3"/>
        <v>-0.37859999999999999</v>
      </c>
      <c r="U30" s="263">
        <f>Factors!D39</f>
        <v>18.87</v>
      </c>
      <c r="V30" s="189">
        <f t="shared" si="37"/>
        <v>0</v>
      </c>
      <c r="W30" s="84">
        <f t="shared" si="38"/>
        <v>0</v>
      </c>
      <c r="X30" s="84">
        <f t="shared" si="39"/>
        <v>-7.1441819999999998E-3</v>
      </c>
      <c r="Y30" s="84">
        <f t="shared" si="40"/>
        <v>0</v>
      </c>
      <c r="Z30" s="84">
        <f t="shared" si="41"/>
        <v>0</v>
      </c>
      <c r="AA30" s="84">
        <f t="shared" si="42"/>
        <v>0</v>
      </c>
      <c r="AB30" s="84">
        <f t="shared" si="26"/>
        <v>-7.1441819999999998E-3</v>
      </c>
      <c r="AC30" s="264">
        <f>Factors!E39</f>
        <v>1</v>
      </c>
      <c r="AD30" s="189">
        <f t="shared" si="43"/>
        <v>0</v>
      </c>
      <c r="AE30" s="84">
        <f t="shared" si="43"/>
        <v>0</v>
      </c>
      <c r="AF30" s="84">
        <f t="shared" si="43"/>
        <v>-7.1441819999999998E-3</v>
      </c>
      <c r="AG30" s="84">
        <f t="shared" si="43"/>
        <v>0</v>
      </c>
      <c r="AH30" s="84">
        <f t="shared" si="43"/>
        <v>0</v>
      </c>
      <c r="AI30" s="84">
        <f t="shared" si="43"/>
        <v>0</v>
      </c>
      <c r="AJ30" s="191">
        <f t="shared" si="5"/>
        <v>-7.1441819999999998E-3</v>
      </c>
      <c r="AK30" s="189">
        <f t="shared" si="24"/>
        <v>0</v>
      </c>
      <c r="AL30" s="84">
        <f t="shared" si="18"/>
        <v>0</v>
      </c>
      <c r="AM30" s="84">
        <f t="shared" si="19"/>
        <v>-2.6195333999999997E-2</v>
      </c>
      <c r="AN30" s="84">
        <f t="shared" si="20"/>
        <v>0</v>
      </c>
      <c r="AO30" s="84">
        <f t="shared" si="21"/>
        <v>0</v>
      </c>
      <c r="AP30" s="84">
        <f t="shared" si="22"/>
        <v>0</v>
      </c>
      <c r="AQ30" s="250">
        <f t="shared" si="27"/>
        <v>-2.6195333999999997E-2</v>
      </c>
    </row>
    <row r="31" spans="1:43">
      <c r="B31" s="200" t="s">
        <v>1612</v>
      </c>
      <c r="C31" s="84"/>
      <c r="D31" s="84"/>
      <c r="E31" s="84">
        <f>HLOOKUP($B$2,'Consumption Input'!$E$5:$AQ$82,'Consumption Input'!$B36)</f>
        <v>0</v>
      </c>
      <c r="F31" s="84"/>
      <c r="G31" s="84"/>
      <c r="H31" s="84"/>
      <c r="I31" s="84">
        <f t="shared" si="48"/>
        <v>0</v>
      </c>
      <c r="J31" s="262"/>
      <c r="K31" s="84"/>
      <c r="L31" s="84"/>
      <c r="M31" s="84"/>
      <c r="N31" s="189">
        <f t="shared" si="32"/>
        <v>0</v>
      </c>
      <c r="O31" s="84">
        <f t="shared" si="32"/>
        <v>0</v>
      </c>
      <c r="P31" s="84">
        <f t="shared" si="33"/>
        <v>0</v>
      </c>
      <c r="Q31" s="84">
        <f t="shared" si="34"/>
        <v>0</v>
      </c>
      <c r="R31" s="84">
        <f t="shared" si="35"/>
        <v>0</v>
      </c>
      <c r="S31" s="190">
        <f t="shared" si="36"/>
        <v>0</v>
      </c>
      <c r="T31" s="84">
        <f t="shared" si="3"/>
        <v>0</v>
      </c>
      <c r="U31" s="263">
        <f>HLOOKUP($B$2,Factors!$J$12:$AG$25,Factors!$H25,FALSE)</f>
        <v>20.305515594827586</v>
      </c>
      <c r="V31" s="189">
        <f t="shared" si="37"/>
        <v>0</v>
      </c>
      <c r="W31" s="84">
        <f t="shared" si="38"/>
        <v>0</v>
      </c>
      <c r="X31" s="84">
        <f t="shared" si="39"/>
        <v>0</v>
      </c>
      <c r="Y31" s="84">
        <f t="shared" si="40"/>
        <v>0</v>
      </c>
      <c r="Z31" s="84">
        <f t="shared" si="41"/>
        <v>0</v>
      </c>
      <c r="AA31" s="84">
        <f t="shared" si="42"/>
        <v>0</v>
      </c>
      <c r="AB31" s="84">
        <f t="shared" si="26"/>
        <v>0</v>
      </c>
      <c r="AC31" s="264">
        <f>Factors!E40</f>
        <v>1</v>
      </c>
      <c r="AD31" s="189">
        <f t="shared" si="43"/>
        <v>0</v>
      </c>
      <c r="AE31" s="84">
        <f t="shared" si="43"/>
        <v>0</v>
      </c>
      <c r="AF31" s="84">
        <f t="shared" si="43"/>
        <v>0</v>
      </c>
      <c r="AG31" s="84">
        <f t="shared" si="43"/>
        <v>0</v>
      </c>
      <c r="AH31" s="84">
        <f t="shared" si="43"/>
        <v>0</v>
      </c>
      <c r="AI31" s="84">
        <f t="shared" si="43"/>
        <v>0</v>
      </c>
      <c r="AJ31" s="191">
        <f t="shared" si="5"/>
        <v>0</v>
      </c>
      <c r="AK31" s="189">
        <f t="shared" si="24"/>
        <v>0</v>
      </c>
      <c r="AL31" s="84">
        <f t="shared" si="18"/>
        <v>0</v>
      </c>
      <c r="AM31" s="84">
        <f t="shared" si="19"/>
        <v>0</v>
      </c>
      <c r="AN31" s="84">
        <f t="shared" si="20"/>
        <v>0</v>
      </c>
      <c r="AO31" s="84">
        <f t="shared" si="21"/>
        <v>0</v>
      </c>
      <c r="AP31" s="84">
        <f t="shared" si="22"/>
        <v>0</v>
      </c>
      <c r="AQ31" s="250">
        <f t="shared" si="27"/>
        <v>0</v>
      </c>
    </row>
    <row r="32" spans="1:43">
      <c r="B32" s="200" t="s">
        <v>1613</v>
      </c>
      <c r="C32" s="84"/>
      <c r="D32" s="84"/>
      <c r="E32" s="84">
        <f>HLOOKUP($B$2,'Consumption Input'!$E$5:$AQ$82,'Consumption Input'!$B37)</f>
        <v>0</v>
      </c>
      <c r="F32" s="84"/>
      <c r="G32" s="84"/>
      <c r="H32" s="84"/>
      <c r="I32" s="84">
        <f t="shared" si="48"/>
        <v>0</v>
      </c>
      <c r="J32" s="262"/>
      <c r="K32" s="84"/>
      <c r="L32" s="84"/>
      <c r="M32" s="84"/>
      <c r="N32" s="189">
        <f t="shared" si="32"/>
        <v>0</v>
      </c>
      <c r="O32" s="84">
        <f t="shared" si="32"/>
        <v>0</v>
      </c>
      <c r="P32" s="84">
        <f t="shared" si="33"/>
        <v>0</v>
      </c>
      <c r="Q32" s="84">
        <f t="shared" si="34"/>
        <v>0</v>
      </c>
      <c r="R32" s="84">
        <f t="shared" si="35"/>
        <v>0</v>
      </c>
      <c r="S32" s="190">
        <f t="shared" si="36"/>
        <v>0</v>
      </c>
      <c r="T32" s="84">
        <f t="shared" si="3"/>
        <v>0</v>
      </c>
      <c r="U32" s="263">
        <f>HLOOKUP($B$2,Factors!$J$12:$AG$25,Factors!$H22,FALSE)</f>
        <v>19.456118437849259</v>
      </c>
      <c r="V32" s="189">
        <f t="shared" si="37"/>
        <v>0</v>
      </c>
      <c r="W32" s="84">
        <f t="shared" si="38"/>
        <v>0</v>
      </c>
      <c r="X32" s="84">
        <f t="shared" si="39"/>
        <v>0</v>
      </c>
      <c r="Y32" s="84">
        <f t="shared" si="40"/>
        <v>0</v>
      </c>
      <c r="Z32" s="84">
        <f t="shared" si="41"/>
        <v>0</v>
      </c>
      <c r="AA32" s="84">
        <f t="shared" si="42"/>
        <v>0</v>
      </c>
      <c r="AB32" s="84">
        <f t="shared" si="26"/>
        <v>0</v>
      </c>
      <c r="AC32" s="264">
        <f>Factors!E41</f>
        <v>1</v>
      </c>
      <c r="AD32" s="189">
        <f t="shared" si="43"/>
        <v>0</v>
      </c>
      <c r="AE32" s="84">
        <f t="shared" si="43"/>
        <v>0</v>
      </c>
      <c r="AF32" s="84">
        <f t="shared" si="43"/>
        <v>0</v>
      </c>
      <c r="AG32" s="84">
        <f t="shared" si="43"/>
        <v>0</v>
      </c>
      <c r="AH32" s="84">
        <f t="shared" si="43"/>
        <v>0</v>
      </c>
      <c r="AI32" s="84">
        <f t="shared" si="43"/>
        <v>0</v>
      </c>
      <c r="AJ32" s="191">
        <f t="shared" si="5"/>
        <v>0</v>
      </c>
      <c r="AK32" s="189">
        <f t="shared" si="24"/>
        <v>0</v>
      </c>
      <c r="AL32" s="84">
        <f t="shared" si="18"/>
        <v>0</v>
      </c>
      <c r="AM32" s="84">
        <f t="shared" si="19"/>
        <v>0</v>
      </c>
      <c r="AN32" s="84">
        <f t="shared" si="20"/>
        <v>0</v>
      </c>
      <c r="AO32" s="84">
        <f t="shared" si="21"/>
        <v>0</v>
      </c>
      <c r="AP32" s="84">
        <f t="shared" si="22"/>
        <v>0</v>
      </c>
      <c r="AQ32" s="250">
        <f t="shared" si="27"/>
        <v>0</v>
      </c>
    </row>
    <row r="33" spans="2:43">
      <c r="B33" s="200" t="s">
        <v>1739</v>
      </c>
      <c r="C33" s="84"/>
      <c r="D33" s="84"/>
      <c r="E33" s="84">
        <f>HLOOKUP($B$2,'Consumption Input'!$E$5:$AQ$82,'Consumption Input'!$B38)</f>
        <v>171.16153109999999</v>
      </c>
      <c r="F33" s="84"/>
      <c r="G33" s="84"/>
      <c r="H33" s="84">
        <f>HLOOKUP($B$2,'US Territories'!$D$28:$AA$38,'US Territories'!$B38)</f>
        <v>9.4939392583085436</v>
      </c>
      <c r="I33" s="84">
        <f t="shared" si="48"/>
        <v>180.65547035830855</v>
      </c>
      <c r="J33" s="262"/>
      <c r="K33" s="84">
        <f>HLOOKUP($B$2,NEUConsumption,'Non-Energy Use'!C22)</f>
        <v>171.16153109999999</v>
      </c>
      <c r="L33" s="84"/>
      <c r="M33" s="84">
        <f>HLOOKUP($B$2,NEUConsumption,'Non-Energy Use'!$C$27)</f>
        <v>9.4939392583085436</v>
      </c>
      <c r="N33" s="189">
        <f t="shared" si="32"/>
        <v>0</v>
      </c>
      <c r="O33" s="84">
        <f t="shared" si="32"/>
        <v>0</v>
      </c>
      <c r="P33" s="84">
        <f t="shared" si="33"/>
        <v>0</v>
      </c>
      <c r="Q33" s="84">
        <f t="shared" si="34"/>
        <v>0</v>
      </c>
      <c r="R33" s="84">
        <f t="shared" si="35"/>
        <v>0</v>
      </c>
      <c r="S33" s="190">
        <f t="shared" si="36"/>
        <v>0</v>
      </c>
      <c r="T33" s="84">
        <f t="shared" si="3"/>
        <v>0</v>
      </c>
      <c r="U33" s="263">
        <f>HLOOKUP($B$2,Factors!$J$12:$AG$25,Factors!$H23,FALSE)</f>
        <v>0</v>
      </c>
      <c r="V33" s="189">
        <f t="shared" si="37"/>
        <v>0</v>
      </c>
      <c r="W33" s="84">
        <f t="shared" si="38"/>
        <v>0</v>
      </c>
      <c r="X33" s="84">
        <f t="shared" si="39"/>
        <v>0</v>
      </c>
      <c r="Y33" s="84">
        <f t="shared" si="40"/>
        <v>0</v>
      </c>
      <c r="Z33" s="84">
        <f t="shared" si="41"/>
        <v>0</v>
      </c>
      <c r="AA33" s="84">
        <f t="shared" si="42"/>
        <v>0</v>
      </c>
      <c r="AB33" s="84">
        <f t="shared" si="26"/>
        <v>0</v>
      </c>
      <c r="AC33" s="264">
        <f>Factors!E42</f>
        <v>1</v>
      </c>
      <c r="AD33" s="189">
        <f t="shared" si="43"/>
        <v>0</v>
      </c>
      <c r="AE33" s="84">
        <f t="shared" si="43"/>
        <v>0</v>
      </c>
      <c r="AF33" s="84">
        <f t="shared" si="43"/>
        <v>0</v>
      </c>
      <c r="AG33" s="84">
        <f t="shared" si="43"/>
        <v>0</v>
      </c>
      <c r="AH33" s="84">
        <f t="shared" si="43"/>
        <v>0</v>
      </c>
      <c r="AI33" s="84">
        <f t="shared" si="43"/>
        <v>0</v>
      </c>
      <c r="AJ33" s="191">
        <f t="shared" si="5"/>
        <v>0</v>
      </c>
      <c r="AK33" s="189">
        <f t="shared" si="24"/>
        <v>0</v>
      </c>
      <c r="AL33" s="84">
        <f t="shared" si="18"/>
        <v>0</v>
      </c>
      <c r="AM33" s="84">
        <f t="shared" si="19"/>
        <v>0</v>
      </c>
      <c r="AN33" s="84">
        <f t="shared" si="20"/>
        <v>0</v>
      </c>
      <c r="AO33" s="84">
        <f t="shared" si="21"/>
        <v>0</v>
      </c>
      <c r="AP33" s="84">
        <f t="shared" si="22"/>
        <v>0</v>
      </c>
      <c r="AQ33" s="250">
        <f t="shared" si="27"/>
        <v>0</v>
      </c>
    </row>
    <row r="34" spans="2:43">
      <c r="B34" s="200" t="s">
        <v>1615</v>
      </c>
      <c r="C34" s="84"/>
      <c r="D34" s="84"/>
      <c r="E34" s="84">
        <f>HLOOKUP($B$2,'Consumption Input'!$E$5:$AQ$82,'Consumption Input'!$B39)</f>
        <v>517.83590400000003</v>
      </c>
      <c r="F34" s="84"/>
      <c r="G34" s="84"/>
      <c r="H34" s="84"/>
      <c r="I34" s="84">
        <f t="shared" si="48"/>
        <v>517.83590400000003</v>
      </c>
      <c r="J34" s="262"/>
      <c r="K34" s="84">
        <f>HLOOKUP($B$2,NEUConsumption,'Non-Energy Use'!C14)</f>
        <v>517.83590400000003</v>
      </c>
      <c r="L34" s="84"/>
      <c r="M34" s="84"/>
      <c r="N34" s="189">
        <f t="shared" si="32"/>
        <v>0</v>
      </c>
      <c r="O34" s="84">
        <f t="shared" si="32"/>
        <v>0</v>
      </c>
      <c r="P34" s="84">
        <f t="shared" si="33"/>
        <v>0</v>
      </c>
      <c r="Q34" s="84">
        <f t="shared" si="34"/>
        <v>0</v>
      </c>
      <c r="R34" s="84">
        <f t="shared" si="35"/>
        <v>0</v>
      </c>
      <c r="S34" s="190">
        <f t="shared" si="36"/>
        <v>0</v>
      </c>
      <c r="T34" s="84">
        <f t="shared" si="3"/>
        <v>0</v>
      </c>
      <c r="U34" s="263">
        <f>Factors!D44</f>
        <v>18.550649350649344</v>
      </c>
      <c r="V34" s="189">
        <f t="shared" si="37"/>
        <v>0</v>
      </c>
      <c r="W34" s="84">
        <f t="shared" si="38"/>
        <v>0</v>
      </c>
      <c r="X34" s="84">
        <f t="shared" si="39"/>
        <v>0</v>
      </c>
      <c r="Y34" s="84">
        <f t="shared" si="40"/>
        <v>0</v>
      </c>
      <c r="Z34" s="84">
        <f t="shared" si="41"/>
        <v>0</v>
      </c>
      <c r="AA34" s="84">
        <f t="shared" si="42"/>
        <v>0</v>
      </c>
      <c r="AB34" s="84">
        <f t="shared" si="26"/>
        <v>0</v>
      </c>
      <c r="AC34" s="264">
        <f>Factors!E44</f>
        <v>1</v>
      </c>
      <c r="AD34" s="189">
        <f t="shared" si="43"/>
        <v>0</v>
      </c>
      <c r="AE34" s="84">
        <f t="shared" si="43"/>
        <v>0</v>
      </c>
      <c r="AF34" s="84">
        <f t="shared" si="43"/>
        <v>0</v>
      </c>
      <c r="AG34" s="84">
        <f t="shared" si="43"/>
        <v>0</v>
      </c>
      <c r="AH34" s="84">
        <f t="shared" si="43"/>
        <v>0</v>
      </c>
      <c r="AI34" s="84">
        <f t="shared" si="43"/>
        <v>0</v>
      </c>
      <c r="AJ34" s="191">
        <f t="shared" si="5"/>
        <v>0</v>
      </c>
      <c r="AK34" s="189">
        <f t="shared" si="24"/>
        <v>0</v>
      </c>
      <c r="AL34" s="84">
        <f t="shared" si="18"/>
        <v>0</v>
      </c>
      <c r="AM34" s="84">
        <f t="shared" si="19"/>
        <v>0</v>
      </c>
      <c r="AN34" s="84">
        <f t="shared" si="20"/>
        <v>0</v>
      </c>
      <c r="AO34" s="84">
        <f t="shared" si="21"/>
        <v>0</v>
      </c>
      <c r="AP34" s="84">
        <f t="shared" si="22"/>
        <v>0</v>
      </c>
      <c r="AQ34" s="250">
        <f t="shared" si="27"/>
        <v>0</v>
      </c>
    </row>
    <row r="35" spans="2:43">
      <c r="B35" s="200" t="s">
        <v>1616</v>
      </c>
      <c r="C35" s="84"/>
      <c r="D35" s="84"/>
      <c r="E35" s="84">
        <f>HLOOKUP($B$2,'Consumption Input'!$E$5:$AQ$82,'Consumption Input'!$B40)</f>
        <v>223.91882499999997</v>
      </c>
      <c r="F35" s="84"/>
      <c r="G35" s="84"/>
      <c r="H35" s="84"/>
      <c r="I35" s="84">
        <f t="shared" si="48"/>
        <v>223.91882499999997</v>
      </c>
      <c r="J35" s="262"/>
      <c r="K35" s="84">
        <f>HLOOKUP($B$2,NEUConsumption,'Non-Energy Use'!$C$15)</f>
        <v>223.91882499999997</v>
      </c>
      <c r="L35" s="84"/>
      <c r="M35" s="84"/>
      <c r="N35" s="189">
        <f t="shared" si="32"/>
        <v>0</v>
      </c>
      <c r="O35" s="84">
        <f t="shared" si="32"/>
        <v>0</v>
      </c>
      <c r="P35" s="84">
        <f t="shared" si="33"/>
        <v>0</v>
      </c>
      <c r="Q35" s="84">
        <f t="shared" si="34"/>
        <v>0</v>
      </c>
      <c r="R35" s="84">
        <f t="shared" si="35"/>
        <v>0</v>
      </c>
      <c r="S35" s="190">
        <f t="shared" si="36"/>
        <v>0</v>
      </c>
      <c r="T35" s="84">
        <f t="shared" si="3"/>
        <v>0</v>
      </c>
      <c r="U35" s="263">
        <f>Factors!D45</f>
        <v>20.170000000000002</v>
      </c>
      <c r="V35" s="189">
        <f t="shared" si="37"/>
        <v>0</v>
      </c>
      <c r="W35" s="84">
        <f t="shared" si="38"/>
        <v>0</v>
      </c>
      <c r="X35" s="84">
        <f>P35*$U35*TbtuToQBtu</f>
        <v>0</v>
      </c>
      <c r="Y35" s="84">
        <f t="shared" si="40"/>
        <v>0</v>
      </c>
      <c r="Z35" s="84">
        <f t="shared" si="41"/>
        <v>0</v>
      </c>
      <c r="AA35" s="84">
        <f t="shared" si="42"/>
        <v>0</v>
      </c>
      <c r="AB35" s="84">
        <f t="shared" si="26"/>
        <v>0</v>
      </c>
      <c r="AC35" s="264">
        <f>Factors!E45</f>
        <v>1</v>
      </c>
      <c r="AD35" s="189">
        <f t="shared" si="43"/>
        <v>0</v>
      </c>
      <c r="AE35" s="84">
        <f t="shared" si="43"/>
        <v>0</v>
      </c>
      <c r="AF35" s="84">
        <f t="shared" si="43"/>
        <v>0</v>
      </c>
      <c r="AG35" s="84">
        <f t="shared" si="43"/>
        <v>0</v>
      </c>
      <c r="AH35" s="84">
        <f t="shared" si="43"/>
        <v>0</v>
      </c>
      <c r="AI35" s="84">
        <f t="shared" si="43"/>
        <v>0</v>
      </c>
      <c r="AJ35" s="191">
        <f t="shared" si="5"/>
        <v>0</v>
      </c>
      <c r="AK35" s="189">
        <f t="shared" si="24"/>
        <v>0</v>
      </c>
      <c r="AL35" s="84">
        <f t="shared" si="18"/>
        <v>0</v>
      </c>
      <c r="AM35" s="84">
        <f t="shared" si="19"/>
        <v>0</v>
      </c>
      <c r="AN35" s="84">
        <f t="shared" si="20"/>
        <v>0</v>
      </c>
      <c r="AO35" s="84">
        <f t="shared" si="21"/>
        <v>0</v>
      </c>
      <c r="AP35" s="84">
        <f t="shared" si="22"/>
        <v>0</v>
      </c>
      <c r="AQ35" s="250">
        <f t="shared" si="27"/>
        <v>0</v>
      </c>
    </row>
    <row r="36" spans="2:43">
      <c r="B36" s="200" t="s">
        <v>1617</v>
      </c>
      <c r="C36" s="84"/>
      <c r="D36" s="84"/>
      <c r="E36" s="84">
        <f>HLOOKUP($B$2,'Consumption Input'!$E$5:$AQ$82,'Consumption Input'!$B41)</f>
        <v>0</v>
      </c>
      <c r="F36" s="84"/>
      <c r="G36" s="84"/>
      <c r="H36" s="84"/>
      <c r="I36" s="84">
        <f t="shared" si="48"/>
        <v>0</v>
      </c>
      <c r="J36" s="262"/>
      <c r="K36" s="84">
        <f>HLOOKUP($B$2,NEUConsumption,'Non-Energy Use'!$C$13)</f>
        <v>0</v>
      </c>
      <c r="L36" s="84"/>
      <c r="M36" s="84"/>
      <c r="N36" s="189">
        <f t="shared" si="32"/>
        <v>0</v>
      </c>
      <c r="O36" s="84">
        <f t="shared" si="32"/>
        <v>0</v>
      </c>
      <c r="P36" s="84">
        <f t="shared" si="33"/>
        <v>0</v>
      </c>
      <c r="Q36" s="84">
        <f t="shared" si="34"/>
        <v>0</v>
      </c>
      <c r="R36" s="84">
        <f t="shared" si="35"/>
        <v>0</v>
      </c>
      <c r="S36" s="190">
        <f t="shared" si="36"/>
        <v>0</v>
      </c>
      <c r="T36" s="84">
        <f t="shared" si="3"/>
        <v>0</v>
      </c>
      <c r="U36" s="263">
        <f>Factors!D46</f>
        <v>18.239999999999998</v>
      </c>
      <c r="V36" s="189">
        <f t="shared" si="37"/>
        <v>0</v>
      </c>
      <c r="W36" s="84">
        <f t="shared" si="38"/>
        <v>0</v>
      </c>
      <c r="X36" s="84">
        <f t="shared" si="39"/>
        <v>0</v>
      </c>
      <c r="Y36" s="84">
        <f t="shared" si="40"/>
        <v>0</v>
      </c>
      <c r="Z36" s="84">
        <f t="shared" si="41"/>
        <v>0</v>
      </c>
      <c r="AA36" s="84">
        <f t="shared" si="42"/>
        <v>0</v>
      </c>
      <c r="AB36" s="84">
        <f t="shared" si="26"/>
        <v>0</v>
      </c>
      <c r="AC36" s="264">
        <f>Factors!E46</f>
        <v>1</v>
      </c>
      <c r="AD36" s="189">
        <f t="shared" ref="AD36:AI42" si="49">V36*$AC36</f>
        <v>0</v>
      </c>
      <c r="AE36" s="84">
        <f t="shared" si="49"/>
        <v>0</v>
      </c>
      <c r="AF36" s="84">
        <f t="shared" si="49"/>
        <v>0</v>
      </c>
      <c r="AG36" s="84">
        <f t="shared" si="49"/>
        <v>0</v>
      </c>
      <c r="AH36" s="84">
        <f t="shared" si="49"/>
        <v>0</v>
      </c>
      <c r="AI36" s="84">
        <f t="shared" si="49"/>
        <v>0</v>
      </c>
      <c r="AJ36" s="191">
        <f t="shared" si="5"/>
        <v>0</v>
      </c>
      <c r="AK36" s="189">
        <f t="shared" si="24"/>
        <v>0</v>
      </c>
      <c r="AL36" s="84">
        <f t="shared" si="18"/>
        <v>0</v>
      </c>
      <c r="AM36" s="84">
        <f t="shared" si="19"/>
        <v>0</v>
      </c>
      <c r="AN36" s="84">
        <f t="shared" si="20"/>
        <v>0</v>
      </c>
      <c r="AO36" s="84">
        <f t="shared" si="21"/>
        <v>0</v>
      </c>
      <c r="AP36" s="84">
        <f t="shared" si="22"/>
        <v>0</v>
      </c>
      <c r="AQ36" s="250">
        <f t="shared" si="27"/>
        <v>0</v>
      </c>
    </row>
    <row r="37" spans="2:43">
      <c r="B37" s="200" t="s">
        <v>1604</v>
      </c>
      <c r="C37" s="84"/>
      <c r="D37" s="84">
        <f>HLOOKUP($B$2,'Consumption Input'!$E$5:$AQ$82,'Consumption Input'!$B21)</f>
        <v>0.35</v>
      </c>
      <c r="E37" s="84">
        <f>HLOOKUP($B$2,'Consumption Input'!$E$5:$AQ$82,'Consumption Input'!$B42)</f>
        <v>663.26099999999997</v>
      </c>
      <c r="F37" s="84"/>
      <c r="G37" s="84">
        <f>HLOOKUP($B$2,'Consumption Input'!$E$5:$AQ$82,'Consumption Input'!$B63)</f>
        <v>122.518</v>
      </c>
      <c r="H37" s="84"/>
      <c r="I37" s="84">
        <f t="shared" si="48"/>
        <v>786.12900000000002</v>
      </c>
      <c r="J37" s="262"/>
      <c r="K37" s="84">
        <f>HLOOKUP($B$2,NEUConsumption,'Non-Energy Use'!$C$17)</f>
        <v>62.404493328103698</v>
      </c>
      <c r="L37" s="84"/>
      <c r="M37" s="84"/>
      <c r="N37" s="189">
        <f t="shared" si="32"/>
        <v>0</v>
      </c>
      <c r="O37" s="84">
        <f t="shared" si="32"/>
        <v>0.35</v>
      </c>
      <c r="P37" s="84">
        <f t="shared" si="33"/>
        <v>600.85650667189623</v>
      </c>
      <c r="Q37" s="84">
        <f t="shared" si="34"/>
        <v>0</v>
      </c>
      <c r="R37" s="84">
        <f t="shared" si="35"/>
        <v>122.518</v>
      </c>
      <c r="S37" s="190">
        <f t="shared" si="36"/>
        <v>0</v>
      </c>
      <c r="T37" s="84">
        <f t="shared" si="3"/>
        <v>723.72450667189628</v>
      </c>
      <c r="U37" s="263">
        <f>Factors!D48</f>
        <v>27.84770010865628</v>
      </c>
      <c r="V37" s="189">
        <f t="shared" si="37"/>
        <v>0</v>
      </c>
      <c r="W37" s="84">
        <f t="shared" si="38"/>
        <v>9.7466950380296971E-3</v>
      </c>
      <c r="X37" s="84">
        <f t="shared" si="39"/>
        <v>16.732471806133798</v>
      </c>
      <c r="Y37" s="84">
        <f t="shared" si="40"/>
        <v>0</v>
      </c>
      <c r="Z37" s="84">
        <f t="shared" si="41"/>
        <v>3.4118445219123501</v>
      </c>
      <c r="AA37" s="84">
        <f t="shared" si="42"/>
        <v>0</v>
      </c>
      <c r="AB37" s="84">
        <f t="shared" si="26"/>
        <v>20.154063023084177</v>
      </c>
      <c r="AC37" s="264">
        <f>Factors!E48</f>
        <v>1</v>
      </c>
      <c r="AD37" s="189">
        <f t="shared" si="49"/>
        <v>0</v>
      </c>
      <c r="AE37" s="84">
        <f t="shared" si="49"/>
        <v>9.7466950380296971E-3</v>
      </c>
      <c r="AF37" s="84">
        <f t="shared" si="49"/>
        <v>16.732471806133798</v>
      </c>
      <c r="AG37" s="84">
        <f t="shared" si="49"/>
        <v>0</v>
      </c>
      <c r="AH37" s="84">
        <f t="shared" si="49"/>
        <v>3.4118445219123501</v>
      </c>
      <c r="AI37" s="84">
        <f t="shared" si="49"/>
        <v>0</v>
      </c>
      <c r="AJ37" s="191">
        <f t="shared" si="5"/>
        <v>20.154063023084177</v>
      </c>
      <c r="AK37" s="189">
        <f t="shared" si="24"/>
        <v>0</v>
      </c>
      <c r="AL37" s="84">
        <f t="shared" si="18"/>
        <v>3.5737881806108887E-2</v>
      </c>
      <c r="AM37" s="84">
        <f t="shared" si="19"/>
        <v>61.352396622490588</v>
      </c>
      <c r="AN37" s="84">
        <f t="shared" si="20"/>
        <v>0</v>
      </c>
      <c r="AO37" s="84">
        <f t="shared" si="21"/>
        <v>12.510096580345284</v>
      </c>
      <c r="AP37" s="84">
        <f t="shared" si="22"/>
        <v>0</v>
      </c>
      <c r="AQ37" s="250">
        <f t="shared" si="27"/>
        <v>73.898231084641978</v>
      </c>
    </row>
    <row r="38" spans="2:43">
      <c r="B38" s="200" t="s">
        <v>1618</v>
      </c>
      <c r="C38" s="84"/>
      <c r="D38" s="84"/>
      <c r="E38" s="84">
        <f>HLOOKUP($B$2,'Consumption Input'!$E$5:$AQ$82,'Consumption Input'!$B43)</f>
        <v>1537.296</v>
      </c>
      <c r="F38" s="84"/>
      <c r="G38" s="84"/>
      <c r="H38" s="84"/>
      <c r="I38" s="84">
        <f t="shared" si="48"/>
        <v>1537.296</v>
      </c>
      <c r="J38" s="262"/>
      <c r="K38" s="84">
        <f>HLOOKUP($B$2,NEUConsumption,'Non-Energy Use'!$C$16)</f>
        <v>166.74568875089008</v>
      </c>
      <c r="L38" s="84"/>
      <c r="M38" s="84"/>
      <c r="N38" s="189">
        <f t="shared" si="32"/>
        <v>0</v>
      </c>
      <c r="O38" s="84">
        <f t="shared" si="32"/>
        <v>0</v>
      </c>
      <c r="P38" s="84">
        <f t="shared" si="33"/>
        <v>1370.5503112491099</v>
      </c>
      <c r="Q38" s="84">
        <f t="shared" si="34"/>
        <v>0</v>
      </c>
      <c r="R38" s="84">
        <f t="shared" si="35"/>
        <v>0</v>
      </c>
      <c r="S38" s="190">
        <f t="shared" si="36"/>
        <v>0</v>
      </c>
      <c r="T38" s="84">
        <f t="shared" si="3"/>
        <v>1370.5503112491099</v>
      </c>
      <c r="U38" s="263">
        <f>Factors!D51</f>
        <v>18.195454545454545</v>
      </c>
      <c r="V38" s="189">
        <f t="shared" si="37"/>
        <v>0</v>
      </c>
      <c r="W38" s="84">
        <f t="shared" si="38"/>
        <v>0</v>
      </c>
      <c r="X38" s="84">
        <f t="shared" si="39"/>
        <v>24.937785890591758</v>
      </c>
      <c r="Y38" s="84">
        <f t="shared" si="40"/>
        <v>0</v>
      </c>
      <c r="Z38" s="84">
        <f t="shared" si="41"/>
        <v>0</v>
      </c>
      <c r="AA38" s="84">
        <f t="shared" si="42"/>
        <v>0</v>
      </c>
      <c r="AB38" s="84">
        <f t="shared" si="26"/>
        <v>24.937785890591758</v>
      </c>
      <c r="AC38" s="264">
        <f>Factors!E51</f>
        <v>1</v>
      </c>
      <c r="AD38" s="189">
        <f t="shared" si="49"/>
        <v>0</v>
      </c>
      <c r="AE38" s="84">
        <f t="shared" si="49"/>
        <v>0</v>
      </c>
      <c r="AF38" s="84">
        <f t="shared" si="49"/>
        <v>24.937785890591758</v>
      </c>
      <c r="AG38" s="84">
        <f t="shared" si="49"/>
        <v>0</v>
      </c>
      <c r="AH38" s="84">
        <f t="shared" si="49"/>
        <v>0</v>
      </c>
      <c r="AI38" s="84">
        <f t="shared" si="49"/>
        <v>0</v>
      </c>
      <c r="AJ38" s="191">
        <f t="shared" si="5"/>
        <v>24.937785890591758</v>
      </c>
      <c r="AK38" s="189">
        <f t="shared" si="24"/>
        <v>0</v>
      </c>
      <c r="AL38" s="84">
        <f t="shared" si="18"/>
        <v>0</v>
      </c>
      <c r="AM38" s="84">
        <f t="shared" si="19"/>
        <v>91.438548265503115</v>
      </c>
      <c r="AN38" s="84">
        <f t="shared" si="20"/>
        <v>0</v>
      </c>
      <c r="AO38" s="84">
        <f t="shared" si="21"/>
        <v>0</v>
      </c>
      <c r="AP38" s="84">
        <f t="shared" si="22"/>
        <v>0</v>
      </c>
      <c r="AQ38" s="250">
        <f t="shared" si="27"/>
        <v>91.438548265503115</v>
      </c>
    </row>
    <row r="39" spans="2:43">
      <c r="B39" s="200" t="s">
        <v>1619</v>
      </c>
      <c r="C39" s="84"/>
      <c r="D39" s="84"/>
      <c r="E39" s="84">
        <f>HLOOKUP($B$2,'Consumption Input'!$E$5:$AQ$82,'Consumption Input'!$B44)</f>
        <v>100.016384</v>
      </c>
      <c r="F39" s="84"/>
      <c r="G39" s="84"/>
      <c r="H39" s="84"/>
      <c r="I39" s="84">
        <f t="shared" si="48"/>
        <v>100.016384</v>
      </c>
      <c r="J39" s="262"/>
      <c r="K39" s="84">
        <f>HLOOKUP($B$2,NEUConsumption,'Non-Energy Use'!$C$18)</f>
        <v>100.016384</v>
      </c>
      <c r="L39" s="84"/>
      <c r="M39" s="84"/>
      <c r="N39" s="189">
        <f t="shared" si="32"/>
        <v>0</v>
      </c>
      <c r="O39" s="84">
        <f t="shared" si="32"/>
        <v>0</v>
      </c>
      <c r="P39" s="84">
        <f t="shared" si="33"/>
        <v>0</v>
      </c>
      <c r="Q39" s="84">
        <f t="shared" si="34"/>
        <v>0</v>
      </c>
      <c r="R39" s="84">
        <f t="shared" si="35"/>
        <v>0</v>
      </c>
      <c r="S39" s="190">
        <f t="shared" si="36"/>
        <v>0</v>
      </c>
      <c r="T39" s="84">
        <f t="shared" si="3"/>
        <v>0</v>
      </c>
      <c r="U39" s="263">
        <f>Factors!D37</f>
        <v>19.737389135254986</v>
      </c>
      <c r="V39" s="189">
        <f t="shared" si="37"/>
        <v>0</v>
      </c>
      <c r="W39" s="84">
        <f t="shared" si="38"/>
        <v>0</v>
      </c>
      <c r="X39" s="84">
        <f t="shared" si="39"/>
        <v>0</v>
      </c>
      <c r="Y39" s="84">
        <f t="shared" si="40"/>
        <v>0</v>
      </c>
      <c r="Z39" s="84">
        <f t="shared" si="41"/>
        <v>0</v>
      </c>
      <c r="AA39" s="84">
        <f t="shared" si="42"/>
        <v>0</v>
      </c>
      <c r="AB39" s="84">
        <f t="shared" si="26"/>
        <v>0</v>
      </c>
      <c r="AC39" s="264">
        <f>Factors!E37</f>
        <v>1</v>
      </c>
      <c r="AD39" s="189">
        <f t="shared" si="49"/>
        <v>0</v>
      </c>
      <c r="AE39" s="84">
        <f t="shared" si="49"/>
        <v>0</v>
      </c>
      <c r="AF39" s="84">
        <f t="shared" si="49"/>
        <v>0</v>
      </c>
      <c r="AG39" s="84">
        <f t="shared" si="49"/>
        <v>0</v>
      </c>
      <c r="AH39" s="84">
        <f t="shared" si="49"/>
        <v>0</v>
      </c>
      <c r="AI39" s="84">
        <f t="shared" si="49"/>
        <v>0</v>
      </c>
      <c r="AJ39" s="191">
        <f t="shared" si="5"/>
        <v>0</v>
      </c>
      <c r="AK39" s="189">
        <f t="shared" si="24"/>
        <v>0</v>
      </c>
      <c r="AL39" s="84">
        <f t="shared" si="18"/>
        <v>0</v>
      </c>
      <c r="AM39" s="84">
        <f t="shared" si="19"/>
        <v>0</v>
      </c>
      <c r="AN39" s="84">
        <f t="shared" si="20"/>
        <v>0</v>
      </c>
      <c r="AO39" s="84">
        <f t="shared" si="21"/>
        <v>0</v>
      </c>
      <c r="AP39" s="84">
        <f t="shared" si="22"/>
        <v>0</v>
      </c>
      <c r="AQ39" s="250">
        <f t="shared" si="27"/>
        <v>0</v>
      </c>
    </row>
    <row r="40" spans="2:43">
      <c r="B40" s="200" t="s">
        <v>1620</v>
      </c>
      <c r="C40" s="84"/>
      <c r="D40" s="84"/>
      <c r="E40" s="84">
        <f>HLOOKUP($B$2,'Consumption Input'!$E$5:$AQ$82,'Consumption Input'!$B45)</f>
        <v>0</v>
      </c>
      <c r="F40" s="84"/>
      <c r="G40" s="84"/>
      <c r="H40" s="84"/>
      <c r="I40" s="84">
        <f t="shared" si="48"/>
        <v>0</v>
      </c>
      <c r="J40" s="262"/>
      <c r="K40" s="84"/>
      <c r="L40" s="84"/>
      <c r="M40" s="84"/>
      <c r="N40" s="189">
        <f t="shared" si="32"/>
        <v>0</v>
      </c>
      <c r="O40" s="84">
        <f t="shared" si="32"/>
        <v>0</v>
      </c>
      <c r="P40" s="84">
        <f t="shared" si="33"/>
        <v>0</v>
      </c>
      <c r="Q40" s="84">
        <f t="shared" si="34"/>
        <v>0</v>
      </c>
      <c r="R40" s="84">
        <f t="shared" si="35"/>
        <v>0</v>
      </c>
      <c r="S40" s="190">
        <f t="shared" si="36"/>
        <v>0</v>
      </c>
      <c r="T40" s="84">
        <f t="shared" si="3"/>
        <v>0</v>
      </c>
      <c r="U40" s="263">
        <f>HLOOKUP($B$2,Factors!$J$12:$AG$25,Factors!$H24,FALSE)</f>
        <v>20.305515594827586</v>
      </c>
      <c r="V40" s="189">
        <f t="shared" si="37"/>
        <v>0</v>
      </c>
      <c r="W40" s="84">
        <f t="shared" si="38"/>
        <v>0</v>
      </c>
      <c r="X40" s="84">
        <f t="shared" si="39"/>
        <v>0</v>
      </c>
      <c r="Y40" s="84">
        <f t="shared" si="40"/>
        <v>0</v>
      </c>
      <c r="Z40" s="84">
        <f t="shared" si="41"/>
        <v>0</v>
      </c>
      <c r="AA40" s="84">
        <f t="shared" si="42"/>
        <v>0</v>
      </c>
      <c r="AB40" s="84">
        <f t="shared" si="26"/>
        <v>0</v>
      </c>
      <c r="AC40" s="264">
        <f>Factors!E53</f>
        <v>1</v>
      </c>
      <c r="AD40" s="189">
        <f t="shared" si="49"/>
        <v>0</v>
      </c>
      <c r="AE40" s="84">
        <f t="shared" si="49"/>
        <v>0</v>
      </c>
      <c r="AF40" s="84">
        <f t="shared" si="49"/>
        <v>0</v>
      </c>
      <c r="AG40" s="84">
        <f t="shared" si="49"/>
        <v>0</v>
      </c>
      <c r="AH40" s="84">
        <f t="shared" si="49"/>
        <v>0</v>
      </c>
      <c r="AI40" s="84">
        <f t="shared" si="49"/>
        <v>0</v>
      </c>
      <c r="AJ40" s="191">
        <f t="shared" si="5"/>
        <v>0</v>
      </c>
      <c r="AK40" s="189">
        <f t="shared" si="24"/>
        <v>0</v>
      </c>
      <c r="AL40" s="84">
        <f t="shared" si="18"/>
        <v>0</v>
      </c>
      <c r="AM40" s="84">
        <f t="shared" si="19"/>
        <v>0</v>
      </c>
      <c r="AN40" s="84">
        <f t="shared" si="20"/>
        <v>0</v>
      </c>
      <c r="AO40" s="84">
        <f t="shared" si="21"/>
        <v>0</v>
      </c>
      <c r="AP40" s="84">
        <f t="shared" si="22"/>
        <v>0</v>
      </c>
      <c r="AQ40" s="250">
        <f t="shared" si="27"/>
        <v>0</v>
      </c>
    </row>
    <row r="41" spans="2:43">
      <c r="B41" s="200" t="s">
        <v>1621</v>
      </c>
      <c r="C41" s="84"/>
      <c r="D41" s="84"/>
      <c r="E41" s="84">
        <f>HLOOKUP($B$2,'Consumption Input'!$E$5:$AQ$82,'Consumption Input'!$B46)</f>
        <v>16.488781799000002</v>
      </c>
      <c r="F41" s="84"/>
      <c r="G41" s="84"/>
      <c r="H41" s="84"/>
      <c r="I41" s="84">
        <f t="shared" si="48"/>
        <v>16.488781799000002</v>
      </c>
      <c r="J41" s="262"/>
      <c r="K41" s="84">
        <f>HLOOKUP($B$2,NEUConsumption,'Non-Energy Use'!$C$21)</f>
        <v>16.488781799000002</v>
      </c>
      <c r="L41" s="84"/>
      <c r="M41" s="84"/>
      <c r="N41" s="189">
        <f t="shared" si="32"/>
        <v>0</v>
      </c>
      <c r="O41" s="84">
        <f t="shared" si="32"/>
        <v>0</v>
      </c>
      <c r="P41" s="84">
        <f t="shared" si="33"/>
        <v>0</v>
      </c>
      <c r="Q41" s="84">
        <f t="shared" si="34"/>
        <v>0</v>
      </c>
      <c r="R41" s="84">
        <f t="shared" si="35"/>
        <v>0</v>
      </c>
      <c r="S41" s="190">
        <f t="shared" si="36"/>
        <v>0</v>
      </c>
      <c r="T41" s="84">
        <f t="shared" si="3"/>
        <v>0</v>
      </c>
      <c r="U41" s="263">
        <f>Factors!D55</f>
        <v>19.795754182606267</v>
      </c>
      <c r="V41" s="192">
        <f t="shared" si="37"/>
        <v>0</v>
      </c>
      <c r="W41" s="193">
        <f t="shared" si="38"/>
        <v>0</v>
      </c>
      <c r="X41" s="193">
        <f t="shared" si="39"/>
        <v>0</v>
      </c>
      <c r="Y41" s="193">
        <f t="shared" si="40"/>
        <v>0</v>
      </c>
      <c r="Z41" s="193">
        <f t="shared" si="41"/>
        <v>0</v>
      </c>
      <c r="AA41" s="193">
        <f t="shared" si="42"/>
        <v>0</v>
      </c>
      <c r="AB41" s="84">
        <f t="shared" si="26"/>
        <v>0</v>
      </c>
      <c r="AC41" s="264">
        <f>Factors!E55</f>
        <v>1</v>
      </c>
      <c r="AD41" s="189">
        <f t="shared" si="49"/>
        <v>0</v>
      </c>
      <c r="AE41" s="84">
        <f t="shared" si="49"/>
        <v>0</v>
      </c>
      <c r="AF41" s="84">
        <f t="shared" si="49"/>
        <v>0</v>
      </c>
      <c r="AG41" s="84">
        <f t="shared" si="49"/>
        <v>0</v>
      </c>
      <c r="AH41" s="84">
        <f t="shared" si="49"/>
        <v>0</v>
      </c>
      <c r="AI41" s="84">
        <f t="shared" si="49"/>
        <v>0</v>
      </c>
      <c r="AJ41" s="191">
        <f t="shared" si="5"/>
        <v>0</v>
      </c>
      <c r="AK41" s="189">
        <f t="shared" si="24"/>
        <v>0</v>
      </c>
      <c r="AL41" s="84">
        <f t="shared" si="18"/>
        <v>0</v>
      </c>
      <c r="AM41" s="84">
        <f t="shared" si="19"/>
        <v>0</v>
      </c>
      <c r="AN41" s="84">
        <f t="shared" si="20"/>
        <v>0</v>
      </c>
      <c r="AO41" s="84">
        <f t="shared" si="21"/>
        <v>0</v>
      </c>
      <c r="AP41" s="84">
        <f t="shared" si="22"/>
        <v>0</v>
      </c>
      <c r="AQ41" s="250">
        <f t="shared" si="27"/>
        <v>0</v>
      </c>
    </row>
    <row r="42" spans="2:43" ht="11.1" thickBot="1">
      <c r="B42" s="201" t="s">
        <v>82</v>
      </c>
      <c r="C42" s="13"/>
      <c r="D42" s="13"/>
      <c r="E42" s="13"/>
      <c r="F42" s="13"/>
      <c r="G42" s="13">
        <f>INDEX(Geothermal!$C$6:$AE$10,MATCH("Total",Geothermal!$C$6:$C$10,0),MATCH($B$2,Geothermal!$C$6:$AE$6,0))/Factors!$J$61*Factors!$J$55/BBtuToBtu*BBtuToTBtu</f>
        <v>53.823187960959999</v>
      </c>
      <c r="H42" s="13"/>
      <c r="I42" s="13">
        <f>G42</f>
        <v>53.823187960959999</v>
      </c>
      <c r="J42" s="275"/>
      <c r="K42" s="125"/>
      <c r="L42" s="13"/>
      <c r="M42" s="202"/>
      <c r="N42" s="13">
        <f t="shared" si="32"/>
        <v>0</v>
      </c>
      <c r="O42" s="13">
        <f t="shared" si="32"/>
        <v>0</v>
      </c>
      <c r="P42" s="13">
        <f>E42</f>
        <v>0</v>
      </c>
      <c r="Q42" s="13">
        <f>F42</f>
        <v>0</v>
      </c>
      <c r="R42" s="13">
        <f t="shared" si="35"/>
        <v>53.823187960959999</v>
      </c>
      <c r="S42" s="13">
        <f>H42</f>
        <v>0</v>
      </c>
      <c r="T42" s="13">
        <f t="shared" si="3"/>
        <v>53.823187960959999</v>
      </c>
      <c r="U42" s="276">
        <f>Factors!D56</f>
        <v>2.6974658424810825</v>
      </c>
      <c r="V42" s="13"/>
      <c r="W42" s="13"/>
      <c r="X42" s="13"/>
      <c r="Y42" s="13"/>
      <c r="Z42" s="13">
        <f>INDEX(Geothermal!$C$14:$AE$18,MATCH("Total",Geothermal!$C$14:$C$18,0),MATCH($B$2,Geothermal!$C$14:$AE$14,0))/CtoCO2</f>
        <v>0.11809538926067127</v>
      </c>
      <c r="AA42" s="13"/>
      <c r="AB42" s="13">
        <f t="shared" si="26"/>
        <v>0.11809538926067127</v>
      </c>
      <c r="AC42" s="276">
        <f>Factors!$E$56</f>
        <v>1</v>
      </c>
      <c r="AD42" s="13">
        <f t="shared" si="49"/>
        <v>0</v>
      </c>
      <c r="AE42" s="13">
        <f t="shared" si="49"/>
        <v>0</v>
      </c>
      <c r="AF42" s="13">
        <f t="shared" si="49"/>
        <v>0</v>
      </c>
      <c r="AG42" s="13">
        <f t="shared" si="49"/>
        <v>0</v>
      </c>
      <c r="AH42" s="13">
        <f t="shared" si="49"/>
        <v>0.11809538926067127</v>
      </c>
      <c r="AI42" s="13">
        <f t="shared" si="49"/>
        <v>0</v>
      </c>
      <c r="AJ42" s="202">
        <f t="shared" si="5"/>
        <v>0.11809538926067127</v>
      </c>
      <c r="AK42" s="125">
        <f t="shared" si="24"/>
        <v>0</v>
      </c>
      <c r="AL42" s="13">
        <f t="shared" si="18"/>
        <v>0</v>
      </c>
      <c r="AM42" s="13">
        <f t="shared" si="19"/>
        <v>0</v>
      </c>
      <c r="AN42" s="13">
        <f t="shared" si="20"/>
        <v>0</v>
      </c>
      <c r="AO42" s="13">
        <f t="shared" si="21"/>
        <v>0.43301642728912798</v>
      </c>
      <c r="AP42" s="13">
        <f t="shared" si="22"/>
        <v>0</v>
      </c>
      <c r="AQ42" s="202">
        <f t="shared" si="27"/>
        <v>0.43301642728912798</v>
      </c>
    </row>
    <row r="43" spans="2:43" ht="11.1" thickBot="1">
      <c r="B43" s="203" t="s">
        <v>1740</v>
      </c>
      <c r="C43" s="204">
        <f>C8+C17+C18+C42</f>
        <v>5941.8656153366228</v>
      </c>
      <c r="D43" s="204">
        <f>D8+D17+D18+D42</f>
        <v>4003.276362143155</v>
      </c>
      <c r="E43" s="204">
        <f>E8+E17+E18+E42</f>
        <v>18140.355413520192</v>
      </c>
      <c r="F43" s="204">
        <f>F8+F17+F18+F42</f>
        <v>25021.53079339724</v>
      </c>
      <c r="G43" s="204">
        <f>G8+G17+G18+G42</f>
        <v>25135.799187960962</v>
      </c>
      <c r="H43" s="204">
        <f>H16+H17+H18+H42</f>
        <v>404.07070568005963</v>
      </c>
      <c r="I43" s="204">
        <f>SUM(C43:H43)</f>
        <v>78646.898078038226</v>
      </c>
      <c r="J43" s="277">
        <f t="shared" ref="J43:S43" si="50">J8+J17+J18+J42</f>
        <v>1387.7262054949738</v>
      </c>
      <c r="K43" s="258">
        <f t="shared" si="50"/>
        <v>4782.0472804621695</v>
      </c>
      <c r="L43" s="204">
        <f t="shared" si="50"/>
        <v>143.36099999999999</v>
      </c>
      <c r="M43" s="205">
        <f t="shared" si="50"/>
        <v>10.535102645808543</v>
      </c>
      <c r="N43" s="204">
        <f t="shared" si="50"/>
        <v>5941.8656153366228</v>
      </c>
      <c r="O43" s="204">
        <f t="shared" si="50"/>
        <v>4003.276362143155</v>
      </c>
      <c r="P43" s="204">
        <f t="shared" si="50"/>
        <v>13358.308133058021</v>
      </c>
      <c r="Q43" s="204">
        <f t="shared" si="50"/>
        <v>23490.443587902264</v>
      </c>
      <c r="R43" s="204">
        <f t="shared" si="50"/>
        <v>25135.799187960962</v>
      </c>
      <c r="S43" s="204">
        <f t="shared" si="50"/>
        <v>393.53560303425104</v>
      </c>
      <c r="T43" s="204">
        <f>SUM(N43:S43)</f>
        <v>72323.228489435278</v>
      </c>
      <c r="U43" s="278" t="s">
        <v>1731</v>
      </c>
      <c r="V43" s="204">
        <f t="shared" ref="V43:AA43" si="51">V8+V17+V18+V42</f>
        <v>89.799500877722039</v>
      </c>
      <c r="W43" s="204">
        <f t="shared" si="51"/>
        <v>61.179730555077917</v>
      </c>
      <c r="X43" s="204">
        <f t="shared" si="51"/>
        <v>226.40041566828137</v>
      </c>
      <c r="Y43" s="204">
        <f t="shared" si="51"/>
        <v>455.19434187998814</v>
      </c>
      <c r="Z43" s="204">
        <f t="shared" si="51"/>
        <v>555.89185296723724</v>
      </c>
      <c r="AA43" s="204">
        <f t="shared" si="51"/>
        <v>7.6713745258835386</v>
      </c>
      <c r="AB43" s="204">
        <f t="shared" si="26"/>
        <v>1396.1372164741902</v>
      </c>
      <c r="AC43" s="278" t="s">
        <v>1731</v>
      </c>
      <c r="AD43" s="204">
        <f t="shared" ref="AD43:AQ43" si="52">AD8+AD17+AD18+AD42</f>
        <v>89.799500877722039</v>
      </c>
      <c r="AE43" s="204">
        <f t="shared" si="52"/>
        <v>61.179730555077917</v>
      </c>
      <c r="AF43" s="204">
        <f t="shared" si="52"/>
        <v>226.40041566828137</v>
      </c>
      <c r="AG43" s="204">
        <f t="shared" si="52"/>
        <v>455.19434187998814</v>
      </c>
      <c r="AH43" s="204">
        <f t="shared" si="52"/>
        <v>555.89185296723724</v>
      </c>
      <c r="AI43" s="204">
        <f t="shared" si="52"/>
        <v>7.6713745258835386</v>
      </c>
      <c r="AJ43" s="205">
        <f t="shared" si="52"/>
        <v>1396.1372164741899</v>
      </c>
      <c r="AK43" s="204">
        <f t="shared" si="52"/>
        <v>329.26483655164748</v>
      </c>
      <c r="AL43" s="204">
        <f t="shared" si="52"/>
        <v>224.32567870195237</v>
      </c>
      <c r="AM43" s="204">
        <f t="shared" si="52"/>
        <v>830.13485745036496</v>
      </c>
      <c r="AN43" s="204">
        <f t="shared" si="52"/>
        <v>1669.0459202266231</v>
      </c>
      <c r="AO43" s="204">
        <f t="shared" si="52"/>
        <v>2038.2701275465361</v>
      </c>
      <c r="AP43" s="204">
        <f t="shared" si="52"/>
        <v>28.128373261572971</v>
      </c>
      <c r="AQ43" s="205">
        <f t="shared" si="52"/>
        <v>5119.1697937386962</v>
      </c>
    </row>
    <row r="44" spans="2:43" ht="9.9499999999999993">
      <c r="B44"/>
      <c r="C44"/>
      <c r="D44"/>
      <c r="E44"/>
      <c r="F44"/>
      <c r="G44"/>
      <c r="H44"/>
      <c r="I44"/>
      <c r="J44"/>
      <c r="K44"/>
      <c r="L44"/>
      <c r="M44"/>
      <c r="N44" s="206"/>
      <c r="O44" s="206"/>
      <c r="P44" s="206"/>
      <c r="Q44" s="206"/>
      <c r="R44" s="206"/>
      <c r="S44" s="206"/>
      <c r="U44"/>
      <c r="V44" s="207"/>
      <c r="W44" s="207"/>
      <c r="X44" s="207"/>
      <c r="Y44" s="207"/>
      <c r="Z44" s="207"/>
      <c r="AA44" s="207"/>
      <c r="AB44" s="242" t="s">
        <v>1741</v>
      </c>
      <c r="AC44">
        <f>Factors!$E$58</f>
        <v>1</v>
      </c>
      <c r="AD44"/>
      <c r="AE44"/>
      <c r="AF44"/>
      <c r="AG44"/>
      <c r="AH44"/>
      <c r="AI44"/>
      <c r="AJ44"/>
    </row>
    <row r="45" spans="2: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2: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2: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2: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9"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ransitionEvaluation="1" transitionEntry="1" codeName="Sheet46">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customWidth="1"/>
    <col min="21" max="21" width="10"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41" width="9.6640625" customWidth="1"/>
    <col min="42" max="42" width="9" bestFit="1" customWidth="1"/>
    <col min="43" max="43" width="10"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2014</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1766</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 t="shared" si="0"/>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ht="12.6">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1767</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56.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40.204000000000001</v>
      </c>
      <c r="E8" s="876">
        <f t="shared" si="1"/>
        <v>891.5884726735967</v>
      </c>
      <c r="F8" s="876">
        <f t="shared" si="1"/>
        <v>0</v>
      </c>
      <c r="G8" s="876">
        <f t="shared" si="1"/>
        <v>16427.400000000001</v>
      </c>
      <c r="H8" s="876">
        <f t="shared" si="1"/>
        <v>37.343816349511442</v>
      </c>
      <c r="I8" s="876">
        <f t="shared" ref="I8:I14" si="2">SUM(C8:H8)</f>
        <v>17396.536289023112</v>
      </c>
      <c r="J8" s="877"/>
      <c r="K8" s="876">
        <f>SUM(K9:K16)</f>
        <v>58.628523872503656</v>
      </c>
      <c r="L8" s="876">
        <f>SUM(L9:L16)</f>
        <v>0</v>
      </c>
      <c r="M8" s="876"/>
      <c r="N8" s="878">
        <f t="shared" ref="N8:S8" si="3">SUM(N9:N16)</f>
        <v>0</v>
      </c>
      <c r="O8" s="876">
        <f t="shared" si="3"/>
        <v>40.204000000000001</v>
      </c>
      <c r="P8" s="876">
        <f t="shared" si="3"/>
        <v>832.95994880109299</v>
      </c>
      <c r="Q8" s="876">
        <f t="shared" si="3"/>
        <v>0</v>
      </c>
      <c r="R8" s="876">
        <f t="shared" si="3"/>
        <v>16427.400000000001</v>
      </c>
      <c r="S8" s="879">
        <f t="shared" si="3"/>
        <v>37.343816349511442</v>
      </c>
      <c r="T8" s="876">
        <f t="shared" ref="T8:T42" si="4">SUM(N8:S8)</f>
        <v>17337.907765150605</v>
      </c>
      <c r="U8" s="880" t="s">
        <v>1731</v>
      </c>
      <c r="V8" s="876">
        <f>SUM(V9:V16)</f>
        <v>0</v>
      </c>
      <c r="W8" s="876">
        <f>SUM(W9:W16)</f>
        <v>1.0406583689529039</v>
      </c>
      <c r="X8" s="876">
        <f>SUM(X9:X16)</f>
        <v>21.611669628436861</v>
      </c>
      <c r="Y8" s="876"/>
      <c r="Z8" s="876">
        <f>SUM(Z9:Z16)</f>
        <v>427.78804742948785</v>
      </c>
      <c r="AA8" s="876">
        <f>SUM(AA9:AA16)</f>
        <v>0.93882354302671767</v>
      </c>
      <c r="AB8" s="876">
        <f t="shared" ref="AB8:AB13" si="5">SUM(V8:AA8)</f>
        <v>451.37919896990434</v>
      </c>
      <c r="AC8" s="881" t="s">
        <v>1731</v>
      </c>
      <c r="AD8" s="878">
        <f>SUM(AD9:AD16)</f>
        <v>0</v>
      </c>
      <c r="AE8" s="876">
        <f>SUM(AE9:AE16)</f>
        <v>1.0406583689529039</v>
      </c>
      <c r="AF8" s="876">
        <f>SUM(AF9:AF16)</f>
        <v>21.611669628436861</v>
      </c>
      <c r="AG8" s="876" t="s">
        <v>108</v>
      </c>
      <c r="AH8" s="876">
        <f>SUM(AH9:AH16)</f>
        <v>427.78804742948785</v>
      </c>
      <c r="AI8" s="876">
        <f>SUM(AI9:AI16)</f>
        <v>0.93882354302671767</v>
      </c>
      <c r="AJ8" s="876">
        <f t="shared" ref="AJ8:AJ42" si="6">SUM(AD8:AI8)</f>
        <v>451.37919896990434</v>
      </c>
      <c r="AK8" s="878">
        <f t="shared" ref="AK8:AP8" si="7">SUM(AK9:AK16)</f>
        <v>0</v>
      </c>
      <c r="AL8" s="876">
        <f t="shared" si="7"/>
        <v>3.815747352827314</v>
      </c>
      <c r="AM8" s="876">
        <f t="shared" si="7"/>
        <v>79.242788637601819</v>
      </c>
      <c r="AN8" s="876">
        <f t="shared" si="7"/>
        <v>0</v>
      </c>
      <c r="AO8" s="876">
        <f t="shared" si="7"/>
        <v>1568.556173908122</v>
      </c>
      <c r="AP8" s="876">
        <f t="shared" si="7"/>
        <v>3.4423529910979647</v>
      </c>
      <c r="AQ8" s="882">
        <f t="shared" ref="AQ8:AQ14" si="8">SUM(AK8:AP8)</f>
        <v>1655.0570628896492</v>
      </c>
    </row>
    <row r="9" spans="1:43">
      <c r="A9" s="817"/>
      <c r="B9" s="860" t="s">
        <v>1732</v>
      </c>
      <c r="C9" s="883">
        <f>HLOOKUP($B$2,'Consumption Input'!$E$5:$AQ$82,'Consumption Input'!$B7)</f>
        <v>0</v>
      </c>
      <c r="D9" s="883"/>
      <c r="E9" s="883"/>
      <c r="F9" s="883"/>
      <c r="G9" s="883"/>
      <c r="H9" s="883"/>
      <c r="I9" s="883">
        <f t="shared" si="2"/>
        <v>0</v>
      </c>
      <c r="J9" s="884"/>
      <c r="K9" s="883"/>
      <c r="L9" s="883"/>
      <c r="M9" s="883"/>
      <c r="N9" s="885">
        <f t="shared" ref="N9:O17" si="9">C9</f>
        <v>0</v>
      </c>
      <c r="O9" s="883">
        <f t="shared" si="9"/>
        <v>0</v>
      </c>
      <c r="P9" s="883">
        <f t="shared" ref="P9:P17" si="10">E9-K9</f>
        <v>0</v>
      </c>
      <c r="Q9" s="883">
        <f t="shared" ref="Q9:S17" si="11">F9</f>
        <v>0</v>
      </c>
      <c r="R9" s="883">
        <f t="shared" si="11"/>
        <v>0</v>
      </c>
      <c r="S9" s="886">
        <f t="shared" si="11"/>
        <v>0</v>
      </c>
      <c r="T9" s="883">
        <f t="shared" si="4"/>
        <v>0</v>
      </c>
      <c r="U9" s="887">
        <f>HLOOKUP($B$2,Factors!$J$12:$BE$25,Factors!$H13,FALSE)</f>
        <v>25.884448536287529</v>
      </c>
      <c r="V9" s="885">
        <f>N9*$U9*TbtuToQBtu</f>
        <v>0</v>
      </c>
      <c r="W9" s="883">
        <f t="shared" ref="W9:W17" si="12">O9*$U9*TbtuToQBtu</f>
        <v>0</v>
      </c>
      <c r="X9" s="883">
        <f t="shared" ref="X9:X17" si="13">P9*$U9*TbtuToQBtu</f>
        <v>0</v>
      </c>
      <c r="Y9" s="883">
        <f t="shared" ref="Y9:Y17" si="14">Q9*$U9*TbtuToQBtu</f>
        <v>0</v>
      </c>
      <c r="Z9" s="883">
        <f t="shared" ref="Z9:Z17" si="15">R9*$U9*TbtuToQBtu</f>
        <v>0</v>
      </c>
      <c r="AA9" s="883">
        <f t="shared" ref="AA9:AA17" si="16">S9*$U9*TbtuToQBtu</f>
        <v>0</v>
      </c>
      <c r="AB9" s="883">
        <f t="shared" si="5"/>
        <v>0</v>
      </c>
      <c r="AC9" s="888">
        <f>Factors!E10</f>
        <v>1</v>
      </c>
      <c r="AD9" s="885">
        <f t="shared" ref="AD9:AI17" si="17">V9*$AC9</f>
        <v>0</v>
      </c>
      <c r="AE9" s="883">
        <f t="shared" si="17"/>
        <v>0</v>
      </c>
      <c r="AF9" s="883">
        <f t="shared" si="17"/>
        <v>0</v>
      </c>
      <c r="AG9" s="883">
        <f t="shared" si="17"/>
        <v>0</v>
      </c>
      <c r="AH9" s="883">
        <f t="shared" si="17"/>
        <v>0</v>
      </c>
      <c r="AI9" s="883">
        <f t="shared" si="17"/>
        <v>0</v>
      </c>
      <c r="AJ9" s="889">
        <f t="shared" si="6"/>
        <v>0</v>
      </c>
      <c r="AK9" s="885">
        <f>AD9*CtoCO2</f>
        <v>0</v>
      </c>
      <c r="AL9" s="883">
        <f t="shared" ref="AL9:AL42" si="18">AE9*CtoCO2</f>
        <v>0</v>
      </c>
      <c r="AM9" s="883">
        <f t="shared" ref="AM9:AM42" si="19">AF9*CtoCO2</f>
        <v>0</v>
      </c>
      <c r="AN9" s="883">
        <f t="shared" ref="AN9:AN42" si="20">AG9*CtoCO2</f>
        <v>0</v>
      </c>
      <c r="AO9" s="883">
        <f t="shared" ref="AO9:AO42" si="21">AH9*CtoCO2</f>
        <v>0</v>
      </c>
      <c r="AP9" s="883">
        <f t="shared" ref="AP9:AP42" si="22">AI9*CtoCO2</f>
        <v>0</v>
      </c>
      <c r="AQ9" s="890">
        <f t="shared" si="8"/>
        <v>0</v>
      </c>
    </row>
    <row r="10" spans="1:43">
      <c r="A10" s="817"/>
      <c r="B10" s="860" t="s">
        <v>1733</v>
      </c>
      <c r="C10" s="883"/>
      <c r="D10" s="883">
        <f>HLOOKUP($B$2,'Consumption Input'!$E$5:$AQ$82,'Consumption Input'!$B13)</f>
        <v>40.204000000000001</v>
      </c>
      <c r="E10" s="883"/>
      <c r="F10" s="883"/>
      <c r="G10" s="883"/>
      <c r="H10" s="883"/>
      <c r="I10" s="883">
        <f t="shared" si="2"/>
        <v>40.204000000000001</v>
      </c>
      <c r="J10" s="884"/>
      <c r="K10" s="883"/>
      <c r="L10" s="883"/>
      <c r="M10" s="883"/>
      <c r="N10" s="885">
        <f t="shared" si="9"/>
        <v>0</v>
      </c>
      <c r="O10" s="883">
        <f t="shared" si="9"/>
        <v>40.204000000000001</v>
      </c>
      <c r="P10" s="883">
        <f t="shared" si="10"/>
        <v>0</v>
      </c>
      <c r="Q10" s="883">
        <f t="shared" si="11"/>
        <v>0</v>
      </c>
      <c r="R10" s="883">
        <f t="shared" si="11"/>
        <v>0</v>
      </c>
      <c r="S10" s="886">
        <f t="shared" si="11"/>
        <v>0</v>
      </c>
      <c r="T10" s="883">
        <f t="shared" si="4"/>
        <v>40.204000000000001</v>
      </c>
      <c r="U10" s="887">
        <f>HLOOKUP($B$2,Factors!$J$12:$BE$25,Factors!$H14,FALSE)</f>
        <v>25.884448536287529</v>
      </c>
      <c r="V10" s="885">
        <f t="shared" ref="V10:V17" si="23">N10*$U10*TbtuToQBtu</f>
        <v>0</v>
      </c>
      <c r="W10" s="883">
        <f>O10*$U10*TbtuToQBtu</f>
        <v>1.0406583689529039</v>
      </c>
      <c r="X10" s="883">
        <f t="shared" si="13"/>
        <v>0</v>
      </c>
      <c r="Y10" s="883">
        <f t="shared" si="14"/>
        <v>0</v>
      </c>
      <c r="Z10" s="883">
        <f t="shared" si="15"/>
        <v>0</v>
      </c>
      <c r="AA10" s="883">
        <f t="shared" si="16"/>
        <v>0</v>
      </c>
      <c r="AB10" s="883">
        <f t="shared" si="5"/>
        <v>1.0406583689529039</v>
      </c>
      <c r="AC10" s="888">
        <f>Factors!E11</f>
        <v>1</v>
      </c>
      <c r="AD10" s="885">
        <f t="shared" si="17"/>
        <v>0</v>
      </c>
      <c r="AE10" s="883">
        <f t="shared" si="17"/>
        <v>1.0406583689529039</v>
      </c>
      <c r="AF10" s="883">
        <f t="shared" si="17"/>
        <v>0</v>
      </c>
      <c r="AG10" s="883">
        <f t="shared" si="17"/>
        <v>0</v>
      </c>
      <c r="AH10" s="883">
        <f t="shared" si="17"/>
        <v>0</v>
      </c>
      <c r="AI10" s="883">
        <f t="shared" si="17"/>
        <v>0</v>
      </c>
      <c r="AJ10" s="889">
        <f t="shared" si="6"/>
        <v>1.0406583689529039</v>
      </c>
      <c r="AK10" s="885">
        <f t="shared" ref="AK10:AK42" si="24">AD10*CtoCO2</f>
        <v>0</v>
      </c>
      <c r="AL10" s="883">
        <f t="shared" si="18"/>
        <v>3.815747352827314</v>
      </c>
      <c r="AM10" s="883">
        <f t="shared" si="19"/>
        <v>0</v>
      </c>
      <c r="AN10" s="883">
        <f t="shared" si="20"/>
        <v>0</v>
      </c>
      <c r="AO10" s="883">
        <f t="shared" si="21"/>
        <v>0</v>
      </c>
      <c r="AP10" s="883">
        <f t="shared" si="22"/>
        <v>0</v>
      </c>
      <c r="AQ10" s="890">
        <f t="shared" si="8"/>
        <v>3.815747352827314</v>
      </c>
    </row>
    <row r="11" spans="1:43" s="244" customFormat="1" hidden="1">
      <c r="A11" s="861"/>
      <c r="B11" s="862" t="s">
        <v>1734</v>
      </c>
      <c r="C11" s="891"/>
      <c r="D11" s="891"/>
      <c r="E11" s="891">
        <f>HLOOKUP($B$2,'Consumption Input'!$E$5:$AQ$82,'Consumption Input'!$B23)</f>
        <v>49.106364978524198</v>
      </c>
      <c r="F11" s="891"/>
      <c r="G11" s="891"/>
      <c r="H11" s="891"/>
      <c r="I11" s="891">
        <f t="shared" si="2"/>
        <v>49.106364978524198</v>
      </c>
      <c r="J11" s="892"/>
      <c r="K11" s="891">
        <f>HLOOKUP($B$2,NEUConsumption,'Non-Energy Use'!$C$7)</f>
        <v>49.106364978524198</v>
      </c>
      <c r="L11" s="891"/>
      <c r="M11" s="891"/>
      <c r="N11" s="893">
        <f t="shared" si="9"/>
        <v>0</v>
      </c>
      <c r="O11" s="891">
        <f t="shared" si="9"/>
        <v>0</v>
      </c>
      <c r="P11" s="891">
        <f t="shared" si="10"/>
        <v>0</v>
      </c>
      <c r="Q11" s="891">
        <f t="shared" si="11"/>
        <v>0</v>
      </c>
      <c r="R11" s="891">
        <f t="shared" si="11"/>
        <v>0</v>
      </c>
      <c r="S11" s="894">
        <f t="shared" si="11"/>
        <v>0</v>
      </c>
      <c r="T11" s="891">
        <f t="shared" si="4"/>
        <v>0</v>
      </c>
      <c r="U11" s="1013">
        <f>HLOOKUP($B$2,Factors!$J$12:$BE$28,Factors!$H28,FALSE)</f>
        <v>25.565197824291008</v>
      </c>
      <c r="V11" s="893">
        <f t="shared" si="23"/>
        <v>0</v>
      </c>
      <c r="W11" s="891">
        <f t="shared" si="12"/>
        <v>0</v>
      </c>
      <c r="X11" s="891">
        <f t="shared" si="13"/>
        <v>0</v>
      </c>
      <c r="Y11" s="891">
        <f t="shared" si="14"/>
        <v>0</v>
      </c>
      <c r="Z11" s="891">
        <f t="shared" si="15"/>
        <v>0</v>
      </c>
      <c r="AA11" s="891">
        <f t="shared" si="16"/>
        <v>0</v>
      </c>
      <c r="AB11" s="891">
        <f t="shared" si="5"/>
        <v>0</v>
      </c>
      <c r="AC11" s="896">
        <f>Factors!E12</f>
        <v>1</v>
      </c>
      <c r="AD11" s="893">
        <f t="shared" si="17"/>
        <v>0</v>
      </c>
      <c r="AE11" s="891">
        <f t="shared" si="17"/>
        <v>0</v>
      </c>
      <c r="AF11" s="891">
        <f t="shared" si="17"/>
        <v>0</v>
      </c>
      <c r="AG11" s="891">
        <f t="shared" si="17"/>
        <v>0</v>
      </c>
      <c r="AH11" s="891">
        <f t="shared" si="17"/>
        <v>0</v>
      </c>
      <c r="AI11" s="891">
        <f t="shared" si="17"/>
        <v>0</v>
      </c>
      <c r="AJ11" s="897">
        <f t="shared" si="6"/>
        <v>0</v>
      </c>
      <c r="AK11" s="893">
        <f t="shared" si="24"/>
        <v>0</v>
      </c>
      <c r="AL11" s="891">
        <f t="shared" si="18"/>
        <v>0</v>
      </c>
      <c r="AM11" s="891">
        <f t="shared" si="19"/>
        <v>0</v>
      </c>
      <c r="AN11" s="891">
        <f t="shared" si="20"/>
        <v>0</v>
      </c>
      <c r="AO11" s="891">
        <f t="shared" si="21"/>
        <v>0</v>
      </c>
      <c r="AP11" s="891">
        <f t="shared" si="22"/>
        <v>0</v>
      </c>
      <c r="AQ11" s="898">
        <f t="shared" si="8"/>
        <v>0</v>
      </c>
    </row>
    <row r="12" spans="1:43">
      <c r="A12" s="817"/>
      <c r="B12" s="860" t="s">
        <v>1701</v>
      </c>
      <c r="C12" s="883"/>
      <c r="D12" s="883"/>
      <c r="E12" s="883">
        <f>HLOOKUP($B$2,'Consumption Input'!$E$5:$AQ$82,'Consumption Input'!$B24)</f>
        <v>842.4821076950725</v>
      </c>
      <c r="F12" s="883"/>
      <c r="G12" s="883"/>
      <c r="H12" s="883"/>
      <c r="I12" s="883">
        <f t="shared" si="2"/>
        <v>842.4821076950725</v>
      </c>
      <c r="J12" s="884"/>
      <c r="K12" s="883">
        <f>HLOOKUP($B$2,NEUConsumption,'Non-Energy Use'!$C$8)</f>
        <v>9.5221588939794586</v>
      </c>
      <c r="L12" s="883"/>
      <c r="M12" s="883"/>
      <c r="N12" s="885">
        <f t="shared" si="9"/>
        <v>0</v>
      </c>
      <c r="O12" s="883">
        <f t="shared" si="9"/>
        <v>0</v>
      </c>
      <c r="P12" s="883">
        <f t="shared" si="10"/>
        <v>832.95994880109299</v>
      </c>
      <c r="Q12" s="883">
        <f t="shared" si="11"/>
        <v>0</v>
      </c>
      <c r="R12" s="883">
        <f t="shared" si="11"/>
        <v>0</v>
      </c>
      <c r="S12" s="886">
        <f t="shared" si="11"/>
        <v>0</v>
      </c>
      <c r="T12" s="883">
        <f t="shared" si="4"/>
        <v>832.95994880109299</v>
      </c>
      <c r="U12" s="887">
        <f>HLOOKUP($B$2,Factors!$J$12:$BE$25,Factors!$H15,FALSE)</f>
        <v>25.945628789887504</v>
      </c>
      <c r="V12" s="885">
        <f t="shared" si="23"/>
        <v>0</v>
      </c>
      <c r="W12" s="883">
        <f t="shared" si="12"/>
        <v>0</v>
      </c>
      <c r="X12" s="883">
        <f t="shared" si="13"/>
        <v>21.611669628436861</v>
      </c>
      <c r="Y12" s="883">
        <f t="shared" si="14"/>
        <v>0</v>
      </c>
      <c r="Z12" s="883">
        <f t="shared" si="15"/>
        <v>0</v>
      </c>
      <c r="AA12" s="883">
        <f t="shared" si="16"/>
        <v>0</v>
      </c>
      <c r="AB12" s="883">
        <f t="shared" si="5"/>
        <v>21.611669628436861</v>
      </c>
      <c r="AC12" s="888">
        <f>Factors!E13</f>
        <v>1</v>
      </c>
      <c r="AD12" s="885">
        <f t="shared" si="17"/>
        <v>0</v>
      </c>
      <c r="AE12" s="883">
        <f t="shared" si="17"/>
        <v>0</v>
      </c>
      <c r="AF12" s="883">
        <f t="shared" si="17"/>
        <v>21.611669628436861</v>
      </c>
      <c r="AG12" s="883">
        <f t="shared" si="17"/>
        <v>0</v>
      </c>
      <c r="AH12" s="883">
        <f t="shared" si="17"/>
        <v>0</v>
      </c>
      <c r="AI12" s="883">
        <f t="shared" si="17"/>
        <v>0</v>
      </c>
      <c r="AJ12" s="889">
        <f t="shared" si="6"/>
        <v>21.611669628436861</v>
      </c>
      <c r="AK12" s="885">
        <f t="shared" si="24"/>
        <v>0</v>
      </c>
      <c r="AL12" s="883">
        <f t="shared" si="18"/>
        <v>0</v>
      </c>
      <c r="AM12" s="883">
        <f>AF12*CtoCO2</f>
        <v>79.242788637601819</v>
      </c>
      <c r="AN12" s="883">
        <f t="shared" si="20"/>
        <v>0</v>
      </c>
      <c r="AO12" s="883">
        <f t="shared" si="21"/>
        <v>0</v>
      </c>
      <c r="AP12" s="883">
        <f t="shared" si="22"/>
        <v>0</v>
      </c>
      <c r="AQ12" s="890">
        <f t="shared" si="8"/>
        <v>79.242788637601819</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9"/>
        <v>0</v>
      </c>
      <c r="O13" s="891">
        <f t="shared" si="9"/>
        <v>0</v>
      </c>
      <c r="P13" s="891">
        <f t="shared" si="10"/>
        <v>0</v>
      </c>
      <c r="Q13" s="891">
        <f t="shared" si="11"/>
        <v>0</v>
      </c>
      <c r="R13" s="891">
        <f t="shared" si="11"/>
        <v>0</v>
      </c>
      <c r="S13" s="894">
        <f t="shared" si="11"/>
        <v>0</v>
      </c>
      <c r="T13" s="891">
        <f t="shared" si="4"/>
        <v>0</v>
      </c>
      <c r="U13" s="895">
        <f>Factors!D14</f>
        <v>27.85</v>
      </c>
      <c r="V13" s="893">
        <f t="shared" si="23"/>
        <v>0</v>
      </c>
      <c r="W13" s="891">
        <f t="shared" si="12"/>
        <v>0</v>
      </c>
      <c r="X13" s="891">
        <f t="shared" si="13"/>
        <v>0</v>
      </c>
      <c r="Y13" s="891">
        <f t="shared" si="14"/>
        <v>0</v>
      </c>
      <c r="Z13" s="891">
        <f t="shared" si="15"/>
        <v>0</v>
      </c>
      <c r="AA13" s="891">
        <f t="shared" si="16"/>
        <v>0</v>
      </c>
      <c r="AB13" s="891">
        <f t="shared" si="5"/>
        <v>0</v>
      </c>
      <c r="AC13" s="896">
        <f>Factors!E14</f>
        <v>1</v>
      </c>
      <c r="AD13" s="893">
        <f t="shared" si="17"/>
        <v>0</v>
      </c>
      <c r="AE13" s="891">
        <f t="shared" si="17"/>
        <v>0</v>
      </c>
      <c r="AF13" s="891">
        <f t="shared" si="17"/>
        <v>0</v>
      </c>
      <c r="AG13" s="891">
        <f t="shared" si="17"/>
        <v>0</v>
      </c>
      <c r="AH13" s="891">
        <f t="shared" si="17"/>
        <v>0</v>
      </c>
      <c r="AI13" s="891">
        <f t="shared" si="17"/>
        <v>0</v>
      </c>
      <c r="AJ13" s="897">
        <f t="shared" si="6"/>
        <v>0</v>
      </c>
      <c r="AK13" s="893">
        <f t="shared" si="24"/>
        <v>0</v>
      </c>
      <c r="AL13" s="891">
        <f t="shared" si="18"/>
        <v>0</v>
      </c>
      <c r="AM13" s="891">
        <f t="shared" si="19"/>
        <v>0</v>
      </c>
      <c r="AN13" s="891">
        <f t="shared" si="20"/>
        <v>0</v>
      </c>
      <c r="AO13" s="891">
        <f t="shared" si="21"/>
        <v>0</v>
      </c>
      <c r="AP13" s="891">
        <f t="shared" si="22"/>
        <v>0</v>
      </c>
      <c r="AQ13" s="890">
        <f t="shared" si="8"/>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9"/>
        <v>0</v>
      </c>
      <c r="O14" s="883">
        <f t="shared" si="9"/>
        <v>0</v>
      </c>
      <c r="P14" s="883">
        <f t="shared" si="10"/>
        <v>0</v>
      </c>
      <c r="Q14" s="883">
        <f t="shared" si="11"/>
        <v>0</v>
      </c>
      <c r="R14" s="883">
        <f t="shared" si="11"/>
        <v>0</v>
      </c>
      <c r="S14" s="886">
        <f t="shared" si="11"/>
        <v>0</v>
      </c>
      <c r="T14" s="883">
        <f t="shared" si="4"/>
        <v>0</v>
      </c>
      <c r="U14" s="887" t="str">
        <f>Factors!D15</f>
        <v>NC</v>
      </c>
      <c r="V14" s="885">
        <f t="shared" si="23"/>
        <v>0</v>
      </c>
      <c r="W14" s="883">
        <f t="shared" si="12"/>
        <v>0</v>
      </c>
      <c r="X14" s="883">
        <f t="shared" si="13"/>
        <v>0</v>
      </c>
      <c r="Y14" s="883">
        <f t="shared" si="14"/>
        <v>0</v>
      </c>
      <c r="Z14" s="883">
        <f t="shared" si="15"/>
        <v>0</v>
      </c>
      <c r="AA14" s="883">
        <f t="shared" si="16"/>
        <v>0</v>
      </c>
      <c r="AB14" s="883" t="s">
        <v>103</v>
      </c>
      <c r="AC14" s="888" t="str">
        <f>Factors!E15</f>
        <v>NC</v>
      </c>
      <c r="AD14" s="885">
        <f t="shared" si="17"/>
        <v>0</v>
      </c>
      <c r="AE14" s="883">
        <f t="shared" si="17"/>
        <v>0</v>
      </c>
      <c r="AF14" s="883">
        <f t="shared" si="17"/>
        <v>0</v>
      </c>
      <c r="AG14" s="883">
        <f t="shared" si="17"/>
        <v>0</v>
      </c>
      <c r="AH14" s="883">
        <f t="shared" si="17"/>
        <v>0</v>
      </c>
      <c r="AI14" s="883">
        <f t="shared" si="17"/>
        <v>0</v>
      </c>
      <c r="AJ14" s="889">
        <f t="shared" si="6"/>
        <v>0</v>
      </c>
      <c r="AK14" s="885">
        <f t="shared" si="24"/>
        <v>0</v>
      </c>
      <c r="AL14" s="883">
        <f t="shared" si="18"/>
        <v>0</v>
      </c>
      <c r="AM14" s="883">
        <f t="shared" si="19"/>
        <v>0</v>
      </c>
      <c r="AN14" s="883">
        <f t="shared" si="20"/>
        <v>0</v>
      </c>
      <c r="AO14" s="883">
        <f t="shared" si="21"/>
        <v>0</v>
      </c>
      <c r="AP14" s="883">
        <f t="shared" si="22"/>
        <v>0</v>
      </c>
      <c r="AQ14" s="890">
        <f t="shared" si="8"/>
        <v>0</v>
      </c>
    </row>
    <row r="15" spans="1:43">
      <c r="A15" s="817"/>
      <c r="B15" s="860" t="s">
        <v>1736</v>
      </c>
      <c r="C15" s="883"/>
      <c r="D15" s="883"/>
      <c r="E15" s="883"/>
      <c r="F15" s="883"/>
      <c r="G15" s="883">
        <f>HLOOKUP($B$2,'Consumption Input'!$E$5:$AQ$82,'Consumption Input'!$B58)</f>
        <v>16427.400000000001</v>
      </c>
      <c r="H15" s="883"/>
      <c r="I15" s="883">
        <f t="shared" ref="I15:I28" si="25">SUM(C15:H15)</f>
        <v>16427.400000000001</v>
      </c>
      <c r="J15" s="884"/>
      <c r="K15" s="883"/>
      <c r="L15" s="883"/>
      <c r="M15" s="883"/>
      <c r="N15" s="885">
        <f t="shared" si="9"/>
        <v>0</v>
      </c>
      <c r="O15" s="883">
        <f t="shared" si="9"/>
        <v>0</v>
      </c>
      <c r="P15" s="883">
        <f t="shared" si="10"/>
        <v>0</v>
      </c>
      <c r="Q15" s="883">
        <f t="shared" si="11"/>
        <v>0</v>
      </c>
      <c r="R15" s="883">
        <f t="shared" si="11"/>
        <v>16427.400000000001</v>
      </c>
      <c r="S15" s="886">
        <f t="shared" si="11"/>
        <v>0</v>
      </c>
      <c r="T15" s="883">
        <f t="shared" si="4"/>
        <v>16427.400000000001</v>
      </c>
      <c r="U15" s="887">
        <f>HLOOKUP($B$2,Factors!$J$12:$BE$25,Factors!$H16,FALSE)</f>
        <v>26.04112929797094</v>
      </c>
      <c r="V15" s="885">
        <f t="shared" si="23"/>
        <v>0</v>
      </c>
      <c r="W15" s="883">
        <f t="shared" si="12"/>
        <v>0</v>
      </c>
      <c r="X15" s="883">
        <f t="shared" si="13"/>
        <v>0</v>
      </c>
      <c r="Y15" s="883">
        <f t="shared" si="14"/>
        <v>0</v>
      </c>
      <c r="Z15" s="883">
        <f t="shared" si="15"/>
        <v>427.78804742948785</v>
      </c>
      <c r="AA15" s="883">
        <f t="shared" si="16"/>
        <v>0</v>
      </c>
      <c r="AB15" s="883">
        <f t="shared" ref="AB15:AB43" si="26">SUM(V15:AA15)</f>
        <v>427.78804742948785</v>
      </c>
      <c r="AC15" s="888">
        <f>Factors!E16</f>
        <v>1</v>
      </c>
      <c r="AD15" s="885">
        <f t="shared" si="17"/>
        <v>0</v>
      </c>
      <c r="AE15" s="883">
        <f t="shared" si="17"/>
        <v>0</v>
      </c>
      <c r="AF15" s="883">
        <f t="shared" si="17"/>
        <v>0</v>
      </c>
      <c r="AG15" s="883">
        <f t="shared" si="17"/>
        <v>0</v>
      </c>
      <c r="AH15" s="883">
        <f t="shared" si="17"/>
        <v>427.78804742948785</v>
      </c>
      <c r="AI15" s="883">
        <f t="shared" si="17"/>
        <v>0</v>
      </c>
      <c r="AJ15" s="889">
        <f t="shared" si="6"/>
        <v>427.78804742948785</v>
      </c>
      <c r="AK15" s="885">
        <f t="shared" si="24"/>
        <v>0</v>
      </c>
      <c r="AL15" s="883">
        <f t="shared" si="18"/>
        <v>0</v>
      </c>
      <c r="AM15" s="883">
        <f t="shared" si="19"/>
        <v>0</v>
      </c>
      <c r="AN15" s="883">
        <f t="shared" si="20"/>
        <v>0</v>
      </c>
      <c r="AO15" s="883">
        <f t="shared" si="21"/>
        <v>1568.556173908122</v>
      </c>
      <c r="AP15" s="883">
        <f t="shared" si="22"/>
        <v>0</v>
      </c>
      <c r="AQ15" s="890">
        <f t="shared" ref="AQ15:AQ42" si="27">SUM(AK15:AP15)</f>
        <v>1568.556173908122</v>
      </c>
    </row>
    <row r="16" spans="1:43">
      <c r="A16" s="817"/>
      <c r="B16" s="860" t="s">
        <v>1737</v>
      </c>
      <c r="C16" s="883"/>
      <c r="D16" s="883"/>
      <c r="E16" s="883"/>
      <c r="F16" s="883"/>
      <c r="G16" s="883"/>
      <c r="H16" s="883">
        <f>HLOOKUP($B$2,'US Territories'!$D$28:$AB$38,'US Territories'!$B29)</f>
        <v>37.343816349511442</v>
      </c>
      <c r="I16" s="883">
        <f t="shared" si="25"/>
        <v>37.343816349511442</v>
      </c>
      <c r="J16" s="884"/>
      <c r="K16" s="883"/>
      <c r="L16" s="883"/>
      <c r="M16" s="883"/>
      <c r="N16" s="885">
        <f t="shared" si="9"/>
        <v>0</v>
      </c>
      <c r="O16" s="883">
        <f t="shared" si="9"/>
        <v>0</v>
      </c>
      <c r="P16" s="883">
        <f t="shared" si="10"/>
        <v>0</v>
      </c>
      <c r="Q16" s="883">
        <f t="shared" si="11"/>
        <v>0</v>
      </c>
      <c r="R16" s="883">
        <f t="shared" si="11"/>
        <v>0</v>
      </c>
      <c r="S16" s="886">
        <f>H16</f>
        <v>37.343816349511442</v>
      </c>
      <c r="T16" s="883">
        <f t="shared" si="4"/>
        <v>37.343816349511442</v>
      </c>
      <c r="U16" s="887">
        <f>Factors!D17</f>
        <v>25.14</v>
      </c>
      <c r="V16" s="899">
        <f t="shared" si="23"/>
        <v>0</v>
      </c>
      <c r="W16" s="900">
        <f t="shared" si="12"/>
        <v>0</v>
      </c>
      <c r="X16" s="900">
        <f t="shared" si="13"/>
        <v>0</v>
      </c>
      <c r="Y16" s="900">
        <f t="shared" si="14"/>
        <v>0</v>
      </c>
      <c r="Z16" s="900">
        <f t="shared" si="15"/>
        <v>0</v>
      </c>
      <c r="AA16" s="900">
        <f t="shared" si="16"/>
        <v>0.93882354302671767</v>
      </c>
      <c r="AB16" s="883">
        <f t="shared" si="26"/>
        <v>0.93882354302671767</v>
      </c>
      <c r="AC16" s="888">
        <f>Factors!E17</f>
        <v>1</v>
      </c>
      <c r="AD16" s="899">
        <f t="shared" si="17"/>
        <v>0</v>
      </c>
      <c r="AE16" s="900">
        <f t="shared" si="17"/>
        <v>0</v>
      </c>
      <c r="AF16" s="900">
        <f t="shared" si="17"/>
        <v>0</v>
      </c>
      <c r="AG16" s="900">
        <f t="shared" si="17"/>
        <v>0</v>
      </c>
      <c r="AH16" s="900">
        <f t="shared" si="17"/>
        <v>0</v>
      </c>
      <c r="AI16" s="900">
        <f t="shared" si="17"/>
        <v>0.93882354302671767</v>
      </c>
      <c r="AJ16" s="889">
        <f t="shared" si="6"/>
        <v>0.93882354302671767</v>
      </c>
      <c r="AK16" s="885">
        <f t="shared" si="24"/>
        <v>0</v>
      </c>
      <c r="AL16" s="883">
        <f t="shared" si="18"/>
        <v>0</v>
      </c>
      <c r="AM16" s="883">
        <f t="shared" si="19"/>
        <v>0</v>
      </c>
      <c r="AN16" s="883">
        <f t="shared" si="20"/>
        <v>0</v>
      </c>
      <c r="AO16" s="883">
        <f t="shared" si="21"/>
        <v>0</v>
      </c>
      <c r="AP16" s="883">
        <f t="shared" si="22"/>
        <v>3.4423529910979647</v>
      </c>
      <c r="AQ16" s="890">
        <f t="shared" si="27"/>
        <v>3.4423529910979647</v>
      </c>
    </row>
    <row r="17" spans="1:43">
      <c r="A17" s="817"/>
      <c r="B17" s="863" t="s">
        <v>1439</v>
      </c>
      <c r="C17" s="901">
        <f>HLOOKUP($B$2,'Consumption Input'!$E$5:$AQ$82,'Consumption Input'!$B8)</f>
        <v>5242.4830000000002</v>
      </c>
      <c r="D17" s="901">
        <f>HLOOKUP($B$2,'Consumption Input'!$E$5:$AQ$82,'Consumption Input'!$B14)</f>
        <v>3571.9250000000002</v>
      </c>
      <c r="E17" s="901">
        <f>HLOOKUP($B$2,'Consumption Input'!$E$5:$AQ$82,'Consumption Input'!$B26)</f>
        <v>9127.5053889729134</v>
      </c>
      <c r="F17" s="901">
        <f>HLOOKUP($B$2,'Consumption Input'!$E$5:$AQ$82,'Consumption Input'!$B49)</f>
        <v>759.702</v>
      </c>
      <c r="G17" s="901">
        <f>HLOOKUP($B$2,'Consumption Input'!$E$5:$AQ$82,'Consumption Input'!$B59)</f>
        <v>8361.6810000000005</v>
      </c>
      <c r="H17" s="902">
        <f>HLOOKUP($B$2,'US Territories'!$D$28:$AB$38,'US Territories'!$B30)</f>
        <v>60.592056456000009</v>
      </c>
      <c r="I17" s="901">
        <f t="shared" si="25"/>
        <v>27123.888445428915</v>
      </c>
      <c r="J17" s="903"/>
      <c r="K17" s="901">
        <f>HLOOKUP($B$2,NEUConsumption,'Non-Energy Use'!$C$9)</f>
        <v>330.56</v>
      </c>
      <c r="L17" s="901"/>
      <c r="M17" s="901"/>
      <c r="N17" s="904">
        <f t="shared" si="9"/>
        <v>5242.4830000000002</v>
      </c>
      <c r="O17" s="901">
        <f t="shared" si="9"/>
        <v>3571.9250000000002</v>
      </c>
      <c r="P17" s="901">
        <f t="shared" si="10"/>
        <v>8796.9453889729139</v>
      </c>
      <c r="Q17" s="901">
        <f>F17</f>
        <v>759.702</v>
      </c>
      <c r="R17" s="901">
        <f t="shared" si="11"/>
        <v>8361.6810000000005</v>
      </c>
      <c r="S17" s="902">
        <f t="shared" si="11"/>
        <v>60.592056456000009</v>
      </c>
      <c r="T17" s="901">
        <f t="shared" si="4"/>
        <v>26793.328445428917</v>
      </c>
      <c r="U17" s="905">
        <f>HLOOKUP($B$2,Factors!$J$12:$BE$26,Factors!$H26,FALSE)</f>
        <v>14.445181731589148</v>
      </c>
      <c r="V17" s="901">
        <f t="shared" si="23"/>
        <v>75.728619659766679</v>
      </c>
      <c r="W17" s="901">
        <f t="shared" si="12"/>
        <v>51.597105756606574</v>
      </c>
      <c r="X17" s="901">
        <f t="shared" si="13"/>
        <v>127.07347482657893</v>
      </c>
      <c r="Y17" s="901">
        <f t="shared" si="14"/>
        <v>10.97403345185174</v>
      </c>
      <c r="Z17" s="901">
        <f t="shared" si="15"/>
        <v>120.78600162657609</v>
      </c>
      <c r="AA17" s="901">
        <f t="shared" si="16"/>
        <v>0.87526326699762969</v>
      </c>
      <c r="AB17" s="901">
        <f t="shared" si="26"/>
        <v>387.03449858837769</v>
      </c>
      <c r="AC17" s="906">
        <f>Factors!E19</f>
        <v>1</v>
      </c>
      <c r="AD17" s="904">
        <f t="shared" si="17"/>
        <v>75.728619659766679</v>
      </c>
      <c r="AE17" s="901">
        <f t="shared" si="17"/>
        <v>51.597105756606574</v>
      </c>
      <c r="AF17" s="901">
        <f t="shared" si="17"/>
        <v>127.07347482657893</v>
      </c>
      <c r="AG17" s="901">
        <f t="shared" si="17"/>
        <v>10.97403345185174</v>
      </c>
      <c r="AH17" s="901">
        <f t="shared" si="17"/>
        <v>120.78600162657609</v>
      </c>
      <c r="AI17" s="901">
        <f t="shared" si="17"/>
        <v>0.87526326699762969</v>
      </c>
      <c r="AJ17" s="901">
        <f t="shared" si="6"/>
        <v>387.03449858837769</v>
      </c>
      <c r="AK17" s="904">
        <f t="shared" si="24"/>
        <v>277.6716054191445</v>
      </c>
      <c r="AL17" s="901">
        <f t="shared" si="18"/>
        <v>189.18938777422409</v>
      </c>
      <c r="AM17" s="901">
        <f t="shared" si="19"/>
        <v>465.9360743641227</v>
      </c>
      <c r="AN17" s="901">
        <f t="shared" si="20"/>
        <v>40.238122656789713</v>
      </c>
      <c r="AO17" s="901">
        <f t="shared" si="21"/>
        <v>442.88200596411235</v>
      </c>
      <c r="AP17" s="901">
        <f t="shared" si="22"/>
        <v>3.2092986456579755</v>
      </c>
      <c r="AQ17" s="907">
        <f t="shared" si="27"/>
        <v>1419.1264948240514</v>
      </c>
    </row>
    <row r="18" spans="1:43">
      <c r="A18" s="817"/>
      <c r="B18" s="864" t="s">
        <v>1440</v>
      </c>
      <c r="C18" s="908">
        <f t="shared" ref="C18:H18" si="28">SUM(C19:C41)</f>
        <v>1005.8494064308652</v>
      </c>
      <c r="D18" s="908">
        <f t="shared" si="28"/>
        <v>559.86563185516297</v>
      </c>
      <c r="E18" s="908">
        <f t="shared" si="28"/>
        <v>7901.4944832655001</v>
      </c>
      <c r="F18" s="908">
        <f t="shared" si="28"/>
        <v>24844.163218706472</v>
      </c>
      <c r="G18" s="908">
        <f t="shared" si="28"/>
        <v>295.46899999999999</v>
      </c>
      <c r="H18" s="908">
        <f t="shared" si="28"/>
        <v>309.64741821277914</v>
      </c>
      <c r="I18" s="908">
        <f t="shared" si="25"/>
        <v>34916.489158470773</v>
      </c>
      <c r="J18" s="909">
        <f t="shared" ref="J18:S18" si="29">SUM(J19:J41)</f>
        <v>1440.0144883497101</v>
      </c>
      <c r="K18" s="908">
        <f t="shared" si="29"/>
        <v>4291.2549283065546</v>
      </c>
      <c r="L18" s="908">
        <f t="shared" si="29"/>
        <v>149.36099999999999</v>
      </c>
      <c r="M18" s="908">
        <f t="shared" si="29"/>
        <v>10.65345324133561</v>
      </c>
      <c r="N18" s="910">
        <f t="shared" si="29"/>
        <v>1005.8494064308652</v>
      </c>
      <c r="O18" s="908">
        <f t="shared" si="29"/>
        <v>559.86563185516297</v>
      </c>
      <c r="P18" s="908">
        <f t="shared" si="29"/>
        <v>3610.2395549589455</v>
      </c>
      <c r="Q18" s="908">
        <f t="shared" si="29"/>
        <v>23254.787730356762</v>
      </c>
      <c r="R18" s="908">
        <f t="shared" si="29"/>
        <v>295.46899999999999</v>
      </c>
      <c r="S18" s="911">
        <f t="shared" si="29"/>
        <v>298.99396497144352</v>
      </c>
      <c r="T18" s="889">
        <f t="shared" si="4"/>
        <v>29025.205288573179</v>
      </c>
      <c r="U18" s="912" t="s">
        <v>1731</v>
      </c>
      <c r="V18" s="908">
        <f t="shared" ref="V18:AA18" si="30">SUM(V19:V41)</f>
        <v>18.835170121655509</v>
      </c>
      <c r="W18" s="908">
        <f t="shared" si="30"/>
        <v>10.78555779658522</v>
      </c>
      <c r="X18" s="908">
        <f t="shared" si="30"/>
        <v>74.146437213920464</v>
      </c>
      <c r="Y18" s="908">
        <f t="shared" si="30"/>
        <v>454.66598374391242</v>
      </c>
      <c r="Z18" s="908">
        <f t="shared" si="30"/>
        <v>6.9011917263382827</v>
      </c>
      <c r="AA18" s="908">
        <f t="shared" si="30"/>
        <v>5.8981636481549735</v>
      </c>
      <c r="AB18" s="908">
        <f t="shared" si="26"/>
        <v>571.23250425056688</v>
      </c>
      <c r="AC18" s="913" t="s">
        <v>1731</v>
      </c>
      <c r="AD18" s="910">
        <f t="shared" ref="AD18:AI18" si="31">SUM(AD19:AD41)</f>
        <v>18.835170121655509</v>
      </c>
      <c r="AE18" s="908">
        <f t="shared" si="31"/>
        <v>10.78555779658522</v>
      </c>
      <c r="AF18" s="908">
        <f t="shared" si="31"/>
        <v>74.146437213920464</v>
      </c>
      <c r="AG18" s="908">
        <f t="shared" si="31"/>
        <v>454.66598374391242</v>
      </c>
      <c r="AH18" s="908">
        <f t="shared" si="31"/>
        <v>6.9011917263382827</v>
      </c>
      <c r="AI18" s="908">
        <f t="shared" si="31"/>
        <v>5.8981636481549735</v>
      </c>
      <c r="AJ18" s="908">
        <f t="shared" si="6"/>
        <v>571.23250425056688</v>
      </c>
      <c r="AK18" s="914">
        <f t="shared" si="24"/>
        <v>69.062290446070193</v>
      </c>
      <c r="AL18" s="889">
        <f t="shared" si="18"/>
        <v>39.547045254145807</v>
      </c>
      <c r="AM18" s="889">
        <f t="shared" si="19"/>
        <v>271.87026978437501</v>
      </c>
      <c r="AN18" s="889">
        <f t="shared" si="20"/>
        <v>1667.1086070610122</v>
      </c>
      <c r="AO18" s="889">
        <f t="shared" si="21"/>
        <v>25.304369663240369</v>
      </c>
      <c r="AP18" s="889">
        <f t="shared" si="22"/>
        <v>21.626600043234902</v>
      </c>
      <c r="AQ18" s="915">
        <f t="shared" si="27"/>
        <v>2094.5191822520783</v>
      </c>
    </row>
    <row r="19" spans="1:43">
      <c r="A19" s="817"/>
      <c r="B19" s="860" t="s">
        <v>1608</v>
      </c>
      <c r="C19" s="883"/>
      <c r="D19" s="883"/>
      <c r="E19" s="883">
        <f>HLOOKUP($B$2,'Consumption Input'!$E$5:$AQ$82,'Consumption Input'!$B27)</f>
        <v>792.63599999999997</v>
      </c>
      <c r="F19" s="883"/>
      <c r="G19" s="883"/>
      <c r="H19" s="883"/>
      <c r="I19" s="883">
        <f t="shared" si="25"/>
        <v>792.63599999999997</v>
      </c>
      <c r="J19" s="884"/>
      <c r="K19" s="883">
        <f>HLOOKUP($B$2,NEUConsumption,'Non-Energy Use'!$C$10)</f>
        <v>792.63599999999997</v>
      </c>
      <c r="L19" s="883"/>
      <c r="M19" s="883"/>
      <c r="N19" s="885">
        <f t="shared" ref="N19:O42" si="32">C19</f>
        <v>0</v>
      </c>
      <c r="O19" s="883">
        <f t="shared" si="32"/>
        <v>0</v>
      </c>
      <c r="P19" s="883">
        <f t="shared" ref="P19:P41" si="33">E19-K19</f>
        <v>0</v>
      </c>
      <c r="Q19" s="883">
        <f t="shared" ref="Q19:Q41" si="34">F19-J19-L19</f>
        <v>0</v>
      </c>
      <c r="R19" s="883">
        <f t="shared" ref="R19:R42" si="35">G19</f>
        <v>0</v>
      </c>
      <c r="S19" s="886">
        <f t="shared" ref="S19:S41" si="36">H19-M19</f>
        <v>0</v>
      </c>
      <c r="T19" s="883">
        <f t="shared" si="4"/>
        <v>0</v>
      </c>
      <c r="U19" s="887">
        <f>Factors!D24</f>
        <v>20.55318099621897</v>
      </c>
      <c r="V19" s="885">
        <f t="shared" ref="V19:V41" si="37">N19*$U19*TbtuToQBtu</f>
        <v>0</v>
      </c>
      <c r="W19" s="883">
        <f t="shared" ref="W19:W41" si="38">O19*$U19*TbtuToQBtu</f>
        <v>0</v>
      </c>
      <c r="X19" s="883">
        <f t="shared" ref="X19:X41" si="39">P19*$U19*TbtuToQBtu</f>
        <v>0</v>
      </c>
      <c r="Y19" s="883">
        <f t="shared" ref="Y19:Y41" si="40">Q19*$U19*TbtuToQBtu</f>
        <v>0</v>
      </c>
      <c r="Z19" s="883">
        <f t="shared" ref="Z19:Z41" si="41">R19*$U19*TbtuToQBtu</f>
        <v>0</v>
      </c>
      <c r="AA19" s="883">
        <f t="shared" ref="AA19:AA41" si="42">S19*$U19*TbtuToQBtu</f>
        <v>0</v>
      </c>
      <c r="AB19" s="883">
        <f t="shared" si="26"/>
        <v>0</v>
      </c>
      <c r="AC19" s="888">
        <f>Factors!E24</f>
        <v>1</v>
      </c>
      <c r="AD19" s="885">
        <f t="shared" ref="AD19:AI35" si="43">V19*$AC19</f>
        <v>0</v>
      </c>
      <c r="AE19" s="883">
        <f t="shared" si="43"/>
        <v>0</v>
      </c>
      <c r="AF19" s="883">
        <f t="shared" si="43"/>
        <v>0</v>
      </c>
      <c r="AG19" s="883">
        <f t="shared" si="43"/>
        <v>0</v>
      </c>
      <c r="AH19" s="883">
        <f t="shared" si="43"/>
        <v>0</v>
      </c>
      <c r="AI19" s="883">
        <f t="shared" si="43"/>
        <v>0</v>
      </c>
      <c r="AJ19" s="889">
        <f t="shared" si="6"/>
        <v>0</v>
      </c>
      <c r="AK19" s="885">
        <f t="shared" si="24"/>
        <v>0</v>
      </c>
      <c r="AL19" s="883">
        <f t="shared" si="18"/>
        <v>0</v>
      </c>
      <c r="AM19" s="883">
        <f t="shared" si="19"/>
        <v>0</v>
      </c>
      <c r="AN19" s="883">
        <f t="shared" si="20"/>
        <v>0</v>
      </c>
      <c r="AO19" s="883">
        <f t="shared" si="21"/>
        <v>0</v>
      </c>
      <c r="AP19" s="883">
        <f t="shared" si="22"/>
        <v>0</v>
      </c>
      <c r="AQ19" s="890">
        <f t="shared" si="27"/>
        <v>0</v>
      </c>
    </row>
    <row r="20" spans="1:43">
      <c r="A20" s="817"/>
      <c r="B20" s="860" t="s">
        <v>1622</v>
      </c>
      <c r="C20" s="883"/>
      <c r="D20" s="883"/>
      <c r="E20" s="883"/>
      <c r="F20" s="883">
        <f>HLOOKUP($B$2,'Consumption Input'!$E$5:$AQ$82,'Consumption Input'!$B50)</f>
        <v>21.695999999999998</v>
      </c>
      <c r="G20" s="883"/>
      <c r="H20" s="883"/>
      <c r="I20" s="883">
        <f t="shared" si="25"/>
        <v>21.695999999999998</v>
      </c>
      <c r="J20" s="884"/>
      <c r="K20" s="883"/>
      <c r="L20" s="883"/>
      <c r="M20" s="883"/>
      <c r="N20" s="885">
        <f t="shared" si="32"/>
        <v>0</v>
      </c>
      <c r="O20" s="883">
        <f t="shared" si="32"/>
        <v>0</v>
      </c>
      <c r="P20" s="883">
        <f t="shared" si="33"/>
        <v>0</v>
      </c>
      <c r="Q20" s="883">
        <f t="shared" si="34"/>
        <v>21.695999999999998</v>
      </c>
      <c r="R20" s="883">
        <f t="shared" si="35"/>
        <v>0</v>
      </c>
      <c r="S20" s="886">
        <f t="shared" si="36"/>
        <v>0</v>
      </c>
      <c r="T20" s="883">
        <f t="shared" si="4"/>
        <v>21.695999999999998</v>
      </c>
      <c r="U20" s="887">
        <f>Factors!D25</f>
        <v>18.855352254718337</v>
      </c>
      <c r="V20" s="885">
        <f t="shared" si="37"/>
        <v>0</v>
      </c>
      <c r="W20" s="883">
        <f t="shared" si="38"/>
        <v>0</v>
      </c>
      <c r="X20" s="883">
        <f t="shared" si="39"/>
        <v>0</v>
      </c>
      <c r="Y20" s="883">
        <f t="shared" si="40"/>
        <v>0.409085722518369</v>
      </c>
      <c r="Z20" s="883">
        <f t="shared" si="41"/>
        <v>0</v>
      </c>
      <c r="AA20" s="883">
        <f t="shared" si="42"/>
        <v>0</v>
      </c>
      <c r="AB20" s="883">
        <f t="shared" si="26"/>
        <v>0.409085722518369</v>
      </c>
      <c r="AC20" s="888">
        <f>Factors!E25</f>
        <v>1</v>
      </c>
      <c r="AD20" s="885">
        <f t="shared" si="43"/>
        <v>0</v>
      </c>
      <c r="AE20" s="883">
        <f t="shared" si="43"/>
        <v>0</v>
      </c>
      <c r="AF20" s="883">
        <f t="shared" si="43"/>
        <v>0</v>
      </c>
      <c r="AG20" s="883">
        <f t="shared" si="43"/>
        <v>0.409085722518369</v>
      </c>
      <c r="AH20" s="883">
        <f t="shared" si="43"/>
        <v>0</v>
      </c>
      <c r="AI20" s="883">
        <f t="shared" si="43"/>
        <v>0</v>
      </c>
      <c r="AJ20" s="889">
        <f t="shared" si="6"/>
        <v>0.409085722518369</v>
      </c>
      <c r="AK20" s="885">
        <f t="shared" si="24"/>
        <v>0</v>
      </c>
      <c r="AL20" s="883">
        <f t="shared" si="18"/>
        <v>0</v>
      </c>
      <c r="AM20" s="883">
        <f t="shared" si="19"/>
        <v>0</v>
      </c>
      <c r="AN20" s="883">
        <f t="shared" si="20"/>
        <v>1.4999809825673529</v>
      </c>
      <c r="AO20" s="883">
        <f t="shared" si="21"/>
        <v>0</v>
      </c>
      <c r="AP20" s="883">
        <f t="shared" si="22"/>
        <v>0</v>
      </c>
      <c r="AQ20" s="890">
        <f t="shared" si="27"/>
        <v>1.4999809825673529</v>
      </c>
    </row>
    <row r="21" spans="1:43">
      <c r="A21" s="817"/>
      <c r="B21" s="860" t="s">
        <v>1738</v>
      </c>
      <c r="C21" s="883">
        <f>HLOOKUP($B$2,'Consumption Input'!$E$5:$AQ$82,'Consumption Input'!$B9)</f>
        <v>502.57940643086511</v>
      </c>
      <c r="D21" s="883">
        <f>HLOOKUP($B$2,'Consumption Input'!$E$5:$AQ$82,'Consumption Input'!$B15)</f>
        <v>336.18226738868799</v>
      </c>
      <c r="E21" s="883">
        <f>HLOOKUP($B$2,'Consumption Input'!$E$5:$AQ$82,'Consumption Input'!$B28)</f>
        <v>1285.7768692017291</v>
      </c>
      <c r="F21" s="883">
        <f>HLOOKUP($B$2,'Consumption Input'!$E$5:$AQ$82,'Consumption Input'!$B51)</f>
        <v>6073.8520259787183</v>
      </c>
      <c r="G21" s="883">
        <f>HLOOKUP($B$2,'Consumption Input'!$E$5:$AQ$82,'Consumption Input'!$B60)</f>
        <v>82.176000000000002</v>
      </c>
      <c r="H21" s="883">
        <f>HLOOKUP($B$2,'US Territories'!$D$28:$AB$38,'US Territories'!$B31)</f>
        <v>65.60146799535427</v>
      </c>
      <c r="I21" s="883">
        <f t="shared" si="25"/>
        <v>8346.1680369953556</v>
      </c>
      <c r="J21" s="884">
        <f>HLOOKUP($B$2,IBFConsumption,'International Bunker Fuels'!$B$10)</f>
        <v>82.047052513449216</v>
      </c>
      <c r="K21" s="883">
        <f>HLOOKUP($B$2,NEUConsumption,'Non-Energy Use'!$C$20)</f>
        <v>5.8250000000000002</v>
      </c>
      <c r="L21" s="883"/>
      <c r="M21" s="883"/>
      <c r="N21" s="885">
        <f t="shared" si="32"/>
        <v>502.57940643086511</v>
      </c>
      <c r="O21" s="883">
        <f t="shared" si="32"/>
        <v>336.18226738868799</v>
      </c>
      <c r="P21" s="883">
        <f t="shared" si="33"/>
        <v>1279.9518692017291</v>
      </c>
      <c r="Q21" s="883">
        <f t="shared" si="34"/>
        <v>5991.8049734652686</v>
      </c>
      <c r="R21" s="883">
        <f t="shared" si="35"/>
        <v>82.176000000000002</v>
      </c>
      <c r="S21" s="886">
        <f>H21-M21</f>
        <v>65.60146799535427</v>
      </c>
      <c r="T21" s="883">
        <f t="shared" si="4"/>
        <v>8258.2959844819052</v>
      </c>
      <c r="U21" s="887">
        <f>HLOOKUP($B$2,Factors!$J$12:$BE$27,Factors!$H27,FALSE)</f>
        <v>20.23</v>
      </c>
      <c r="V21" s="885">
        <f t="shared" si="37"/>
        <v>10.167181392096401</v>
      </c>
      <c r="W21" s="883">
        <f t="shared" si="38"/>
        <v>6.8009672692731584</v>
      </c>
      <c r="X21" s="883">
        <f t="shared" si="39"/>
        <v>25.893426313950979</v>
      </c>
      <c r="Y21" s="883">
        <f t="shared" si="40"/>
        <v>121.2142146132024</v>
      </c>
      <c r="Z21" s="883">
        <f t="shared" si="41"/>
        <v>1.66242048</v>
      </c>
      <c r="AA21" s="883">
        <f t="shared" si="42"/>
        <v>1.3271176975460168</v>
      </c>
      <c r="AB21" s="883">
        <f t="shared" si="26"/>
        <v>167.06532776606895</v>
      </c>
      <c r="AC21" s="888">
        <f>Factors!E26</f>
        <v>1</v>
      </c>
      <c r="AD21" s="885">
        <f t="shared" si="43"/>
        <v>10.167181392096401</v>
      </c>
      <c r="AE21" s="883">
        <f t="shared" si="43"/>
        <v>6.8009672692731584</v>
      </c>
      <c r="AF21" s="883">
        <f t="shared" si="43"/>
        <v>25.893426313950979</v>
      </c>
      <c r="AG21" s="883">
        <f t="shared" si="43"/>
        <v>121.2142146132024</v>
      </c>
      <c r="AH21" s="883">
        <f t="shared" si="43"/>
        <v>1.66242048</v>
      </c>
      <c r="AI21" s="883">
        <f t="shared" si="43"/>
        <v>1.3271176975460168</v>
      </c>
      <c r="AJ21" s="889">
        <f t="shared" si="6"/>
        <v>167.06532776606895</v>
      </c>
      <c r="AK21" s="885">
        <f t="shared" si="24"/>
        <v>37.279665104353469</v>
      </c>
      <c r="AL21" s="883">
        <f t="shared" si="18"/>
        <v>24.936879987334912</v>
      </c>
      <c r="AM21" s="883">
        <f t="shared" si="19"/>
        <v>94.942563151153578</v>
      </c>
      <c r="AN21" s="883">
        <f t="shared" si="20"/>
        <v>444.45212024840879</v>
      </c>
      <c r="AO21" s="883">
        <f t="shared" si="21"/>
        <v>6.0955417599999997</v>
      </c>
      <c r="AP21" s="883">
        <f t="shared" si="22"/>
        <v>4.8660982243353947</v>
      </c>
      <c r="AQ21" s="890">
        <f t="shared" si="27"/>
        <v>612.57286847558612</v>
      </c>
    </row>
    <row r="22" spans="1:43">
      <c r="A22" s="817"/>
      <c r="B22" s="860" t="s">
        <v>1623</v>
      </c>
      <c r="C22" s="883"/>
      <c r="D22" s="883"/>
      <c r="E22" s="883"/>
      <c r="F22" s="883">
        <f>HLOOKUP($B$2,'Consumption Input'!$E$5:$AQ$82,'Consumption Input'!$B52)</f>
        <v>3042.0889999999999</v>
      </c>
      <c r="G22" s="916"/>
      <c r="H22" s="883">
        <f>HLOOKUP($B$2,'US Territories'!$D$28:$AB$38,'US Territories'!$B32)</f>
        <v>34.984592978856163</v>
      </c>
      <c r="I22" s="883">
        <f t="shared" si="25"/>
        <v>3077.0735929788561</v>
      </c>
      <c r="J22" s="884">
        <f>HLOOKUP($B$2,IBFConsumption,'International Bunker Fuels'!$B$8)</f>
        <v>988.79048924126096</v>
      </c>
      <c r="K22" s="883"/>
      <c r="L22" s="883"/>
      <c r="M22" s="883"/>
      <c r="N22" s="885">
        <f t="shared" si="32"/>
        <v>0</v>
      </c>
      <c r="O22" s="883">
        <f t="shared" si="32"/>
        <v>0</v>
      </c>
      <c r="P22" s="883">
        <f t="shared" si="33"/>
        <v>0</v>
      </c>
      <c r="Q22" s="883">
        <f t="shared" si="34"/>
        <v>2053.2985107587392</v>
      </c>
      <c r="R22" s="883">
        <f t="shared" si="35"/>
        <v>0</v>
      </c>
      <c r="S22" s="886">
        <f t="shared" si="36"/>
        <v>34.984592978856163</v>
      </c>
      <c r="T22" s="883">
        <f t="shared" si="4"/>
        <v>2088.2831037375954</v>
      </c>
      <c r="U22" s="887">
        <f>HLOOKUP($B$2,Factors!$J$12:$BE$25,Factors!$H21,FALSE)</f>
        <v>19.696969696969692</v>
      </c>
      <c r="V22" s="885">
        <f t="shared" si="37"/>
        <v>0</v>
      </c>
      <c r="W22" s="883">
        <f t="shared" si="38"/>
        <v>0</v>
      </c>
      <c r="X22" s="883">
        <f t="shared" si="39"/>
        <v>0</v>
      </c>
      <c r="Y22" s="883">
        <f t="shared" si="40"/>
        <v>40.443758545247881</v>
      </c>
      <c r="Z22" s="883">
        <f t="shared" si="41"/>
        <v>0</v>
      </c>
      <c r="AA22" s="883">
        <f t="shared" si="42"/>
        <v>0.68909046776534855</v>
      </c>
      <c r="AB22" s="883">
        <f t="shared" si="26"/>
        <v>41.132849013013228</v>
      </c>
      <c r="AC22" s="888">
        <f>Factors!E27</f>
        <v>1</v>
      </c>
      <c r="AD22" s="885">
        <f t="shared" si="43"/>
        <v>0</v>
      </c>
      <c r="AE22" s="883">
        <f t="shared" si="43"/>
        <v>0</v>
      </c>
      <c r="AF22" s="883">
        <f t="shared" si="43"/>
        <v>0</v>
      </c>
      <c r="AG22" s="883">
        <f t="shared" si="43"/>
        <v>40.443758545247881</v>
      </c>
      <c r="AH22" s="883">
        <f t="shared" si="43"/>
        <v>0</v>
      </c>
      <c r="AI22" s="883">
        <f t="shared" si="43"/>
        <v>0.68909046776534855</v>
      </c>
      <c r="AJ22" s="889">
        <f t="shared" si="6"/>
        <v>41.132849013013228</v>
      </c>
      <c r="AK22" s="885">
        <f t="shared" si="24"/>
        <v>0</v>
      </c>
      <c r="AL22" s="883">
        <f t="shared" si="18"/>
        <v>0</v>
      </c>
      <c r="AM22" s="883">
        <f t="shared" si="19"/>
        <v>0</v>
      </c>
      <c r="AN22" s="883">
        <f t="shared" si="20"/>
        <v>148.29378133257555</v>
      </c>
      <c r="AO22" s="883">
        <f t="shared" si="21"/>
        <v>0</v>
      </c>
      <c r="AP22" s="883">
        <f t="shared" si="22"/>
        <v>2.5266650484729447</v>
      </c>
      <c r="AQ22" s="890">
        <f t="shared" si="27"/>
        <v>150.8204463810485</v>
      </c>
    </row>
    <row r="23" spans="1:43">
      <c r="A23" s="817"/>
      <c r="B23" s="860" t="s">
        <v>1599</v>
      </c>
      <c r="C23" s="883">
        <f>HLOOKUP($B$2,'Consumption Input'!$E$5:$AQ$82,'Consumption Input'!$B10)</f>
        <v>13.747999999999999</v>
      </c>
      <c r="D23" s="883">
        <f>HLOOKUP($B$2,'Consumption Input'!$E$5:$AQ$82,'Consumption Input'!$B16)</f>
        <v>2.04</v>
      </c>
      <c r="E23" s="883">
        <f>HLOOKUP($B$2,'Consumption Input'!$E$5:$AQ$82,'Consumption Input'!$B29)</f>
        <v>2.8290000000000002</v>
      </c>
      <c r="F23" s="883"/>
      <c r="G23" s="883"/>
      <c r="H23" s="883">
        <f>HLOOKUP($B$2,'US Territories'!$D$28:$AB$38,'US Territories'!$B33)</f>
        <v>0.11489614212328766</v>
      </c>
      <c r="I23" s="883">
        <f t="shared" si="25"/>
        <v>18.73189614212329</v>
      </c>
      <c r="J23" s="884"/>
      <c r="K23" s="883"/>
      <c r="L23" s="883"/>
      <c r="M23" s="883"/>
      <c r="N23" s="885">
        <f t="shared" si="32"/>
        <v>13.747999999999999</v>
      </c>
      <c r="O23" s="883">
        <f t="shared" si="32"/>
        <v>2.04</v>
      </c>
      <c r="P23" s="883">
        <f t="shared" si="33"/>
        <v>2.8290000000000002</v>
      </c>
      <c r="Q23" s="883">
        <f t="shared" si="34"/>
        <v>0</v>
      </c>
      <c r="R23" s="883">
        <f t="shared" si="35"/>
        <v>0</v>
      </c>
      <c r="S23" s="886">
        <f t="shared" si="36"/>
        <v>0.11489614212328766</v>
      </c>
      <c r="T23" s="883">
        <f t="shared" si="4"/>
        <v>18.73189614212329</v>
      </c>
      <c r="U23" s="887">
        <f>Factors!D28</f>
        <v>19.964104564962931</v>
      </c>
      <c r="V23" s="885">
        <f t="shared" si="37"/>
        <v>0.27446650955911039</v>
      </c>
      <c r="W23" s="883">
        <f t="shared" si="38"/>
        <v>4.0726773312524382E-2</v>
      </c>
      <c r="X23" s="883">
        <f t="shared" si="39"/>
        <v>5.6478451814280135E-2</v>
      </c>
      <c r="Y23" s="883">
        <f t="shared" si="40"/>
        <v>0</v>
      </c>
      <c r="Z23" s="883">
        <f t="shared" si="41"/>
        <v>0</v>
      </c>
      <c r="AA23" s="883">
        <f t="shared" si="42"/>
        <v>2.293798595460157E-3</v>
      </c>
      <c r="AB23" s="883">
        <f t="shared" si="26"/>
        <v>0.37396553328137505</v>
      </c>
      <c r="AC23" s="888">
        <f>Factors!E28</f>
        <v>1</v>
      </c>
      <c r="AD23" s="885">
        <f t="shared" si="43"/>
        <v>0.27446650955911039</v>
      </c>
      <c r="AE23" s="883">
        <f t="shared" si="43"/>
        <v>4.0726773312524382E-2</v>
      </c>
      <c r="AF23" s="883">
        <f t="shared" si="43"/>
        <v>5.6478451814280135E-2</v>
      </c>
      <c r="AG23" s="883">
        <f t="shared" si="43"/>
        <v>0</v>
      </c>
      <c r="AH23" s="883">
        <f t="shared" si="43"/>
        <v>0</v>
      </c>
      <c r="AI23" s="883">
        <f t="shared" si="43"/>
        <v>2.293798595460157E-3</v>
      </c>
      <c r="AJ23" s="889">
        <f t="shared" si="6"/>
        <v>0.37396553328137505</v>
      </c>
      <c r="AK23" s="885">
        <f t="shared" si="24"/>
        <v>1.0063772017167381</v>
      </c>
      <c r="AL23" s="883">
        <f t="shared" si="18"/>
        <v>0.14933150214592272</v>
      </c>
      <c r="AM23" s="883">
        <f t="shared" si="19"/>
        <v>0.20708765665236048</v>
      </c>
      <c r="AN23" s="883">
        <f t="shared" si="20"/>
        <v>0</v>
      </c>
      <c r="AO23" s="883">
        <f t="shared" si="21"/>
        <v>0</v>
      </c>
      <c r="AP23" s="883">
        <f t="shared" si="22"/>
        <v>8.4105948500205752E-3</v>
      </c>
      <c r="AQ23" s="890">
        <f t="shared" si="27"/>
        <v>1.3712069553650419</v>
      </c>
    </row>
    <row r="24" spans="1:43">
      <c r="A24" s="817"/>
      <c r="B24" s="860" t="s">
        <v>1600</v>
      </c>
      <c r="C24" s="883">
        <f>HLOOKUP($B$2,'Consumption Input'!$E$5:$AQ$82,'Consumption Input'!$B11)</f>
        <v>489.52199999999999</v>
      </c>
      <c r="D24" s="883">
        <f>HLOOKUP($B$2,'Consumption Input'!$E$5:$AQ$82,'Consumption Input'!$B17)</f>
        <v>160.47300000000001</v>
      </c>
      <c r="E24"/>
      <c r="F24" s="883">
        <f>HLOOKUP($B$2,'Consumption Input'!$E$5:$AQ$82,'Consumption Input'!$B53)</f>
        <v>7.6210000000000004</v>
      </c>
      <c r="G24" s="883"/>
      <c r="H24"/>
      <c r="I24" s="883">
        <f>SUM(C24:H24)</f>
        <v>657.61599999999999</v>
      </c>
      <c r="J24" s="884"/>
      <c r="K24"/>
      <c r="L24" s="883"/>
      <c r="M24" s="883"/>
      <c r="N24" s="885">
        <f>C24</f>
        <v>489.52199999999999</v>
      </c>
      <c r="O24" s="883">
        <f t="shared" si="32"/>
        <v>160.47300000000001</v>
      </c>
      <c r="P24"/>
      <c r="Q24" s="883">
        <f t="shared" si="34"/>
        <v>7.6210000000000004</v>
      </c>
      <c r="R24" s="883">
        <f t="shared" si="35"/>
        <v>0</v>
      </c>
      <c r="S24" s="886">
        <f t="shared" si="36"/>
        <v>0</v>
      </c>
      <c r="T24" s="883">
        <f t="shared" si="4"/>
        <v>657.61599999999999</v>
      </c>
      <c r="U24" s="1005">
        <f>HLOOKUP($B$2,Factors!$J$12:$BE$25,Factors!$H17,FALSE)</f>
        <v>17.146363636363635</v>
      </c>
      <c r="V24" s="885">
        <f>N24*$U24*TbtuToQBtu</f>
        <v>8.3935222199999995</v>
      </c>
      <c r="W24" s="883">
        <f>O24*$U24*TbtuToQBtu</f>
        <v>2.7515284118181818</v>
      </c>
      <c r="X24"/>
      <c r="Y24" s="883">
        <f>Q24*$U24*TbtuToQBtu</f>
        <v>0.13067243727272729</v>
      </c>
      <c r="Z24" s="883">
        <f t="shared" ref="Z24" si="44">R24*$U24*TbtuToQBtu</f>
        <v>0</v>
      </c>
      <c r="AA24"/>
      <c r="AB24" s="883">
        <f>SUM(V24:AA24)</f>
        <v>11.275723069090908</v>
      </c>
      <c r="AC24" s="888">
        <f>Factors!E30</f>
        <v>1</v>
      </c>
      <c r="AD24" s="885">
        <f>V24*$AC24</f>
        <v>8.3935222199999995</v>
      </c>
      <c r="AE24" s="883">
        <f t="shared" si="43"/>
        <v>2.7515284118181818</v>
      </c>
      <c r="AF24"/>
      <c r="AG24" s="883">
        <f t="shared" si="43"/>
        <v>0.13067243727272729</v>
      </c>
      <c r="AH24" s="883">
        <f t="shared" si="43"/>
        <v>0</v>
      </c>
      <c r="AI24"/>
      <c r="AJ24" s="889">
        <f t="shared" si="6"/>
        <v>11.275723069090908</v>
      </c>
      <c r="AK24" s="885">
        <f>AD24*CtoCO2</f>
        <v>30.776248139999996</v>
      </c>
      <c r="AL24" s="883">
        <f t="shared" ref="AL24" si="45">AE24*CtoCO2</f>
        <v>10.088937509999999</v>
      </c>
      <c r="AN24" s="883">
        <f t="shared" ref="AN24" si="46">AG24*CtoCO2</f>
        <v>0.47913227000000003</v>
      </c>
      <c r="AO24" s="883">
        <f t="shared" ref="AO24" si="47">AH24*CtoCO2</f>
        <v>0</v>
      </c>
      <c r="AQ24" s="890">
        <f t="shared" si="27"/>
        <v>41.344317919999995</v>
      </c>
    </row>
    <row r="25" spans="1:43">
      <c r="A25" s="817"/>
      <c r="B25" s="860" t="s">
        <v>1609</v>
      </c>
      <c r="C25" s="883"/>
      <c r="D25" s="883"/>
      <c r="E25" s="883">
        <f>HLOOKUP($B$2,'Consumption Input'!$E$5:$AQ$82,'Consumption Input'!$B30)</f>
        <v>2320.2033153940001</v>
      </c>
      <c r="F25" s="883"/>
      <c r="G25" s="883"/>
      <c r="H25" s="883">
        <f>HLOOKUP($B$2,'US Territories'!$D$28:$AO$38,'US Territories'!$B34)</f>
        <v>9.6779912239726062</v>
      </c>
      <c r="I25" s="883">
        <f>SUM(C25:H25)</f>
        <v>2329.8813066179728</v>
      </c>
      <c r="J25" s="884"/>
      <c r="K25" s="883">
        <f>HLOOKUP($B$2,NEUConsumption,'Non-Energy Use'!$C$11)</f>
        <v>2142.7536628346425</v>
      </c>
      <c r="L25" s="883"/>
      <c r="M25" s="883"/>
      <c r="N25" s="885"/>
      <c r="O25" s="883"/>
      <c r="P25" s="883">
        <f>E25-K25</f>
        <v>177.44965255935767</v>
      </c>
      <c r="Q25" s="883"/>
      <c r="R25" s="883"/>
      <c r="S25" s="886">
        <f>H25-M25</f>
        <v>9.6779912239726062</v>
      </c>
      <c r="T25" s="883">
        <f t="shared" si="4"/>
        <v>187.12764378333029</v>
      </c>
      <c r="U25" s="1005">
        <f>HLOOKUP($B$2,Factors!$J$12:$BE$25,Factors!$H18,FALSE)</f>
        <v>17.707734142299049</v>
      </c>
      <c r="V25" s="885"/>
      <c r="W25" s="883"/>
      <c r="X25" s="883">
        <f>P25*$U25*TbtuToQBtu</f>
        <v>3.1422312711644418</v>
      </c>
      <c r="Y25" s="883"/>
      <c r="Z25" s="883"/>
      <c r="AA25" s="883">
        <f>S25*$U25*TbtuToQBtu</f>
        <v>0.17137529562561027</v>
      </c>
      <c r="AB25" s="883">
        <f>SUM(V25:AA25)</f>
        <v>3.3136065667900523</v>
      </c>
      <c r="AC25" s="888">
        <f>Factors!E31</f>
        <v>1</v>
      </c>
      <c r="AD25" s="885"/>
      <c r="AE25" s="883"/>
      <c r="AF25" s="883">
        <f>X25*$AC25</f>
        <v>3.1422312711644418</v>
      </c>
      <c r="AG25" s="883"/>
      <c r="AH25" s="883"/>
      <c r="AI25" s="883">
        <f>AA25*$AC25</f>
        <v>0.17137529562561027</v>
      </c>
      <c r="AJ25" s="889">
        <f t="shared" si="6"/>
        <v>3.3136065667900523</v>
      </c>
      <c r="AK25" s="885"/>
      <c r="AL25" s="883"/>
      <c r="AM25" s="883">
        <f>AF25*CtoCO2</f>
        <v>11.521514660936287</v>
      </c>
      <c r="AN25" s="883"/>
      <c r="AO25" s="883"/>
      <c r="AP25" s="883">
        <f>AI25*CtoCO2</f>
        <v>0.62837608396057099</v>
      </c>
      <c r="AQ25" s="890">
        <f t="shared" si="27"/>
        <v>12.149890744896858</v>
      </c>
    </row>
    <row r="26" spans="1:43">
      <c r="A26" s="817"/>
      <c r="B26" s="860" t="s">
        <v>1610</v>
      </c>
      <c r="C26" s="883"/>
      <c r="D26" s="883"/>
      <c r="E26" s="883">
        <f>HLOOKUP($B$2,'Consumption Input'!$E$5:$AQ$82,'Consumption Input'!$B31)</f>
        <v>130.66300000000001</v>
      </c>
      <c r="F26" s="883">
        <f>HLOOKUP($B$2,'Consumption Input'!$E$5:$AQ$82,'Consumption Input'!$B54)</f>
        <v>149.36099999999999</v>
      </c>
      <c r="G26" s="883"/>
      <c r="H26" s="883">
        <f>HLOOKUP($B$2,'US Territories'!$D$28:$AB$38,'US Territories'!$B35)</f>
        <v>1.0411633874999999</v>
      </c>
      <c r="I26" s="883">
        <f t="shared" si="25"/>
        <v>281.06516338749998</v>
      </c>
      <c r="J26" s="884"/>
      <c r="K26" s="883">
        <f>HLOOKUP($B$2,NEUConsumption,'Non-Energy Use'!$C$12)</f>
        <v>130.66300000000001</v>
      </c>
      <c r="L26" s="883">
        <f>HLOOKUP($B$2,NEUConsumption,'Non-Energy Use'!$C$24)</f>
        <v>149.36099999999999</v>
      </c>
      <c r="M26" s="883">
        <f>HLOOKUP($B$2,NEUConsumption,'Non-Energy Use'!$C$26)</f>
        <v>1.0411633874999999</v>
      </c>
      <c r="N26" s="885">
        <f t="shared" si="32"/>
        <v>0</v>
      </c>
      <c r="O26" s="883">
        <f t="shared" si="32"/>
        <v>0</v>
      </c>
      <c r="P26" s="883">
        <f t="shared" si="33"/>
        <v>0</v>
      </c>
      <c r="Q26" s="883">
        <f>F26-J26-L26</f>
        <v>0</v>
      </c>
      <c r="R26" s="883">
        <f>G26</f>
        <v>0</v>
      </c>
      <c r="S26" s="886">
        <f t="shared" si="36"/>
        <v>0</v>
      </c>
      <c r="T26" s="883">
        <f t="shared" si="4"/>
        <v>0</v>
      </c>
      <c r="U26" s="887">
        <f>Factors!D33</f>
        <v>20.199355467286214</v>
      </c>
      <c r="V26" s="885">
        <f t="shared" si="37"/>
        <v>0</v>
      </c>
      <c r="W26" s="883">
        <f t="shared" si="38"/>
        <v>0</v>
      </c>
      <c r="X26" s="883">
        <f t="shared" si="39"/>
        <v>0</v>
      </c>
      <c r="Y26" s="883">
        <f>Q26*$U26*TbtuToQBtu</f>
        <v>0</v>
      </c>
      <c r="Z26" s="883">
        <f t="shared" si="41"/>
        <v>0</v>
      </c>
      <c r="AA26" s="883">
        <f t="shared" si="42"/>
        <v>0</v>
      </c>
      <c r="AB26" s="883">
        <f>SUM(V26:AA26)</f>
        <v>0</v>
      </c>
      <c r="AC26" s="888">
        <f>Factors!E33</f>
        <v>1</v>
      </c>
      <c r="AD26" s="885">
        <f t="shared" si="43"/>
        <v>0</v>
      </c>
      <c r="AE26" s="883">
        <f t="shared" si="43"/>
        <v>0</v>
      </c>
      <c r="AF26" s="883">
        <f t="shared" si="43"/>
        <v>0</v>
      </c>
      <c r="AG26" s="883">
        <f>Y26*$AC26</f>
        <v>0</v>
      </c>
      <c r="AH26" s="883">
        <f t="shared" si="43"/>
        <v>0</v>
      </c>
      <c r="AI26" s="883">
        <f t="shared" si="43"/>
        <v>0</v>
      </c>
      <c r="AJ26" s="889">
        <f t="shared" si="6"/>
        <v>0</v>
      </c>
      <c r="AK26" s="885">
        <f t="shared" si="24"/>
        <v>0</v>
      </c>
      <c r="AL26" s="883">
        <f t="shared" si="18"/>
        <v>0</v>
      </c>
      <c r="AM26" s="883">
        <f t="shared" si="19"/>
        <v>0</v>
      </c>
      <c r="AN26" s="883">
        <f>AG26*CtoCO2</f>
        <v>0</v>
      </c>
      <c r="AO26" s="883">
        <f t="shared" si="21"/>
        <v>0</v>
      </c>
      <c r="AP26" s="883">
        <f t="shared" si="22"/>
        <v>0</v>
      </c>
      <c r="AQ26" s="890">
        <f t="shared" si="27"/>
        <v>0</v>
      </c>
    </row>
    <row r="27" spans="1:43">
      <c r="A27" s="817"/>
      <c r="B27" s="860" t="s">
        <v>1601</v>
      </c>
      <c r="C27" s="883"/>
      <c r="D27" s="883">
        <f>HLOOKUP($B$2,'Consumption Input'!$E$5:$AQ$82,'Consumption Input'!$B18)</f>
        <v>52.706364466475023</v>
      </c>
      <c r="E27" s="883">
        <f>HLOOKUP($B$2,'Consumption Input'!$E$5:$AQ$82,'Consumption Input'!$B32)</f>
        <v>205.64544280576979</v>
      </c>
      <c r="F27" s="883">
        <f>HLOOKUP($B$2,'Consumption Input'!$E$5:$AQ$82,'Consumption Input'!$B55)</f>
        <v>15103.007192727755</v>
      </c>
      <c r="G27" s="883"/>
      <c r="H27" s="883">
        <f>HLOOKUP($B$2,'US Territories'!$D$28:$AB$38,'US Territories'!$B36)</f>
        <v>126.67963277307538</v>
      </c>
      <c r="I27" s="883">
        <f t="shared" si="25"/>
        <v>15488.038632773076</v>
      </c>
      <c r="J27" s="884"/>
      <c r="K27" s="883"/>
      <c r="L27" s="883"/>
      <c r="M27" s="883"/>
      <c r="N27" s="885">
        <f t="shared" si="32"/>
        <v>0</v>
      </c>
      <c r="O27" s="883">
        <f t="shared" si="32"/>
        <v>52.706364466475023</v>
      </c>
      <c r="P27" s="883">
        <f t="shared" si="33"/>
        <v>205.64544280576979</v>
      </c>
      <c r="Q27" s="883">
        <f t="shared" si="34"/>
        <v>15103.007192727755</v>
      </c>
      <c r="R27" s="883">
        <f t="shared" si="35"/>
        <v>0</v>
      </c>
      <c r="S27" s="886">
        <f t="shared" si="36"/>
        <v>126.67963277307538</v>
      </c>
      <c r="T27" s="883">
        <f t="shared" si="4"/>
        <v>15488.038632773076</v>
      </c>
      <c r="U27" s="887">
        <f>HLOOKUP($B$2,Factors!$J$12:$BE$25,Factors!$H20,FALSE)</f>
        <v>19.260000000000002</v>
      </c>
      <c r="V27" s="885">
        <f t="shared" si="37"/>
        <v>0</v>
      </c>
      <c r="W27" s="883">
        <f t="shared" si="38"/>
        <v>1.0151245796243091</v>
      </c>
      <c r="X27" s="883">
        <f t="shared" si="39"/>
        <v>3.9607312284391267</v>
      </c>
      <c r="Y27" s="883">
        <f t="shared" si="40"/>
        <v>290.88391853193662</v>
      </c>
      <c r="Z27" s="883">
        <f t="shared" si="41"/>
        <v>0</v>
      </c>
      <c r="AA27" s="883">
        <f t="shared" si="42"/>
        <v>2.4398497272094319</v>
      </c>
      <c r="AB27" s="883">
        <f t="shared" si="26"/>
        <v>298.29962406720949</v>
      </c>
      <c r="AC27" s="888">
        <f>Factors!E34</f>
        <v>1</v>
      </c>
      <c r="AD27" s="885">
        <f t="shared" si="43"/>
        <v>0</v>
      </c>
      <c r="AE27" s="883">
        <f t="shared" si="43"/>
        <v>1.0151245796243091</v>
      </c>
      <c r="AF27" s="883">
        <f t="shared" si="43"/>
        <v>3.9607312284391267</v>
      </c>
      <c r="AG27" s="883">
        <f>Y27*$AC44</f>
        <v>290.88391853193662</v>
      </c>
      <c r="AH27" s="883">
        <f t="shared" si="43"/>
        <v>0</v>
      </c>
      <c r="AI27" s="883">
        <f t="shared" si="43"/>
        <v>2.4398497272094319</v>
      </c>
      <c r="AJ27" s="889">
        <f t="shared" si="6"/>
        <v>298.29962406720949</v>
      </c>
      <c r="AK27" s="885">
        <f t="shared" si="24"/>
        <v>0</v>
      </c>
      <c r="AL27" s="883">
        <f t="shared" si="18"/>
        <v>3.7221234586224665</v>
      </c>
      <c r="AM27" s="883">
        <f t="shared" si="19"/>
        <v>14.522681170943464</v>
      </c>
      <c r="AN27" s="883">
        <f>AG27*CtoCO2</f>
        <v>1066.5743679504342</v>
      </c>
      <c r="AO27" s="883">
        <f t="shared" si="21"/>
        <v>0</v>
      </c>
      <c r="AP27" s="883">
        <f t="shared" si="22"/>
        <v>8.9461156664345829</v>
      </c>
      <c r="AQ27" s="890">
        <f t="shared" si="27"/>
        <v>1093.7652882464347</v>
      </c>
    </row>
    <row r="28" spans="1:43">
      <c r="A28" s="817"/>
      <c r="B28" s="860" t="s">
        <v>1602</v>
      </c>
      <c r="C28" s="883"/>
      <c r="D28" s="883">
        <f>HLOOKUP($B$2,'Consumption Input'!$E$5:$AQ$82,'Consumption Input'!$B19)</f>
        <v>7.9390000000000001</v>
      </c>
      <c r="E28" s="883">
        <f>HLOOKUP($B$2,'Consumption Input'!$E$5:$AQ$82,'Consumption Input'!$B33)</f>
        <v>0</v>
      </c>
      <c r="F28" s="883">
        <f>HLOOKUP($B$2,'Consumption Input'!$E$5:$AQ$82,'Consumption Input'!$B56)</f>
        <v>446.53699999999998</v>
      </c>
      <c r="G28" s="883">
        <f>HLOOKUP($B$2,'Consumption Input'!$E$5:$AQ$82,'Consumption Input'!$B61)</f>
        <v>95.138000000000005</v>
      </c>
      <c r="H28" s="883">
        <f>HLOOKUP($B$2,'US Territories'!$D$28:$AB$38,'US Territories'!$B37)</f>
        <v>61.935383858061833</v>
      </c>
      <c r="I28" s="883">
        <f t="shared" si="25"/>
        <v>611.5493838580619</v>
      </c>
      <c r="J28" s="884">
        <f>HLOOKUP($B$2,IBFConsumption,'International Bunker Fuels'!$B$9)</f>
        <v>369.176946595</v>
      </c>
      <c r="K28" s="883"/>
      <c r="L28" s="883"/>
      <c r="M28" s="883"/>
      <c r="N28" s="885">
        <f t="shared" si="32"/>
        <v>0</v>
      </c>
      <c r="O28" s="883">
        <f t="shared" si="32"/>
        <v>7.9390000000000001</v>
      </c>
      <c r="P28" s="883">
        <f t="shared" si="33"/>
        <v>0</v>
      </c>
      <c r="Q28" s="883">
        <f t="shared" si="34"/>
        <v>77.360053404999974</v>
      </c>
      <c r="R28" s="883">
        <f t="shared" si="35"/>
        <v>95.138000000000005</v>
      </c>
      <c r="S28" s="886">
        <f t="shared" si="36"/>
        <v>61.935383858061833</v>
      </c>
      <c r="T28" s="883">
        <f t="shared" si="4"/>
        <v>242.37243726306181</v>
      </c>
      <c r="U28" s="887">
        <f>Factors!D36</f>
        <v>20.48</v>
      </c>
      <c r="V28" s="885">
        <f t="shared" si="37"/>
        <v>0</v>
      </c>
      <c r="W28" s="883">
        <f t="shared" si="38"/>
        <v>0.16259071999999999</v>
      </c>
      <c r="X28" s="883">
        <f t="shared" si="39"/>
        <v>0</v>
      </c>
      <c r="Y28" s="883">
        <f t="shared" si="40"/>
        <v>1.5843338937343996</v>
      </c>
      <c r="Z28" s="883">
        <f t="shared" si="41"/>
        <v>1.9484262400000003</v>
      </c>
      <c r="AA28" s="883">
        <f t="shared" si="42"/>
        <v>1.2684366614131064</v>
      </c>
      <c r="AB28" s="883">
        <f t="shared" si="26"/>
        <v>4.9637875151475068</v>
      </c>
      <c r="AC28" s="888">
        <f>Factors!E36</f>
        <v>1</v>
      </c>
      <c r="AD28" s="885">
        <f t="shared" si="43"/>
        <v>0</v>
      </c>
      <c r="AE28" s="883">
        <f t="shared" si="43"/>
        <v>0.16259071999999999</v>
      </c>
      <c r="AF28" s="883">
        <f t="shared" si="43"/>
        <v>0</v>
      </c>
      <c r="AG28" s="883">
        <f t="shared" si="43"/>
        <v>1.5843338937343996</v>
      </c>
      <c r="AH28" s="883">
        <f t="shared" si="43"/>
        <v>1.9484262400000003</v>
      </c>
      <c r="AI28" s="883">
        <f t="shared" si="43"/>
        <v>1.2684366614131064</v>
      </c>
      <c r="AJ28" s="889">
        <f t="shared" si="6"/>
        <v>4.9637875151475068</v>
      </c>
      <c r="AK28" s="885">
        <f t="shared" si="24"/>
        <v>0</v>
      </c>
      <c r="AL28" s="883">
        <f t="shared" si="18"/>
        <v>0.59616597333333332</v>
      </c>
      <c r="AM28" s="883">
        <f t="shared" si="19"/>
        <v>0</v>
      </c>
      <c r="AN28" s="883">
        <f t="shared" si="20"/>
        <v>5.8092242770261313</v>
      </c>
      <c r="AO28" s="883">
        <f t="shared" si="21"/>
        <v>7.1442295466666677</v>
      </c>
      <c r="AP28" s="883">
        <f t="shared" si="22"/>
        <v>4.65093442518139</v>
      </c>
      <c r="AQ28" s="890">
        <f t="shared" si="27"/>
        <v>18.200554222207522</v>
      </c>
    </row>
    <row r="29" spans="1:43">
      <c r="A29" s="817"/>
      <c r="B29" s="860" t="s">
        <v>1603</v>
      </c>
      <c r="C29" s="883"/>
      <c r="D29" s="883"/>
      <c r="E29" s="883"/>
      <c r="F29" s="883"/>
      <c r="G29" s="883"/>
      <c r="H29" s="883"/>
      <c r="I29" s="883"/>
      <c r="J29" s="884"/>
      <c r="K29" s="883"/>
      <c r="L29" s="883"/>
      <c r="M29" s="883"/>
      <c r="N29" s="885">
        <f t="shared" si="32"/>
        <v>0</v>
      </c>
      <c r="O29" s="883">
        <f t="shared" si="32"/>
        <v>0</v>
      </c>
      <c r="P29" s="883">
        <f t="shared" si="33"/>
        <v>0</v>
      </c>
      <c r="Q29" s="883">
        <f t="shared" si="34"/>
        <v>0</v>
      </c>
      <c r="R29" s="883">
        <f t="shared" si="35"/>
        <v>0</v>
      </c>
      <c r="S29" s="886">
        <f t="shared" si="36"/>
        <v>0</v>
      </c>
      <c r="T29" s="883">
        <f t="shared" si="4"/>
        <v>0</v>
      </c>
      <c r="U29" s="887"/>
      <c r="V29" s="885">
        <f t="shared" si="37"/>
        <v>0</v>
      </c>
      <c r="W29" s="883">
        <f t="shared" si="38"/>
        <v>0</v>
      </c>
      <c r="X29" s="883">
        <f t="shared" si="39"/>
        <v>0</v>
      </c>
      <c r="Y29" s="883">
        <f t="shared" si="40"/>
        <v>0</v>
      </c>
      <c r="Z29" s="883">
        <f t="shared" si="41"/>
        <v>0</v>
      </c>
      <c r="AA29" s="883">
        <f t="shared" si="42"/>
        <v>0</v>
      </c>
      <c r="AB29" s="883">
        <f t="shared" si="26"/>
        <v>0</v>
      </c>
      <c r="AC29" s="888"/>
      <c r="AD29" s="885">
        <f t="shared" si="43"/>
        <v>0</v>
      </c>
      <c r="AE29" s="883">
        <f t="shared" si="43"/>
        <v>0</v>
      </c>
      <c r="AF29" s="883">
        <f t="shared" si="43"/>
        <v>0</v>
      </c>
      <c r="AG29" s="883">
        <f t="shared" si="43"/>
        <v>0</v>
      </c>
      <c r="AH29" s="883">
        <f t="shared" si="43"/>
        <v>0</v>
      </c>
      <c r="AI29" s="883">
        <f t="shared" si="43"/>
        <v>0</v>
      </c>
      <c r="AJ29" s="889">
        <f t="shared" si="6"/>
        <v>0</v>
      </c>
      <c r="AK29" s="885">
        <f t="shared" si="24"/>
        <v>0</v>
      </c>
      <c r="AL29" s="883">
        <f t="shared" si="18"/>
        <v>0</v>
      </c>
      <c r="AM29" s="883">
        <f t="shared" si="19"/>
        <v>0</v>
      </c>
      <c r="AN29" s="883">
        <f t="shared" si="20"/>
        <v>0</v>
      </c>
      <c r="AO29" s="883">
        <f t="shared" si="21"/>
        <v>0</v>
      </c>
      <c r="AP29" s="883">
        <f t="shared" si="22"/>
        <v>0</v>
      </c>
      <c r="AQ29" s="890">
        <f t="shared" si="27"/>
        <v>0</v>
      </c>
    </row>
    <row r="30" spans="1:43">
      <c r="A30" s="817"/>
      <c r="B30" s="865" t="s">
        <v>1611</v>
      </c>
      <c r="C30" s="883"/>
      <c r="D30" s="883"/>
      <c r="E30" s="883">
        <f>HLOOKUP($B$2,'Consumption Input'!$E$5:$AQ$82,'Consumption Input'!$B35)</f>
        <v>-0.141344</v>
      </c>
      <c r="F30" s="883"/>
      <c r="G30" s="883"/>
      <c r="H30" s="883"/>
      <c r="I30" s="883">
        <f t="shared" ref="I30:I41" si="48">SUM(C30:H30)</f>
        <v>-0.141344</v>
      </c>
      <c r="J30" s="884"/>
      <c r="K30" s="883"/>
      <c r="L30" s="883"/>
      <c r="M30" s="883"/>
      <c r="N30" s="885">
        <f t="shared" si="32"/>
        <v>0</v>
      </c>
      <c r="O30" s="883">
        <f t="shared" si="32"/>
        <v>0</v>
      </c>
      <c r="P30" s="883">
        <f t="shared" si="33"/>
        <v>-0.141344</v>
      </c>
      <c r="Q30" s="883">
        <f t="shared" si="34"/>
        <v>0</v>
      </c>
      <c r="R30" s="883">
        <f t="shared" si="35"/>
        <v>0</v>
      </c>
      <c r="S30" s="886">
        <f t="shared" si="36"/>
        <v>0</v>
      </c>
      <c r="T30" s="883">
        <f t="shared" si="4"/>
        <v>-0.141344</v>
      </c>
      <c r="U30" s="887">
        <f>Factors!D39</f>
        <v>18.87</v>
      </c>
      <c r="V30" s="885">
        <f t="shared" si="37"/>
        <v>0</v>
      </c>
      <c r="W30" s="883">
        <f t="shared" si="38"/>
        <v>0</v>
      </c>
      <c r="X30" s="883">
        <f t="shared" si="39"/>
        <v>-2.6671612800000001E-3</v>
      </c>
      <c r="Y30" s="883">
        <f t="shared" si="40"/>
        <v>0</v>
      </c>
      <c r="Z30" s="883">
        <f t="shared" si="41"/>
        <v>0</v>
      </c>
      <c r="AA30" s="883">
        <f t="shared" si="42"/>
        <v>0</v>
      </c>
      <c r="AB30" s="883">
        <f t="shared" si="26"/>
        <v>-2.6671612800000001E-3</v>
      </c>
      <c r="AC30" s="888">
        <f>Factors!E39</f>
        <v>1</v>
      </c>
      <c r="AD30" s="885">
        <f t="shared" si="43"/>
        <v>0</v>
      </c>
      <c r="AE30" s="883">
        <f t="shared" si="43"/>
        <v>0</v>
      </c>
      <c r="AF30" s="883">
        <f t="shared" si="43"/>
        <v>-2.6671612800000001E-3</v>
      </c>
      <c r="AG30" s="883">
        <f t="shared" si="43"/>
        <v>0</v>
      </c>
      <c r="AH30" s="883">
        <f t="shared" si="43"/>
        <v>0</v>
      </c>
      <c r="AI30" s="883">
        <f t="shared" si="43"/>
        <v>0</v>
      </c>
      <c r="AJ30" s="889">
        <f t="shared" si="6"/>
        <v>-2.6671612800000001E-3</v>
      </c>
      <c r="AK30" s="885">
        <f t="shared" si="24"/>
        <v>0</v>
      </c>
      <c r="AL30" s="883">
        <f t="shared" si="18"/>
        <v>0</v>
      </c>
      <c r="AM30" s="883">
        <f t="shared" si="19"/>
        <v>-9.7795913599999992E-3</v>
      </c>
      <c r="AN30" s="883">
        <f t="shared" si="20"/>
        <v>0</v>
      </c>
      <c r="AO30" s="883">
        <f t="shared" si="21"/>
        <v>0</v>
      </c>
      <c r="AP30" s="883">
        <f t="shared" si="22"/>
        <v>0</v>
      </c>
      <c r="AQ30" s="890">
        <f t="shared" si="27"/>
        <v>-9.7795913599999992E-3</v>
      </c>
    </row>
    <row r="31" spans="1:43">
      <c r="A31" s="817"/>
      <c r="B31" s="865" t="s">
        <v>1612</v>
      </c>
      <c r="C31" s="883"/>
      <c r="D31" s="883"/>
      <c r="E31" s="883">
        <f>HLOOKUP($B$2,'Consumption Input'!$E$5:$AQ$82,'Consumption Input'!$B36)</f>
        <v>0</v>
      </c>
      <c r="F31" s="883"/>
      <c r="G31" s="883"/>
      <c r="H31" s="883"/>
      <c r="I31" s="883">
        <f t="shared" si="48"/>
        <v>0</v>
      </c>
      <c r="J31" s="884"/>
      <c r="K31" s="883"/>
      <c r="L31" s="883"/>
      <c r="M31" s="883"/>
      <c r="N31" s="885">
        <f t="shared" si="32"/>
        <v>0</v>
      </c>
      <c r="O31" s="883">
        <f t="shared" si="32"/>
        <v>0</v>
      </c>
      <c r="P31" s="883">
        <f t="shared" si="33"/>
        <v>0</v>
      </c>
      <c r="Q31" s="883">
        <f t="shared" si="34"/>
        <v>0</v>
      </c>
      <c r="R31" s="883">
        <f t="shared" si="35"/>
        <v>0</v>
      </c>
      <c r="S31" s="886">
        <f t="shared" si="36"/>
        <v>0</v>
      </c>
      <c r="T31" s="883">
        <f t="shared" si="4"/>
        <v>0</v>
      </c>
      <c r="U31" s="887">
        <f>HLOOKUP($B$2,Factors!$J$12:$BE$25,Factors!$H25,FALSE)</f>
        <v>20.305515594827586</v>
      </c>
      <c r="V31" s="885">
        <f t="shared" si="37"/>
        <v>0</v>
      </c>
      <c r="W31" s="883">
        <f t="shared" si="38"/>
        <v>0</v>
      </c>
      <c r="X31" s="883">
        <f t="shared" si="39"/>
        <v>0</v>
      </c>
      <c r="Y31" s="883">
        <f t="shared" si="40"/>
        <v>0</v>
      </c>
      <c r="Z31" s="883">
        <f t="shared" si="41"/>
        <v>0</v>
      </c>
      <c r="AA31" s="883">
        <f t="shared" si="42"/>
        <v>0</v>
      </c>
      <c r="AB31" s="883">
        <f t="shared" si="26"/>
        <v>0</v>
      </c>
      <c r="AC31" s="888">
        <f>Factors!E40</f>
        <v>1</v>
      </c>
      <c r="AD31" s="885">
        <f t="shared" si="43"/>
        <v>0</v>
      </c>
      <c r="AE31" s="883">
        <f t="shared" si="43"/>
        <v>0</v>
      </c>
      <c r="AF31" s="883">
        <f t="shared" si="43"/>
        <v>0</v>
      </c>
      <c r="AG31" s="883">
        <f t="shared" si="43"/>
        <v>0</v>
      </c>
      <c r="AH31" s="883">
        <f t="shared" si="43"/>
        <v>0</v>
      </c>
      <c r="AI31" s="883">
        <f t="shared" si="43"/>
        <v>0</v>
      </c>
      <c r="AJ31" s="889">
        <f t="shared" si="6"/>
        <v>0</v>
      </c>
      <c r="AK31" s="885">
        <f t="shared" si="24"/>
        <v>0</v>
      </c>
      <c r="AL31" s="883">
        <f t="shared" si="18"/>
        <v>0</v>
      </c>
      <c r="AM31" s="883">
        <f t="shared" si="19"/>
        <v>0</v>
      </c>
      <c r="AN31" s="883">
        <f t="shared" si="20"/>
        <v>0</v>
      </c>
      <c r="AO31" s="883">
        <f t="shared" si="21"/>
        <v>0</v>
      </c>
      <c r="AP31" s="883">
        <f t="shared" si="22"/>
        <v>0</v>
      </c>
      <c r="AQ31" s="890">
        <f t="shared" si="27"/>
        <v>0</v>
      </c>
    </row>
    <row r="32" spans="1:43">
      <c r="A32" s="817"/>
      <c r="B32" s="865" t="s">
        <v>1613</v>
      </c>
      <c r="C32" s="883"/>
      <c r="D32" s="883"/>
      <c r="E32" s="883">
        <f>HLOOKUP($B$2,'Consumption Input'!$E$5:$AQ$82,'Consumption Input'!$B37)</f>
        <v>0</v>
      </c>
      <c r="F32" s="883"/>
      <c r="G32" s="883"/>
      <c r="H32" s="883"/>
      <c r="I32" s="883">
        <f t="shared" si="48"/>
        <v>0</v>
      </c>
      <c r="J32" s="884"/>
      <c r="K32" s="883"/>
      <c r="L32" s="883"/>
      <c r="M32" s="883"/>
      <c r="N32" s="885">
        <f t="shared" si="32"/>
        <v>0</v>
      </c>
      <c r="O32" s="883">
        <f t="shared" si="32"/>
        <v>0</v>
      </c>
      <c r="P32" s="883">
        <f t="shared" si="33"/>
        <v>0</v>
      </c>
      <c r="Q32" s="883">
        <f t="shared" si="34"/>
        <v>0</v>
      </c>
      <c r="R32" s="883">
        <f t="shared" si="35"/>
        <v>0</v>
      </c>
      <c r="S32" s="886">
        <f t="shared" si="36"/>
        <v>0</v>
      </c>
      <c r="T32" s="883">
        <f t="shared" si="4"/>
        <v>0</v>
      </c>
      <c r="U32" s="887">
        <f>HLOOKUP($B$2,Factors!$J$12:$BE$25,Factors!$H22,FALSE)</f>
        <v>19.456118437849259</v>
      </c>
      <c r="V32" s="885">
        <f t="shared" si="37"/>
        <v>0</v>
      </c>
      <c r="W32" s="883">
        <f t="shared" si="38"/>
        <v>0</v>
      </c>
      <c r="X32" s="883">
        <f t="shared" si="39"/>
        <v>0</v>
      </c>
      <c r="Y32" s="883">
        <f t="shared" si="40"/>
        <v>0</v>
      </c>
      <c r="Z32" s="883">
        <f t="shared" si="41"/>
        <v>0</v>
      </c>
      <c r="AA32" s="883">
        <f t="shared" si="42"/>
        <v>0</v>
      </c>
      <c r="AB32" s="883">
        <f t="shared" si="26"/>
        <v>0</v>
      </c>
      <c r="AC32" s="888">
        <f>Factors!E41</f>
        <v>1</v>
      </c>
      <c r="AD32" s="885">
        <f t="shared" si="43"/>
        <v>0</v>
      </c>
      <c r="AE32" s="883">
        <f t="shared" si="43"/>
        <v>0</v>
      </c>
      <c r="AF32" s="883">
        <f t="shared" si="43"/>
        <v>0</v>
      </c>
      <c r="AG32" s="883">
        <f t="shared" si="43"/>
        <v>0</v>
      </c>
      <c r="AH32" s="883">
        <f t="shared" si="43"/>
        <v>0</v>
      </c>
      <c r="AI32" s="883">
        <f t="shared" si="43"/>
        <v>0</v>
      </c>
      <c r="AJ32" s="889">
        <f t="shared" si="6"/>
        <v>0</v>
      </c>
      <c r="AK32" s="885">
        <f t="shared" si="24"/>
        <v>0</v>
      </c>
      <c r="AL32" s="883">
        <f t="shared" si="18"/>
        <v>0</v>
      </c>
      <c r="AM32" s="883">
        <f t="shared" si="19"/>
        <v>0</v>
      </c>
      <c r="AN32" s="883">
        <f t="shared" si="20"/>
        <v>0</v>
      </c>
      <c r="AO32" s="883">
        <f t="shared" si="21"/>
        <v>0</v>
      </c>
      <c r="AP32" s="883">
        <f t="shared" si="22"/>
        <v>0</v>
      </c>
      <c r="AQ32" s="890">
        <f t="shared" si="27"/>
        <v>0</v>
      </c>
    </row>
    <row r="33" spans="1:43">
      <c r="A33" s="817"/>
      <c r="B33" s="865" t="s">
        <v>1739</v>
      </c>
      <c r="C33" s="883"/>
      <c r="D33" s="883"/>
      <c r="E33" s="883">
        <f>HLOOKUP($B$2,'Consumption Input'!$E$5:$AQ$82,'Consumption Input'!$B38)</f>
        <v>182.74043793600001</v>
      </c>
      <c r="F33" s="883"/>
      <c r="G33" s="883"/>
      <c r="H33" s="883">
        <f>HLOOKUP($B$2,'US Territories'!$D$28:$AB$38,'US Territories'!$B38)</f>
        <v>9.6122898538356107</v>
      </c>
      <c r="I33" s="883">
        <f t="shared" si="48"/>
        <v>192.35272778983563</v>
      </c>
      <c r="J33" s="884"/>
      <c r="K33" s="883">
        <f>HLOOKUP($B$2,NEUConsumption,'Non-Energy Use'!C22)</f>
        <v>182.74043793600001</v>
      </c>
      <c r="L33" s="883"/>
      <c r="M33" s="883">
        <f>HLOOKUP($B$2,NEUConsumption,'Non-Energy Use'!$C$27)</f>
        <v>9.6122898538356107</v>
      </c>
      <c r="N33" s="885">
        <f t="shared" si="32"/>
        <v>0</v>
      </c>
      <c r="O33" s="883">
        <f t="shared" si="32"/>
        <v>0</v>
      </c>
      <c r="P33" s="883">
        <f t="shared" si="33"/>
        <v>0</v>
      </c>
      <c r="Q33" s="883">
        <f t="shared" si="34"/>
        <v>0</v>
      </c>
      <c r="R33" s="883">
        <f t="shared" si="35"/>
        <v>0</v>
      </c>
      <c r="S33" s="886">
        <f t="shared" si="36"/>
        <v>0</v>
      </c>
      <c r="T33" s="883">
        <f t="shared" si="4"/>
        <v>0</v>
      </c>
      <c r="U33" s="887">
        <f>HLOOKUP($B$2,Factors!$J$12:$BE$25,Factors!$H23,FALSE)</f>
        <v>0</v>
      </c>
      <c r="V33" s="885">
        <f t="shared" si="37"/>
        <v>0</v>
      </c>
      <c r="W33" s="883">
        <f t="shared" si="38"/>
        <v>0</v>
      </c>
      <c r="X33" s="883">
        <f t="shared" si="39"/>
        <v>0</v>
      </c>
      <c r="Y33" s="883">
        <f t="shared" si="40"/>
        <v>0</v>
      </c>
      <c r="Z33" s="883">
        <f t="shared" si="41"/>
        <v>0</v>
      </c>
      <c r="AA33" s="883">
        <f t="shared" si="42"/>
        <v>0</v>
      </c>
      <c r="AB33" s="883">
        <f t="shared" si="26"/>
        <v>0</v>
      </c>
      <c r="AC33" s="888">
        <f>Factors!E42</f>
        <v>1</v>
      </c>
      <c r="AD33" s="885">
        <f t="shared" si="43"/>
        <v>0</v>
      </c>
      <c r="AE33" s="883">
        <f t="shared" si="43"/>
        <v>0</v>
      </c>
      <c r="AF33" s="883">
        <f t="shared" si="43"/>
        <v>0</v>
      </c>
      <c r="AG33" s="883">
        <f t="shared" si="43"/>
        <v>0</v>
      </c>
      <c r="AH33" s="883">
        <f t="shared" si="43"/>
        <v>0</v>
      </c>
      <c r="AI33" s="883">
        <f t="shared" si="43"/>
        <v>0</v>
      </c>
      <c r="AJ33" s="889">
        <f t="shared" si="6"/>
        <v>0</v>
      </c>
      <c r="AK33" s="885">
        <f t="shared" si="24"/>
        <v>0</v>
      </c>
      <c r="AL33" s="883">
        <f t="shared" si="18"/>
        <v>0</v>
      </c>
      <c r="AM33" s="883">
        <f t="shared" si="19"/>
        <v>0</v>
      </c>
      <c r="AN33" s="883">
        <f t="shared" si="20"/>
        <v>0</v>
      </c>
      <c r="AO33" s="883">
        <f t="shared" si="21"/>
        <v>0</v>
      </c>
      <c r="AP33" s="883">
        <f t="shared" si="22"/>
        <v>0</v>
      </c>
      <c r="AQ33" s="890">
        <f t="shared" si="27"/>
        <v>0</v>
      </c>
    </row>
    <row r="34" spans="1:43">
      <c r="A34" s="817"/>
      <c r="B34" s="865" t="s">
        <v>1615</v>
      </c>
      <c r="C34" s="883"/>
      <c r="D34" s="883"/>
      <c r="E34" s="883">
        <f>HLOOKUP($B$2,'Consumption Input'!$E$5:$AQ$82,'Consumption Input'!$B39)</f>
        <v>442.60582399999998</v>
      </c>
      <c r="F34" s="883"/>
      <c r="G34" s="883"/>
      <c r="H34" s="883"/>
      <c r="I34" s="883">
        <f t="shared" si="48"/>
        <v>442.60582399999998</v>
      </c>
      <c r="J34" s="884"/>
      <c r="K34" s="883">
        <f>HLOOKUP($B$2,NEUConsumption,'Non-Energy Use'!C14)</f>
        <v>442.60582399999998</v>
      </c>
      <c r="L34" s="883"/>
      <c r="M34" s="883"/>
      <c r="N34" s="885">
        <f t="shared" si="32"/>
        <v>0</v>
      </c>
      <c r="O34" s="883">
        <f t="shared" si="32"/>
        <v>0</v>
      </c>
      <c r="P34" s="883">
        <f t="shared" si="33"/>
        <v>0</v>
      </c>
      <c r="Q34" s="883">
        <f t="shared" si="34"/>
        <v>0</v>
      </c>
      <c r="R34" s="883">
        <f t="shared" si="35"/>
        <v>0</v>
      </c>
      <c r="S34" s="886">
        <f t="shared" si="36"/>
        <v>0</v>
      </c>
      <c r="T34" s="883">
        <f t="shared" si="4"/>
        <v>0</v>
      </c>
      <c r="U34" s="887">
        <f>Factors!D44</f>
        <v>18.550649350649344</v>
      </c>
      <c r="V34" s="885">
        <f t="shared" si="37"/>
        <v>0</v>
      </c>
      <c r="W34" s="883">
        <f t="shared" si="38"/>
        <v>0</v>
      </c>
      <c r="X34" s="883">
        <f t="shared" si="39"/>
        <v>0</v>
      </c>
      <c r="Y34" s="883">
        <f t="shared" si="40"/>
        <v>0</v>
      </c>
      <c r="Z34" s="883">
        <f t="shared" si="41"/>
        <v>0</v>
      </c>
      <c r="AA34" s="883">
        <f t="shared" si="42"/>
        <v>0</v>
      </c>
      <c r="AB34" s="883">
        <f t="shared" si="26"/>
        <v>0</v>
      </c>
      <c r="AC34" s="888">
        <f>Factors!E44</f>
        <v>1</v>
      </c>
      <c r="AD34" s="885">
        <f t="shared" si="43"/>
        <v>0</v>
      </c>
      <c r="AE34" s="883">
        <f t="shared" si="43"/>
        <v>0</v>
      </c>
      <c r="AF34" s="883">
        <f t="shared" si="43"/>
        <v>0</v>
      </c>
      <c r="AG34" s="883">
        <f t="shared" si="43"/>
        <v>0</v>
      </c>
      <c r="AH34" s="883">
        <f t="shared" si="43"/>
        <v>0</v>
      </c>
      <c r="AI34" s="883">
        <f t="shared" si="43"/>
        <v>0</v>
      </c>
      <c r="AJ34" s="889">
        <f t="shared" si="6"/>
        <v>0</v>
      </c>
      <c r="AK34" s="885">
        <f t="shared" si="24"/>
        <v>0</v>
      </c>
      <c r="AL34" s="883">
        <f t="shared" si="18"/>
        <v>0</v>
      </c>
      <c r="AM34" s="883">
        <f t="shared" si="19"/>
        <v>0</v>
      </c>
      <c r="AN34" s="883">
        <f t="shared" si="20"/>
        <v>0</v>
      </c>
      <c r="AO34" s="883">
        <f t="shared" si="21"/>
        <v>0</v>
      </c>
      <c r="AP34" s="883">
        <f t="shared" si="22"/>
        <v>0</v>
      </c>
      <c r="AQ34" s="890">
        <f t="shared" si="27"/>
        <v>0</v>
      </c>
    </row>
    <row r="35" spans="1:43">
      <c r="A35" s="817"/>
      <c r="B35" s="865" t="s">
        <v>1616</v>
      </c>
      <c r="C35" s="883"/>
      <c r="D35" s="883"/>
      <c r="E35" s="883">
        <f>HLOOKUP($B$2,'Consumption Input'!$E$5:$AQ$82,'Consumption Input'!$B40)</f>
        <v>247.22465</v>
      </c>
      <c r="F35" s="883"/>
      <c r="G35" s="883"/>
      <c r="H35" s="883"/>
      <c r="I35" s="883">
        <f t="shared" si="48"/>
        <v>247.22465</v>
      </c>
      <c r="J35" s="884"/>
      <c r="K35" s="883">
        <f>HLOOKUP($B$2,NEUConsumption,'Non-Energy Use'!$C$15)</f>
        <v>247.22465</v>
      </c>
      <c r="L35" s="883"/>
      <c r="M35" s="883"/>
      <c r="N35" s="885">
        <f t="shared" si="32"/>
        <v>0</v>
      </c>
      <c r="O35" s="883">
        <f t="shared" si="32"/>
        <v>0</v>
      </c>
      <c r="P35" s="883">
        <f t="shared" si="33"/>
        <v>0</v>
      </c>
      <c r="Q35" s="883">
        <f t="shared" si="34"/>
        <v>0</v>
      </c>
      <c r="R35" s="883">
        <f t="shared" si="35"/>
        <v>0</v>
      </c>
      <c r="S35" s="886">
        <f t="shared" si="36"/>
        <v>0</v>
      </c>
      <c r="T35" s="883">
        <f t="shared" si="4"/>
        <v>0</v>
      </c>
      <c r="U35" s="887">
        <f>Factors!D45</f>
        <v>20.170000000000002</v>
      </c>
      <c r="V35" s="885">
        <f t="shared" si="37"/>
        <v>0</v>
      </c>
      <c r="W35" s="883">
        <f t="shared" si="38"/>
        <v>0</v>
      </c>
      <c r="X35" s="883">
        <f>P35*$U35*TbtuToQBtu</f>
        <v>0</v>
      </c>
      <c r="Y35" s="883">
        <f t="shared" si="40"/>
        <v>0</v>
      </c>
      <c r="Z35" s="883">
        <f t="shared" si="41"/>
        <v>0</v>
      </c>
      <c r="AA35" s="883">
        <f t="shared" si="42"/>
        <v>0</v>
      </c>
      <c r="AB35" s="883">
        <f t="shared" si="26"/>
        <v>0</v>
      </c>
      <c r="AC35" s="888">
        <f>Factors!E45</f>
        <v>1</v>
      </c>
      <c r="AD35" s="885">
        <f t="shared" si="43"/>
        <v>0</v>
      </c>
      <c r="AE35" s="883">
        <f t="shared" si="43"/>
        <v>0</v>
      </c>
      <c r="AF35" s="883">
        <f t="shared" si="43"/>
        <v>0</v>
      </c>
      <c r="AG35" s="883">
        <f t="shared" si="43"/>
        <v>0</v>
      </c>
      <c r="AH35" s="883">
        <f t="shared" si="43"/>
        <v>0</v>
      </c>
      <c r="AI35" s="883">
        <f t="shared" si="43"/>
        <v>0</v>
      </c>
      <c r="AJ35" s="889">
        <f t="shared" si="6"/>
        <v>0</v>
      </c>
      <c r="AK35" s="885">
        <f t="shared" si="24"/>
        <v>0</v>
      </c>
      <c r="AL35" s="883">
        <f t="shared" si="18"/>
        <v>0</v>
      </c>
      <c r="AM35" s="883">
        <f t="shared" si="19"/>
        <v>0</v>
      </c>
      <c r="AN35" s="883">
        <f t="shared" si="20"/>
        <v>0</v>
      </c>
      <c r="AO35" s="883">
        <f t="shared" si="21"/>
        <v>0</v>
      </c>
      <c r="AP35" s="883">
        <f t="shared" si="22"/>
        <v>0</v>
      </c>
      <c r="AQ35" s="890">
        <f t="shared" si="27"/>
        <v>0</v>
      </c>
    </row>
    <row r="36" spans="1:43">
      <c r="A36" s="817"/>
      <c r="B36" s="865" t="s">
        <v>1617</v>
      </c>
      <c r="C36" s="883"/>
      <c r="D36" s="883"/>
      <c r="E36" s="883">
        <f>HLOOKUP($B$2,'Consumption Input'!$E$5:$AQ$82,'Consumption Input'!$B41)</f>
        <v>0</v>
      </c>
      <c r="F36" s="883"/>
      <c r="G36" s="883"/>
      <c r="H36" s="883"/>
      <c r="I36" s="883">
        <f t="shared" si="48"/>
        <v>0</v>
      </c>
      <c r="J36" s="884"/>
      <c r="K36" s="883">
        <f>HLOOKUP($B$2,NEUConsumption,'Non-Energy Use'!$C$13)</f>
        <v>0</v>
      </c>
      <c r="L36" s="883"/>
      <c r="M36" s="883"/>
      <c r="N36" s="885">
        <f t="shared" si="32"/>
        <v>0</v>
      </c>
      <c r="O36" s="883">
        <f t="shared" si="32"/>
        <v>0</v>
      </c>
      <c r="P36" s="883">
        <f t="shared" si="33"/>
        <v>0</v>
      </c>
      <c r="Q36" s="883">
        <f t="shared" si="34"/>
        <v>0</v>
      </c>
      <c r="R36" s="883">
        <f t="shared" si="35"/>
        <v>0</v>
      </c>
      <c r="S36" s="886">
        <f t="shared" si="36"/>
        <v>0</v>
      </c>
      <c r="T36" s="883">
        <f t="shared" si="4"/>
        <v>0</v>
      </c>
      <c r="U36" s="887">
        <f>Factors!D46</f>
        <v>18.239999999999998</v>
      </c>
      <c r="V36" s="885">
        <f t="shared" si="37"/>
        <v>0</v>
      </c>
      <c r="W36" s="883">
        <f t="shared" si="38"/>
        <v>0</v>
      </c>
      <c r="X36" s="883">
        <f t="shared" si="39"/>
        <v>0</v>
      </c>
      <c r="Y36" s="883">
        <f t="shared" si="40"/>
        <v>0</v>
      </c>
      <c r="Z36" s="883">
        <f t="shared" si="41"/>
        <v>0</v>
      </c>
      <c r="AA36" s="883">
        <f t="shared" si="42"/>
        <v>0</v>
      </c>
      <c r="AB36" s="883">
        <f t="shared" si="26"/>
        <v>0</v>
      </c>
      <c r="AC36" s="888">
        <f>Factors!E46</f>
        <v>1</v>
      </c>
      <c r="AD36" s="885">
        <f t="shared" ref="AD36:AI42" si="49">V36*$AC36</f>
        <v>0</v>
      </c>
      <c r="AE36" s="883">
        <f t="shared" si="49"/>
        <v>0</v>
      </c>
      <c r="AF36" s="883">
        <f t="shared" si="49"/>
        <v>0</v>
      </c>
      <c r="AG36" s="883">
        <f t="shared" si="49"/>
        <v>0</v>
      </c>
      <c r="AH36" s="883">
        <f t="shared" si="49"/>
        <v>0</v>
      </c>
      <c r="AI36" s="883">
        <f t="shared" si="49"/>
        <v>0</v>
      </c>
      <c r="AJ36" s="889">
        <f t="shared" si="6"/>
        <v>0</v>
      </c>
      <c r="AK36" s="885">
        <f t="shared" si="24"/>
        <v>0</v>
      </c>
      <c r="AL36" s="883">
        <f t="shared" si="18"/>
        <v>0</v>
      </c>
      <c r="AM36" s="883">
        <f t="shared" si="19"/>
        <v>0</v>
      </c>
      <c r="AN36" s="883">
        <f t="shared" si="20"/>
        <v>0</v>
      </c>
      <c r="AO36" s="883">
        <f t="shared" si="21"/>
        <v>0</v>
      </c>
      <c r="AP36" s="883">
        <f t="shared" si="22"/>
        <v>0</v>
      </c>
      <c r="AQ36" s="890">
        <f t="shared" si="27"/>
        <v>0</v>
      </c>
    </row>
    <row r="37" spans="1:43">
      <c r="A37" s="817"/>
      <c r="B37" s="865" t="s">
        <v>1604</v>
      </c>
      <c r="C37" s="883"/>
      <c r="D37" s="883">
        <f>HLOOKUP($B$2,'Consumption Input'!$E$5:$AQ$82,'Consumption Input'!$B21)</f>
        <v>0.52500000000000002</v>
      </c>
      <c r="E37" s="883">
        <f>HLOOKUP($B$2,'Consumption Input'!$E$5:$AQ$82,'Consumption Input'!$B42)</f>
        <v>653.46400000000006</v>
      </c>
      <c r="F37" s="883"/>
      <c r="G37" s="883">
        <f>HLOOKUP($B$2,'Consumption Input'!$E$5:$AQ$82,'Consumption Input'!$B63)</f>
        <v>118.15499999999999</v>
      </c>
      <c r="H37" s="883"/>
      <c r="I37" s="883">
        <f t="shared" si="48"/>
        <v>772.14400000000001</v>
      </c>
      <c r="J37" s="884"/>
      <c r="K37" s="883">
        <f>HLOOKUP($B$2,NEUConsumption,'Non-Energy Use'!$C$17)</f>
        <v>61.364894639841161</v>
      </c>
      <c r="L37" s="883"/>
      <c r="M37" s="883"/>
      <c r="N37" s="885">
        <f t="shared" si="32"/>
        <v>0</v>
      </c>
      <c r="O37" s="883">
        <f t="shared" si="32"/>
        <v>0.52500000000000002</v>
      </c>
      <c r="P37" s="883">
        <f t="shared" si="33"/>
        <v>592.09910536015889</v>
      </c>
      <c r="Q37" s="883">
        <f t="shared" si="34"/>
        <v>0</v>
      </c>
      <c r="R37" s="883">
        <f t="shared" si="35"/>
        <v>118.15499999999999</v>
      </c>
      <c r="S37" s="886">
        <f t="shared" si="36"/>
        <v>0</v>
      </c>
      <c r="T37" s="883">
        <f t="shared" si="4"/>
        <v>710.77910536015884</v>
      </c>
      <c r="U37" s="887">
        <f>Factors!D48</f>
        <v>27.84770010865628</v>
      </c>
      <c r="V37" s="885">
        <f t="shared" si="37"/>
        <v>0</v>
      </c>
      <c r="W37" s="883">
        <f t="shared" si="38"/>
        <v>1.4620042557044547E-2</v>
      </c>
      <c r="X37" s="883">
        <f t="shared" si="39"/>
        <v>16.488598320673383</v>
      </c>
      <c r="Y37" s="883">
        <f t="shared" si="40"/>
        <v>0</v>
      </c>
      <c r="Z37" s="883">
        <f t="shared" si="41"/>
        <v>3.2903450063382826</v>
      </c>
      <c r="AA37" s="883">
        <f t="shared" si="42"/>
        <v>0</v>
      </c>
      <c r="AB37" s="883">
        <f t="shared" si="26"/>
        <v>19.793563369568709</v>
      </c>
      <c r="AC37" s="888">
        <f>Factors!E48</f>
        <v>1</v>
      </c>
      <c r="AD37" s="885">
        <f t="shared" si="49"/>
        <v>0</v>
      </c>
      <c r="AE37" s="883">
        <f t="shared" si="49"/>
        <v>1.4620042557044547E-2</v>
      </c>
      <c r="AF37" s="883">
        <f t="shared" si="49"/>
        <v>16.488598320673383</v>
      </c>
      <c r="AG37" s="883">
        <f t="shared" si="49"/>
        <v>0</v>
      </c>
      <c r="AH37" s="883">
        <f t="shared" si="49"/>
        <v>3.2903450063382826</v>
      </c>
      <c r="AI37" s="883">
        <f t="shared" si="49"/>
        <v>0</v>
      </c>
      <c r="AJ37" s="889">
        <f t="shared" si="6"/>
        <v>19.793563369568709</v>
      </c>
      <c r="AK37" s="885">
        <f t="shared" si="24"/>
        <v>0</v>
      </c>
      <c r="AL37" s="883">
        <f t="shared" si="18"/>
        <v>5.3606822709163338E-2</v>
      </c>
      <c r="AM37" s="883">
        <f t="shared" si="19"/>
        <v>60.458193842469065</v>
      </c>
      <c r="AN37" s="883">
        <f t="shared" si="20"/>
        <v>0</v>
      </c>
      <c r="AO37" s="883">
        <f t="shared" si="21"/>
        <v>12.064598356573702</v>
      </c>
      <c r="AP37" s="883">
        <f t="shared" si="22"/>
        <v>0</v>
      </c>
      <c r="AQ37" s="890">
        <f t="shared" si="27"/>
        <v>72.576399021751925</v>
      </c>
    </row>
    <row r="38" spans="1:43">
      <c r="A38" s="817"/>
      <c r="B38" s="865" t="s">
        <v>1618</v>
      </c>
      <c r="C38" s="883"/>
      <c r="D38" s="883"/>
      <c r="E38" s="883">
        <f>HLOOKUP($B$2,'Consumption Input'!$E$5:$AQ$82,'Consumption Input'!$B43)</f>
        <v>1516.944</v>
      </c>
      <c r="F38" s="883"/>
      <c r="G38" s="883"/>
      <c r="H38" s="883"/>
      <c r="I38" s="883">
        <f t="shared" si="48"/>
        <v>1516.944</v>
      </c>
      <c r="J38" s="884"/>
      <c r="K38" s="883">
        <f>HLOOKUP($B$2,NEUConsumption,'Non-Energy Use'!$C$16)</f>
        <v>164.53817096807006</v>
      </c>
      <c r="L38" s="883"/>
      <c r="M38" s="883"/>
      <c r="N38" s="885">
        <f t="shared" si="32"/>
        <v>0</v>
      </c>
      <c r="O38" s="883">
        <f t="shared" si="32"/>
        <v>0</v>
      </c>
      <c r="P38" s="883">
        <f t="shared" si="33"/>
        <v>1352.4058290319299</v>
      </c>
      <c r="Q38" s="883">
        <f t="shared" si="34"/>
        <v>0</v>
      </c>
      <c r="R38" s="883">
        <f t="shared" si="35"/>
        <v>0</v>
      </c>
      <c r="S38" s="886">
        <f t="shared" si="36"/>
        <v>0</v>
      </c>
      <c r="T38" s="883">
        <f t="shared" si="4"/>
        <v>1352.4058290319299</v>
      </c>
      <c r="U38" s="887">
        <f>Factors!D51</f>
        <v>18.195454545454545</v>
      </c>
      <c r="V38" s="885">
        <f t="shared" si="37"/>
        <v>0</v>
      </c>
      <c r="W38" s="883">
        <f t="shared" si="38"/>
        <v>0</v>
      </c>
      <c r="X38" s="883">
        <f t="shared" si="39"/>
        <v>24.607638789158255</v>
      </c>
      <c r="Y38" s="883">
        <f t="shared" si="40"/>
        <v>0</v>
      </c>
      <c r="Z38" s="883">
        <f t="shared" si="41"/>
        <v>0</v>
      </c>
      <c r="AA38" s="883">
        <f t="shared" si="42"/>
        <v>0</v>
      </c>
      <c r="AB38" s="883">
        <f t="shared" si="26"/>
        <v>24.607638789158255</v>
      </c>
      <c r="AC38" s="888">
        <f>Factors!E51</f>
        <v>1</v>
      </c>
      <c r="AD38" s="885">
        <f t="shared" si="49"/>
        <v>0</v>
      </c>
      <c r="AE38" s="883">
        <f t="shared" si="49"/>
        <v>0</v>
      </c>
      <c r="AF38" s="883">
        <f t="shared" si="49"/>
        <v>24.607638789158255</v>
      </c>
      <c r="AG38" s="883">
        <f t="shared" si="49"/>
        <v>0</v>
      </c>
      <c r="AH38" s="883">
        <f t="shared" si="49"/>
        <v>0</v>
      </c>
      <c r="AI38" s="883">
        <f t="shared" si="49"/>
        <v>0</v>
      </c>
      <c r="AJ38" s="889">
        <f t="shared" si="6"/>
        <v>24.607638789158255</v>
      </c>
      <c r="AK38" s="885">
        <f t="shared" si="24"/>
        <v>0</v>
      </c>
      <c r="AL38" s="883">
        <f t="shared" si="18"/>
        <v>0</v>
      </c>
      <c r="AM38" s="883">
        <f t="shared" si="19"/>
        <v>90.228008893580267</v>
      </c>
      <c r="AN38" s="883">
        <f t="shared" si="20"/>
        <v>0</v>
      </c>
      <c r="AO38" s="883">
        <f t="shared" si="21"/>
        <v>0</v>
      </c>
      <c r="AP38" s="883">
        <f t="shared" si="22"/>
        <v>0</v>
      </c>
      <c r="AQ38" s="890">
        <f t="shared" si="27"/>
        <v>90.228008893580267</v>
      </c>
    </row>
    <row r="39" spans="1:43">
      <c r="A39" s="817"/>
      <c r="B39" s="865" t="s">
        <v>1619</v>
      </c>
      <c r="C39" s="883"/>
      <c r="D39" s="883"/>
      <c r="E39" s="883">
        <f>HLOOKUP($B$2,'Consumption Input'!$E$5:$AQ$82,'Consumption Input'!$B44)</f>
        <v>106.11980800000001</v>
      </c>
      <c r="F39" s="883"/>
      <c r="G39" s="883"/>
      <c r="H39" s="883"/>
      <c r="I39" s="883">
        <f t="shared" si="48"/>
        <v>106.11980800000001</v>
      </c>
      <c r="J39" s="884"/>
      <c r="K39" s="883">
        <f>HLOOKUP($B$2,NEUConsumption,'Non-Energy Use'!$C$18)</f>
        <v>106.11980800000001</v>
      </c>
      <c r="L39" s="883"/>
      <c r="M39" s="883"/>
      <c r="N39" s="885">
        <f t="shared" si="32"/>
        <v>0</v>
      </c>
      <c r="O39" s="883">
        <f t="shared" si="32"/>
        <v>0</v>
      </c>
      <c r="P39" s="883">
        <f t="shared" si="33"/>
        <v>0</v>
      </c>
      <c r="Q39" s="883">
        <f t="shared" si="34"/>
        <v>0</v>
      </c>
      <c r="R39" s="883">
        <f t="shared" si="35"/>
        <v>0</v>
      </c>
      <c r="S39" s="886">
        <f t="shared" si="36"/>
        <v>0</v>
      </c>
      <c r="T39" s="883">
        <f t="shared" si="4"/>
        <v>0</v>
      </c>
      <c r="U39" s="887">
        <f>Factors!D37</f>
        <v>19.737389135254986</v>
      </c>
      <c r="V39" s="885">
        <f t="shared" si="37"/>
        <v>0</v>
      </c>
      <c r="W39" s="883">
        <f t="shared" si="38"/>
        <v>0</v>
      </c>
      <c r="X39" s="883">
        <f t="shared" si="39"/>
        <v>0</v>
      </c>
      <c r="Y39" s="883">
        <f t="shared" si="40"/>
        <v>0</v>
      </c>
      <c r="Z39" s="883">
        <f t="shared" si="41"/>
        <v>0</v>
      </c>
      <c r="AA39" s="883">
        <f t="shared" si="42"/>
        <v>0</v>
      </c>
      <c r="AB39" s="883">
        <f t="shared" si="26"/>
        <v>0</v>
      </c>
      <c r="AC39" s="888">
        <f>Factors!E37</f>
        <v>1</v>
      </c>
      <c r="AD39" s="885">
        <f t="shared" si="49"/>
        <v>0</v>
      </c>
      <c r="AE39" s="883">
        <f t="shared" si="49"/>
        <v>0</v>
      </c>
      <c r="AF39" s="883">
        <f t="shared" si="49"/>
        <v>0</v>
      </c>
      <c r="AG39" s="883">
        <f t="shared" si="49"/>
        <v>0</v>
      </c>
      <c r="AH39" s="883">
        <f t="shared" si="49"/>
        <v>0</v>
      </c>
      <c r="AI39" s="883">
        <f t="shared" si="49"/>
        <v>0</v>
      </c>
      <c r="AJ39" s="889">
        <f t="shared" si="6"/>
        <v>0</v>
      </c>
      <c r="AK39" s="885">
        <f t="shared" si="24"/>
        <v>0</v>
      </c>
      <c r="AL39" s="883">
        <f t="shared" si="18"/>
        <v>0</v>
      </c>
      <c r="AM39" s="883">
        <f t="shared" si="19"/>
        <v>0</v>
      </c>
      <c r="AN39" s="883">
        <f t="shared" si="20"/>
        <v>0</v>
      </c>
      <c r="AO39" s="883">
        <f t="shared" si="21"/>
        <v>0</v>
      </c>
      <c r="AP39" s="883">
        <f t="shared" si="22"/>
        <v>0</v>
      </c>
      <c r="AQ39" s="890">
        <f t="shared" si="27"/>
        <v>0</v>
      </c>
    </row>
    <row r="40" spans="1:43">
      <c r="A40" s="817"/>
      <c r="B40" s="865" t="s">
        <v>1620</v>
      </c>
      <c r="C40" s="883"/>
      <c r="D40" s="883"/>
      <c r="E40" s="883">
        <f>HLOOKUP($B$2,'Consumption Input'!$E$5:$AQ$82,'Consumption Input'!$B45)</f>
        <v>0</v>
      </c>
      <c r="F40" s="883"/>
      <c r="G40" s="883"/>
      <c r="H40" s="883"/>
      <c r="I40" s="883">
        <f t="shared" si="48"/>
        <v>0</v>
      </c>
      <c r="J40" s="884"/>
      <c r="K40" s="883"/>
      <c r="L40" s="883"/>
      <c r="M40" s="883"/>
      <c r="N40" s="885">
        <f t="shared" si="32"/>
        <v>0</v>
      </c>
      <c r="O40" s="883">
        <f t="shared" si="32"/>
        <v>0</v>
      </c>
      <c r="P40" s="883">
        <f t="shared" si="33"/>
        <v>0</v>
      </c>
      <c r="Q40" s="883">
        <f t="shared" si="34"/>
        <v>0</v>
      </c>
      <c r="R40" s="883">
        <f t="shared" si="35"/>
        <v>0</v>
      </c>
      <c r="S40" s="886">
        <f t="shared" si="36"/>
        <v>0</v>
      </c>
      <c r="T40" s="883">
        <f t="shared" si="4"/>
        <v>0</v>
      </c>
      <c r="U40" s="887">
        <f>HLOOKUP($B$2,Factors!$J$12:$BE$25,Factors!$H24,FALSE)</f>
        <v>20.305515594827586</v>
      </c>
      <c r="V40" s="885">
        <f t="shared" si="37"/>
        <v>0</v>
      </c>
      <c r="W40" s="883">
        <f t="shared" si="38"/>
        <v>0</v>
      </c>
      <c r="X40" s="883">
        <f t="shared" si="39"/>
        <v>0</v>
      </c>
      <c r="Y40" s="883">
        <f t="shared" si="40"/>
        <v>0</v>
      </c>
      <c r="Z40" s="883">
        <f t="shared" si="41"/>
        <v>0</v>
      </c>
      <c r="AA40" s="883">
        <f t="shared" si="42"/>
        <v>0</v>
      </c>
      <c r="AB40" s="883">
        <f t="shared" si="26"/>
        <v>0</v>
      </c>
      <c r="AC40" s="888">
        <f>Factors!E53</f>
        <v>1</v>
      </c>
      <c r="AD40" s="885">
        <f t="shared" si="49"/>
        <v>0</v>
      </c>
      <c r="AE40" s="883">
        <f t="shared" si="49"/>
        <v>0</v>
      </c>
      <c r="AF40" s="883">
        <f t="shared" si="49"/>
        <v>0</v>
      </c>
      <c r="AG40" s="883">
        <f t="shared" si="49"/>
        <v>0</v>
      </c>
      <c r="AH40" s="883">
        <f t="shared" si="49"/>
        <v>0</v>
      </c>
      <c r="AI40" s="883">
        <f t="shared" si="49"/>
        <v>0</v>
      </c>
      <c r="AJ40" s="889">
        <f t="shared" si="6"/>
        <v>0</v>
      </c>
      <c r="AK40" s="885">
        <f t="shared" si="24"/>
        <v>0</v>
      </c>
      <c r="AL40" s="883">
        <f t="shared" si="18"/>
        <v>0</v>
      </c>
      <c r="AM40" s="883">
        <f t="shared" si="19"/>
        <v>0</v>
      </c>
      <c r="AN40" s="883">
        <f t="shared" si="20"/>
        <v>0</v>
      </c>
      <c r="AO40" s="883">
        <f t="shared" si="21"/>
        <v>0</v>
      </c>
      <c r="AP40" s="883">
        <f t="shared" si="22"/>
        <v>0</v>
      </c>
      <c r="AQ40" s="890">
        <f t="shared" si="27"/>
        <v>0</v>
      </c>
    </row>
    <row r="41" spans="1:43">
      <c r="A41" s="817"/>
      <c r="B41" s="865" t="s">
        <v>1621</v>
      </c>
      <c r="C41" s="883"/>
      <c r="D41" s="883"/>
      <c r="E41" s="883">
        <f>HLOOKUP($B$2,'Consumption Input'!$E$5:$AQ$82,'Consumption Input'!$B46)</f>
        <v>14.783479928</v>
      </c>
      <c r="F41" s="883"/>
      <c r="G41" s="883"/>
      <c r="H41" s="883"/>
      <c r="I41" s="883">
        <f t="shared" si="48"/>
        <v>14.783479928</v>
      </c>
      <c r="J41" s="884"/>
      <c r="K41" s="883">
        <f>HLOOKUP($B$2,NEUConsumption,'Non-Energy Use'!$C$21)</f>
        <v>14.783479928</v>
      </c>
      <c r="L41" s="883"/>
      <c r="M41" s="883"/>
      <c r="N41" s="885">
        <f t="shared" si="32"/>
        <v>0</v>
      </c>
      <c r="O41" s="883">
        <f t="shared" si="32"/>
        <v>0</v>
      </c>
      <c r="P41" s="883">
        <f t="shared" si="33"/>
        <v>0</v>
      </c>
      <c r="Q41" s="883">
        <f t="shared" si="34"/>
        <v>0</v>
      </c>
      <c r="R41" s="883">
        <f t="shared" si="35"/>
        <v>0</v>
      </c>
      <c r="S41" s="886">
        <f t="shared" si="36"/>
        <v>0</v>
      </c>
      <c r="T41" s="883">
        <f t="shared" si="4"/>
        <v>0</v>
      </c>
      <c r="U41" s="887">
        <f>Factors!D55</f>
        <v>19.795754182606267</v>
      </c>
      <c r="V41" s="899">
        <f t="shared" si="37"/>
        <v>0</v>
      </c>
      <c r="W41" s="900">
        <f t="shared" si="38"/>
        <v>0</v>
      </c>
      <c r="X41" s="900">
        <f t="shared" si="39"/>
        <v>0</v>
      </c>
      <c r="Y41" s="900">
        <f t="shared" si="40"/>
        <v>0</v>
      </c>
      <c r="Z41" s="900">
        <f t="shared" si="41"/>
        <v>0</v>
      </c>
      <c r="AA41" s="900">
        <f t="shared" si="42"/>
        <v>0</v>
      </c>
      <c r="AB41" s="883">
        <f t="shared" si="26"/>
        <v>0</v>
      </c>
      <c r="AC41" s="888">
        <f>Factors!E55</f>
        <v>1</v>
      </c>
      <c r="AD41" s="885">
        <f t="shared" si="49"/>
        <v>0</v>
      </c>
      <c r="AE41" s="883">
        <f t="shared" si="49"/>
        <v>0</v>
      </c>
      <c r="AF41" s="883">
        <f t="shared" si="49"/>
        <v>0</v>
      </c>
      <c r="AG41" s="883">
        <f t="shared" si="49"/>
        <v>0</v>
      </c>
      <c r="AH41" s="883">
        <f t="shared" si="49"/>
        <v>0</v>
      </c>
      <c r="AI41" s="883">
        <f t="shared" si="49"/>
        <v>0</v>
      </c>
      <c r="AJ41" s="889">
        <f t="shared" si="6"/>
        <v>0</v>
      </c>
      <c r="AK41" s="885">
        <f t="shared" si="24"/>
        <v>0</v>
      </c>
      <c r="AL41" s="883">
        <f t="shared" si="18"/>
        <v>0</v>
      </c>
      <c r="AM41" s="883">
        <f t="shared" si="19"/>
        <v>0</v>
      </c>
      <c r="AN41" s="883">
        <f t="shared" si="20"/>
        <v>0</v>
      </c>
      <c r="AO41" s="883">
        <f t="shared" si="21"/>
        <v>0</v>
      </c>
      <c r="AP41" s="883">
        <f t="shared" si="22"/>
        <v>0</v>
      </c>
      <c r="AQ41" s="890">
        <f t="shared" si="27"/>
        <v>0</v>
      </c>
    </row>
    <row r="42" spans="1:43" ht="11.1" thickBot="1">
      <c r="A42" s="817"/>
      <c r="B42" s="866" t="s">
        <v>82</v>
      </c>
      <c r="C42" s="917"/>
      <c r="D42" s="917"/>
      <c r="E42" s="917"/>
      <c r="F42" s="917"/>
      <c r="G42" s="917">
        <f>INDEX(Geothermal!$C$6:$AE$10,MATCH("Total",Geothermal!$C$6:$C$10,0),MATCH($B$2,Geothermal!$C$6:$AE$6,0))/Factors!$J$61*Factors!$J$55/BBtuToBtu*BBtuToTBtu</f>
        <v>54.172122691999995</v>
      </c>
      <c r="H42" s="917"/>
      <c r="I42" s="917">
        <f>G42</f>
        <v>54.172122691999995</v>
      </c>
      <c r="J42" s="918"/>
      <c r="K42" s="919"/>
      <c r="L42" s="917"/>
      <c r="M42" s="920"/>
      <c r="N42" s="917">
        <f t="shared" si="32"/>
        <v>0</v>
      </c>
      <c r="O42" s="917">
        <f t="shared" si="32"/>
        <v>0</v>
      </c>
      <c r="P42" s="917">
        <f>E42</f>
        <v>0</v>
      </c>
      <c r="Q42" s="917">
        <f>F42</f>
        <v>0</v>
      </c>
      <c r="R42" s="917">
        <f t="shared" si="35"/>
        <v>54.172122691999995</v>
      </c>
      <c r="S42" s="917">
        <f>H42</f>
        <v>0</v>
      </c>
      <c r="T42" s="917">
        <f t="shared" si="4"/>
        <v>54.172122691999995</v>
      </c>
      <c r="U42" s="921">
        <f>Factors!D56</f>
        <v>2.6974658424810825</v>
      </c>
      <c r="V42" s="917"/>
      <c r="W42" s="917"/>
      <c r="X42" s="917"/>
      <c r="Y42" s="917"/>
      <c r="Z42" s="917">
        <f>INDEX(Geothermal!$C$14:$AE$18,MATCH("Total",Geothermal!$C$14:$C$18,0),MATCH($B$2,Geothermal!$C$14:$AE$14,0))/CtoCO2</f>
        <v>0.11544529374324002</v>
      </c>
      <c r="AA42" s="917"/>
      <c r="AB42" s="917">
        <f t="shared" si="26"/>
        <v>0.11544529374324002</v>
      </c>
      <c r="AC42" s="921">
        <f>Factors!$E$56</f>
        <v>1</v>
      </c>
      <c r="AD42" s="917">
        <f t="shared" si="49"/>
        <v>0</v>
      </c>
      <c r="AE42" s="917">
        <f t="shared" si="49"/>
        <v>0</v>
      </c>
      <c r="AF42" s="917">
        <f t="shared" si="49"/>
        <v>0</v>
      </c>
      <c r="AG42" s="917">
        <f t="shared" si="49"/>
        <v>0</v>
      </c>
      <c r="AH42" s="917">
        <f t="shared" si="49"/>
        <v>0.11544529374324002</v>
      </c>
      <c r="AI42" s="917">
        <f t="shared" si="49"/>
        <v>0</v>
      </c>
      <c r="AJ42" s="920">
        <f t="shared" si="6"/>
        <v>0.11544529374324002</v>
      </c>
      <c r="AK42" s="919">
        <f t="shared" si="24"/>
        <v>0</v>
      </c>
      <c r="AL42" s="917">
        <f t="shared" si="18"/>
        <v>0</v>
      </c>
      <c r="AM42" s="917">
        <f t="shared" si="19"/>
        <v>0</v>
      </c>
      <c r="AN42" s="917">
        <f t="shared" si="20"/>
        <v>0</v>
      </c>
      <c r="AO42" s="917">
        <f t="shared" si="21"/>
        <v>0.42329941039188002</v>
      </c>
      <c r="AP42" s="917">
        <f t="shared" si="22"/>
        <v>0</v>
      </c>
      <c r="AQ42" s="920">
        <f t="shared" si="27"/>
        <v>0.42329941039188002</v>
      </c>
    </row>
    <row r="43" spans="1:43" ht="11.1" thickBot="1">
      <c r="A43" s="817"/>
      <c r="B43" s="867" t="s">
        <v>1740</v>
      </c>
      <c r="C43" s="922">
        <f>C8+C17+C18+C42</f>
        <v>6248.3324064308654</v>
      </c>
      <c r="D43" s="922">
        <f>D8+D17+D18+D42</f>
        <v>4171.9946318551629</v>
      </c>
      <c r="E43" s="922">
        <f>E8+E17+E18+E42</f>
        <v>17920.588344912008</v>
      </c>
      <c r="F43" s="922">
        <f>F8+F17+F18+F42</f>
        <v>25603.865218706473</v>
      </c>
      <c r="G43" s="922">
        <f>G8+G17+G18+G42</f>
        <v>25138.722122692005</v>
      </c>
      <c r="H43" s="922">
        <f>H16+H17+H18+H42</f>
        <v>407.58329101829059</v>
      </c>
      <c r="I43" s="922">
        <f>SUM(C43:H43)</f>
        <v>79491.086015614812</v>
      </c>
      <c r="J43" s="923">
        <f t="shared" ref="J43:S43" si="50">J8+J17+J18+J42</f>
        <v>1440.0144883497101</v>
      </c>
      <c r="K43" s="924">
        <f t="shared" si="50"/>
        <v>4680.4434521790581</v>
      </c>
      <c r="L43" s="922">
        <f t="shared" si="50"/>
        <v>149.36099999999999</v>
      </c>
      <c r="M43" s="925">
        <f t="shared" si="50"/>
        <v>10.65345324133561</v>
      </c>
      <c r="N43" s="922">
        <f t="shared" si="50"/>
        <v>6248.3324064308654</v>
      </c>
      <c r="O43" s="922">
        <f t="shared" si="50"/>
        <v>4171.9946318551629</v>
      </c>
      <c r="P43" s="922">
        <f t="shared" si="50"/>
        <v>13240.144892732953</v>
      </c>
      <c r="Q43" s="922">
        <f t="shared" si="50"/>
        <v>24014.489730356763</v>
      </c>
      <c r="R43" s="922">
        <f t="shared" si="50"/>
        <v>25138.722122692005</v>
      </c>
      <c r="S43" s="922">
        <f t="shared" si="50"/>
        <v>396.92983777695497</v>
      </c>
      <c r="T43" s="922">
        <f>SUM(N43:S43)</f>
        <v>73210.613621844706</v>
      </c>
      <c r="U43" s="926" t="s">
        <v>1731</v>
      </c>
      <c r="V43" s="922">
        <f t="shared" ref="V43:AA43" si="51">V8+V17+V18+V42</f>
        <v>94.563789781422187</v>
      </c>
      <c r="W43" s="922">
        <f t="shared" si="51"/>
        <v>63.423321922144694</v>
      </c>
      <c r="X43" s="922">
        <f t="shared" si="51"/>
        <v>222.83158166893628</v>
      </c>
      <c r="Y43" s="922">
        <f t="shared" si="51"/>
        <v>465.64001719576419</v>
      </c>
      <c r="Z43" s="922">
        <f t="shared" si="51"/>
        <v>555.59068607614552</v>
      </c>
      <c r="AA43" s="922">
        <f t="shared" si="51"/>
        <v>7.7122504581793212</v>
      </c>
      <c r="AB43" s="922">
        <f t="shared" si="26"/>
        <v>1409.7616471025922</v>
      </c>
      <c r="AC43" s="926" t="s">
        <v>1731</v>
      </c>
      <c r="AD43" s="922">
        <f t="shared" ref="AD43:AQ43" si="52">AD8+AD17+AD18+AD42</f>
        <v>94.563789781422187</v>
      </c>
      <c r="AE43" s="922">
        <f t="shared" si="52"/>
        <v>63.423321922144694</v>
      </c>
      <c r="AF43" s="922">
        <f t="shared" si="52"/>
        <v>222.83158166893628</v>
      </c>
      <c r="AG43" s="922">
        <f t="shared" si="52"/>
        <v>465.64001719576419</v>
      </c>
      <c r="AH43" s="922">
        <f t="shared" si="52"/>
        <v>555.59068607614552</v>
      </c>
      <c r="AI43" s="922">
        <f t="shared" si="52"/>
        <v>7.7122504581793212</v>
      </c>
      <c r="AJ43" s="925">
        <f t="shared" si="52"/>
        <v>1409.7616471025922</v>
      </c>
      <c r="AK43" s="922">
        <f t="shared" si="52"/>
        <v>346.73389586521466</v>
      </c>
      <c r="AL43" s="922">
        <f t="shared" si="52"/>
        <v>232.55218038119722</v>
      </c>
      <c r="AM43" s="922">
        <f t="shared" si="52"/>
        <v>817.04913278609956</v>
      </c>
      <c r="AN43" s="922">
        <f t="shared" si="52"/>
        <v>1707.346729717802</v>
      </c>
      <c r="AO43" s="922">
        <f t="shared" si="52"/>
        <v>2037.1658489458664</v>
      </c>
      <c r="AP43" s="922">
        <f t="shared" si="52"/>
        <v>28.278251679990841</v>
      </c>
      <c r="AQ43" s="925">
        <f t="shared" si="52"/>
        <v>5169.1260393761713</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8"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ransitionEvaluation="1" transitionEntry="1" codeName="Sheet47">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10"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41" width="9.6640625" customWidth="1"/>
    <col min="42" max="42" width="9" bestFit="1" customWidth="1"/>
    <col min="43" max="43" width="10"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2015</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1768</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S4+1</f>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ht="12.6">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1767</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56.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31.119</v>
      </c>
      <c r="E8" s="876">
        <f t="shared" si="1"/>
        <v>865.68984281719759</v>
      </c>
      <c r="F8" s="876">
        <f t="shared" si="1"/>
        <v>0</v>
      </c>
      <c r="G8" s="876">
        <f t="shared" si="1"/>
        <v>14138.249999999998</v>
      </c>
      <c r="H8" s="876">
        <f t="shared" si="1"/>
        <v>35.908837411646324</v>
      </c>
      <c r="I8" s="876">
        <f t="shared" ref="I8:I13" si="2">SUM(C8:H8)</f>
        <v>15070.967680228841</v>
      </c>
      <c r="J8" s="877"/>
      <c r="K8" s="876">
        <f>SUM(K9:K16)</f>
        <v>131.85212235530366</v>
      </c>
      <c r="L8" s="876">
        <f>SUM(L9:L16)</f>
        <v>0</v>
      </c>
      <c r="M8" s="876"/>
      <c r="N8" s="878">
        <f t="shared" ref="N8:S8" si="3">SUM(N9:N16)</f>
        <v>0</v>
      </c>
      <c r="O8" s="876">
        <f t="shared" si="3"/>
        <v>31.119</v>
      </c>
      <c r="P8" s="876">
        <f t="shared" si="3"/>
        <v>733.83772046189381</v>
      </c>
      <c r="Q8" s="876">
        <f t="shared" si="3"/>
        <v>0</v>
      </c>
      <c r="R8" s="876">
        <f t="shared" si="3"/>
        <v>14138.249999999998</v>
      </c>
      <c r="S8" s="879">
        <f t="shared" si="3"/>
        <v>35.908837411646324</v>
      </c>
      <c r="T8" s="876">
        <f t="shared" ref="T8:T42" si="4">SUM(N8:S8)</f>
        <v>14939.115557873538</v>
      </c>
      <c r="U8" s="880" t="s">
        <v>1731</v>
      </c>
      <c r="V8" s="876">
        <f t="shared" ref="V8:AA8" si="5">SUM(V9:V16)</f>
        <v>0</v>
      </c>
      <c r="W8" s="876">
        <f t="shared" si="5"/>
        <v>0.80851967060934637</v>
      </c>
      <c r="X8" s="876">
        <f t="shared" si="5"/>
        <v>19.082837434853975</v>
      </c>
      <c r="Y8" s="876">
        <f t="shared" si="5"/>
        <v>0</v>
      </c>
      <c r="Z8" s="876">
        <f t="shared" si="5"/>
        <v>368.5604758948889</v>
      </c>
      <c r="AA8" s="876">
        <f t="shared" si="5"/>
        <v>0.90274817252878858</v>
      </c>
      <c r="AB8" s="876">
        <f t="shared" ref="AB8:AB14" si="6">SUM(V8:AA8)</f>
        <v>389.35458117288101</v>
      </c>
      <c r="AC8" s="881" t="s">
        <v>1731</v>
      </c>
      <c r="AD8" s="878">
        <f t="shared" ref="AD8:AI8" si="7">SUM(AD9:AD16)</f>
        <v>0</v>
      </c>
      <c r="AE8" s="876">
        <f t="shared" si="7"/>
        <v>0.80851967060934637</v>
      </c>
      <c r="AF8" s="876">
        <f t="shared" si="7"/>
        <v>19.082837434853975</v>
      </c>
      <c r="AG8" s="876" t="s">
        <v>108</v>
      </c>
      <c r="AH8" s="876">
        <f t="shared" si="7"/>
        <v>368.5604758948889</v>
      </c>
      <c r="AI8" s="876">
        <f t="shared" si="7"/>
        <v>0.90274817252878858</v>
      </c>
      <c r="AJ8" s="876">
        <f t="shared" ref="AJ8:AJ42" si="8">SUM(AD8:AI8)</f>
        <v>389.35458117288101</v>
      </c>
      <c r="AK8" s="878">
        <f t="shared" ref="AK8:AP8" si="9">SUM(AK9:AK16)</f>
        <v>0</v>
      </c>
      <c r="AL8" s="876">
        <f t="shared" si="9"/>
        <v>2.9645721255676034</v>
      </c>
      <c r="AM8" s="876">
        <f t="shared" si="9"/>
        <v>69.970403927797904</v>
      </c>
      <c r="AN8" s="876">
        <f t="shared" si="9"/>
        <v>0</v>
      </c>
      <c r="AO8" s="876">
        <f t="shared" si="9"/>
        <v>1351.3884116145925</v>
      </c>
      <c r="AP8" s="876">
        <f t="shared" si="9"/>
        <v>3.3100766326055582</v>
      </c>
      <c r="AQ8" s="882">
        <f t="shared" ref="AQ8:AQ14" si="10">SUM(AK8:AP8)</f>
        <v>1427.6334643005637</v>
      </c>
    </row>
    <row r="9" spans="1:43">
      <c r="A9" s="817"/>
      <c r="B9" s="860" t="s">
        <v>1732</v>
      </c>
      <c r="C9" s="883">
        <f>HLOOKUP($B$2,'Consumption Input'!$E$5:$AQ$82,'Consumption Input'!$B7)</f>
        <v>0</v>
      </c>
      <c r="D9" s="883"/>
      <c r="E9" s="883"/>
      <c r="F9" s="883"/>
      <c r="G9" s="883"/>
      <c r="H9" s="883"/>
      <c r="I9" s="883">
        <f t="shared" si="2"/>
        <v>0</v>
      </c>
      <c r="J9" s="884"/>
      <c r="K9" s="883"/>
      <c r="L9" s="883"/>
      <c r="M9" s="883"/>
      <c r="N9" s="885">
        <f t="shared" ref="N9:O17" si="11">C9</f>
        <v>0</v>
      </c>
      <c r="O9" s="883">
        <f t="shared" si="11"/>
        <v>0</v>
      </c>
      <c r="P9" s="883">
        <f t="shared" ref="P9:P17" si="12">E9-K9</f>
        <v>0</v>
      </c>
      <c r="Q9" s="883">
        <f t="shared" ref="Q9:S17" si="13">F9</f>
        <v>0</v>
      </c>
      <c r="R9" s="883">
        <f t="shared" si="13"/>
        <v>0</v>
      </c>
      <c r="S9" s="886">
        <f t="shared" si="13"/>
        <v>0</v>
      </c>
      <c r="T9" s="883">
        <f t="shared" si="4"/>
        <v>0</v>
      </c>
      <c r="U9" s="887">
        <f>HLOOKUP($B$2,Factors!$J$12:$BE$25,Factors!$H13,FALSE)</f>
        <v>25.981544092334147</v>
      </c>
      <c r="V9" s="885">
        <f t="shared" ref="V9:V17" si="14">N9*$U9*TbtuToQBtu</f>
        <v>0</v>
      </c>
      <c r="W9" s="883">
        <f t="shared" ref="W9:W17" si="15">O9*$U9*TbtuToQBtu</f>
        <v>0</v>
      </c>
      <c r="X9" s="883">
        <f t="shared" ref="X9:X17" si="16">P9*$U9*TbtuToQBtu</f>
        <v>0</v>
      </c>
      <c r="Y9" s="883">
        <f t="shared" ref="Y9:Y17" si="17">Q9*$U9*TbtuToQBtu</f>
        <v>0</v>
      </c>
      <c r="Z9" s="883">
        <f t="shared" ref="Z9:Z17" si="18">R9*$U9*TbtuToQBtu</f>
        <v>0</v>
      </c>
      <c r="AA9" s="883">
        <f t="shared" ref="AA9:AA17" si="19">S9*$U9*TbtuToQBtu</f>
        <v>0</v>
      </c>
      <c r="AB9" s="883">
        <f t="shared" si="6"/>
        <v>0</v>
      </c>
      <c r="AC9" s="888">
        <f>Factors!E10</f>
        <v>1</v>
      </c>
      <c r="AD9" s="885">
        <f t="shared" ref="AD9:AI17" si="20">V9*$AC9</f>
        <v>0</v>
      </c>
      <c r="AE9" s="883">
        <f t="shared" si="20"/>
        <v>0</v>
      </c>
      <c r="AF9" s="883">
        <f t="shared" si="20"/>
        <v>0</v>
      </c>
      <c r="AG9" s="883">
        <f t="shared" si="20"/>
        <v>0</v>
      </c>
      <c r="AH9" s="883">
        <f t="shared" si="20"/>
        <v>0</v>
      </c>
      <c r="AI9" s="883">
        <f t="shared" si="20"/>
        <v>0</v>
      </c>
      <c r="AJ9" s="889">
        <f t="shared" si="8"/>
        <v>0</v>
      </c>
      <c r="AK9" s="885">
        <f>AD9*CtoCO2</f>
        <v>0</v>
      </c>
      <c r="AL9" s="883">
        <f t="shared" ref="AL9:AL42" si="21">AE9*CtoCO2</f>
        <v>0</v>
      </c>
      <c r="AM9" s="883">
        <f t="shared" ref="AM9:AM42" si="22">AF9*CtoCO2</f>
        <v>0</v>
      </c>
      <c r="AN9" s="883">
        <f t="shared" ref="AN9:AN42" si="23">AG9*CtoCO2</f>
        <v>0</v>
      </c>
      <c r="AO9" s="883">
        <f t="shared" ref="AO9:AO42" si="24">AH9*CtoCO2</f>
        <v>0</v>
      </c>
      <c r="AP9" s="883">
        <f t="shared" ref="AP9:AP42" si="25">AI9*CtoCO2</f>
        <v>0</v>
      </c>
      <c r="AQ9" s="890">
        <f t="shared" si="10"/>
        <v>0</v>
      </c>
    </row>
    <row r="10" spans="1:43">
      <c r="A10" s="817"/>
      <c r="B10" s="860" t="s">
        <v>1733</v>
      </c>
      <c r="C10" s="883"/>
      <c r="D10" s="883">
        <f>HLOOKUP($B$2,'Consumption Input'!$E$5:$AQ$82,'Consumption Input'!$B13)</f>
        <v>31.119</v>
      </c>
      <c r="E10" s="883"/>
      <c r="F10" s="883"/>
      <c r="G10" s="883"/>
      <c r="H10" s="883"/>
      <c r="I10" s="883">
        <f t="shared" si="2"/>
        <v>31.119</v>
      </c>
      <c r="J10" s="884"/>
      <c r="K10" s="883"/>
      <c r="L10" s="883"/>
      <c r="M10" s="883"/>
      <c r="N10" s="885">
        <f t="shared" si="11"/>
        <v>0</v>
      </c>
      <c r="O10" s="883">
        <f t="shared" si="11"/>
        <v>31.119</v>
      </c>
      <c r="P10" s="883">
        <f t="shared" si="12"/>
        <v>0</v>
      </c>
      <c r="Q10" s="883">
        <f t="shared" si="13"/>
        <v>0</v>
      </c>
      <c r="R10" s="883">
        <f t="shared" si="13"/>
        <v>0</v>
      </c>
      <c r="S10" s="886">
        <f t="shared" si="13"/>
        <v>0</v>
      </c>
      <c r="T10" s="883">
        <f t="shared" si="4"/>
        <v>31.119</v>
      </c>
      <c r="U10" s="887">
        <f>HLOOKUP($B$2,Factors!$J$12:$BE$25,Factors!$H14,FALSE)</f>
        <v>25.981544092334147</v>
      </c>
      <c r="V10" s="885">
        <f t="shared" si="14"/>
        <v>0</v>
      </c>
      <c r="W10" s="883">
        <f t="shared" si="15"/>
        <v>0.80851967060934637</v>
      </c>
      <c r="X10" s="883">
        <f t="shared" si="16"/>
        <v>0</v>
      </c>
      <c r="Y10" s="883">
        <f t="shared" si="17"/>
        <v>0</v>
      </c>
      <c r="Z10" s="883">
        <f t="shared" si="18"/>
        <v>0</v>
      </c>
      <c r="AA10" s="883">
        <f t="shared" si="19"/>
        <v>0</v>
      </c>
      <c r="AB10" s="883">
        <f t="shared" si="6"/>
        <v>0.80851967060934637</v>
      </c>
      <c r="AC10" s="888">
        <f>Factors!E11</f>
        <v>1</v>
      </c>
      <c r="AD10" s="885">
        <f t="shared" si="20"/>
        <v>0</v>
      </c>
      <c r="AE10" s="883">
        <f t="shared" si="20"/>
        <v>0.80851967060934637</v>
      </c>
      <c r="AF10" s="883">
        <f t="shared" si="20"/>
        <v>0</v>
      </c>
      <c r="AG10" s="883">
        <f t="shared" si="20"/>
        <v>0</v>
      </c>
      <c r="AH10" s="883">
        <f t="shared" si="20"/>
        <v>0</v>
      </c>
      <c r="AI10" s="883">
        <f t="shared" si="20"/>
        <v>0</v>
      </c>
      <c r="AJ10" s="889">
        <f t="shared" si="8"/>
        <v>0.80851967060934637</v>
      </c>
      <c r="AK10" s="885">
        <f t="shared" ref="AK10:AK42" si="26">AD10*CtoCO2</f>
        <v>0</v>
      </c>
      <c r="AL10" s="883">
        <f t="shared" si="21"/>
        <v>2.9645721255676034</v>
      </c>
      <c r="AM10" s="883">
        <f t="shared" si="22"/>
        <v>0</v>
      </c>
      <c r="AN10" s="883">
        <f t="shared" si="23"/>
        <v>0</v>
      </c>
      <c r="AO10" s="883">
        <f t="shared" si="24"/>
        <v>0</v>
      </c>
      <c r="AP10" s="883">
        <f t="shared" si="25"/>
        <v>0</v>
      </c>
      <c r="AQ10" s="890">
        <f t="shared" si="10"/>
        <v>2.9645721255676034</v>
      </c>
    </row>
    <row r="11" spans="1:43" s="244" customFormat="1" hidden="1">
      <c r="A11" s="861"/>
      <c r="B11" s="862" t="s">
        <v>1734</v>
      </c>
      <c r="C11" s="891"/>
      <c r="D11" s="891"/>
      <c r="E11" s="891">
        <f>HLOOKUP($B$2,'Consumption Input'!$E$5:$AQ$82,'Consumption Input'!$B23)</f>
        <v>122.35139828043901</v>
      </c>
      <c r="F11" s="891"/>
      <c r="G11" s="891"/>
      <c r="H11" s="891"/>
      <c r="I11" s="891">
        <f t="shared" si="2"/>
        <v>122.35139828043901</v>
      </c>
      <c r="J11" s="892"/>
      <c r="K11" s="891">
        <f>HLOOKUP($B$2,NEUConsumption,'Non-Energy Use'!$C$7)</f>
        <v>122.35139828043901</v>
      </c>
      <c r="L11" s="891"/>
      <c r="M11" s="891"/>
      <c r="N11" s="893">
        <f t="shared" si="11"/>
        <v>0</v>
      </c>
      <c r="O11" s="891">
        <f t="shared" si="11"/>
        <v>0</v>
      </c>
      <c r="P11" s="891">
        <f t="shared" si="12"/>
        <v>0</v>
      </c>
      <c r="Q11" s="891">
        <f t="shared" si="13"/>
        <v>0</v>
      </c>
      <c r="R11" s="891">
        <f t="shared" si="13"/>
        <v>0</v>
      </c>
      <c r="S11" s="894">
        <f t="shared" si="13"/>
        <v>0</v>
      </c>
      <c r="T11" s="891">
        <f t="shared" si="4"/>
        <v>0</v>
      </c>
      <c r="U11" s="1013">
        <f>HLOOKUP($B$2,Factors!$J$12:$BE$28,Factors!$H28,FALSE)</f>
        <v>25.569057482176802</v>
      </c>
      <c r="V11" s="893">
        <f t="shared" si="14"/>
        <v>0</v>
      </c>
      <c r="W11" s="891">
        <f t="shared" si="15"/>
        <v>0</v>
      </c>
      <c r="X11" s="891">
        <f t="shared" si="16"/>
        <v>0</v>
      </c>
      <c r="Y11" s="891">
        <f t="shared" si="17"/>
        <v>0</v>
      </c>
      <c r="Z11" s="891">
        <f t="shared" si="18"/>
        <v>0</v>
      </c>
      <c r="AA11" s="891">
        <f t="shared" si="19"/>
        <v>0</v>
      </c>
      <c r="AB11" s="891">
        <f t="shared" si="6"/>
        <v>0</v>
      </c>
      <c r="AC11" s="896">
        <f>Factors!E12</f>
        <v>1</v>
      </c>
      <c r="AD11" s="893">
        <f t="shared" si="20"/>
        <v>0</v>
      </c>
      <c r="AE11" s="891">
        <f t="shared" si="20"/>
        <v>0</v>
      </c>
      <c r="AF11" s="891">
        <f t="shared" si="20"/>
        <v>0</v>
      </c>
      <c r="AG11" s="891">
        <f t="shared" si="20"/>
        <v>0</v>
      </c>
      <c r="AH11" s="891">
        <f t="shared" si="20"/>
        <v>0</v>
      </c>
      <c r="AI11" s="891">
        <f t="shared" si="20"/>
        <v>0</v>
      </c>
      <c r="AJ11" s="897">
        <f t="shared" si="8"/>
        <v>0</v>
      </c>
      <c r="AK11" s="893">
        <f t="shared" si="26"/>
        <v>0</v>
      </c>
      <c r="AL11" s="891">
        <f t="shared" si="21"/>
        <v>0</v>
      </c>
      <c r="AM11" s="891">
        <f t="shared" si="22"/>
        <v>0</v>
      </c>
      <c r="AN11" s="891">
        <f t="shared" si="23"/>
        <v>0</v>
      </c>
      <c r="AO11" s="891">
        <f t="shared" si="24"/>
        <v>0</v>
      </c>
      <c r="AP11" s="891">
        <f t="shared" si="25"/>
        <v>0</v>
      </c>
      <c r="AQ11" s="898">
        <f t="shared" si="10"/>
        <v>0</v>
      </c>
    </row>
    <row r="12" spans="1:43">
      <c r="A12" s="817"/>
      <c r="B12" s="860" t="s">
        <v>1701</v>
      </c>
      <c r="C12" s="883"/>
      <c r="D12" s="883"/>
      <c r="E12" s="883">
        <f>HLOOKUP($B$2,'Consumption Input'!$E$5:$AQ$82,'Consumption Input'!$B24)</f>
        <v>743.33844453675852</v>
      </c>
      <c r="F12" s="883"/>
      <c r="G12" s="883"/>
      <c r="H12" s="883"/>
      <c r="I12" s="883">
        <f t="shared" si="2"/>
        <v>743.33844453675852</v>
      </c>
      <c r="J12" s="884"/>
      <c r="K12" s="883">
        <f>HLOOKUP($B$2,NEUConsumption,'Non-Energy Use'!$C$8)</f>
        <v>9.5007240748646513</v>
      </c>
      <c r="L12" s="883"/>
      <c r="M12" s="883"/>
      <c r="N12" s="885">
        <f t="shared" si="11"/>
        <v>0</v>
      </c>
      <c r="O12" s="883">
        <f t="shared" si="11"/>
        <v>0</v>
      </c>
      <c r="P12" s="883">
        <f t="shared" si="12"/>
        <v>733.83772046189381</v>
      </c>
      <c r="Q12" s="883">
        <f t="shared" si="13"/>
        <v>0</v>
      </c>
      <c r="R12" s="883">
        <f t="shared" si="13"/>
        <v>0</v>
      </c>
      <c r="S12" s="886">
        <f t="shared" si="13"/>
        <v>0</v>
      </c>
      <c r="T12" s="883">
        <f t="shared" si="4"/>
        <v>733.83772046189381</v>
      </c>
      <c r="U12" s="887">
        <f>HLOOKUP($B$2,Factors!$J$12:$BE$25,Factors!$H15,FALSE)</f>
        <v>26.004165366210408</v>
      </c>
      <c r="V12" s="885">
        <f t="shared" si="14"/>
        <v>0</v>
      </c>
      <c r="W12" s="883">
        <f t="shared" si="15"/>
        <v>0</v>
      </c>
      <c r="X12" s="883">
        <f t="shared" si="16"/>
        <v>19.082837434853975</v>
      </c>
      <c r="Y12" s="883">
        <f t="shared" si="17"/>
        <v>0</v>
      </c>
      <c r="Z12" s="883">
        <f t="shared" si="18"/>
        <v>0</v>
      </c>
      <c r="AA12" s="883">
        <f t="shared" si="19"/>
        <v>0</v>
      </c>
      <c r="AB12" s="883">
        <f t="shared" si="6"/>
        <v>19.082837434853975</v>
      </c>
      <c r="AC12" s="888">
        <f>Factors!E13</f>
        <v>1</v>
      </c>
      <c r="AD12" s="885">
        <f t="shared" si="20"/>
        <v>0</v>
      </c>
      <c r="AE12" s="883">
        <f t="shared" si="20"/>
        <v>0</v>
      </c>
      <c r="AF12" s="883">
        <f t="shared" si="20"/>
        <v>19.082837434853975</v>
      </c>
      <c r="AG12" s="883">
        <f t="shared" si="20"/>
        <v>0</v>
      </c>
      <c r="AH12" s="883">
        <f t="shared" si="20"/>
        <v>0</v>
      </c>
      <c r="AI12" s="883">
        <f t="shared" si="20"/>
        <v>0</v>
      </c>
      <c r="AJ12" s="889">
        <f t="shared" si="8"/>
        <v>19.082837434853975</v>
      </c>
      <c r="AK12" s="885">
        <f t="shared" si="26"/>
        <v>0</v>
      </c>
      <c r="AL12" s="883">
        <f t="shared" si="21"/>
        <v>0</v>
      </c>
      <c r="AM12" s="883">
        <f>AF12*CtoCO2</f>
        <v>69.970403927797904</v>
      </c>
      <c r="AN12" s="883">
        <f t="shared" si="23"/>
        <v>0</v>
      </c>
      <c r="AO12" s="883">
        <f t="shared" si="24"/>
        <v>0</v>
      </c>
      <c r="AP12" s="883">
        <f t="shared" si="25"/>
        <v>0</v>
      </c>
      <c r="AQ12" s="890">
        <f t="shared" si="10"/>
        <v>69.970403927797904</v>
      </c>
    </row>
    <row r="13" spans="1:43" s="244" customFormat="1" hidden="1">
      <c r="A13" s="861"/>
      <c r="B13" s="862" t="s">
        <v>1607</v>
      </c>
      <c r="C13" s="891"/>
      <c r="D13" s="891"/>
      <c r="E13" s="891">
        <f>HLOOKUP($B$2,'Consumption Input'!$E$5:$AQ$82,'Consumption Input'!$B25)</f>
        <v>0</v>
      </c>
      <c r="F13" s="891"/>
      <c r="G13" s="891"/>
      <c r="H13" s="891"/>
      <c r="I13" s="891">
        <f t="shared" si="2"/>
        <v>0</v>
      </c>
      <c r="J13" s="892"/>
      <c r="K13" s="891"/>
      <c r="L13" s="891"/>
      <c r="M13" s="891"/>
      <c r="N13" s="893">
        <f t="shared" si="11"/>
        <v>0</v>
      </c>
      <c r="O13" s="891">
        <f t="shared" si="11"/>
        <v>0</v>
      </c>
      <c r="P13" s="891">
        <f t="shared" si="12"/>
        <v>0</v>
      </c>
      <c r="Q13" s="891">
        <f t="shared" si="13"/>
        <v>0</v>
      </c>
      <c r="R13" s="891">
        <f t="shared" si="13"/>
        <v>0</v>
      </c>
      <c r="S13" s="894">
        <f t="shared" si="13"/>
        <v>0</v>
      </c>
      <c r="T13" s="891">
        <f t="shared" si="4"/>
        <v>0</v>
      </c>
      <c r="U13" s="895">
        <f>Factors!D14</f>
        <v>27.85</v>
      </c>
      <c r="V13" s="893">
        <f t="shared" si="14"/>
        <v>0</v>
      </c>
      <c r="W13" s="891">
        <f t="shared" si="15"/>
        <v>0</v>
      </c>
      <c r="X13" s="891">
        <f t="shared" si="16"/>
        <v>0</v>
      </c>
      <c r="Y13" s="891">
        <f t="shared" si="17"/>
        <v>0</v>
      </c>
      <c r="Z13" s="891">
        <f t="shared" si="18"/>
        <v>0</v>
      </c>
      <c r="AA13" s="891">
        <f t="shared" si="19"/>
        <v>0</v>
      </c>
      <c r="AB13" s="883">
        <f t="shared" si="6"/>
        <v>0</v>
      </c>
      <c r="AC13" s="896">
        <f>Factors!E14</f>
        <v>1</v>
      </c>
      <c r="AD13" s="893">
        <f t="shared" si="20"/>
        <v>0</v>
      </c>
      <c r="AE13" s="891">
        <f t="shared" si="20"/>
        <v>0</v>
      </c>
      <c r="AF13" s="891">
        <f t="shared" si="20"/>
        <v>0</v>
      </c>
      <c r="AG13" s="891">
        <f t="shared" si="20"/>
        <v>0</v>
      </c>
      <c r="AH13" s="891">
        <f t="shared" si="20"/>
        <v>0</v>
      </c>
      <c r="AI13" s="891">
        <f t="shared" si="20"/>
        <v>0</v>
      </c>
      <c r="AJ13" s="897">
        <f t="shared" si="8"/>
        <v>0</v>
      </c>
      <c r="AK13" s="893">
        <f t="shared" si="26"/>
        <v>0</v>
      </c>
      <c r="AL13" s="891">
        <f t="shared" si="21"/>
        <v>0</v>
      </c>
      <c r="AM13" s="891">
        <f t="shared" si="22"/>
        <v>0</v>
      </c>
      <c r="AN13" s="891">
        <f t="shared" si="23"/>
        <v>0</v>
      </c>
      <c r="AO13" s="891">
        <f t="shared" si="24"/>
        <v>0</v>
      </c>
      <c r="AP13" s="891">
        <f t="shared" si="25"/>
        <v>0</v>
      </c>
      <c r="AQ13" s="890">
        <f t="shared" si="10"/>
        <v>0</v>
      </c>
    </row>
    <row r="14" spans="1:43">
      <c r="A14" s="817"/>
      <c r="B14" s="860" t="s">
        <v>1735</v>
      </c>
      <c r="C14" s="883"/>
      <c r="D14" s="883"/>
      <c r="E14" s="883"/>
      <c r="F14" s="883">
        <f>HLOOKUP($B$2,'Consumption Input'!$E$5:$AQ$82,'Consumption Input'!$B48)</f>
        <v>0</v>
      </c>
      <c r="G14" s="883"/>
      <c r="H14" s="883"/>
      <c r="I14" s="883" t="s">
        <v>103</v>
      </c>
      <c r="J14" s="884"/>
      <c r="K14" s="883"/>
      <c r="L14" s="883"/>
      <c r="M14" s="883"/>
      <c r="N14" s="885">
        <f t="shared" si="11"/>
        <v>0</v>
      </c>
      <c r="O14" s="883">
        <f t="shared" si="11"/>
        <v>0</v>
      </c>
      <c r="P14" s="883">
        <f t="shared" si="12"/>
        <v>0</v>
      </c>
      <c r="Q14" s="883">
        <f t="shared" si="13"/>
        <v>0</v>
      </c>
      <c r="R14" s="883">
        <f t="shared" si="13"/>
        <v>0</v>
      </c>
      <c r="S14" s="886">
        <f t="shared" si="13"/>
        <v>0</v>
      </c>
      <c r="T14" s="883">
        <f t="shared" si="4"/>
        <v>0</v>
      </c>
      <c r="U14" s="887" t="str">
        <f>Factors!D15</f>
        <v>NC</v>
      </c>
      <c r="V14" s="885">
        <f t="shared" si="14"/>
        <v>0</v>
      </c>
      <c r="W14" s="883">
        <f t="shared" si="15"/>
        <v>0</v>
      </c>
      <c r="X14" s="883">
        <f t="shared" si="16"/>
        <v>0</v>
      </c>
      <c r="Y14" s="883">
        <f t="shared" si="17"/>
        <v>0</v>
      </c>
      <c r="Z14" s="883">
        <f t="shared" si="18"/>
        <v>0</v>
      </c>
      <c r="AA14" s="883">
        <f t="shared" si="19"/>
        <v>0</v>
      </c>
      <c r="AB14" s="883">
        <f t="shared" si="6"/>
        <v>0</v>
      </c>
      <c r="AC14" s="888" t="str">
        <f>Factors!E15</f>
        <v>NC</v>
      </c>
      <c r="AD14" s="885">
        <f t="shared" si="20"/>
        <v>0</v>
      </c>
      <c r="AE14" s="883">
        <f t="shared" si="20"/>
        <v>0</v>
      </c>
      <c r="AF14" s="883">
        <f t="shared" si="20"/>
        <v>0</v>
      </c>
      <c r="AG14" s="883">
        <f t="shared" si="20"/>
        <v>0</v>
      </c>
      <c r="AH14" s="883">
        <f t="shared" si="20"/>
        <v>0</v>
      </c>
      <c r="AI14" s="883">
        <f t="shared" si="20"/>
        <v>0</v>
      </c>
      <c r="AJ14" s="889">
        <f t="shared" si="8"/>
        <v>0</v>
      </c>
      <c r="AK14" s="885">
        <f t="shared" si="26"/>
        <v>0</v>
      </c>
      <c r="AL14" s="883">
        <f t="shared" si="21"/>
        <v>0</v>
      </c>
      <c r="AM14" s="883">
        <f t="shared" si="22"/>
        <v>0</v>
      </c>
      <c r="AN14" s="883">
        <f t="shared" si="23"/>
        <v>0</v>
      </c>
      <c r="AO14" s="883">
        <f t="shared" si="24"/>
        <v>0</v>
      </c>
      <c r="AP14" s="883">
        <f t="shared" si="25"/>
        <v>0</v>
      </c>
      <c r="AQ14" s="890">
        <f t="shared" si="10"/>
        <v>0</v>
      </c>
    </row>
    <row r="15" spans="1:43">
      <c r="A15" s="817"/>
      <c r="B15" s="860" t="s">
        <v>1736</v>
      </c>
      <c r="C15" s="883"/>
      <c r="D15" s="883"/>
      <c r="E15" s="883"/>
      <c r="F15" s="883"/>
      <c r="G15" s="883">
        <f>HLOOKUP($B$2,'Consumption Input'!$E$5:$AQ$82,'Consumption Input'!$B58)</f>
        <v>14138.249999999998</v>
      </c>
      <c r="H15" s="883"/>
      <c r="I15" s="883">
        <f t="shared" ref="I15:I28" si="27">SUM(C15:H15)</f>
        <v>14138.249999999998</v>
      </c>
      <c r="J15" s="884"/>
      <c r="K15" s="883"/>
      <c r="L15" s="883"/>
      <c r="M15" s="883"/>
      <c r="N15" s="885">
        <f t="shared" si="11"/>
        <v>0</v>
      </c>
      <c r="O15" s="883">
        <f t="shared" si="11"/>
        <v>0</v>
      </c>
      <c r="P15" s="883">
        <f t="shared" si="12"/>
        <v>0</v>
      </c>
      <c r="Q15" s="883">
        <f t="shared" si="13"/>
        <v>0</v>
      </c>
      <c r="R15" s="883">
        <f t="shared" si="13"/>
        <v>14138.249999999998</v>
      </c>
      <c r="S15" s="886">
        <f t="shared" si="13"/>
        <v>0</v>
      </c>
      <c r="T15" s="883">
        <f t="shared" si="4"/>
        <v>14138.249999999998</v>
      </c>
      <c r="U15" s="887">
        <f>HLOOKUP($B$2,Factors!$J$12:$BE$25,Factors!$H16,FALSE)</f>
        <v>26.068323582825943</v>
      </c>
      <c r="V15" s="885">
        <f t="shared" si="14"/>
        <v>0</v>
      </c>
      <c r="W15" s="883">
        <f t="shared" si="15"/>
        <v>0</v>
      </c>
      <c r="X15" s="883">
        <f t="shared" si="16"/>
        <v>0</v>
      </c>
      <c r="Y15" s="883">
        <f t="shared" si="17"/>
        <v>0</v>
      </c>
      <c r="Z15" s="883">
        <f t="shared" si="18"/>
        <v>368.5604758948889</v>
      </c>
      <c r="AA15" s="883">
        <f t="shared" si="19"/>
        <v>0</v>
      </c>
      <c r="AB15" s="883">
        <f t="shared" ref="AB15:AB43" si="28">SUM(V15:AA15)</f>
        <v>368.5604758948889</v>
      </c>
      <c r="AC15" s="888">
        <f>Factors!E16</f>
        <v>1</v>
      </c>
      <c r="AD15" s="885">
        <f t="shared" si="20"/>
        <v>0</v>
      </c>
      <c r="AE15" s="883">
        <f t="shared" si="20"/>
        <v>0</v>
      </c>
      <c r="AF15" s="883">
        <f t="shared" si="20"/>
        <v>0</v>
      </c>
      <c r="AG15" s="883">
        <f t="shared" si="20"/>
        <v>0</v>
      </c>
      <c r="AH15" s="883">
        <f t="shared" si="20"/>
        <v>368.5604758948889</v>
      </c>
      <c r="AI15" s="883">
        <f t="shared" si="20"/>
        <v>0</v>
      </c>
      <c r="AJ15" s="889">
        <f t="shared" si="8"/>
        <v>368.5604758948889</v>
      </c>
      <c r="AK15" s="885">
        <f t="shared" si="26"/>
        <v>0</v>
      </c>
      <c r="AL15" s="883">
        <f t="shared" si="21"/>
        <v>0</v>
      </c>
      <c r="AM15" s="883">
        <f t="shared" si="22"/>
        <v>0</v>
      </c>
      <c r="AN15" s="883">
        <f t="shared" si="23"/>
        <v>0</v>
      </c>
      <c r="AO15" s="883">
        <f t="shared" si="24"/>
        <v>1351.3884116145925</v>
      </c>
      <c r="AP15" s="883">
        <f t="shared" si="25"/>
        <v>0</v>
      </c>
      <c r="AQ15" s="890">
        <f t="shared" ref="AQ15:AQ42" si="29">SUM(AK15:AP15)</f>
        <v>1351.3884116145925</v>
      </c>
    </row>
    <row r="16" spans="1:43">
      <c r="A16" s="817"/>
      <c r="B16" s="860" t="s">
        <v>1737</v>
      </c>
      <c r="C16" s="883"/>
      <c r="D16" s="883"/>
      <c r="E16" s="883"/>
      <c r="F16" s="883"/>
      <c r="G16" s="883"/>
      <c r="H16" s="883">
        <f>HLOOKUP($B$2,'US Territories'!$D$28:$AC$38,'US Territories'!$B29)</f>
        <v>35.908837411646324</v>
      </c>
      <c r="I16" s="883">
        <f t="shared" si="27"/>
        <v>35.908837411646324</v>
      </c>
      <c r="J16" s="884"/>
      <c r="K16" s="883"/>
      <c r="L16" s="883"/>
      <c r="M16" s="883"/>
      <c r="N16" s="885">
        <f t="shared" si="11"/>
        <v>0</v>
      </c>
      <c r="O16" s="883">
        <f t="shared" si="11"/>
        <v>0</v>
      </c>
      <c r="P16" s="883">
        <f t="shared" si="12"/>
        <v>0</v>
      </c>
      <c r="Q16" s="883">
        <f t="shared" si="13"/>
        <v>0</v>
      </c>
      <c r="R16" s="883">
        <f t="shared" si="13"/>
        <v>0</v>
      </c>
      <c r="S16" s="886">
        <f>H16</f>
        <v>35.908837411646324</v>
      </c>
      <c r="T16" s="883">
        <f t="shared" si="4"/>
        <v>35.908837411646324</v>
      </c>
      <c r="U16" s="887">
        <f>Factors!D17</f>
        <v>25.14</v>
      </c>
      <c r="V16" s="899">
        <f t="shared" si="14"/>
        <v>0</v>
      </c>
      <c r="W16" s="900">
        <f t="shared" si="15"/>
        <v>0</v>
      </c>
      <c r="X16" s="900">
        <f t="shared" si="16"/>
        <v>0</v>
      </c>
      <c r="Y16" s="900">
        <f t="shared" si="17"/>
        <v>0</v>
      </c>
      <c r="Z16" s="900">
        <f t="shared" si="18"/>
        <v>0</v>
      </c>
      <c r="AA16" s="900">
        <f t="shared" si="19"/>
        <v>0.90274817252878858</v>
      </c>
      <c r="AB16" s="883">
        <f t="shared" si="28"/>
        <v>0.90274817252878858</v>
      </c>
      <c r="AC16" s="888">
        <f>Factors!E17</f>
        <v>1</v>
      </c>
      <c r="AD16" s="899">
        <f t="shared" si="20"/>
        <v>0</v>
      </c>
      <c r="AE16" s="900">
        <f t="shared" si="20"/>
        <v>0</v>
      </c>
      <c r="AF16" s="900">
        <f t="shared" si="20"/>
        <v>0</v>
      </c>
      <c r="AG16" s="900">
        <f t="shared" si="20"/>
        <v>0</v>
      </c>
      <c r="AH16" s="900">
        <f t="shared" si="20"/>
        <v>0</v>
      </c>
      <c r="AI16" s="900">
        <f t="shared" si="20"/>
        <v>0.90274817252878858</v>
      </c>
      <c r="AJ16" s="889">
        <f t="shared" si="8"/>
        <v>0.90274817252878858</v>
      </c>
      <c r="AK16" s="885">
        <f t="shared" si="26"/>
        <v>0</v>
      </c>
      <c r="AL16" s="883">
        <f t="shared" si="21"/>
        <v>0</v>
      </c>
      <c r="AM16" s="883">
        <f t="shared" si="22"/>
        <v>0</v>
      </c>
      <c r="AN16" s="883">
        <f t="shared" si="23"/>
        <v>0</v>
      </c>
      <c r="AO16" s="883">
        <f t="shared" si="24"/>
        <v>0</v>
      </c>
      <c r="AP16" s="883">
        <f t="shared" si="25"/>
        <v>3.3100766326055582</v>
      </c>
      <c r="AQ16" s="890">
        <f t="shared" si="29"/>
        <v>3.3100766326055582</v>
      </c>
    </row>
    <row r="17" spans="1:43">
      <c r="A17" s="817"/>
      <c r="B17" s="863" t="s">
        <v>1439</v>
      </c>
      <c r="C17" s="901">
        <f>HLOOKUP($B$2,'Consumption Input'!$E$5:$AQ$82,'Consumption Input'!$B8)</f>
        <v>4776.9269999999997</v>
      </c>
      <c r="D17" s="901">
        <f>HLOOKUP($B$2,'Consumption Input'!$E$5:$AQ$82,'Consumption Input'!$B14)</f>
        <v>3315.5909999999999</v>
      </c>
      <c r="E17" s="901">
        <f>HLOOKUP($B$2,'Consumption Input'!$E$5:$AQ$82,'Consumption Input'!$B26)</f>
        <v>9119.932101192273</v>
      </c>
      <c r="F17" s="901">
        <f>HLOOKUP($B$2,'Consumption Input'!$E$5:$AQ$82,'Consumption Input'!$B49)</f>
        <v>744.84100000000001</v>
      </c>
      <c r="G17" s="901">
        <f>HLOOKUP($B$2,'Consumption Input'!$E$5:$AQ$82,'Consumption Input'!$B59)</f>
        <v>9926.4590000000007</v>
      </c>
      <c r="H17" s="902">
        <f>HLOOKUP($B$2,'US Territories'!$D$28:$AC$38,'US Territories'!$B30)</f>
        <v>57.422245873000001</v>
      </c>
      <c r="I17" s="901">
        <f t="shared" si="27"/>
        <v>27941.172347065272</v>
      </c>
      <c r="J17" s="903"/>
      <c r="K17" s="901">
        <f>HLOOKUP($B$2,NEUConsumption,'Non-Energy Use'!$C$9)</f>
        <v>431.80800000000005</v>
      </c>
      <c r="L17" s="901"/>
      <c r="M17" s="901"/>
      <c r="N17" s="904">
        <f t="shared" si="11"/>
        <v>4776.9269999999997</v>
      </c>
      <c r="O17" s="901">
        <f t="shared" si="11"/>
        <v>3315.5909999999999</v>
      </c>
      <c r="P17" s="901">
        <f t="shared" si="12"/>
        <v>8688.1241011922721</v>
      </c>
      <c r="Q17" s="901">
        <f t="shared" si="13"/>
        <v>744.84100000000001</v>
      </c>
      <c r="R17" s="901">
        <f t="shared" si="13"/>
        <v>9926.4590000000007</v>
      </c>
      <c r="S17" s="902">
        <f t="shared" si="13"/>
        <v>57.422245873000001</v>
      </c>
      <c r="T17" s="901">
        <f t="shared" si="4"/>
        <v>27509.364347065275</v>
      </c>
      <c r="U17" s="905">
        <f>HLOOKUP($B$2,Factors!$J$12:$BE$26,Factors!$H26,FALSE)</f>
        <v>14.428670083895854</v>
      </c>
      <c r="V17" s="901">
        <f t="shared" si="14"/>
        <v>68.924703697854369</v>
      </c>
      <c r="W17" s="901">
        <f t="shared" si="15"/>
        <v>47.839568672134341</v>
      </c>
      <c r="X17" s="901">
        <f t="shared" si="16"/>
        <v>125.3580763040475</v>
      </c>
      <c r="Y17" s="901">
        <f t="shared" si="17"/>
        <v>10.747065053959071</v>
      </c>
      <c r="Z17" s="901">
        <f t="shared" si="18"/>
        <v>143.22560201231877</v>
      </c>
      <c r="AA17" s="901">
        <f t="shared" si="19"/>
        <v>0.82852664117786734</v>
      </c>
      <c r="AB17" s="901">
        <f t="shared" si="28"/>
        <v>396.92354238149187</v>
      </c>
      <c r="AC17" s="906">
        <f>Factors!E19</f>
        <v>1</v>
      </c>
      <c r="AD17" s="904">
        <f t="shared" si="20"/>
        <v>68.924703697854369</v>
      </c>
      <c r="AE17" s="901">
        <f>W17*$AC17</f>
        <v>47.839568672134341</v>
      </c>
      <c r="AF17" s="901">
        <f t="shared" si="20"/>
        <v>125.3580763040475</v>
      </c>
      <c r="AG17" s="901">
        <f t="shared" si="20"/>
        <v>10.747065053959071</v>
      </c>
      <c r="AH17" s="901">
        <f t="shared" si="20"/>
        <v>143.22560201231877</v>
      </c>
      <c r="AI17" s="901">
        <f t="shared" si="20"/>
        <v>0.82852664117786734</v>
      </c>
      <c r="AJ17" s="901">
        <f t="shared" si="8"/>
        <v>396.92354238149187</v>
      </c>
      <c r="AK17" s="904">
        <f t="shared" si="26"/>
        <v>252.72391355879935</v>
      </c>
      <c r="AL17" s="901">
        <f t="shared" si="21"/>
        <v>175.4117517978259</v>
      </c>
      <c r="AM17" s="901">
        <f t="shared" si="22"/>
        <v>459.64627978150747</v>
      </c>
      <c r="AN17" s="901">
        <f t="shared" si="23"/>
        <v>39.405905197849926</v>
      </c>
      <c r="AO17" s="901">
        <f t="shared" si="24"/>
        <v>525.16054071183544</v>
      </c>
      <c r="AP17" s="901">
        <f t="shared" si="25"/>
        <v>3.0379310176521801</v>
      </c>
      <c r="AQ17" s="907">
        <f t="shared" si="29"/>
        <v>1455.3863220654703</v>
      </c>
    </row>
    <row r="18" spans="1:43">
      <c r="A18" s="817"/>
      <c r="B18" s="864" t="s">
        <v>1440</v>
      </c>
      <c r="C18" s="908">
        <f t="shared" ref="C18:H18" si="30">SUM(C19:C41)</f>
        <v>943.12095671263205</v>
      </c>
      <c r="D18" s="908">
        <f t="shared" si="30"/>
        <v>940.65511641334979</v>
      </c>
      <c r="E18" s="908">
        <f t="shared" si="30"/>
        <v>7901.7883326243709</v>
      </c>
      <c r="F18" s="908">
        <f t="shared" si="30"/>
        <v>25128.167519914703</v>
      </c>
      <c r="G18" s="908">
        <f t="shared" si="30"/>
        <v>275.96500000000003</v>
      </c>
      <c r="H18" s="908">
        <f t="shared" si="30"/>
        <v>316.04780210976946</v>
      </c>
      <c r="I18" s="908">
        <f t="shared" si="27"/>
        <v>35505.744727774814</v>
      </c>
      <c r="J18" s="909">
        <f t="shared" ref="J18:S18" si="31">SUM(J19:J41)</f>
        <v>1543.6023622247674</v>
      </c>
      <c r="K18" s="908">
        <f t="shared" si="31"/>
        <v>4378.7046669248002</v>
      </c>
      <c r="L18" s="908">
        <f t="shared" si="31"/>
        <v>162.81100000000001</v>
      </c>
      <c r="M18" s="908">
        <f t="shared" si="31"/>
        <v>10.348744679691782</v>
      </c>
      <c r="N18" s="910">
        <f t="shared" si="31"/>
        <v>943.12095671263205</v>
      </c>
      <c r="O18" s="908">
        <f t="shared" si="31"/>
        <v>940.65511641334979</v>
      </c>
      <c r="P18" s="908">
        <f t="shared" si="31"/>
        <v>3523.0836656995693</v>
      </c>
      <c r="Q18" s="908">
        <f t="shared" si="31"/>
        <v>23421.754157689935</v>
      </c>
      <c r="R18" s="908">
        <f t="shared" si="31"/>
        <v>275.96500000000003</v>
      </c>
      <c r="S18" s="911">
        <f t="shared" si="31"/>
        <v>305.69905743007769</v>
      </c>
      <c r="T18" s="889">
        <f t="shared" si="4"/>
        <v>29410.277953945562</v>
      </c>
      <c r="U18" s="912" t="s">
        <v>1731</v>
      </c>
      <c r="V18" s="908">
        <f t="shared" ref="V18:AA18" si="32">SUM(V19:V41)</f>
        <v>17.698169453718968</v>
      </c>
      <c r="W18" s="908">
        <f t="shared" si="32"/>
        <v>18.11694554065927</v>
      </c>
      <c r="X18" s="908">
        <f t="shared" si="32"/>
        <v>72.202049323894187</v>
      </c>
      <c r="Y18" s="908">
        <f t="shared" si="32"/>
        <v>457.90234250111001</v>
      </c>
      <c r="Z18" s="908">
        <f t="shared" si="32"/>
        <v>6.4566678614591364</v>
      </c>
      <c r="AA18" s="908">
        <f t="shared" si="32"/>
        <v>6.0508032437326724</v>
      </c>
      <c r="AB18" s="908">
        <f t="shared" si="28"/>
        <v>578.42697792457409</v>
      </c>
      <c r="AC18" s="913" t="s">
        <v>1731</v>
      </c>
      <c r="AD18" s="910">
        <f t="shared" ref="AD18:AI18" si="33">SUM(AD19:AD41)</f>
        <v>17.698169453718968</v>
      </c>
      <c r="AE18" s="908">
        <f t="shared" si="33"/>
        <v>18.11694554065927</v>
      </c>
      <c r="AF18" s="908">
        <f t="shared" si="33"/>
        <v>72.202049323894187</v>
      </c>
      <c r="AG18" s="908">
        <f t="shared" si="33"/>
        <v>457.90234250111001</v>
      </c>
      <c r="AH18" s="908">
        <f t="shared" si="33"/>
        <v>6.4566678614591364</v>
      </c>
      <c r="AI18" s="908">
        <f t="shared" si="33"/>
        <v>6.0508032437326724</v>
      </c>
      <c r="AJ18" s="908">
        <f t="shared" si="8"/>
        <v>578.42697792457409</v>
      </c>
      <c r="AK18" s="914">
        <f t="shared" si="26"/>
        <v>64.893287996969548</v>
      </c>
      <c r="AL18" s="889">
        <f t="shared" si="21"/>
        <v>66.428800315750649</v>
      </c>
      <c r="AM18" s="889">
        <f t="shared" si="22"/>
        <v>264.74084752094535</v>
      </c>
      <c r="AN18" s="889">
        <f t="shared" si="23"/>
        <v>1678.9752558374032</v>
      </c>
      <c r="AO18" s="889">
        <f t="shared" si="24"/>
        <v>23.674448825350165</v>
      </c>
      <c r="AP18" s="889">
        <f t="shared" si="25"/>
        <v>22.186278560353131</v>
      </c>
      <c r="AQ18" s="915">
        <f t="shared" si="29"/>
        <v>2120.8989190567722</v>
      </c>
    </row>
    <row r="19" spans="1:43">
      <c r="A19" s="817"/>
      <c r="B19" s="860" t="s">
        <v>1608</v>
      </c>
      <c r="C19" s="883"/>
      <c r="D19" s="883"/>
      <c r="E19" s="883">
        <f>HLOOKUP($B$2,'Consumption Input'!$E$5:$AQ$82,'Consumption Input'!$B27)</f>
        <v>831.66</v>
      </c>
      <c r="F19" s="883"/>
      <c r="G19" s="883"/>
      <c r="H19" s="883"/>
      <c r="I19" s="883">
        <f t="shared" si="27"/>
        <v>831.66</v>
      </c>
      <c r="J19" s="884"/>
      <c r="K19" s="883">
        <f>HLOOKUP($B$2,NEUConsumption,'Non-Energy Use'!$C$10)</f>
        <v>831.66</v>
      </c>
      <c r="L19" s="883"/>
      <c r="M19" s="883"/>
      <c r="N19" s="885">
        <f t="shared" ref="N19:O42" si="34">C19</f>
        <v>0</v>
      </c>
      <c r="O19" s="883">
        <f t="shared" si="34"/>
        <v>0</v>
      </c>
      <c r="P19" s="883">
        <f t="shared" ref="P19:P41" si="35">E19-K19</f>
        <v>0</v>
      </c>
      <c r="Q19" s="883">
        <f t="shared" ref="Q19:Q41" si="36">F19-J19-L19</f>
        <v>0</v>
      </c>
      <c r="R19" s="883">
        <f t="shared" ref="R19:R42" si="37">G19</f>
        <v>0</v>
      </c>
      <c r="S19" s="886">
        <f t="shared" ref="S19:S41" si="38">H19-M19</f>
        <v>0</v>
      </c>
      <c r="T19" s="883">
        <f t="shared" si="4"/>
        <v>0</v>
      </c>
      <c r="U19" s="887">
        <f>Factors!D24</f>
        <v>20.55318099621897</v>
      </c>
      <c r="V19" s="885">
        <f t="shared" ref="V19:V41" si="39">N19*$U19*TbtuToQBtu</f>
        <v>0</v>
      </c>
      <c r="W19" s="883">
        <f t="shared" ref="W19:W41" si="40">O19*$U19*TbtuToQBtu</f>
        <v>0</v>
      </c>
      <c r="X19" s="883">
        <f t="shared" ref="X19:X41" si="41">P19*$U19*TbtuToQBtu</f>
        <v>0</v>
      </c>
      <c r="Y19" s="883">
        <f t="shared" ref="Y19:Y41" si="42">Q19*$U19*TbtuToQBtu</f>
        <v>0</v>
      </c>
      <c r="Z19" s="883">
        <f t="shared" ref="Z19:Z41" si="43">R19*$U19*TbtuToQBtu</f>
        <v>0</v>
      </c>
      <c r="AA19" s="883">
        <f t="shared" ref="AA19:AA41" si="44">S19*$U19*TbtuToQBtu</f>
        <v>0</v>
      </c>
      <c r="AB19" s="883">
        <f t="shared" si="28"/>
        <v>0</v>
      </c>
      <c r="AC19" s="888">
        <f>Factors!E24</f>
        <v>1</v>
      </c>
      <c r="AD19" s="885">
        <f t="shared" ref="AD19:AI35" si="45">V19*$AC19</f>
        <v>0</v>
      </c>
      <c r="AE19" s="883">
        <f t="shared" si="45"/>
        <v>0</v>
      </c>
      <c r="AF19" s="883">
        <f t="shared" si="45"/>
        <v>0</v>
      </c>
      <c r="AG19" s="883">
        <f t="shared" si="45"/>
        <v>0</v>
      </c>
      <c r="AH19" s="883">
        <f t="shared" si="45"/>
        <v>0</v>
      </c>
      <c r="AI19" s="883">
        <f t="shared" si="45"/>
        <v>0</v>
      </c>
      <c r="AJ19" s="889">
        <f t="shared" si="8"/>
        <v>0</v>
      </c>
      <c r="AK19" s="885">
        <f t="shared" si="26"/>
        <v>0</v>
      </c>
      <c r="AL19" s="883">
        <f t="shared" si="21"/>
        <v>0</v>
      </c>
      <c r="AM19" s="883">
        <f t="shared" si="22"/>
        <v>0</v>
      </c>
      <c r="AN19" s="883">
        <f t="shared" si="23"/>
        <v>0</v>
      </c>
      <c r="AO19" s="883">
        <f t="shared" si="24"/>
        <v>0</v>
      </c>
      <c r="AP19" s="883">
        <f t="shared" si="25"/>
        <v>0</v>
      </c>
      <c r="AQ19" s="890">
        <f t="shared" si="29"/>
        <v>0</v>
      </c>
    </row>
    <row r="20" spans="1:43">
      <c r="A20" s="817"/>
      <c r="B20" s="860" t="s">
        <v>1622</v>
      </c>
      <c r="C20" s="883"/>
      <c r="D20" s="883"/>
      <c r="E20" s="883"/>
      <c r="F20" s="883">
        <f>HLOOKUP($B$2,'Consumption Input'!$E$5:$AQ$82,'Consumption Input'!$B50)</f>
        <v>21.140999999999995</v>
      </c>
      <c r="G20" s="883"/>
      <c r="H20" s="883"/>
      <c r="I20" s="883">
        <f t="shared" si="27"/>
        <v>21.140999999999995</v>
      </c>
      <c r="J20" s="884"/>
      <c r="K20" s="883"/>
      <c r="L20" s="883"/>
      <c r="M20" s="883"/>
      <c r="N20" s="885">
        <f t="shared" si="34"/>
        <v>0</v>
      </c>
      <c r="O20" s="883">
        <f t="shared" si="34"/>
        <v>0</v>
      </c>
      <c r="P20" s="883">
        <f t="shared" si="35"/>
        <v>0</v>
      </c>
      <c r="Q20" s="883">
        <f t="shared" si="36"/>
        <v>21.140999999999995</v>
      </c>
      <c r="R20" s="883">
        <f t="shared" si="37"/>
        <v>0</v>
      </c>
      <c r="S20" s="886">
        <f t="shared" si="38"/>
        <v>0</v>
      </c>
      <c r="T20" s="883">
        <f t="shared" si="4"/>
        <v>21.140999999999995</v>
      </c>
      <c r="U20" s="887">
        <f>Factors!D25</f>
        <v>18.855352254718337</v>
      </c>
      <c r="V20" s="885">
        <f t="shared" si="39"/>
        <v>0</v>
      </c>
      <c r="W20" s="883">
        <f t="shared" si="40"/>
        <v>0</v>
      </c>
      <c r="X20" s="883">
        <f t="shared" si="41"/>
        <v>0</v>
      </c>
      <c r="Y20" s="883">
        <f t="shared" si="42"/>
        <v>0.39862100201700024</v>
      </c>
      <c r="Z20" s="883">
        <f t="shared" si="43"/>
        <v>0</v>
      </c>
      <c r="AA20" s="883">
        <f t="shared" si="44"/>
        <v>0</v>
      </c>
      <c r="AB20" s="883">
        <f t="shared" si="28"/>
        <v>0.39862100201700024</v>
      </c>
      <c r="AC20" s="888">
        <f>Factors!E25</f>
        <v>1</v>
      </c>
      <c r="AD20" s="885">
        <f t="shared" si="45"/>
        <v>0</v>
      </c>
      <c r="AE20" s="883">
        <f t="shared" si="45"/>
        <v>0</v>
      </c>
      <c r="AF20" s="883">
        <f t="shared" si="45"/>
        <v>0</v>
      </c>
      <c r="AG20" s="883">
        <f t="shared" si="45"/>
        <v>0.39862100201700024</v>
      </c>
      <c r="AH20" s="883">
        <f t="shared" si="45"/>
        <v>0</v>
      </c>
      <c r="AI20" s="883">
        <f t="shared" si="45"/>
        <v>0</v>
      </c>
      <c r="AJ20" s="889">
        <f t="shared" si="8"/>
        <v>0.39862100201700024</v>
      </c>
      <c r="AK20" s="885">
        <f t="shared" si="26"/>
        <v>0</v>
      </c>
      <c r="AL20" s="883">
        <f t="shared" si="21"/>
        <v>0</v>
      </c>
      <c r="AM20" s="883">
        <f t="shared" si="22"/>
        <v>0</v>
      </c>
      <c r="AN20" s="883">
        <f t="shared" si="23"/>
        <v>1.4616103407290009</v>
      </c>
      <c r="AO20" s="883">
        <f t="shared" si="24"/>
        <v>0</v>
      </c>
      <c r="AP20" s="883">
        <f t="shared" si="25"/>
        <v>0</v>
      </c>
      <c r="AQ20" s="890">
        <f t="shared" si="29"/>
        <v>1.4616103407290009</v>
      </c>
    </row>
    <row r="21" spans="1:43">
      <c r="A21" s="817"/>
      <c r="B21" s="860" t="s">
        <v>1738</v>
      </c>
      <c r="C21" s="883">
        <f>HLOOKUP($B$2,'Consumption Input'!$E$5:$AQ$82,'Consumption Input'!$B9)</f>
        <v>487.29495671263209</v>
      </c>
      <c r="D21" s="883">
        <f>HLOOKUP($B$2,'Consumption Input'!$E$5:$AQ$82,'Consumption Input'!$B15)</f>
        <v>318.20990158373081</v>
      </c>
      <c r="E21" s="883">
        <f>HLOOKUP($B$2,'Consumption Input'!$E$5:$AQ$82,'Consumption Input'!$B28)</f>
        <v>1032.6750796294348</v>
      </c>
      <c r="F21" s="883">
        <f>HLOOKUP($B$2,'Consumption Input'!$E$5:$AQ$82,'Consumption Input'!$B51)</f>
        <v>6268.1546686932488</v>
      </c>
      <c r="G21" s="883">
        <f>HLOOKUP($B$2,'Consumption Input'!$E$5:$AQ$82,'Consumption Input'!$B60)</f>
        <v>70.388000000000005</v>
      </c>
      <c r="H21" s="883">
        <f>HLOOKUP($B$2,'US Territories'!$D$28:$AC$38,'US Territories'!$B31)</f>
        <v>78.821614885714411</v>
      </c>
      <c r="I21" s="883">
        <f t="shared" si="27"/>
        <v>8255.5442215047606</v>
      </c>
      <c r="J21" s="884">
        <f>HLOOKUP($B$2,IBFConsumption,'International Bunker Fuels'!$B$10)</f>
        <v>113.50034480709412</v>
      </c>
      <c r="K21" s="883">
        <f>HLOOKUP($B$2,NEUConsumption,'Non-Energy Use'!$C$20)</f>
        <v>5.8250000000000002</v>
      </c>
      <c r="L21" s="883"/>
      <c r="M21" s="883"/>
      <c r="N21" s="885">
        <f t="shared" si="34"/>
        <v>487.29495671263209</v>
      </c>
      <c r="O21" s="883">
        <f t="shared" si="34"/>
        <v>318.20990158373081</v>
      </c>
      <c r="P21" s="883">
        <f t="shared" si="35"/>
        <v>1026.8500796294347</v>
      </c>
      <c r="Q21" s="883">
        <f t="shared" si="36"/>
        <v>6154.654323886155</v>
      </c>
      <c r="R21" s="883">
        <f t="shared" si="37"/>
        <v>70.388000000000005</v>
      </c>
      <c r="S21" s="886">
        <f>H21-M21</f>
        <v>78.821614885714411</v>
      </c>
      <c r="T21" s="883">
        <f t="shared" si="4"/>
        <v>8136.2188766976669</v>
      </c>
      <c r="U21" s="887">
        <f>HLOOKUP($B$2,Factors!$J$12:$BE$27,Factors!$H27,FALSE)</f>
        <v>20.221641702001627</v>
      </c>
      <c r="V21" s="885">
        <f t="shared" si="39"/>
        <v>9.8539040178352391</v>
      </c>
      <c r="W21" s="883">
        <f t="shared" si="40"/>
        <v>6.4347266158554053</v>
      </c>
      <c r="X21" s="883">
        <f t="shared" si="41"/>
        <v>20.764594391938271</v>
      </c>
      <c r="Y21" s="883">
        <f t="shared" si="42"/>
        <v>124.4572145373009</v>
      </c>
      <c r="Z21" s="883">
        <f t="shared" si="43"/>
        <v>1.4233609161204908</v>
      </c>
      <c r="AA21" s="883">
        <f t="shared" si="44"/>
        <v>1.5939024545920748</v>
      </c>
      <c r="AB21" s="883">
        <f t="shared" si="28"/>
        <v>164.52770293364239</v>
      </c>
      <c r="AC21" s="888">
        <f>Factors!E26</f>
        <v>1</v>
      </c>
      <c r="AD21" s="885">
        <f t="shared" si="45"/>
        <v>9.8539040178352391</v>
      </c>
      <c r="AE21" s="883">
        <f t="shared" si="45"/>
        <v>6.4347266158554053</v>
      </c>
      <c r="AF21" s="883">
        <f t="shared" si="45"/>
        <v>20.764594391938271</v>
      </c>
      <c r="AG21" s="883">
        <f t="shared" si="45"/>
        <v>124.4572145373009</v>
      </c>
      <c r="AH21" s="883">
        <f t="shared" si="45"/>
        <v>1.4233609161204908</v>
      </c>
      <c r="AI21" s="883">
        <f t="shared" si="45"/>
        <v>1.5939024545920748</v>
      </c>
      <c r="AJ21" s="889">
        <f t="shared" si="8"/>
        <v>164.52770293364239</v>
      </c>
      <c r="AK21" s="885">
        <f t="shared" si="26"/>
        <v>36.130981398729212</v>
      </c>
      <c r="AL21" s="883">
        <f t="shared" si="21"/>
        <v>23.593997591469819</v>
      </c>
      <c r="AM21" s="883">
        <f t="shared" si="22"/>
        <v>76.136846103773664</v>
      </c>
      <c r="AN21" s="883">
        <f t="shared" si="23"/>
        <v>456.34311997010326</v>
      </c>
      <c r="AO21" s="883">
        <f t="shared" si="24"/>
        <v>5.2189900257751329</v>
      </c>
      <c r="AP21" s="883">
        <f t="shared" si="25"/>
        <v>5.8443090001709406</v>
      </c>
      <c r="AQ21" s="890">
        <f t="shared" si="29"/>
        <v>603.26824409002199</v>
      </c>
    </row>
    <row r="22" spans="1:43">
      <c r="A22" s="817"/>
      <c r="B22" s="860" t="s">
        <v>1623</v>
      </c>
      <c r="C22" s="883"/>
      <c r="D22" s="883"/>
      <c r="E22" s="883"/>
      <c r="F22" s="883">
        <f>HLOOKUP($B$2,'Consumption Input'!$E$5:$AQ$82,'Consumption Input'!$B52)</f>
        <v>3204.165</v>
      </c>
      <c r="G22" s="916"/>
      <c r="H22" s="883">
        <f>HLOOKUP($B$2,'US Territories'!$D$28:$AC$38,'US Territories'!$B32)</f>
        <v>36.045609204883561</v>
      </c>
      <c r="I22" s="883">
        <f t="shared" si="27"/>
        <v>3240.2106092048834</v>
      </c>
      <c r="J22" s="884">
        <f>HLOOKUP($B$2,IBFConsumption,'International Bunker Fuels'!$B$8)</f>
        <v>1023.2524866426733</v>
      </c>
      <c r="K22" s="883"/>
      <c r="L22" s="883"/>
      <c r="M22" s="883"/>
      <c r="N22" s="885">
        <f t="shared" si="34"/>
        <v>0</v>
      </c>
      <c r="O22" s="883">
        <f t="shared" si="34"/>
        <v>0</v>
      </c>
      <c r="P22" s="883">
        <f t="shared" si="35"/>
        <v>0</v>
      </c>
      <c r="Q22" s="883">
        <f t="shared" si="36"/>
        <v>2180.9125133573266</v>
      </c>
      <c r="R22" s="883">
        <f t="shared" si="37"/>
        <v>0</v>
      </c>
      <c r="S22" s="886">
        <f t="shared" si="38"/>
        <v>36.045609204883561</v>
      </c>
      <c r="T22" s="883">
        <f t="shared" si="4"/>
        <v>2216.9581225622101</v>
      </c>
      <c r="U22" s="887">
        <f>HLOOKUP($B$2,Factors!$J$12:$BE$25,Factors!$H21,FALSE)</f>
        <v>19.696969696969692</v>
      </c>
      <c r="V22" s="885">
        <f t="shared" si="39"/>
        <v>0</v>
      </c>
      <c r="W22" s="883">
        <f t="shared" si="40"/>
        <v>0</v>
      </c>
      <c r="X22" s="883">
        <f t="shared" si="41"/>
        <v>0</v>
      </c>
      <c r="Y22" s="883">
        <f t="shared" si="42"/>
        <v>42.957367687341268</v>
      </c>
      <c r="Z22" s="883">
        <f t="shared" si="43"/>
        <v>0</v>
      </c>
      <c r="AA22" s="883">
        <f t="shared" si="44"/>
        <v>0.70998927221740327</v>
      </c>
      <c r="AB22" s="883">
        <f t="shared" si="28"/>
        <v>43.667356959558674</v>
      </c>
      <c r="AC22" s="888">
        <f>Factors!E27</f>
        <v>1</v>
      </c>
      <c r="AD22" s="885">
        <f t="shared" si="45"/>
        <v>0</v>
      </c>
      <c r="AE22" s="883">
        <f t="shared" si="45"/>
        <v>0</v>
      </c>
      <c r="AF22" s="883">
        <f t="shared" si="45"/>
        <v>0</v>
      </c>
      <c r="AG22" s="883">
        <f t="shared" si="45"/>
        <v>42.957367687341268</v>
      </c>
      <c r="AH22" s="883">
        <f t="shared" si="45"/>
        <v>0</v>
      </c>
      <c r="AI22" s="883">
        <f t="shared" si="45"/>
        <v>0.70998927221740327</v>
      </c>
      <c r="AJ22" s="889">
        <f t="shared" si="8"/>
        <v>43.667356959558674</v>
      </c>
      <c r="AK22" s="885">
        <f t="shared" si="26"/>
        <v>0</v>
      </c>
      <c r="AL22" s="883">
        <f t="shared" si="21"/>
        <v>0</v>
      </c>
      <c r="AM22" s="883">
        <f t="shared" si="22"/>
        <v>0</v>
      </c>
      <c r="AN22" s="883">
        <f t="shared" si="23"/>
        <v>157.51034818691798</v>
      </c>
      <c r="AO22" s="883">
        <f t="shared" si="24"/>
        <v>0</v>
      </c>
      <c r="AP22" s="883">
        <f t="shared" si="25"/>
        <v>2.6032939981304786</v>
      </c>
      <c r="AQ22" s="890">
        <f t="shared" si="29"/>
        <v>160.11364218504846</v>
      </c>
    </row>
    <row r="23" spans="1:43">
      <c r="A23" s="817"/>
      <c r="B23" s="860" t="s">
        <v>1599</v>
      </c>
      <c r="C23" s="883">
        <f>HLOOKUP($B$2,'Consumption Input'!$E$5:$AQ$82,'Consumption Input'!$B10)</f>
        <v>10.117000000000001</v>
      </c>
      <c r="D23" s="883">
        <f>HLOOKUP($B$2,'Consumption Input'!$E$5:$AQ$82,'Consumption Input'!$B16)</f>
        <v>1.371</v>
      </c>
      <c r="E23" s="883">
        <f>HLOOKUP($B$2,'Consumption Input'!$E$5:$AQ$82,'Consumption Input'!$B29)</f>
        <v>1.728</v>
      </c>
      <c r="F23" s="883"/>
      <c r="G23" s="883"/>
      <c r="H23" s="883">
        <f>HLOOKUP($B$2,'US Territories'!$D$28:$AC$38,'US Territories'!$B33)</f>
        <v>0.14893944349315072</v>
      </c>
      <c r="I23" s="883">
        <f t="shared" si="27"/>
        <v>13.364939443493151</v>
      </c>
      <c r="J23" s="884"/>
      <c r="K23" s="883"/>
      <c r="L23" s="883"/>
      <c r="M23" s="883"/>
      <c r="N23" s="885">
        <f t="shared" si="34"/>
        <v>10.117000000000001</v>
      </c>
      <c r="O23" s="883">
        <f t="shared" si="34"/>
        <v>1.371</v>
      </c>
      <c r="P23" s="883">
        <f t="shared" si="35"/>
        <v>1.728</v>
      </c>
      <c r="Q23" s="883">
        <f t="shared" si="36"/>
        <v>0</v>
      </c>
      <c r="R23" s="883">
        <f t="shared" si="37"/>
        <v>0</v>
      </c>
      <c r="S23" s="886">
        <f t="shared" si="38"/>
        <v>0.14893944349315072</v>
      </c>
      <c r="T23" s="883">
        <f t="shared" si="4"/>
        <v>13.364939443493151</v>
      </c>
      <c r="U23" s="887">
        <f>Factors!D28</f>
        <v>19.964104564962931</v>
      </c>
      <c r="V23" s="885">
        <f t="shared" si="39"/>
        <v>0.20197684588372999</v>
      </c>
      <c r="W23" s="883">
        <f t="shared" si="40"/>
        <v>2.7370787358564179E-2</v>
      </c>
      <c r="X23" s="883">
        <f t="shared" si="41"/>
        <v>3.449797268825594E-2</v>
      </c>
      <c r="Y23" s="883">
        <f t="shared" si="42"/>
        <v>0</v>
      </c>
      <c r="Z23" s="883">
        <f t="shared" si="43"/>
        <v>0</v>
      </c>
      <c r="AA23" s="883">
        <f t="shared" si="44"/>
        <v>2.973442623744649E-3</v>
      </c>
      <c r="AB23" s="883">
        <f t="shared" si="28"/>
        <v>0.26681904855429478</v>
      </c>
      <c r="AC23" s="888">
        <f>Factors!E28</f>
        <v>1</v>
      </c>
      <c r="AD23" s="885">
        <f t="shared" si="45"/>
        <v>0.20197684588372999</v>
      </c>
      <c r="AE23" s="883">
        <f t="shared" si="45"/>
        <v>2.7370787358564179E-2</v>
      </c>
      <c r="AF23" s="883">
        <f t="shared" si="45"/>
        <v>3.449797268825594E-2</v>
      </c>
      <c r="AG23" s="883">
        <f t="shared" si="45"/>
        <v>0</v>
      </c>
      <c r="AH23" s="883">
        <f t="shared" si="45"/>
        <v>0</v>
      </c>
      <c r="AI23" s="883">
        <f t="shared" si="45"/>
        <v>2.973442623744649E-3</v>
      </c>
      <c r="AJ23" s="889">
        <f t="shared" si="8"/>
        <v>0.26681904855429478</v>
      </c>
      <c r="AK23" s="885">
        <f t="shared" si="26"/>
        <v>0.74058176824034327</v>
      </c>
      <c r="AL23" s="883">
        <f t="shared" si="21"/>
        <v>0.10035955364806866</v>
      </c>
      <c r="AM23" s="883">
        <f t="shared" si="22"/>
        <v>0.1264925665236051</v>
      </c>
      <c r="AN23" s="883">
        <f t="shared" si="23"/>
        <v>0</v>
      </c>
      <c r="AO23" s="883">
        <f t="shared" si="24"/>
        <v>0</v>
      </c>
      <c r="AP23" s="883">
        <f t="shared" si="25"/>
        <v>1.0902622953730378E-2</v>
      </c>
      <c r="AQ23" s="890">
        <f t="shared" si="29"/>
        <v>0.9783365113657474</v>
      </c>
    </row>
    <row r="24" spans="1:43">
      <c r="A24" s="817"/>
      <c r="B24" s="860" t="s">
        <v>1600</v>
      </c>
      <c r="C24" s="883">
        <f>HLOOKUP($B$2,'Consumption Input'!$E$5:$AQ$82,'Consumption Input'!$B11)</f>
        <v>445.709</v>
      </c>
      <c r="D24" s="883">
        <f>HLOOKUP($B$2,'Consumption Input'!$E$5:$AQ$82,'Consumption Input'!$B17)</f>
        <v>148.02799999999999</v>
      </c>
      <c r="E24"/>
      <c r="F24" s="883">
        <f>HLOOKUP($B$2,'Consumption Input'!$E$5:$AQ$82,'Consumption Input'!$B53)</f>
        <v>9.9939999999999998</v>
      </c>
      <c r="G24" s="883"/>
      <c r="H24"/>
      <c r="I24" s="883">
        <f>SUM(C24:H24)</f>
        <v>603.73099999999999</v>
      </c>
      <c r="J24" s="884"/>
      <c r="K24"/>
      <c r="L24" s="883"/>
      <c r="M24" s="883"/>
      <c r="N24" s="885">
        <f>C24</f>
        <v>445.709</v>
      </c>
      <c r="O24" s="883">
        <f t="shared" si="34"/>
        <v>148.02799999999999</v>
      </c>
      <c r="P24"/>
      <c r="Q24" s="883">
        <f t="shared" si="36"/>
        <v>9.9939999999999998</v>
      </c>
      <c r="R24" s="883">
        <f t="shared" si="37"/>
        <v>0</v>
      </c>
      <c r="S24" s="886">
        <f>H24-M24</f>
        <v>0</v>
      </c>
      <c r="T24" s="883">
        <f t="shared" si="4"/>
        <v>603.73099999999999</v>
      </c>
      <c r="U24" s="1005">
        <f>HLOOKUP($B$2,Factors!$J$12:$BE$25,Factors!$H17,FALSE)</f>
        <v>17.146363636363635</v>
      </c>
      <c r="V24" s="885">
        <f>N24*$U24*TbtuToQBtu</f>
        <v>7.6422885899999997</v>
      </c>
      <c r="W24" s="883">
        <f>O24*$U24*TbtuToQBtu</f>
        <v>2.5381419163636361</v>
      </c>
      <c r="X24"/>
      <c r="Y24" s="883">
        <f>Q24*$U24*TbtuToQBtu</f>
        <v>0.17136075818181817</v>
      </c>
      <c r="Z24" s="883">
        <f t="shared" ref="Z24" si="46">R24*$U24*TbtuToQBtu</f>
        <v>0</v>
      </c>
      <c r="AA24"/>
      <c r="AB24" s="883">
        <f>SUM(V24:AA24)</f>
        <v>10.351791264545453</v>
      </c>
      <c r="AC24" s="888">
        <f>Factors!E30</f>
        <v>1</v>
      </c>
      <c r="AD24" s="885">
        <f>V24*$AC24</f>
        <v>7.6422885899999997</v>
      </c>
      <c r="AE24" s="883">
        <f t="shared" si="45"/>
        <v>2.5381419163636361</v>
      </c>
      <c r="AF24"/>
      <c r="AG24" s="883">
        <f t="shared" si="45"/>
        <v>0.17136075818181817</v>
      </c>
      <c r="AH24" s="883">
        <f t="shared" si="45"/>
        <v>0</v>
      </c>
      <c r="AI24"/>
      <c r="AJ24" s="889">
        <f t="shared" si="8"/>
        <v>10.351791264545453</v>
      </c>
      <c r="AK24" s="885">
        <f>AD24*CtoCO2</f>
        <v>28.021724829999997</v>
      </c>
      <c r="AL24" s="883">
        <f t="shared" ref="AL24" si="47">AE24*CtoCO2</f>
        <v>9.3065203599999986</v>
      </c>
      <c r="AN24" s="883">
        <f t="shared" ref="AN24" si="48">AG24*CtoCO2</f>
        <v>0.62832277999999997</v>
      </c>
      <c r="AO24" s="883">
        <f t="shared" ref="AO24" si="49">AH24*CtoCO2</f>
        <v>0</v>
      </c>
      <c r="AQ24" s="890">
        <f t="shared" si="29"/>
        <v>37.956567969999995</v>
      </c>
    </row>
    <row r="25" spans="1:43">
      <c r="A25" s="817"/>
      <c r="B25" s="860" t="s">
        <v>1609</v>
      </c>
      <c r="C25" s="883"/>
      <c r="D25" s="883"/>
      <c r="E25" s="883">
        <f>HLOOKUP($B$2,'Consumption Input'!$E$5:$AQ$82,'Consumption Input'!$B30)</f>
        <v>2456.6038462259999</v>
      </c>
      <c r="F25" s="883"/>
      <c r="G25" s="883"/>
      <c r="H25" s="883">
        <f>HLOOKUP($B$2,'US Territories'!$D$28:$AO$38,'US Territories'!$B34)</f>
        <v>8.0604780965753395</v>
      </c>
      <c r="I25" s="883">
        <f>SUM(C25:H25)</f>
        <v>2464.6643243225753</v>
      </c>
      <c r="J25" s="884"/>
      <c r="K25" s="883">
        <f>HLOOKUP($B$2,NEUConsumption,'Non-Energy Use'!$C$11)</f>
        <v>2216.7559784923624</v>
      </c>
      <c r="L25" s="883"/>
      <c r="M25" s="883"/>
      <c r="N25" s="885"/>
      <c r="O25" s="883"/>
      <c r="P25" s="883">
        <f>E25-K25</f>
        <v>239.84786773363749</v>
      </c>
      <c r="Q25" s="883"/>
      <c r="R25" s="883"/>
      <c r="S25" s="886">
        <f>H25-M25</f>
        <v>8.0604780965753395</v>
      </c>
      <c r="T25" s="883">
        <f t="shared" si="4"/>
        <v>247.90834583021282</v>
      </c>
      <c r="U25" s="1005">
        <f>HLOOKUP($B$2,Factors!$J$12:$BE$25,Factors!$H18,FALSE)</f>
        <v>17.678747622917093</v>
      </c>
      <c r="V25" s="885"/>
      <c r="W25" s="883"/>
      <c r="X25" s="883">
        <f>P25*$U25*TbtuToQBtu</f>
        <v>4.2402099215577778</v>
      </c>
      <c r="Y25" s="883"/>
      <c r="Z25" s="883"/>
      <c r="AA25" s="883">
        <f>S25*$U25*TbtuToQBtu</f>
        <v>0.14249915798940657</v>
      </c>
      <c r="AB25" s="883">
        <f>SUM(V25:AA25)</f>
        <v>4.3827090795471841</v>
      </c>
      <c r="AC25" s="888">
        <f>Factors!E31</f>
        <v>1</v>
      </c>
      <c r="AD25" s="885"/>
      <c r="AE25" s="883"/>
      <c r="AF25" s="883">
        <f>X25*$AC25</f>
        <v>4.2402099215577778</v>
      </c>
      <c r="AG25" s="883"/>
      <c r="AH25" s="883"/>
      <c r="AI25" s="883">
        <f>AA25*$AC25</f>
        <v>0.14249915798940657</v>
      </c>
      <c r="AJ25" s="889">
        <f t="shared" si="8"/>
        <v>4.3827090795471841</v>
      </c>
      <c r="AK25" s="885"/>
      <c r="AL25" s="883"/>
      <c r="AM25" s="883">
        <f>AF25*CtoCO2</f>
        <v>15.547436379045184</v>
      </c>
      <c r="AN25" s="883"/>
      <c r="AO25" s="883"/>
      <c r="AP25" s="883">
        <f>AI25*CtoCO2</f>
        <v>0.52249691262782405</v>
      </c>
      <c r="AQ25" s="890">
        <f t="shared" si="29"/>
        <v>16.069933291673006</v>
      </c>
    </row>
    <row r="26" spans="1:43">
      <c r="A26" s="817"/>
      <c r="B26" s="860" t="s">
        <v>1610</v>
      </c>
      <c r="C26" s="883"/>
      <c r="D26" s="883"/>
      <c r="E26" s="883">
        <f>HLOOKUP($B$2,'Consumption Input'!$E$5:$AQ$82,'Consumption Input'!$B31)</f>
        <v>142.13499999999999</v>
      </c>
      <c r="F26" s="883">
        <f>HLOOKUP($B$2,'Consumption Input'!$E$5:$AQ$82,'Consumption Input'!$B54)</f>
        <v>162.81100000000001</v>
      </c>
      <c r="G26" s="883"/>
      <c r="H26" s="883">
        <f>HLOOKUP($B$2,'US Territories'!$D$28:$AC$38,'US Territories'!$B35)</f>
        <v>1.0411633874999999</v>
      </c>
      <c r="I26" s="883">
        <f t="shared" si="27"/>
        <v>305.9871633875</v>
      </c>
      <c r="J26" s="884"/>
      <c r="K26" s="883">
        <f>HLOOKUP($B$2,NEUConsumption,'Non-Energy Use'!$C$12)</f>
        <v>142.13499999999999</v>
      </c>
      <c r="L26" s="883">
        <f>HLOOKUP($B$2,NEUConsumption,'Non-Energy Use'!$C$24)</f>
        <v>162.81100000000001</v>
      </c>
      <c r="M26" s="883">
        <f>HLOOKUP($B$2,NEUConsumption,'Non-Energy Use'!$C$26)</f>
        <v>1.0411633874999999</v>
      </c>
      <c r="N26" s="885">
        <f t="shared" si="34"/>
        <v>0</v>
      </c>
      <c r="O26" s="883">
        <f t="shared" si="34"/>
        <v>0</v>
      </c>
      <c r="P26" s="883">
        <f t="shared" si="35"/>
        <v>0</v>
      </c>
      <c r="Q26" s="883">
        <f>F26-J26-L26</f>
        <v>0</v>
      </c>
      <c r="R26" s="883">
        <f>G26</f>
        <v>0</v>
      </c>
      <c r="S26" s="886">
        <f t="shared" si="38"/>
        <v>0</v>
      </c>
      <c r="T26" s="883">
        <f t="shared" si="4"/>
        <v>0</v>
      </c>
      <c r="U26" s="887">
        <f>Factors!D33</f>
        <v>20.199355467286214</v>
      </c>
      <c r="V26" s="885">
        <f t="shared" si="39"/>
        <v>0</v>
      </c>
      <c r="W26" s="883">
        <f t="shared" si="40"/>
        <v>0</v>
      </c>
      <c r="X26" s="883">
        <f t="shared" si="41"/>
        <v>0</v>
      </c>
      <c r="Y26" s="883">
        <f t="shared" si="42"/>
        <v>0</v>
      </c>
      <c r="Z26" s="883">
        <f t="shared" si="43"/>
        <v>0</v>
      </c>
      <c r="AA26" s="883">
        <f t="shared" si="44"/>
        <v>0</v>
      </c>
      <c r="AB26" s="883">
        <f t="shared" si="28"/>
        <v>0</v>
      </c>
      <c r="AC26" s="888">
        <f>Factors!E33</f>
        <v>1</v>
      </c>
      <c r="AD26" s="885">
        <f t="shared" si="45"/>
        <v>0</v>
      </c>
      <c r="AE26" s="883">
        <f t="shared" si="45"/>
        <v>0</v>
      </c>
      <c r="AF26" s="883">
        <f t="shared" si="45"/>
        <v>0</v>
      </c>
      <c r="AG26" s="883">
        <f>Y26*$AC26</f>
        <v>0</v>
      </c>
      <c r="AH26" s="883">
        <f t="shared" si="45"/>
        <v>0</v>
      </c>
      <c r="AI26" s="883">
        <f t="shared" si="45"/>
        <v>0</v>
      </c>
      <c r="AJ26" s="889">
        <f t="shared" si="8"/>
        <v>0</v>
      </c>
      <c r="AK26" s="885">
        <f t="shared" si="26"/>
        <v>0</v>
      </c>
      <c r="AL26" s="883">
        <f t="shared" si="21"/>
        <v>0</v>
      </c>
      <c r="AM26" s="883">
        <f t="shared" si="22"/>
        <v>0</v>
      </c>
      <c r="AN26" s="883">
        <f>AG26*CtoCO2</f>
        <v>0</v>
      </c>
      <c r="AO26" s="883">
        <f t="shared" si="24"/>
        <v>0</v>
      </c>
      <c r="AP26" s="883">
        <f t="shared" si="25"/>
        <v>0</v>
      </c>
      <c r="AQ26" s="890">
        <f t="shared" si="29"/>
        <v>0</v>
      </c>
    </row>
    <row r="27" spans="1:43">
      <c r="A27" s="817"/>
      <c r="B27" s="860" t="s">
        <v>1601</v>
      </c>
      <c r="C27" s="883"/>
      <c r="D27" s="883">
        <f>HLOOKUP($B$2,'Consumption Input'!$E$5:$AQ$82,'Consumption Input'!$B18)</f>
        <v>468.55321482961898</v>
      </c>
      <c r="E27" s="883">
        <f>HLOOKUP($B$2,'Consumption Input'!$E$5:$AQ$82,'Consumption Input'!$B32)</f>
        <v>321.37593394893571</v>
      </c>
      <c r="F27" s="883">
        <f>HLOOKUP($B$2,'Consumption Input'!$E$5:$AQ$82,'Consumption Input'!$B55)</f>
        <v>14998.501851221452</v>
      </c>
      <c r="G27" s="883"/>
      <c r="H27" s="883">
        <f>HLOOKUP($B$2,'US Territories'!$D$28:$AC$38,'US Territories'!$B36)</f>
        <v>112.97389058381512</v>
      </c>
      <c r="I27" s="883">
        <f t="shared" si="27"/>
        <v>15901.404890583821</v>
      </c>
      <c r="J27" s="884"/>
      <c r="K27" s="883"/>
      <c r="L27" s="883"/>
      <c r="M27" s="883"/>
      <c r="N27" s="885">
        <f t="shared" si="34"/>
        <v>0</v>
      </c>
      <c r="O27" s="883">
        <f t="shared" si="34"/>
        <v>468.55321482961898</v>
      </c>
      <c r="P27" s="883">
        <f t="shared" si="35"/>
        <v>321.37593394893571</v>
      </c>
      <c r="Q27" s="883">
        <f t="shared" si="36"/>
        <v>14998.501851221452</v>
      </c>
      <c r="R27" s="883">
        <f t="shared" si="37"/>
        <v>0</v>
      </c>
      <c r="S27" s="886">
        <f t="shared" si="38"/>
        <v>112.97389058381512</v>
      </c>
      <c r="T27" s="883">
        <f t="shared" si="4"/>
        <v>15901.404890583821</v>
      </c>
      <c r="U27" s="887">
        <f>HLOOKUP($B$2,Factors!$J$12:$BE$25,Factors!$H20,FALSE)</f>
        <v>19.252564540839455</v>
      </c>
      <c r="V27" s="885">
        <f t="shared" si="39"/>
        <v>0</v>
      </c>
      <c r="W27" s="883">
        <f t="shared" si="40"/>
        <v>9.0208510093250531</v>
      </c>
      <c r="X27" s="883">
        <f t="shared" si="41"/>
        <v>6.1873109102244426</v>
      </c>
      <c r="Y27" s="883">
        <f t="shared" si="42"/>
        <v>288.75962490654103</v>
      </c>
      <c r="Z27" s="883">
        <f t="shared" si="43"/>
        <v>0</v>
      </c>
      <c r="AA27" s="883">
        <f t="shared" si="44"/>
        <v>2.1750371198946357</v>
      </c>
      <c r="AB27" s="883">
        <f t="shared" si="28"/>
        <v>306.14282394598519</v>
      </c>
      <c r="AC27" s="888">
        <f>Factors!E34</f>
        <v>1</v>
      </c>
      <c r="AD27" s="885">
        <f t="shared" si="45"/>
        <v>0</v>
      </c>
      <c r="AE27" s="883">
        <f t="shared" si="45"/>
        <v>9.0208510093250531</v>
      </c>
      <c r="AF27" s="883">
        <f t="shared" si="45"/>
        <v>6.1873109102244426</v>
      </c>
      <c r="AG27" s="883">
        <f>Y27*$AC44</f>
        <v>288.75962490654103</v>
      </c>
      <c r="AH27" s="883">
        <f t="shared" si="45"/>
        <v>0</v>
      </c>
      <c r="AI27" s="883">
        <f t="shared" si="45"/>
        <v>2.1750371198946357</v>
      </c>
      <c r="AJ27" s="889">
        <f t="shared" si="8"/>
        <v>306.14282394598519</v>
      </c>
      <c r="AK27" s="885">
        <f t="shared" si="26"/>
        <v>0</v>
      </c>
      <c r="AL27" s="883">
        <f t="shared" si="21"/>
        <v>33.076453700858529</v>
      </c>
      <c r="AM27" s="883">
        <f t="shared" si="22"/>
        <v>22.686806670822953</v>
      </c>
      <c r="AN27" s="883">
        <f t="shared" si="23"/>
        <v>1058.7852913239838</v>
      </c>
      <c r="AO27" s="883">
        <f t="shared" si="24"/>
        <v>0</v>
      </c>
      <c r="AP27" s="883">
        <f t="shared" si="25"/>
        <v>7.9751361062803303</v>
      </c>
      <c r="AQ27" s="890">
        <f t="shared" si="29"/>
        <v>1122.5236878019457</v>
      </c>
    </row>
    <row r="28" spans="1:43">
      <c r="A28" s="817"/>
      <c r="B28" s="860" t="s">
        <v>1602</v>
      </c>
      <c r="C28" s="883"/>
      <c r="D28" s="883">
        <f>HLOOKUP($B$2,'Consumption Input'!$E$5:$AQ$82,'Consumption Input'!$B19)</f>
        <v>3.972</v>
      </c>
      <c r="E28" s="883">
        <f>HLOOKUP($B$2,'Consumption Input'!$E$5:$AQ$82,'Consumption Input'!$B33)</f>
        <v>0</v>
      </c>
      <c r="F28" s="883">
        <f>HLOOKUP($B$2,'Consumption Input'!$E$5:$AQ$82,'Consumption Input'!$B56)</f>
        <v>463.4</v>
      </c>
      <c r="G28" s="883">
        <f>HLOOKUP($B$2,'Consumption Input'!$E$5:$AQ$82,'Consumption Input'!$B61)</f>
        <v>93.861000000000004</v>
      </c>
      <c r="H28" s="883">
        <f>HLOOKUP($B$2,'US Territories'!$D$28:$AC$38,'US Territories'!$B37)</f>
        <v>69.648525215596095</v>
      </c>
      <c r="I28" s="883">
        <f t="shared" si="27"/>
        <v>630.88152521559607</v>
      </c>
      <c r="J28" s="884">
        <f>HLOOKUP($B$2,IBFConsumption,'International Bunker Fuels'!$B$9)</f>
        <v>406.84953077499995</v>
      </c>
      <c r="K28" s="883"/>
      <c r="L28" s="883"/>
      <c r="M28" s="883"/>
      <c r="N28" s="885">
        <f t="shared" si="34"/>
        <v>0</v>
      </c>
      <c r="O28" s="883">
        <f t="shared" si="34"/>
        <v>3.972</v>
      </c>
      <c r="P28" s="883">
        <f t="shared" si="35"/>
        <v>0</v>
      </c>
      <c r="Q28" s="883">
        <f t="shared" si="36"/>
        <v>56.550469225000029</v>
      </c>
      <c r="R28" s="883">
        <f t="shared" si="37"/>
        <v>93.861000000000004</v>
      </c>
      <c r="S28" s="886">
        <f t="shared" si="38"/>
        <v>69.648525215596095</v>
      </c>
      <c r="T28" s="883">
        <f t="shared" si="4"/>
        <v>224.03199444059612</v>
      </c>
      <c r="U28" s="887">
        <f>Factors!D36</f>
        <v>20.48</v>
      </c>
      <c r="V28" s="885">
        <f t="shared" si="39"/>
        <v>0</v>
      </c>
      <c r="W28" s="883">
        <f t="shared" si="40"/>
        <v>8.1346559999999998E-2</v>
      </c>
      <c r="X28" s="883">
        <f t="shared" si="41"/>
        <v>0</v>
      </c>
      <c r="Y28" s="883">
        <f t="shared" si="42"/>
        <v>1.1581536097280007</v>
      </c>
      <c r="Z28" s="883">
        <f t="shared" si="43"/>
        <v>1.9222732800000002</v>
      </c>
      <c r="AA28" s="883">
        <f t="shared" si="44"/>
        <v>1.4264017964154079</v>
      </c>
      <c r="AB28" s="883">
        <f t="shared" si="28"/>
        <v>4.5881752461434084</v>
      </c>
      <c r="AC28" s="888">
        <f>Factors!E36</f>
        <v>1</v>
      </c>
      <c r="AD28" s="885">
        <f t="shared" si="45"/>
        <v>0</v>
      </c>
      <c r="AE28" s="883">
        <f t="shared" si="45"/>
        <v>8.1346559999999998E-2</v>
      </c>
      <c r="AF28" s="883">
        <f t="shared" si="45"/>
        <v>0</v>
      </c>
      <c r="AG28" s="883">
        <f t="shared" si="45"/>
        <v>1.1581536097280007</v>
      </c>
      <c r="AH28" s="883">
        <f t="shared" si="45"/>
        <v>1.9222732800000002</v>
      </c>
      <c r="AI28" s="883">
        <f t="shared" si="45"/>
        <v>1.4264017964154079</v>
      </c>
      <c r="AJ28" s="889">
        <f t="shared" si="8"/>
        <v>4.5881752461434084</v>
      </c>
      <c r="AK28" s="885">
        <f t="shared" si="26"/>
        <v>0</v>
      </c>
      <c r="AL28" s="883">
        <f t="shared" si="21"/>
        <v>0.29827071999999999</v>
      </c>
      <c r="AM28" s="883">
        <f t="shared" si="22"/>
        <v>0</v>
      </c>
      <c r="AN28" s="883">
        <f t="shared" si="23"/>
        <v>4.2465632356693357</v>
      </c>
      <c r="AO28" s="883">
        <f t="shared" si="24"/>
        <v>7.0483353600000003</v>
      </c>
      <c r="AP28" s="883">
        <f t="shared" si="25"/>
        <v>5.2301399201898287</v>
      </c>
      <c r="AQ28" s="890">
        <f t="shared" si="29"/>
        <v>16.823309235859163</v>
      </c>
    </row>
    <row r="29" spans="1:43">
      <c r="A29" s="817"/>
      <c r="B29" s="860" t="s">
        <v>1603</v>
      </c>
      <c r="C29" s="883"/>
      <c r="D29" s="883"/>
      <c r="E29" s="883"/>
      <c r="F29" s="883"/>
      <c r="G29" s="883"/>
      <c r="H29" s="883"/>
      <c r="I29" s="883"/>
      <c r="J29" s="884"/>
      <c r="K29" s="883"/>
      <c r="L29" s="883"/>
      <c r="M29" s="883"/>
      <c r="N29" s="885">
        <f t="shared" si="34"/>
        <v>0</v>
      </c>
      <c r="O29" s="883">
        <f t="shared" si="34"/>
        <v>0</v>
      </c>
      <c r="P29" s="883">
        <f t="shared" si="35"/>
        <v>0</v>
      </c>
      <c r="Q29" s="883">
        <f t="shared" si="36"/>
        <v>0</v>
      </c>
      <c r="R29" s="883">
        <f t="shared" si="37"/>
        <v>0</v>
      </c>
      <c r="S29" s="886">
        <f t="shared" si="38"/>
        <v>0</v>
      </c>
      <c r="T29" s="883">
        <f t="shared" si="4"/>
        <v>0</v>
      </c>
      <c r="U29" s="887"/>
      <c r="V29" s="885">
        <f t="shared" si="39"/>
        <v>0</v>
      </c>
      <c r="W29" s="883">
        <f t="shared" si="40"/>
        <v>0</v>
      </c>
      <c r="X29" s="883">
        <f t="shared" si="41"/>
        <v>0</v>
      </c>
      <c r="Y29" s="883">
        <f t="shared" si="42"/>
        <v>0</v>
      </c>
      <c r="Z29" s="883">
        <f t="shared" si="43"/>
        <v>0</v>
      </c>
      <c r="AA29" s="883">
        <f t="shared" si="44"/>
        <v>0</v>
      </c>
      <c r="AB29" s="883">
        <f t="shared" si="28"/>
        <v>0</v>
      </c>
      <c r="AC29" s="888"/>
      <c r="AD29" s="885">
        <f t="shared" si="45"/>
        <v>0</v>
      </c>
      <c r="AE29" s="883">
        <f t="shared" si="45"/>
        <v>0</v>
      </c>
      <c r="AF29" s="883">
        <f t="shared" si="45"/>
        <v>0</v>
      </c>
      <c r="AG29" s="883">
        <f t="shared" si="45"/>
        <v>0</v>
      </c>
      <c r="AH29" s="883">
        <f t="shared" si="45"/>
        <v>0</v>
      </c>
      <c r="AI29" s="883">
        <f t="shared" si="45"/>
        <v>0</v>
      </c>
      <c r="AJ29" s="889">
        <f t="shared" si="8"/>
        <v>0</v>
      </c>
      <c r="AK29" s="885">
        <f t="shared" si="26"/>
        <v>0</v>
      </c>
      <c r="AL29" s="883">
        <f t="shared" si="21"/>
        <v>0</v>
      </c>
      <c r="AM29" s="883">
        <f t="shared" si="22"/>
        <v>0</v>
      </c>
      <c r="AN29" s="883">
        <f t="shared" si="23"/>
        <v>0</v>
      </c>
      <c r="AO29" s="883">
        <f t="shared" si="24"/>
        <v>0</v>
      </c>
      <c r="AP29" s="883">
        <f t="shared" si="25"/>
        <v>0</v>
      </c>
      <c r="AQ29" s="890">
        <f t="shared" si="29"/>
        <v>0</v>
      </c>
    </row>
    <row r="30" spans="1:43">
      <c r="A30" s="817"/>
      <c r="B30" s="865" t="s">
        <v>1611</v>
      </c>
      <c r="C30" s="883"/>
      <c r="D30" s="883"/>
      <c r="E30" s="883">
        <f>HLOOKUP($B$2,'Consumption Input'!$E$5:$AQ$82,'Consumption Input'!$B35)</f>
        <v>-0.34831200000000001</v>
      </c>
      <c r="F30" s="883"/>
      <c r="G30" s="883"/>
      <c r="H30" s="883"/>
      <c r="I30" s="883">
        <f t="shared" ref="I30:I41" si="50">SUM(C30:H30)</f>
        <v>-0.34831200000000001</v>
      </c>
      <c r="J30" s="884"/>
      <c r="K30" s="883"/>
      <c r="L30" s="883"/>
      <c r="M30" s="883"/>
      <c r="N30" s="885">
        <f t="shared" si="34"/>
        <v>0</v>
      </c>
      <c r="O30" s="883">
        <f t="shared" si="34"/>
        <v>0</v>
      </c>
      <c r="P30" s="883">
        <f t="shared" si="35"/>
        <v>-0.34831200000000001</v>
      </c>
      <c r="Q30" s="883">
        <f t="shared" si="36"/>
        <v>0</v>
      </c>
      <c r="R30" s="883">
        <f t="shared" si="37"/>
        <v>0</v>
      </c>
      <c r="S30" s="886">
        <f t="shared" si="38"/>
        <v>0</v>
      </c>
      <c r="T30" s="883">
        <f t="shared" si="4"/>
        <v>-0.34831200000000001</v>
      </c>
      <c r="U30" s="887">
        <f>Factors!D39</f>
        <v>18.87</v>
      </c>
      <c r="V30" s="885">
        <f t="shared" si="39"/>
        <v>0</v>
      </c>
      <c r="W30" s="883">
        <f t="shared" si="40"/>
        <v>0</v>
      </c>
      <c r="X30" s="883">
        <f t="shared" si="41"/>
        <v>-6.5726474400000009E-3</v>
      </c>
      <c r="Y30" s="883">
        <f t="shared" si="42"/>
        <v>0</v>
      </c>
      <c r="Z30" s="883">
        <f t="shared" si="43"/>
        <v>0</v>
      </c>
      <c r="AA30" s="883">
        <f t="shared" si="44"/>
        <v>0</v>
      </c>
      <c r="AB30" s="883">
        <f t="shared" si="28"/>
        <v>-6.5726474400000009E-3</v>
      </c>
      <c r="AC30" s="888">
        <f>Factors!E39</f>
        <v>1</v>
      </c>
      <c r="AD30" s="885">
        <f t="shared" si="45"/>
        <v>0</v>
      </c>
      <c r="AE30" s="883">
        <f t="shared" si="45"/>
        <v>0</v>
      </c>
      <c r="AF30" s="883">
        <f t="shared" si="45"/>
        <v>-6.5726474400000009E-3</v>
      </c>
      <c r="AG30" s="883">
        <f t="shared" si="45"/>
        <v>0</v>
      </c>
      <c r="AH30" s="883">
        <f t="shared" si="45"/>
        <v>0</v>
      </c>
      <c r="AI30" s="883">
        <f t="shared" si="45"/>
        <v>0</v>
      </c>
      <c r="AJ30" s="889">
        <f t="shared" si="8"/>
        <v>-6.5726474400000009E-3</v>
      </c>
      <c r="AK30" s="885">
        <f t="shared" si="26"/>
        <v>0</v>
      </c>
      <c r="AL30" s="883">
        <f t="shared" si="21"/>
        <v>0</v>
      </c>
      <c r="AM30" s="883">
        <f t="shared" si="22"/>
        <v>-2.4099707280000004E-2</v>
      </c>
      <c r="AN30" s="883">
        <f t="shared" si="23"/>
        <v>0</v>
      </c>
      <c r="AO30" s="883">
        <f t="shared" si="24"/>
        <v>0</v>
      </c>
      <c r="AP30" s="883">
        <f t="shared" si="25"/>
        <v>0</v>
      </c>
      <c r="AQ30" s="890">
        <f t="shared" si="29"/>
        <v>-2.4099707280000004E-2</v>
      </c>
    </row>
    <row r="31" spans="1:43">
      <c r="A31" s="817"/>
      <c r="B31" s="865" t="s">
        <v>1612</v>
      </c>
      <c r="C31" s="883"/>
      <c r="D31" s="883"/>
      <c r="E31" s="883">
        <f>HLOOKUP($B$2,'Consumption Input'!$E$5:$AQ$82,'Consumption Input'!$B36)</f>
        <v>0</v>
      </c>
      <c r="F31" s="883"/>
      <c r="G31" s="883"/>
      <c r="H31" s="883"/>
      <c r="I31" s="883">
        <f t="shared" si="50"/>
        <v>0</v>
      </c>
      <c r="J31" s="884"/>
      <c r="K31" s="883"/>
      <c r="L31" s="883"/>
      <c r="M31" s="883"/>
      <c r="N31" s="885">
        <f t="shared" si="34"/>
        <v>0</v>
      </c>
      <c r="O31" s="883">
        <f t="shared" si="34"/>
        <v>0</v>
      </c>
      <c r="P31" s="883">
        <f t="shared" si="35"/>
        <v>0</v>
      </c>
      <c r="Q31" s="883">
        <f t="shared" si="36"/>
        <v>0</v>
      </c>
      <c r="R31" s="883">
        <f t="shared" si="37"/>
        <v>0</v>
      </c>
      <c r="S31" s="886">
        <f t="shared" si="38"/>
        <v>0</v>
      </c>
      <c r="T31" s="883">
        <f t="shared" si="4"/>
        <v>0</v>
      </c>
      <c r="U31" s="887">
        <f>HLOOKUP($B$2,Factors!$J$12:$BE$25,Factors!$H25,FALSE)</f>
        <v>20.305515594827586</v>
      </c>
      <c r="V31" s="885">
        <f t="shared" si="39"/>
        <v>0</v>
      </c>
      <c r="W31" s="883">
        <f t="shared" si="40"/>
        <v>0</v>
      </c>
      <c r="X31" s="883">
        <f t="shared" si="41"/>
        <v>0</v>
      </c>
      <c r="Y31" s="883">
        <f t="shared" si="42"/>
        <v>0</v>
      </c>
      <c r="Z31" s="883">
        <f t="shared" si="43"/>
        <v>0</v>
      </c>
      <c r="AA31" s="883">
        <f t="shared" si="44"/>
        <v>0</v>
      </c>
      <c r="AB31" s="883">
        <f t="shared" si="28"/>
        <v>0</v>
      </c>
      <c r="AC31" s="888">
        <f>Factors!E40</f>
        <v>1</v>
      </c>
      <c r="AD31" s="885">
        <f t="shared" si="45"/>
        <v>0</v>
      </c>
      <c r="AE31" s="883">
        <f t="shared" si="45"/>
        <v>0</v>
      </c>
      <c r="AF31" s="883">
        <f t="shared" si="45"/>
        <v>0</v>
      </c>
      <c r="AG31" s="883">
        <f t="shared" si="45"/>
        <v>0</v>
      </c>
      <c r="AH31" s="883">
        <f t="shared" si="45"/>
        <v>0</v>
      </c>
      <c r="AI31" s="883">
        <f t="shared" si="45"/>
        <v>0</v>
      </c>
      <c r="AJ31" s="889">
        <f t="shared" si="8"/>
        <v>0</v>
      </c>
      <c r="AK31" s="885">
        <f t="shared" si="26"/>
        <v>0</v>
      </c>
      <c r="AL31" s="883">
        <f t="shared" si="21"/>
        <v>0</v>
      </c>
      <c r="AM31" s="883">
        <f t="shared" si="22"/>
        <v>0</v>
      </c>
      <c r="AN31" s="883">
        <f t="shared" si="23"/>
        <v>0</v>
      </c>
      <c r="AO31" s="883">
        <f t="shared" si="24"/>
        <v>0</v>
      </c>
      <c r="AP31" s="883">
        <f t="shared" si="25"/>
        <v>0</v>
      </c>
      <c r="AQ31" s="890">
        <f t="shared" si="29"/>
        <v>0</v>
      </c>
    </row>
    <row r="32" spans="1:43">
      <c r="A32" s="817"/>
      <c r="B32" s="865" t="s">
        <v>1613</v>
      </c>
      <c r="C32" s="883"/>
      <c r="D32" s="883"/>
      <c r="E32" s="883">
        <f>HLOOKUP($B$2,'Consumption Input'!$E$5:$AQ$82,'Consumption Input'!$B37)</f>
        <v>0</v>
      </c>
      <c r="F32" s="883"/>
      <c r="G32" s="883"/>
      <c r="H32" s="883"/>
      <c r="I32" s="883">
        <f t="shared" si="50"/>
        <v>0</v>
      </c>
      <c r="J32" s="884"/>
      <c r="K32" s="883"/>
      <c r="L32" s="883"/>
      <c r="M32" s="883"/>
      <c r="N32" s="885">
        <f t="shared" si="34"/>
        <v>0</v>
      </c>
      <c r="O32" s="883">
        <f t="shared" si="34"/>
        <v>0</v>
      </c>
      <c r="P32" s="883">
        <f t="shared" si="35"/>
        <v>0</v>
      </c>
      <c r="Q32" s="883">
        <f t="shared" si="36"/>
        <v>0</v>
      </c>
      <c r="R32" s="883">
        <f t="shared" si="37"/>
        <v>0</v>
      </c>
      <c r="S32" s="886">
        <f t="shared" si="38"/>
        <v>0</v>
      </c>
      <c r="T32" s="883">
        <f t="shared" si="4"/>
        <v>0</v>
      </c>
      <c r="U32" s="887">
        <f>HLOOKUP($B$2,Factors!$J$12:$BE$25,Factors!$H22,FALSE)</f>
        <v>19.456118437849259</v>
      </c>
      <c r="V32" s="885">
        <f t="shared" si="39"/>
        <v>0</v>
      </c>
      <c r="W32" s="883">
        <f t="shared" si="40"/>
        <v>0</v>
      </c>
      <c r="X32" s="883">
        <f t="shared" si="41"/>
        <v>0</v>
      </c>
      <c r="Y32" s="883">
        <f t="shared" si="42"/>
        <v>0</v>
      </c>
      <c r="Z32" s="883">
        <f t="shared" si="43"/>
        <v>0</v>
      </c>
      <c r="AA32" s="883">
        <f t="shared" si="44"/>
        <v>0</v>
      </c>
      <c r="AB32" s="883">
        <f t="shared" si="28"/>
        <v>0</v>
      </c>
      <c r="AC32" s="888">
        <f>Factors!E41</f>
        <v>1</v>
      </c>
      <c r="AD32" s="885">
        <f t="shared" si="45"/>
        <v>0</v>
      </c>
      <c r="AE32" s="883">
        <f t="shared" si="45"/>
        <v>0</v>
      </c>
      <c r="AF32" s="883">
        <f t="shared" si="45"/>
        <v>0</v>
      </c>
      <c r="AG32" s="883">
        <f t="shared" si="45"/>
        <v>0</v>
      </c>
      <c r="AH32" s="883">
        <f t="shared" si="45"/>
        <v>0</v>
      </c>
      <c r="AI32" s="883">
        <f t="shared" si="45"/>
        <v>0</v>
      </c>
      <c r="AJ32" s="889">
        <f t="shared" si="8"/>
        <v>0</v>
      </c>
      <c r="AK32" s="885">
        <f t="shared" si="26"/>
        <v>0</v>
      </c>
      <c r="AL32" s="883">
        <f t="shared" si="21"/>
        <v>0</v>
      </c>
      <c r="AM32" s="883">
        <f t="shared" si="22"/>
        <v>0</v>
      </c>
      <c r="AN32" s="883">
        <f t="shared" si="23"/>
        <v>0</v>
      </c>
      <c r="AO32" s="883">
        <f t="shared" si="24"/>
        <v>0</v>
      </c>
      <c r="AP32" s="883">
        <f t="shared" si="25"/>
        <v>0</v>
      </c>
      <c r="AQ32" s="890">
        <f t="shared" si="29"/>
        <v>0</v>
      </c>
    </row>
    <row r="33" spans="1:43">
      <c r="A33" s="817"/>
      <c r="B33" s="865" t="s">
        <v>1739</v>
      </c>
      <c r="C33" s="883"/>
      <c r="D33" s="883"/>
      <c r="E33" s="883">
        <f>HLOOKUP($B$2,'Consumption Input'!$E$5:$AQ$82,'Consumption Input'!$B38)</f>
        <v>188.926108812</v>
      </c>
      <c r="F33" s="883"/>
      <c r="G33" s="883"/>
      <c r="H33" s="883">
        <f>HLOOKUP($B$2,'US Territories'!$D$28:$AC$38,'US Territories'!$B38)</f>
        <v>9.3075812921917827</v>
      </c>
      <c r="I33" s="883">
        <f t="shared" si="50"/>
        <v>198.23369010419177</v>
      </c>
      <c r="J33" s="884"/>
      <c r="K33" s="883">
        <f>HLOOKUP($B$2,NEUConsumption,'Non-Energy Use'!C22)</f>
        <v>188.926108812</v>
      </c>
      <c r="L33" s="883"/>
      <c r="M33" s="883">
        <f>HLOOKUP($B$2,NEUConsumption,'Non-Energy Use'!$C$27)</f>
        <v>9.3075812921917827</v>
      </c>
      <c r="N33" s="885">
        <f t="shared" si="34"/>
        <v>0</v>
      </c>
      <c r="O33" s="883">
        <f t="shared" si="34"/>
        <v>0</v>
      </c>
      <c r="P33" s="883">
        <f t="shared" si="35"/>
        <v>0</v>
      </c>
      <c r="Q33" s="883">
        <f t="shared" si="36"/>
        <v>0</v>
      </c>
      <c r="R33" s="883">
        <f t="shared" si="37"/>
        <v>0</v>
      </c>
      <c r="S33" s="886">
        <f t="shared" si="38"/>
        <v>0</v>
      </c>
      <c r="T33" s="883">
        <f t="shared" si="4"/>
        <v>0</v>
      </c>
      <c r="U33" s="887">
        <f>HLOOKUP($B$2,Factors!$J$12:$BE$25,Factors!$H23,FALSE)</f>
        <v>0</v>
      </c>
      <c r="V33" s="885">
        <f t="shared" si="39"/>
        <v>0</v>
      </c>
      <c r="W33" s="883">
        <f t="shared" si="40"/>
        <v>0</v>
      </c>
      <c r="X33" s="883">
        <f t="shared" si="41"/>
        <v>0</v>
      </c>
      <c r="Y33" s="883">
        <f t="shared" si="42"/>
        <v>0</v>
      </c>
      <c r="Z33" s="883">
        <f t="shared" si="43"/>
        <v>0</v>
      </c>
      <c r="AA33" s="883">
        <f t="shared" si="44"/>
        <v>0</v>
      </c>
      <c r="AB33" s="883">
        <f t="shared" si="28"/>
        <v>0</v>
      </c>
      <c r="AC33" s="888">
        <f>Factors!E42</f>
        <v>1</v>
      </c>
      <c r="AD33" s="885">
        <f t="shared" si="45"/>
        <v>0</v>
      </c>
      <c r="AE33" s="883">
        <f t="shared" si="45"/>
        <v>0</v>
      </c>
      <c r="AF33" s="883">
        <f t="shared" si="45"/>
        <v>0</v>
      </c>
      <c r="AG33" s="883">
        <f t="shared" si="45"/>
        <v>0</v>
      </c>
      <c r="AH33" s="883">
        <f t="shared" si="45"/>
        <v>0</v>
      </c>
      <c r="AI33" s="883">
        <f t="shared" si="45"/>
        <v>0</v>
      </c>
      <c r="AJ33" s="889">
        <f t="shared" si="8"/>
        <v>0</v>
      </c>
      <c r="AK33" s="885">
        <f t="shared" si="26"/>
        <v>0</v>
      </c>
      <c r="AL33" s="883">
        <f t="shared" si="21"/>
        <v>0</v>
      </c>
      <c r="AM33" s="883">
        <f t="shared" si="22"/>
        <v>0</v>
      </c>
      <c r="AN33" s="883">
        <f t="shared" si="23"/>
        <v>0</v>
      </c>
      <c r="AO33" s="883">
        <f t="shared" si="24"/>
        <v>0</v>
      </c>
      <c r="AP33" s="883">
        <f t="shared" si="25"/>
        <v>0</v>
      </c>
      <c r="AQ33" s="890">
        <f t="shared" si="29"/>
        <v>0</v>
      </c>
    </row>
    <row r="34" spans="1:43">
      <c r="A34" s="817"/>
      <c r="B34" s="865" t="s">
        <v>1615</v>
      </c>
      <c r="C34" s="883"/>
      <c r="D34" s="883"/>
      <c r="E34" s="883">
        <f>HLOOKUP($B$2,'Consumption Input'!$E$5:$AQ$82,'Consumption Input'!$B39)</f>
        <v>428.05836799999997</v>
      </c>
      <c r="F34" s="883"/>
      <c r="G34" s="883"/>
      <c r="H34" s="883"/>
      <c r="I34" s="883">
        <f t="shared" si="50"/>
        <v>428.05836799999997</v>
      </c>
      <c r="J34" s="884"/>
      <c r="K34" s="883">
        <f>HLOOKUP($B$2,NEUConsumption,'Non-Energy Use'!C14)</f>
        <v>428.05836799999997</v>
      </c>
      <c r="L34" s="883"/>
      <c r="M34" s="883"/>
      <c r="N34" s="885">
        <f t="shared" si="34"/>
        <v>0</v>
      </c>
      <c r="O34" s="883">
        <f t="shared" si="34"/>
        <v>0</v>
      </c>
      <c r="P34" s="883">
        <f t="shared" si="35"/>
        <v>0</v>
      </c>
      <c r="Q34" s="883">
        <f t="shared" si="36"/>
        <v>0</v>
      </c>
      <c r="R34" s="883">
        <f t="shared" si="37"/>
        <v>0</v>
      </c>
      <c r="S34" s="886">
        <f t="shared" si="38"/>
        <v>0</v>
      </c>
      <c r="T34" s="883">
        <f t="shared" si="4"/>
        <v>0</v>
      </c>
      <c r="U34" s="887">
        <f>Factors!D44</f>
        <v>18.550649350649344</v>
      </c>
      <c r="V34" s="885">
        <f t="shared" si="39"/>
        <v>0</v>
      </c>
      <c r="W34" s="883">
        <f t="shared" si="40"/>
        <v>0</v>
      </c>
      <c r="X34" s="883">
        <f t="shared" si="41"/>
        <v>0</v>
      </c>
      <c r="Y34" s="883">
        <f t="shared" si="42"/>
        <v>0</v>
      </c>
      <c r="Z34" s="883">
        <f t="shared" si="43"/>
        <v>0</v>
      </c>
      <c r="AA34" s="883">
        <f t="shared" si="44"/>
        <v>0</v>
      </c>
      <c r="AB34" s="883">
        <f t="shared" si="28"/>
        <v>0</v>
      </c>
      <c r="AC34" s="888">
        <f>Factors!E44</f>
        <v>1</v>
      </c>
      <c r="AD34" s="885">
        <f t="shared" si="45"/>
        <v>0</v>
      </c>
      <c r="AE34" s="883">
        <f t="shared" si="45"/>
        <v>0</v>
      </c>
      <c r="AF34" s="883">
        <f t="shared" si="45"/>
        <v>0</v>
      </c>
      <c r="AG34" s="883">
        <f t="shared" si="45"/>
        <v>0</v>
      </c>
      <c r="AH34" s="883">
        <f t="shared" si="45"/>
        <v>0</v>
      </c>
      <c r="AI34" s="883">
        <f t="shared" si="45"/>
        <v>0</v>
      </c>
      <c r="AJ34" s="889">
        <f t="shared" si="8"/>
        <v>0</v>
      </c>
      <c r="AK34" s="885">
        <f t="shared" si="26"/>
        <v>0</v>
      </c>
      <c r="AL34" s="883">
        <f t="shared" si="21"/>
        <v>0</v>
      </c>
      <c r="AM34" s="883">
        <f t="shared" si="22"/>
        <v>0</v>
      </c>
      <c r="AN34" s="883">
        <f t="shared" si="23"/>
        <v>0</v>
      </c>
      <c r="AO34" s="883">
        <f t="shared" si="24"/>
        <v>0</v>
      </c>
      <c r="AP34" s="883">
        <f t="shared" si="25"/>
        <v>0</v>
      </c>
      <c r="AQ34" s="890">
        <f t="shared" si="29"/>
        <v>0</v>
      </c>
    </row>
    <row r="35" spans="1:43">
      <c r="A35" s="817"/>
      <c r="B35" s="865" t="s">
        <v>1616</v>
      </c>
      <c r="C35" s="883"/>
      <c r="D35" s="883"/>
      <c r="E35" s="883">
        <f>HLOOKUP($B$2,'Consumption Input'!$E$5:$AQ$82,'Consumption Input'!$B40)</f>
        <v>229.03899999999999</v>
      </c>
      <c r="F35" s="883"/>
      <c r="G35" s="883"/>
      <c r="H35" s="883"/>
      <c r="I35" s="883">
        <f t="shared" si="50"/>
        <v>229.03899999999999</v>
      </c>
      <c r="J35" s="884"/>
      <c r="K35" s="883">
        <f>HLOOKUP($B$2,NEUConsumption,'Non-Energy Use'!$C$15)</f>
        <v>229.03899999999999</v>
      </c>
      <c r="L35" s="883"/>
      <c r="M35" s="883"/>
      <c r="N35" s="885">
        <f t="shared" si="34"/>
        <v>0</v>
      </c>
      <c r="O35" s="883">
        <f t="shared" si="34"/>
        <v>0</v>
      </c>
      <c r="P35" s="883">
        <f t="shared" si="35"/>
        <v>0</v>
      </c>
      <c r="Q35" s="883">
        <f t="shared" si="36"/>
        <v>0</v>
      </c>
      <c r="R35" s="883">
        <f t="shared" si="37"/>
        <v>0</v>
      </c>
      <c r="S35" s="886">
        <f t="shared" si="38"/>
        <v>0</v>
      </c>
      <c r="T35" s="883">
        <f t="shared" si="4"/>
        <v>0</v>
      </c>
      <c r="U35" s="887">
        <f>Factors!D45</f>
        <v>20.170000000000002</v>
      </c>
      <c r="V35" s="885">
        <f t="shared" si="39"/>
        <v>0</v>
      </c>
      <c r="W35" s="883">
        <f t="shared" si="40"/>
        <v>0</v>
      </c>
      <c r="X35" s="883">
        <f t="shared" si="41"/>
        <v>0</v>
      </c>
      <c r="Y35" s="883">
        <f t="shared" si="42"/>
        <v>0</v>
      </c>
      <c r="Z35" s="883">
        <f t="shared" si="43"/>
        <v>0</v>
      </c>
      <c r="AA35" s="883">
        <f t="shared" si="44"/>
        <v>0</v>
      </c>
      <c r="AB35" s="883">
        <f t="shared" si="28"/>
        <v>0</v>
      </c>
      <c r="AC35" s="888">
        <f>Factors!E45</f>
        <v>1</v>
      </c>
      <c r="AD35" s="885">
        <f t="shared" si="45"/>
        <v>0</v>
      </c>
      <c r="AE35" s="883">
        <f t="shared" si="45"/>
        <v>0</v>
      </c>
      <c r="AF35" s="883">
        <f t="shared" si="45"/>
        <v>0</v>
      </c>
      <c r="AG35" s="883">
        <f t="shared" si="45"/>
        <v>0</v>
      </c>
      <c r="AH35" s="883">
        <f t="shared" si="45"/>
        <v>0</v>
      </c>
      <c r="AI35" s="883">
        <f t="shared" si="45"/>
        <v>0</v>
      </c>
      <c r="AJ35" s="889">
        <f t="shared" si="8"/>
        <v>0</v>
      </c>
      <c r="AK35" s="885">
        <f t="shared" si="26"/>
        <v>0</v>
      </c>
      <c r="AL35" s="883">
        <f t="shared" si="21"/>
        <v>0</v>
      </c>
      <c r="AM35" s="883">
        <f t="shared" si="22"/>
        <v>0</v>
      </c>
      <c r="AN35" s="883">
        <f t="shared" si="23"/>
        <v>0</v>
      </c>
      <c r="AO35" s="883">
        <f t="shared" si="24"/>
        <v>0</v>
      </c>
      <c r="AP35" s="883">
        <f t="shared" si="25"/>
        <v>0</v>
      </c>
      <c r="AQ35" s="890">
        <f t="shared" si="29"/>
        <v>0</v>
      </c>
    </row>
    <row r="36" spans="1:43">
      <c r="A36" s="817"/>
      <c r="B36" s="865" t="s">
        <v>1617</v>
      </c>
      <c r="C36" s="883"/>
      <c r="D36" s="883"/>
      <c r="E36" s="883">
        <f>HLOOKUP($B$2,'Consumption Input'!$E$5:$AQ$82,'Consumption Input'!$B41)</f>
        <v>0</v>
      </c>
      <c r="F36" s="883"/>
      <c r="G36" s="883"/>
      <c r="H36" s="883"/>
      <c r="I36" s="883">
        <f t="shared" si="50"/>
        <v>0</v>
      </c>
      <c r="J36" s="884"/>
      <c r="K36" s="883">
        <f>HLOOKUP($B$2,NEUConsumption,'Non-Energy Use'!$C$13)</f>
        <v>0</v>
      </c>
      <c r="L36" s="883"/>
      <c r="M36" s="883"/>
      <c r="N36" s="885">
        <f t="shared" si="34"/>
        <v>0</v>
      </c>
      <c r="O36" s="883">
        <f t="shared" si="34"/>
        <v>0</v>
      </c>
      <c r="P36" s="883">
        <f t="shared" si="35"/>
        <v>0</v>
      </c>
      <c r="Q36" s="883">
        <f t="shared" si="36"/>
        <v>0</v>
      </c>
      <c r="R36" s="883">
        <f t="shared" si="37"/>
        <v>0</v>
      </c>
      <c r="S36" s="886">
        <f t="shared" si="38"/>
        <v>0</v>
      </c>
      <c r="T36" s="883">
        <f t="shared" si="4"/>
        <v>0</v>
      </c>
      <c r="U36" s="887">
        <f>Factors!D46</f>
        <v>18.239999999999998</v>
      </c>
      <c r="V36" s="885">
        <f t="shared" si="39"/>
        <v>0</v>
      </c>
      <c r="W36" s="883">
        <f t="shared" si="40"/>
        <v>0</v>
      </c>
      <c r="X36" s="883">
        <f t="shared" si="41"/>
        <v>0</v>
      </c>
      <c r="Y36" s="883">
        <f t="shared" si="42"/>
        <v>0</v>
      </c>
      <c r="Z36" s="883">
        <f t="shared" si="43"/>
        <v>0</v>
      </c>
      <c r="AA36" s="883">
        <f t="shared" si="44"/>
        <v>0</v>
      </c>
      <c r="AB36" s="883">
        <f t="shared" si="28"/>
        <v>0</v>
      </c>
      <c r="AC36" s="888">
        <f>Factors!E46</f>
        <v>1</v>
      </c>
      <c r="AD36" s="885">
        <f t="shared" ref="AD36:AI42" si="51">V36*$AC36</f>
        <v>0</v>
      </c>
      <c r="AE36" s="883">
        <f t="shared" si="51"/>
        <v>0</v>
      </c>
      <c r="AF36" s="883">
        <f t="shared" si="51"/>
        <v>0</v>
      </c>
      <c r="AG36" s="883">
        <f t="shared" si="51"/>
        <v>0</v>
      </c>
      <c r="AH36" s="883">
        <f t="shared" si="51"/>
        <v>0</v>
      </c>
      <c r="AI36" s="883">
        <f t="shared" si="51"/>
        <v>0</v>
      </c>
      <c r="AJ36" s="889">
        <f t="shared" si="8"/>
        <v>0</v>
      </c>
      <c r="AK36" s="885">
        <f t="shared" si="26"/>
        <v>0</v>
      </c>
      <c r="AL36" s="883">
        <f t="shared" si="21"/>
        <v>0</v>
      </c>
      <c r="AM36" s="883">
        <f t="shared" si="22"/>
        <v>0</v>
      </c>
      <c r="AN36" s="883">
        <f t="shared" si="23"/>
        <v>0</v>
      </c>
      <c r="AO36" s="883">
        <f t="shared" si="24"/>
        <v>0</v>
      </c>
      <c r="AP36" s="883">
        <f t="shared" si="25"/>
        <v>0</v>
      </c>
      <c r="AQ36" s="890">
        <f t="shared" si="29"/>
        <v>0</v>
      </c>
    </row>
    <row r="37" spans="1:43">
      <c r="A37" s="817"/>
      <c r="B37" s="865" t="s">
        <v>1604</v>
      </c>
      <c r="C37" s="883"/>
      <c r="D37" s="883">
        <f>HLOOKUP($B$2,'Consumption Input'!$E$5:$AQ$82,'Consumption Input'!$B21)</f>
        <v>0.52100000000000002</v>
      </c>
      <c r="E37" s="883">
        <f>HLOOKUP($B$2,'Consumption Input'!$E$5:$AQ$82,'Consumption Input'!$B42)</f>
        <v>663.28599999999994</v>
      </c>
      <c r="F37" s="883"/>
      <c r="G37" s="883">
        <f>HLOOKUP($B$2,'Consumption Input'!$E$5:$AQ$82,'Consumption Input'!$B63)</f>
        <v>111.71599999999999</v>
      </c>
      <c r="H37" s="883"/>
      <c r="I37" s="883">
        <f t="shared" si="50"/>
        <v>775.52299999999991</v>
      </c>
      <c r="J37" s="884"/>
      <c r="K37" s="883">
        <f>HLOOKUP($B$2,NEUConsumption,'Non-Energy Use'!$C$17)</f>
        <v>62.521109549038684</v>
      </c>
      <c r="L37" s="883"/>
      <c r="M37" s="883"/>
      <c r="N37" s="885">
        <f t="shared" si="34"/>
        <v>0</v>
      </c>
      <c r="O37" s="883">
        <f t="shared" si="34"/>
        <v>0.52100000000000002</v>
      </c>
      <c r="P37" s="883">
        <f t="shared" si="35"/>
        <v>600.76489045096127</v>
      </c>
      <c r="Q37" s="883">
        <f t="shared" si="36"/>
        <v>0</v>
      </c>
      <c r="R37" s="883">
        <f t="shared" si="37"/>
        <v>111.71599999999999</v>
      </c>
      <c r="S37" s="886">
        <f t="shared" si="38"/>
        <v>0</v>
      </c>
      <c r="T37" s="883">
        <f t="shared" si="4"/>
        <v>713.00189045096124</v>
      </c>
      <c r="U37" s="887">
        <f>Factors!D48</f>
        <v>27.84770010865628</v>
      </c>
      <c r="V37" s="885">
        <f t="shared" si="39"/>
        <v>0</v>
      </c>
      <c r="W37" s="883">
        <f t="shared" si="40"/>
        <v>1.4508651756609921E-2</v>
      </c>
      <c r="X37" s="883">
        <f t="shared" si="41"/>
        <v>16.729920505088113</v>
      </c>
      <c r="Y37" s="883">
        <f t="shared" si="42"/>
        <v>0</v>
      </c>
      <c r="Z37" s="883">
        <f t="shared" si="43"/>
        <v>3.111033665338645</v>
      </c>
      <c r="AA37" s="883">
        <f t="shared" si="44"/>
        <v>0</v>
      </c>
      <c r="AB37" s="883">
        <f t="shared" si="28"/>
        <v>19.85546282218337</v>
      </c>
      <c r="AC37" s="888">
        <f>Factors!E48</f>
        <v>1</v>
      </c>
      <c r="AD37" s="885">
        <f t="shared" si="51"/>
        <v>0</v>
      </c>
      <c r="AE37" s="883">
        <f t="shared" si="51"/>
        <v>1.4508651756609921E-2</v>
      </c>
      <c r="AF37" s="883">
        <f t="shared" si="51"/>
        <v>16.729920505088113</v>
      </c>
      <c r="AG37" s="883">
        <f t="shared" si="51"/>
        <v>0</v>
      </c>
      <c r="AH37" s="883">
        <f t="shared" si="51"/>
        <v>3.111033665338645</v>
      </c>
      <c r="AI37" s="883">
        <f t="shared" si="51"/>
        <v>0</v>
      </c>
      <c r="AJ37" s="889">
        <f t="shared" si="8"/>
        <v>19.85546282218337</v>
      </c>
      <c r="AK37" s="885">
        <f t="shared" si="26"/>
        <v>0</v>
      </c>
      <c r="AL37" s="883">
        <f t="shared" si="21"/>
        <v>5.3198389774236375E-2</v>
      </c>
      <c r="AM37" s="883">
        <f t="shared" si="22"/>
        <v>61.343041851989746</v>
      </c>
      <c r="AN37" s="883">
        <f t="shared" si="23"/>
        <v>0</v>
      </c>
      <c r="AO37" s="883">
        <f t="shared" si="24"/>
        <v>11.407123439575031</v>
      </c>
      <c r="AP37" s="883">
        <f t="shared" si="25"/>
        <v>0</v>
      </c>
      <c r="AQ37" s="890">
        <f t="shared" si="29"/>
        <v>72.803363681339022</v>
      </c>
    </row>
    <row r="38" spans="1:43">
      <c r="A38" s="817"/>
      <c r="B38" s="865" t="s">
        <v>1618</v>
      </c>
      <c r="C38" s="883"/>
      <c r="D38" s="883"/>
      <c r="E38" s="883">
        <f>HLOOKUP($B$2,'Consumption Input'!$E$5:$AQ$82,'Consumption Input'!$B43)</f>
        <v>1495.0259999999998</v>
      </c>
      <c r="F38" s="883"/>
      <c r="G38" s="883"/>
      <c r="H38" s="883"/>
      <c r="I38" s="883">
        <f t="shared" si="50"/>
        <v>1495.0259999999998</v>
      </c>
      <c r="J38" s="884"/>
      <c r="K38" s="883">
        <f>HLOOKUP($B$2,NEUConsumption,'Non-Energy Use'!$C$16)</f>
        <v>162.16079406339975</v>
      </c>
      <c r="L38" s="883"/>
      <c r="M38" s="883"/>
      <c r="N38" s="885">
        <f t="shared" si="34"/>
        <v>0</v>
      </c>
      <c r="O38" s="883">
        <f t="shared" si="34"/>
        <v>0</v>
      </c>
      <c r="P38" s="883">
        <f t="shared" si="35"/>
        <v>1332.8652059366</v>
      </c>
      <c r="Q38" s="883">
        <f t="shared" si="36"/>
        <v>0</v>
      </c>
      <c r="R38" s="883">
        <f t="shared" si="37"/>
        <v>0</v>
      </c>
      <c r="S38" s="886">
        <f t="shared" si="38"/>
        <v>0</v>
      </c>
      <c r="T38" s="883">
        <f t="shared" si="4"/>
        <v>1332.8652059366</v>
      </c>
      <c r="U38" s="887">
        <f>Factors!D51</f>
        <v>18.195454545454545</v>
      </c>
      <c r="V38" s="885">
        <f t="shared" si="39"/>
        <v>0</v>
      </c>
      <c r="W38" s="883">
        <f t="shared" si="40"/>
        <v>0</v>
      </c>
      <c r="X38" s="883">
        <f t="shared" si="41"/>
        <v>24.252088269837319</v>
      </c>
      <c r="Y38" s="883">
        <f t="shared" si="42"/>
        <v>0</v>
      </c>
      <c r="Z38" s="883">
        <f t="shared" si="43"/>
        <v>0</v>
      </c>
      <c r="AA38" s="883">
        <f t="shared" si="44"/>
        <v>0</v>
      </c>
      <c r="AB38" s="883">
        <f t="shared" si="28"/>
        <v>24.252088269837319</v>
      </c>
      <c r="AC38" s="888">
        <f>Factors!E51</f>
        <v>1</v>
      </c>
      <c r="AD38" s="885">
        <f t="shared" si="51"/>
        <v>0</v>
      </c>
      <c r="AE38" s="883">
        <f t="shared" si="51"/>
        <v>0</v>
      </c>
      <c r="AF38" s="883">
        <f t="shared" si="51"/>
        <v>24.252088269837319</v>
      </c>
      <c r="AG38" s="883">
        <f t="shared" si="51"/>
        <v>0</v>
      </c>
      <c r="AH38" s="883">
        <f t="shared" si="51"/>
        <v>0</v>
      </c>
      <c r="AI38" s="883">
        <f t="shared" si="51"/>
        <v>0</v>
      </c>
      <c r="AJ38" s="889">
        <f t="shared" si="8"/>
        <v>24.252088269837319</v>
      </c>
      <c r="AK38" s="885">
        <f t="shared" si="26"/>
        <v>0</v>
      </c>
      <c r="AL38" s="883">
        <f t="shared" si="21"/>
        <v>0</v>
      </c>
      <c r="AM38" s="883">
        <f t="shared" si="22"/>
        <v>88.924323656070172</v>
      </c>
      <c r="AN38" s="883">
        <f t="shared" si="23"/>
        <v>0</v>
      </c>
      <c r="AO38" s="883">
        <f t="shared" si="24"/>
        <v>0</v>
      </c>
      <c r="AP38" s="883">
        <f t="shared" si="25"/>
        <v>0</v>
      </c>
      <c r="AQ38" s="890">
        <f t="shared" si="29"/>
        <v>88.924323656070172</v>
      </c>
    </row>
    <row r="39" spans="1:43">
      <c r="A39" s="817"/>
      <c r="B39" s="865" t="s">
        <v>1619</v>
      </c>
      <c r="C39" s="883"/>
      <c r="D39" s="883"/>
      <c r="E39" s="883">
        <f>HLOOKUP($B$2,'Consumption Input'!$E$5:$AQ$82,'Consumption Input'!$B44)</f>
        <v>99.265919999999994</v>
      </c>
      <c r="F39" s="883"/>
      <c r="G39" s="883"/>
      <c r="H39" s="883"/>
      <c r="I39" s="883">
        <f t="shared" si="50"/>
        <v>99.265919999999994</v>
      </c>
      <c r="J39" s="884"/>
      <c r="K39" s="883">
        <f>HLOOKUP($B$2,NEUConsumption,'Non-Energy Use'!$C$18)</f>
        <v>99.265919999999994</v>
      </c>
      <c r="L39" s="883"/>
      <c r="M39" s="883"/>
      <c r="N39" s="885">
        <f t="shared" si="34"/>
        <v>0</v>
      </c>
      <c r="O39" s="883">
        <f t="shared" si="34"/>
        <v>0</v>
      </c>
      <c r="P39" s="883">
        <f t="shared" si="35"/>
        <v>0</v>
      </c>
      <c r="Q39" s="883">
        <f t="shared" si="36"/>
        <v>0</v>
      </c>
      <c r="R39" s="883">
        <f t="shared" si="37"/>
        <v>0</v>
      </c>
      <c r="S39" s="886">
        <f t="shared" si="38"/>
        <v>0</v>
      </c>
      <c r="T39" s="883">
        <f t="shared" si="4"/>
        <v>0</v>
      </c>
      <c r="U39" s="887">
        <f>Factors!D37</f>
        <v>19.737389135254986</v>
      </c>
      <c r="V39" s="885">
        <f t="shared" si="39"/>
        <v>0</v>
      </c>
      <c r="W39" s="883">
        <f t="shared" si="40"/>
        <v>0</v>
      </c>
      <c r="X39" s="883">
        <f t="shared" si="41"/>
        <v>0</v>
      </c>
      <c r="Y39" s="883">
        <f t="shared" si="42"/>
        <v>0</v>
      </c>
      <c r="Z39" s="883">
        <f t="shared" si="43"/>
        <v>0</v>
      </c>
      <c r="AA39" s="883">
        <f t="shared" si="44"/>
        <v>0</v>
      </c>
      <c r="AB39" s="883">
        <f t="shared" si="28"/>
        <v>0</v>
      </c>
      <c r="AC39" s="888">
        <f>Factors!E37</f>
        <v>1</v>
      </c>
      <c r="AD39" s="885">
        <f t="shared" si="51"/>
        <v>0</v>
      </c>
      <c r="AE39" s="883">
        <f t="shared" si="51"/>
        <v>0</v>
      </c>
      <c r="AF39" s="883">
        <f t="shared" si="51"/>
        <v>0</v>
      </c>
      <c r="AG39" s="883">
        <f t="shared" si="51"/>
        <v>0</v>
      </c>
      <c r="AH39" s="883">
        <f t="shared" si="51"/>
        <v>0</v>
      </c>
      <c r="AI39" s="883">
        <f t="shared" si="51"/>
        <v>0</v>
      </c>
      <c r="AJ39" s="889">
        <f t="shared" si="8"/>
        <v>0</v>
      </c>
      <c r="AK39" s="885">
        <f t="shared" si="26"/>
        <v>0</v>
      </c>
      <c r="AL39" s="883">
        <f t="shared" si="21"/>
        <v>0</v>
      </c>
      <c r="AM39" s="883">
        <f t="shared" si="22"/>
        <v>0</v>
      </c>
      <c r="AN39" s="883">
        <f t="shared" si="23"/>
        <v>0</v>
      </c>
      <c r="AO39" s="883">
        <f t="shared" si="24"/>
        <v>0</v>
      </c>
      <c r="AP39" s="883">
        <f t="shared" si="25"/>
        <v>0</v>
      </c>
      <c r="AQ39" s="890">
        <f t="shared" si="29"/>
        <v>0</v>
      </c>
    </row>
    <row r="40" spans="1:43">
      <c r="A40" s="817"/>
      <c r="B40" s="865" t="s">
        <v>1620</v>
      </c>
      <c r="C40" s="883"/>
      <c r="D40" s="883"/>
      <c r="E40" s="883">
        <f>HLOOKUP($B$2,'Consumption Input'!$E$5:$AQ$82,'Consumption Input'!$B45)</f>
        <v>0</v>
      </c>
      <c r="F40" s="883"/>
      <c r="G40" s="883"/>
      <c r="H40" s="883"/>
      <c r="I40" s="883">
        <f t="shared" si="50"/>
        <v>0</v>
      </c>
      <c r="J40" s="884"/>
      <c r="K40" s="883"/>
      <c r="L40" s="883"/>
      <c r="M40" s="883"/>
      <c r="N40" s="885">
        <f t="shared" si="34"/>
        <v>0</v>
      </c>
      <c r="O40" s="883">
        <f t="shared" si="34"/>
        <v>0</v>
      </c>
      <c r="P40" s="883">
        <f t="shared" si="35"/>
        <v>0</v>
      </c>
      <c r="Q40" s="883">
        <f t="shared" si="36"/>
        <v>0</v>
      </c>
      <c r="R40" s="883">
        <f t="shared" si="37"/>
        <v>0</v>
      </c>
      <c r="S40" s="886">
        <f t="shared" si="38"/>
        <v>0</v>
      </c>
      <c r="T40" s="883">
        <f t="shared" si="4"/>
        <v>0</v>
      </c>
      <c r="U40" s="887">
        <f>HLOOKUP($B$2,Factors!$J$12:$BE$25,Factors!$H24,FALSE)</f>
        <v>20.305515594827586</v>
      </c>
      <c r="V40" s="885">
        <f t="shared" si="39"/>
        <v>0</v>
      </c>
      <c r="W40" s="883">
        <f t="shared" si="40"/>
        <v>0</v>
      </c>
      <c r="X40" s="883">
        <f t="shared" si="41"/>
        <v>0</v>
      </c>
      <c r="Y40" s="883">
        <f t="shared" si="42"/>
        <v>0</v>
      </c>
      <c r="Z40" s="883">
        <f t="shared" si="43"/>
        <v>0</v>
      </c>
      <c r="AA40" s="883">
        <f t="shared" si="44"/>
        <v>0</v>
      </c>
      <c r="AB40" s="883">
        <f t="shared" si="28"/>
        <v>0</v>
      </c>
      <c r="AC40" s="888">
        <f>Factors!E53</f>
        <v>1</v>
      </c>
      <c r="AD40" s="885">
        <f t="shared" si="51"/>
        <v>0</v>
      </c>
      <c r="AE40" s="883">
        <f t="shared" si="51"/>
        <v>0</v>
      </c>
      <c r="AF40" s="883">
        <f t="shared" si="51"/>
        <v>0</v>
      </c>
      <c r="AG40" s="883">
        <f t="shared" si="51"/>
        <v>0</v>
      </c>
      <c r="AH40" s="883">
        <f t="shared" si="51"/>
        <v>0</v>
      </c>
      <c r="AI40" s="883">
        <f t="shared" si="51"/>
        <v>0</v>
      </c>
      <c r="AJ40" s="889">
        <f t="shared" si="8"/>
        <v>0</v>
      </c>
      <c r="AK40" s="885">
        <f t="shared" si="26"/>
        <v>0</v>
      </c>
      <c r="AL40" s="883">
        <f t="shared" si="21"/>
        <v>0</v>
      </c>
      <c r="AM40" s="883">
        <f t="shared" si="22"/>
        <v>0</v>
      </c>
      <c r="AN40" s="883">
        <f t="shared" si="23"/>
        <v>0</v>
      </c>
      <c r="AO40" s="883">
        <f t="shared" si="24"/>
        <v>0</v>
      </c>
      <c r="AP40" s="883">
        <f t="shared" si="25"/>
        <v>0</v>
      </c>
      <c r="AQ40" s="890">
        <f t="shared" si="29"/>
        <v>0</v>
      </c>
    </row>
    <row r="41" spans="1:43">
      <c r="A41" s="817"/>
      <c r="B41" s="865" t="s">
        <v>1621</v>
      </c>
      <c r="C41" s="883"/>
      <c r="D41" s="883"/>
      <c r="E41" s="883">
        <f>HLOOKUP($B$2,'Consumption Input'!$E$5:$AQ$82,'Consumption Input'!$B46)</f>
        <v>12.357388007999999</v>
      </c>
      <c r="F41" s="883"/>
      <c r="G41" s="883"/>
      <c r="H41" s="883"/>
      <c r="I41" s="883">
        <f t="shared" si="50"/>
        <v>12.357388007999999</v>
      </c>
      <c r="J41" s="884"/>
      <c r="K41" s="883">
        <f>HLOOKUP($B$2,NEUConsumption,'Non-Energy Use'!$C$21)</f>
        <v>12.357388007999999</v>
      </c>
      <c r="L41" s="883"/>
      <c r="M41" s="883"/>
      <c r="N41" s="885">
        <f t="shared" si="34"/>
        <v>0</v>
      </c>
      <c r="O41" s="883">
        <f t="shared" si="34"/>
        <v>0</v>
      </c>
      <c r="P41" s="883">
        <f t="shared" si="35"/>
        <v>0</v>
      </c>
      <c r="Q41" s="883">
        <f t="shared" si="36"/>
        <v>0</v>
      </c>
      <c r="R41" s="883">
        <f t="shared" si="37"/>
        <v>0</v>
      </c>
      <c r="S41" s="886">
        <f t="shared" si="38"/>
        <v>0</v>
      </c>
      <c r="T41" s="883">
        <f t="shared" si="4"/>
        <v>0</v>
      </c>
      <c r="U41" s="887">
        <f>Factors!D55</f>
        <v>19.795754182606267</v>
      </c>
      <c r="V41" s="899">
        <f t="shared" si="39"/>
        <v>0</v>
      </c>
      <c r="W41" s="900">
        <f t="shared" si="40"/>
        <v>0</v>
      </c>
      <c r="X41" s="900">
        <f t="shared" si="41"/>
        <v>0</v>
      </c>
      <c r="Y41" s="900">
        <f t="shared" si="42"/>
        <v>0</v>
      </c>
      <c r="Z41" s="900">
        <f t="shared" si="43"/>
        <v>0</v>
      </c>
      <c r="AA41" s="900">
        <f t="shared" si="44"/>
        <v>0</v>
      </c>
      <c r="AB41" s="883">
        <f t="shared" si="28"/>
        <v>0</v>
      </c>
      <c r="AC41" s="888">
        <f>Factors!E55</f>
        <v>1</v>
      </c>
      <c r="AD41" s="885">
        <f t="shared" si="51"/>
        <v>0</v>
      </c>
      <c r="AE41" s="883">
        <f t="shared" si="51"/>
        <v>0</v>
      </c>
      <c r="AF41" s="883">
        <f t="shared" si="51"/>
        <v>0</v>
      </c>
      <c r="AG41" s="883">
        <f t="shared" si="51"/>
        <v>0</v>
      </c>
      <c r="AH41" s="883">
        <f t="shared" si="51"/>
        <v>0</v>
      </c>
      <c r="AI41" s="883">
        <f t="shared" si="51"/>
        <v>0</v>
      </c>
      <c r="AJ41" s="889">
        <f t="shared" si="8"/>
        <v>0</v>
      </c>
      <c r="AK41" s="885">
        <f t="shared" si="26"/>
        <v>0</v>
      </c>
      <c r="AL41" s="883">
        <f t="shared" si="21"/>
        <v>0</v>
      </c>
      <c r="AM41" s="883">
        <f t="shared" si="22"/>
        <v>0</v>
      </c>
      <c r="AN41" s="883">
        <f t="shared" si="23"/>
        <v>0</v>
      </c>
      <c r="AO41" s="883">
        <f t="shared" si="24"/>
        <v>0</v>
      </c>
      <c r="AP41" s="883">
        <f t="shared" si="25"/>
        <v>0</v>
      </c>
      <c r="AQ41" s="890">
        <f t="shared" si="29"/>
        <v>0</v>
      </c>
    </row>
    <row r="42" spans="1:43" ht="11.1" thickBot="1">
      <c r="A42" s="817"/>
      <c r="B42" s="866" t="s">
        <v>82</v>
      </c>
      <c r="C42" s="917"/>
      <c r="D42" s="917"/>
      <c r="E42" s="917"/>
      <c r="F42" s="917"/>
      <c r="G42" s="917">
        <f>INDEX(Geothermal!$C$6:$AE$10,MATCH("Total",Geothermal!$C$6:$C$10,0),MATCH($B$2,Geothermal!$C$6:$AE$6,0))/Factors!$J$61*Factors!$J$55/BBtuToBtu*BBtuToTBtu</f>
        <v>54.3107659</v>
      </c>
      <c r="H42" s="917"/>
      <c r="I42" s="917">
        <f>G42</f>
        <v>54.3107659</v>
      </c>
      <c r="J42" s="918"/>
      <c r="K42" s="919"/>
      <c r="L42" s="917"/>
      <c r="M42" s="920"/>
      <c r="N42" s="917">
        <f t="shared" si="34"/>
        <v>0</v>
      </c>
      <c r="O42" s="917">
        <f t="shared" si="34"/>
        <v>0</v>
      </c>
      <c r="P42" s="917">
        <f>E42</f>
        <v>0</v>
      </c>
      <c r="Q42" s="917">
        <f>F42</f>
        <v>0</v>
      </c>
      <c r="R42" s="917">
        <f t="shared" si="37"/>
        <v>54.3107659</v>
      </c>
      <c r="S42" s="917">
        <f>H42</f>
        <v>0</v>
      </c>
      <c r="T42" s="917">
        <f t="shared" si="4"/>
        <v>54.3107659</v>
      </c>
      <c r="U42" s="921">
        <f>Factors!D56</f>
        <v>2.6974658424810825</v>
      </c>
      <c r="V42" s="917"/>
      <c r="W42" s="917"/>
      <c r="X42" s="917"/>
      <c r="Y42" s="917"/>
      <c r="Z42" s="917">
        <f>INDEX(Geothermal!$C$14:$AE$18,MATCH("Total",Geothermal!$C$14:$C$18,0),MATCH($B$2,Geothermal!$C$14:$AE$14,0))/CtoCO2</f>
        <v>0.11301502453295564</v>
      </c>
      <c r="AA42" s="917"/>
      <c r="AB42" s="917">
        <f t="shared" si="28"/>
        <v>0.11301502453295564</v>
      </c>
      <c r="AC42" s="921">
        <f>Factors!$E$56</f>
        <v>1</v>
      </c>
      <c r="AD42" s="917">
        <f t="shared" si="51"/>
        <v>0</v>
      </c>
      <c r="AE42" s="917">
        <f t="shared" si="51"/>
        <v>0</v>
      </c>
      <c r="AF42" s="917">
        <f t="shared" si="51"/>
        <v>0</v>
      </c>
      <c r="AG42" s="917">
        <f t="shared" si="51"/>
        <v>0</v>
      </c>
      <c r="AH42" s="917">
        <f t="shared" si="51"/>
        <v>0.11301502453295564</v>
      </c>
      <c r="AI42" s="917">
        <f t="shared" si="51"/>
        <v>0</v>
      </c>
      <c r="AJ42" s="920">
        <f t="shared" si="8"/>
        <v>0.11301502453295564</v>
      </c>
      <c r="AK42" s="919">
        <f t="shared" si="26"/>
        <v>0</v>
      </c>
      <c r="AL42" s="917">
        <f t="shared" si="21"/>
        <v>0</v>
      </c>
      <c r="AM42" s="917">
        <f t="shared" si="22"/>
        <v>0</v>
      </c>
      <c r="AN42" s="917">
        <f t="shared" si="23"/>
        <v>0</v>
      </c>
      <c r="AO42" s="917">
        <f t="shared" si="24"/>
        <v>0.41438842328750403</v>
      </c>
      <c r="AP42" s="917">
        <f t="shared" si="25"/>
        <v>0</v>
      </c>
      <c r="AQ42" s="920">
        <f t="shared" si="29"/>
        <v>0.41438842328750403</v>
      </c>
    </row>
    <row r="43" spans="1:43" ht="11.1" thickBot="1">
      <c r="A43" s="817"/>
      <c r="B43" s="867" t="s">
        <v>1740</v>
      </c>
      <c r="C43" s="922">
        <f>C8+C17+C18+C42</f>
        <v>5720.0479567126313</v>
      </c>
      <c r="D43" s="922">
        <f>D8+D17+D18+D42</f>
        <v>4287.3651164133498</v>
      </c>
      <c r="E43" s="922">
        <f>E8+E17+E18+E42</f>
        <v>17887.41027663384</v>
      </c>
      <c r="F43" s="922">
        <f>F8+F17+F18+F42</f>
        <v>25873.008519914703</v>
      </c>
      <c r="G43" s="922">
        <f>G8+G17+G18+G42</f>
        <v>24394.984765900001</v>
      </c>
      <c r="H43" s="922">
        <f>H16+H17+H18+H42</f>
        <v>409.37888539441576</v>
      </c>
      <c r="I43" s="922">
        <f>SUM(C43:H43)</f>
        <v>78572.195520968948</v>
      </c>
      <c r="J43" s="923">
        <f t="shared" ref="J43:S43" si="52">J8+J17+J18+J42</f>
        <v>1543.6023622247674</v>
      </c>
      <c r="K43" s="924">
        <f t="shared" si="52"/>
        <v>4942.3647892801037</v>
      </c>
      <c r="L43" s="922">
        <f t="shared" si="52"/>
        <v>162.81100000000001</v>
      </c>
      <c r="M43" s="925">
        <f t="shared" si="52"/>
        <v>10.348744679691782</v>
      </c>
      <c r="N43" s="922">
        <f t="shared" si="52"/>
        <v>5720.0479567126313</v>
      </c>
      <c r="O43" s="922">
        <f t="shared" si="52"/>
        <v>4287.3651164133498</v>
      </c>
      <c r="P43" s="922">
        <f t="shared" si="52"/>
        <v>12945.045487353735</v>
      </c>
      <c r="Q43" s="922">
        <f t="shared" si="52"/>
        <v>24166.595157689935</v>
      </c>
      <c r="R43" s="922">
        <f t="shared" si="52"/>
        <v>24394.984765900001</v>
      </c>
      <c r="S43" s="922">
        <f t="shared" si="52"/>
        <v>399.03014071472398</v>
      </c>
      <c r="T43" s="922">
        <f>SUM(N43:S43)</f>
        <v>71913.068624784384</v>
      </c>
      <c r="U43" s="926" t="s">
        <v>1731</v>
      </c>
      <c r="V43" s="922">
        <f t="shared" ref="V43:AA43" si="53">V8+V17+V18+V42</f>
        <v>86.622873151573344</v>
      </c>
      <c r="W43" s="922">
        <f t="shared" si="53"/>
        <v>66.765033883402964</v>
      </c>
      <c r="X43" s="922">
        <f t="shared" si="53"/>
        <v>216.64296306279567</v>
      </c>
      <c r="Y43" s="922">
        <f t="shared" si="53"/>
        <v>468.6494075550691</v>
      </c>
      <c r="Z43" s="922">
        <f t="shared" si="53"/>
        <v>518.35576079319969</v>
      </c>
      <c r="AA43" s="922">
        <f t="shared" si="53"/>
        <v>7.7820780574393282</v>
      </c>
      <c r="AB43" s="922">
        <f t="shared" si="28"/>
        <v>1364.8181165034803</v>
      </c>
      <c r="AC43" s="926" t="s">
        <v>1731</v>
      </c>
      <c r="AD43" s="922">
        <f t="shared" ref="AD43:AQ43" si="54">AD8+AD17+AD18+AD42</f>
        <v>86.622873151573344</v>
      </c>
      <c r="AE43" s="922">
        <f t="shared" si="54"/>
        <v>66.765033883402964</v>
      </c>
      <c r="AF43" s="922">
        <f t="shared" si="54"/>
        <v>216.64296306279567</v>
      </c>
      <c r="AG43" s="922">
        <f t="shared" si="54"/>
        <v>468.6494075550691</v>
      </c>
      <c r="AH43" s="922">
        <f t="shared" si="54"/>
        <v>518.35576079319969</v>
      </c>
      <c r="AI43" s="922">
        <f t="shared" si="54"/>
        <v>7.7820780574393282</v>
      </c>
      <c r="AJ43" s="925">
        <f t="shared" si="54"/>
        <v>1364.8181165034798</v>
      </c>
      <c r="AK43" s="922">
        <f t="shared" si="54"/>
        <v>317.61720155576893</v>
      </c>
      <c r="AL43" s="922">
        <f t="shared" si="54"/>
        <v>244.80512423914416</v>
      </c>
      <c r="AM43" s="922">
        <f t="shared" si="54"/>
        <v>794.35753123025074</v>
      </c>
      <c r="AN43" s="922">
        <f t="shared" si="54"/>
        <v>1718.3811610352532</v>
      </c>
      <c r="AO43" s="922">
        <f t="shared" si="54"/>
        <v>1900.6377895750654</v>
      </c>
      <c r="AP43" s="922">
        <f t="shared" si="54"/>
        <v>28.534286210610869</v>
      </c>
      <c r="AQ43" s="925">
        <f t="shared" si="54"/>
        <v>5004.3330938460931</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8"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ransitionEvaluation="1" transitionEntry="1" codeName="Sheet49">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10"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39" width="9.6640625" customWidth="1"/>
    <col min="40" max="40" width="18" customWidth="1"/>
    <col min="41" max="41" width="9.6640625" customWidth="1"/>
    <col min="42" max="42" width="9" bestFit="1" customWidth="1"/>
    <col min="43" max="43" width="10"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2016</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1769</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S4+1</f>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ht="12.6">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1767</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65.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23.745999999999999</v>
      </c>
      <c r="E8" s="876">
        <f t="shared" si="1"/>
        <v>760.6606211544904</v>
      </c>
      <c r="F8" s="876">
        <f t="shared" si="1"/>
        <v>0</v>
      </c>
      <c r="G8" s="876">
        <f t="shared" si="1"/>
        <v>12996.353999999999</v>
      </c>
      <c r="H8" s="876">
        <f t="shared" si="1"/>
        <v>35.481528518267581</v>
      </c>
      <c r="I8" s="876">
        <f t="shared" ref="I8:I14" si="2">SUM(C8:H8)</f>
        <v>13816.242149672757</v>
      </c>
      <c r="J8" s="877"/>
      <c r="K8" s="876">
        <f>SUM(K9:K16)</f>
        <v>99.124876155996844</v>
      </c>
      <c r="L8" s="876">
        <f>SUM(L9:L16)</f>
        <v>0</v>
      </c>
      <c r="M8" s="876"/>
      <c r="N8" s="878">
        <f t="shared" ref="N8:S8" si="3">SUM(N9:N16)</f>
        <v>0</v>
      </c>
      <c r="O8" s="876">
        <f t="shared" si="3"/>
        <v>23.745999999999999</v>
      </c>
      <c r="P8" s="876">
        <f t="shared" si="3"/>
        <v>661.53574499849356</v>
      </c>
      <c r="Q8" s="876">
        <f t="shared" si="3"/>
        <v>0</v>
      </c>
      <c r="R8" s="876">
        <f t="shared" si="3"/>
        <v>12996.353999999999</v>
      </c>
      <c r="S8" s="879">
        <f t="shared" si="3"/>
        <v>35.481528518267581</v>
      </c>
      <c r="T8" s="876">
        <f t="shared" ref="T8:T43" si="4">SUM(N8:S8)</f>
        <v>13717.11727351676</v>
      </c>
      <c r="U8" s="880" t="s">
        <v>1731</v>
      </c>
      <c r="V8" s="876">
        <f>SUM(V9:V16)</f>
        <v>0</v>
      </c>
      <c r="W8" s="876">
        <f>SUM(W9:W16)</f>
        <v>0.61772504721746757</v>
      </c>
      <c r="X8" s="876">
        <f>SUM(X9:X16)</f>
        <v>17.222810313388916</v>
      </c>
      <c r="Y8" s="876"/>
      <c r="Z8" s="876">
        <f>SUM(Z9:Z16)</f>
        <v>338.73181699799721</v>
      </c>
      <c r="AA8" s="876">
        <f>SUM(AA9:AA16)</f>
        <v>0.89200562694924701</v>
      </c>
      <c r="AB8" s="876">
        <f t="shared" ref="AB8:AB13" si="5">SUM(V8:AA8)</f>
        <v>357.46435798555285</v>
      </c>
      <c r="AC8" s="881" t="s">
        <v>1731</v>
      </c>
      <c r="AD8" s="878">
        <f>SUM(AD9:AD16)</f>
        <v>0</v>
      </c>
      <c r="AE8" s="876">
        <f>SUM(AE9:AE16)</f>
        <v>0.61772504721746757</v>
      </c>
      <c r="AF8" s="876">
        <f>SUM(AF9:AF16)</f>
        <v>17.222810313388916</v>
      </c>
      <c r="AG8" s="876" t="s">
        <v>108</v>
      </c>
      <c r="AH8" s="876">
        <f>SUM(AH9:AH16)</f>
        <v>338.73181699799721</v>
      </c>
      <c r="AI8" s="876">
        <f>SUM(AI9:AI16)</f>
        <v>0.89200562694924701</v>
      </c>
      <c r="AJ8" s="876">
        <f t="shared" ref="AJ8:AJ42" si="6">SUM(AD8:AI8)</f>
        <v>357.46435798555285</v>
      </c>
      <c r="AK8" s="878">
        <f t="shared" ref="AK8:AP8" si="7">SUM(AK9:AK16)</f>
        <v>0</v>
      </c>
      <c r="AL8" s="876">
        <f t="shared" si="7"/>
        <v>2.2649918397973812</v>
      </c>
      <c r="AM8" s="876">
        <f t="shared" si="7"/>
        <v>63.150304482426023</v>
      </c>
      <c r="AN8" s="876">
        <f t="shared" si="7"/>
        <v>0</v>
      </c>
      <c r="AO8" s="876">
        <f t="shared" si="7"/>
        <v>1242.0166623259897</v>
      </c>
      <c r="AP8" s="876">
        <f t="shared" si="7"/>
        <v>3.2706872988139057</v>
      </c>
      <c r="AQ8" s="882">
        <f t="shared" ref="AQ8:AQ14" si="8">SUM(AK8:AP8)</f>
        <v>1310.7026459470271</v>
      </c>
    </row>
    <row r="9" spans="1:43">
      <c r="A9" s="817"/>
      <c r="B9" s="860" t="s">
        <v>1732</v>
      </c>
      <c r="C9" s="883">
        <f>HLOOKUP($B$2,'Consumption Input'!$E$5:$AQ$82,'Consumption Input'!$B7)</f>
        <v>0</v>
      </c>
      <c r="D9" s="883"/>
      <c r="E9" s="883"/>
      <c r="F9" s="883"/>
      <c r="G9" s="883"/>
      <c r="H9" s="883"/>
      <c r="I9" s="883">
        <f t="shared" si="2"/>
        <v>0</v>
      </c>
      <c r="J9" s="884"/>
      <c r="K9" s="883"/>
      <c r="L9" s="883"/>
      <c r="M9" s="883"/>
      <c r="N9" s="885">
        <f t="shared" ref="N9:O17" si="9">C9</f>
        <v>0</v>
      </c>
      <c r="O9" s="883">
        <f t="shared" si="9"/>
        <v>0</v>
      </c>
      <c r="P9" s="883">
        <f t="shared" ref="P9:P17" si="10">E9-K9</f>
        <v>0</v>
      </c>
      <c r="Q9" s="883">
        <f t="shared" ref="Q9:S17" si="11">F9</f>
        <v>0</v>
      </c>
      <c r="R9" s="883">
        <f t="shared" si="11"/>
        <v>0</v>
      </c>
      <c r="S9" s="886">
        <f t="shared" si="11"/>
        <v>0</v>
      </c>
      <c r="T9" s="883">
        <f t="shared" si="4"/>
        <v>0</v>
      </c>
      <c r="U9" s="887">
        <f>HLOOKUP($B$2,Factors!$J$12:$BE$25,Factors!$H13,FALSE)</f>
        <v>26.01385695348554</v>
      </c>
      <c r="V9" s="885">
        <f t="shared" ref="V9:V17" si="12">N9*$U9*TbtuToQBtu</f>
        <v>0</v>
      </c>
      <c r="W9" s="883">
        <f t="shared" ref="W9:W17" si="13">O9*$U9*TbtuToQBtu</f>
        <v>0</v>
      </c>
      <c r="X9" s="883">
        <f t="shared" ref="X9:X17" si="14">P9*$U9*TbtuToQBtu</f>
        <v>0</v>
      </c>
      <c r="Y9" s="883">
        <f t="shared" ref="Y9:Y17" si="15">Q9*$U9*TbtuToQBtu</f>
        <v>0</v>
      </c>
      <c r="Z9" s="883">
        <f t="shared" ref="Z9:Z17" si="16">R9*$U9*TbtuToQBtu</f>
        <v>0</v>
      </c>
      <c r="AA9" s="883">
        <f t="shared" ref="AA9:AA17" si="17">S9*$U9*TbtuToQBtu</f>
        <v>0</v>
      </c>
      <c r="AB9" s="883">
        <f t="shared" si="5"/>
        <v>0</v>
      </c>
      <c r="AC9" s="888">
        <f>Factors!E10</f>
        <v>1</v>
      </c>
      <c r="AD9" s="885">
        <f t="shared" ref="AD9:AI17" si="18">V9*$AC9</f>
        <v>0</v>
      </c>
      <c r="AE9" s="883">
        <f t="shared" si="18"/>
        <v>0</v>
      </c>
      <c r="AF9" s="883">
        <f t="shared" si="18"/>
        <v>0</v>
      </c>
      <c r="AG9" s="883">
        <f t="shared" si="18"/>
        <v>0</v>
      </c>
      <c r="AH9" s="883">
        <f t="shared" si="18"/>
        <v>0</v>
      </c>
      <c r="AI9" s="883">
        <f t="shared" si="18"/>
        <v>0</v>
      </c>
      <c r="AJ9" s="889">
        <f t="shared" si="6"/>
        <v>0</v>
      </c>
      <c r="AK9" s="885">
        <f>AD9*CtoCO2</f>
        <v>0</v>
      </c>
      <c r="AL9" s="883">
        <f t="shared" ref="AL9:AL42" si="19">AE9*CtoCO2</f>
        <v>0</v>
      </c>
      <c r="AM9" s="883">
        <f t="shared" ref="AM9:AM42" si="20">AF9*CtoCO2</f>
        <v>0</v>
      </c>
      <c r="AN9" s="883">
        <f t="shared" ref="AN9:AN42" si="21">AG9*CtoCO2</f>
        <v>0</v>
      </c>
      <c r="AO9" s="883">
        <f t="shared" ref="AO9:AO42" si="22">AH9*CtoCO2</f>
        <v>0</v>
      </c>
      <c r="AP9" s="883">
        <f t="shared" ref="AP9:AP42" si="23">AI9*CtoCO2</f>
        <v>0</v>
      </c>
      <c r="AQ9" s="890">
        <f t="shared" si="8"/>
        <v>0</v>
      </c>
    </row>
    <row r="10" spans="1:43">
      <c r="A10" s="817"/>
      <c r="B10" s="860" t="s">
        <v>1733</v>
      </c>
      <c r="C10" s="883"/>
      <c r="D10" s="883">
        <f>HLOOKUP($B$2,'Consumption Input'!$E$5:$AQ$82,'Consumption Input'!$B13)</f>
        <v>23.745999999999999</v>
      </c>
      <c r="E10" s="883"/>
      <c r="F10" s="883"/>
      <c r="G10" s="883"/>
      <c r="H10" s="883"/>
      <c r="I10" s="883">
        <f t="shared" si="2"/>
        <v>23.745999999999999</v>
      </c>
      <c r="J10" s="884"/>
      <c r="K10" s="883"/>
      <c r="L10" s="883"/>
      <c r="M10" s="883"/>
      <c r="N10" s="885">
        <f t="shared" si="9"/>
        <v>0</v>
      </c>
      <c r="O10" s="883">
        <f t="shared" si="9"/>
        <v>23.745999999999999</v>
      </c>
      <c r="P10" s="883">
        <f t="shared" si="10"/>
        <v>0</v>
      </c>
      <c r="Q10" s="883">
        <f t="shared" si="11"/>
        <v>0</v>
      </c>
      <c r="R10" s="883">
        <f t="shared" si="11"/>
        <v>0</v>
      </c>
      <c r="S10" s="886">
        <f t="shared" si="11"/>
        <v>0</v>
      </c>
      <c r="T10" s="883">
        <f t="shared" si="4"/>
        <v>23.745999999999999</v>
      </c>
      <c r="U10" s="887">
        <f>HLOOKUP($B$2,Factors!$J$12:$BE$25,Factors!$H14,FALSE)</f>
        <v>26.01385695348554</v>
      </c>
      <c r="V10" s="885">
        <f t="shared" si="12"/>
        <v>0</v>
      </c>
      <c r="W10" s="883">
        <f t="shared" si="13"/>
        <v>0.61772504721746757</v>
      </c>
      <c r="X10" s="883">
        <f t="shared" si="14"/>
        <v>0</v>
      </c>
      <c r="Y10" s="883">
        <f t="shared" si="15"/>
        <v>0</v>
      </c>
      <c r="Z10" s="883">
        <f t="shared" si="16"/>
        <v>0</v>
      </c>
      <c r="AA10" s="883">
        <f t="shared" si="17"/>
        <v>0</v>
      </c>
      <c r="AB10" s="883">
        <f t="shared" si="5"/>
        <v>0.61772504721746757</v>
      </c>
      <c r="AC10" s="888">
        <f>Factors!E11</f>
        <v>1</v>
      </c>
      <c r="AD10" s="885">
        <f t="shared" si="18"/>
        <v>0</v>
      </c>
      <c r="AE10" s="883">
        <f t="shared" si="18"/>
        <v>0.61772504721746757</v>
      </c>
      <c r="AF10" s="883">
        <f t="shared" si="18"/>
        <v>0</v>
      </c>
      <c r="AG10" s="883">
        <f t="shared" si="18"/>
        <v>0</v>
      </c>
      <c r="AH10" s="883">
        <f t="shared" si="18"/>
        <v>0</v>
      </c>
      <c r="AI10" s="883">
        <f t="shared" si="18"/>
        <v>0</v>
      </c>
      <c r="AJ10" s="889">
        <f t="shared" si="6"/>
        <v>0.61772504721746757</v>
      </c>
      <c r="AK10" s="885">
        <f t="shared" ref="AK10:AK42" si="24">AD10*CtoCO2</f>
        <v>0</v>
      </c>
      <c r="AL10" s="883">
        <f t="shared" si="19"/>
        <v>2.2649918397973812</v>
      </c>
      <c r="AM10" s="883">
        <f t="shared" si="20"/>
        <v>0</v>
      </c>
      <c r="AN10" s="883">
        <f t="shared" si="21"/>
        <v>0</v>
      </c>
      <c r="AO10" s="883">
        <f t="shared" si="22"/>
        <v>0</v>
      </c>
      <c r="AP10" s="883">
        <f t="shared" si="23"/>
        <v>0</v>
      </c>
      <c r="AQ10" s="890">
        <f t="shared" si="8"/>
        <v>2.2649918397973812</v>
      </c>
    </row>
    <row r="11" spans="1:43" s="244" customFormat="1" hidden="1">
      <c r="A11" s="861"/>
      <c r="B11" s="862" t="s">
        <v>1734</v>
      </c>
      <c r="C11" s="891"/>
      <c r="D11" s="891"/>
      <c r="E11" s="891">
        <f>HLOOKUP($B$2,'Consumption Input'!$E$5:$AQ$82,'Consumption Input'!$B23)</f>
        <v>89.635253981130802</v>
      </c>
      <c r="F11" s="891"/>
      <c r="G11" s="891"/>
      <c r="H11" s="891"/>
      <c r="I11" s="891">
        <f t="shared" si="2"/>
        <v>89.635253981130802</v>
      </c>
      <c r="J11" s="892"/>
      <c r="K11" s="891">
        <f>HLOOKUP($B$2,NEUConsumption,'Non-Energy Use'!$C$7)</f>
        <v>89.635253981130802</v>
      </c>
      <c r="L11" s="891"/>
      <c r="M11" s="891"/>
      <c r="N11" s="893">
        <f t="shared" si="9"/>
        <v>0</v>
      </c>
      <c r="O11" s="891">
        <f t="shared" si="9"/>
        <v>0</v>
      </c>
      <c r="P11" s="891">
        <f t="shared" si="10"/>
        <v>0</v>
      </c>
      <c r="Q11" s="891">
        <f t="shared" si="11"/>
        <v>0</v>
      </c>
      <c r="R11" s="891">
        <f t="shared" si="11"/>
        <v>0</v>
      </c>
      <c r="S11" s="894">
        <f t="shared" si="11"/>
        <v>0</v>
      </c>
      <c r="T11" s="891">
        <f t="shared" si="4"/>
        <v>0</v>
      </c>
      <c r="U11" s="1013">
        <f>HLOOKUP($B$2,Factors!$J$12:$BE$28,Factors!$H28,FALSE)</f>
        <v>25.567370485058145</v>
      </c>
      <c r="V11" s="893">
        <f t="shared" si="12"/>
        <v>0</v>
      </c>
      <c r="W11" s="891">
        <f t="shared" si="13"/>
        <v>0</v>
      </c>
      <c r="X11" s="891">
        <f t="shared" si="14"/>
        <v>0</v>
      </c>
      <c r="Y11" s="891">
        <f t="shared" si="15"/>
        <v>0</v>
      </c>
      <c r="Z11" s="891">
        <f t="shared" si="16"/>
        <v>0</v>
      </c>
      <c r="AA11" s="891">
        <f t="shared" si="17"/>
        <v>0</v>
      </c>
      <c r="AB11" s="891">
        <f t="shared" si="5"/>
        <v>0</v>
      </c>
      <c r="AC11" s="896">
        <f>Factors!E12</f>
        <v>1</v>
      </c>
      <c r="AD11" s="893">
        <f t="shared" si="18"/>
        <v>0</v>
      </c>
      <c r="AE11" s="891">
        <f t="shared" si="18"/>
        <v>0</v>
      </c>
      <c r="AF11" s="891">
        <f t="shared" si="18"/>
        <v>0</v>
      </c>
      <c r="AG11" s="891">
        <f t="shared" si="18"/>
        <v>0</v>
      </c>
      <c r="AH11" s="891">
        <f t="shared" si="18"/>
        <v>0</v>
      </c>
      <c r="AI11" s="891">
        <f t="shared" si="18"/>
        <v>0</v>
      </c>
      <c r="AJ11" s="897">
        <f t="shared" si="6"/>
        <v>0</v>
      </c>
      <c r="AK11" s="893">
        <f t="shared" si="24"/>
        <v>0</v>
      </c>
      <c r="AL11" s="891">
        <f t="shared" si="19"/>
        <v>0</v>
      </c>
      <c r="AM11" s="891">
        <f t="shared" si="20"/>
        <v>0</v>
      </c>
      <c r="AN11" s="891">
        <f t="shared" si="21"/>
        <v>0</v>
      </c>
      <c r="AO11" s="891">
        <f t="shared" si="22"/>
        <v>0</v>
      </c>
      <c r="AP11" s="891">
        <f t="shared" si="23"/>
        <v>0</v>
      </c>
      <c r="AQ11" s="898">
        <f t="shared" si="8"/>
        <v>0</v>
      </c>
    </row>
    <row r="12" spans="1:43">
      <c r="A12" s="817"/>
      <c r="B12" s="860" t="s">
        <v>1701</v>
      </c>
      <c r="C12" s="883"/>
      <c r="D12" s="883"/>
      <c r="E12" s="883">
        <f>HLOOKUP($B$2,'Consumption Input'!$E$5:$AQ$82,'Consumption Input'!$B24)</f>
        <v>671.02536717335965</v>
      </c>
      <c r="F12" s="883"/>
      <c r="G12" s="883"/>
      <c r="H12" s="883"/>
      <c r="I12" s="883">
        <f t="shared" si="2"/>
        <v>671.02536717335965</v>
      </c>
      <c r="J12" s="884"/>
      <c r="K12" s="883">
        <f>HLOOKUP($B$2,NEUConsumption,'Non-Energy Use'!$C$8)</f>
        <v>9.4896221748660459</v>
      </c>
      <c r="L12" s="883"/>
      <c r="M12" s="883"/>
      <c r="N12" s="885">
        <f t="shared" si="9"/>
        <v>0</v>
      </c>
      <c r="O12" s="883">
        <f t="shared" si="9"/>
        <v>0</v>
      </c>
      <c r="P12" s="883">
        <f t="shared" si="10"/>
        <v>661.53574499849356</v>
      </c>
      <c r="Q12" s="883">
        <f t="shared" si="11"/>
        <v>0</v>
      </c>
      <c r="R12" s="883">
        <f t="shared" si="11"/>
        <v>0</v>
      </c>
      <c r="S12" s="886">
        <f t="shared" si="11"/>
        <v>0</v>
      </c>
      <c r="T12" s="883">
        <f t="shared" si="4"/>
        <v>661.53574499849356</v>
      </c>
      <c r="U12" s="887">
        <f>HLOOKUP($B$2,Factors!$J$12:$BE$25,Factors!$H15,FALSE)</f>
        <v>26.034587614654345</v>
      </c>
      <c r="V12" s="885">
        <f t="shared" si="12"/>
        <v>0</v>
      </c>
      <c r="W12" s="883">
        <f t="shared" si="13"/>
        <v>0</v>
      </c>
      <c r="X12" s="883">
        <f t="shared" si="14"/>
        <v>17.222810313388916</v>
      </c>
      <c r="Y12" s="883">
        <f t="shared" si="15"/>
        <v>0</v>
      </c>
      <c r="Z12" s="883">
        <f t="shared" si="16"/>
        <v>0</v>
      </c>
      <c r="AA12" s="883">
        <f t="shared" si="17"/>
        <v>0</v>
      </c>
      <c r="AB12" s="883">
        <f t="shared" si="5"/>
        <v>17.222810313388916</v>
      </c>
      <c r="AC12" s="888">
        <f>Factors!E13</f>
        <v>1</v>
      </c>
      <c r="AD12" s="885">
        <f t="shared" si="18"/>
        <v>0</v>
      </c>
      <c r="AE12" s="883">
        <f t="shared" si="18"/>
        <v>0</v>
      </c>
      <c r="AF12" s="883">
        <f t="shared" si="18"/>
        <v>17.222810313388916</v>
      </c>
      <c r="AG12" s="883">
        <f t="shared" si="18"/>
        <v>0</v>
      </c>
      <c r="AH12" s="883">
        <f t="shared" si="18"/>
        <v>0</v>
      </c>
      <c r="AI12" s="883">
        <f t="shared" si="18"/>
        <v>0</v>
      </c>
      <c r="AJ12" s="889">
        <f t="shared" si="6"/>
        <v>17.222810313388916</v>
      </c>
      <c r="AK12" s="885">
        <f t="shared" si="24"/>
        <v>0</v>
      </c>
      <c r="AL12" s="883">
        <f t="shared" si="19"/>
        <v>0</v>
      </c>
      <c r="AM12" s="883">
        <f>AF12*CtoCO2</f>
        <v>63.150304482426023</v>
      </c>
      <c r="AN12" s="883">
        <f t="shared" si="21"/>
        <v>0</v>
      </c>
      <c r="AO12" s="883">
        <f t="shared" si="22"/>
        <v>0</v>
      </c>
      <c r="AP12" s="883">
        <f t="shared" si="23"/>
        <v>0</v>
      </c>
      <c r="AQ12" s="890">
        <f t="shared" si="8"/>
        <v>63.150304482426023</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9"/>
        <v>0</v>
      </c>
      <c r="O13" s="891">
        <f t="shared" si="9"/>
        <v>0</v>
      </c>
      <c r="P13" s="891">
        <f t="shared" si="10"/>
        <v>0</v>
      </c>
      <c r="Q13" s="891">
        <f t="shared" si="11"/>
        <v>0</v>
      </c>
      <c r="R13" s="891">
        <f t="shared" si="11"/>
        <v>0</v>
      </c>
      <c r="S13" s="894">
        <f t="shared" si="11"/>
        <v>0</v>
      </c>
      <c r="T13" s="891">
        <f t="shared" si="4"/>
        <v>0</v>
      </c>
      <c r="U13" s="895">
        <f>Factors!D14</f>
        <v>27.85</v>
      </c>
      <c r="V13" s="893">
        <f t="shared" si="12"/>
        <v>0</v>
      </c>
      <c r="W13" s="891">
        <f t="shared" si="13"/>
        <v>0</v>
      </c>
      <c r="X13" s="891">
        <f t="shared" si="14"/>
        <v>0</v>
      </c>
      <c r="Y13" s="891">
        <f t="shared" si="15"/>
        <v>0</v>
      </c>
      <c r="Z13" s="891">
        <f t="shared" si="16"/>
        <v>0</v>
      </c>
      <c r="AA13" s="891">
        <f t="shared" si="17"/>
        <v>0</v>
      </c>
      <c r="AB13" s="891">
        <f t="shared" si="5"/>
        <v>0</v>
      </c>
      <c r="AC13" s="896">
        <f>Factors!E14</f>
        <v>1</v>
      </c>
      <c r="AD13" s="893">
        <f t="shared" si="18"/>
        <v>0</v>
      </c>
      <c r="AE13" s="891">
        <f t="shared" si="18"/>
        <v>0</v>
      </c>
      <c r="AF13" s="891">
        <f t="shared" si="18"/>
        <v>0</v>
      </c>
      <c r="AG13" s="891">
        <f t="shared" si="18"/>
        <v>0</v>
      </c>
      <c r="AH13" s="891">
        <f t="shared" si="18"/>
        <v>0</v>
      </c>
      <c r="AI13" s="891">
        <f t="shared" si="18"/>
        <v>0</v>
      </c>
      <c r="AJ13" s="897">
        <f t="shared" si="6"/>
        <v>0</v>
      </c>
      <c r="AK13" s="893">
        <f t="shared" si="24"/>
        <v>0</v>
      </c>
      <c r="AL13" s="891">
        <f t="shared" si="19"/>
        <v>0</v>
      </c>
      <c r="AM13" s="891">
        <f t="shared" si="20"/>
        <v>0</v>
      </c>
      <c r="AN13" s="891">
        <f t="shared" si="21"/>
        <v>0</v>
      </c>
      <c r="AO13" s="891">
        <f t="shared" si="22"/>
        <v>0</v>
      </c>
      <c r="AP13" s="891">
        <f t="shared" si="23"/>
        <v>0</v>
      </c>
      <c r="AQ13" s="890">
        <f t="shared" si="8"/>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9"/>
        <v>0</v>
      </c>
      <c r="O14" s="883">
        <f t="shared" si="9"/>
        <v>0</v>
      </c>
      <c r="P14" s="883">
        <f t="shared" si="10"/>
        <v>0</v>
      </c>
      <c r="Q14" s="883">
        <f t="shared" si="11"/>
        <v>0</v>
      </c>
      <c r="R14" s="883">
        <f t="shared" si="11"/>
        <v>0</v>
      </c>
      <c r="S14" s="886">
        <f t="shared" si="11"/>
        <v>0</v>
      </c>
      <c r="T14" s="883">
        <f t="shared" si="4"/>
        <v>0</v>
      </c>
      <c r="U14" s="887" t="str">
        <f>Factors!D15</f>
        <v>NC</v>
      </c>
      <c r="V14" s="885">
        <f t="shared" si="12"/>
        <v>0</v>
      </c>
      <c r="W14" s="883">
        <f t="shared" si="13"/>
        <v>0</v>
      </c>
      <c r="X14" s="883">
        <f t="shared" si="14"/>
        <v>0</v>
      </c>
      <c r="Y14" s="883">
        <f t="shared" si="15"/>
        <v>0</v>
      </c>
      <c r="Z14" s="883">
        <f t="shared" si="16"/>
        <v>0</v>
      </c>
      <c r="AA14" s="883">
        <f t="shared" si="17"/>
        <v>0</v>
      </c>
      <c r="AB14" s="883" t="s">
        <v>103</v>
      </c>
      <c r="AC14" s="888" t="str">
        <f>Factors!E15</f>
        <v>NC</v>
      </c>
      <c r="AD14" s="885">
        <f t="shared" si="18"/>
        <v>0</v>
      </c>
      <c r="AE14" s="883">
        <f t="shared" si="18"/>
        <v>0</v>
      </c>
      <c r="AF14" s="883">
        <f t="shared" si="18"/>
        <v>0</v>
      </c>
      <c r="AG14" s="883">
        <f t="shared" si="18"/>
        <v>0</v>
      </c>
      <c r="AH14" s="883">
        <f t="shared" si="18"/>
        <v>0</v>
      </c>
      <c r="AI14" s="883">
        <f t="shared" si="18"/>
        <v>0</v>
      </c>
      <c r="AJ14" s="889">
        <f t="shared" si="6"/>
        <v>0</v>
      </c>
      <c r="AK14" s="885">
        <f t="shared" si="24"/>
        <v>0</v>
      </c>
      <c r="AL14" s="883">
        <f t="shared" si="19"/>
        <v>0</v>
      </c>
      <c r="AM14" s="883">
        <f t="shared" si="20"/>
        <v>0</v>
      </c>
      <c r="AN14" s="883">
        <f t="shared" si="21"/>
        <v>0</v>
      </c>
      <c r="AO14" s="883">
        <f t="shared" si="22"/>
        <v>0</v>
      </c>
      <c r="AP14" s="883">
        <f t="shared" si="23"/>
        <v>0</v>
      </c>
      <c r="AQ14" s="890">
        <f t="shared" si="8"/>
        <v>0</v>
      </c>
    </row>
    <row r="15" spans="1:43">
      <c r="A15" s="817"/>
      <c r="B15" s="860" t="s">
        <v>1736</v>
      </c>
      <c r="C15" s="883"/>
      <c r="D15" s="883"/>
      <c r="E15" s="883"/>
      <c r="F15" s="883"/>
      <c r="G15" s="883">
        <f>HLOOKUP($B$2,'Consumption Input'!$E$5:$AQ$82,'Consumption Input'!$B58)</f>
        <v>12996.353999999999</v>
      </c>
      <c r="H15" s="883"/>
      <c r="I15" s="883">
        <f t="shared" ref="I15:I28" si="25">SUM(C15:H15)</f>
        <v>12996.353999999999</v>
      </c>
      <c r="J15" s="884"/>
      <c r="K15" s="883"/>
      <c r="L15" s="883"/>
      <c r="M15" s="883"/>
      <c r="N15" s="885">
        <f t="shared" si="9"/>
        <v>0</v>
      </c>
      <c r="O15" s="883">
        <f t="shared" si="9"/>
        <v>0</v>
      </c>
      <c r="P15" s="883">
        <f t="shared" si="10"/>
        <v>0</v>
      </c>
      <c r="Q15" s="883">
        <f t="shared" si="11"/>
        <v>0</v>
      </c>
      <c r="R15" s="883">
        <f t="shared" si="11"/>
        <v>12996.353999999999</v>
      </c>
      <c r="S15" s="886">
        <f t="shared" si="11"/>
        <v>0</v>
      </c>
      <c r="T15" s="883">
        <f t="shared" si="4"/>
        <v>12996.353999999999</v>
      </c>
      <c r="U15" s="887">
        <f>HLOOKUP($B$2,Factors!$J$12:$BE$25,Factors!$H16,FALSE)</f>
        <v>26.063603453552993</v>
      </c>
      <c r="V15" s="885">
        <f t="shared" si="12"/>
        <v>0</v>
      </c>
      <c r="W15" s="883">
        <f t="shared" si="13"/>
        <v>0</v>
      </c>
      <c r="X15" s="883">
        <f t="shared" si="14"/>
        <v>0</v>
      </c>
      <c r="Y15" s="883">
        <f t="shared" si="15"/>
        <v>0</v>
      </c>
      <c r="Z15" s="883">
        <f t="shared" si="16"/>
        <v>338.73181699799721</v>
      </c>
      <c r="AA15" s="883">
        <f t="shared" si="17"/>
        <v>0</v>
      </c>
      <c r="AB15" s="883">
        <f t="shared" ref="AB15:AB43" si="26">SUM(V15:AA15)</f>
        <v>338.73181699799721</v>
      </c>
      <c r="AC15" s="888">
        <f>Factors!E16</f>
        <v>1</v>
      </c>
      <c r="AD15" s="885">
        <f t="shared" si="18"/>
        <v>0</v>
      </c>
      <c r="AE15" s="883">
        <f t="shared" si="18"/>
        <v>0</v>
      </c>
      <c r="AF15" s="883">
        <f t="shared" si="18"/>
        <v>0</v>
      </c>
      <c r="AG15" s="883">
        <f t="shared" si="18"/>
        <v>0</v>
      </c>
      <c r="AH15" s="883">
        <f t="shared" si="18"/>
        <v>338.73181699799721</v>
      </c>
      <c r="AI15" s="883">
        <f t="shared" si="18"/>
        <v>0</v>
      </c>
      <c r="AJ15" s="889">
        <f t="shared" si="6"/>
        <v>338.73181699799721</v>
      </c>
      <c r="AK15" s="885">
        <f t="shared" si="24"/>
        <v>0</v>
      </c>
      <c r="AL15" s="883">
        <f t="shared" si="19"/>
        <v>0</v>
      </c>
      <c r="AM15" s="883">
        <f t="shared" si="20"/>
        <v>0</v>
      </c>
      <c r="AN15" s="883">
        <f t="shared" si="21"/>
        <v>0</v>
      </c>
      <c r="AO15" s="883">
        <f t="shared" si="22"/>
        <v>1242.0166623259897</v>
      </c>
      <c r="AP15" s="883">
        <f t="shared" si="23"/>
        <v>0</v>
      </c>
      <c r="AQ15" s="890">
        <f t="shared" ref="AQ15:AQ42" si="27">SUM(AK15:AP15)</f>
        <v>1242.0166623259897</v>
      </c>
    </row>
    <row r="16" spans="1:43">
      <c r="A16" s="817"/>
      <c r="B16" s="860" t="s">
        <v>1737</v>
      </c>
      <c r="C16" s="883"/>
      <c r="D16" s="883"/>
      <c r="E16" s="883"/>
      <c r="F16" s="883"/>
      <c r="G16" s="883"/>
      <c r="H16" s="883">
        <f>HLOOKUP($B$2,'US Territories'!$D$28:$AO$38,'US Territories'!$B29)</f>
        <v>35.481528518267581</v>
      </c>
      <c r="I16" s="883">
        <f t="shared" si="25"/>
        <v>35.481528518267581</v>
      </c>
      <c r="J16" s="884"/>
      <c r="K16" s="883"/>
      <c r="L16" s="883"/>
      <c r="M16" s="883"/>
      <c r="N16" s="885">
        <f t="shared" si="9"/>
        <v>0</v>
      </c>
      <c r="O16" s="883">
        <f t="shared" si="9"/>
        <v>0</v>
      </c>
      <c r="P16" s="883">
        <f t="shared" si="10"/>
        <v>0</v>
      </c>
      <c r="Q16" s="883">
        <f t="shared" si="11"/>
        <v>0</v>
      </c>
      <c r="R16" s="883">
        <f t="shared" si="11"/>
        <v>0</v>
      </c>
      <c r="S16" s="886">
        <f>H16</f>
        <v>35.481528518267581</v>
      </c>
      <c r="T16" s="883">
        <f t="shared" si="4"/>
        <v>35.481528518267581</v>
      </c>
      <c r="U16" s="887">
        <f>Factors!D17</f>
        <v>25.14</v>
      </c>
      <c r="V16" s="899">
        <f t="shared" si="12"/>
        <v>0</v>
      </c>
      <c r="W16" s="900">
        <f t="shared" si="13"/>
        <v>0</v>
      </c>
      <c r="X16" s="900">
        <f t="shared" si="14"/>
        <v>0</v>
      </c>
      <c r="Y16" s="900">
        <f t="shared" si="15"/>
        <v>0</v>
      </c>
      <c r="Z16" s="900">
        <f t="shared" si="16"/>
        <v>0</v>
      </c>
      <c r="AA16" s="900">
        <f t="shared" si="17"/>
        <v>0.89200562694924701</v>
      </c>
      <c r="AB16" s="883">
        <f t="shared" si="26"/>
        <v>0.89200562694924701</v>
      </c>
      <c r="AC16" s="888">
        <f>Factors!E17</f>
        <v>1</v>
      </c>
      <c r="AD16" s="899">
        <f t="shared" si="18"/>
        <v>0</v>
      </c>
      <c r="AE16" s="900">
        <f t="shared" si="18"/>
        <v>0</v>
      </c>
      <c r="AF16" s="900">
        <f t="shared" si="18"/>
        <v>0</v>
      </c>
      <c r="AG16" s="900">
        <f t="shared" si="18"/>
        <v>0</v>
      </c>
      <c r="AH16" s="900">
        <f t="shared" si="18"/>
        <v>0</v>
      </c>
      <c r="AI16" s="900">
        <f t="shared" si="18"/>
        <v>0.89200562694924701</v>
      </c>
      <c r="AJ16" s="889">
        <f t="shared" si="6"/>
        <v>0.89200562694924701</v>
      </c>
      <c r="AK16" s="885">
        <f t="shared" si="24"/>
        <v>0</v>
      </c>
      <c r="AL16" s="883">
        <f t="shared" si="19"/>
        <v>0</v>
      </c>
      <c r="AM16" s="883">
        <f t="shared" si="20"/>
        <v>0</v>
      </c>
      <c r="AN16" s="883">
        <f t="shared" si="21"/>
        <v>0</v>
      </c>
      <c r="AO16" s="883">
        <f t="shared" si="22"/>
        <v>0</v>
      </c>
      <c r="AP16" s="883">
        <f t="shared" si="23"/>
        <v>3.2706872988139057</v>
      </c>
      <c r="AQ16" s="890">
        <f t="shared" si="27"/>
        <v>3.2706872988139057</v>
      </c>
    </row>
    <row r="17" spans="1:43">
      <c r="A17" s="817"/>
      <c r="B17" s="863" t="s">
        <v>1439</v>
      </c>
      <c r="C17" s="901">
        <f>HLOOKUP($B$2,'Consumption Input'!$E$5:$AQ$82,'Consumption Input'!$B8)</f>
        <v>4505.8440000000001</v>
      </c>
      <c r="D17" s="901">
        <f>HLOOKUP($B$2,'Consumption Input'!$E$5:$AQ$82,'Consumption Input'!$B14)</f>
        <v>3223.5169999999998</v>
      </c>
      <c r="E17" s="901">
        <f>HLOOKUP($B$2,'Consumption Input'!$E$5:$AQ$82,'Consumption Input'!$B26)</f>
        <v>9302.0557908767769</v>
      </c>
      <c r="F17" s="901">
        <f>HLOOKUP($B$2,'Consumption Input'!$E$5:$AQ$82,'Consumption Input'!$B49)</f>
        <v>757.18200000000002</v>
      </c>
      <c r="G17" s="901">
        <f>HLOOKUP($B$2,'Consumption Input'!$E$5:$AQ$82,'Consumption Input'!$B59)</f>
        <v>10301.311</v>
      </c>
      <c r="H17" s="902">
        <f>HLOOKUP($B$2,'US Territories'!$D$28:$AO$38,'US Territories'!$B30)</f>
        <v>63.604347298</v>
      </c>
      <c r="I17" s="901">
        <f t="shared" si="25"/>
        <v>28153.514138174782</v>
      </c>
      <c r="J17" s="903"/>
      <c r="K17" s="901">
        <f>HLOOKUP($B$2,NEUConsumption,'Non-Energy Use'!$C$9)</f>
        <v>531.96799999999996</v>
      </c>
      <c r="L17" s="901"/>
      <c r="M17" s="901"/>
      <c r="N17" s="904">
        <f t="shared" si="9"/>
        <v>4505.8440000000001</v>
      </c>
      <c r="O17" s="901">
        <f t="shared" si="9"/>
        <v>3223.5169999999998</v>
      </c>
      <c r="P17" s="901">
        <f t="shared" si="10"/>
        <v>8770.0877908767761</v>
      </c>
      <c r="Q17" s="901">
        <f t="shared" si="11"/>
        <v>757.18200000000002</v>
      </c>
      <c r="R17" s="901">
        <f t="shared" si="11"/>
        <v>10301.311</v>
      </c>
      <c r="S17" s="902">
        <f t="shared" si="11"/>
        <v>63.604347298</v>
      </c>
      <c r="T17" s="901">
        <f t="shared" si="4"/>
        <v>27621.546138174781</v>
      </c>
      <c r="U17" s="905">
        <f>HLOOKUP($B$2,Factors!$J$12:$BE$26,Factors!$H26,FALSE)</f>
        <v>14.428670083895854</v>
      </c>
      <c r="V17" s="901">
        <f t="shared" si="12"/>
        <v>65.013336525501629</v>
      </c>
      <c r="W17" s="901">
        <f t="shared" si="13"/>
        <v>46.511063302829712</v>
      </c>
      <c r="X17" s="901">
        <f t="shared" si="14"/>
        <v>126.54070334136402</v>
      </c>
      <c r="Y17" s="901">
        <f t="shared" si="15"/>
        <v>10.925129271464431</v>
      </c>
      <c r="Z17" s="901">
        <f t="shared" si="16"/>
        <v>148.63421785060726</v>
      </c>
      <c r="AA17" s="901">
        <f t="shared" si="17"/>
        <v>0.91772614306437472</v>
      </c>
      <c r="AB17" s="901">
        <f t="shared" si="26"/>
        <v>398.54217643483145</v>
      </c>
      <c r="AC17" s="906">
        <f>Factors!E19</f>
        <v>1</v>
      </c>
      <c r="AD17" s="904">
        <f t="shared" si="18"/>
        <v>65.013336525501629</v>
      </c>
      <c r="AE17" s="901">
        <f>W17*$AC17</f>
        <v>46.511063302829712</v>
      </c>
      <c r="AF17" s="901">
        <f t="shared" si="18"/>
        <v>126.54070334136402</v>
      </c>
      <c r="AG17" s="901">
        <f t="shared" si="18"/>
        <v>10.925129271464431</v>
      </c>
      <c r="AH17" s="901">
        <f t="shared" si="18"/>
        <v>148.63421785060726</v>
      </c>
      <c r="AI17" s="901">
        <f t="shared" si="18"/>
        <v>0.91772614306437472</v>
      </c>
      <c r="AJ17" s="901">
        <f t="shared" si="6"/>
        <v>398.54217643483145</v>
      </c>
      <c r="AK17" s="904">
        <f t="shared" si="24"/>
        <v>238.38223392683929</v>
      </c>
      <c r="AL17" s="901">
        <f t="shared" si="19"/>
        <v>170.54056544370894</v>
      </c>
      <c r="AM17" s="901">
        <f t="shared" si="20"/>
        <v>463.98257891833475</v>
      </c>
      <c r="AN17" s="901">
        <f t="shared" si="21"/>
        <v>40.058807328702912</v>
      </c>
      <c r="AO17" s="901">
        <f t="shared" si="22"/>
        <v>544.99213211889321</v>
      </c>
      <c r="AP17" s="901">
        <f t="shared" si="23"/>
        <v>3.3649958579027071</v>
      </c>
      <c r="AQ17" s="907">
        <f t="shared" si="27"/>
        <v>1461.3213135943815</v>
      </c>
    </row>
    <row r="18" spans="1:43">
      <c r="A18" s="817"/>
      <c r="B18" s="864" t="s">
        <v>1440</v>
      </c>
      <c r="C18" s="908">
        <f t="shared" ref="C18:H18" si="28">SUM(C19:C41)</f>
        <v>804.88590733198987</v>
      </c>
      <c r="D18" s="908">
        <f t="shared" si="28"/>
        <v>838.7264477908783</v>
      </c>
      <c r="E18" s="908">
        <f t="shared" si="28"/>
        <v>7918.1826931955939</v>
      </c>
      <c r="F18" s="908">
        <f t="shared" si="28"/>
        <v>25734.119184236344</v>
      </c>
      <c r="G18" s="908">
        <f t="shared" si="28"/>
        <v>243.899</v>
      </c>
      <c r="H18" s="908">
        <f t="shared" si="28"/>
        <v>280.1185266774379</v>
      </c>
      <c r="I18" s="908">
        <f t="shared" si="25"/>
        <v>35819.93175923224</v>
      </c>
      <c r="J18" s="909">
        <f t="shared" ref="J18:S18" si="29">SUM(J19:J41)</f>
        <v>1620.2886608614547</v>
      </c>
      <c r="K18" s="908">
        <f t="shared" si="29"/>
        <v>4419.0894229981232</v>
      </c>
      <c r="L18" s="908">
        <f t="shared" si="29"/>
        <v>154.351</v>
      </c>
      <c r="M18" s="908">
        <f t="shared" si="29"/>
        <v>10.512288057953826</v>
      </c>
      <c r="N18" s="910">
        <f t="shared" si="29"/>
        <v>804.88590733198987</v>
      </c>
      <c r="O18" s="908">
        <f t="shared" si="29"/>
        <v>838.7264477908783</v>
      </c>
      <c r="P18" s="908">
        <f t="shared" si="29"/>
        <v>3499.0932701974707</v>
      </c>
      <c r="Q18" s="908">
        <f t="shared" si="29"/>
        <v>23959.479523374892</v>
      </c>
      <c r="R18" s="908">
        <f t="shared" si="29"/>
        <v>243.899</v>
      </c>
      <c r="S18" s="911">
        <f t="shared" si="29"/>
        <v>269.60623861948403</v>
      </c>
      <c r="T18" s="889">
        <f t="shared" si="4"/>
        <v>29615.690387314713</v>
      </c>
      <c r="U18" s="912" t="s">
        <v>1731</v>
      </c>
      <c r="V18" s="908">
        <f t="shared" ref="V18:AA18" si="30">SUM(V19:V41)</f>
        <v>14.947899032345903</v>
      </c>
      <c r="W18" s="908">
        <f t="shared" si="30"/>
        <v>16.105950259403809</v>
      </c>
      <c r="X18" s="908">
        <f t="shared" si="30"/>
        <v>71.509691245812462</v>
      </c>
      <c r="Y18" s="908">
        <f t="shared" si="30"/>
        <v>468.50392846057866</v>
      </c>
      <c r="Z18" s="908">
        <f t="shared" si="30"/>
        <v>5.8521848944505415</v>
      </c>
      <c r="AA18" s="908">
        <f t="shared" si="30"/>
        <v>5.3261016491578026</v>
      </c>
      <c r="AB18" s="908">
        <f t="shared" si="26"/>
        <v>582.24575554174908</v>
      </c>
      <c r="AC18" s="913" t="s">
        <v>1731</v>
      </c>
      <c r="AD18" s="910">
        <f t="shared" ref="AD18:AI18" si="31">SUM(AD19:AD41)</f>
        <v>14.947899032345903</v>
      </c>
      <c r="AE18" s="908">
        <f t="shared" si="31"/>
        <v>16.105950259403809</v>
      </c>
      <c r="AF18" s="908">
        <f t="shared" si="31"/>
        <v>71.509691245812462</v>
      </c>
      <c r="AG18" s="908">
        <f t="shared" si="31"/>
        <v>468.50392846057866</v>
      </c>
      <c r="AH18" s="908">
        <f t="shared" si="31"/>
        <v>5.8521848944505415</v>
      </c>
      <c r="AI18" s="908">
        <f t="shared" si="31"/>
        <v>5.3261016491578026</v>
      </c>
      <c r="AJ18" s="908">
        <f t="shared" si="6"/>
        <v>582.24575554174908</v>
      </c>
      <c r="AK18" s="914">
        <f t="shared" si="24"/>
        <v>54.808963118601646</v>
      </c>
      <c r="AL18" s="889">
        <f t="shared" si="19"/>
        <v>59.055150951147297</v>
      </c>
      <c r="AM18" s="889">
        <f t="shared" si="20"/>
        <v>262.20220123464566</v>
      </c>
      <c r="AN18" s="889">
        <f t="shared" si="21"/>
        <v>1717.8477376887884</v>
      </c>
      <c r="AO18" s="889">
        <f t="shared" si="22"/>
        <v>21.458011279651984</v>
      </c>
      <c r="AP18" s="889">
        <f t="shared" si="23"/>
        <v>19.529039380245276</v>
      </c>
      <c r="AQ18" s="915">
        <f t="shared" si="27"/>
        <v>2134.9011036530801</v>
      </c>
    </row>
    <row r="19" spans="1:43">
      <c r="A19" s="817"/>
      <c r="B19" s="860" t="s">
        <v>1608</v>
      </c>
      <c r="C19" s="883"/>
      <c r="D19" s="883"/>
      <c r="E19" s="883">
        <f>HLOOKUP($B$2,'Consumption Input'!$E$5:$AQ$82,'Consumption Input'!$B27)</f>
        <v>853.36599999999999</v>
      </c>
      <c r="F19" s="883"/>
      <c r="G19" s="883"/>
      <c r="H19" s="883"/>
      <c r="I19" s="883">
        <f t="shared" si="25"/>
        <v>853.36599999999999</v>
      </c>
      <c r="J19" s="884"/>
      <c r="K19" s="883">
        <f>HLOOKUP($B$2,NEUConsumption,'Non-Energy Use'!$C$10)</f>
        <v>853.36599999999999</v>
      </c>
      <c r="L19" s="883"/>
      <c r="M19" s="883"/>
      <c r="N19" s="885">
        <f t="shared" ref="N19:O42" si="32">C19</f>
        <v>0</v>
      </c>
      <c r="O19" s="883">
        <f t="shared" si="32"/>
        <v>0</v>
      </c>
      <c r="P19" s="883">
        <f t="shared" ref="P19:P41" si="33">E19-K19</f>
        <v>0</v>
      </c>
      <c r="Q19" s="883">
        <f t="shared" ref="Q19:Q41" si="34">F19-J19-L19</f>
        <v>0</v>
      </c>
      <c r="R19" s="883">
        <f t="shared" ref="R19:R42" si="35">G19</f>
        <v>0</v>
      </c>
      <c r="S19" s="886">
        <f t="shared" ref="S19:S41" si="36">H19-M19</f>
        <v>0</v>
      </c>
      <c r="T19" s="883">
        <f t="shared" si="4"/>
        <v>0</v>
      </c>
      <c r="U19" s="887">
        <f>Factors!D24</f>
        <v>20.55318099621897</v>
      </c>
      <c r="V19" s="885">
        <f t="shared" ref="V19:V41" si="37">N19*$U19*TbtuToQBtu</f>
        <v>0</v>
      </c>
      <c r="W19" s="883">
        <f t="shared" ref="W19:W41" si="38">O19*$U19*TbtuToQBtu</f>
        <v>0</v>
      </c>
      <c r="X19" s="883">
        <f t="shared" ref="X19:X41" si="39">P19*$U19*TbtuToQBtu</f>
        <v>0</v>
      </c>
      <c r="Y19" s="883">
        <f t="shared" ref="Y19:Y41" si="40">Q19*$U19*TbtuToQBtu</f>
        <v>0</v>
      </c>
      <c r="Z19" s="883">
        <f t="shared" ref="Z19:Z41" si="41">R19*$U19*TbtuToQBtu</f>
        <v>0</v>
      </c>
      <c r="AA19" s="883">
        <f t="shared" ref="AA19:AA41" si="42">S19*$U19*TbtuToQBtu</f>
        <v>0</v>
      </c>
      <c r="AB19" s="883">
        <f t="shared" si="26"/>
        <v>0</v>
      </c>
      <c r="AC19" s="888">
        <f>Factors!E24</f>
        <v>1</v>
      </c>
      <c r="AD19" s="885">
        <f t="shared" ref="AD19:AI35" si="43">V19*$AC19</f>
        <v>0</v>
      </c>
      <c r="AE19" s="883">
        <f t="shared" si="43"/>
        <v>0</v>
      </c>
      <c r="AF19" s="883">
        <f t="shared" si="43"/>
        <v>0</v>
      </c>
      <c r="AG19" s="883">
        <f t="shared" si="43"/>
        <v>0</v>
      </c>
      <c r="AH19" s="883">
        <f t="shared" si="43"/>
        <v>0</v>
      </c>
      <c r="AI19" s="883">
        <f t="shared" si="43"/>
        <v>0</v>
      </c>
      <c r="AJ19" s="889">
        <f t="shared" si="6"/>
        <v>0</v>
      </c>
      <c r="AK19" s="885">
        <f t="shared" si="24"/>
        <v>0</v>
      </c>
      <c r="AL19" s="883">
        <f t="shared" si="19"/>
        <v>0</v>
      </c>
      <c r="AM19" s="883">
        <f t="shared" si="20"/>
        <v>0</v>
      </c>
      <c r="AN19" s="883">
        <f t="shared" si="21"/>
        <v>0</v>
      </c>
      <c r="AO19" s="883">
        <f t="shared" si="22"/>
        <v>0</v>
      </c>
      <c r="AP19" s="883">
        <f t="shared" si="23"/>
        <v>0</v>
      </c>
      <c r="AQ19" s="890">
        <f t="shared" si="27"/>
        <v>0</v>
      </c>
    </row>
    <row r="20" spans="1:43">
      <c r="A20" s="817"/>
      <c r="B20" s="860" t="s">
        <v>1622</v>
      </c>
      <c r="C20" s="883"/>
      <c r="D20" s="883"/>
      <c r="E20" s="883"/>
      <c r="F20" s="883">
        <f>HLOOKUP($B$2,'Consumption Input'!$E$5:$AQ$82,'Consumption Input'!$B50)</f>
        <v>20.465</v>
      </c>
      <c r="G20" s="883"/>
      <c r="H20" s="883"/>
      <c r="I20" s="883">
        <f t="shared" si="25"/>
        <v>20.465</v>
      </c>
      <c r="J20" s="884"/>
      <c r="K20" s="883"/>
      <c r="L20" s="883"/>
      <c r="M20" s="883"/>
      <c r="N20" s="885">
        <f t="shared" si="32"/>
        <v>0</v>
      </c>
      <c r="O20" s="883">
        <f t="shared" si="32"/>
        <v>0</v>
      </c>
      <c r="P20" s="883">
        <f t="shared" si="33"/>
        <v>0</v>
      </c>
      <c r="Q20" s="883">
        <f t="shared" si="34"/>
        <v>20.465</v>
      </c>
      <c r="R20" s="883">
        <f t="shared" si="35"/>
        <v>0</v>
      </c>
      <c r="S20" s="886">
        <f t="shared" si="36"/>
        <v>0</v>
      </c>
      <c r="T20" s="883">
        <f t="shared" si="4"/>
        <v>20.465</v>
      </c>
      <c r="U20" s="887">
        <f>Factors!D25</f>
        <v>18.855352254718337</v>
      </c>
      <c r="V20" s="885">
        <f t="shared" si="37"/>
        <v>0</v>
      </c>
      <c r="W20" s="883">
        <f t="shared" si="38"/>
        <v>0</v>
      </c>
      <c r="X20" s="883">
        <f t="shared" si="39"/>
        <v>0</v>
      </c>
      <c r="Y20" s="883">
        <f t="shared" si="40"/>
        <v>0.38587478389281077</v>
      </c>
      <c r="Z20" s="883">
        <f t="shared" si="41"/>
        <v>0</v>
      </c>
      <c r="AA20" s="883">
        <f t="shared" si="42"/>
        <v>0</v>
      </c>
      <c r="AB20" s="883">
        <f t="shared" si="26"/>
        <v>0.38587478389281077</v>
      </c>
      <c r="AC20" s="888">
        <f>Factors!E25</f>
        <v>1</v>
      </c>
      <c r="AD20" s="885">
        <f t="shared" si="43"/>
        <v>0</v>
      </c>
      <c r="AE20" s="883">
        <f t="shared" si="43"/>
        <v>0</v>
      </c>
      <c r="AF20" s="883">
        <f t="shared" si="43"/>
        <v>0</v>
      </c>
      <c r="AG20" s="883">
        <f t="shared" si="43"/>
        <v>0.38587478389281077</v>
      </c>
      <c r="AH20" s="883">
        <f t="shared" si="43"/>
        <v>0</v>
      </c>
      <c r="AI20" s="883">
        <f t="shared" si="43"/>
        <v>0</v>
      </c>
      <c r="AJ20" s="889">
        <f t="shared" si="6"/>
        <v>0.38587478389281077</v>
      </c>
      <c r="AK20" s="885">
        <f t="shared" si="24"/>
        <v>0</v>
      </c>
      <c r="AL20" s="883">
        <f t="shared" si="19"/>
        <v>0</v>
      </c>
      <c r="AM20" s="883">
        <f t="shared" si="20"/>
        <v>0</v>
      </c>
      <c r="AN20" s="883">
        <f t="shared" si="21"/>
        <v>1.4148742076069727</v>
      </c>
      <c r="AO20" s="883">
        <f t="shared" si="22"/>
        <v>0</v>
      </c>
      <c r="AP20" s="883">
        <f t="shared" si="23"/>
        <v>0</v>
      </c>
      <c r="AQ20" s="890">
        <f t="shared" si="27"/>
        <v>1.4148742076069727</v>
      </c>
    </row>
    <row r="21" spans="1:43">
      <c r="A21" s="817"/>
      <c r="B21" s="860" t="s">
        <v>1738</v>
      </c>
      <c r="C21" s="883">
        <f>HLOOKUP($B$2,'Consumption Input'!$E$5:$AQ$82,'Consumption Input'!$B9)</f>
        <v>361.34790733198992</v>
      </c>
      <c r="D21" s="883">
        <f>HLOOKUP($B$2,'Consumption Input'!$E$5:$AQ$82,'Consumption Input'!$B15)</f>
        <v>271.09903494247459</v>
      </c>
      <c r="E21" s="883">
        <f>HLOOKUP($B$2,'Consumption Input'!$E$5:$AQ$82,'Consumption Input'!$B28)</f>
        <v>960.84723178693844</v>
      </c>
      <c r="F21" s="883">
        <f>HLOOKUP($B$2,'Consumption Input'!$E$5:$AQ$82,'Consumption Input'!$B51)</f>
        <v>6221.6073754624076</v>
      </c>
      <c r="G21" s="883">
        <f>HLOOKUP($B$2,'Consumption Input'!$E$5:$AQ$82,'Consumption Input'!$B60)</f>
        <v>54.902000000000001</v>
      </c>
      <c r="H21" s="883">
        <f>HLOOKUP($B$2,'US Territories'!$D$28:$AO$38,'US Territories'!$B31)</f>
        <v>80.181699429706157</v>
      </c>
      <c r="I21" s="883">
        <f t="shared" si="25"/>
        <v>7949.9852489535169</v>
      </c>
      <c r="J21" s="884">
        <f>HLOOKUP($B$2,IBFConsumption,'International Bunker Fuels'!$B$10)</f>
        <v>117.52308765543356</v>
      </c>
      <c r="K21" s="883">
        <f>HLOOKUP($B$2,NEUConsumption,'Non-Energy Use'!$C$20)</f>
        <v>5.8250000000000002</v>
      </c>
      <c r="L21" s="883"/>
      <c r="M21" s="883"/>
      <c r="N21" s="885">
        <f t="shared" si="32"/>
        <v>361.34790733198992</v>
      </c>
      <c r="O21" s="883">
        <f t="shared" si="32"/>
        <v>271.09903494247459</v>
      </c>
      <c r="P21" s="883">
        <f t="shared" si="33"/>
        <v>955.02223178693839</v>
      </c>
      <c r="Q21" s="883">
        <f t="shared" si="34"/>
        <v>6104.0842878069743</v>
      </c>
      <c r="R21" s="883">
        <f t="shared" si="35"/>
        <v>54.902000000000001</v>
      </c>
      <c r="S21" s="886">
        <f>H21-M21</f>
        <v>80.181699429706157</v>
      </c>
      <c r="T21" s="883">
        <f t="shared" si="4"/>
        <v>7826.6371612980838</v>
      </c>
      <c r="U21" s="887">
        <f>HLOOKUP($B$2,Factors!$J$12:$BE$27,Factors!$H27,FALSE)</f>
        <v>20.214239202481796</v>
      </c>
      <c r="V21" s="885">
        <f t="shared" si="37"/>
        <v>7.3043730341250699</v>
      </c>
      <c r="W21" s="883">
        <f t="shared" si="38"/>
        <v>5.4800607398891517</v>
      </c>
      <c r="X21" s="883">
        <f t="shared" si="39"/>
        <v>19.305047837029186</v>
      </c>
      <c r="Y21" s="883">
        <f t="shared" si="40"/>
        <v>123.38941990584091</v>
      </c>
      <c r="Z21" s="883">
        <f t="shared" si="41"/>
        <v>1.1098021606946558</v>
      </c>
      <c r="AA21" s="883">
        <f t="shared" si="42"/>
        <v>1.6208120519335785</v>
      </c>
      <c r="AB21" s="883">
        <f t="shared" si="26"/>
        <v>158.20951572951253</v>
      </c>
      <c r="AC21" s="888">
        <f>Factors!E26</f>
        <v>1</v>
      </c>
      <c r="AD21" s="885">
        <f t="shared" si="43"/>
        <v>7.3043730341250699</v>
      </c>
      <c r="AE21" s="883">
        <f t="shared" si="43"/>
        <v>5.4800607398891517</v>
      </c>
      <c r="AF21" s="883">
        <f t="shared" si="43"/>
        <v>19.305047837029186</v>
      </c>
      <c r="AG21" s="883">
        <f t="shared" si="43"/>
        <v>123.38941990584091</v>
      </c>
      <c r="AH21" s="883">
        <f t="shared" si="43"/>
        <v>1.1098021606946558</v>
      </c>
      <c r="AI21" s="883">
        <f t="shared" si="43"/>
        <v>1.6208120519335785</v>
      </c>
      <c r="AJ21" s="889">
        <f t="shared" si="6"/>
        <v>158.20951572951253</v>
      </c>
      <c r="AK21" s="885">
        <f t="shared" si="24"/>
        <v>26.782701125125254</v>
      </c>
      <c r="AL21" s="883">
        <f t="shared" si="19"/>
        <v>20.093556046260222</v>
      </c>
      <c r="AM21" s="883">
        <f t="shared" si="20"/>
        <v>70.785175402440345</v>
      </c>
      <c r="AN21" s="883">
        <f t="shared" si="21"/>
        <v>452.42787298808332</v>
      </c>
      <c r="AO21" s="883">
        <f t="shared" si="22"/>
        <v>4.0692745892137374</v>
      </c>
      <c r="AP21" s="883">
        <f t="shared" si="23"/>
        <v>5.9429775237564542</v>
      </c>
      <c r="AQ21" s="890">
        <f t="shared" si="27"/>
        <v>580.10155767487925</v>
      </c>
    </row>
    <row r="22" spans="1:43">
      <c r="A22" s="817"/>
      <c r="B22" s="860" t="s">
        <v>1623</v>
      </c>
      <c r="C22" s="883"/>
      <c r="D22" s="883"/>
      <c r="E22" s="883"/>
      <c r="F22" s="883">
        <f>HLOOKUP($B$2,'Consumption Input'!$E$5:$AQ$82,'Consumption Input'!$B52)</f>
        <v>3349.8769999999995</v>
      </c>
      <c r="G22" s="916"/>
      <c r="H22" s="883">
        <f>HLOOKUP($B$2,'US Territories'!$D$28:$AO$38,'US Territories'!$B32)</f>
        <v>29.582878809029623</v>
      </c>
      <c r="I22" s="883">
        <f t="shared" si="25"/>
        <v>3379.4598788090293</v>
      </c>
      <c r="J22" s="884">
        <f>HLOOKUP($B$2,IBFConsumption,'International Bunker Fuels'!$B$8)</f>
        <v>1052.0845621630212</v>
      </c>
      <c r="K22" s="883"/>
      <c r="L22" s="883"/>
      <c r="M22" s="883"/>
      <c r="N22" s="885">
        <f t="shared" si="32"/>
        <v>0</v>
      </c>
      <c r="O22" s="883">
        <f t="shared" si="32"/>
        <v>0</v>
      </c>
      <c r="P22" s="883">
        <f t="shared" si="33"/>
        <v>0</v>
      </c>
      <c r="Q22" s="883">
        <f t="shared" si="34"/>
        <v>2297.792437836978</v>
      </c>
      <c r="R22" s="883">
        <f t="shared" si="35"/>
        <v>0</v>
      </c>
      <c r="S22" s="886">
        <f t="shared" si="36"/>
        <v>29.582878809029623</v>
      </c>
      <c r="T22" s="883">
        <f t="shared" si="4"/>
        <v>2327.3753166460078</v>
      </c>
      <c r="U22" s="887">
        <f>HLOOKUP($B$2,Factors!$J$12:$BE$25,Factors!$H21,FALSE)</f>
        <v>19.696969696969692</v>
      </c>
      <c r="V22" s="885">
        <f t="shared" si="37"/>
        <v>0</v>
      </c>
      <c r="W22" s="883">
        <f t="shared" si="38"/>
        <v>0</v>
      </c>
      <c r="X22" s="883">
        <f t="shared" si="39"/>
        <v>0</v>
      </c>
      <c r="Y22" s="883">
        <f t="shared" si="40"/>
        <v>45.25954801800107</v>
      </c>
      <c r="Z22" s="883">
        <f t="shared" si="41"/>
        <v>0</v>
      </c>
      <c r="AA22" s="883">
        <f t="shared" si="42"/>
        <v>0.58269306745058336</v>
      </c>
      <c r="AB22" s="883">
        <f t="shared" si="26"/>
        <v>45.842241085451654</v>
      </c>
      <c r="AC22" s="888">
        <f>Factors!E27</f>
        <v>1</v>
      </c>
      <c r="AD22" s="885">
        <f t="shared" si="43"/>
        <v>0</v>
      </c>
      <c r="AE22" s="883">
        <f t="shared" si="43"/>
        <v>0</v>
      </c>
      <c r="AF22" s="883">
        <f t="shared" si="43"/>
        <v>0</v>
      </c>
      <c r="AG22" s="883">
        <f t="shared" si="43"/>
        <v>45.25954801800107</v>
      </c>
      <c r="AH22" s="883">
        <f t="shared" si="43"/>
        <v>0</v>
      </c>
      <c r="AI22" s="883">
        <f t="shared" si="43"/>
        <v>0.58269306745058336</v>
      </c>
      <c r="AJ22" s="889">
        <f t="shared" si="6"/>
        <v>45.842241085451654</v>
      </c>
      <c r="AK22" s="885">
        <f t="shared" si="24"/>
        <v>0</v>
      </c>
      <c r="AL22" s="883">
        <f t="shared" si="19"/>
        <v>0</v>
      </c>
      <c r="AM22" s="883">
        <f t="shared" si="20"/>
        <v>0</v>
      </c>
      <c r="AN22" s="883">
        <f t="shared" si="21"/>
        <v>165.95167606600393</v>
      </c>
      <c r="AO22" s="883">
        <f t="shared" si="22"/>
        <v>0</v>
      </c>
      <c r="AP22" s="883">
        <f t="shared" si="23"/>
        <v>2.1365412473188057</v>
      </c>
      <c r="AQ22" s="890">
        <f t="shared" si="27"/>
        <v>168.08821731332273</v>
      </c>
    </row>
    <row r="23" spans="1:43">
      <c r="A23" s="817"/>
      <c r="B23" s="860" t="s">
        <v>1599</v>
      </c>
      <c r="C23" s="883">
        <f>HLOOKUP($B$2,'Consumption Input'!$E$5:$AQ$82,'Consumption Input'!$B10)</f>
        <v>13.65</v>
      </c>
      <c r="D23" s="883">
        <f>HLOOKUP($B$2,'Consumption Input'!$E$5:$AQ$82,'Consumption Input'!$B16)</f>
        <v>2.077</v>
      </c>
      <c r="E23" s="883">
        <f>HLOOKUP($B$2,'Consumption Input'!$E$5:$AQ$82,'Consumption Input'!$B29)</f>
        <v>2.266</v>
      </c>
      <c r="F23" s="883"/>
      <c r="G23" s="883"/>
      <c r="H23" s="883">
        <f>HLOOKUP($B$2,'US Territories'!$D$28:$AO$38,'US Territories'!$B33)</f>
        <v>0.44760229829307407</v>
      </c>
      <c r="I23" s="883">
        <f t="shared" si="25"/>
        <v>18.440602298293076</v>
      </c>
      <c r="J23" s="884"/>
      <c r="K23" s="883"/>
      <c r="L23" s="883"/>
      <c r="M23" s="883"/>
      <c r="N23" s="885">
        <f t="shared" si="32"/>
        <v>13.65</v>
      </c>
      <c r="O23" s="883">
        <f t="shared" si="32"/>
        <v>2.077</v>
      </c>
      <c r="P23" s="883">
        <f t="shared" si="33"/>
        <v>2.266</v>
      </c>
      <c r="Q23" s="883">
        <f t="shared" si="34"/>
        <v>0</v>
      </c>
      <c r="R23" s="883">
        <f t="shared" si="35"/>
        <v>0</v>
      </c>
      <c r="S23" s="886">
        <f t="shared" si="36"/>
        <v>0.44760229829307407</v>
      </c>
      <c r="T23" s="883">
        <f t="shared" si="4"/>
        <v>18.440602298293076</v>
      </c>
      <c r="U23" s="887">
        <f>Factors!D28</f>
        <v>19.964104564962931</v>
      </c>
      <c r="V23" s="885">
        <f t="shared" si="37"/>
        <v>0.27251002731174401</v>
      </c>
      <c r="W23" s="883">
        <f t="shared" si="38"/>
        <v>4.1465445181428001E-2</v>
      </c>
      <c r="X23" s="883">
        <f t="shared" si="39"/>
        <v>4.5238660944206005E-2</v>
      </c>
      <c r="Y23" s="883">
        <f t="shared" si="40"/>
        <v>0</v>
      </c>
      <c r="Z23" s="883">
        <f t="shared" si="41"/>
        <v>0</v>
      </c>
      <c r="AA23" s="883">
        <f t="shared" si="42"/>
        <v>8.9359790866406583E-3</v>
      </c>
      <c r="AB23" s="883">
        <f t="shared" si="26"/>
        <v>0.36815011252401875</v>
      </c>
      <c r="AC23" s="888">
        <f>Factors!E28</f>
        <v>1</v>
      </c>
      <c r="AD23" s="885">
        <f t="shared" si="43"/>
        <v>0.27251002731174401</v>
      </c>
      <c r="AE23" s="883">
        <f t="shared" si="43"/>
        <v>4.1465445181428001E-2</v>
      </c>
      <c r="AF23" s="883">
        <f t="shared" si="43"/>
        <v>4.5238660944206005E-2</v>
      </c>
      <c r="AG23" s="883">
        <f t="shared" si="43"/>
        <v>0</v>
      </c>
      <c r="AH23" s="883">
        <f t="shared" si="43"/>
        <v>0</v>
      </c>
      <c r="AI23" s="883">
        <f t="shared" si="43"/>
        <v>8.9359790866406583E-3</v>
      </c>
      <c r="AJ23" s="889">
        <f t="shared" si="6"/>
        <v>0.36815011252401875</v>
      </c>
      <c r="AK23" s="885">
        <f t="shared" si="24"/>
        <v>0.99920343347639462</v>
      </c>
      <c r="AL23" s="883">
        <f t="shared" si="19"/>
        <v>0.152039965665236</v>
      </c>
      <c r="AM23" s="883">
        <f t="shared" si="20"/>
        <v>0.16587509012875534</v>
      </c>
      <c r="AN23" s="883">
        <f t="shared" si="21"/>
        <v>0</v>
      </c>
      <c r="AO23" s="883">
        <f t="shared" si="22"/>
        <v>0</v>
      </c>
      <c r="AP23" s="883">
        <f t="shared" si="23"/>
        <v>3.2765256651015748E-2</v>
      </c>
      <c r="AQ23" s="890">
        <f t="shared" si="27"/>
        <v>1.3498837459214017</v>
      </c>
    </row>
    <row r="24" spans="1:43">
      <c r="A24" s="817"/>
      <c r="B24" s="860" t="s">
        <v>1600</v>
      </c>
      <c r="C24" s="883">
        <f>HLOOKUP($B$2,'Consumption Input'!$E$5:$AQ$82,'Consumption Input'!$B11)</f>
        <v>429.88799999999998</v>
      </c>
      <c r="D24" s="883">
        <f>HLOOKUP($B$2,'Consumption Input'!$E$5:$AQ$82,'Consumption Input'!$B17)</f>
        <v>150.012</v>
      </c>
      <c r="E24"/>
      <c r="F24" s="883">
        <f>HLOOKUP($B$2,'Consumption Input'!$E$5:$AQ$82,'Consumption Input'!$B53)</f>
        <v>11.819000000000001</v>
      </c>
      <c r="G24" s="883"/>
      <c r="H24"/>
      <c r="I24" s="883">
        <f>SUM(C24:H24)</f>
        <v>591.71899999999994</v>
      </c>
      <c r="J24" s="884"/>
      <c r="K24"/>
      <c r="L24" s="883"/>
      <c r="M24" s="883"/>
      <c r="N24" s="885">
        <f>C24</f>
        <v>429.88799999999998</v>
      </c>
      <c r="O24" s="883">
        <f t="shared" si="32"/>
        <v>150.012</v>
      </c>
      <c r="P24"/>
      <c r="Q24" s="883">
        <f t="shared" si="34"/>
        <v>11.819000000000001</v>
      </c>
      <c r="R24" s="883">
        <f t="shared" si="35"/>
        <v>0</v>
      </c>
      <c r="S24" s="1007"/>
      <c r="T24" s="883">
        <f t="shared" si="4"/>
        <v>591.71899999999994</v>
      </c>
      <c r="U24" s="1005">
        <f>HLOOKUP($B$2,Factors!$J$12:$BE$25,Factors!$H17,FALSE)</f>
        <v>17.146363636363635</v>
      </c>
      <c r="V24" s="885">
        <f>N24*$U24*TbtuToQBtu</f>
        <v>7.3710159709090899</v>
      </c>
      <c r="W24" s="883">
        <f>O24*$U24*TbtuToQBtu</f>
        <v>2.5721603018181818</v>
      </c>
      <c r="X24"/>
      <c r="Y24" s="883">
        <f>Q24*$U24*TbtuToQBtu</f>
        <v>0.20265287181818181</v>
      </c>
      <c r="Z24" s="883">
        <f t="shared" ref="Z24" si="44">R24*$U24*TbtuToQBtu</f>
        <v>0</v>
      </c>
      <c r="AA24"/>
      <c r="AB24" s="883">
        <f>SUM(V24:AA24)</f>
        <v>10.145829144545454</v>
      </c>
      <c r="AC24" s="888">
        <f>Factors!E30</f>
        <v>1</v>
      </c>
      <c r="AD24" s="885">
        <f>V24*$AC24</f>
        <v>7.3710159709090899</v>
      </c>
      <c r="AE24" s="883">
        <f t="shared" si="43"/>
        <v>2.5721603018181818</v>
      </c>
      <c r="AF24"/>
      <c r="AG24" s="883">
        <f t="shared" si="43"/>
        <v>0.20265287181818181</v>
      </c>
      <c r="AH24" s="883">
        <f t="shared" si="43"/>
        <v>0</v>
      </c>
      <c r="AI24"/>
      <c r="AJ24" s="889">
        <f t="shared" si="6"/>
        <v>10.145829144545454</v>
      </c>
      <c r="AK24" s="885">
        <f>AD24*CtoCO2</f>
        <v>27.027058559999997</v>
      </c>
      <c r="AL24" s="883">
        <f t="shared" ref="AL24" si="45">AE24*CtoCO2</f>
        <v>9.43125444</v>
      </c>
      <c r="AN24" s="883">
        <f t="shared" ref="AN24" si="46">AG24*CtoCO2</f>
        <v>0.74306052999999994</v>
      </c>
      <c r="AO24" s="883">
        <f t="shared" ref="AO24" si="47">AH24*CtoCO2</f>
        <v>0</v>
      </c>
      <c r="AQ24" s="890">
        <f t="shared" si="27"/>
        <v>37.201373529999998</v>
      </c>
    </row>
    <row r="25" spans="1:43">
      <c r="A25" s="817"/>
      <c r="B25" s="860" t="s">
        <v>1609</v>
      </c>
      <c r="C25" s="883"/>
      <c r="D25" s="883"/>
      <c r="E25" s="883">
        <f>HLOOKUP($B$2,'Consumption Input'!$E$5:$AQ$82,'Consumption Input'!$B30)</f>
        <v>2479.8433615969998</v>
      </c>
      <c r="F25" s="883"/>
      <c r="G25" s="883"/>
      <c r="H25" s="883">
        <f>HLOOKUP($B$2,'US Territories'!$D$28:$AO$38,'US Territories'!$B34)</f>
        <v>8.242221048159081</v>
      </c>
      <c r="I25" s="883">
        <f>SUM(C25:H25)</f>
        <v>2488.0855826451589</v>
      </c>
      <c r="J25" s="884"/>
      <c r="K25" s="883">
        <f>HLOOKUP($B$2,NEUConsumption,'Non-Energy Use'!$C$11)</f>
        <v>2257.1477836390804</v>
      </c>
      <c r="L25" s="883"/>
      <c r="M25" s="883"/>
      <c r="N25" s="885"/>
      <c r="O25" s="883"/>
      <c r="P25" s="883">
        <f>E25-K25</f>
        <v>222.69557795791934</v>
      </c>
      <c r="Q25" s="883"/>
      <c r="R25" s="883"/>
      <c r="S25" s="886">
        <f>H25-M25</f>
        <v>8.242221048159081</v>
      </c>
      <c r="T25" s="883">
        <f t="shared" si="4"/>
        <v>230.93779900607842</v>
      </c>
      <c r="U25" s="1005">
        <f>HLOOKUP($B$2,Factors!$J$12:$BE$25,Factors!$H18,FALSE)</f>
        <v>17.702346346416931</v>
      </c>
      <c r="V25" s="885"/>
      <c r="W25" s="883"/>
      <c r="X25" s="883">
        <f>P25*$U25*TbtuToQBtu</f>
        <v>3.9422342508265804</v>
      </c>
      <c r="Y25" s="883"/>
      <c r="Z25" s="883"/>
      <c r="AA25" s="883">
        <f>S25*$U25*TbtuToQBtu</f>
        <v>0.14590665165823966</v>
      </c>
      <c r="AB25" s="883">
        <f>SUM(V25:AA25)</f>
        <v>4.0881409024848203</v>
      </c>
      <c r="AC25" s="888">
        <f>Factors!E31</f>
        <v>1</v>
      </c>
      <c r="AD25" s="885"/>
      <c r="AE25" s="883"/>
      <c r="AF25" s="883">
        <f>X25*$AC25</f>
        <v>3.9422342508265804</v>
      </c>
      <c r="AG25" s="883"/>
      <c r="AH25" s="883"/>
      <c r="AI25" s="883">
        <f>AA25*$AC25</f>
        <v>0.14590665165823966</v>
      </c>
      <c r="AJ25" s="889">
        <f t="shared" si="6"/>
        <v>4.0881409024848203</v>
      </c>
      <c r="AK25" s="885"/>
      <c r="AL25" s="883"/>
      <c r="AM25" s="883">
        <f>AF25*CtoCO2</f>
        <v>14.454858919697461</v>
      </c>
      <c r="AN25" s="883"/>
      <c r="AO25" s="883"/>
      <c r="AP25" s="883">
        <f>AI25*CtoCO2</f>
        <v>0.53499105608021202</v>
      </c>
      <c r="AQ25" s="890">
        <f t="shared" si="27"/>
        <v>14.989849975777673</v>
      </c>
    </row>
    <row r="26" spans="1:43">
      <c r="A26" s="817"/>
      <c r="B26" s="860" t="s">
        <v>1610</v>
      </c>
      <c r="C26" s="883"/>
      <c r="D26" s="883"/>
      <c r="E26" s="883">
        <f>HLOOKUP($B$2,'Consumption Input'!$E$5:$AQ$82,'Consumption Input'!$B31)</f>
        <v>135.148</v>
      </c>
      <c r="F26" s="883">
        <f>HLOOKUP($B$2,'Consumption Input'!$E$5:$AQ$82,'Consumption Input'!$B54)</f>
        <v>154.351</v>
      </c>
      <c r="G26" s="883"/>
      <c r="H26" s="883">
        <f>HLOOKUP($B$2,'US Territories'!$D$28:$AO$38,'US Territories'!$B35)</f>
        <v>1.0411633874999999</v>
      </c>
      <c r="I26" s="883">
        <f t="shared" si="25"/>
        <v>290.5401633875</v>
      </c>
      <c r="J26" s="884"/>
      <c r="K26" s="883">
        <f>HLOOKUP($B$2,NEUConsumption,'Non-Energy Use'!$C$12)</f>
        <v>135.148</v>
      </c>
      <c r="L26" s="883">
        <f>HLOOKUP($B$2,NEUConsumption,'Non-Energy Use'!$C$24)</f>
        <v>154.351</v>
      </c>
      <c r="M26" s="883">
        <f>HLOOKUP($B$2,NEUConsumption,'Non-Energy Use'!$C$26)</f>
        <v>1.0411633874999999</v>
      </c>
      <c r="N26" s="885">
        <f t="shared" si="32"/>
        <v>0</v>
      </c>
      <c r="O26" s="883">
        <f t="shared" si="32"/>
        <v>0</v>
      </c>
      <c r="P26" s="883">
        <f t="shared" si="33"/>
        <v>0</v>
      </c>
      <c r="Q26" s="883">
        <f>F26-J26-L26</f>
        <v>0</v>
      </c>
      <c r="R26" s="883">
        <f>G26</f>
        <v>0</v>
      </c>
      <c r="S26" s="886">
        <f t="shared" si="36"/>
        <v>0</v>
      </c>
      <c r="T26" s="883">
        <f t="shared" si="4"/>
        <v>0</v>
      </c>
      <c r="U26" s="887">
        <f>Factors!D33</f>
        <v>20.199355467286214</v>
      </c>
      <c r="V26" s="885">
        <f t="shared" si="37"/>
        <v>0</v>
      </c>
      <c r="W26" s="883">
        <f t="shared" si="38"/>
        <v>0</v>
      </c>
      <c r="X26" s="883">
        <f t="shared" si="39"/>
        <v>0</v>
      </c>
      <c r="Y26" s="883">
        <f t="shared" si="40"/>
        <v>0</v>
      </c>
      <c r="Z26" s="883">
        <f t="shared" si="41"/>
        <v>0</v>
      </c>
      <c r="AA26" s="883">
        <f t="shared" si="42"/>
        <v>0</v>
      </c>
      <c r="AB26" s="883">
        <f t="shared" si="26"/>
        <v>0</v>
      </c>
      <c r="AC26" s="888">
        <f>Factors!E33</f>
        <v>1</v>
      </c>
      <c r="AD26" s="885">
        <f t="shared" si="43"/>
        <v>0</v>
      </c>
      <c r="AE26" s="883">
        <f t="shared" si="43"/>
        <v>0</v>
      </c>
      <c r="AF26" s="883">
        <f t="shared" si="43"/>
        <v>0</v>
      </c>
      <c r="AG26" s="883">
        <f>Y26*$AC26</f>
        <v>0</v>
      </c>
      <c r="AH26" s="883">
        <f t="shared" si="43"/>
        <v>0</v>
      </c>
      <c r="AI26" s="883">
        <f t="shared" si="43"/>
        <v>0</v>
      </c>
      <c r="AJ26" s="889">
        <f t="shared" si="6"/>
        <v>0</v>
      </c>
      <c r="AK26" s="885">
        <f t="shared" si="24"/>
        <v>0</v>
      </c>
      <c r="AL26" s="883">
        <f t="shared" si="19"/>
        <v>0</v>
      </c>
      <c r="AM26" s="883">
        <f t="shared" si="20"/>
        <v>0</v>
      </c>
      <c r="AN26" s="883">
        <f>AG26*CtoCO2</f>
        <v>0</v>
      </c>
      <c r="AO26" s="883">
        <f t="shared" si="22"/>
        <v>0</v>
      </c>
      <c r="AP26" s="883">
        <f t="shared" si="23"/>
        <v>0</v>
      </c>
      <c r="AQ26" s="890">
        <f t="shared" si="27"/>
        <v>0</v>
      </c>
    </row>
    <row r="27" spans="1:43">
      <c r="A27" s="817"/>
      <c r="B27" s="860" t="s">
        <v>1601</v>
      </c>
      <c r="C27" s="883"/>
      <c r="D27" s="883">
        <f>HLOOKUP($B$2,'Consumption Input'!$E$5:$AQ$82,'Consumption Input'!$B18)</f>
        <v>410.80241284840372</v>
      </c>
      <c r="E27" s="883">
        <f>HLOOKUP($B$2,'Consumption Input'!$E$5:$AQ$82,'Consumption Input'!$B32)</f>
        <v>287.24977837765573</v>
      </c>
      <c r="F27" s="883">
        <f>HLOOKUP($B$2,'Consumption Input'!$E$5:$AQ$82,'Consumption Input'!$B55)</f>
        <v>15352.875808773939</v>
      </c>
      <c r="G27" s="883"/>
      <c r="H27" s="883">
        <f>HLOOKUP($B$2,'US Territories'!$D$28:$AO$38,'US Territories'!$B36)</f>
        <v>104.99871045325368</v>
      </c>
      <c r="I27" s="883">
        <f t="shared" si="25"/>
        <v>16155.926710453252</v>
      </c>
      <c r="J27" s="884"/>
      <c r="K27" s="883"/>
      <c r="L27" s="883"/>
      <c r="M27" s="883"/>
      <c r="N27" s="885">
        <f t="shared" si="32"/>
        <v>0</v>
      </c>
      <c r="O27" s="883">
        <f t="shared" si="32"/>
        <v>410.80241284840372</v>
      </c>
      <c r="P27" s="883">
        <f t="shared" si="33"/>
        <v>287.24977837765573</v>
      </c>
      <c r="Q27" s="883">
        <f t="shared" si="34"/>
        <v>15352.875808773939</v>
      </c>
      <c r="R27" s="883">
        <f t="shared" si="35"/>
        <v>0</v>
      </c>
      <c r="S27" s="886">
        <f t="shared" si="36"/>
        <v>104.99871045325368</v>
      </c>
      <c r="T27" s="883">
        <f t="shared" si="4"/>
        <v>16155.926710453252</v>
      </c>
      <c r="U27" s="887">
        <f>HLOOKUP($B$2,Factors!$J$12:$BE$25,Factors!$H20,FALSE)</f>
        <v>19.262501967102367</v>
      </c>
      <c r="V27" s="885">
        <f t="shared" si="37"/>
        <v>0</v>
      </c>
      <c r="W27" s="883">
        <f t="shared" si="38"/>
        <v>7.9130822855827754</v>
      </c>
      <c r="X27" s="883">
        <f t="shared" si="39"/>
        <v>5.5331494210493117</v>
      </c>
      <c r="Y27" s="883">
        <f t="shared" si="40"/>
        <v>295.73480046718635</v>
      </c>
      <c r="Z27" s="883">
        <f t="shared" si="41"/>
        <v>0</v>
      </c>
      <c r="AA27" s="883">
        <f t="shared" si="42"/>
        <v>2.022537866649011</v>
      </c>
      <c r="AB27" s="883">
        <f t="shared" si="26"/>
        <v>311.20357004046747</v>
      </c>
      <c r="AC27" s="888">
        <f>Factors!E34</f>
        <v>1</v>
      </c>
      <c r="AD27" s="885">
        <f t="shared" si="43"/>
        <v>0</v>
      </c>
      <c r="AE27" s="883">
        <f t="shared" si="43"/>
        <v>7.9130822855827754</v>
      </c>
      <c r="AF27" s="883">
        <f t="shared" si="43"/>
        <v>5.5331494210493117</v>
      </c>
      <c r="AG27" s="883">
        <f>Y27*$AC44</f>
        <v>295.73480046718635</v>
      </c>
      <c r="AH27" s="883">
        <f t="shared" si="43"/>
        <v>0</v>
      </c>
      <c r="AI27" s="883">
        <f t="shared" si="43"/>
        <v>2.022537866649011</v>
      </c>
      <c r="AJ27" s="889">
        <f t="shared" si="6"/>
        <v>311.20357004046747</v>
      </c>
      <c r="AK27" s="885">
        <f t="shared" si="24"/>
        <v>0</v>
      </c>
      <c r="AL27" s="883">
        <f t="shared" si="19"/>
        <v>29.014635047136842</v>
      </c>
      <c r="AM27" s="883">
        <f t="shared" si="20"/>
        <v>20.288214543847477</v>
      </c>
      <c r="AN27" s="883">
        <f t="shared" si="21"/>
        <v>1084.3609350463498</v>
      </c>
      <c r="AO27" s="883">
        <f t="shared" si="22"/>
        <v>0</v>
      </c>
      <c r="AP27" s="883">
        <f t="shared" si="23"/>
        <v>7.4159721777130398</v>
      </c>
      <c r="AQ27" s="890">
        <f t="shared" si="27"/>
        <v>1141.0797568150472</v>
      </c>
    </row>
    <row r="28" spans="1:43">
      <c r="A28" s="817"/>
      <c r="B28" s="860" t="s">
        <v>1602</v>
      </c>
      <c r="C28" s="883"/>
      <c r="D28" s="883">
        <f>HLOOKUP($B$2,'Consumption Input'!$E$5:$AQ$82,'Consumption Input'!$B19)</f>
        <v>4.4390000000000001</v>
      </c>
      <c r="E28" s="883">
        <f>HLOOKUP($B$2,'Consumption Input'!$E$5:$AQ$82,'Consumption Input'!$B33)</f>
        <v>2.1189999999999927</v>
      </c>
      <c r="F28" s="883">
        <f>HLOOKUP($B$2,'Consumption Input'!$E$5:$AQ$82,'Consumption Input'!$B56)</f>
        <v>623.12400000000002</v>
      </c>
      <c r="G28" s="883">
        <f>HLOOKUP($B$2,'Consumption Input'!$E$5:$AQ$82,'Consumption Input'!$B61)</f>
        <v>70.680000000000007</v>
      </c>
      <c r="H28" s="883">
        <f>HLOOKUP($B$2,'US Territories'!$D$28:$AO$38,'US Territories'!$B37)</f>
        <v>46.153126581042429</v>
      </c>
      <c r="I28" s="883">
        <f t="shared" si="25"/>
        <v>746.51512658104252</v>
      </c>
      <c r="J28" s="884">
        <f>HLOOKUP($B$2,IBFConsumption,'International Bunker Fuels'!$B$9)</f>
        <v>450.68101104299996</v>
      </c>
      <c r="K28" s="883"/>
      <c r="L28" s="883"/>
      <c r="M28" s="883"/>
      <c r="N28" s="885">
        <f t="shared" si="32"/>
        <v>0</v>
      </c>
      <c r="O28" s="883">
        <f t="shared" si="32"/>
        <v>4.4390000000000001</v>
      </c>
      <c r="P28" s="883">
        <f t="shared" si="33"/>
        <v>2.1189999999999927</v>
      </c>
      <c r="Q28" s="883">
        <f t="shared" si="34"/>
        <v>172.44298895700007</v>
      </c>
      <c r="R28" s="883">
        <f t="shared" si="35"/>
        <v>70.680000000000007</v>
      </c>
      <c r="S28" s="886">
        <f t="shared" si="36"/>
        <v>46.153126581042429</v>
      </c>
      <c r="T28" s="883">
        <f t="shared" si="4"/>
        <v>295.83411553804251</v>
      </c>
      <c r="U28" s="887">
        <f>Factors!D36</f>
        <v>20.48</v>
      </c>
      <c r="V28" s="885">
        <f t="shared" si="37"/>
        <v>0</v>
      </c>
      <c r="W28" s="883">
        <f t="shared" si="38"/>
        <v>9.091072E-2</v>
      </c>
      <c r="X28" s="883">
        <f t="shared" si="39"/>
        <v>4.3397119999999852E-2</v>
      </c>
      <c r="Y28" s="883">
        <f t="shared" si="40"/>
        <v>3.5316324138393616</v>
      </c>
      <c r="Z28" s="883">
        <f t="shared" si="41"/>
        <v>1.4475264000000003</v>
      </c>
      <c r="AA28" s="883">
        <f t="shared" si="42"/>
        <v>0.94521603237974905</v>
      </c>
      <c r="AB28" s="883">
        <f t="shared" si="26"/>
        <v>6.058682686219111</v>
      </c>
      <c r="AC28" s="888">
        <f>Factors!E36</f>
        <v>1</v>
      </c>
      <c r="AD28" s="885">
        <f t="shared" si="43"/>
        <v>0</v>
      </c>
      <c r="AE28" s="883">
        <f t="shared" si="43"/>
        <v>9.091072E-2</v>
      </c>
      <c r="AF28" s="883">
        <f t="shared" si="43"/>
        <v>4.3397119999999852E-2</v>
      </c>
      <c r="AG28" s="883">
        <f t="shared" si="43"/>
        <v>3.5316324138393616</v>
      </c>
      <c r="AH28" s="883">
        <f t="shared" si="43"/>
        <v>1.4475264000000003</v>
      </c>
      <c r="AI28" s="883">
        <f t="shared" si="43"/>
        <v>0.94521603237974905</v>
      </c>
      <c r="AJ28" s="889">
        <f t="shared" si="6"/>
        <v>6.058682686219111</v>
      </c>
      <c r="AK28" s="885">
        <f t="shared" si="24"/>
        <v>0</v>
      </c>
      <c r="AL28" s="883">
        <f t="shared" si="19"/>
        <v>0.33333930666666667</v>
      </c>
      <c r="AM28" s="883">
        <f t="shared" si="20"/>
        <v>0.15912277333333277</v>
      </c>
      <c r="AN28" s="883">
        <f t="shared" si="21"/>
        <v>12.949318850744325</v>
      </c>
      <c r="AO28" s="883">
        <f t="shared" si="22"/>
        <v>5.3075968000000007</v>
      </c>
      <c r="AP28" s="883">
        <f t="shared" si="23"/>
        <v>3.4657921187257466</v>
      </c>
      <c r="AQ28" s="890">
        <f t="shared" si="27"/>
        <v>22.215169849470072</v>
      </c>
    </row>
    <row r="29" spans="1:43">
      <c r="A29" s="817"/>
      <c r="B29" s="860" t="s">
        <v>1603</v>
      </c>
      <c r="C29" s="883"/>
      <c r="D29" s="883"/>
      <c r="E29" s="883"/>
      <c r="F29" s="883"/>
      <c r="G29" s="883"/>
      <c r="H29" s="883"/>
      <c r="I29" s="883"/>
      <c r="J29" s="884"/>
      <c r="K29" s="883"/>
      <c r="L29" s="883"/>
      <c r="M29" s="883"/>
      <c r="N29" s="885">
        <f t="shared" si="32"/>
        <v>0</v>
      </c>
      <c r="O29" s="883">
        <f t="shared" si="32"/>
        <v>0</v>
      </c>
      <c r="P29" s="883">
        <f t="shared" si="33"/>
        <v>0</v>
      </c>
      <c r="Q29" s="883">
        <f t="shared" si="34"/>
        <v>0</v>
      </c>
      <c r="R29" s="883">
        <f t="shared" si="35"/>
        <v>0</v>
      </c>
      <c r="S29" s="886">
        <f t="shared" si="36"/>
        <v>0</v>
      </c>
      <c r="T29" s="883">
        <f t="shared" si="4"/>
        <v>0</v>
      </c>
      <c r="U29" s="887"/>
      <c r="V29" s="885">
        <f t="shared" si="37"/>
        <v>0</v>
      </c>
      <c r="W29" s="883">
        <f t="shared" si="38"/>
        <v>0</v>
      </c>
      <c r="X29" s="883">
        <f t="shared" si="39"/>
        <v>0</v>
      </c>
      <c r="Y29" s="883">
        <f t="shared" si="40"/>
        <v>0</v>
      </c>
      <c r="Z29" s="883">
        <f t="shared" si="41"/>
        <v>0</v>
      </c>
      <c r="AA29" s="883">
        <f t="shared" si="42"/>
        <v>0</v>
      </c>
      <c r="AB29" s="883">
        <f t="shared" si="26"/>
        <v>0</v>
      </c>
      <c r="AC29" s="888"/>
      <c r="AD29" s="885">
        <f t="shared" si="43"/>
        <v>0</v>
      </c>
      <c r="AE29" s="883">
        <f t="shared" si="43"/>
        <v>0</v>
      </c>
      <c r="AF29" s="883">
        <f t="shared" si="43"/>
        <v>0</v>
      </c>
      <c r="AG29" s="883">
        <f t="shared" si="43"/>
        <v>0</v>
      </c>
      <c r="AH29" s="883">
        <f t="shared" si="43"/>
        <v>0</v>
      </c>
      <c r="AI29" s="883">
        <f t="shared" si="43"/>
        <v>0</v>
      </c>
      <c r="AJ29" s="889">
        <f t="shared" si="6"/>
        <v>0</v>
      </c>
      <c r="AK29" s="885">
        <f t="shared" si="24"/>
        <v>0</v>
      </c>
      <c r="AL29" s="883">
        <f t="shared" si="19"/>
        <v>0</v>
      </c>
      <c r="AM29" s="883">
        <f t="shared" si="20"/>
        <v>0</v>
      </c>
      <c r="AN29" s="883">
        <f t="shared" si="21"/>
        <v>0</v>
      </c>
      <c r="AO29" s="883">
        <f t="shared" si="22"/>
        <v>0</v>
      </c>
      <c r="AP29" s="883">
        <f t="shared" si="23"/>
        <v>0</v>
      </c>
      <c r="AQ29" s="890">
        <f t="shared" si="27"/>
        <v>0</v>
      </c>
    </row>
    <row r="30" spans="1:43">
      <c r="A30" s="817"/>
      <c r="B30" s="865" t="s">
        <v>1611</v>
      </c>
      <c r="C30" s="883"/>
      <c r="D30" s="883"/>
      <c r="E30" s="883">
        <f>HLOOKUP($B$2,'Consumption Input'!$E$5:$AQ$82,'Consumption Input'!$B35)</f>
        <v>-0.29278399999999999</v>
      </c>
      <c r="F30" s="883"/>
      <c r="G30" s="883"/>
      <c r="H30" s="883"/>
      <c r="I30" s="883">
        <f t="shared" ref="I30:I41" si="48">SUM(C30:H30)</f>
        <v>-0.29278399999999999</v>
      </c>
      <c r="J30" s="884"/>
      <c r="K30" s="883"/>
      <c r="L30" s="883"/>
      <c r="M30" s="883"/>
      <c r="N30" s="885">
        <f t="shared" si="32"/>
        <v>0</v>
      </c>
      <c r="O30" s="883">
        <f t="shared" si="32"/>
        <v>0</v>
      </c>
      <c r="P30" s="883">
        <f t="shared" si="33"/>
        <v>-0.29278399999999999</v>
      </c>
      <c r="Q30" s="883">
        <f t="shared" si="34"/>
        <v>0</v>
      </c>
      <c r="R30" s="883">
        <f t="shared" si="35"/>
        <v>0</v>
      </c>
      <c r="S30" s="886">
        <f t="shared" si="36"/>
        <v>0</v>
      </c>
      <c r="T30" s="883">
        <f t="shared" si="4"/>
        <v>-0.29278399999999999</v>
      </c>
      <c r="U30" s="887">
        <f>Factors!D39</f>
        <v>18.87</v>
      </c>
      <c r="V30" s="885">
        <f t="shared" si="37"/>
        <v>0</v>
      </c>
      <c r="W30" s="883">
        <f t="shared" si="38"/>
        <v>0</v>
      </c>
      <c r="X30" s="883">
        <f t="shared" si="39"/>
        <v>-5.5248340799999998E-3</v>
      </c>
      <c r="Y30" s="883">
        <f t="shared" si="40"/>
        <v>0</v>
      </c>
      <c r="Z30" s="883">
        <f t="shared" si="41"/>
        <v>0</v>
      </c>
      <c r="AA30" s="883">
        <f t="shared" si="42"/>
        <v>0</v>
      </c>
      <c r="AB30" s="883">
        <f t="shared" si="26"/>
        <v>-5.5248340799999998E-3</v>
      </c>
      <c r="AC30" s="888">
        <f>Factors!E39</f>
        <v>1</v>
      </c>
      <c r="AD30" s="885">
        <f t="shared" si="43"/>
        <v>0</v>
      </c>
      <c r="AE30" s="883">
        <f t="shared" si="43"/>
        <v>0</v>
      </c>
      <c r="AF30" s="883">
        <f t="shared" si="43"/>
        <v>-5.5248340799999998E-3</v>
      </c>
      <c r="AG30" s="883">
        <f t="shared" si="43"/>
        <v>0</v>
      </c>
      <c r="AH30" s="883">
        <f t="shared" si="43"/>
        <v>0</v>
      </c>
      <c r="AI30" s="883">
        <f t="shared" si="43"/>
        <v>0</v>
      </c>
      <c r="AJ30" s="889">
        <f t="shared" si="6"/>
        <v>-5.5248340799999998E-3</v>
      </c>
      <c r="AK30" s="885">
        <f t="shared" si="24"/>
        <v>0</v>
      </c>
      <c r="AL30" s="883">
        <f t="shared" si="19"/>
        <v>0</v>
      </c>
      <c r="AM30" s="883">
        <f t="shared" si="20"/>
        <v>-2.0257724959999997E-2</v>
      </c>
      <c r="AN30" s="883">
        <f t="shared" si="21"/>
        <v>0</v>
      </c>
      <c r="AO30" s="883">
        <f t="shared" si="22"/>
        <v>0</v>
      </c>
      <c r="AP30" s="883">
        <f t="shared" si="23"/>
        <v>0</v>
      </c>
      <c r="AQ30" s="890">
        <f t="shared" si="27"/>
        <v>-2.0257724959999997E-2</v>
      </c>
    </row>
    <row r="31" spans="1:43">
      <c r="A31" s="817"/>
      <c r="B31" s="865" t="s">
        <v>1612</v>
      </c>
      <c r="C31" s="883"/>
      <c r="D31" s="883"/>
      <c r="E31" s="883">
        <f>HLOOKUP($B$2,'Consumption Input'!$E$5:$AQ$82,'Consumption Input'!$B36)</f>
        <v>0</v>
      </c>
      <c r="F31" s="883"/>
      <c r="G31" s="883"/>
      <c r="H31" s="883"/>
      <c r="I31" s="883">
        <f t="shared" si="48"/>
        <v>0</v>
      </c>
      <c r="J31" s="884"/>
      <c r="K31" s="883"/>
      <c r="L31" s="883"/>
      <c r="M31" s="883"/>
      <c r="N31" s="885">
        <f t="shared" si="32"/>
        <v>0</v>
      </c>
      <c r="O31" s="883">
        <f t="shared" si="32"/>
        <v>0</v>
      </c>
      <c r="P31" s="883">
        <f t="shared" si="33"/>
        <v>0</v>
      </c>
      <c r="Q31" s="883">
        <f t="shared" si="34"/>
        <v>0</v>
      </c>
      <c r="R31" s="883">
        <f t="shared" si="35"/>
        <v>0</v>
      </c>
      <c r="S31" s="886">
        <f t="shared" si="36"/>
        <v>0</v>
      </c>
      <c r="T31" s="883">
        <f t="shared" si="4"/>
        <v>0</v>
      </c>
      <c r="U31" s="887">
        <f>HLOOKUP($B$2,Factors!$J$12:$BE$25,Factors!$H25,FALSE)</f>
        <v>20.305515594827586</v>
      </c>
      <c r="V31" s="885">
        <f t="shared" si="37"/>
        <v>0</v>
      </c>
      <c r="W31" s="883">
        <f t="shared" si="38"/>
        <v>0</v>
      </c>
      <c r="X31" s="883">
        <f t="shared" si="39"/>
        <v>0</v>
      </c>
      <c r="Y31" s="883">
        <f t="shared" si="40"/>
        <v>0</v>
      </c>
      <c r="Z31" s="883">
        <f t="shared" si="41"/>
        <v>0</v>
      </c>
      <c r="AA31" s="883">
        <f t="shared" si="42"/>
        <v>0</v>
      </c>
      <c r="AB31" s="883">
        <f t="shared" si="26"/>
        <v>0</v>
      </c>
      <c r="AC31" s="888">
        <f>Factors!E40</f>
        <v>1</v>
      </c>
      <c r="AD31" s="885">
        <f t="shared" si="43"/>
        <v>0</v>
      </c>
      <c r="AE31" s="883">
        <f t="shared" si="43"/>
        <v>0</v>
      </c>
      <c r="AF31" s="883">
        <f t="shared" si="43"/>
        <v>0</v>
      </c>
      <c r="AG31" s="883">
        <f t="shared" si="43"/>
        <v>0</v>
      </c>
      <c r="AH31" s="883">
        <f t="shared" si="43"/>
        <v>0</v>
      </c>
      <c r="AI31" s="883">
        <f t="shared" si="43"/>
        <v>0</v>
      </c>
      <c r="AJ31" s="889">
        <f t="shared" si="6"/>
        <v>0</v>
      </c>
      <c r="AK31" s="885">
        <f t="shared" si="24"/>
        <v>0</v>
      </c>
      <c r="AL31" s="883">
        <f t="shared" si="19"/>
        <v>0</v>
      </c>
      <c r="AM31" s="883">
        <f t="shared" si="20"/>
        <v>0</v>
      </c>
      <c r="AN31" s="883">
        <f t="shared" si="21"/>
        <v>0</v>
      </c>
      <c r="AO31" s="883">
        <f t="shared" si="22"/>
        <v>0</v>
      </c>
      <c r="AP31" s="883">
        <f t="shared" si="23"/>
        <v>0</v>
      </c>
      <c r="AQ31" s="890">
        <f t="shared" si="27"/>
        <v>0</v>
      </c>
    </row>
    <row r="32" spans="1:43">
      <c r="A32" s="817"/>
      <c r="B32" s="865" t="s">
        <v>1613</v>
      </c>
      <c r="C32" s="883"/>
      <c r="D32" s="883"/>
      <c r="E32" s="883">
        <f>HLOOKUP($B$2,'Consumption Input'!$E$5:$AQ$82,'Consumption Input'!$B37)</f>
        <v>0</v>
      </c>
      <c r="F32" s="883"/>
      <c r="G32" s="883"/>
      <c r="H32" s="883"/>
      <c r="I32" s="883">
        <f t="shared" si="48"/>
        <v>0</v>
      </c>
      <c r="J32" s="884"/>
      <c r="K32" s="883"/>
      <c r="L32" s="883"/>
      <c r="M32" s="883"/>
      <c r="N32" s="885">
        <f t="shared" si="32"/>
        <v>0</v>
      </c>
      <c r="O32" s="883">
        <f t="shared" si="32"/>
        <v>0</v>
      </c>
      <c r="P32" s="883">
        <f t="shared" si="33"/>
        <v>0</v>
      </c>
      <c r="Q32" s="883">
        <f t="shared" si="34"/>
        <v>0</v>
      </c>
      <c r="R32" s="883">
        <f t="shared" si="35"/>
        <v>0</v>
      </c>
      <c r="S32" s="886">
        <f t="shared" si="36"/>
        <v>0</v>
      </c>
      <c r="T32" s="883">
        <f t="shared" si="4"/>
        <v>0</v>
      </c>
      <c r="U32" s="887">
        <f>HLOOKUP($B$2,Factors!$J$12:$BE$25,Factors!$H22,FALSE)</f>
        <v>19.456118437849259</v>
      </c>
      <c r="V32" s="885">
        <f t="shared" si="37"/>
        <v>0</v>
      </c>
      <c r="W32" s="883">
        <f t="shared" si="38"/>
        <v>0</v>
      </c>
      <c r="X32" s="883">
        <f t="shared" si="39"/>
        <v>0</v>
      </c>
      <c r="Y32" s="883">
        <f t="shared" si="40"/>
        <v>0</v>
      </c>
      <c r="Z32" s="883">
        <f t="shared" si="41"/>
        <v>0</v>
      </c>
      <c r="AA32" s="883">
        <f t="shared" si="42"/>
        <v>0</v>
      </c>
      <c r="AB32" s="883">
        <f t="shared" si="26"/>
        <v>0</v>
      </c>
      <c r="AC32" s="888">
        <f>Factors!E41</f>
        <v>1</v>
      </c>
      <c r="AD32" s="885">
        <f t="shared" si="43"/>
        <v>0</v>
      </c>
      <c r="AE32" s="883">
        <f t="shared" si="43"/>
        <v>0</v>
      </c>
      <c r="AF32" s="883">
        <f t="shared" si="43"/>
        <v>0</v>
      </c>
      <c r="AG32" s="883">
        <f t="shared" si="43"/>
        <v>0</v>
      </c>
      <c r="AH32" s="883">
        <f t="shared" si="43"/>
        <v>0</v>
      </c>
      <c r="AI32" s="883">
        <f t="shared" si="43"/>
        <v>0</v>
      </c>
      <c r="AJ32" s="889">
        <f t="shared" si="6"/>
        <v>0</v>
      </c>
      <c r="AK32" s="885">
        <f t="shared" si="24"/>
        <v>0</v>
      </c>
      <c r="AL32" s="883">
        <f t="shared" si="19"/>
        <v>0</v>
      </c>
      <c r="AM32" s="883">
        <f t="shared" si="20"/>
        <v>0</v>
      </c>
      <c r="AN32" s="883">
        <f t="shared" si="21"/>
        <v>0</v>
      </c>
      <c r="AO32" s="883">
        <f t="shared" si="22"/>
        <v>0</v>
      </c>
      <c r="AP32" s="883">
        <f t="shared" si="23"/>
        <v>0</v>
      </c>
      <c r="AQ32" s="890">
        <f t="shared" si="27"/>
        <v>0</v>
      </c>
    </row>
    <row r="33" spans="1:43">
      <c r="A33" s="817"/>
      <c r="B33" s="865" t="s">
        <v>1739</v>
      </c>
      <c r="C33" s="883"/>
      <c r="D33" s="883"/>
      <c r="E33" s="883">
        <f>HLOOKUP($B$2,'Consumption Input'!$E$5:$AQ$82,'Consumption Input'!$B38)</f>
        <v>191.34131360399999</v>
      </c>
      <c r="F33" s="883"/>
      <c r="G33" s="883"/>
      <c r="H33" s="883">
        <f>HLOOKUP($B$2,'US Territories'!$D$28:$AO$38,'US Territories'!$B38)</f>
        <v>9.4711246704538272</v>
      </c>
      <c r="I33" s="883">
        <f t="shared" si="48"/>
        <v>200.81243827445383</v>
      </c>
      <c r="J33" s="884"/>
      <c r="K33" s="883">
        <f>HLOOKUP($B$2,NEUConsumption,'Non-Energy Use'!C22)</f>
        <v>191.34131360399999</v>
      </c>
      <c r="L33" s="883"/>
      <c r="M33" s="883">
        <f>HLOOKUP($B$2,NEUConsumption,'Non-Energy Use'!$C$27)</f>
        <v>9.4711246704538272</v>
      </c>
      <c r="N33" s="885">
        <f t="shared" si="32"/>
        <v>0</v>
      </c>
      <c r="O33" s="883">
        <f t="shared" si="32"/>
        <v>0</v>
      </c>
      <c r="P33" s="883">
        <f t="shared" si="33"/>
        <v>0</v>
      </c>
      <c r="Q33" s="883">
        <f t="shared" si="34"/>
        <v>0</v>
      </c>
      <c r="R33" s="883">
        <f t="shared" si="35"/>
        <v>0</v>
      </c>
      <c r="S33" s="886">
        <f t="shared" si="36"/>
        <v>0</v>
      </c>
      <c r="T33" s="883">
        <f t="shared" si="4"/>
        <v>0</v>
      </c>
      <c r="U33" s="887">
        <f>HLOOKUP($B$2,Factors!$J$12:$BE$25,Factors!$H23,FALSE)</f>
        <v>0</v>
      </c>
      <c r="V33" s="885">
        <f t="shared" si="37"/>
        <v>0</v>
      </c>
      <c r="W33" s="883">
        <f t="shared" si="38"/>
        <v>0</v>
      </c>
      <c r="X33" s="883">
        <f t="shared" si="39"/>
        <v>0</v>
      </c>
      <c r="Y33" s="883">
        <f t="shared" si="40"/>
        <v>0</v>
      </c>
      <c r="Z33" s="883">
        <f t="shared" si="41"/>
        <v>0</v>
      </c>
      <c r="AA33" s="883">
        <f t="shared" si="42"/>
        <v>0</v>
      </c>
      <c r="AB33" s="883">
        <f t="shared" si="26"/>
        <v>0</v>
      </c>
      <c r="AC33" s="888">
        <f>Factors!E42</f>
        <v>1</v>
      </c>
      <c r="AD33" s="885">
        <f t="shared" si="43"/>
        <v>0</v>
      </c>
      <c r="AE33" s="883">
        <f t="shared" si="43"/>
        <v>0</v>
      </c>
      <c r="AF33" s="883">
        <f t="shared" si="43"/>
        <v>0</v>
      </c>
      <c r="AG33" s="883">
        <f t="shared" si="43"/>
        <v>0</v>
      </c>
      <c r="AH33" s="883">
        <f t="shared" si="43"/>
        <v>0</v>
      </c>
      <c r="AI33" s="883">
        <f t="shared" si="43"/>
        <v>0</v>
      </c>
      <c r="AJ33" s="889">
        <f t="shared" si="6"/>
        <v>0</v>
      </c>
      <c r="AK33" s="885">
        <f t="shared" si="24"/>
        <v>0</v>
      </c>
      <c r="AL33" s="883">
        <f t="shared" si="19"/>
        <v>0</v>
      </c>
      <c r="AM33" s="883">
        <f t="shared" si="20"/>
        <v>0</v>
      </c>
      <c r="AN33" s="883">
        <f t="shared" si="21"/>
        <v>0</v>
      </c>
      <c r="AO33" s="883">
        <f t="shared" si="22"/>
        <v>0</v>
      </c>
      <c r="AP33" s="883">
        <f t="shared" si="23"/>
        <v>0</v>
      </c>
      <c r="AQ33" s="890">
        <f t="shared" si="27"/>
        <v>0</v>
      </c>
    </row>
    <row r="34" spans="1:43">
      <c r="A34" s="817"/>
      <c r="B34" s="865" t="s">
        <v>1615</v>
      </c>
      <c r="C34" s="883"/>
      <c r="D34" s="883"/>
      <c r="E34" s="883">
        <f>HLOOKUP($B$2,'Consumption Input'!$E$5:$AQ$82,'Consumption Input'!$B39)</f>
        <v>420.02368000000001</v>
      </c>
      <c r="F34" s="883"/>
      <c r="G34" s="883"/>
      <c r="H34" s="883"/>
      <c r="I34" s="883">
        <f t="shared" si="48"/>
        <v>420.02368000000001</v>
      </c>
      <c r="J34" s="884"/>
      <c r="K34" s="883">
        <f>HLOOKUP($B$2,NEUConsumption,'Non-Energy Use'!C14)</f>
        <v>420.02368000000001</v>
      </c>
      <c r="L34" s="883"/>
      <c r="M34" s="883"/>
      <c r="N34" s="885">
        <f t="shared" si="32"/>
        <v>0</v>
      </c>
      <c r="O34" s="883">
        <f t="shared" si="32"/>
        <v>0</v>
      </c>
      <c r="P34" s="883">
        <f t="shared" si="33"/>
        <v>0</v>
      </c>
      <c r="Q34" s="883">
        <f t="shared" si="34"/>
        <v>0</v>
      </c>
      <c r="R34" s="883">
        <f t="shared" si="35"/>
        <v>0</v>
      </c>
      <c r="S34" s="886">
        <f t="shared" si="36"/>
        <v>0</v>
      </c>
      <c r="T34" s="883">
        <f t="shared" si="4"/>
        <v>0</v>
      </c>
      <c r="U34" s="887">
        <f>Factors!D44</f>
        <v>18.550649350649344</v>
      </c>
      <c r="V34" s="885">
        <f t="shared" si="37"/>
        <v>0</v>
      </c>
      <c r="W34" s="883">
        <f t="shared" si="38"/>
        <v>0</v>
      </c>
      <c r="X34" s="883">
        <f t="shared" si="39"/>
        <v>0</v>
      </c>
      <c r="Y34" s="883">
        <f t="shared" si="40"/>
        <v>0</v>
      </c>
      <c r="Z34" s="883">
        <f t="shared" si="41"/>
        <v>0</v>
      </c>
      <c r="AA34" s="883">
        <f t="shared" si="42"/>
        <v>0</v>
      </c>
      <c r="AB34" s="883">
        <f t="shared" si="26"/>
        <v>0</v>
      </c>
      <c r="AC34" s="888">
        <f>Factors!E44</f>
        <v>1</v>
      </c>
      <c r="AD34" s="885">
        <f t="shared" si="43"/>
        <v>0</v>
      </c>
      <c r="AE34" s="883">
        <f t="shared" si="43"/>
        <v>0</v>
      </c>
      <c r="AF34" s="883">
        <f t="shared" si="43"/>
        <v>0</v>
      </c>
      <c r="AG34" s="883">
        <f t="shared" si="43"/>
        <v>0</v>
      </c>
      <c r="AH34" s="883">
        <f t="shared" si="43"/>
        <v>0</v>
      </c>
      <c r="AI34" s="883">
        <f t="shared" si="43"/>
        <v>0</v>
      </c>
      <c r="AJ34" s="889">
        <f t="shared" si="6"/>
        <v>0</v>
      </c>
      <c r="AK34" s="885">
        <f t="shared" si="24"/>
        <v>0</v>
      </c>
      <c r="AL34" s="883">
        <f t="shared" si="19"/>
        <v>0</v>
      </c>
      <c r="AM34" s="883">
        <f t="shared" si="20"/>
        <v>0</v>
      </c>
      <c r="AN34" s="883">
        <f t="shared" si="21"/>
        <v>0</v>
      </c>
      <c r="AO34" s="883">
        <f t="shared" si="22"/>
        <v>0</v>
      </c>
      <c r="AP34" s="883">
        <f t="shared" si="23"/>
        <v>0</v>
      </c>
      <c r="AQ34" s="890">
        <f t="shared" si="27"/>
        <v>0</v>
      </c>
    </row>
    <row r="35" spans="1:43">
      <c r="A35" s="817"/>
      <c r="B35" s="865" t="s">
        <v>1616</v>
      </c>
      <c r="C35" s="883"/>
      <c r="D35" s="883"/>
      <c r="E35" s="883">
        <f>HLOOKUP($B$2,'Consumption Input'!$E$5:$AQ$82,'Consumption Input'!$B40)</f>
        <v>222.45675</v>
      </c>
      <c r="F35" s="883"/>
      <c r="G35" s="883"/>
      <c r="H35" s="883"/>
      <c r="I35" s="883">
        <f t="shared" si="48"/>
        <v>222.45675</v>
      </c>
      <c r="J35" s="884"/>
      <c r="K35" s="883">
        <f>HLOOKUP($B$2,NEUConsumption,'Non-Energy Use'!$C$15)</f>
        <v>222.45675</v>
      </c>
      <c r="L35" s="883"/>
      <c r="M35" s="883"/>
      <c r="N35" s="885">
        <f t="shared" si="32"/>
        <v>0</v>
      </c>
      <c r="O35" s="883">
        <f t="shared" si="32"/>
        <v>0</v>
      </c>
      <c r="P35" s="883">
        <f t="shared" si="33"/>
        <v>0</v>
      </c>
      <c r="Q35" s="883">
        <f t="shared" si="34"/>
        <v>0</v>
      </c>
      <c r="R35" s="883">
        <f t="shared" si="35"/>
        <v>0</v>
      </c>
      <c r="S35" s="886">
        <f t="shared" si="36"/>
        <v>0</v>
      </c>
      <c r="T35" s="883">
        <f t="shared" si="4"/>
        <v>0</v>
      </c>
      <c r="U35" s="887">
        <f>Factors!D45</f>
        <v>20.170000000000002</v>
      </c>
      <c r="V35" s="885">
        <f t="shared" si="37"/>
        <v>0</v>
      </c>
      <c r="W35" s="883">
        <f t="shared" si="38"/>
        <v>0</v>
      </c>
      <c r="X35" s="883">
        <f t="shared" si="39"/>
        <v>0</v>
      </c>
      <c r="Y35" s="883">
        <f t="shared" si="40"/>
        <v>0</v>
      </c>
      <c r="Z35" s="883">
        <f t="shared" si="41"/>
        <v>0</v>
      </c>
      <c r="AA35" s="883">
        <f t="shared" si="42"/>
        <v>0</v>
      </c>
      <c r="AB35" s="883">
        <f t="shared" si="26"/>
        <v>0</v>
      </c>
      <c r="AC35" s="888">
        <f>Factors!E45</f>
        <v>1</v>
      </c>
      <c r="AD35" s="885">
        <f t="shared" si="43"/>
        <v>0</v>
      </c>
      <c r="AE35" s="883">
        <f t="shared" si="43"/>
        <v>0</v>
      </c>
      <c r="AF35" s="883">
        <f t="shared" si="43"/>
        <v>0</v>
      </c>
      <c r="AG35" s="883">
        <f t="shared" si="43"/>
        <v>0</v>
      </c>
      <c r="AH35" s="883">
        <f t="shared" si="43"/>
        <v>0</v>
      </c>
      <c r="AI35" s="883">
        <f t="shared" si="43"/>
        <v>0</v>
      </c>
      <c r="AJ35" s="889">
        <f t="shared" si="6"/>
        <v>0</v>
      </c>
      <c r="AK35" s="885">
        <f t="shared" si="24"/>
        <v>0</v>
      </c>
      <c r="AL35" s="883">
        <f t="shared" si="19"/>
        <v>0</v>
      </c>
      <c r="AM35" s="883">
        <f t="shared" si="20"/>
        <v>0</v>
      </c>
      <c r="AN35" s="883">
        <f t="shared" si="21"/>
        <v>0</v>
      </c>
      <c r="AO35" s="883">
        <f t="shared" si="22"/>
        <v>0</v>
      </c>
      <c r="AP35" s="883">
        <f t="shared" si="23"/>
        <v>0</v>
      </c>
      <c r="AQ35" s="890">
        <f t="shared" si="27"/>
        <v>0</v>
      </c>
    </row>
    <row r="36" spans="1:43">
      <c r="A36" s="817"/>
      <c r="B36" s="865" t="s">
        <v>1617</v>
      </c>
      <c r="C36" s="883"/>
      <c r="D36" s="883"/>
      <c r="E36" s="883">
        <f>HLOOKUP($B$2,'Consumption Input'!$E$5:$AQ$82,'Consumption Input'!$B41)</f>
        <v>0</v>
      </c>
      <c r="F36" s="883"/>
      <c r="G36" s="883"/>
      <c r="H36" s="883"/>
      <c r="I36" s="883">
        <f t="shared" si="48"/>
        <v>0</v>
      </c>
      <c r="J36" s="884"/>
      <c r="K36" s="883">
        <f>HLOOKUP($B$2,NEUConsumption,'Non-Energy Use'!$C$13)</f>
        <v>0</v>
      </c>
      <c r="L36" s="883"/>
      <c r="M36" s="883"/>
      <c r="N36" s="885">
        <f t="shared" si="32"/>
        <v>0</v>
      </c>
      <c r="O36" s="883">
        <f t="shared" si="32"/>
        <v>0</v>
      </c>
      <c r="P36" s="883">
        <f t="shared" si="33"/>
        <v>0</v>
      </c>
      <c r="Q36" s="883">
        <f t="shared" si="34"/>
        <v>0</v>
      </c>
      <c r="R36" s="883">
        <f t="shared" si="35"/>
        <v>0</v>
      </c>
      <c r="S36" s="886">
        <f t="shared" si="36"/>
        <v>0</v>
      </c>
      <c r="T36" s="883">
        <f t="shared" si="4"/>
        <v>0</v>
      </c>
      <c r="U36" s="887">
        <f>Factors!D46</f>
        <v>18.239999999999998</v>
      </c>
      <c r="V36" s="885">
        <f t="shared" si="37"/>
        <v>0</v>
      </c>
      <c r="W36" s="883">
        <f t="shared" si="38"/>
        <v>0</v>
      </c>
      <c r="X36" s="883">
        <f t="shared" si="39"/>
        <v>0</v>
      </c>
      <c r="Y36" s="883">
        <f t="shared" si="40"/>
        <v>0</v>
      </c>
      <c r="Z36" s="883">
        <f t="shared" si="41"/>
        <v>0</v>
      </c>
      <c r="AA36" s="883">
        <f t="shared" si="42"/>
        <v>0</v>
      </c>
      <c r="AB36" s="883">
        <f t="shared" si="26"/>
        <v>0</v>
      </c>
      <c r="AC36" s="888">
        <f>Factors!E46</f>
        <v>1</v>
      </c>
      <c r="AD36" s="885">
        <f t="shared" ref="AD36:AI42" si="49">V36*$AC36</f>
        <v>0</v>
      </c>
      <c r="AE36" s="883">
        <f t="shared" si="49"/>
        <v>0</v>
      </c>
      <c r="AF36" s="883">
        <f t="shared" si="49"/>
        <v>0</v>
      </c>
      <c r="AG36" s="883">
        <f t="shared" si="49"/>
        <v>0</v>
      </c>
      <c r="AH36" s="883">
        <f t="shared" si="49"/>
        <v>0</v>
      </c>
      <c r="AI36" s="883">
        <f t="shared" si="49"/>
        <v>0</v>
      </c>
      <c r="AJ36" s="889">
        <f t="shared" si="6"/>
        <v>0</v>
      </c>
      <c r="AK36" s="885">
        <f t="shared" si="24"/>
        <v>0</v>
      </c>
      <c r="AL36" s="883">
        <f t="shared" si="19"/>
        <v>0</v>
      </c>
      <c r="AM36" s="883">
        <f t="shared" si="20"/>
        <v>0</v>
      </c>
      <c r="AN36" s="883">
        <f t="shared" si="21"/>
        <v>0</v>
      </c>
      <c r="AO36" s="883">
        <f t="shared" si="22"/>
        <v>0</v>
      </c>
      <c r="AP36" s="883">
        <f t="shared" si="23"/>
        <v>0</v>
      </c>
      <c r="AQ36" s="890">
        <f t="shared" si="27"/>
        <v>0</v>
      </c>
    </row>
    <row r="37" spans="1:43">
      <c r="A37" s="817"/>
      <c r="B37" s="865" t="s">
        <v>1604</v>
      </c>
      <c r="C37" s="883"/>
      <c r="D37" s="883">
        <f>HLOOKUP($B$2,'Consumption Input'!$E$5:$AQ$82,'Consumption Input'!$B21)</f>
        <v>0.29699999999999999</v>
      </c>
      <c r="E37" s="883">
        <f>HLOOKUP($B$2,'Consumption Input'!$E$5:$AQ$82,'Consumption Input'!$B42)</f>
        <v>652.68799999999987</v>
      </c>
      <c r="F37" s="883"/>
      <c r="G37" s="883">
        <f>HLOOKUP($B$2,'Consumption Input'!$E$5:$AQ$82,'Consumption Input'!$B63)</f>
        <v>118.31699999999999</v>
      </c>
      <c r="H37" s="883"/>
      <c r="I37" s="883">
        <f t="shared" si="48"/>
        <v>771.30199999999991</v>
      </c>
      <c r="J37" s="884"/>
      <c r="K37" s="883">
        <f>HLOOKUP($B$2,NEUConsumption,'Non-Energy Use'!$C$17)</f>
        <v>61.243543376467009</v>
      </c>
      <c r="L37" s="883"/>
      <c r="M37" s="883"/>
      <c r="N37" s="885">
        <f t="shared" si="32"/>
        <v>0</v>
      </c>
      <c r="O37" s="883">
        <f t="shared" si="32"/>
        <v>0.29699999999999999</v>
      </c>
      <c r="P37" s="883">
        <f t="shared" si="33"/>
        <v>591.44445662353291</v>
      </c>
      <c r="Q37" s="883">
        <f t="shared" si="34"/>
        <v>0</v>
      </c>
      <c r="R37" s="883">
        <f t="shared" si="35"/>
        <v>118.31699999999999</v>
      </c>
      <c r="S37" s="886">
        <f t="shared" si="36"/>
        <v>0</v>
      </c>
      <c r="T37" s="883">
        <f t="shared" si="4"/>
        <v>710.05845662353295</v>
      </c>
      <c r="U37" s="887">
        <f>Factors!D48</f>
        <v>27.84770010865628</v>
      </c>
      <c r="V37" s="885">
        <f t="shared" si="37"/>
        <v>0</v>
      </c>
      <c r="W37" s="883">
        <f t="shared" si="38"/>
        <v>8.2707669322709156E-3</v>
      </c>
      <c r="X37" s="883">
        <f t="shared" si="39"/>
        <v>16.470367858979312</v>
      </c>
      <c r="Y37" s="883">
        <f t="shared" si="40"/>
        <v>0</v>
      </c>
      <c r="Z37" s="883">
        <f t="shared" si="41"/>
        <v>3.2948563337558849</v>
      </c>
      <c r="AA37" s="883">
        <f t="shared" si="42"/>
        <v>0</v>
      </c>
      <c r="AB37" s="883">
        <f t="shared" si="26"/>
        <v>19.773494959667467</v>
      </c>
      <c r="AC37" s="888">
        <f>Factors!E48</f>
        <v>1</v>
      </c>
      <c r="AD37" s="885">
        <f t="shared" si="49"/>
        <v>0</v>
      </c>
      <c r="AE37" s="883">
        <f t="shared" si="49"/>
        <v>8.2707669322709156E-3</v>
      </c>
      <c r="AF37" s="883">
        <f t="shared" si="49"/>
        <v>16.470367858979312</v>
      </c>
      <c r="AG37" s="883">
        <f t="shared" si="49"/>
        <v>0</v>
      </c>
      <c r="AH37" s="883">
        <f t="shared" si="49"/>
        <v>3.2948563337558849</v>
      </c>
      <c r="AI37" s="883">
        <f t="shared" si="49"/>
        <v>0</v>
      </c>
      <c r="AJ37" s="889">
        <f t="shared" si="6"/>
        <v>19.773494959667467</v>
      </c>
      <c r="AK37" s="885">
        <f t="shared" si="24"/>
        <v>0</v>
      </c>
      <c r="AL37" s="883">
        <f t="shared" si="19"/>
        <v>3.0326145418326688E-2</v>
      </c>
      <c r="AM37" s="883">
        <f t="shared" si="20"/>
        <v>60.391348816257477</v>
      </c>
      <c r="AN37" s="883">
        <f t="shared" si="21"/>
        <v>0</v>
      </c>
      <c r="AO37" s="883">
        <f t="shared" si="22"/>
        <v>12.081139890438244</v>
      </c>
      <c r="AP37" s="883">
        <f t="shared" si="23"/>
        <v>0</v>
      </c>
      <c r="AQ37" s="890">
        <f t="shared" si="27"/>
        <v>72.502814852114057</v>
      </c>
    </row>
    <row r="38" spans="1:43">
      <c r="A38" s="817"/>
      <c r="B38" s="865" t="s">
        <v>1618</v>
      </c>
      <c r="C38" s="883"/>
      <c r="D38" s="883"/>
      <c r="E38" s="883">
        <f>HLOOKUP($B$2,'Consumption Input'!$E$5:$AQ$82,'Consumption Input'!$B43)</f>
        <v>1604.700167</v>
      </c>
      <c r="F38" s="883"/>
      <c r="G38" s="883"/>
      <c r="H38" s="883"/>
      <c r="I38" s="883">
        <f t="shared" si="48"/>
        <v>1604.700167</v>
      </c>
      <c r="J38" s="884"/>
      <c r="K38" s="883">
        <f>HLOOKUP($B$2,NEUConsumption,'Non-Energy Use'!$C$16)</f>
        <v>166.11115754857593</v>
      </c>
      <c r="L38" s="883"/>
      <c r="M38" s="883"/>
      <c r="N38" s="885">
        <f t="shared" si="32"/>
        <v>0</v>
      </c>
      <c r="O38" s="883">
        <f t="shared" si="32"/>
        <v>0</v>
      </c>
      <c r="P38" s="883">
        <f t="shared" si="33"/>
        <v>1438.5890094514241</v>
      </c>
      <c r="Q38" s="883">
        <f t="shared" si="34"/>
        <v>0</v>
      </c>
      <c r="R38" s="883">
        <f t="shared" si="35"/>
        <v>0</v>
      </c>
      <c r="S38" s="886">
        <f t="shared" si="36"/>
        <v>0</v>
      </c>
      <c r="T38" s="883">
        <f t="shared" si="4"/>
        <v>1438.5890094514241</v>
      </c>
      <c r="U38" s="887">
        <f>Factors!D51</f>
        <v>18.195454545454545</v>
      </c>
      <c r="V38" s="885">
        <f t="shared" si="37"/>
        <v>0</v>
      </c>
      <c r="W38" s="883">
        <f t="shared" si="38"/>
        <v>0</v>
      </c>
      <c r="X38" s="883">
        <f t="shared" si="39"/>
        <v>26.175780931063866</v>
      </c>
      <c r="Y38" s="883">
        <f t="shared" si="40"/>
        <v>0</v>
      </c>
      <c r="Z38" s="883">
        <f t="shared" si="41"/>
        <v>0</v>
      </c>
      <c r="AA38" s="883">
        <f t="shared" si="42"/>
        <v>0</v>
      </c>
      <c r="AB38" s="883">
        <f t="shared" si="26"/>
        <v>26.175780931063866</v>
      </c>
      <c r="AC38" s="888">
        <f>Factors!E51</f>
        <v>1</v>
      </c>
      <c r="AD38" s="885">
        <f t="shared" si="49"/>
        <v>0</v>
      </c>
      <c r="AE38" s="883">
        <f t="shared" si="49"/>
        <v>0</v>
      </c>
      <c r="AF38" s="883">
        <f t="shared" si="49"/>
        <v>26.175780931063866</v>
      </c>
      <c r="AG38" s="883">
        <f t="shared" si="49"/>
        <v>0</v>
      </c>
      <c r="AH38" s="883">
        <f t="shared" si="49"/>
        <v>0</v>
      </c>
      <c r="AI38" s="883">
        <f t="shared" si="49"/>
        <v>0</v>
      </c>
      <c r="AJ38" s="889">
        <f t="shared" si="6"/>
        <v>26.175780931063866</v>
      </c>
      <c r="AK38" s="885">
        <f t="shared" si="24"/>
        <v>0</v>
      </c>
      <c r="AL38" s="883">
        <f t="shared" si="19"/>
        <v>0</v>
      </c>
      <c r="AM38" s="883">
        <f t="shared" si="20"/>
        <v>95.977863413900835</v>
      </c>
      <c r="AN38" s="883">
        <f t="shared" si="21"/>
        <v>0</v>
      </c>
      <c r="AO38" s="883">
        <f t="shared" si="22"/>
        <v>0</v>
      </c>
      <c r="AP38" s="883">
        <f t="shared" si="23"/>
        <v>0</v>
      </c>
      <c r="AQ38" s="890">
        <f t="shared" si="27"/>
        <v>95.977863413900835</v>
      </c>
    </row>
    <row r="39" spans="1:43">
      <c r="A39" s="817"/>
      <c r="B39" s="865" t="s">
        <v>1619</v>
      </c>
      <c r="C39" s="883"/>
      <c r="D39" s="883"/>
      <c r="E39" s="883">
        <f>HLOOKUP($B$2,'Consumption Input'!$E$5:$AQ$82,'Consumption Input'!$B44)</f>
        <v>93.577088000000003</v>
      </c>
      <c r="F39" s="883"/>
      <c r="G39" s="883"/>
      <c r="H39" s="883"/>
      <c r="I39" s="883">
        <f t="shared" si="48"/>
        <v>93.577088000000003</v>
      </c>
      <c r="J39" s="884"/>
      <c r="K39" s="883">
        <f>HLOOKUP($B$2,NEUConsumption,'Non-Energy Use'!$C$18)</f>
        <v>93.577088000000003</v>
      </c>
      <c r="L39" s="883"/>
      <c r="M39" s="883"/>
      <c r="N39" s="885">
        <f t="shared" si="32"/>
        <v>0</v>
      </c>
      <c r="O39" s="883">
        <f t="shared" si="32"/>
        <v>0</v>
      </c>
      <c r="P39" s="883">
        <f t="shared" si="33"/>
        <v>0</v>
      </c>
      <c r="Q39" s="883">
        <f t="shared" si="34"/>
        <v>0</v>
      </c>
      <c r="R39" s="883">
        <f t="shared" si="35"/>
        <v>0</v>
      </c>
      <c r="S39" s="886">
        <f t="shared" si="36"/>
        <v>0</v>
      </c>
      <c r="T39" s="883">
        <f t="shared" si="4"/>
        <v>0</v>
      </c>
      <c r="U39" s="887">
        <f>Factors!D37</f>
        <v>19.737389135254986</v>
      </c>
      <c r="V39" s="885">
        <f t="shared" si="37"/>
        <v>0</v>
      </c>
      <c r="W39" s="883">
        <f t="shared" si="38"/>
        <v>0</v>
      </c>
      <c r="X39" s="883">
        <f t="shared" si="39"/>
        <v>0</v>
      </c>
      <c r="Y39" s="883">
        <f t="shared" si="40"/>
        <v>0</v>
      </c>
      <c r="Z39" s="883">
        <f t="shared" si="41"/>
        <v>0</v>
      </c>
      <c r="AA39" s="883">
        <f t="shared" si="42"/>
        <v>0</v>
      </c>
      <c r="AB39" s="883">
        <f t="shared" si="26"/>
        <v>0</v>
      </c>
      <c r="AC39" s="888">
        <f>Factors!E37</f>
        <v>1</v>
      </c>
      <c r="AD39" s="885">
        <f t="shared" si="49"/>
        <v>0</v>
      </c>
      <c r="AE39" s="883">
        <f t="shared" si="49"/>
        <v>0</v>
      </c>
      <c r="AF39" s="883">
        <f t="shared" si="49"/>
        <v>0</v>
      </c>
      <c r="AG39" s="883">
        <f t="shared" si="49"/>
        <v>0</v>
      </c>
      <c r="AH39" s="883">
        <f t="shared" si="49"/>
        <v>0</v>
      </c>
      <c r="AI39" s="883">
        <f t="shared" si="49"/>
        <v>0</v>
      </c>
      <c r="AJ39" s="889">
        <f t="shared" si="6"/>
        <v>0</v>
      </c>
      <c r="AK39" s="885">
        <f t="shared" si="24"/>
        <v>0</v>
      </c>
      <c r="AL39" s="883">
        <f t="shared" si="19"/>
        <v>0</v>
      </c>
      <c r="AM39" s="883">
        <f t="shared" si="20"/>
        <v>0</v>
      </c>
      <c r="AN39" s="883">
        <f t="shared" si="21"/>
        <v>0</v>
      </c>
      <c r="AO39" s="883">
        <f t="shared" si="22"/>
        <v>0</v>
      </c>
      <c r="AP39" s="883">
        <f t="shared" si="23"/>
        <v>0</v>
      </c>
      <c r="AQ39" s="890">
        <f t="shared" si="27"/>
        <v>0</v>
      </c>
    </row>
    <row r="40" spans="1:43">
      <c r="A40" s="817"/>
      <c r="B40" s="865" t="s">
        <v>1620</v>
      </c>
      <c r="C40" s="883"/>
      <c r="D40" s="883"/>
      <c r="E40" s="883">
        <f>HLOOKUP($B$2,'Consumption Input'!$E$5:$AQ$82,'Consumption Input'!$B45)</f>
        <v>0</v>
      </c>
      <c r="F40" s="883"/>
      <c r="G40" s="883"/>
      <c r="H40" s="883"/>
      <c r="I40" s="883">
        <f t="shared" si="48"/>
        <v>0</v>
      </c>
      <c r="J40" s="884"/>
      <c r="K40" s="883"/>
      <c r="L40" s="883"/>
      <c r="M40" s="883"/>
      <c r="N40" s="885">
        <f t="shared" si="32"/>
        <v>0</v>
      </c>
      <c r="O40" s="883">
        <f t="shared" si="32"/>
        <v>0</v>
      </c>
      <c r="P40" s="883">
        <f t="shared" si="33"/>
        <v>0</v>
      </c>
      <c r="Q40" s="883">
        <f t="shared" si="34"/>
        <v>0</v>
      </c>
      <c r="R40" s="883">
        <f t="shared" si="35"/>
        <v>0</v>
      </c>
      <c r="S40" s="886">
        <f t="shared" si="36"/>
        <v>0</v>
      </c>
      <c r="T40" s="883">
        <f t="shared" si="4"/>
        <v>0</v>
      </c>
      <c r="U40" s="887">
        <f>HLOOKUP($B$2,Factors!$J$12:$BE$25,Factors!$H24,FALSE)</f>
        <v>20.305515594827586</v>
      </c>
      <c r="V40" s="885">
        <f t="shared" si="37"/>
        <v>0</v>
      </c>
      <c r="W40" s="883">
        <f t="shared" si="38"/>
        <v>0</v>
      </c>
      <c r="X40" s="883">
        <f t="shared" si="39"/>
        <v>0</v>
      </c>
      <c r="Y40" s="883">
        <f t="shared" si="40"/>
        <v>0</v>
      </c>
      <c r="Z40" s="883">
        <f t="shared" si="41"/>
        <v>0</v>
      </c>
      <c r="AA40" s="883">
        <f t="shared" si="42"/>
        <v>0</v>
      </c>
      <c r="AB40" s="883">
        <f t="shared" si="26"/>
        <v>0</v>
      </c>
      <c r="AC40" s="888">
        <f>Factors!E53</f>
        <v>1</v>
      </c>
      <c r="AD40" s="885">
        <f t="shared" si="49"/>
        <v>0</v>
      </c>
      <c r="AE40" s="883">
        <f t="shared" si="49"/>
        <v>0</v>
      </c>
      <c r="AF40" s="883">
        <f t="shared" si="49"/>
        <v>0</v>
      </c>
      <c r="AG40" s="883">
        <f t="shared" si="49"/>
        <v>0</v>
      </c>
      <c r="AH40" s="883">
        <f t="shared" si="49"/>
        <v>0</v>
      </c>
      <c r="AI40" s="883">
        <f t="shared" si="49"/>
        <v>0</v>
      </c>
      <c r="AJ40" s="889">
        <f t="shared" si="6"/>
        <v>0</v>
      </c>
      <c r="AK40" s="885">
        <f t="shared" si="24"/>
        <v>0</v>
      </c>
      <c r="AL40" s="883">
        <f t="shared" si="19"/>
        <v>0</v>
      </c>
      <c r="AM40" s="883">
        <f t="shared" si="20"/>
        <v>0</v>
      </c>
      <c r="AN40" s="883">
        <f t="shared" si="21"/>
        <v>0</v>
      </c>
      <c r="AO40" s="883">
        <f t="shared" si="22"/>
        <v>0</v>
      </c>
      <c r="AP40" s="883">
        <f t="shared" si="23"/>
        <v>0</v>
      </c>
      <c r="AQ40" s="890">
        <f t="shared" si="27"/>
        <v>0</v>
      </c>
    </row>
    <row r="41" spans="1:43">
      <c r="A41" s="817"/>
      <c r="B41" s="865" t="s">
        <v>1621</v>
      </c>
      <c r="C41" s="883"/>
      <c r="D41" s="883"/>
      <c r="E41" s="883">
        <f>HLOOKUP($B$2,'Consumption Input'!$E$5:$AQ$82,'Consumption Input'!$B46)</f>
        <v>12.84910683</v>
      </c>
      <c r="F41" s="883"/>
      <c r="G41" s="883"/>
      <c r="H41" s="883"/>
      <c r="I41" s="883">
        <f t="shared" si="48"/>
        <v>12.84910683</v>
      </c>
      <c r="J41" s="884"/>
      <c r="K41" s="883">
        <f>HLOOKUP($B$2,NEUConsumption,'Non-Energy Use'!$C$21)</f>
        <v>12.84910683</v>
      </c>
      <c r="L41" s="883"/>
      <c r="M41" s="883"/>
      <c r="N41" s="885">
        <f t="shared" si="32"/>
        <v>0</v>
      </c>
      <c r="O41" s="883">
        <f t="shared" si="32"/>
        <v>0</v>
      </c>
      <c r="P41" s="883">
        <f t="shared" si="33"/>
        <v>0</v>
      </c>
      <c r="Q41" s="883">
        <f t="shared" si="34"/>
        <v>0</v>
      </c>
      <c r="R41" s="883">
        <f t="shared" si="35"/>
        <v>0</v>
      </c>
      <c r="S41" s="886">
        <f t="shared" si="36"/>
        <v>0</v>
      </c>
      <c r="T41" s="883">
        <f t="shared" si="4"/>
        <v>0</v>
      </c>
      <c r="U41" s="887">
        <f>Factors!D55</f>
        <v>19.795754182606267</v>
      </c>
      <c r="V41" s="899">
        <f t="shared" si="37"/>
        <v>0</v>
      </c>
      <c r="W41" s="900">
        <f t="shared" si="38"/>
        <v>0</v>
      </c>
      <c r="X41" s="900">
        <f t="shared" si="39"/>
        <v>0</v>
      </c>
      <c r="Y41" s="900">
        <f t="shared" si="40"/>
        <v>0</v>
      </c>
      <c r="Z41" s="900">
        <f t="shared" si="41"/>
        <v>0</v>
      </c>
      <c r="AA41" s="900">
        <f t="shared" si="42"/>
        <v>0</v>
      </c>
      <c r="AB41" s="883">
        <f t="shared" si="26"/>
        <v>0</v>
      </c>
      <c r="AC41" s="888">
        <f>Factors!E55</f>
        <v>1</v>
      </c>
      <c r="AD41" s="885">
        <f t="shared" si="49"/>
        <v>0</v>
      </c>
      <c r="AE41" s="883">
        <f t="shared" si="49"/>
        <v>0</v>
      </c>
      <c r="AF41" s="883">
        <f t="shared" si="49"/>
        <v>0</v>
      </c>
      <c r="AG41" s="883">
        <f t="shared" si="49"/>
        <v>0</v>
      </c>
      <c r="AH41" s="883">
        <f t="shared" si="49"/>
        <v>0</v>
      </c>
      <c r="AI41" s="883">
        <f t="shared" si="49"/>
        <v>0</v>
      </c>
      <c r="AJ41" s="889">
        <f t="shared" si="6"/>
        <v>0</v>
      </c>
      <c r="AK41" s="885">
        <f t="shared" si="24"/>
        <v>0</v>
      </c>
      <c r="AL41" s="883">
        <f t="shared" si="19"/>
        <v>0</v>
      </c>
      <c r="AM41" s="883">
        <f t="shared" si="20"/>
        <v>0</v>
      </c>
      <c r="AN41" s="883">
        <f t="shared" si="21"/>
        <v>0</v>
      </c>
      <c r="AO41" s="883">
        <f t="shared" si="22"/>
        <v>0</v>
      </c>
      <c r="AP41" s="883">
        <f t="shared" si="23"/>
        <v>0</v>
      </c>
      <c r="AQ41" s="890">
        <f t="shared" si="27"/>
        <v>0</v>
      </c>
    </row>
    <row r="42" spans="1:43" ht="11.1" thickBot="1">
      <c r="A42" s="817"/>
      <c r="B42" s="866" t="s">
        <v>82</v>
      </c>
      <c r="C42" s="917"/>
      <c r="D42" s="917"/>
      <c r="E42" s="917"/>
      <c r="F42" s="917"/>
      <c r="G42" s="917">
        <f>INDEX(Geothermal!$C$6:$AE$10,MATCH("Total",Geothermal!$C$6:$C$10,0),MATCH($B$2,Geothermal!$C$6:$AE$6,0))/Factors!$J$61*Factors!$J$55/BBtuToBtu*BBtuToTBtu</f>
        <v>53.997653484000004</v>
      </c>
      <c r="H42" s="917"/>
      <c r="I42" s="917">
        <f>G42</f>
        <v>53.997653484000004</v>
      </c>
      <c r="J42" s="918"/>
      <c r="K42" s="919"/>
      <c r="L42" s="917"/>
      <c r="M42" s="920"/>
      <c r="N42" s="917">
        <f t="shared" si="32"/>
        <v>0</v>
      </c>
      <c r="O42" s="917">
        <f t="shared" si="32"/>
        <v>0</v>
      </c>
      <c r="P42" s="917">
        <f>E42</f>
        <v>0</v>
      </c>
      <c r="Q42" s="917">
        <f>F42</f>
        <v>0</v>
      </c>
      <c r="R42" s="917">
        <f t="shared" si="35"/>
        <v>53.997653484000004</v>
      </c>
      <c r="S42" s="917">
        <f>H42</f>
        <v>0</v>
      </c>
      <c r="T42" s="917">
        <f t="shared" si="4"/>
        <v>53.997653484000004</v>
      </c>
      <c r="U42" s="921">
        <f>Factors!D56</f>
        <v>2.6974658424810825</v>
      </c>
      <c r="V42" s="917"/>
      <c r="W42" s="917"/>
      <c r="X42" s="917"/>
      <c r="Y42" s="917"/>
      <c r="Z42" s="917">
        <f>INDEX(Geothermal!$C$14:$AE$18,MATCH("Total",Geothermal!$C$14:$C$18,0),MATCH($B$2,Geothermal!$C$14:$AE$14,0))/CtoCO2</f>
        <v>0.110375525207808</v>
      </c>
      <c r="AA42" s="917"/>
      <c r="AB42" s="917">
        <f t="shared" si="26"/>
        <v>0.110375525207808</v>
      </c>
      <c r="AC42" s="921">
        <f>Factors!$E$56</f>
        <v>1</v>
      </c>
      <c r="AD42" s="917">
        <f t="shared" si="49"/>
        <v>0</v>
      </c>
      <c r="AE42" s="917">
        <f t="shared" si="49"/>
        <v>0</v>
      </c>
      <c r="AF42" s="917">
        <f t="shared" si="49"/>
        <v>0</v>
      </c>
      <c r="AG42" s="917">
        <f t="shared" si="49"/>
        <v>0</v>
      </c>
      <c r="AH42" s="917">
        <f t="shared" si="49"/>
        <v>0.110375525207808</v>
      </c>
      <c r="AI42" s="917">
        <f t="shared" si="49"/>
        <v>0</v>
      </c>
      <c r="AJ42" s="920">
        <f t="shared" si="6"/>
        <v>0.110375525207808</v>
      </c>
      <c r="AK42" s="919">
        <f t="shared" si="24"/>
        <v>0</v>
      </c>
      <c r="AL42" s="917">
        <f t="shared" si="19"/>
        <v>0</v>
      </c>
      <c r="AM42" s="917">
        <f t="shared" si="20"/>
        <v>0</v>
      </c>
      <c r="AN42" s="917">
        <f t="shared" si="21"/>
        <v>0</v>
      </c>
      <c r="AO42" s="917">
        <f t="shared" si="22"/>
        <v>0.40471025909529595</v>
      </c>
      <c r="AP42" s="917">
        <f t="shared" si="23"/>
        <v>0</v>
      </c>
      <c r="AQ42" s="920">
        <f t="shared" si="27"/>
        <v>0.40471025909529595</v>
      </c>
    </row>
    <row r="43" spans="1:43" ht="11.1" thickBot="1">
      <c r="A43" s="817"/>
      <c r="B43" s="867" t="s">
        <v>1740</v>
      </c>
      <c r="C43" s="922">
        <f>C8+C17+C18+C42</f>
        <v>5310.72990733199</v>
      </c>
      <c r="D43" s="922">
        <f>D8+D17+D18+D42</f>
        <v>4085.9894477908783</v>
      </c>
      <c r="E43" s="922">
        <f>E8+E17+E18+E42</f>
        <v>17980.899105226861</v>
      </c>
      <c r="F43" s="922">
        <f>F8+F17+F18+F42</f>
        <v>26491.301184236345</v>
      </c>
      <c r="G43" s="922">
        <f>G8+G17+G18+G42</f>
        <v>23595.561653484001</v>
      </c>
      <c r="H43" s="922">
        <f>H16+H17+H18+H42</f>
        <v>379.20440249370552</v>
      </c>
      <c r="I43" s="922">
        <f>SUM(C43:H43)</f>
        <v>77843.685700563787</v>
      </c>
      <c r="J43" s="923">
        <f t="shared" ref="J43:S43" si="50">J8+J17+J18+J42</f>
        <v>1620.2886608614547</v>
      </c>
      <c r="K43" s="924">
        <f t="shared" si="50"/>
        <v>5050.1822991541203</v>
      </c>
      <c r="L43" s="922">
        <f t="shared" si="50"/>
        <v>154.351</v>
      </c>
      <c r="M43" s="925">
        <f t="shared" si="50"/>
        <v>10.512288057953826</v>
      </c>
      <c r="N43" s="922">
        <f t="shared" si="50"/>
        <v>5310.72990733199</v>
      </c>
      <c r="O43" s="922">
        <f t="shared" si="50"/>
        <v>4085.9894477908783</v>
      </c>
      <c r="P43" s="922">
        <f t="shared" si="50"/>
        <v>12930.71680607274</v>
      </c>
      <c r="Q43" s="922">
        <f t="shared" si="50"/>
        <v>24716.661523374893</v>
      </c>
      <c r="R43" s="922">
        <f t="shared" si="50"/>
        <v>23595.561653484001</v>
      </c>
      <c r="S43" s="922">
        <f t="shared" si="50"/>
        <v>368.69211443575159</v>
      </c>
      <c r="T43" s="922">
        <f t="shared" si="4"/>
        <v>71008.351452490257</v>
      </c>
      <c r="U43" s="926" t="s">
        <v>1731</v>
      </c>
      <c r="V43" s="922">
        <f t="shared" ref="V43:AA43" si="51">V8+V17+V18+V42</f>
        <v>79.96123555784753</v>
      </c>
      <c r="W43" s="922">
        <f t="shared" si="51"/>
        <v>63.234738609450986</v>
      </c>
      <c r="X43" s="922">
        <f t="shared" si="51"/>
        <v>215.27320490056539</v>
      </c>
      <c r="Y43" s="922">
        <f t="shared" si="51"/>
        <v>479.42905773204308</v>
      </c>
      <c r="Z43" s="922">
        <f t="shared" si="51"/>
        <v>493.32859526826286</v>
      </c>
      <c r="AA43" s="922">
        <f t="shared" si="51"/>
        <v>7.1358334191714246</v>
      </c>
      <c r="AB43" s="922">
        <f t="shared" si="26"/>
        <v>1338.3626654873412</v>
      </c>
      <c r="AC43" s="926" t="s">
        <v>1731</v>
      </c>
      <c r="AD43" s="922">
        <f t="shared" ref="AD43:AQ43" si="52">AD8+AD17+AD18+AD42</f>
        <v>79.96123555784753</v>
      </c>
      <c r="AE43" s="922">
        <f t="shared" si="52"/>
        <v>63.234738609450986</v>
      </c>
      <c r="AF43" s="922">
        <f t="shared" si="52"/>
        <v>215.27320490056539</v>
      </c>
      <c r="AG43" s="922">
        <f t="shared" si="52"/>
        <v>479.42905773204308</v>
      </c>
      <c r="AH43" s="922">
        <f t="shared" si="52"/>
        <v>493.32859526826286</v>
      </c>
      <c r="AI43" s="922">
        <f t="shared" si="52"/>
        <v>7.1358334191714246</v>
      </c>
      <c r="AJ43" s="925">
        <f t="shared" si="52"/>
        <v>1338.362665487341</v>
      </c>
      <c r="AK43" s="922">
        <f t="shared" si="52"/>
        <v>293.19119704544096</v>
      </c>
      <c r="AL43" s="922">
        <f t="shared" si="52"/>
        <v>231.8607082346536</v>
      </c>
      <c r="AM43" s="922">
        <f t="shared" si="52"/>
        <v>789.33508463540647</v>
      </c>
      <c r="AN43" s="922">
        <f t="shared" si="52"/>
        <v>1757.9065450174912</v>
      </c>
      <c r="AO43" s="922">
        <f t="shared" si="52"/>
        <v>1808.8715159836302</v>
      </c>
      <c r="AP43" s="922">
        <f t="shared" si="52"/>
        <v>26.164722536961889</v>
      </c>
      <c r="AQ43" s="925">
        <f t="shared" si="52"/>
        <v>4907.3297734535845</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8"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ransitionEvaluation="1" transitionEntry="1" codeName="Sheet50">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10"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39" width="9.6640625" customWidth="1"/>
    <col min="40" max="40" width="10" customWidth="1"/>
    <col min="41" max="41" width="9.6640625" customWidth="1"/>
    <col min="42" max="42" width="9" bestFit="1" customWidth="1"/>
    <col min="43" max="43" width="10"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2017</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927" t="s">
        <v>1770</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S4+1</f>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ht="12.6">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1767</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65.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20.657</v>
      </c>
      <c r="E8" s="876">
        <f t="shared" si="1"/>
        <v>736.53379260327051</v>
      </c>
      <c r="F8" s="876">
        <f t="shared" si="1"/>
        <v>0</v>
      </c>
      <c r="G8" s="876">
        <f t="shared" si="1"/>
        <v>12622.233</v>
      </c>
      <c r="H8" s="876">
        <f t="shared" si="1"/>
        <v>24.956420600000001</v>
      </c>
      <c r="I8" s="876">
        <f t="shared" ref="I8:I14" si="2">SUM(C8:H8)</f>
        <v>13404.380213203271</v>
      </c>
      <c r="J8" s="877"/>
      <c r="K8" s="876">
        <f>SUM(K9:K16)</f>
        <v>122.48372378630152</v>
      </c>
      <c r="L8" s="876">
        <f>SUM(L9:L16)</f>
        <v>0</v>
      </c>
      <c r="M8" s="876"/>
      <c r="N8" s="878">
        <f t="shared" ref="N8:S8" si="3">SUM(N9:N16)</f>
        <v>0</v>
      </c>
      <c r="O8" s="876">
        <f t="shared" si="3"/>
        <v>20.657</v>
      </c>
      <c r="P8" s="876">
        <f t="shared" si="3"/>
        <v>614.05006881696897</v>
      </c>
      <c r="Q8" s="876">
        <f t="shared" si="3"/>
        <v>0</v>
      </c>
      <c r="R8" s="876">
        <f t="shared" si="3"/>
        <v>12622.233</v>
      </c>
      <c r="S8" s="879">
        <f t="shared" si="3"/>
        <v>24.956420600000001</v>
      </c>
      <c r="T8" s="876">
        <f t="shared" ref="T8:T43" si="4">SUM(N8:S8)</f>
        <v>13281.896489416969</v>
      </c>
      <c r="U8" s="880" t="s">
        <v>1731</v>
      </c>
      <c r="V8" s="876">
        <f t="shared" ref="V8:AA8" si="5">SUM(V9:V16)</f>
        <v>0</v>
      </c>
      <c r="W8" s="876">
        <f t="shared" si="5"/>
        <v>0.53888644091644711</v>
      </c>
      <c r="X8" s="876">
        <f t="shared" si="5"/>
        <v>16.001690771129116</v>
      </c>
      <c r="Y8" s="876">
        <f t="shared" si="5"/>
        <v>0</v>
      </c>
      <c r="Z8" s="876">
        <f t="shared" si="5"/>
        <v>329.20001980692382</v>
      </c>
      <c r="AA8" s="876">
        <f t="shared" si="5"/>
        <v>0.62740441388400003</v>
      </c>
      <c r="AB8" s="876">
        <f t="shared" ref="AB8:AB14" si="6">SUM(V8:AA8)</f>
        <v>346.36800143285336</v>
      </c>
      <c r="AC8" s="881" t="s">
        <v>1731</v>
      </c>
      <c r="AD8" s="878">
        <f t="shared" ref="AD8:AI8" si="7">SUM(AD9:AD16)</f>
        <v>0</v>
      </c>
      <c r="AE8" s="876">
        <f t="shared" si="7"/>
        <v>0.53888644091644711</v>
      </c>
      <c r="AF8" s="876">
        <f t="shared" si="7"/>
        <v>16.001690771129116</v>
      </c>
      <c r="AG8" s="876" t="s">
        <v>108</v>
      </c>
      <c r="AH8" s="876">
        <f t="shared" si="7"/>
        <v>329.20001980692382</v>
      </c>
      <c r="AI8" s="876">
        <f t="shared" si="7"/>
        <v>0.62740441388400003</v>
      </c>
      <c r="AJ8" s="876">
        <f t="shared" ref="AJ8:AJ42" si="8">SUM(AD8:AI8)</f>
        <v>346.36800143285336</v>
      </c>
      <c r="AK8" s="878">
        <f t="shared" ref="AK8:AP8" si="9">SUM(AK9:AK16)</f>
        <v>0</v>
      </c>
      <c r="AL8" s="876">
        <f t="shared" si="9"/>
        <v>1.9759169500269727</v>
      </c>
      <c r="AM8" s="876">
        <f t="shared" si="9"/>
        <v>58.672866160806755</v>
      </c>
      <c r="AN8" s="876">
        <f t="shared" si="9"/>
        <v>0</v>
      </c>
      <c r="AO8" s="876">
        <f t="shared" si="9"/>
        <v>1207.0667392920539</v>
      </c>
      <c r="AP8" s="876">
        <f t="shared" si="9"/>
        <v>2.3004828509080002</v>
      </c>
      <c r="AQ8" s="882">
        <f t="shared" ref="AQ8:AQ15" si="10">SUM(AK8:AP8)</f>
        <v>1270.0160052537956</v>
      </c>
    </row>
    <row r="9" spans="1:43">
      <c r="A9" s="817"/>
      <c r="B9" s="860" t="s">
        <v>1732</v>
      </c>
      <c r="C9" s="883">
        <f>HLOOKUP($B$2,'Consumption Input'!$E$5:$AQ$82,'Consumption Input'!$B7)</f>
        <v>0</v>
      </c>
      <c r="D9" s="883"/>
      <c r="E9" s="883"/>
      <c r="F9" s="883"/>
      <c r="G9" s="883"/>
      <c r="H9" s="883"/>
      <c r="I9" s="883">
        <f t="shared" si="2"/>
        <v>0</v>
      </c>
      <c r="J9" s="884"/>
      <c r="K9" s="883"/>
      <c r="L9" s="883"/>
      <c r="M9" s="883"/>
      <c r="N9" s="885">
        <f t="shared" ref="N9:O17" si="11">C9</f>
        <v>0</v>
      </c>
      <c r="O9" s="883">
        <f t="shared" si="11"/>
        <v>0</v>
      </c>
      <c r="P9" s="883">
        <f t="shared" ref="P9:P17" si="12">E9-K9</f>
        <v>0</v>
      </c>
      <c r="Q9" s="883">
        <f t="shared" ref="Q9:S17" si="13">F9</f>
        <v>0</v>
      </c>
      <c r="R9" s="883">
        <f t="shared" si="13"/>
        <v>0</v>
      </c>
      <c r="S9" s="886">
        <f t="shared" si="13"/>
        <v>0</v>
      </c>
      <c r="T9" s="883">
        <f t="shared" si="4"/>
        <v>0</v>
      </c>
      <c r="U9" s="887">
        <f>HLOOKUP($B$2,Factors!$J$12:$BE$25,Factors!$H13,FALSE)</f>
        <v>26.087352515682195</v>
      </c>
      <c r="V9" s="885">
        <f t="shared" ref="V9:V17" si="14">N9*$U9*TbtuToQBtu</f>
        <v>0</v>
      </c>
      <c r="W9" s="883">
        <f t="shared" ref="W9:W17" si="15">O9*$U9*TbtuToQBtu</f>
        <v>0</v>
      </c>
      <c r="X9" s="883">
        <f t="shared" ref="X9:X17" si="16">P9*$U9*TbtuToQBtu</f>
        <v>0</v>
      </c>
      <c r="Y9" s="883">
        <f t="shared" ref="Y9:Y17" si="17">Q9*$U9*TbtuToQBtu</f>
        <v>0</v>
      </c>
      <c r="Z9" s="883">
        <f t="shared" ref="Z9:Z17" si="18">R9*$U9*TbtuToQBtu</f>
        <v>0</v>
      </c>
      <c r="AA9" s="883">
        <f t="shared" ref="AA9:AA17" si="19">S9*$U9*TbtuToQBtu</f>
        <v>0</v>
      </c>
      <c r="AB9" s="883">
        <f t="shared" si="6"/>
        <v>0</v>
      </c>
      <c r="AC9" s="888">
        <f>Factors!E10</f>
        <v>1</v>
      </c>
      <c r="AD9" s="885">
        <f t="shared" ref="AD9:AI17" si="20">V9*$AC9</f>
        <v>0</v>
      </c>
      <c r="AE9" s="883">
        <f t="shared" si="20"/>
        <v>0</v>
      </c>
      <c r="AF9" s="883">
        <f t="shared" si="20"/>
        <v>0</v>
      </c>
      <c r="AG9" s="883">
        <f t="shared" si="20"/>
        <v>0</v>
      </c>
      <c r="AH9" s="883">
        <f t="shared" si="20"/>
        <v>0</v>
      </c>
      <c r="AI9" s="883">
        <f t="shared" si="20"/>
        <v>0</v>
      </c>
      <c r="AJ9" s="889">
        <f t="shared" si="8"/>
        <v>0</v>
      </c>
      <c r="AK9" s="885">
        <f>AD9*CtoCO2</f>
        <v>0</v>
      </c>
      <c r="AL9" s="883">
        <f t="shared" ref="AL9:AL42" si="21">AE9*CtoCO2</f>
        <v>0</v>
      </c>
      <c r="AM9" s="883">
        <f t="shared" ref="AM9:AM42" si="22">AF9*CtoCO2</f>
        <v>0</v>
      </c>
      <c r="AN9" s="883">
        <f t="shared" ref="AN9:AN42" si="23">AG9*CtoCO2</f>
        <v>0</v>
      </c>
      <c r="AO9" s="883">
        <f t="shared" ref="AO9:AO42" si="24">AH9*CtoCO2</f>
        <v>0</v>
      </c>
      <c r="AP9" s="883">
        <f t="shared" ref="AP9:AP42" si="25">AI9*CtoCO2</f>
        <v>0</v>
      </c>
      <c r="AQ9" s="890">
        <f t="shared" si="10"/>
        <v>0</v>
      </c>
    </row>
    <row r="10" spans="1:43">
      <c r="A10" s="817"/>
      <c r="B10" s="860" t="s">
        <v>1733</v>
      </c>
      <c r="C10" s="883"/>
      <c r="D10" s="883">
        <f>HLOOKUP($B$2,'Consumption Input'!$E$5:$AQ$82,'Consumption Input'!$B13)</f>
        <v>20.657</v>
      </c>
      <c r="E10" s="883"/>
      <c r="F10" s="883"/>
      <c r="G10" s="883"/>
      <c r="H10" s="883"/>
      <c r="I10" s="883">
        <f t="shared" si="2"/>
        <v>20.657</v>
      </c>
      <c r="J10" s="884"/>
      <c r="K10" s="883"/>
      <c r="L10" s="883"/>
      <c r="M10" s="883"/>
      <c r="N10" s="885">
        <f t="shared" si="11"/>
        <v>0</v>
      </c>
      <c r="O10" s="883">
        <f t="shared" si="11"/>
        <v>20.657</v>
      </c>
      <c r="P10" s="883">
        <f t="shared" si="12"/>
        <v>0</v>
      </c>
      <c r="Q10" s="883">
        <f t="shared" si="13"/>
        <v>0</v>
      </c>
      <c r="R10" s="883">
        <f t="shared" si="13"/>
        <v>0</v>
      </c>
      <c r="S10" s="886">
        <f t="shared" si="13"/>
        <v>0</v>
      </c>
      <c r="T10" s="883">
        <f t="shared" si="4"/>
        <v>20.657</v>
      </c>
      <c r="U10" s="887">
        <f>HLOOKUP($B$2,Factors!$J$12:$BE$25,Factors!$H14,FALSE)</f>
        <v>26.087352515682195</v>
      </c>
      <c r="V10" s="885">
        <f t="shared" si="14"/>
        <v>0</v>
      </c>
      <c r="W10" s="883">
        <f t="shared" si="15"/>
        <v>0.53888644091644711</v>
      </c>
      <c r="X10" s="883">
        <f t="shared" si="16"/>
        <v>0</v>
      </c>
      <c r="Y10" s="883">
        <f t="shared" si="17"/>
        <v>0</v>
      </c>
      <c r="Z10" s="883">
        <f t="shared" si="18"/>
        <v>0</v>
      </c>
      <c r="AA10" s="883">
        <f t="shared" si="19"/>
        <v>0</v>
      </c>
      <c r="AB10" s="883">
        <f t="shared" si="6"/>
        <v>0.53888644091644711</v>
      </c>
      <c r="AC10" s="888">
        <f>Factors!E11</f>
        <v>1</v>
      </c>
      <c r="AD10" s="885">
        <f t="shared" si="20"/>
        <v>0</v>
      </c>
      <c r="AE10" s="883">
        <f t="shared" si="20"/>
        <v>0.53888644091644711</v>
      </c>
      <c r="AF10" s="883">
        <f t="shared" si="20"/>
        <v>0</v>
      </c>
      <c r="AG10" s="883">
        <f t="shared" si="20"/>
        <v>0</v>
      </c>
      <c r="AH10" s="883">
        <f t="shared" si="20"/>
        <v>0</v>
      </c>
      <c r="AI10" s="883">
        <f t="shared" si="20"/>
        <v>0</v>
      </c>
      <c r="AJ10" s="889">
        <f t="shared" si="8"/>
        <v>0.53888644091644711</v>
      </c>
      <c r="AK10" s="885">
        <f t="shared" ref="AK10:AK42" si="26">AD10*CtoCO2</f>
        <v>0</v>
      </c>
      <c r="AL10" s="883">
        <f t="shared" si="21"/>
        <v>1.9759169500269727</v>
      </c>
      <c r="AM10" s="883">
        <f t="shared" si="22"/>
        <v>0</v>
      </c>
      <c r="AN10" s="883">
        <f t="shared" si="23"/>
        <v>0</v>
      </c>
      <c r="AO10" s="883">
        <f t="shared" si="24"/>
        <v>0</v>
      </c>
      <c r="AP10" s="883">
        <f t="shared" si="25"/>
        <v>0</v>
      </c>
      <c r="AQ10" s="890">
        <f t="shared" si="10"/>
        <v>1.9759169500269727</v>
      </c>
    </row>
    <row r="11" spans="1:43" s="244" customFormat="1" hidden="1">
      <c r="A11" s="861"/>
      <c r="B11" s="862" t="s">
        <v>1734</v>
      </c>
      <c r="C11" s="891"/>
      <c r="D11" s="891"/>
      <c r="E11" s="891">
        <f>HLOOKUP($B$2,'Consumption Input'!$E$5:$AQ$82,'Consumption Input'!$B23)</f>
        <v>113.00308641767964</v>
      </c>
      <c r="F11" s="891"/>
      <c r="G11" s="891"/>
      <c r="H11" s="891"/>
      <c r="I11" s="891">
        <f t="shared" si="2"/>
        <v>113.00308641767964</v>
      </c>
      <c r="J11" s="892"/>
      <c r="K11" s="891">
        <f>HLOOKUP($B$2,NEUConsumption,'Non-Energy Use'!$C$7)</f>
        <v>113.00308641767964</v>
      </c>
      <c r="L11" s="891"/>
      <c r="M11" s="891"/>
      <c r="N11" s="893">
        <f t="shared" si="11"/>
        <v>0</v>
      </c>
      <c r="O11" s="891">
        <f t="shared" si="11"/>
        <v>0</v>
      </c>
      <c r="P11" s="891">
        <f t="shared" si="12"/>
        <v>0</v>
      </c>
      <c r="Q11" s="891">
        <f t="shared" si="13"/>
        <v>0</v>
      </c>
      <c r="R11" s="891">
        <f t="shared" si="13"/>
        <v>0</v>
      </c>
      <c r="S11" s="894">
        <f t="shared" si="13"/>
        <v>0</v>
      </c>
      <c r="T11" s="891">
        <f t="shared" si="4"/>
        <v>0</v>
      </c>
      <c r="U11" s="1013">
        <f>HLOOKUP($B$2,Factors!$J$12:$BE$28,Factors!$H28,FALSE)</f>
        <v>25.564085680666491</v>
      </c>
      <c r="V11" s="893">
        <f t="shared" si="14"/>
        <v>0</v>
      </c>
      <c r="W11" s="891">
        <f t="shared" si="15"/>
        <v>0</v>
      </c>
      <c r="X11" s="891">
        <f t="shared" si="16"/>
        <v>0</v>
      </c>
      <c r="Y11" s="891">
        <f t="shared" si="17"/>
        <v>0</v>
      </c>
      <c r="Z11" s="891">
        <f t="shared" si="18"/>
        <v>0</v>
      </c>
      <c r="AA11" s="891">
        <f t="shared" si="19"/>
        <v>0</v>
      </c>
      <c r="AB11" s="891">
        <f t="shared" si="6"/>
        <v>0</v>
      </c>
      <c r="AC11" s="896">
        <f>Factors!E12</f>
        <v>1</v>
      </c>
      <c r="AD11" s="893">
        <f t="shared" si="20"/>
        <v>0</v>
      </c>
      <c r="AE11" s="891">
        <f t="shared" si="20"/>
        <v>0</v>
      </c>
      <c r="AF11" s="891">
        <f t="shared" si="20"/>
        <v>0</v>
      </c>
      <c r="AG11" s="891">
        <f t="shared" si="20"/>
        <v>0</v>
      </c>
      <c r="AH11" s="891">
        <f t="shared" si="20"/>
        <v>0</v>
      </c>
      <c r="AI11" s="891">
        <f t="shared" si="20"/>
        <v>0</v>
      </c>
      <c r="AJ11" s="897">
        <f t="shared" si="8"/>
        <v>0</v>
      </c>
      <c r="AK11" s="893">
        <f t="shared" si="26"/>
        <v>0</v>
      </c>
      <c r="AL11" s="891">
        <f t="shared" si="21"/>
        <v>0</v>
      </c>
      <c r="AM11" s="891">
        <f t="shared" si="22"/>
        <v>0</v>
      </c>
      <c r="AN11" s="891">
        <f t="shared" si="23"/>
        <v>0</v>
      </c>
      <c r="AO11" s="891">
        <f t="shared" si="24"/>
        <v>0</v>
      </c>
      <c r="AP11" s="891">
        <f t="shared" si="25"/>
        <v>0</v>
      </c>
      <c r="AQ11" s="898">
        <f t="shared" si="10"/>
        <v>0</v>
      </c>
    </row>
    <row r="12" spans="1:43">
      <c r="A12" s="817"/>
      <c r="B12" s="860" t="s">
        <v>1701</v>
      </c>
      <c r="C12" s="883"/>
      <c r="D12" s="883"/>
      <c r="E12" s="883">
        <f>HLOOKUP($B$2,'Consumption Input'!$E$5:$AQ$82,'Consumption Input'!$B24)</f>
        <v>623.53070618559082</v>
      </c>
      <c r="F12" s="883"/>
      <c r="G12" s="883"/>
      <c r="H12" s="883"/>
      <c r="I12" s="883">
        <f t="shared" si="2"/>
        <v>623.53070618559082</v>
      </c>
      <c r="J12" s="884"/>
      <c r="K12" s="883">
        <f>HLOOKUP($B$2,NEUConsumption,'Non-Energy Use'!$C$8)</f>
        <v>9.4806373686218848</v>
      </c>
      <c r="L12" s="883"/>
      <c r="M12" s="883"/>
      <c r="N12" s="885">
        <f t="shared" si="11"/>
        <v>0</v>
      </c>
      <c r="O12" s="883">
        <f t="shared" si="11"/>
        <v>0</v>
      </c>
      <c r="P12" s="883">
        <f t="shared" si="12"/>
        <v>614.05006881696897</v>
      </c>
      <c r="Q12" s="883">
        <f t="shared" si="13"/>
        <v>0</v>
      </c>
      <c r="R12" s="883">
        <f t="shared" si="13"/>
        <v>0</v>
      </c>
      <c r="S12" s="886">
        <f t="shared" si="13"/>
        <v>0</v>
      </c>
      <c r="T12" s="883">
        <f t="shared" si="4"/>
        <v>614.05006881696897</v>
      </c>
      <c r="U12" s="887">
        <f>HLOOKUP($B$2,Factors!$J$12:$BE$25,Factors!$H15,FALSE)</f>
        <v>26.059260610389686</v>
      </c>
      <c r="V12" s="885">
        <f t="shared" si="14"/>
        <v>0</v>
      </c>
      <c r="W12" s="883">
        <f t="shared" si="15"/>
        <v>0</v>
      </c>
      <c r="X12" s="883">
        <f t="shared" si="16"/>
        <v>16.001690771129116</v>
      </c>
      <c r="Y12" s="883">
        <f t="shared" si="17"/>
        <v>0</v>
      </c>
      <c r="Z12" s="883">
        <f t="shared" si="18"/>
        <v>0</v>
      </c>
      <c r="AA12" s="883">
        <f t="shared" si="19"/>
        <v>0</v>
      </c>
      <c r="AB12" s="883">
        <f t="shared" si="6"/>
        <v>16.001690771129116</v>
      </c>
      <c r="AC12" s="888">
        <f>Factors!E13</f>
        <v>1</v>
      </c>
      <c r="AD12" s="885">
        <f t="shared" si="20"/>
        <v>0</v>
      </c>
      <c r="AE12" s="883">
        <f t="shared" si="20"/>
        <v>0</v>
      </c>
      <c r="AF12" s="883">
        <f t="shared" si="20"/>
        <v>16.001690771129116</v>
      </c>
      <c r="AG12" s="883">
        <f t="shared" si="20"/>
        <v>0</v>
      </c>
      <c r="AH12" s="883">
        <f t="shared" si="20"/>
        <v>0</v>
      </c>
      <c r="AI12" s="883">
        <f t="shared" si="20"/>
        <v>0</v>
      </c>
      <c r="AJ12" s="889">
        <f t="shared" si="8"/>
        <v>16.001690771129116</v>
      </c>
      <c r="AK12" s="885">
        <f t="shared" si="26"/>
        <v>0</v>
      </c>
      <c r="AL12" s="883">
        <f t="shared" si="21"/>
        <v>0</v>
      </c>
      <c r="AM12" s="883">
        <f>AF12*CtoCO2</f>
        <v>58.672866160806755</v>
      </c>
      <c r="AN12" s="883">
        <f t="shared" si="23"/>
        <v>0</v>
      </c>
      <c r="AO12" s="883">
        <f t="shared" si="24"/>
        <v>0</v>
      </c>
      <c r="AP12" s="883">
        <f t="shared" si="25"/>
        <v>0</v>
      </c>
      <c r="AQ12" s="890">
        <f t="shared" si="10"/>
        <v>58.672866160806755</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11"/>
        <v>0</v>
      </c>
      <c r="O13" s="891">
        <f t="shared" si="11"/>
        <v>0</v>
      </c>
      <c r="P13" s="891">
        <f t="shared" si="12"/>
        <v>0</v>
      </c>
      <c r="Q13" s="891">
        <f t="shared" si="13"/>
        <v>0</v>
      </c>
      <c r="R13" s="891">
        <f t="shared" si="13"/>
        <v>0</v>
      </c>
      <c r="S13" s="894">
        <f t="shared" si="13"/>
        <v>0</v>
      </c>
      <c r="T13" s="891">
        <f t="shared" si="4"/>
        <v>0</v>
      </c>
      <c r="U13" s="895">
        <f>Factors!D14</f>
        <v>27.85</v>
      </c>
      <c r="V13" s="893">
        <f t="shared" si="14"/>
        <v>0</v>
      </c>
      <c r="W13" s="891">
        <f t="shared" si="15"/>
        <v>0</v>
      </c>
      <c r="X13" s="891">
        <f t="shared" si="16"/>
        <v>0</v>
      </c>
      <c r="Y13" s="891">
        <f t="shared" si="17"/>
        <v>0</v>
      </c>
      <c r="Z13" s="891">
        <f t="shared" si="18"/>
        <v>0</v>
      </c>
      <c r="AA13" s="891">
        <f t="shared" si="19"/>
        <v>0</v>
      </c>
      <c r="AB13" s="883">
        <f t="shared" si="6"/>
        <v>0</v>
      </c>
      <c r="AC13" s="896">
        <f>Factors!E14</f>
        <v>1</v>
      </c>
      <c r="AD13" s="893">
        <f t="shared" si="20"/>
        <v>0</v>
      </c>
      <c r="AE13" s="891">
        <f t="shared" si="20"/>
        <v>0</v>
      </c>
      <c r="AF13" s="891">
        <f t="shared" si="20"/>
        <v>0</v>
      </c>
      <c r="AG13" s="891">
        <f t="shared" si="20"/>
        <v>0</v>
      </c>
      <c r="AH13" s="891">
        <f t="shared" si="20"/>
        <v>0</v>
      </c>
      <c r="AI13" s="891">
        <f t="shared" si="20"/>
        <v>0</v>
      </c>
      <c r="AJ13" s="897">
        <f t="shared" si="8"/>
        <v>0</v>
      </c>
      <c r="AK13" s="893">
        <f t="shared" si="26"/>
        <v>0</v>
      </c>
      <c r="AL13" s="891">
        <f t="shared" si="21"/>
        <v>0</v>
      </c>
      <c r="AM13" s="891">
        <f t="shared" si="22"/>
        <v>0</v>
      </c>
      <c r="AN13" s="891">
        <f t="shared" si="23"/>
        <v>0</v>
      </c>
      <c r="AO13" s="891">
        <f t="shared" si="24"/>
        <v>0</v>
      </c>
      <c r="AP13" s="891">
        <f t="shared" si="25"/>
        <v>0</v>
      </c>
      <c r="AQ13" s="890">
        <f t="shared" si="10"/>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11"/>
        <v>0</v>
      </c>
      <c r="O14" s="883">
        <f t="shared" si="11"/>
        <v>0</v>
      </c>
      <c r="P14" s="883">
        <f t="shared" si="12"/>
        <v>0</v>
      </c>
      <c r="Q14" s="883">
        <f t="shared" si="13"/>
        <v>0</v>
      </c>
      <c r="R14" s="883">
        <f t="shared" si="13"/>
        <v>0</v>
      </c>
      <c r="S14" s="886">
        <f t="shared" si="13"/>
        <v>0</v>
      </c>
      <c r="T14" s="883">
        <f t="shared" si="4"/>
        <v>0</v>
      </c>
      <c r="U14" s="887" t="str">
        <f>Factors!D15</f>
        <v>NC</v>
      </c>
      <c r="V14" s="885">
        <f t="shared" si="14"/>
        <v>0</v>
      </c>
      <c r="W14" s="883">
        <f t="shared" si="15"/>
        <v>0</v>
      </c>
      <c r="X14" s="883">
        <f t="shared" si="16"/>
        <v>0</v>
      </c>
      <c r="Y14" s="883">
        <f t="shared" si="17"/>
        <v>0</v>
      </c>
      <c r="Z14" s="883">
        <f t="shared" si="18"/>
        <v>0</v>
      </c>
      <c r="AA14" s="883">
        <f t="shared" si="19"/>
        <v>0</v>
      </c>
      <c r="AB14" s="883">
        <f t="shared" si="6"/>
        <v>0</v>
      </c>
      <c r="AC14" s="888" t="str">
        <f>Factors!E15</f>
        <v>NC</v>
      </c>
      <c r="AD14" s="885">
        <f t="shared" si="20"/>
        <v>0</v>
      </c>
      <c r="AE14" s="883">
        <f t="shared" si="20"/>
        <v>0</v>
      </c>
      <c r="AF14" s="883">
        <f t="shared" si="20"/>
        <v>0</v>
      </c>
      <c r="AG14" s="883">
        <f t="shared" si="20"/>
        <v>0</v>
      </c>
      <c r="AH14" s="883">
        <f t="shared" si="20"/>
        <v>0</v>
      </c>
      <c r="AI14" s="883">
        <f t="shared" si="20"/>
        <v>0</v>
      </c>
      <c r="AJ14" s="889">
        <f t="shared" si="8"/>
        <v>0</v>
      </c>
      <c r="AK14" s="885">
        <f t="shared" si="26"/>
        <v>0</v>
      </c>
      <c r="AL14" s="883">
        <f t="shared" si="21"/>
        <v>0</v>
      </c>
      <c r="AM14" s="883">
        <f t="shared" si="22"/>
        <v>0</v>
      </c>
      <c r="AN14" s="883">
        <f t="shared" si="23"/>
        <v>0</v>
      </c>
      <c r="AO14" s="883">
        <f t="shared" si="24"/>
        <v>0</v>
      </c>
      <c r="AP14" s="883">
        <f t="shared" si="25"/>
        <v>0</v>
      </c>
      <c r="AQ14" s="890">
        <f t="shared" si="10"/>
        <v>0</v>
      </c>
    </row>
    <row r="15" spans="1:43">
      <c r="A15" s="817"/>
      <c r="B15" s="860" t="s">
        <v>1736</v>
      </c>
      <c r="C15" s="883"/>
      <c r="D15" s="883"/>
      <c r="E15" s="883"/>
      <c r="F15" s="883"/>
      <c r="G15" s="883">
        <f>HLOOKUP($B$2,'Consumption Input'!$E$5:$AQ$82,'Consumption Input'!$B58)</f>
        <v>12622.233</v>
      </c>
      <c r="H15" s="883"/>
      <c r="I15" s="883">
        <f t="shared" ref="I15:I28" si="27">SUM(C15:H15)</f>
        <v>12622.233</v>
      </c>
      <c r="J15" s="884"/>
      <c r="K15" s="883"/>
      <c r="L15" s="883"/>
      <c r="M15" s="883"/>
      <c r="N15" s="885">
        <f t="shared" si="11"/>
        <v>0</v>
      </c>
      <c r="O15" s="883">
        <f t="shared" si="11"/>
        <v>0</v>
      </c>
      <c r="P15" s="883">
        <f t="shared" si="12"/>
        <v>0</v>
      </c>
      <c r="Q15" s="883">
        <f t="shared" si="13"/>
        <v>0</v>
      </c>
      <c r="R15" s="883">
        <f t="shared" si="13"/>
        <v>12622.233</v>
      </c>
      <c r="S15" s="886">
        <f t="shared" si="13"/>
        <v>0</v>
      </c>
      <c r="T15" s="883">
        <f t="shared" si="4"/>
        <v>12622.233</v>
      </c>
      <c r="U15" s="887">
        <f>HLOOKUP($B$2,Factors!$J$12:$BE$25,Factors!$H16,FALSE)</f>
        <v>26.080965214865213</v>
      </c>
      <c r="V15" s="885">
        <f t="shared" si="14"/>
        <v>0</v>
      </c>
      <c r="W15" s="883">
        <f t="shared" si="15"/>
        <v>0</v>
      </c>
      <c r="X15" s="883">
        <f t="shared" si="16"/>
        <v>0</v>
      </c>
      <c r="Y15" s="883">
        <f t="shared" si="17"/>
        <v>0</v>
      </c>
      <c r="Z15" s="883">
        <f t="shared" si="18"/>
        <v>329.20001980692382</v>
      </c>
      <c r="AA15" s="883">
        <f t="shared" si="19"/>
        <v>0</v>
      </c>
      <c r="AB15" s="883">
        <f t="shared" ref="AB15:AB43" si="28">SUM(V15:AA15)</f>
        <v>329.20001980692382</v>
      </c>
      <c r="AC15" s="888">
        <f>Factors!E16</f>
        <v>1</v>
      </c>
      <c r="AD15" s="885">
        <f t="shared" si="20"/>
        <v>0</v>
      </c>
      <c r="AE15" s="883">
        <f t="shared" si="20"/>
        <v>0</v>
      </c>
      <c r="AF15" s="883">
        <f t="shared" si="20"/>
        <v>0</v>
      </c>
      <c r="AG15" s="883">
        <f t="shared" si="20"/>
        <v>0</v>
      </c>
      <c r="AH15" s="883">
        <f t="shared" si="20"/>
        <v>329.20001980692382</v>
      </c>
      <c r="AI15" s="883">
        <f t="shared" si="20"/>
        <v>0</v>
      </c>
      <c r="AJ15" s="889">
        <f t="shared" si="8"/>
        <v>329.20001980692382</v>
      </c>
      <c r="AK15" s="885">
        <f t="shared" si="26"/>
        <v>0</v>
      </c>
      <c r="AL15" s="883">
        <f t="shared" si="21"/>
        <v>0</v>
      </c>
      <c r="AM15" s="883">
        <f t="shared" si="22"/>
        <v>0</v>
      </c>
      <c r="AN15" s="883">
        <f t="shared" si="23"/>
        <v>0</v>
      </c>
      <c r="AO15" s="883">
        <f t="shared" si="24"/>
        <v>1207.0667392920539</v>
      </c>
      <c r="AP15" s="883">
        <f t="shared" si="25"/>
        <v>0</v>
      </c>
      <c r="AQ15" s="890">
        <f t="shared" si="10"/>
        <v>1207.0667392920539</v>
      </c>
    </row>
    <row r="16" spans="1:43">
      <c r="A16" s="817"/>
      <c r="B16" s="860" t="s">
        <v>1737</v>
      </c>
      <c r="C16" s="883"/>
      <c r="D16" s="883"/>
      <c r="E16" s="883"/>
      <c r="F16" s="883"/>
      <c r="G16" s="883"/>
      <c r="H16" s="883">
        <f>HLOOKUP($B$2,'US Territories'!$D$28:$AO$38,'US Territories'!$B29)</f>
        <v>24.956420600000001</v>
      </c>
      <c r="I16" s="883">
        <f t="shared" si="27"/>
        <v>24.956420600000001</v>
      </c>
      <c r="J16" s="884"/>
      <c r="K16" s="883"/>
      <c r="L16" s="883"/>
      <c r="M16" s="883"/>
      <c r="N16" s="885">
        <f t="shared" si="11"/>
        <v>0</v>
      </c>
      <c r="O16" s="883">
        <f t="shared" si="11"/>
        <v>0</v>
      </c>
      <c r="P16" s="883">
        <f t="shared" si="12"/>
        <v>0</v>
      </c>
      <c r="Q16" s="883">
        <f t="shared" si="13"/>
        <v>0</v>
      </c>
      <c r="R16" s="883">
        <f t="shared" si="13"/>
        <v>0</v>
      </c>
      <c r="S16" s="886">
        <f>H16</f>
        <v>24.956420600000001</v>
      </c>
      <c r="T16" s="883">
        <f t="shared" si="4"/>
        <v>24.956420600000001</v>
      </c>
      <c r="U16" s="887">
        <f>Factors!D17</f>
        <v>25.14</v>
      </c>
      <c r="V16" s="899">
        <f t="shared" si="14"/>
        <v>0</v>
      </c>
      <c r="W16" s="900">
        <f t="shared" si="15"/>
        <v>0</v>
      </c>
      <c r="X16" s="900">
        <f t="shared" si="16"/>
        <v>0</v>
      </c>
      <c r="Y16" s="900">
        <f t="shared" si="17"/>
        <v>0</v>
      </c>
      <c r="Z16" s="900">
        <f t="shared" si="18"/>
        <v>0</v>
      </c>
      <c r="AA16" s="900">
        <f t="shared" si="19"/>
        <v>0.62740441388400003</v>
      </c>
      <c r="AB16" s="883">
        <f t="shared" si="28"/>
        <v>0.62740441388400003</v>
      </c>
      <c r="AC16" s="888">
        <f>Factors!E17</f>
        <v>1</v>
      </c>
      <c r="AD16" s="899">
        <f t="shared" si="20"/>
        <v>0</v>
      </c>
      <c r="AE16" s="900">
        <f t="shared" si="20"/>
        <v>0</v>
      </c>
      <c r="AF16" s="900">
        <f t="shared" si="20"/>
        <v>0</v>
      </c>
      <c r="AG16" s="900">
        <f t="shared" si="20"/>
        <v>0</v>
      </c>
      <c r="AH16" s="900">
        <f t="shared" si="20"/>
        <v>0</v>
      </c>
      <c r="AI16" s="900">
        <f t="shared" si="20"/>
        <v>0.62740441388400003</v>
      </c>
      <c r="AJ16" s="889">
        <f t="shared" si="8"/>
        <v>0.62740441388400003</v>
      </c>
      <c r="AK16" s="885">
        <f t="shared" si="26"/>
        <v>0</v>
      </c>
      <c r="AL16" s="883">
        <f t="shared" si="21"/>
        <v>0</v>
      </c>
      <c r="AM16" s="883">
        <f t="shared" si="22"/>
        <v>0</v>
      </c>
      <c r="AN16" s="883">
        <f t="shared" si="23"/>
        <v>0</v>
      </c>
      <c r="AO16" s="883">
        <f t="shared" si="24"/>
        <v>0</v>
      </c>
      <c r="AP16" s="883">
        <f t="shared" si="25"/>
        <v>2.3004828509080002</v>
      </c>
      <c r="AQ16" s="890">
        <f t="shared" ref="AQ16:AQ42" si="29">SUM(AK16:AP16)</f>
        <v>2.3004828509080002</v>
      </c>
    </row>
    <row r="17" spans="1:43">
      <c r="A17" s="817"/>
      <c r="B17" s="863" t="s">
        <v>1439</v>
      </c>
      <c r="C17" s="901">
        <f>HLOOKUP($B$2,'Consumption Input'!$E$5:$AQ$82,'Consumption Input'!$B8)</f>
        <v>4563.4719999999998</v>
      </c>
      <c r="D17" s="901">
        <f>HLOOKUP($B$2,'Consumption Input'!$E$5:$AQ$82,'Consumption Input'!$B14)</f>
        <v>3272.8519999999999</v>
      </c>
      <c r="E17" s="901">
        <f>HLOOKUP($B$2,'Consumption Input'!$E$5:$AQ$82,'Consumption Input'!$B26)</f>
        <v>9477.6281353869836</v>
      </c>
      <c r="F17" s="901">
        <f>HLOOKUP($B$2,'Consumption Input'!$E$5:$AQ$82,'Consumption Input'!$B49)</f>
        <v>798.56399999999996</v>
      </c>
      <c r="G17" s="901">
        <f>HLOOKUP($B$2,'Consumption Input'!$E$5:$AQ$82,'Consumption Input'!$B59)</f>
        <v>9555.2070000000003</v>
      </c>
      <c r="H17" s="902">
        <f>HLOOKUP($B$2,'US Territories'!$D$28:$AO$38,'US Territories'!$B30)</f>
        <v>48.104436743999997</v>
      </c>
      <c r="I17" s="901">
        <f t="shared" si="27"/>
        <v>27715.82757213098</v>
      </c>
      <c r="J17" s="903"/>
      <c r="K17" s="901">
        <f>HLOOKUP($B$2,NEUConsumption,'Non-Energy Use'!$C$9)</f>
        <v>631.10400000000004</v>
      </c>
      <c r="L17" s="901"/>
      <c r="M17" s="901"/>
      <c r="N17" s="904">
        <f t="shared" si="11"/>
        <v>4563.4719999999998</v>
      </c>
      <c r="O17" s="901">
        <f t="shared" si="11"/>
        <v>3272.8519999999999</v>
      </c>
      <c r="P17" s="901">
        <f t="shared" si="12"/>
        <v>8846.5241353869842</v>
      </c>
      <c r="Q17" s="901">
        <f t="shared" si="13"/>
        <v>798.56399999999996</v>
      </c>
      <c r="R17" s="901">
        <f t="shared" si="13"/>
        <v>9555.2070000000003</v>
      </c>
      <c r="S17" s="902">
        <f t="shared" si="13"/>
        <v>48.104436743999997</v>
      </c>
      <c r="T17" s="901">
        <f t="shared" si="4"/>
        <v>27084.723572130981</v>
      </c>
      <c r="U17" s="905">
        <f>HLOOKUP($B$2,Factors!$J$12:$BE$26,Factors!$H26,FALSE)</f>
        <v>14.431959663127413</v>
      </c>
      <c r="V17" s="901">
        <f t="shared" si="14"/>
        <v>65.859843827811375</v>
      </c>
      <c r="W17" s="901">
        <f t="shared" si="15"/>
        <v>47.233668047385883</v>
      </c>
      <c r="X17" s="901">
        <f t="shared" si="16"/>
        <v>127.67267948078808</v>
      </c>
      <c r="Y17" s="901">
        <f t="shared" si="17"/>
        <v>11.52484343642568</v>
      </c>
      <c r="Z17" s="901">
        <f t="shared" si="18"/>
        <v>137.90036199683271</v>
      </c>
      <c r="AA17" s="901">
        <f t="shared" si="19"/>
        <v>0.69424129070687224</v>
      </c>
      <c r="AB17" s="901">
        <f t="shared" si="28"/>
        <v>390.88563807995064</v>
      </c>
      <c r="AC17" s="906">
        <f>Factors!E19</f>
        <v>1</v>
      </c>
      <c r="AD17" s="904">
        <f t="shared" si="20"/>
        <v>65.859843827811375</v>
      </c>
      <c r="AE17" s="901">
        <f>W17*$AC17</f>
        <v>47.233668047385883</v>
      </c>
      <c r="AF17" s="901">
        <f t="shared" si="20"/>
        <v>127.67267948078808</v>
      </c>
      <c r="AG17" s="901">
        <f t="shared" si="20"/>
        <v>11.52484343642568</v>
      </c>
      <c r="AH17" s="901">
        <f t="shared" si="20"/>
        <v>137.90036199683271</v>
      </c>
      <c r="AI17" s="901">
        <f t="shared" si="20"/>
        <v>0.69424129070687224</v>
      </c>
      <c r="AJ17" s="901">
        <f t="shared" si="8"/>
        <v>390.88563807995064</v>
      </c>
      <c r="AK17" s="904">
        <f t="shared" si="26"/>
        <v>241.48609403530835</v>
      </c>
      <c r="AL17" s="901">
        <f t="shared" si="21"/>
        <v>173.19011617374824</v>
      </c>
      <c r="AM17" s="901">
        <f t="shared" si="22"/>
        <v>468.13315809622293</v>
      </c>
      <c r="AN17" s="901">
        <f t="shared" si="23"/>
        <v>42.257759266894162</v>
      </c>
      <c r="AO17" s="901">
        <f t="shared" si="24"/>
        <v>505.63466065505327</v>
      </c>
      <c r="AP17" s="901">
        <f t="shared" si="25"/>
        <v>2.5455513992585312</v>
      </c>
      <c r="AQ17" s="907">
        <f t="shared" si="29"/>
        <v>1433.2473396264857</v>
      </c>
    </row>
    <row r="18" spans="1:43">
      <c r="A18" s="817"/>
      <c r="B18" s="864" t="s">
        <v>1440</v>
      </c>
      <c r="C18" s="908">
        <f t="shared" ref="C18:H18" si="30">SUM(C19:C41)</f>
        <v>773.64505047663374</v>
      </c>
      <c r="D18" s="908">
        <f t="shared" si="30"/>
        <v>814.52678733696916</v>
      </c>
      <c r="E18" s="908">
        <f t="shared" si="30"/>
        <v>7906.8197298628374</v>
      </c>
      <c r="F18" s="908">
        <f t="shared" si="30"/>
        <v>26033.245748585177</v>
      </c>
      <c r="G18" s="908">
        <f t="shared" si="30"/>
        <v>217.72199999999998</v>
      </c>
      <c r="H18" s="908">
        <f t="shared" si="30"/>
        <v>295.82185552639959</v>
      </c>
      <c r="I18" s="908">
        <f t="shared" si="27"/>
        <v>36041.781171788018</v>
      </c>
      <c r="J18" s="909">
        <f t="shared" ref="J18:S18" si="31">SUM(J19:J41)</f>
        <v>1670.8129931059927</v>
      </c>
      <c r="K18" s="908">
        <f t="shared" si="31"/>
        <v>4538.9161088329911</v>
      </c>
      <c r="L18" s="908">
        <f t="shared" si="31"/>
        <v>141.983</v>
      </c>
      <c r="M18" s="908">
        <f t="shared" si="31"/>
        <v>3.4910608509255567</v>
      </c>
      <c r="N18" s="910">
        <f t="shared" si="31"/>
        <v>773.64505047663374</v>
      </c>
      <c r="O18" s="908">
        <f t="shared" si="31"/>
        <v>814.52678733696916</v>
      </c>
      <c r="P18" s="908">
        <f t="shared" si="31"/>
        <v>3367.9036210298464</v>
      </c>
      <c r="Q18" s="908">
        <f t="shared" si="31"/>
        <v>24220.449755479185</v>
      </c>
      <c r="R18" s="908">
        <f t="shared" si="31"/>
        <v>217.72199999999998</v>
      </c>
      <c r="S18" s="911">
        <f t="shared" si="31"/>
        <v>292.33079467547407</v>
      </c>
      <c r="T18" s="889">
        <f t="shared" si="4"/>
        <v>29686.578008998113</v>
      </c>
      <c r="U18" s="912" t="s">
        <v>1731</v>
      </c>
      <c r="V18" s="908">
        <f t="shared" ref="V18:AA18" si="32">SUM(V19:V41)</f>
        <v>14.312591513111926</v>
      </c>
      <c r="W18" s="908">
        <f t="shared" si="32"/>
        <v>15.612871848813734</v>
      </c>
      <c r="X18" s="908">
        <f t="shared" si="32"/>
        <v>68.732450572126552</v>
      </c>
      <c r="Y18" s="908">
        <f t="shared" si="32"/>
        <v>474.01365406618788</v>
      </c>
      <c r="Z18" s="908">
        <f t="shared" si="32"/>
        <v>5.1601744033376011</v>
      </c>
      <c r="AA18" s="908">
        <f t="shared" si="32"/>
        <v>5.7544501064956419</v>
      </c>
      <c r="AB18" s="908">
        <f t="shared" si="28"/>
        <v>583.58619251007326</v>
      </c>
      <c r="AC18" s="913" t="s">
        <v>1731</v>
      </c>
      <c r="AD18" s="910">
        <f t="shared" ref="AD18:AI18" si="33">SUM(AD19:AD41)</f>
        <v>14.312591513111926</v>
      </c>
      <c r="AE18" s="908">
        <f t="shared" si="33"/>
        <v>15.612871848813734</v>
      </c>
      <c r="AF18" s="908">
        <f t="shared" si="33"/>
        <v>68.732450572126552</v>
      </c>
      <c r="AG18" s="908">
        <f t="shared" si="33"/>
        <v>474.01365406618788</v>
      </c>
      <c r="AH18" s="908">
        <f t="shared" si="33"/>
        <v>5.1601744033376011</v>
      </c>
      <c r="AI18" s="908">
        <f t="shared" si="33"/>
        <v>5.7544501064956419</v>
      </c>
      <c r="AJ18" s="908">
        <f t="shared" si="8"/>
        <v>583.58619251007326</v>
      </c>
      <c r="AK18" s="914">
        <f t="shared" si="26"/>
        <v>52.479502214743725</v>
      </c>
      <c r="AL18" s="889">
        <f t="shared" si="21"/>
        <v>57.247196778983692</v>
      </c>
      <c r="AM18" s="889">
        <f t="shared" si="22"/>
        <v>252.01898543113069</v>
      </c>
      <c r="AN18" s="889">
        <f t="shared" si="23"/>
        <v>1738.0500649093556</v>
      </c>
      <c r="AO18" s="889">
        <f t="shared" si="24"/>
        <v>18.920639478904537</v>
      </c>
      <c r="AP18" s="889">
        <f t="shared" si="25"/>
        <v>21.099650390484019</v>
      </c>
      <c r="AQ18" s="915">
        <f t="shared" si="29"/>
        <v>2139.816039203602</v>
      </c>
    </row>
    <row r="19" spans="1:43">
      <c r="A19" s="817"/>
      <c r="B19" s="860" t="s">
        <v>1608</v>
      </c>
      <c r="C19" s="883"/>
      <c r="D19" s="883"/>
      <c r="E19" s="883">
        <f>HLOOKUP($B$2,'Consumption Input'!$E$5:$AQ$82,'Consumption Input'!$B27)</f>
        <v>849.18200000000002</v>
      </c>
      <c r="F19" s="883"/>
      <c r="G19" s="883"/>
      <c r="H19" s="883"/>
      <c r="I19" s="883">
        <f t="shared" si="27"/>
        <v>849.18200000000002</v>
      </c>
      <c r="J19" s="884"/>
      <c r="K19" s="883">
        <f>HLOOKUP($B$2,NEUConsumption,'Non-Energy Use'!$C$10)</f>
        <v>849.18200000000002</v>
      </c>
      <c r="L19" s="883"/>
      <c r="M19" s="883"/>
      <c r="N19" s="885">
        <f t="shared" ref="N19:O42" si="34">C19</f>
        <v>0</v>
      </c>
      <c r="O19" s="883">
        <f t="shared" si="34"/>
        <v>0</v>
      </c>
      <c r="P19" s="883">
        <f t="shared" ref="P19:P41" si="35">E19-K19</f>
        <v>0</v>
      </c>
      <c r="Q19" s="883">
        <f t="shared" ref="Q19:Q41" si="36">F19-J19-L19</f>
        <v>0</v>
      </c>
      <c r="R19" s="883">
        <f t="shared" ref="R19:R42" si="37">G19</f>
        <v>0</v>
      </c>
      <c r="S19" s="886">
        <f t="shared" ref="S19:S41" si="38">H19-M19</f>
        <v>0</v>
      </c>
      <c r="T19" s="883">
        <f t="shared" si="4"/>
        <v>0</v>
      </c>
      <c r="U19" s="887">
        <f>Factors!D24</f>
        <v>20.55318099621897</v>
      </c>
      <c r="V19" s="885">
        <f t="shared" ref="V19:V41" si="39">N19*$U19*TbtuToQBtu</f>
        <v>0</v>
      </c>
      <c r="W19" s="883">
        <f t="shared" ref="W19:W41" si="40">O19*$U19*TbtuToQBtu</f>
        <v>0</v>
      </c>
      <c r="X19" s="883">
        <f t="shared" ref="X19:X41" si="41">P19*$U19*TbtuToQBtu</f>
        <v>0</v>
      </c>
      <c r="Y19" s="883">
        <f t="shared" ref="Y19:Y41" si="42">Q19*$U19*TbtuToQBtu</f>
        <v>0</v>
      </c>
      <c r="Z19" s="883">
        <f t="shared" ref="Z19:Z41" si="43">R19*$U19*TbtuToQBtu</f>
        <v>0</v>
      </c>
      <c r="AA19" s="883">
        <f t="shared" ref="AA19:AA41" si="44">S19*$U19*TbtuToQBtu</f>
        <v>0</v>
      </c>
      <c r="AB19" s="883">
        <f t="shared" si="28"/>
        <v>0</v>
      </c>
      <c r="AC19" s="888">
        <f>Factors!E24</f>
        <v>1</v>
      </c>
      <c r="AD19" s="885">
        <f t="shared" ref="AD19:AI35" si="45">V19*$AC19</f>
        <v>0</v>
      </c>
      <c r="AE19" s="883">
        <f t="shared" si="45"/>
        <v>0</v>
      </c>
      <c r="AF19" s="883">
        <f t="shared" si="45"/>
        <v>0</v>
      </c>
      <c r="AG19" s="883">
        <f t="shared" si="45"/>
        <v>0</v>
      </c>
      <c r="AH19" s="883">
        <f t="shared" si="45"/>
        <v>0</v>
      </c>
      <c r="AI19" s="883">
        <f t="shared" si="45"/>
        <v>0</v>
      </c>
      <c r="AJ19" s="889">
        <f t="shared" si="8"/>
        <v>0</v>
      </c>
      <c r="AK19" s="885">
        <f t="shared" si="26"/>
        <v>0</v>
      </c>
      <c r="AL19" s="883">
        <f t="shared" si="21"/>
        <v>0</v>
      </c>
      <c r="AM19" s="883">
        <f t="shared" si="22"/>
        <v>0</v>
      </c>
      <c r="AN19" s="883">
        <f t="shared" si="23"/>
        <v>0</v>
      </c>
      <c r="AO19" s="883">
        <f t="shared" si="24"/>
        <v>0</v>
      </c>
      <c r="AP19" s="883">
        <f t="shared" si="25"/>
        <v>0</v>
      </c>
      <c r="AQ19" s="890">
        <f t="shared" si="29"/>
        <v>0</v>
      </c>
    </row>
    <row r="20" spans="1:43">
      <c r="A20" s="817"/>
      <c r="B20" s="860" t="s">
        <v>1622</v>
      </c>
      <c r="C20" s="883"/>
      <c r="D20" s="883"/>
      <c r="E20" s="883"/>
      <c r="F20" s="883">
        <f>HLOOKUP($B$2,'Consumption Input'!$E$5:$AQ$82,'Consumption Input'!$B50)</f>
        <v>20.949000000000002</v>
      </c>
      <c r="G20" s="883"/>
      <c r="H20" s="883"/>
      <c r="I20" s="883">
        <f t="shared" si="27"/>
        <v>20.949000000000002</v>
      </c>
      <c r="J20" s="884"/>
      <c r="K20" s="883"/>
      <c r="L20" s="883"/>
      <c r="M20" s="883"/>
      <c r="N20" s="885">
        <f t="shared" si="34"/>
        <v>0</v>
      </c>
      <c r="O20" s="883">
        <f t="shared" si="34"/>
        <v>0</v>
      </c>
      <c r="P20" s="883">
        <f t="shared" si="35"/>
        <v>0</v>
      </c>
      <c r="Q20" s="883">
        <f t="shared" si="36"/>
        <v>20.949000000000002</v>
      </c>
      <c r="R20" s="883">
        <f t="shared" si="37"/>
        <v>0</v>
      </c>
      <c r="S20" s="886">
        <f t="shared" si="38"/>
        <v>0</v>
      </c>
      <c r="T20" s="883">
        <f t="shared" si="4"/>
        <v>20.949000000000002</v>
      </c>
      <c r="U20" s="887">
        <f>Factors!D25</f>
        <v>18.855352254718337</v>
      </c>
      <c r="V20" s="885">
        <f t="shared" si="39"/>
        <v>0</v>
      </c>
      <c r="W20" s="883">
        <f t="shared" si="40"/>
        <v>0</v>
      </c>
      <c r="X20" s="883">
        <f t="shared" si="41"/>
        <v>0</v>
      </c>
      <c r="Y20" s="883">
        <f t="shared" si="42"/>
        <v>0.39500077438409448</v>
      </c>
      <c r="Z20" s="883">
        <f t="shared" si="43"/>
        <v>0</v>
      </c>
      <c r="AA20" s="883">
        <f t="shared" si="44"/>
        <v>0</v>
      </c>
      <c r="AB20" s="883">
        <f t="shared" si="28"/>
        <v>0.39500077438409448</v>
      </c>
      <c r="AC20" s="888">
        <f>Factors!E25</f>
        <v>1</v>
      </c>
      <c r="AD20" s="885">
        <f t="shared" si="45"/>
        <v>0</v>
      </c>
      <c r="AE20" s="883">
        <f t="shared" si="45"/>
        <v>0</v>
      </c>
      <c r="AF20" s="883">
        <f t="shared" si="45"/>
        <v>0</v>
      </c>
      <c r="AG20" s="883">
        <f t="shared" si="45"/>
        <v>0.39500077438409448</v>
      </c>
      <c r="AH20" s="883">
        <f t="shared" si="45"/>
        <v>0</v>
      </c>
      <c r="AI20" s="883">
        <f t="shared" si="45"/>
        <v>0</v>
      </c>
      <c r="AJ20" s="889">
        <f t="shared" si="8"/>
        <v>0.39500077438409448</v>
      </c>
      <c r="AK20" s="885">
        <f t="shared" si="26"/>
        <v>0</v>
      </c>
      <c r="AL20" s="883">
        <f t="shared" si="21"/>
        <v>0</v>
      </c>
      <c r="AM20" s="883">
        <f t="shared" si="22"/>
        <v>0</v>
      </c>
      <c r="AN20" s="883">
        <f t="shared" si="23"/>
        <v>1.4483361727416797</v>
      </c>
      <c r="AO20" s="883">
        <f t="shared" si="24"/>
        <v>0</v>
      </c>
      <c r="AP20" s="883">
        <f t="shared" si="25"/>
        <v>0</v>
      </c>
      <c r="AQ20" s="890">
        <f t="shared" si="29"/>
        <v>1.4483361727416797</v>
      </c>
    </row>
    <row r="21" spans="1:43">
      <c r="A21" s="817"/>
      <c r="B21" s="860" t="s">
        <v>1738</v>
      </c>
      <c r="C21" s="883">
        <f>HLOOKUP($B$2,'Consumption Input'!$E$5:$AQ$82,'Consumption Input'!$B9)</f>
        <v>334.53205047663374</v>
      </c>
      <c r="D21" s="883">
        <f>HLOOKUP($B$2,'Consumption Input'!$E$5:$AQ$82,'Consumption Input'!$B15)</f>
        <v>249.67562320316469</v>
      </c>
      <c r="E21" s="883">
        <f>HLOOKUP($B$2,'Consumption Input'!$E$5:$AQ$82,'Consumption Input'!$B28)</f>
        <v>931.93896845806046</v>
      </c>
      <c r="F21" s="883">
        <f>HLOOKUP($B$2,'Consumption Input'!$E$5:$AQ$82,'Consumption Input'!$B51)</f>
        <v>6409.1572999197597</v>
      </c>
      <c r="G21" s="883">
        <f>HLOOKUP($B$2,'Consumption Input'!$E$5:$AQ$82,'Consumption Input'!$B60)</f>
        <v>54.725999999999999</v>
      </c>
      <c r="H21" s="883">
        <f>HLOOKUP($B$2,'US Territories'!$D$28:$AO$38,'US Territories'!$B31)</f>
        <v>68.777654186091809</v>
      </c>
      <c r="I21" s="883">
        <f t="shared" si="27"/>
        <v>8048.8075962437106</v>
      </c>
      <c r="J21" s="884">
        <f>HLOOKUP($B$2,IBFConsumption,'International Bunker Fuels'!$B$10)</f>
        <v>121.30000998407694</v>
      </c>
      <c r="K21" s="883">
        <f>HLOOKUP($B$2,NEUConsumption,'Non-Energy Use'!$C$20)</f>
        <v>5.8250000000000002</v>
      </c>
      <c r="L21" s="883"/>
      <c r="M21" s="883"/>
      <c r="N21" s="885">
        <f t="shared" si="34"/>
        <v>334.53205047663374</v>
      </c>
      <c r="O21" s="883">
        <f t="shared" si="34"/>
        <v>249.67562320316469</v>
      </c>
      <c r="P21" s="883">
        <f t="shared" si="35"/>
        <v>926.11396845806041</v>
      </c>
      <c r="Q21" s="883">
        <f t="shared" si="36"/>
        <v>6287.8572899356832</v>
      </c>
      <c r="R21" s="883">
        <f t="shared" si="37"/>
        <v>54.725999999999999</v>
      </c>
      <c r="S21" s="886">
        <f>H21-M21</f>
        <v>68.777654186091809</v>
      </c>
      <c r="T21" s="883">
        <f t="shared" si="4"/>
        <v>7921.6825862596343</v>
      </c>
      <c r="U21" s="887">
        <f>HLOOKUP($B$2,Factors!$J$12:$BE$27,Factors!$H27,FALSE)</f>
        <v>20.206427131077398</v>
      </c>
      <c r="V21" s="885">
        <f>N21*$U21*TbtuToQBtu</f>
        <v>6.7596975009660056</v>
      </c>
      <c r="W21" s="883">
        <f t="shared" si="40"/>
        <v>5.0450522866610843</v>
      </c>
      <c r="X21" s="883">
        <f t="shared" si="41"/>
        <v>18.713454418720712</v>
      </c>
      <c r="Y21" s="883">
        <f t="shared" si="42"/>
        <v>127.05513013969919</v>
      </c>
      <c r="Z21" s="883">
        <f t="shared" si="43"/>
        <v>1.1058169311753416</v>
      </c>
      <c r="AA21" s="883">
        <f t="shared" si="44"/>
        <v>1.3897506575577045</v>
      </c>
      <c r="AB21" s="883">
        <f t="shared" si="28"/>
        <v>160.06890193478003</v>
      </c>
      <c r="AC21" s="888">
        <f>Factors!E26</f>
        <v>1</v>
      </c>
      <c r="AD21" s="885">
        <f t="shared" si="45"/>
        <v>6.7596975009660056</v>
      </c>
      <c r="AE21" s="883">
        <f t="shared" si="45"/>
        <v>5.0450522866610843</v>
      </c>
      <c r="AF21" s="883">
        <f t="shared" si="45"/>
        <v>18.713454418720712</v>
      </c>
      <c r="AG21" s="883">
        <f t="shared" si="45"/>
        <v>127.05513013969919</v>
      </c>
      <c r="AH21" s="883">
        <f t="shared" si="45"/>
        <v>1.1058169311753416</v>
      </c>
      <c r="AI21" s="883">
        <f t="shared" si="45"/>
        <v>1.3897506575577045</v>
      </c>
      <c r="AJ21" s="889">
        <f t="shared" si="8"/>
        <v>160.06890193478003</v>
      </c>
      <c r="AK21" s="885">
        <f t="shared" si="26"/>
        <v>24.785557503542019</v>
      </c>
      <c r="AL21" s="883">
        <f t="shared" si="21"/>
        <v>18.498525051090642</v>
      </c>
      <c r="AM21" s="883">
        <f t="shared" si="22"/>
        <v>68.615999535309271</v>
      </c>
      <c r="AN21" s="883">
        <f t="shared" si="23"/>
        <v>465.86881051223031</v>
      </c>
      <c r="AO21" s="883">
        <f t="shared" si="24"/>
        <v>4.0546620809762528</v>
      </c>
      <c r="AP21" s="883">
        <f t="shared" si="25"/>
        <v>5.0957524110449164</v>
      </c>
      <c r="AQ21" s="890">
        <f t="shared" si="29"/>
        <v>586.91930709419353</v>
      </c>
    </row>
    <row r="22" spans="1:43">
      <c r="A22" s="817"/>
      <c r="B22" s="860" t="s">
        <v>1623</v>
      </c>
      <c r="C22" s="883"/>
      <c r="D22" s="883"/>
      <c r="E22" s="883"/>
      <c r="F22" s="883">
        <f>HLOOKUP($B$2,'Consumption Input'!$E$5:$AQ$82,'Consumption Input'!$B52)</f>
        <v>3481.3459999999995</v>
      </c>
      <c r="G22" s="916"/>
      <c r="H22" s="883">
        <f>HLOOKUP($B$2,'US Territories'!$D$28:$AO$38,'US Territories'!$B32)</f>
        <v>43.874198959206524</v>
      </c>
      <c r="I22" s="883">
        <f t="shared" si="27"/>
        <v>3525.2201989592058</v>
      </c>
      <c r="J22" s="884">
        <f>HLOOKUP($B$2,IBFConsumption,'International Bunker Fuels'!$B$8)</f>
        <v>1104.1889361689159</v>
      </c>
      <c r="K22" s="883"/>
      <c r="L22" s="883"/>
      <c r="M22" s="883"/>
      <c r="N22" s="885">
        <f t="shared" si="34"/>
        <v>0</v>
      </c>
      <c r="O22" s="883">
        <f t="shared" si="34"/>
        <v>0</v>
      </c>
      <c r="P22" s="883">
        <f t="shared" si="35"/>
        <v>0</v>
      </c>
      <c r="Q22" s="883">
        <f t="shared" si="36"/>
        <v>2377.1570638310836</v>
      </c>
      <c r="R22" s="883">
        <f t="shared" si="37"/>
        <v>0</v>
      </c>
      <c r="S22" s="886">
        <f t="shared" si="38"/>
        <v>43.874198959206524</v>
      </c>
      <c r="T22" s="883">
        <f t="shared" si="4"/>
        <v>2421.0312627902904</v>
      </c>
      <c r="U22" s="887">
        <f>HLOOKUP($B$2,Factors!$J$12:$BE$25,Factors!$H21,FALSE)</f>
        <v>19.696969696969692</v>
      </c>
      <c r="V22" s="885">
        <f t="shared" si="39"/>
        <v>0</v>
      </c>
      <c r="W22" s="883">
        <f t="shared" si="40"/>
        <v>0</v>
      </c>
      <c r="X22" s="883">
        <f t="shared" si="41"/>
        <v>0</v>
      </c>
      <c r="Y22" s="883">
        <f t="shared" si="42"/>
        <v>46.822790651218305</v>
      </c>
      <c r="Z22" s="883">
        <f t="shared" si="43"/>
        <v>0</v>
      </c>
      <c r="AA22" s="883">
        <f t="shared" si="44"/>
        <v>0.86418876737831007</v>
      </c>
      <c r="AB22" s="883">
        <f t="shared" si="28"/>
        <v>47.686979418596614</v>
      </c>
      <c r="AC22" s="888">
        <f>Factors!E27</f>
        <v>1</v>
      </c>
      <c r="AD22" s="885">
        <f t="shared" si="45"/>
        <v>0</v>
      </c>
      <c r="AE22" s="883">
        <f t="shared" si="45"/>
        <v>0</v>
      </c>
      <c r="AF22" s="883">
        <f t="shared" si="45"/>
        <v>0</v>
      </c>
      <c r="AG22" s="883">
        <f t="shared" si="45"/>
        <v>46.822790651218305</v>
      </c>
      <c r="AH22" s="883">
        <f t="shared" si="45"/>
        <v>0</v>
      </c>
      <c r="AI22" s="883">
        <f t="shared" si="45"/>
        <v>0.86418876737831007</v>
      </c>
      <c r="AJ22" s="889">
        <f t="shared" si="8"/>
        <v>47.686979418596614</v>
      </c>
      <c r="AK22" s="885">
        <f t="shared" si="26"/>
        <v>0</v>
      </c>
      <c r="AL22" s="883">
        <f t="shared" si="21"/>
        <v>0</v>
      </c>
      <c r="AM22" s="883">
        <f t="shared" si="22"/>
        <v>0</v>
      </c>
      <c r="AN22" s="883">
        <f t="shared" si="23"/>
        <v>171.68356572113379</v>
      </c>
      <c r="AO22" s="883">
        <f t="shared" si="24"/>
        <v>0</v>
      </c>
      <c r="AP22" s="883">
        <f t="shared" si="25"/>
        <v>3.1686921470538034</v>
      </c>
      <c r="AQ22" s="890">
        <f t="shared" si="29"/>
        <v>174.85225786818759</v>
      </c>
    </row>
    <row r="23" spans="1:43">
      <c r="A23" s="817"/>
      <c r="B23" s="860" t="s">
        <v>1599</v>
      </c>
      <c r="C23" s="883">
        <f>HLOOKUP($B$2,'Consumption Input'!$E$5:$AQ$82,'Consumption Input'!$B10)</f>
        <v>8.4120000000000008</v>
      </c>
      <c r="D23" s="883">
        <f>HLOOKUP($B$2,'Consumption Input'!$E$5:$AQ$82,'Consumption Input'!$B16)</f>
        <v>1.1879999999999999</v>
      </c>
      <c r="E23" s="883">
        <f>HLOOKUP($B$2,'Consumption Input'!$E$5:$AQ$82,'Consumption Input'!$B29)</f>
        <v>1.1149999999999998</v>
      </c>
      <c r="F23" s="883"/>
      <c r="G23" s="883"/>
      <c r="H23" s="883">
        <f>HLOOKUP($B$2,'US Territories'!$D$28:$AO$38,'US Territories'!$B33)</f>
        <v>0.43918041033719674</v>
      </c>
      <c r="I23" s="883">
        <f t="shared" si="27"/>
        <v>11.154180410337199</v>
      </c>
      <c r="J23" s="884"/>
      <c r="K23" s="883"/>
      <c r="L23" s="883"/>
      <c r="M23" s="883"/>
      <c r="N23" s="885">
        <f t="shared" si="34"/>
        <v>8.4120000000000008</v>
      </c>
      <c r="O23" s="883">
        <f t="shared" si="34"/>
        <v>1.1879999999999999</v>
      </c>
      <c r="P23" s="883">
        <f t="shared" si="35"/>
        <v>1.1149999999999998</v>
      </c>
      <c r="Q23" s="883">
        <f t="shared" si="36"/>
        <v>0</v>
      </c>
      <c r="R23" s="883">
        <f t="shared" si="37"/>
        <v>0</v>
      </c>
      <c r="S23" s="886">
        <f t="shared" si="38"/>
        <v>0.43918041033719674</v>
      </c>
      <c r="T23" s="883">
        <f t="shared" si="4"/>
        <v>11.154180410337199</v>
      </c>
      <c r="U23" s="887">
        <f>Factors!D28</f>
        <v>19.964104564962931</v>
      </c>
      <c r="V23" s="885">
        <f t="shared" si="39"/>
        <v>0.16793804760046821</v>
      </c>
      <c r="W23" s="883">
        <f t="shared" si="40"/>
        <v>2.3717356223175962E-2</v>
      </c>
      <c r="X23" s="883">
        <f t="shared" si="41"/>
        <v>2.2259976589933665E-2</v>
      </c>
      <c r="Y23" s="883">
        <f t="shared" si="42"/>
        <v>0</v>
      </c>
      <c r="Z23" s="883">
        <f t="shared" si="43"/>
        <v>0</v>
      </c>
      <c r="AA23" s="883">
        <f t="shared" si="44"/>
        <v>8.7678436348551225E-3</v>
      </c>
      <c r="AB23" s="883">
        <f t="shared" si="28"/>
        <v>0.22268322404843297</v>
      </c>
      <c r="AC23" s="888">
        <f>Factors!E28</f>
        <v>1</v>
      </c>
      <c r="AD23" s="885">
        <f t="shared" si="45"/>
        <v>0.16793804760046821</v>
      </c>
      <c r="AE23" s="883">
        <f t="shared" si="45"/>
        <v>2.3717356223175962E-2</v>
      </c>
      <c r="AF23" s="883">
        <f t="shared" si="45"/>
        <v>2.2259976589933665E-2</v>
      </c>
      <c r="AG23" s="883">
        <f t="shared" si="45"/>
        <v>0</v>
      </c>
      <c r="AH23" s="883">
        <f t="shared" si="45"/>
        <v>0</v>
      </c>
      <c r="AI23" s="883">
        <f t="shared" si="45"/>
        <v>8.7678436348551225E-3</v>
      </c>
      <c r="AJ23" s="889">
        <f t="shared" si="8"/>
        <v>0.22268322404843297</v>
      </c>
      <c r="AK23" s="885">
        <f t="shared" si="26"/>
        <v>0.61577284120171671</v>
      </c>
      <c r="AL23" s="883">
        <f t="shared" si="21"/>
        <v>8.6963639484978525E-2</v>
      </c>
      <c r="AM23" s="883">
        <f t="shared" si="22"/>
        <v>8.1619914163090099E-2</v>
      </c>
      <c r="AN23" s="883">
        <f t="shared" si="23"/>
        <v>0</v>
      </c>
      <c r="AO23" s="883">
        <f t="shared" si="24"/>
        <v>0</v>
      </c>
      <c r="AP23" s="883">
        <f t="shared" si="25"/>
        <v>3.2148759994468784E-2</v>
      </c>
      <c r="AQ23" s="890">
        <f t="shared" si="29"/>
        <v>0.81650515484425412</v>
      </c>
    </row>
    <row r="24" spans="1:43">
      <c r="A24" s="817"/>
      <c r="B24" s="860" t="s">
        <v>1600</v>
      </c>
      <c r="C24" s="883">
        <f>HLOOKUP($B$2,'Consumption Input'!$E$5:$AQ$82,'Consumption Input'!$B11)</f>
        <v>430.70099999999996</v>
      </c>
      <c r="D24" s="883">
        <f>HLOOKUP($B$2,'Consumption Input'!$E$5:$AQ$82,'Consumption Input'!$B17)</f>
        <v>155.673</v>
      </c>
      <c r="E24"/>
      <c r="F24" s="883">
        <f>HLOOKUP($B$2,'Consumption Input'!$E$5:$AQ$82,'Consumption Input'!$B53)</f>
        <v>12.394</v>
      </c>
      <c r="G24" s="883"/>
      <c r="H24"/>
      <c r="I24" s="883">
        <f>SUM(C24:H24)</f>
        <v>598.76800000000003</v>
      </c>
      <c r="J24" s="884"/>
      <c r="K24"/>
      <c r="L24" s="883"/>
      <c r="M24" s="883"/>
      <c r="N24" s="885">
        <f>C24</f>
        <v>430.70099999999996</v>
      </c>
      <c r="O24" s="883">
        <f t="shared" si="34"/>
        <v>155.673</v>
      </c>
      <c r="P24"/>
      <c r="Q24" s="883">
        <f t="shared" si="36"/>
        <v>12.394</v>
      </c>
      <c r="R24" s="883">
        <f t="shared" si="37"/>
        <v>0</v>
      </c>
      <c r="S24" s="1007"/>
      <c r="T24" s="883">
        <f t="shared" si="4"/>
        <v>598.76800000000003</v>
      </c>
      <c r="U24" s="1005">
        <f>HLOOKUP($B$2,Factors!$J$12:$BE$25,Factors!$H17,FALSE)</f>
        <v>17.146363636363635</v>
      </c>
      <c r="V24" s="885">
        <f>N24*$U24*TbtuToQBtu</f>
        <v>7.384955964545453</v>
      </c>
      <c r="W24" s="883">
        <f>O24*$U24*TbtuToQBtu</f>
        <v>2.6692258663636363</v>
      </c>
      <c r="X24"/>
      <c r="Y24" s="883">
        <f>Q24*$U24*TbtuToQBtu</f>
        <v>0.2125120309090909</v>
      </c>
      <c r="Z24" s="883">
        <f t="shared" ref="Z24" si="46">R24*$U24*TbtuToQBtu</f>
        <v>0</v>
      </c>
      <c r="AA24"/>
      <c r="AB24" s="883">
        <f>SUM(V24:AA24)</f>
        <v>10.26669386181818</v>
      </c>
      <c r="AC24" s="888">
        <f>Factors!E30</f>
        <v>1</v>
      </c>
      <c r="AD24" s="885">
        <f>V24*$AC24</f>
        <v>7.384955964545453</v>
      </c>
      <c r="AE24" s="883">
        <f t="shared" si="45"/>
        <v>2.6692258663636363</v>
      </c>
      <c r="AF24"/>
      <c r="AG24" s="883">
        <f t="shared" si="45"/>
        <v>0.2125120309090909</v>
      </c>
      <c r="AH24" s="883">
        <f t="shared" si="45"/>
        <v>0</v>
      </c>
      <c r="AI24"/>
      <c r="AJ24" s="889">
        <f t="shared" si="8"/>
        <v>10.26669386181818</v>
      </c>
      <c r="AK24" s="885">
        <f>AD24*CtoCO2</f>
        <v>27.078171869999995</v>
      </c>
      <c r="AL24" s="883">
        <f t="shared" ref="AL24" si="47">AE24*CtoCO2</f>
        <v>9.7871615099999989</v>
      </c>
      <c r="AN24" s="883">
        <f t="shared" ref="AN24" si="48">AG24*CtoCO2</f>
        <v>0.77921077999999999</v>
      </c>
      <c r="AO24" s="883">
        <f t="shared" ref="AO24" si="49">AH24*CtoCO2</f>
        <v>0</v>
      </c>
      <c r="AQ24" s="890">
        <f t="shared" si="29"/>
        <v>37.644544159999995</v>
      </c>
    </row>
    <row r="25" spans="1:43">
      <c r="A25" s="817"/>
      <c r="B25" s="860" t="s">
        <v>1609</v>
      </c>
      <c r="C25" s="883"/>
      <c r="D25" s="883"/>
      <c r="E25" s="883">
        <f>HLOOKUP($B$2,'Consumption Input'!$E$5:$AQ$82,'Consumption Input'!$B30)</f>
        <v>2500.057941171</v>
      </c>
      <c r="F25" s="883"/>
      <c r="G25" s="883"/>
      <c r="H25" s="883">
        <f>HLOOKUP($B$2,'US Territories'!$D$28:$AO$38,'US Territories'!$B34)</f>
        <v>8.8102176551850526</v>
      </c>
      <c r="I25" s="883">
        <f>SUM(C25:H25)</f>
        <v>2508.8681588261852</v>
      </c>
      <c r="J25" s="884"/>
      <c r="K25" s="883">
        <f>HLOOKUP($B$2,NEUConsumption,'Non-Energy Use'!$C$11)</f>
        <v>2329.7316554651738</v>
      </c>
      <c r="L25" s="883"/>
      <c r="M25" s="883"/>
      <c r="N25" s="885"/>
      <c r="O25" s="883"/>
      <c r="P25" s="883">
        <f>E25-K25</f>
        <v>170.32628570582619</v>
      </c>
      <c r="Q25" s="883"/>
      <c r="R25" s="883"/>
      <c r="S25" s="886">
        <f>H25-M25</f>
        <v>8.8102176551850526</v>
      </c>
      <c r="T25" s="883">
        <f t="shared" si="4"/>
        <v>179.13650336101125</v>
      </c>
      <c r="U25" s="1005">
        <f>HLOOKUP($B$2,Factors!$J$12:$BE$25,Factors!$H18,FALSE)</f>
        <v>17.740059296020736</v>
      </c>
      <c r="V25" s="885"/>
      <c r="W25" s="883"/>
      <c r="X25" s="883">
        <f>P25*$U25*TbtuToQBtu</f>
        <v>3.0215984080923257</v>
      </c>
      <c r="Y25" s="883"/>
      <c r="Z25" s="883"/>
      <c r="AA25" s="883">
        <f>S25*$U25*TbtuToQBtu</f>
        <v>0.15629378361383162</v>
      </c>
      <c r="AB25" s="883">
        <f>SUM(V25:AA25)</f>
        <v>3.1778921917061576</v>
      </c>
      <c r="AC25" s="888">
        <f>Factors!E31</f>
        <v>1</v>
      </c>
      <c r="AD25" s="885"/>
      <c r="AE25" s="883"/>
      <c r="AF25" s="883">
        <f>X25*$AC25</f>
        <v>3.0215984080923257</v>
      </c>
      <c r="AG25" s="883"/>
      <c r="AH25" s="883"/>
      <c r="AI25" s="883">
        <f>AA25*$AC25</f>
        <v>0.15629378361383162</v>
      </c>
      <c r="AJ25" s="889">
        <f t="shared" si="8"/>
        <v>3.1778921917061576</v>
      </c>
      <c r="AK25" s="885"/>
      <c r="AL25" s="883"/>
      <c r="AM25" s="883">
        <f>AF25*CtoCO2</f>
        <v>11.079194163005194</v>
      </c>
      <c r="AN25" s="883"/>
      <c r="AO25" s="883"/>
      <c r="AP25" s="883">
        <f>AI25*CtoCO2</f>
        <v>0.57307720658404926</v>
      </c>
      <c r="AQ25" s="890">
        <f t="shared" si="29"/>
        <v>11.652271369589243</v>
      </c>
    </row>
    <row r="26" spans="1:43">
      <c r="A26" s="817"/>
      <c r="B26" s="860" t="s">
        <v>1610</v>
      </c>
      <c r="C26" s="883"/>
      <c r="D26" s="883"/>
      <c r="E26" s="883">
        <f>HLOOKUP($B$2,'Consumption Input'!$E$5:$AQ$82,'Consumption Input'!$B31)</f>
        <v>124.895</v>
      </c>
      <c r="F26" s="883">
        <f>HLOOKUP($B$2,'Consumption Input'!$E$5:$AQ$82,'Consumption Input'!$B54)</f>
        <v>141.983</v>
      </c>
      <c r="G26" s="883"/>
      <c r="H26" s="883">
        <f>HLOOKUP($B$2,'US Territories'!$D$28:$AO$38,'US Territories'!$B35)</f>
        <v>1.0411633874999999</v>
      </c>
      <c r="I26" s="883">
        <f t="shared" si="27"/>
        <v>267.91916338749996</v>
      </c>
      <c r="J26" s="884"/>
      <c r="K26" s="883">
        <f>HLOOKUP($B$2,NEUConsumption,'Non-Energy Use'!$C$12)</f>
        <v>124.895</v>
      </c>
      <c r="L26" s="883">
        <f>HLOOKUP($B$2,NEUConsumption,'Non-Energy Use'!$C$24)</f>
        <v>141.983</v>
      </c>
      <c r="M26" s="883">
        <f>HLOOKUP($B$2,NEUConsumption,'Non-Energy Use'!$C$26)</f>
        <v>1.0411633874999999</v>
      </c>
      <c r="N26" s="885">
        <f t="shared" si="34"/>
        <v>0</v>
      </c>
      <c r="O26" s="883">
        <f t="shared" si="34"/>
        <v>0</v>
      </c>
      <c r="P26" s="883">
        <f t="shared" si="35"/>
        <v>0</v>
      </c>
      <c r="Q26" s="883">
        <f>F26-J26-L26</f>
        <v>0</v>
      </c>
      <c r="R26" s="883">
        <f>G26</f>
        <v>0</v>
      </c>
      <c r="S26" s="886">
        <f t="shared" si="38"/>
        <v>0</v>
      </c>
      <c r="T26" s="883">
        <f t="shared" si="4"/>
        <v>0</v>
      </c>
      <c r="U26" s="887">
        <f>Factors!D33</f>
        <v>20.199355467286214</v>
      </c>
      <c r="V26" s="885">
        <f t="shared" si="39"/>
        <v>0</v>
      </c>
      <c r="W26" s="883">
        <f t="shared" si="40"/>
        <v>0</v>
      </c>
      <c r="X26" s="883">
        <f t="shared" si="41"/>
        <v>0</v>
      </c>
      <c r="Y26" s="883">
        <f t="shared" si="42"/>
        <v>0</v>
      </c>
      <c r="Z26" s="883">
        <f t="shared" si="43"/>
        <v>0</v>
      </c>
      <c r="AA26" s="883">
        <f t="shared" si="44"/>
        <v>0</v>
      </c>
      <c r="AB26" s="883">
        <f t="shared" si="28"/>
        <v>0</v>
      </c>
      <c r="AC26" s="888">
        <f>Factors!E33</f>
        <v>1</v>
      </c>
      <c r="AD26" s="885">
        <f t="shared" si="45"/>
        <v>0</v>
      </c>
      <c r="AE26" s="883">
        <f t="shared" si="45"/>
        <v>0</v>
      </c>
      <c r="AF26" s="883">
        <f t="shared" si="45"/>
        <v>0</v>
      </c>
      <c r="AG26" s="883">
        <f>Y26*$AC26</f>
        <v>0</v>
      </c>
      <c r="AH26" s="883">
        <f t="shared" si="45"/>
        <v>0</v>
      </c>
      <c r="AI26" s="883">
        <f t="shared" si="45"/>
        <v>0</v>
      </c>
      <c r="AJ26" s="889">
        <f t="shared" si="8"/>
        <v>0</v>
      </c>
      <c r="AK26" s="885">
        <f t="shared" si="26"/>
        <v>0</v>
      </c>
      <c r="AL26" s="883">
        <f t="shared" si="21"/>
        <v>0</v>
      </c>
      <c r="AM26" s="883">
        <f t="shared" si="22"/>
        <v>0</v>
      </c>
      <c r="AN26" s="883">
        <f>AG26*CtoCO2</f>
        <v>0</v>
      </c>
      <c r="AO26" s="883">
        <f t="shared" si="24"/>
        <v>0</v>
      </c>
      <c r="AP26" s="883">
        <f t="shared" si="25"/>
        <v>0</v>
      </c>
      <c r="AQ26" s="890">
        <f t="shared" si="29"/>
        <v>0</v>
      </c>
    </row>
    <row r="27" spans="1:43">
      <c r="A27" s="817"/>
      <c r="B27" s="860" t="s">
        <v>1601</v>
      </c>
      <c r="C27" s="883"/>
      <c r="D27" s="883">
        <f>HLOOKUP($B$2,'Consumption Input'!$E$5:$AQ$82,'Consumption Input'!$B18)</f>
        <v>403.66216413380448</v>
      </c>
      <c r="E27" s="883">
        <f>HLOOKUP($B$2,'Consumption Input'!$E$5:$AQ$82,'Consumption Input'!$B32)</f>
        <v>295.7313872007777</v>
      </c>
      <c r="F27" s="883">
        <f>HLOOKUP($B$2,'Consumption Input'!$E$5:$AQ$82,'Consumption Input'!$B55)</f>
        <v>15302.831448665418</v>
      </c>
      <c r="G27" s="883"/>
      <c r="H27" s="883">
        <f>HLOOKUP($B$2,'US Territories'!$D$28:$AO$38,'US Territories'!$B36)</f>
        <v>129.11746456000802</v>
      </c>
      <c r="I27" s="883">
        <f t="shared" si="27"/>
        <v>16131.342464560008</v>
      </c>
      <c r="J27" s="884"/>
      <c r="K27" s="883"/>
      <c r="L27" s="883"/>
      <c r="M27" s="883"/>
      <c r="N27" s="885">
        <f t="shared" si="34"/>
        <v>0</v>
      </c>
      <c r="O27" s="883">
        <f t="shared" si="34"/>
        <v>403.66216413380448</v>
      </c>
      <c r="P27" s="883">
        <f t="shared" si="35"/>
        <v>295.7313872007777</v>
      </c>
      <c r="Q27" s="883">
        <f t="shared" si="36"/>
        <v>15302.831448665418</v>
      </c>
      <c r="R27" s="883">
        <f t="shared" si="37"/>
        <v>0</v>
      </c>
      <c r="S27" s="886">
        <f t="shared" si="38"/>
        <v>129.11746456000802</v>
      </c>
      <c r="T27" s="883">
        <f t="shared" si="4"/>
        <v>16131.342464560008</v>
      </c>
      <c r="U27" s="887">
        <f>HLOOKUP($B$2,Factors!$J$12:$BE$25,Factors!$H20,FALSE)</f>
        <v>19.279945488604678</v>
      </c>
      <c r="V27" s="885">
        <f t="shared" si="39"/>
        <v>0</v>
      </c>
      <c r="W27" s="883">
        <f t="shared" si="40"/>
        <v>7.7825845203119455</v>
      </c>
      <c r="X27" s="883">
        <f t="shared" si="41"/>
        <v>5.7016850245004376</v>
      </c>
      <c r="Y27" s="883">
        <f t="shared" si="42"/>
        <v>295.03775615157463</v>
      </c>
      <c r="Z27" s="883">
        <f t="shared" si="43"/>
        <v>0</v>
      </c>
      <c r="AA27" s="883">
        <f t="shared" si="44"/>
        <v>2.4893776783438013</v>
      </c>
      <c r="AB27" s="883">
        <f t="shared" si="28"/>
        <v>311.01140337473083</v>
      </c>
      <c r="AC27" s="888">
        <f>Factors!E34</f>
        <v>1</v>
      </c>
      <c r="AD27" s="885">
        <f t="shared" si="45"/>
        <v>0</v>
      </c>
      <c r="AE27" s="883">
        <f t="shared" si="45"/>
        <v>7.7825845203119455</v>
      </c>
      <c r="AF27" s="883">
        <f t="shared" si="45"/>
        <v>5.7016850245004376</v>
      </c>
      <c r="AG27" s="883">
        <f>Y27*$AC44</f>
        <v>295.03775615157463</v>
      </c>
      <c r="AH27" s="883">
        <f t="shared" si="45"/>
        <v>0</v>
      </c>
      <c r="AI27" s="883">
        <f t="shared" si="45"/>
        <v>2.4893776783438013</v>
      </c>
      <c r="AJ27" s="889">
        <f t="shared" si="8"/>
        <v>311.01140337473083</v>
      </c>
      <c r="AK27" s="885">
        <f t="shared" si="26"/>
        <v>0</v>
      </c>
      <c r="AL27" s="883">
        <f t="shared" si="21"/>
        <v>28.536143241143797</v>
      </c>
      <c r="AM27" s="883">
        <f t="shared" si="22"/>
        <v>20.906178423168271</v>
      </c>
      <c r="AN27" s="883">
        <f t="shared" si="23"/>
        <v>1081.8051058891069</v>
      </c>
      <c r="AO27" s="883">
        <f t="shared" si="24"/>
        <v>0</v>
      </c>
      <c r="AP27" s="883">
        <f t="shared" si="25"/>
        <v>9.1277181539272707</v>
      </c>
      <c r="AQ27" s="890">
        <f t="shared" si="29"/>
        <v>1140.3751457073461</v>
      </c>
    </row>
    <row r="28" spans="1:43">
      <c r="A28" s="817"/>
      <c r="B28" s="860" t="s">
        <v>1602</v>
      </c>
      <c r="C28" s="883"/>
      <c r="D28" s="883">
        <f>HLOOKUP($B$2,'Consumption Input'!$E$5:$AQ$82,'Consumption Input'!$B19)</f>
        <v>3.8319999999999999</v>
      </c>
      <c r="E28" s="883">
        <f>HLOOKUP($B$2,'Consumption Input'!$E$5:$AQ$82,'Consumption Input'!$B33)</f>
        <v>2.7844999999999942</v>
      </c>
      <c r="F28" s="883">
        <f>HLOOKUP($B$2,'Consumption Input'!$E$5:$AQ$82,'Consumption Input'!$B56)</f>
        <v>664.58499999999992</v>
      </c>
      <c r="G28" s="883">
        <f>HLOOKUP($B$2,'Consumption Input'!$E$5:$AQ$82,'Consumption Input'!$B61)</f>
        <v>65.787999999999997</v>
      </c>
      <c r="H28" s="883">
        <f>HLOOKUP($B$2,'US Territories'!$D$28:$AO$38,'US Territories'!$B37)</f>
        <v>41.31207890464546</v>
      </c>
      <c r="I28" s="883">
        <f t="shared" si="27"/>
        <v>778.30157890464534</v>
      </c>
      <c r="J28" s="884">
        <f>HLOOKUP($B$2,IBFConsumption,'International Bunker Fuels'!$B$9)</f>
        <v>445.32404695299994</v>
      </c>
      <c r="K28" s="883"/>
      <c r="L28" s="883"/>
      <c r="M28" s="883"/>
      <c r="N28" s="885">
        <f t="shared" si="34"/>
        <v>0</v>
      </c>
      <c r="O28" s="883">
        <f t="shared" si="34"/>
        <v>3.8319999999999999</v>
      </c>
      <c r="P28" s="883">
        <f t="shared" si="35"/>
        <v>2.7844999999999942</v>
      </c>
      <c r="Q28" s="883">
        <f t="shared" si="36"/>
        <v>219.26095304699999</v>
      </c>
      <c r="R28" s="883">
        <f t="shared" si="37"/>
        <v>65.787999999999997</v>
      </c>
      <c r="S28" s="886">
        <f t="shared" si="38"/>
        <v>41.31207890464546</v>
      </c>
      <c r="T28" s="883">
        <f t="shared" si="4"/>
        <v>332.97753195164546</v>
      </c>
      <c r="U28" s="887">
        <f>Factors!D36</f>
        <v>20.48</v>
      </c>
      <c r="V28" s="885">
        <f t="shared" si="39"/>
        <v>0</v>
      </c>
      <c r="W28" s="883">
        <f t="shared" si="40"/>
        <v>7.8479359999999998E-2</v>
      </c>
      <c r="X28" s="883">
        <f t="shared" si="41"/>
        <v>5.7026559999999886E-2</v>
      </c>
      <c r="Y28" s="883">
        <f t="shared" si="42"/>
        <v>4.4904643184025597</v>
      </c>
      <c r="Z28" s="883">
        <f t="shared" si="43"/>
        <v>1.34733824</v>
      </c>
      <c r="AA28" s="883">
        <f t="shared" si="44"/>
        <v>0.84607137596713911</v>
      </c>
      <c r="AB28" s="883">
        <f t="shared" si="28"/>
        <v>6.8193798543696991</v>
      </c>
      <c r="AC28" s="888">
        <f>Factors!E36</f>
        <v>1</v>
      </c>
      <c r="AD28" s="885">
        <f t="shared" si="45"/>
        <v>0</v>
      </c>
      <c r="AE28" s="883">
        <f t="shared" si="45"/>
        <v>7.8479359999999998E-2</v>
      </c>
      <c r="AF28" s="883">
        <f t="shared" si="45"/>
        <v>5.7026559999999886E-2</v>
      </c>
      <c r="AG28" s="883">
        <f t="shared" si="45"/>
        <v>4.4904643184025597</v>
      </c>
      <c r="AH28" s="883">
        <f t="shared" si="45"/>
        <v>1.34733824</v>
      </c>
      <c r="AI28" s="883">
        <f t="shared" si="45"/>
        <v>0.84607137596713911</v>
      </c>
      <c r="AJ28" s="889">
        <f t="shared" si="8"/>
        <v>6.8193798543696991</v>
      </c>
      <c r="AK28" s="885">
        <f t="shared" si="26"/>
        <v>0</v>
      </c>
      <c r="AL28" s="883">
        <f t="shared" si="21"/>
        <v>0.28775765333333331</v>
      </c>
      <c r="AM28" s="883">
        <f t="shared" si="22"/>
        <v>0.20909738666666625</v>
      </c>
      <c r="AN28" s="883">
        <f t="shared" si="23"/>
        <v>16.465035834142718</v>
      </c>
      <c r="AO28" s="883">
        <f t="shared" si="24"/>
        <v>4.9402402133333334</v>
      </c>
      <c r="AP28" s="883">
        <f t="shared" si="25"/>
        <v>3.1022617118795099</v>
      </c>
      <c r="AQ28" s="890">
        <f t="shared" si="29"/>
        <v>25.004392799355561</v>
      </c>
    </row>
    <row r="29" spans="1:43">
      <c r="A29" s="817"/>
      <c r="B29" s="860" t="s">
        <v>1603</v>
      </c>
      <c r="C29" s="883"/>
      <c r="D29" s="883"/>
      <c r="E29" s="883"/>
      <c r="F29" s="883"/>
      <c r="G29" s="883"/>
      <c r="H29" s="883"/>
      <c r="I29" s="883"/>
      <c r="J29" s="884"/>
      <c r="K29" s="883"/>
      <c r="L29" s="883"/>
      <c r="M29" s="883"/>
      <c r="N29" s="885">
        <f t="shared" si="34"/>
        <v>0</v>
      </c>
      <c r="O29" s="883">
        <f t="shared" si="34"/>
        <v>0</v>
      </c>
      <c r="P29" s="883">
        <f t="shared" si="35"/>
        <v>0</v>
      </c>
      <c r="Q29" s="883">
        <f t="shared" si="36"/>
        <v>0</v>
      </c>
      <c r="R29" s="883">
        <f t="shared" si="37"/>
        <v>0</v>
      </c>
      <c r="S29" s="886">
        <f t="shared" si="38"/>
        <v>0</v>
      </c>
      <c r="T29" s="883">
        <f t="shared" si="4"/>
        <v>0</v>
      </c>
      <c r="U29" s="887"/>
      <c r="V29" s="885">
        <f t="shared" si="39"/>
        <v>0</v>
      </c>
      <c r="W29" s="883">
        <f t="shared" si="40"/>
        <v>0</v>
      </c>
      <c r="X29" s="883">
        <f t="shared" si="41"/>
        <v>0</v>
      </c>
      <c r="Y29" s="883">
        <f t="shared" si="42"/>
        <v>0</v>
      </c>
      <c r="Z29" s="883">
        <f t="shared" si="43"/>
        <v>0</v>
      </c>
      <c r="AA29" s="883">
        <f t="shared" si="44"/>
        <v>0</v>
      </c>
      <c r="AB29" s="883">
        <f t="shared" si="28"/>
        <v>0</v>
      </c>
      <c r="AC29" s="888"/>
      <c r="AD29" s="885">
        <f t="shared" si="45"/>
        <v>0</v>
      </c>
      <c r="AE29" s="883">
        <f t="shared" si="45"/>
        <v>0</v>
      </c>
      <c r="AF29" s="883">
        <f t="shared" si="45"/>
        <v>0</v>
      </c>
      <c r="AG29" s="883">
        <f t="shared" si="45"/>
        <v>0</v>
      </c>
      <c r="AH29" s="883">
        <f t="shared" si="45"/>
        <v>0</v>
      </c>
      <c r="AI29" s="883">
        <f t="shared" si="45"/>
        <v>0</v>
      </c>
      <c r="AJ29" s="889">
        <f t="shared" si="8"/>
        <v>0</v>
      </c>
      <c r="AK29" s="885">
        <f t="shared" si="26"/>
        <v>0</v>
      </c>
      <c r="AL29" s="883">
        <f t="shared" si="21"/>
        <v>0</v>
      </c>
      <c r="AM29" s="883">
        <f t="shared" si="22"/>
        <v>0</v>
      </c>
      <c r="AN29" s="883">
        <f t="shared" si="23"/>
        <v>0</v>
      </c>
      <c r="AO29" s="883">
        <f t="shared" si="24"/>
        <v>0</v>
      </c>
      <c r="AP29" s="883">
        <f t="shared" si="25"/>
        <v>0</v>
      </c>
      <c r="AQ29" s="890">
        <f t="shared" si="29"/>
        <v>0</v>
      </c>
    </row>
    <row r="30" spans="1:43">
      <c r="A30" s="817"/>
      <c r="B30" s="865" t="s">
        <v>1611</v>
      </c>
      <c r="C30" s="883"/>
      <c r="D30" s="883"/>
      <c r="E30" s="883">
        <f>HLOOKUP($B$2,'Consumption Input'!$E$5:$AQ$82,'Consumption Input'!$B35)</f>
        <v>-0.19182399999999999</v>
      </c>
      <c r="F30" s="883"/>
      <c r="G30" s="883"/>
      <c r="H30" s="883"/>
      <c r="I30" s="883">
        <f t="shared" ref="I30:I41" si="50">SUM(C30:H30)</f>
        <v>-0.19182399999999999</v>
      </c>
      <c r="J30" s="884"/>
      <c r="K30" s="883"/>
      <c r="L30" s="883"/>
      <c r="M30" s="883"/>
      <c r="N30" s="885">
        <f t="shared" si="34"/>
        <v>0</v>
      </c>
      <c r="O30" s="883">
        <f t="shared" si="34"/>
        <v>0</v>
      </c>
      <c r="P30" s="883">
        <f t="shared" si="35"/>
        <v>-0.19182399999999999</v>
      </c>
      <c r="Q30" s="883">
        <f t="shared" si="36"/>
        <v>0</v>
      </c>
      <c r="R30" s="883">
        <f t="shared" si="37"/>
        <v>0</v>
      </c>
      <c r="S30" s="886">
        <f t="shared" si="38"/>
        <v>0</v>
      </c>
      <c r="T30" s="883">
        <f t="shared" si="4"/>
        <v>-0.19182399999999999</v>
      </c>
      <c r="U30" s="887">
        <f>Factors!D39</f>
        <v>18.87</v>
      </c>
      <c r="V30" s="885">
        <f t="shared" si="39"/>
        <v>0</v>
      </c>
      <c r="W30" s="883">
        <f t="shared" si="40"/>
        <v>0</v>
      </c>
      <c r="X30" s="883">
        <f t="shared" si="41"/>
        <v>-3.6197188800000005E-3</v>
      </c>
      <c r="Y30" s="883">
        <f t="shared" si="42"/>
        <v>0</v>
      </c>
      <c r="Z30" s="883">
        <f t="shared" si="43"/>
        <v>0</v>
      </c>
      <c r="AA30" s="883">
        <f t="shared" si="44"/>
        <v>0</v>
      </c>
      <c r="AB30" s="883">
        <f t="shared" si="28"/>
        <v>-3.6197188800000005E-3</v>
      </c>
      <c r="AC30" s="888">
        <f>Factors!E39</f>
        <v>1</v>
      </c>
      <c r="AD30" s="885">
        <f t="shared" si="45"/>
        <v>0</v>
      </c>
      <c r="AE30" s="883">
        <f t="shared" si="45"/>
        <v>0</v>
      </c>
      <c r="AF30" s="883">
        <f t="shared" si="45"/>
        <v>-3.6197188800000005E-3</v>
      </c>
      <c r="AG30" s="883">
        <f t="shared" si="45"/>
        <v>0</v>
      </c>
      <c r="AH30" s="883">
        <f t="shared" si="45"/>
        <v>0</v>
      </c>
      <c r="AI30" s="883">
        <f t="shared" si="45"/>
        <v>0</v>
      </c>
      <c r="AJ30" s="889">
        <f t="shared" si="8"/>
        <v>-3.6197188800000005E-3</v>
      </c>
      <c r="AK30" s="885">
        <f t="shared" si="26"/>
        <v>0</v>
      </c>
      <c r="AL30" s="883">
        <f t="shared" si="21"/>
        <v>0</v>
      </c>
      <c r="AM30" s="883">
        <f t="shared" si="22"/>
        <v>-1.3272302560000001E-2</v>
      </c>
      <c r="AN30" s="883">
        <f t="shared" si="23"/>
        <v>0</v>
      </c>
      <c r="AO30" s="883">
        <f t="shared" si="24"/>
        <v>0</v>
      </c>
      <c r="AP30" s="883">
        <f t="shared" si="25"/>
        <v>0</v>
      </c>
      <c r="AQ30" s="890">
        <f t="shared" si="29"/>
        <v>-1.3272302560000001E-2</v>
      </c>
    </row>
    <row r="31" spans="1:43">
      <c r="A31" s="817"/>
      <c r="B31" s="865" t="s">
        <v>1612</v>
      </c>
      <c r="C31" s="883"/>
      <c r="D31" s="883"/>
      <c r="E31" s="883">
        <f>HLOOKUP($B$2,'Consumption Input'!$E$5:$AQ$82,'Consumption Input'!$B36)</f>
        <v>0</v>
      </c>
      <c r="F31" s="883"/>
      <c r="G31" s="883"/>
      <c r="H31" s="883"/>
      <c r="I31" s="883">
        <f t="shared" si="50"/>
        <v>0</v>
      </c>
      <c r="J31" s="884"/>
      <c r="K31" s="883"/>
      <c r="L31" s="883"/>
      <c r="M31" s="883"/>
      <c r="N31" s="885">
        <f t="shared" si="34"/>
        <v>0</v>
      </c>
      <c r="O31" s="883">
        <f t="shared" si="34"/>
        <v>0</v>
      </c>
      <c r="P31" s="883">
        <f t="shared" si="35"/>
        <v>0</v>
      </c>
      <c r="Q31" s="883">
        <f t="shared" si="36"/>
        <v>0</v>
      </c>
      <c r="R31" s="883">
        <f t="shared" si="37"/>
        <v>0</v>
      </c>
      <c r="S31" s="886">
        <f t="shared" si="38"/>
        <v>0</v>
      </c>
      <c r="T31" s="883">
        <f t="shared" si="4"/>
        <v>0</v>
      </c>
      <c r="U31" s="887">
        <f>HLOOKUP($B$2,Factors!$J$12:$BE$25,Factors!$H25,FALSE)</f>
        <v>20.305515594827586</v>
      </c>
      <c r="V31" s="885">
        <f t="shared" si="39"/>
        <v>0</v>
      </c>
      <c r="W31" s="883">
        <f t="shared" si="40"/>
        <v>0</v>
      </c>
      <c r="X31" s="883">
        <f t="shared" si="41"/>
        <v>0</v>
      </c>
      <c r="Y31" s="883">
        <f t="shared" si="42"/>
        <v>0</v>
      </c>
      <c r="Z31" s="883">
        <f t="shared" si="43"/>
        <v>0</v>
      </c>
      <c r="AA31" s="883">
        <f t="shared" si="44"/>
        <v>0</v>
      </c>
      <c r="AB31" s="883">
        <f t="shared" si="28"/>
        <v>0</v>
      </c>
      <c r="AC31" s="888">
        <f>Factors!E40</f>
        <v>1</v>
      </c>
      <c r="AD31" s="885">
        <f t="shared" si="45"/>
        <v>0</v>
      </c>
      <c r="AE31" s="883">
        <f t="shared" si="45"/>
        <v>0</v>
      </c>
      <c r="AF31" s="883">
        <f t="shared" si="45"/>
        <v>0</v>
      </c>
      <c r="AG31" s="883">
        <f t="shared" si="45"/>
        <v>0</v>
      </c>
      <c r="AH31" s="883">
        <f t="shared" si="45"/>
        <v>0</v>
      </c>
      <c r="AI31" s="883">
        <f t="shared" si="45"/>
        <v>0</v>
      </c>
      <c r="AJ31" s="889">
        <f t="shared" si="8"/>
        <v>0</v>
      </c>
      <c r="AK31" s="885">
        <f t="shared" si="26"/>
        <v>0</v>
      </c>
      <c r="AL31" s="883">
        <f t="shared" si="21"/>
        <v>0</v>
      </c>
      <c r="AM31" s="883">
        <f t="shared" si="22"/>
        <v>0</v>
      </c>
      <c r="AN31" s="883">
        <f t="shared" si="23"/>
        <v>0</v>
      </c>
      <c r="AO31" s="883">
        <f t="shared" si="24"/>
        <v>0</v>
      </c>
      <c r="AP31" s="883">
        <f t="shared" si="25"/>
        <v>0</v>
      </c>
      <c r="AQ31" s="890">
        <f t="shared" si="29"/>
        <v>0</v>
      </c>
    </row>
    <row r="32" spans="1:43">
      <c r="A32" s="817"/>
      <c r="B32" s="865" t="s">
        <v>1613</v>
      </c>
      <c r="C32" s="883"/>
      <c r="D32" s="883"/>
      <c r="E32" s="883">
        <f>HLOOKUP($B$2,'Consumption Input'!$E$5:$AQ$82,'Consumption Input'!$B37)</f>
        <v>0</v>
      </c>
      <c r="F32" s="883"/>
      <c r="G32" s="883"/>
      <c r="H32" s="883"/>
      <c r="I32" s="883">
        <f t="shared" si="50"/>
        <v>0</v>
      </c>
      <c r="J32" s="884"/>
      <c r="K32" s="883"/>
      <c r="L32" s="883"/>
      <c r="M32" s="883"/>
      <c r="N32" s="885">
        <f t="shared" si="34"/>
        <v>0</v>
      </c>
      <c r="O32" s="883">
        <f t="shared" si="34"/>
        <v>0</v>
      </c>
      <c r="P32" s="883">
        <f t="shared" si="35"/>
        <v>0</v>
      </c>
      <c r="Q32" s="883">
        <f t="shared" si="36"/>
        <v>0</v>
      </c>
      <c r="R32" s="883">
        <f t="shared" si="37"/>
        <v>0</v>
      </c>
      <c r="S32" s="886">
        <f t="shared" si="38"/>
        <v>0</v>
      </c>
      <c r="T32" s="883">
        <f t="shared" si="4"/>
        <v>0</v>
      </c>
      <c r="U32" s="887">
        <f>HLOOKUP($B$2,Factors!$J$12:$BE$25,Factors!$H22,FALSE)</f>
        <v>19.456118437849259</v>
      </c>
      <c r="V32" s="885">
        <f t="shared" si="39"/>
        <v>0</v>
      </c>
      <c r="W32" s="883">
        <f t="shared" si="40"/>
        <v>0</v>
      </c>
      <c r="X32" s="883">
        <f t="shared" si="41"/>
        <v>0</v>
      </c>
      <c r="Y32" s="883">
        <f t="shared" si="42"/>
        <v>0</v>
      </c>
      <c r="Z32" s="883">
        <f t="shared" si="43"/>
        <v>0</v>
      </c>
      <c r="AA32" s="883">
        <f t="shared" si="44"/>
        <v>0</v>
      </c>
      <c r="AB32" s="883">
        <f t="shared" si="28"/>
        <v>0</v>
      </c>
      <c r="AC32" s="888">
        <f>Factors!E41</f>
        <v>1</v>
      </c>
      <c r="AD32" s="885">
        <f t="shared" si="45"/>
        <v>0</v>
      </c>
      <c r="AE32" s="883">
        <f t="shared" si="45"/>
        <v>0</v>
      </c>
      <c r="AF32" s="883">
        <f t="shared" si="45"/>
        <v>0</v>
      </c>
      <c r="AG32" s="883">
        <f t="shared" si="45"/>
        <v>0</v>
      </c>
      <c r="AH32" s="883">
        <f t="shared" si="45"/>
        <v>0</v>
      </c>
      <c r="AI32" s="883">
        <f t="shared" si="45"/>
        <v>0</v>
      </c>
      <c r="AJ32" s="889">
        <f t="shared" si="8"/>
        <v>0</v>
      </c>
      <c r="AK32" s="885">
        <f t="shared" si="26"/>
        <v>0</v>
      </c>
      <c r="AL32" s="883">
        <f t="shared" si="21"/>
        <v>0</v>
      </c>
      <c r="AM32" s="883">
        <f t="shared" si="22"/>
        <v>0</v>
      </c>
      <c r="AN32" s="883">
        <f t="shared" si="23"/>
        <v>0</v>
      </c>
      <c r="AO32" s="883">
        <f t="shared" si="24"/>
        <v>0</v>
      </c>
      <c r="AP32" s="883">
        <f t="shared" si="25"/>
        <v>0</v>
      </c>
      <c r="AQ32" s="890">
        <f t="shared" si="29"/>
        <v>0</v>
      </c>
    </row>
    <row r="33" spans="1:43">
      <c r="A33" s="817"/>
      <c r="B33" s="865" t="s">
        <v>1739</v>
      </c>
      <c r="C33" s="883"/>
      <c r="D33" s="883"/>
      <c r="E33" s="883">
        <f>HLOOKUP($B$2,'Consumption Input'!$E$5:$AQ$82,'Consumption Input'!$B38)</f>
        <v>198.81032320799997</v>
      </c>
      <c r="F33" s="883"/>
      <c r="G33" s="883"/>
      <c r="H33" s="883">
        <f>HLOOKUP($B$2,'US Territories'!$D$28:$AO$38,'US Territories'!$B38)</f>
        <v>2.449897463425557</v>
      </c>
      <c r="I33" s="883">
        <f t="shared" si="50"/>
        <v>201.26022067142551</v>
      </c>
      <c r="J33" s="884"/>
      <c r="K33" s="883">
        <f>HLOOKUP($B$2,NEUConsumption,'Non-Energy Use'!C22)</f>
        <v>198.81032320799997</v>
      </c>
      <c r="L33" s="883"/>
      <c r="M33" s="883">
        <f>HLOOKUP($B$2,NEUConsumption,'Non-Energy Use'!$C$27)</f>
        <v>2.449897463425557</v>
      </c>
      <c r="N33" s="885">
        <f t="shared" si="34"/>
        <v>0</v>
      </c>
      <c r="O33" s="883">
        <f t="shared" si="34"/>
        <v>0</v>
      </c>
      <c r="P33" s="883">
        <f t="shared" si="35"/>
        <v>0</v>
      </c>
      <c r="Q33" s="883">
        <f t="shared" si="36"/>
        <v>0</v>
      </c>
      <c r="R33" s="883">
        <f t="shared" si="37"/>
        <v>0</v>
      </c>
      <c r="S33" s="886">
        <f t="shared" si="38"/>
        <v>0</v>
      </c>
      <c r="T33" s="883">
        <f t="shared" si="4"/>
        <v>0</v>
      </c>
      <c r="U33" s="887">
        <f>HLOOKUP($B$2,Factors!$J$12:$BE$25,Factors!$H23,FALSE)</f>
        <v>0</v>
      </c>
      <c r="V33" s="885">
        <f t="shared" si="39"/>
        <v>0</v>
      </c>
      <c r="W33" s="883">
        <f t="shared" si="40"/>
        <v>0</v>
      </c>
      <c r="X33" s="883">
        <f t="shared" si="41"/>
        <v>0</v>
      </c>
      <c r="Y33" s="883">
        <f t="shared" si="42"/>
        <v>0</v>
      </c>
      <c r="Z33" s="883">
        <f t="shared" si="43"/>
        <v>0</v>
      </c>
      <c r="AA33" s="883">
        <f t="shared" si="44"/>
        <v>0</v>
      </c>
      <c r="AB33" s="883">
        <f t="shared" si="28"/>
        <v>0</v>
      </c>
      <c r="AC33" s="888">
        <f>Factors!E42</f>
        <v>1</v>
      </c>
      <c r="AD33" s="885">
        <f t="shared" si="45"/>
        <v>0</v>
      </c>
      <c r="AE33" s="883">
        <f t="shared" si="45"/>
        <v>0</v>
      </c>
      <c r="AF33" s="883">
        <f t="shared" si="45"/>
        <v>0</v>
      </c>
      <c r="AG33" s="883">
        <f t="shared" si="45"/>
        <v>0</v>
      </c>
      <c r="AH33" s="883">
        <f t="shared" si="45"/>
        <v>0</v>
      </c>
      <c r="AI33" s="883">
        <f t="shared" si="45"/>
        <v>0</v>
      </c>
      <c r="AJ33" s="889">
        <f t="shared" si="8"/>
        <v>0</v>
      </c>
      <c r="AK33" s="885">
        <f t="shared" si="26"/>
        <v>0</v>
      </c>
      <c r="AL33" s="883">
        <f t="shared" si="21"/>
        <v>0</v>
      </c>
      <c r="AM33" s="883">
        <f t="shared" si="22"/>
        <v>0</v>
      </c>
      <c r="AN33" s="883">
        <f t="shared" si="23"/>
        <v>0</v>
      </c>
      <c r="AO33" s="883">
        <f t="shared" si="24"/>
        <v>0</v>
      </c>
      <c r="AP33" s="883">
        <f t="shared" si="25"/>
        <v>0</v>
      </c>
      <c r="AQ33" s="890">
        <f t="shared" si="29"/>
        <v>0</v>
      </c>
    </row>
    <row r="34" spans="1:43">
      <c r="A34" s="817"/>
      <c r="B34" s="865" t="s">
        <v>1615</v>
      </c>
      <c r="C34" s="883"/>
      <c r="D34" s="883"/>
      <c r="E34" s="883">
        <f>HLOOKUP($B$2,'Consumption Input'!$E$5:$AQ$82,'Consumption Input'!$B39)</f>
        <v>436.17702400000002</v>
      </c>
      <c r="F34" s="883"/>
      <c r="G34" s="883"/>
      <c r="H34" s="883"/>
      <c r="I34" s="883">
        <f t="shared" si="50"/>
        <v>436.17702400000002</v>
      </c>
      <c r="J34" s="884"/>
      <c r="K34" s="883">
        <f>HLOOKUP($B$2,NEUConsumption,'Non-Energy Use'!C14)</f>
        <v>436.17702400000002</v>
      </c>
      <c r="L34" s="883"/>
      <c r="M34" s="883"/>
      <c r="N34" s="885">
        <f t="shared" si="34"/>
        <v>0</v>
      </c>
      <c r="O34" s="883">
        <f t="shared" si="34"/>
        <v>0</v>
      </c>
      <c r="P34" s="883">
        <f t="shared" si="35"/>
        <v>0</v>
      </c>
      <c r="Q34" s="883">
        <f t="shared" si="36"/>
        <v>0</v>
      </c>
      <c r="R34" s="883">
        <f t="shared" si="37"/>
        <v>0</v>
      </c>
      <c r="S34" s="886">
        <f t="shared" si="38"/>
        <v>0</v>
      </c>
      <c r="T34" s="883">
        <f t="shared" si="4"/>
        <v>0</v>
      </c>
      <c r="U34" s="887">
        <f>Factors!D44</f>
        <v>18.550649350649344</v>
      </c>
      <c r="V34" s="885">
        <f t="shared" si="39"/>
        <v>0</v>
      </c>
      <c r="W34" s="883">
        <f t="shared" si="40"/>
        <v>0</v>
      </c>
      <c r="X34" s="883">
        <f t="shared" si="41"/>
        <v>0</v>
      </c>
      <c r="Y34" s="883">
        <f t="shared" si="42"/>
        <v>0</v>
      </c>
      <c r="Z34" s="883">
        <f t="shared" si="43"/>
        <v>0</v>
      </c>
      <c r="AA34" s="883">
        <f t="shared" si="44"/>
        <v>0</v>
      </c>
      <c r="AB34" s="883">
        <f t="shared" si="28"/>
        <v>0</v>
      </c>
      <c r="AC34" s="888">
        <f>Factors!E44</f>
        <v>1</v>
      </c>
      <c r="AD34" s="885">
        <f t="shared" si="45"/>
        <v>0</v>
      </c>
      <c r="AE34" s="883">
        <f t="shared" si="45"/>
        <v>0</v>
      </c>
      <c r="AF34" s="883">
        <f t="shared" si="45"/>
        <v>0</v>
      </c>
      <c r="AG34" s="883">
        <f t="shared" si="45"/>
        <v>0</v>
      </c>
      <c r="AH34" s="883">
        <f t="shared" si="45"/>
        <v>0</v>
      </c>
      <c r="AI34" s="883">
        <f t="shared" si="45"/>
        <v>0</v>
      </c>
      <c r="AJ34" s="889">
        <f t="shared" si="8"/>
        <v>0</v>
      </c>
      <c r="AK34" s="885">
        <f t="shared" si="26"/>
        <v>0</v>
      </c>
      <c r="AL34" s="883">
        <f t="shared" si="21"/>
        <v>0</v>
      </c>
      <c r="AM34" s="883">
        <f t="shared" si="22"/>
        <v>0</v>
      </c>
      <c r="AN34" s="883">
        <f t="shared" si="23"/>
        <v>0</v>
      </c>
      <c r="AO34" s="883">
        <f t="shared" si="24"/>
        <v>0</v>
      </c>
      <c r="AP34" s="883">
        <f t="shared" si="25"/>
        <v>0</v>
      </c>
      <c r="AQ34" s="890">
        <f t="shared" si="29"/>
        <v>0</v>
      </c>
    </row>
    <row r="35" spans="1:43">
      <c r="A35" s="817"/>
      <c r="B35" s="865" t="s">
        <v>1616</v>
      </c>
      <c r="C35" s="883"/>
      <c r="D35" s="883"/>
      <c r="E35" s="883">
        <f>HLOOKUP($B$2,'Consumption Input'!$E$5:$AQ$82,'Consumption Input'!$B40)</f>
        <v>262.92885000000001</v>
      </c>
      <c r="F35" s="883"/>
      <c r="G35" s="883"/>
      <c r="H35" s="883"/>
      <c r="I35" s="883">
        <f t="shared" si="50"/>
        <v>262.92885000000001</v>
      </c>
      <c r="J35" s="884"/>
      <c r="K35" s="883">
        <f>HLOOKUP($B$2,NEUConsumption,'Non-Energy Use'!$C$15)</f>
        <v>262.92885000000001</v>
      </c>
      <c r="L35" s="883"/>
      <c r="M35" s="883"/>
      <c r="N35" s="885">
        <f t="shared" si="34"/>
        <v>0</v>
      </c>
      <c r="O35" s="883">
        <f t="shared" si="34"/>
        <v>0</v>
      </c>
      <c r="P35" s="883">
        <f t="shared" si="35"/>
        <v>0</v>
      </c>
      <c r="Q35" s="883">
        <f t="shared" si="36"/>
        <v>0</v>
      </c>
      <c r="R35" s="883">
        <f t="shared" si="37"/>
        <v>0</v>
      </c>
      <c r="S35" s="886">
        <f t="shared" si="38"/>
        <v>0</v>
      </c>
      <c r="T35" s="883">
        <f t="shared" si="4"/>
        <v>0</v>
      </c>
      <c r="U35" s="887">
        <f>Factors!D45</f>
        <v>20.170000000000002</v>
      </c>
      <c r="V35" s="885">
        <f t="shared" si="39"/>
        <v>0</v>
      </c>
      <c r="W35" s="883">
        <f t="shared" si="40"/>
        <v>0</v>
      </c>
      <c r="X35" s="883">
        <f t="shared" si="41"/>
        <v>0</v>
      </c>
      <c r="Y35" s="883">
        <f t="shared" si="42"/>
        <v>0</v>
      </c>
      <c r="Z35" s="883">
        <f t="shared" si="43"/>
        <v>0</v>
      </c>
      <c r="AA35" s="883">
        <f t="shared" si="44"/>
        <v>0</v>
      </c>
      <c r="AB35" s="883">
        <f t="shared" si="28"/>
        <v>0</v>
      </c>
      <c r="AC35" s="888">
        <f>Factors!E45</f>
        <v>1</v>
      </c>
      <c r="AD35" s="885">
        <f t="shared" si="45"/>
        <v>0</v>
      </c>
      <c r="AE35" s="883">
        <f t="shared" si="45"/>
        <v>0</v>
      </c>
      <c r="AF35" s="883">
        <f t="shared" si="45"/>
        <v>0</v>
      </c>
      <c r="AG35" s="883">
        <f t="shared" si="45"/>
        <v>0</v>
      </c>
      <c r="AH35" s="883">
        <f t="shared" si="45"/>
        <v>0</v>
      </c>
      <c r="AI35" s="883">
        <f t="shared" si="45"/>
        <v>0</v>
      </c>
      <c r="AJ35" s="889">
        <f t="shared" si="8"/>
        <v>0</v>
      </c>
      <c r="AK35" s="885">
        <f t="shared" si="26"/>
        <v>0</v>
      </c>
      <c r="AL35" s="883">
        <f t="shared" si="21"/>
        <v>0</v>
      </c>
      <c r="AM35" s="883">
        <f t="shared" si="22"/>
        <v>0</v>
      </c>
      <c r="AN35" s="883">
        <f t="shared" si="23"/>
        <v>0</v>
      </c>
      <c r="AO35" s="883">
        <f t="shared" si="24"/>
        <v>0</v>
      </c>
      <c r="AP35" s="883">
        <f t="shared" si="25"/>
        <v>0</v>
      </c>
      <c r="AQ35" s="890">
        <f t="shared" si="29"/>
        <v>0</v>
      </c>
    </row>
    <row r="36" spans="1:43">
      <c r="A36" s="817"/>
      <c r="B36" s="865" t="s">
        <v>1617</v>
      </c>
      <c r="C36" s="883"/>
      <c r="D36" s="883"/>
      <c r="E36" s="883">
        <f>HLOOKUP($B$2,'Consumption Input'!$E$5:$AQ$82,'Consumption Input'!$B41)</f>
        <v>0</v>
      </c>
      <c r="F36" s="883"/>
      <c r="G36" s="883"/>
      <c r="H36" s="883"/>
      <c r="I36" s="883">
        <f t="shared" si="50"/>
        <v>0</v>
      </c>
      <c r="J36" s="884"/>
      <c r="K36" s="883">
        <f>HLOOKUP($B$2,NEUConsumption,'Non-Energy Use'!$C$13)</f>
        <v>0</v>
      </c>
      <c r="L36" s="883"/>
      <c r="M36" s="883"/>
      <c r="N36" s="885">
        <f t="shared" si="34"/>
        <v>0</v>
      </c>
      <c r="O36" s="883">
        <f t="shared" si="34"/>
        <v>0</v>
      </c>
      <c r="P36" s="883">
        <f t="shared" si="35"/>
        <v>0</v>
      </c>
      <c r="Q36" s="883">
        <f t="shared" si="36"/>
        <v>0</v>
      </c>
      <c r="R36" s="883">
        <f t="shared" si="37"/>
        <v>0</v>
      </c>
      <c r="S36" s="886">
        <f t="shared" si="38"/>
        <v>0</v>
      </c>
      <c r="T36" s="883">
        <f t="shared" si="4"/>
        <v>0</v>
      </c>
      <c r="U36" s="887">
        <f>Factors!D46</f>
        <v>18.239999999999998</v>
      </c>
      <c r="V36" s="885">
        <f t="shared" si="39"/>
        <v>0</v>
      </c>
      <c r="W36" s="883">
        <f t="shared" si="40"/>
        <v>0</v>
      </c>
      <c r="X36" s="883">
        <f t="shared" si="41"/>
        <v>0</v>
      </c>
      <c r="Y36" s="883">
        <f t="shared" si="42"/>
        <v>0</v>
      </c>
      <c r="Z36" s="883">
        <f t="shared" si="43"/>
        <v>0</v>
      </c>
      <c r="AA36" s="883">
        <f t="shared" si="44"/>
        <v>0</v>
      </c>
      <c r="AB36" s="883">
        <f t="shared" si="28"/>
        <v>0</v>
      </c>
      <c r="AC36" s="888">
        <f>Factors!E46</f>
        <v>1</v>
      </c>
      <c r="AD36" s="885">
        <f t="shared" ref="AD36:AI42" si="51">V36*$AC36</f>
        <v>0</v>
      </c>
      <c r="AE36" s="883">
        <f t="shared" si="51"/>
        <v>0</v>
      </c>
      <c r="AF36" s="883">
        <f t="shared" si="51"/>
        <v>0</v>
      </c>
      <c r="AG36" s="883">
        <f t="shared" si="51"/>
        <v>0</v>
      </c>
      <c r="AH36" s="883">
        <f t="shared" si="51"/>
        <v>0</v>
      </c>
      <c r="AI36" s="883">
        <f t="shared" si="51"/>
        <v>0</v>
      </c>
      <c r="AJ36" s="889">
        <f t="shared" si="8"/>
        <v>0</v>
      </c>
      <c r="AK36" s="885">
        <f t="shared" si="26"/>
        <v>0</v>
      </c>
      <c r="AL36" s="883">
        <f t="shared" si="21"/>
        <v>0</v>
      </c>
      <c r="AM36" s="883">
        <f t="shared" si="22"/>
        <v>0</v>
      </c>
      <c r="AN36" s="883">
        <f t="shared" si="23"/>
        <v>0</v>
      </c>
      <c r="AO36" s="883">
        <f t="shared" si="24"/>
        <v>0</v>
      </c>
      <c r="AP36" s="883">
        <f t="shared" si="25"/>
        <v>0</v>
      </c>
      <c r="AQ36" s="890">
        <f t="shared" si="29"/>
        <v>0</v>
      </c>
    </row>
    <row r="37" spans="1:43">
      <c r="A37" s="817"/>
      <c r="B37" s="865" t="s">
        <v>1604</v>
      </c>
      <c r="C37" s="883"/>
      <c r="D37" s="883">
        <f>HLOOKUP($B$2,'Consumption Input'!$E$5:$AQ$82,'Consumption Input'!$B21)</f>
        <v>0.496</v>
      </c>
      <c r="E37" s="883">
        <f>HLOOKUP($B$2,'Consumption Input'!$E$5:$AQ$82,'Consumption Input'!$B42)</f>
        <v>610.07100000000003</v>
      </c>
      <c r="F37" s="883"/>
      <c r="G37" s="883">
        <f>HLOOKUP($B$2,'Consumption Input'!$E$5:$AQ$82,'Consumption Input'!$B63)</f>
        <v>97.207999999999998</v>
      </c>
      <c r="H37" s="883"/>
      <c r="I37" s="883">
        <f t="shared" si="50"/>
        <v>707.77499999999998</v>
      </c>
      <c r="J37" s="884"/>
      <c r="K37" s="883">
        <f>HLOOKUP($B$2,NEUConsumption,'Non-Energy Use'!$C$17)</f>
        <v>57.021734077578316</v>
      </c>
      <c r="L37" s="883"/>
      <c r="M37" s="883"/>
      <c r="N37" s="885">
        <f t="shared" si="34"/>
        <v>0</v>
      </c>
      <c r="O37" s="883">
        <f t="shared" si="34"/>
        <v>0.496</v>
      </c>
      <c r="P37" s="883">
        <f t="shared" si="35"/>
        <v>553.04926592242168</v>
      </c>
      <c r="Q37" s="883">
        <f t="shared" si="36"/>
        <v>0</v>
      </c>
      <c r="R37" s="883">
        <f t="shared" si="37"/>
        <v>97.207999999999998</v>
      </c>
      <c r="S37" s="886">
        <f t="shared" si="38"/>
        <v>0</v>
      </c>
      <c r="T37" s="883">
        <f t="shared" si="4"/>
        <v>650.75326592242163</v>
      </c>
      <c r="U37" s="887">
        <f>Factors!D48</f>
        <v>27.84770010865628</v>
      </c>
      <c r="V37" s="885">
        <f t="shared" si="39"/>
        <v>0</v>
      </c>
      <c r="W37" s="883">
        <f t="shared" si="40"/>
        <v>1.3812459253893515E-2</v>
      </c>
      <c r="X37" s="883">
        <f t="shared" si="41"/>
        <v>15.401150102720099</v>
      </c>
      <c r="Y37" s="883">
        <f t="shared" si="42"/>
        <v>0</v>
      </c>
      <c r="Z37" s="883">
        <f t="shared" si="43"/>
        <v>2.7070192321622595</v>
      </c>
      <c r="AA37" s="883">
        <f t="shared" si="44"/>
        <v>0</v>
      </c>
      <c r="AB37" s="883">
        <f t="shared" si="28"/>
        <v>18.12198179413625</v>
      </c>
      <c r="AC37" s="888">
        <f>Factors!E48</f>
        <v>1</v>
      </c>
      <c r="AD37" s="885">
        <f t="shared" si="51"/>
        <v>0</v>
      </c>
      <c r="AE37" s="883">
        <f t="shared" si="51"/>
        <v>1.3812459253893515E-2</v>
      </c>
      <c r="AF37" s="883">
        <f t="shared" si="51"/>
        <v>15.401150102720099</v>
      </c>
      <c r="AG37" s="883">
        <f t="shared" si="51"/>
        <v>0</v>
      </c>
      <c r="AH37" s="883">
        <f t="shared" si="51"/>
        <v>2.7070192321622595</v>
      </c>
      <c r="AI37" s="883">
        <f t="shared" si="51"/>
        <v>0</v>
      </c>
      <c r="AJ37" s="889">
        <f t="shared" si="8"/>
        <v>18.12198179413625</v>
      </c>
      <c r="AK37" s="885">
        <f t="shared" si="26"/>
        <v>0</v>
      </c>
      <c r="AL37" s="883">
        <f t="shared" si="21"/>
        <v>5.0645683930942882E-2</v>
      </c>
      <c r="AM37" s="883">
        <f t="shared" si="22"/>
        <v>56.470883709973691</v>
      </c>
      <c r="AN37" s="883">
        <f t="shared" si="23"/>
        <v>0</v>
      </c>
      <c r="AO37" s="883">
        <f t="shared" si="24"/>
        <v>9.9257371845949507</v>
      </c>
      <c r="AP37" s="883">
        <f t="shared" si="25"/>
        <v>0</v>
      </c>
      <c r="AQ37" s="890">
        <f t="shared" si="29"/>
        <v>66.44726657849958</v>
      </c>
    </row>
    <row r="38" spans="1:43">
      <c r="A38" s="817"/>
      <c r="B38" s="865" t="s">
        <v>1618</v>
      </c>
      <c r="C38" s="883"/>
      <c r="D38" s="883"/>
      <c r="E38" s="883">
        <f>HLOOKUP($B$2,'Consumption Input'!$E$5:$AQ$82,'Consumption Input'!$B43)</f>
        <v>1582.8214069999999</v>
      </c>
      <c r="F38" s="883"/>
      <c r="G38" s="883"/>
      <c r="H38" s="883"/>
      <c r="I38" s="883">
        <f t="shared" si="50"/>
        <v>1582.8214069999999</v>
      </c>
      <c r="J38" s="884"/>
      <c r="K38" s="883">
        <f>HLOOKUP($B$2,NEUConsumption,'Non-Energy Use'!$C$16)</f>
        <v>163.84636925723936</v>
      </c>
      <c r="L38" s="883"/>
      <c r="M38" s="883"/>
      <c r="N38" s="885">
        <f t="shared" si="34"/>
        <v>0</v>
      </c>
      <c r="O38" s="883">
        <f t="shared" si="34"/>
        <v>0</v>
      </c>
      <c r="P38" s="883">
        <f t="shared" si="35"/>
        <v>1418.9750377427606</v>
      </c>
      <c r="Q38" s="883">
        <f t="shared" si="36"/>
        <v>0</v>
      </c>
      <c r="R38" s="883">
        <f t="shared" si="37"/>
        <v>0</v>
      </c>
      <c r="S38" s="886">
        <f t="shared" si="38"/>
        <v>0</v>
      </c>
      <c r="T38" s="883">
        <f t="shared" si="4"/>
        <v>1418.9750377427606</v>
      </c>
      <c r="U38" s="887">
        <f>Factors!D51</f>
        <v>18.195454545454545</v>
      </c>
      <c r="V38" s="885">
        <f t="shared" si="39"/>
        <v>0</v>
      </c>
      <c r="W38" s="883">
        <f t="shared" si="40"/>
        <v>0</v>
      </c>
      <c r="X38" s="883">
        <f t="shared" si="41"/>
        <v>25.81889580038305</v>
      </c>
      <c r="Y38" s="883">
        <f t="shared" si="42"/>
        <v>0</v>
      </c>
      <c r="Z38" s="883">
        <f t="shared" si="43"/>
        <v>0</v>
      </c>
      <c r="AA38" s="883">
        <f t="shared" si="44"/>
        <v>0</v>
      </c>
      <c r="AB38" s="883">
        <f t="shared" si="28"/>
        <v>25.81889580038305</v>
      </c>
      <c r="AC38" s="888">
        <f>Factors!E51</f>
        <v>1</v>
      </c>
      <c r="AD38" s="885">
        <f t="shared" si="51"/>
        <v>0</v>
      </c>
      <c r="AE38" s="883">
        <f t="shared" si="51"/>
        <v>0</v>
      </c>
      <c r="AF38" s="883">
        <f t="shared" si="51"/>
        <v>25.81889580038305</v>
      </c>
      <c r="AG38" s="883">
        <f t="shared" si="51"/>
        <v>0</v>
      </c>
      <c r="AH38" s="883">
        <f t="shared" si="51"/>
        <v>0</v>
      </c>
      <c r="AI38" s="883">
        <f t="shared" si="51"/>
        <v>0</v>
      </c>
      <c r="AJ38" s="889">
        <f t="shared" si="8"/>
        <v>25.81889580038305</v>
      </c>
      <c r="AK38" s="885">
        <f t="shared" si="26"/>
        <v>0</v>
      </c>
      <c r="AL38" s="883">
        <f t="shared" si="21"/>
        <v>0</v>
      </c>
      <c r="AM38" s="883">
        <f t="shared" si="22"/>
        <v>94.669284601404513</v>
      </c>
      <c r="AN38" s="883">
        <f t="shared" si="23"/>
        <v>0</v>
      </c>
      <c r="AO38" s="883">
        <f t="shared" si="24"/>
        <v>0</v>
      </c>
      <c r="AP38" s="883">
        <f t="shared" si="25"/>
        <v>0</v>
      </c>
      <c r="AQ38" s="890">
        <f t="shared" si="29"/>
        <v>94.669284601404513</v>
      </c>
    </row>
    <row r="39" spans="1:43">
      <c r="A39" s="817"/>
      <c r="B39" s="865" t="s">
        <v>1619</v>
      </c>
      <c r="C39" s="883"/>
      <c r="D39" s="883"/>
      <c r="E39" s="883">
        <f>HLOOKUP($B$2,'Consumption Input'!$E$5:$AQ$82,'Consumption Input'!$B44)</f>
        <v>100.336512</v>
      </c>
      <c r="F39" s="883"/>
      <c r="G39" s="883"/>
      <c r="H39" s="883"/>
      <c r="I39" s="883">
        <f t="shared" si="50"/>
        <v>100.336512</v>
      </c>
      <c r="J39" s="884"/>
      <c r="K39" s="883">
        <f>HLOOKUP($B$2,NEUConsumption,'Non-Energy Use'!$C$18)</f>
        <v>100.336512</v>
      </c>
      <c r="L39" s="883"/>
      <c r="M39" s="883"/>
      <c r="N39" s="885">
        <f t="shared" si="34"/>
        <v>0</v>
      </c>
      <c r="O39" s="883">
        <f t="shared" si="34"/>
        <v>0</v>
      </c>
      <c r="P39" s="883">
        <f t="shared" si="35"/>
        <v>0</v>
      </c>
      <c r="Q39" s="883">
        <f t="shared" si="36"/>
        <v>0</v>
      </c>
      <c r="R39" s="883">
        <f t="shared" si="37"/>
        <v>0</v>
      </c>
      <c r="S39" s="886">
        <f t="shared" si="38"/>
        <v>0</v>
      </c>
      <c r="T39" s="883">
        <f t="shared" si="4"/>
        <v>0</v>
      </c>
      <c r="U39" s="887">
        <f>Factors!D37</f>
        <v>19.737389135254986</v>
      </c>
      <c r="V39" s="885">
        <f t="shared" si="39"/>
        <v>0</v>
      </c>
      <c r="W39" s="883">
        <f t="shared" si="40"/>
        <v>0</v>
      </c>
      <c r="X39" s="883">
        <f t="shared" si="41"/>
        <v>0</v>
      </c>
      <c r="Y39" s="883">
        <f t="shared" si="42"/>
        <v>0</v>
      </c>
      <c r="Z39" s="883">
        <f t="shared" si="43"/>
        <v>0</v>
      </c>
      <c r="AA39" s="883">
        <f t="shared" si="44"/>
        <v>0</v>
      </c>
      <c r="AB39" s="883">
        <f t="shared" si="28"/>
        <v>0</v>
      </c>
      <c r="AC39" s="888">
        <f>Factors!E37</f>
        <v>1</v>
      </c>
      <c r="AD39" s="885">
        <f t="shared" si="51"/>
        <v>0</v>
      </c>
      <c r="AE39" s="883">
        <f t="shared" si="51"/>
        <v>0</v>
      </c>
      <c r="AF39" s="883">
        <f t="shared" si="51"/>
        <v>0</v>
      </c>
      <c r="AG39" s="883">
        <f t="shared" si="51"/>
        <v>0</v>
      </c>
      <c r="AH39" s="883">
        <f t="shared" si="51"/>
        <v>0</v>
      </c>
      <c r="AI39" s="883">
        <f t="shared" si="51"/>
        <v>0</v>
      </c>
      <c r="AJ39" s="889">
        <f t="shared" si="8"/>
        <v>0</v>
      </c>
      <c r="AK39" s="885">
        <f t="shared" si="26"/>
        <v>0</v>
      </c>
      <c r="AL39" s="883">
        <f t="shared" si="21"/>
        <v>0</v>
      </c>
      <c r="AM39" s="883">
        <f t="shared" si="22"/>
        <v>0</v>
      </c>
      <c r="AN39" s="883">
        <f t="shared" si="23"/>
        <v>0</v>
      </c>
      <c r="AO39" s="883">
        <f t="shared" si="24"/>
        <v>0</v>
      </c>
      <c r="AP39" s="883">
        <f t="shared" si="25"/>
        <v>0</v>
      </c>
      <c r="AQ39" s="890">
        <f t="shared" si="29"/>
        <v>0</v>
      </c>
    </row>
    <row r="40" spans="1:43">
      <c r="A40" s="817"/>
      <c r="B40" s="865" t="s">
        <v>1620</v>
      </c>
      <c r="C40" s="883"/>
      <c r="D40" s="883"/>
      <c r="E40" s="883">
        <f>HLOOKUP($B$2,'Consumption Input'!$E$5:$AQ$82,'Consumption Input'!$B45)</f>
        <v>0</v>
      </c>
      <c r="F40" s="883"/>
      <c r="G40" s="883"/>
      <c r="H40" s="883"/>
      <c r="I40" s="883">
        <f t="shared" si="50"/>
        <v>0</v>
      </c>
      <c r="J40" s="884"/>
      <c r="K40" s="883"/>
      <c r="L40" s="883"/>
      <c r="M40" s="883"/>
      <c r="N40" s="885">
        <f t="shared" si="34"/>
        <v>0</v>
      </c>
      <c r="O40" s="883">
        <f t="shared" si="34"/>
        <v>0</v>
      </c>
      <c r="P40" s="883">
        <f t="shared" si="35"/>
        <v>0</v>
      </c>
      <c r="Q40" s="883">
        <f t="shared" si="36"/>
        <v>0</v>
      </c>
      <c r="R40" s="883">
        <f t="shared" si="37"/>
        <v>0</v>
      </c>
      <c r="S40" s="886">
        <f t="shared" si="38"/>
        <v>0</v>
      </c>
      <c r="T40" s="883">
        <f t="shared" si="4"/>
        <v>0</v>
      </c>
      <c r="U40" s="887">
        <f>HLOOKUP($B$2,Factors!$J$12:$BE$25,Factors!$H24,FALSE)</f>
        <v>20.305515594827586</v>
      </c>
      <c r="V40" s="885">
        <f t="shared" si="39"/>
        <v>0</v>
      </c>
      <c r="W40" s="883">
        <f t="shared" si="40"/>
        <v>0</v>
      </c>
      <c r="X40" s="883">
        <f t="shared" si="41"/>
        <v>0</v>
      </c>
      <c r="Y40" s="883">
        <f t="shared" si="42"/>
        <v>0</v>
      </c>
      <c r="Z40" s="883">
        <f t="shared" si="43"/>
        <v>0</v>
      </c>
      <c r="AA40" s="883">
        <f t="shared" si="44"/>
        <v>0</v>
      </c>
      <c r="AB40" s="883">
        <f t="shared" si="28"/>
        <v>0</v>
      </c>
      <c r="AC40" s="888">
        <f>Factors!E53</f>
        <v>1</v>
      </c>
      <c r="AD40" s="885">
        <f t="shared" si="51"/>
        <v>0</v>
      </c>
      <c r="AE40" s="883">
        <f t="shared" si="51"/>
        <v>0</v>
      </c>
      <c r="AF40" s="883">
        <f t="shared" si="51"/>
        <v>0</v>
      </c>
      <c r="AG40" s="883">
        <f t="shared" si="51"/>
        <v>0</v>
      </c>
      <c r="AH40" s="883">
        <f t="shared" si="51"/>
        <v>0</v>
      </c>
      <c r="AI40" s="883">
        <f t="shared" si="51"/>
        <v>0</v>
      </c>
      <c r="AJ40" s="889">
        <f t="shared" si="8"/>
        <v>0</v>
      </c>
      <c r="AK40" s="885">
        <f t="shared" si="26"/>
        <v>0</v>
      </c>
      <c r="AL40" s="883">
        <f t="shared" si="21"/>
        <v>0</v>
      </c>
      <c r="AM40" s="883">
        <f t="shared" si="22"/>
        <v>0</v>
      </c>
      <c r="AN40" s="883">
        <f t="shared" si="23"/>
        <v>0</v>
      </c>
      <c r="AO40" s="883">
        <f t="shared" si="24"/>
        <v>0</v>
      </c>
      <c r="AP40" s="883">
        <f t="shared" si="25"/>
        <v>0</v>
      </c>
      <c r="AQ40" s="890">
        <f t="shared" si="29"/>
        <v>0</v>
      </c>
    </row>
    <row r="41" spans="1:43">
      <c r="A41" s="817"/>
      <c r="B41" s="865" t="s">
        <v>1621</v>
      </c>
      <c r="C41" s="883"/>
      <c r="D41" s="883"/>
      <c r="E41" s="883">
        <f>HLOOKUP($B$2,'Consumption Input'!$E$5:$AQ$82,'Consumption Input'!$B46)</f>
        <v>10.161640824999997</v>
      </c>
      <c r="F41" s="883"/>
      <c r="G41" s="883"/>
      <c r="H41" s="883"/>
      <c r="I41" s="883">
        <f t="shared" si="50"/>
        <v>10.161640824999997</v>
      </c>
      <c r="J41" s="884"/>
      <c r="K41" s="883">
        <f>HLOOKUP($B$2,NEUConsumption,'Non-Energy Use'!$C$21)</f>
        <v>10.161640824999997</v>
      </c>
      <c r="L41" s="883"/>
      <c r="M41" s="883"/>
      <c r="N41" s="885">
        <f t="shared" si="34"/>
        <v>0</v>
      </c>
      <c r="O41" s="883">
        <f t="shared" si="34"/>
        <v>0</v>
      </c>
      <c r="P41" s="883">
        <f t="shared" si="35"/>
        <v>0</v>
      </c>
      <c r="Q41" s="883">
        <f t="shared" si="36"/>
        <v>0</v>
      </c>
      <c r="R41" s="883">
        <f t="shared" si="37"/>
        <v>0</v>
      </c>
      <c r="S41" s="886">
        <f t="shared" si="38"/>
        <v>0</v>
      </c>
      <c r="T41" s="883">
        <f t="shared" si="4"/>
        <v>0</v>
      </c>
      <c r="U41" s="887">
        <f>Factors!D55</f>
        <v>19.795754182606267</v>
      </c>
      <c r="V41" s="899">
        <f t="shared" si="39"/>
        <v>0</v>
      </c>
      <c r="W41" s="900">
        <f t="shared" si="40"/>
        <v>0</v>
      </c>
      <c r="X41" s="900">
        <f t="shared" si="41"/>
        <v>0</v>
      </c>
      <c r="Y41" s="900">
        <f t="shared" si="42"/>
        <v>0</v>
      </c>
      <c r="Z41" s="900">
        <f t="shared" si="43"/>
        <v>0</v>
      </c>
      <c r="AA41" s="900">
        <f t="shared" si="44"/>
        <v>0</v>
      </c>
      <c r="AB41" s="883">
        <f t="shared" si="28"/>
        <v>0</v>
      </c>
      <c r="AC41" s="888">
        <f>Factors!E55</f>
        <v>1</v>
      </c>
      <c r="AD41" s="885">
        <f t="shared" si="51"/>
        <v>0</v>
      </c>
      <c r="AE41" s="883">
        <f t="shared" si="51"/>
        <v>0</v>
      </c>
      <c r="AF41" s="883">
        <f t="shared" si="51"/>
        <v>0</v>
      </c>
      <c r="AG41" s="883">
        <f t="shared" si="51"/>
        <v>0</v>
      </c>
      <c r="AH41" s="883">
        <f t="shared" si="51"/>
        <v>0</v>
      </c>
      <c r="AI41" s="883">
        <f t="shared" si="51"/>
        <v>0</v>
      </c>
      <c r="AJ41" s="889">
        <f t="shared" si="8"/>
        <v>0</v>
      </c>
      <c r="AK41" s="885">
        <f t="shared" si="26"/>
        <v>0</v>
      </c>
      <c r="AL41" s="883">
        <f t="shared" si="21"/>
        <v>0</v>
      </c>
      <c r="AM41" s="883">
        <f t="shared" si="22"/>
        <v>0</v>
      </c>
      <c r="AN41" s="883">
        <f t="shared" si="23"/>
        <v>0</v>
      </c>
      <c r="AO41" s="883">
        <f t="shared" si="24"/>
        <v>0</v>
      </c>
      <c r="AP41" s="883">
        <f t="shared" si="25"/>
        <v>0</v>
      </c>
      <c r="AQ41" s="890">
        <f t="shared" si="29"/>
        <v>0</v>
      </c>
    </row>
    <row r="42" spans="1:43" ht="11.1" thickBot="1">
      <c r="A42" s="817"/>
      <c r="B42" s="866" t="s">
        <v>82</v>
      </c>
      <c r="C42" s="917"/>
      <c r="D42" s="917"/>
      <c r="E42" s="917"/>
      <c r="F42" s="917"/>
      <c r="G42" s="917">
        <f>INDEX(Geothermal!$C$6:$AE$10,MATCH("Total",Geothermal!$C$6:$C$10,0),MATCH($B$2,Geothermal!$C$6:$AE$6,0))/Factors!$J$61*Factors!$J$55/BBtuToBtu*BBtuToTBtu</f>
        <v>54.342153655700002</v>
      </c>
      <c r="H42" s="917"/>
      <c r="I42" s="917">
        <f>G42</f>
        <v>54.342153655700002</v>
      </c>
      <c r="J42" s="918"/>
      <c r="K42" s="919"/>
      <c r="L42" s="917"/>
      <c r="M42" s="920"/>
      <c r="N42" s="917">
        <f t="shared" si="34"/>
        <v>0</v>
      </c>
      <c r="O42" s="917">
        <f t="shared" si="34"/>
        <v>0</v>
      </c>
      <c r="P42" s="917">
        <f>E42</f>
        <v>0</v>
      </c>
      <c r="Q42" s="917">
        <f>F42</f>
        <v>0</v>
      </c>
      <c r="R42" s="917">
        <f t="shared" si="37"/>
        <v>54.342153655700002</v>
      </c>
      <c r="S42" s="917">
        <f>H42</f>
        <v>0</v>
      </c>
      <c r="T42" s="917">
        <f t="shared" si="4"/>
        <v>54.342153655700002</v>
      </c>
      <c r="U42" s="921">
        <f>Factors!D56</f>
        <v>2.6974658424810825</v>
      </c>
      <c r="V42" s="917"/>
      <c r="W42" s="917"/>
      <c r="X42" s="917"/>
      <c r="Y42" s="917"/>
      <c r="Z42" s="917">
        <f>INDEX(Geothermal!$C$14:$AE$18,MATCH("Total",Geothermal!$C$14:$C$18,0),MATCH($B$2,Geothermal!$C$14:$AE$14,0))/CtoCO2</f>
        <v>0.11200336892146064</v>
      </c>
      <c r="AA42" s="917"/>
      <c r="AB42" s="917">
        <f t="shared" si="28"/>
        <v>0.11200336892146064</v>
      </c>
      <c r="AC42" s="921">
        <f>Factors!$E$56</f>
        <v>1</v>
      </c>
      <c r="AD42" s="917">
        <f t="shared" si="51"/>
        <v>0</v>
      </c>
      <c r="AE42" s="917">
        <f t="shared" si="51"/>
        <v>0</v>
      </c>
      <c r="AF42" s="917">
        <f t="shared" si="51"/>
        <v>0</v>
      </c>
      <c r="AG42" s="917">
        <f t="shared" si="51"/>
        <v>0</v>
      </c>
      <c r="AH42" s="917">
        <f>Z42*$AC42</f>
        <v>0.11200336892146064</v>
      </c>
      <c r="AI42" s="917">
        <f t="shared" si="51"/>
        <v>0</v>
      </c>
      <c r="AJ42" s="920">
        <f t="shared" si="8"/>
        <v>0.11200336892146064</v>
      </c>
      <c r="AK42" s="919">
        <f t="shared" si="26"/>
        <v>0</v>
      </c>
      <c r="AL42" s="917">
        <f t="shared" si="21"/>
        <v>0</v>
      </c>
      <c r="AM42" s="917">
        <f t="shared" si="22"/>
        <v>0</v>
      </c>
      <c r="AN42" s="917">
        <f t="shared" si="23"/>
        <v>0</v>
      </c>
      <c r="AO42" s="917">
        <f t="shared" si="24"/>
        <v>0.410679019378689</v>
      </c>
      <c r="AP42" s="917">
        <f t="shared" si="25"/>
        <v>0</v>
      </c>
      <c r="AQ42" s="920">
        <f t="shared" si="29"/>
        <v>0.410679019378689</v>
      </c>
    </row>
    <row r="43" spans="1:43" ht="11.1" thickBot="1">
      <c r="A43" s="817"/>
      <c r="B43" s="867" t="s">
        <v>1740</v>
      </c>
      <c r="C43" s="922">
        <f>C8+C17+C18+C42</f>
        <v>5337.1170504766333</v>
      </c>
      <c r="D43" s="922">
        <f>D8+D17+D18+D42</f>
        <v>4108.0357873369694</v>
      </c>
      <c r="E43" s="922">
        <f>E8+E17+E18+E42</f>
        <v>18120.981657853092</v>
      </c>
      <c r="F43" s="922">
        <f>F8+F17+F18+F42</f>
        <v>26831.809748585176</v>
      </c>
      <c r="G43" s="922">
        <f>G8+G17+G18+G42</f>
        <v>22449.504153655704</v>
      </c>
      <c r="H43" s="922">
        <f>H16+H17+H18+H42</f>
        <v>368.88271287039959</v>
      </c>
      <c r="I43" s="922">
        <f>SUM(C43:H43)</f>
        <v>77216.331110777974</v>
      </c>
      <c r="J43" s="923">
        <f t="shared" ref="J43:S43" si="52">J8+J17+J18+J42</f>
        <v>1670.8129931059927</v>
      </c>
      <c r="K43" s="924">
        <f t="shared" si="52"/>
        <v>5292.5038326192926</v>
      </c>
      <c r="L43" s="922">
        <f t="shared" si="52"/>
        <v>141.983</v>
      </c>
      <c r="M43" s="925">
        <f t="shared" si="52"/>
        <v>3.4910608509255567</v>
      </c>
      <c r="N43" s="922">
        <f t="shared" si="52"/>
        <v>5337.1170504766333</v>
      </c>
      <c r="O43" s="922">
        <f t="shared" si="52"/>
        <v>4108.0357873369694</v>
      </c>
      <c r="P43" s="922">
        <f t="shared" si="52"/>
        <v>12828.4778252338</v>
      </c>
      <c r="Q43" s="922">
        <f t="shared" si="52"/>
        <v>25019.013755479184</v>
      </c>
      <c r="R43" s="922">
        <f t="shared" si="52"/>
        <v>22449.504153655704</v>
      </c>
      <c r="S43" s="922">
        <f t="shared" si="52"/>
        <v>365.39165201947407</v>
      </c>
      <c r="T43" s="922">
        <f t="shared" si="4"/>
        <v>70107.540224201759</v>
      </c>
      <c r="U43" s="926" t="s">
        <v>1731</v>
      </c>
      <c r="V43" s="922">
        <f t="shared" ref="V43:AA43" si="53">V8+V17+V18+V42</f>
        <v>80.1724353409233</v>
      </c>
      <c r="W43" s="922">
        <f t="shared" si="53"/>
        <v>63.385426337116066</v>
      </c>
      <c r="X43" s="922">
        <f t="shared" si="53"/>
        <v>212.40682082404373</v>
      </c>
      <c r="Y43" s="922">
        <f t="shared" si="53"/>
        <v>485.53849750261355</v>
      </c>
      <c r="Z43" s="922">
        <f t="shared" si="53"/>
        <v>472.37255957601559</v>
      </c>
      <c r="AA43" s="922">
        <f t="shared" si="53"/>
        <v>7.076095811086514</v>
      </c>
      <c r="AB43" s="922">
        <f t="shared" si="28"/>
        <v>1320.9518353917988</v>
      </c>
      <c r="AC43" s="926" t="s">
        <v>1731</v>
      </c>
      <c r="AD43" s="922">
        <f t="shared" ref="AD43:AQ43" si="54">AD8+AD17+AD18+AD42</f>
        <v>80.1724353409233</v>
      </c>
      <c r="AE43" s="922">
        <f t="shared" si="54"/>
        <v>63.385426337116066</v>
      </c>
      <c r="AF43" s="922">
        <f t="shared" si="54"/>
        <v>212.40682082404373</v>
      </c>
      <c r="AG43" s="922">
        <f t="shared" si="54"/>
        <v>485.53849750261355</v>
      </c>
      <c r="AH43" s="922">
        <f t="shared" si="54"/>
        <v>472.37255957601559</v>
      </c>
      <c r="AI43" s="922">
        <f t="shared" si="54"/>
        <v>7.076095811086514</v>
      </c>
      <c r="AJ43" s="925">
        <f t="shared" si="54"/>
        <v>1320.9518353917988</v>
      </c>
      <c r="AK43" s="922">
        <f t="shared" si="54"/>
        <v>293.9655962500521</v>
      </c>
      <c r="AL43" s="922">
        <f t="shared" si="54"/>
        <v>232.4132299027589</v>
      </c>
      <c r="AM43" s="922">
        <f t="shared" si="54"/>
        <v>778.82500968816032</v>
      </c>
      <c r="AN43" s="922">
        <f t="shared" si="54"/>
        <v>1780.3078241762498</v>
      </c>
      <c r="AO43" s="922">
        <f t="shared" si="54"/>
        <v>1732.0327184453904</v>
      </c>
      <c r="AP43" s="922">
        <f t="shared" si="54"/>
        <v>25.945684640650551</v>
      </c>
      <c r="AQ43" s="925">
        <f t="shared" si="54"/>
        <v>4843.4900631032624</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8"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ransitionEvaluation="1" transitionEntry="1" codeName="Sheet51">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10"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39" width="9.6640625" customWidth="1"/>
    <col min="40" max="40" width="10" customWidth="1"/>
    <col min="41" max="41" width="9.6640625" customWidth="1"/>
    <col min="42" max="42" width="9" bestFit="1" customWidth="1"/>
    <col min="43" max="43" width="10"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2018</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827" t="s">
        <v>1771</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S4+1</f>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ht="12.6">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1767</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65.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18.721</v>
      </c>
      <c r="E8" s="876">
        <f t="shared" si="1"/>
        <v>703.19057868248103</v>
      </c>
      <c r="F8" s="876">
        <f t="shared" si="1"/>
        <v>0</v>
      </c>
      <c r="G8" s="876">
        <f t="shared" si="1"/>
        <v>12052.957</v>
      </c>
      <c r="H8" s="876">
        <f t="shared" si="1"/>
        <v>27.736806900000005</v>
      </c>
      <c r="I8" s="876">
        <f t="shared" ref="I8:I28" si="2">SUM(C8:H8)</f>
        <v>12802.605385582481</v>
      </c>
      <c r="J8" s="877"/>
      <c r="K8" s="876">
        <f>SUM(K9:K16)</f>
        <v>134.15039902962906</v>
      </c>
      <c r="L8" s="876">
        <f>SUM(L9:L16)</f>
        <v>0</v>
      </c>
      <c r="M8" s="876"/>
      <c r="N8" s="878">
        <f t="shared" ref="N8:S8" si="3">SUM(N9:N16)</f>
        <v>0</v>
      </c>
      <c r="O8" s="876">
        <f t="shared" si="3"/>
        <v>18.721</v>
      </c>
      <c r="P8" s="876">
        <f t="shared" si="3"/>
        <v>569.04017965285198</v>
      </c>
      <c r="Q8" s="876">
        <f t="shared" si="3"/>
        <v>0</v>
      </c>
      <c r="R8" s="876">
        <f t="shared" si="3"/>
        <v>12052.957</v>
      </c>
      <c r="S8" s="879">
        <f t="shared" si="3"/>
        <v>27.736806900000005</v>
      </c>
      <c r="T8" s="876">
        <f t="shared" ref="T8:T43" si="4">SUM(N8:S8)</f>
        <v>12668.454986552853</v>
      </c>
      <c r="U8" s="880" t="s">
        <v>1731</v>
      </c>
      <c r="V8" s="876">
        <f t="shared" ref="V8:AA8" si="5">SUM(V9:V16)</f>
        <v>0</v>
      </c>
      <c r="W8" s="876">
        <f t="shared" si="5"/>
        <v>0.48850748125445337</v>
      </c>
      <c r="X8" s="876">
        <f t="shared" si="5"/>
        <v>14.840933223447241</v>
      </c>
      <c r="Y8" s="876">
        <f t="shared" si="5"/>
        <v>0</v>
      </c>
      <c r="Z8" s="876">
        <f t="shared" si="5"/>
        <v>314.42084264902229</v>
      </c>
      <c r="AA8" s="876">
        <f t="shared" si="5"/>
        <v>0.69730332546600016</v>
      </c>
      <c r="AB8" s="876">
        <f t="shared" ref="AB8:AB43" si="6">SUM(V8:AA8)</f>
        <v>330.44758667919001</v>
      </c>
      <c r="AC8" s="881" t="s">
        <v>1731</v>
      </c>
      <c r="AD8" s="878">
        <f t="shared" ref="AD8:AI8" si="7">SUM(AD9:AD16)</f>
        <v>0</v>
      </c>
      <c r="AE8" s="876">
        <f t="shared" si="7"/>
        <v>0.48850748125445337</v>
      </c>
      <c r="AF8" s="876">
        <f t="shared" si="7"/>
        <v>14.840933223447241</v>
      </c>
      <c r="AG8" s="876" t="s">
        <v>108</v>
      </c>
      <c r="AH8" s="876">
        <f t="shared" si="7"/>
        <v>314.42084264902229</v>
      </c>
      <c r="AI8" s="876">
        <f t="shared" si="7"/>
        <v>0.69730332546600016</v>
      </c>
      <c r="AJ8" s="876">
        <f t="shared" ref="AJ8:AJ42" si="8">SUM(AD8:AI8)</f>
        <v>330.44758667919001</v>
      </c>
      <c r="AK8" s="878">
        <f t="shared" ref="AK8:AP8" si="9">SUM(AK9:AK16)</f>
        <v>0</v>
      </c>
      <c r="AL8" s="876">
        <f t="shared" si="9"/>
        <v>1.7911940979329957</v>
      </c>
      <c r="AM8" s="876">
        <f t="shared" si="9"/>
        <v>54.41675515263988</v>
      </c>
      <c r="AN8" s="876">
        <f t="shared" si="9"/>
        <v>0</v>
      </c>
      <c r="AO8" s="876">
        <f t="shared" si="9"/>
        <v>1152.8764230464151</v>
      </c>
      <c r="AP8" s="876">
        <f t="shared" si="9"/>
        <v>2.5567788600420003</v>
      </c>
      <c r="AQ8" s="882">
        <f t="shared" ref="AQ8:AQ42" si="10">SUM(AK8:AP8)</f>
        <v>1211.64115115703</v>
      </c>
    </row>
    <row r="9" spans="1:43">
      <c r="A9" s="817"/>
      <c r="B9" s="860" t="s">
        <v>1732</v>
      </c>
      <c r="C9" s="883">
        <f>HLOOKUP($B$2,'Consumption Input'!$E$5:$AQ$82,'Consumption Input'!$B7)</f>
        <v>0</v>
      </c>
      <c r="D9" s="883"/>
      <c r="E9" s="883"/>
      <c r="F9" s="883"/>
      <c r="G9" s="883"/>
      <c r="H9" s="883"/>
      <c r="I9" s="883">
        <f t="shared" si="2"/>
        <v>0</v>
      </c>
      <c r="J9" s="884"/>
      <c r="K9" s="883"/>
      <c r="L9" s="883"/>
      <c r="M9" s="883"/>
      <c r="N9" s="885">
        <f t="shared" ref="N9:O17" si="11">C9</f>
        <v>0</v>
      </c>
      <c r="O9" s="883">
        <f t="shared" si="11"/>
        <v>0</v>
      </c>
      <c r="P9" s="883">
        <f t="shared" ref="P9:P17" si="12">E9-K9</f>
        <v>0</v>
      </c>
      <c r="Q9" s="883">
        <f t="shared" ref="Q9:S17" si="13">F9</f>
        <v>0</v>
      </c>
      <c r="R9" s="883">
        <f t="shared" si="13"/>
        <v>0</v>
      </c>
      <c r="S9" s="886">
        <f t="shared" si="13"/>
        <v>0</v>
      </c>
      <c r="T9" s="883">
        <f>SUM(N9:S9)</f>
        <v>0</v>
      </c>
      <c r="U9" s="887">
        <f>HLOOKUP($B$2,Factors!$J$12:$BE$25,Factors!$H13,FALSE)</f>
        <v>26.094091194618521</v>
      </c>
      <c r="V9" s="885">
        <f t="shared" ref="V9:V17" si="14">N9*$U9*TbtuToQBtu</f>
        <v>0</v>
      </c>
      <c r="W9" s="883">
        <f t="shared" ref="W9:W17" si="15">O9*$U9*TbtuToQBtu</f>
        <v>0</v>
      </c>
      <c r="X9" s="883">
        <f t="shared" ref="X9:X17" si="16">P9*$U9*TbtuToQBtu</f>
        <v>0</v>
      </c>
      <c r="Y9" s="883">
        <f t="shared" ref="Y9:Y17" si="17">Q9*$U9*TbtuToQBtu</f>
        <v>0</v>
      </c>
      <c r="Z9" s="883">
        <f t="shared" ref="Z9:Z17" si="18">R9*$U9*TbtuToQBtu</f>
        <v>0</v>
      </c>
      <c r="AA9" s="883">
        <f t="shared" ref="AA9:AA17" si="19">S9*$U9*TbtuToQBtu</f>
        <v>0</v>
      </c>
      <c r="AB9" s="883">
        <f t="shared" si="6"/>
        <v>0</v>
      </c>
      <c r="AC9" s="888">
        <f>Factors!E10</f>
        <v>1</v>
      </c>
      <c r="AD9" s="885">
        <f t="shared" ref="AD9:AI17" si="20">V9*$AC9</f>
        <v>0</v>
      </c>
      <c r="AE9" s="883">
        <f t="shared" si="20"/>
        <v>0</v>
      </c>
      <c r="AF9" s="883">
        <f t="shared" si="20"/>
        <v>0</v>
      </c>
      <c r="AG9" s="883">
        <f t="shared" si="20"/>
        <v>0</v>
      </c>
      <c r="AH9" s="883">
        <f t="shared" si="20"/>
        <v>0</v>
      </c>
      <c r="AI9" s="883">
        <f t="shared" si="20"/>
        <v>0</v>
      </c>
      <c r="AJ9" s="889">
        <f t="shared" si="8"/>
        <v>0</v>
      </c>
      <c r="AK9" s="885">
        <f>AD9*CtoCO2</f>
        <v>0</v>
      </c>
      <c r="AL9" s="883">
        <f t="shared" ref="AL9:AL42" si="21">AE9*CtoCO2</f>
        <v>0</v>
      </c>
      <c r="AM9" s="883">
        <f t="shared" ref="AM9:AM42" si="22">AF9*CtoCO2</f>
        <v>0</v>
      </c>
      <c r="AN9" s="883">
        <f t="shared" ref="AN9:AN42" si="23">AG9*CtoCO2</f>
        <v>0</v>
      </c>
      <c r="AO9" s="883">
        <f t="shared" ref="AO9:AO42" si="24">AH9*CtoCO2</f>
        <v>0</v>
      </c>
      <c r="AP9" s="883">
        <f t="shared" ref="AP9:AP42" si="25">AI9*CtoCO2</f>
        <v>0</v>
      </c>
      <c r="AQ9" s="890">
        <f t="shared" si="10"/>
        <v>0</v>
      </c>
    </row>
    <row r="10" spans="1:43">
      <c r="A10" s="817"/>
      <c r="B10" s="860" t="s">
        <v>1733</v>
      </c>
      <c r="C10" s="883"/>
      <c r="D10" s="883">
        <f>HLOOKUP($B$2,'Consumption Input'!$E$5:$AQ$82,'Consumption Input'!$B13)</f>
        <v>18.721</v>
      </c>
      <c r="E10" s="883"/>
      <c r="F10" s="883"/>
      <c r="G10" s="883"/>
      <c r="H10" s="883"/>
      <c r="I10" s="883">
        <f t="shared" si="2"/>
        <v>18.721</v>
      </c>
      <c r="J10" s="884"/>
      <c r="K10" s="883"/>
      <c r="L10" s="883"/>
      <c r="M10" s="883"/>
      <c r="N10" s="885">
        <f t="shared" si="11"/>
        <v>0</v>
      </c>
      <c r="O10" s="883">
        <f t="shared" si="11"/>
        <v>18.721</v>
      </c>
      <c r="P10" s="883">
        <f t="shared" si="12"/>
        <v>0</v>
      </c>
      <c r="Q10" s="883">
        <f t="shared" si="13"/>
        <v>0</v>
      </c>
      <c r="R10" s="883">
        <f t="shared" si="13"/>
        <v>0</v>
      </c>
      <c r="S10" s="886">
        <f t="shared" si="13"/>
        <v>0</v>
      </c>
      <c r="T10" s="883">
        <f t="shared" si="4"/>
        <v>18.721</v>
      </c>
      <c r="U10" s="887">
        <f>HLOOKUP($B$2,Factors!$J$12:$BE$25,Factors!$H14,FALSE)</f>
        <v>26.094091194618521</v>
      </c>
      <c r="V10" s="885">
        <f t="shared" si="14"/>
        <v>0</v>
      </c>
      <c r="W10" s="883">
        <f t="shared" si="15"/>
        <v>0.48850748125445337</v>
      </c>
      <c r="X10" s="883">
        <f t="shared" si="16"/>
        <v>0</v>
      </c>
      <c r="Y10" s="883">
        <f t="shared" si="17"/>
        <v>0</v>
      </c>
      <c r="Z10" s="883">
        <f t="shared" si="18"/>
        <v>0</v>
      </c>
      <c r="AA10" s="883">
        <f t="shared" si="19"/>
        <v>0</v>
      </c>
      <c r="AB10" s="883">
        <f t="shared" si="6"/>
        <v>0.48850748125445337</v>
      </c>
      <c r="AC10" s="888">
        <f>Factors!E11</f>
        <v>1</v>
      </c>
      <c r="AD10" s="885">
        <f t="shared" si="20"/>
        <v>0</v>
      </c>
      <c r="AE10" s="883">
        <f t="shared" si="20"/>
        <v>0.48850748125445337</v>
      </c>
      <c r="AF10" s="883">
        <f t="shared" si="20"/>
        <v>0</v>
      </c>
      <c r="AG10" s="883">
        <f t="shared" si="20"/>
        <v>0</v>
      </c>
      <c r="AH10" s="883">
        <f t="shared" si="20"/>
        <v>0</v>
      </c>
      <c r="AI10" s="883">
        <f t="shared" si="20"/>
        <v>0</v>
      </c>
      <c r="AJ10" s="889">
        <f t="shared" si="8"/>
        <v>0.48850748125445337</v>
      </c>
      <c r="AK10" s="885">
        <f t="shared" ref="AK10:AK42" si="26">AD10*CtoCO2</f>
        <v>0</v>
      </c>
      <c r="AL10" s="883">
        <f t="shared" si="21"/>
        <v>1.7911940979329957</v>
      </c>
      <c r="AM10" s="883">
        <f t="shared" si="22"/>
        <v>0</v>
      </c>
      <c r="AN10" s="883">
        <f t="shared" si="23"/>
        <v>0</v>
      </c>
      <c r="AO10" s="883">
        <f t="shared" si="24"/>
        <v>0</v>
      </c>
      <c r="AP10" s="883">
        <f t="shared" si="25"/>
        <v>0</v>
      </c>
      <c r="AQ10" s="890">
        <f t="shared" si="10"/>
        <v>1.7911940979329957</v>
      </c>
    </row>
    <row r="11" spans="1:43" s="244" customFormat="1" hidden="1">
      <c r="A11" s="861"/>
      <c r="B11" s="862" t="s">
        <v>1734</v>
      </c>
      <c r="C11" s="891"/>
      <c r="D11" s="891"/>
      <c r="E11" s="891">
        <f>HLOOKUP($B$2,'Consumption Input'!$E$5:$AQ$82,'Consumption Input'!$B23)</f>
        <v>124.67753407088412</v>
      </c>
      <c r="F11" s="891"/>
      <c r="G11" s="891"/>
      <c r="H11" s="891"/>
      <c r="I11" s="891">
        <f t="shared" si="2"/>
        <v>124.67753407088412</v>
      </c>
      <c r="J11" s="892"/>
      <c r="K11" s="891">
        <f>HLOOKUP($B$2,NEUConsumption,'Non-Energy Use'!$C$7)</f>
        <v>124.67753407088412</v>
      </c>
      <c r="L11" s="891"/>
      <c r="M11" s="891"/>
      <c r="N11" s="893">
        <f t="shared" si="11"/>
        <v>0</v>
      </c>
      <c r="O11" s="891">
        <f t="shared" si="11"/>
        <v>0</v>
      </c>
      <c r="P11" s="891">
        <f t="shared" si="12"/>
        <v>0</v>
      </c>
      <c r="Q11" s="891">
        <f t="shared" si="13"/>
        <v>0</v>
      </c>
      <c r="R11" s="891">
        <f t="shared" si="13"/>
        <v>0</v>
      </c>
      <c r="S11" s="894">
        <f t="shared" si="13"/>
        <v>0</v>
      </c>
      <c r="T11" s="891">
        <f t="shared" si="4"/>
        <v>0</v>
      </c>
      <c r="U11" s="1013">
        <f>HLOOKUP($B$2,Factors!$J$12:$BE$28,Factors!$H28,FALSE)</f>
        <v>25.594522090325675</v>
      </c>
      <c r="V11" s="893">
        <f t="shared" si="14"/>
        <v>0</v>
      </c>
      <c r="W11" s="891">
        <f t="shared" si="15"/>
        <v>0</v>
      </c>
      <c r="X11" s="891">
        <f t="shared" si="16"/>
        <v>0</v>
      </c>
      <c r="Y11" s="891">
        <f t="shared" si="17"/>
        <v>0</v>
      </c>
      <c r="Z11" s="891">
        <f t="shared" si="18"/>
        <v>0</v>
      </c>
      <c r="AA11" s="891">
        <f t="shared" si="19"/>
        <v>0</v>
      </c>
      <c r="AB11" s="891">
        <f t="shared" si="6"/>
        <v>0</v>
      </c>
      <c r="AC11" s="896">
        <f>Factors!E12</f>
        <v>1</v>
      </c>
      <c r="AD11" s="893">
        <f t="shared" si="20"/>
        <v>0</v>
      </c>
      <c r="AE11" s="891">
        <f t="shared" si="20"/>
        <v>0</v>
      </c>
      <c r="AF11" s="891">
        <f t="shared" si="20"/>
        <v>0</v>
      </c>
      <c r="AG11" s="891">
        <f t="shared" si="20"/>
        <v>0</v>
      </c>
      <c r="AH11" s="891">
        <f t="shared" si="20"/>
        <v>0</v>
      </c>
      <c r="AI11" s="891">
        <f t="shared" si="20"/>
        <v>0</v>
      </c>
      <c r="AJ11" s="897">
        <f t="shared" si="8"/>
        <v>0</v>
      </c>
      <c r="AK11" s="893">
        <f t="shared" si="26"/>
        <v>0</v>
      </c>
      <c r="AL11" s="891">
        <f t="shared" si="21"/>
        <v>0</v>
      </c>
      <c r="AM11" s="891">
        <f t="shared" si="22"/>
        <v>0</v>
      </c>
      <c r="AN11" s="891">
        <f t="shared" si="23"/>
        <v>0</v>
      </c>
      <c r="AO11" s="891">
        <f t="shared" si="24"/>
        <v>0</v>
      </c>
      <c r="AP11" s="891">
        <f t="shared" si="25"/>
        <v>0</v>
      </c>
      <c r="AQ11" s="898">
        <f t="shared" si="10"/>
        <v>0</v>
      </c>
    </row>
    <row r="12" spans="1:43">
      <c r="A12" s="817"/>
      <c r="B12" s="860" t="s">
        <v>1701</v>
      </c>
      <c r="C12" s="883"/>
      <c r="D12" s="883"/>
      <c r="E12" s="883">
        <f>HLOOKUP($B$2,'Consumption Input'!$E$5:$AQ$82,'Consumption Input'!$B24)</f>
        <v>578.51304461159691</v>
      </c>
      <c r="F12" s="883"/>
      <c r="G12" s="883"/>
      <c r="H12" s="883"/>
      <c r="I12" s="883">
        <f t="shared" si="2"/>
        <v>578.51304461159691</v>
      </c>
      <c r="J12" s="884"/>
      <c r="K12" s="883">
        <f>HLOOKUP($B$2,NEUConsumption,'Non-Energy Use'!$C$8)</f>
        <v>9.4728649587449354</v>
      </c>
      <c r="L12" s="883"/>
      <c r="M12" s="883"/>
      <c r="N12" s="885">
        <f t="shared" si="11"/>
        <v>0</v>
      </c>
      <c r="O12" s="883">
        <f t="shared" si="11"/>
        <v>0</v>
      </c>
      <c r="P12" s="883">
        <f t="shared" si="12"/>
        <v>569.04017965285198</v>
      </c>
      <c r="Q12" s="883">
        <f t="shared" si="13"/>
        <v>0</v>
      </c>
      <c r="R12" s="883">
        <f t="shared" si="13"/>
        <v>0</v>
      </c>
      <c r="S12" s="886">
        <f t="shared" si="13"/>
        <v>0</v>
      </c>
      <c r="T12" s="883">
        <f t="shared" si="4"/>
        <v>569.04017965285198</v>
      </c>
      <c r="U12" s="887">
        <f>HLOOKUP($B$2,Factors!$J$12:$BE$25,Factors!$H15,FALSE)</f>
        <v>26.080642025139742</v>
      </c>
      <c r="V12" s="885">
        <f t="shared" si="14"/>
        <v>0</v>
      </c>
      <c r="W12" s="883">
        <f t="shared" si="15"/>
        <v>0</v>
      </c>
      <c r="X12" s="883">
        <f t="shared" si="16"/>
        <v>14.840933223447241</v>
      </c>
      <c r="Y12" s="883">
        <f t="shared" si="17"/>
        <v>0</v>
      </c>
      <c r="Z12" s="883">
        <f t="shared" si="18"/>
        <v>0</v>
      </c>
      <c r="AA12" s="883">
        <f t="shared" si="19"/>
        <v>0</v>
      </c>
      <c r="AB12" s="883">
        <f t="shared" si="6"/>
        <v>14.840933223447241</v>
      </c>
      <c r="AC12" s="888">
        <f>Factors!E13</f>
        <v>1</v>
      </c>
      <c r="AD12" s="885">
        <f t="shared" si="20"/>
        <v>0</v>
      </c>
      <c r="AE12" s="883">
        <f t="shared" si="20"/>
        <v>0</v>
      </c>
      <c r="AF12" s="883">
        <f>X12*$AC12</f>
        <v>14.840933223447241</v>
      </c>
      <c r="AG12" s="883">
        <f t="shared" si="20"/>
        <v>0</v>
      </c>
      <c r="AH12" s="883">
        <f t="shared" si="20"/>
        <v>0</v>
      </c>
      <c r="AI12" s="883">
        <f t="shared" si="20"/>
        <v>0</v>
      </c>
      <c r="AJ12" s="889">
        <f t="shared" si="8"/>
        <v>14.840933223447241</v>
      </c>
      <c r="AK12" s="885">
        <f t="shared" si="26"/>
        <v>0</v>
      </c>
      <c r="AL12" s="883">
        <f t="shared" si="21"/>
        <v>0</v>
      </c>
      <c r="AM12" s="883">
        <f>AF12*CtoCO2</f>
        <v>54.41675515263988</v>
      </c>
      <c r="AN12" s="883">
        <f t="shared" si="23"/>
        <v>0</v>
      </c>
      <c r="AO12" s="883">
        <f t="shared" si="24"/>
        <v>0</v>
      </c>
      <c r="AP12" s="883">
        <f t="shared" si="25"/>
        <v>0</v>
      </c>
      <c r="AQ12" s="890">
        <f t="shared" si="10"/>
        <v>54.41675515263988</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11"/>
        <v>0</v>
      </c>
      <c r="O13" s="891">
        <f t="shared" si="11"/>
        <v>0</v>
      </c>
      <c r="P13" s="891">
        <f t="shared" si="12"/>
        <v>0</v>
      </c>
      <c r="Q13" s="891">
        <f t="shared" si="13"/>
        <v>0</v>
      </c>
      <c r="R13" s="891">
        <f t="shared" si="13"/>
        <v>0</v>
      </c>
      <c r="S13" s="894">
        <f t="shared" si="13"/>
        <v>0</v>
      </c>
      <c r="T13" s="891">
        <f t="shared" si="4"/>
        <v>0</v>
      </c>
      <c r="U13" s="895">
        <f>Factors!D14</f>
        <v>27.85</v>
      </c>
      <c r="V13" s="893">
        <f t="shared" si="14"/>
        <v>0</v>
      </c>
      <c r="W13" s="891">
        <f t="shared" si="15"/>
        <v>0</v>
      </c>
      <c r="X13" s="891">
        <f t="shared" si="16"/>
        <v>0</v>
      </c>
      <c r="Y13" s="891">
        <f t="shared" si="17"/>
        <v>0</v>
      </c>
      <c r="Z13" s="891">
        <f t="shared" si="18"/>
        <v>0</v>
      </c>
      <c r="AA13" s="891">
        <f t="shared" si="19"/>
        <v>0</v>
      </c>
      <c r="AB13" s="883">
        <f t="shared" si="6"/>
        <v>0</v>
      </c>
      <c r="AC13" s="896">
        <f>Factors!E14</f>
        <v>1</v>
      </c>
      <c r="AD13" s="893">
        <f t="shared" si="20"/>
        <v>0</v>
      </c>
      <c r="AE13" s="891">
        <f t="shared" si="20"/>
        <v>0</v>
      </c>
      <c r="AF13" s="891">
        <f t="shared" si="20"/>
        <v>0</v>
      </c>
      <c r="AG13" s="891">
        <f t="shared" si="20"/>
        <v>0</v>
      </c>
      <c r="AH13" s="891">
        <f t="shared" si="20"/>
        <v>0</v>
      </c>
      <c r="AI13" s="891">
        <f t="shared" si="20"/>
        <v>0</v>
      </c>
      <c r="AJ13" s="897">
        <f t="shared" si="8"/>
        <v>0</v>
      </c>
      <c r="AK13" s="893">
        <f t="shared" si="26"/>
        <v>0</v>
      </c>
      <c r="AL13" s="891">
        <f t="shared" si="21"/>
        <v>0</v>
      </c>
      <c r="AM13" s="891">
        <f t="shared" si="22"/>
        <v>0</v>
      </c>
      <c r="AN13" s="891">
        <f t="shared" si="23"/>
        <v>0</v>
      </c>
      <c r="AO13" s="891">
        <f t="shared" si="24"/>
        <v>0</v>
      </c>
      <c r="AP13" s="891">
        <f t="shared" si="25"/>
        <v>0</v>
      </c>
      <c r="AQ13" s="890">
        <f t="shared" si="10"/>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11"/>
        <v>0</v>
      </c>
      <c r="O14" s="883">
        <f t="shared" si="11"/>
        <v>0</v>
      </c>
      <c r="P14" s="883">
        <f t="shared" si="12"/>
        <v>0</v>
      </c>
      <c r="Q14" s="883">
        <f t="shared" si="13"/>
        <v>0</v>
      </c>
      <c r="R14" s="883">
        <f t="shared" si="13"/>
        <v>0</v>
      </c>
      <c r="S14" s="886">
        <f t="shared" si="13"/>
        <v>0</v>
      </c>
      <c r="T14" s="883">
        <f t="shared" si="4"/>
        <v>0</v>
      </c>
      <c r="U14" s="887" t="str">
        <f>Factors!D15</f>
        <v>NC</v>
      </c>
      <c r="V14" s="885">
        <f t="shared" si="14"/>
        <v>0</v>
      </c>
      <c r="W14" s="883">
        <f t="shared" si="15"/>
        <v>0</v>
      </c>
      <c r="X14" s="883">
        <f t="shared" si="16"/>
        <v>0</v>
      </c>
      <c r="Y14" s="883">
        <f t="shared" si="17"/>
        <v>0</v>
      </c>
      <c r="Z14" s="883">
        <f t="shared" si="18"/>
        <v>0</v>
      </c>
      <c r="AA14" s="883">
        <f t="shared" si="19"/>
        <v>0</v>
      </c>
      <c r="AB14" s="883">
        <f t="shared" si="6"/>
        <v>0</v>
      </c>
      <c r="AC14" s="888" t="str">
        <f>Factors!E15</f>
        <v>NC</v>
      </c>
      <c r="AD14" s="885">
        <f t="shared" si="20"/>
        <v>0</v>
      </c>
      <c r="AE14" s="883">
        <f t="shared" si="20"/>
        <v>0</v>
      </c>
      <c r="AF14" s="883">
        <f t="shared" si="20"/>
        <v>0</v>
      </c>
      <c r="AG14" s="883">
        <f t="shared" si="20"/>
        <v>0</v>
      </c>
      <c r="AH14" s="883">
        <f t="shared" si="20"/>
        <v>0</v>
      </c>
      <c r="AI14" s="883">
        <f t="shared" si="20"/>
        <v>0</v>
      </c>
      <c r="AJ14" s="889">
        <f t="shared" si="8"/>
        <v>0</v>
      </c>
      <c r="AK14" s="885">
        <f t="shared" si="26"/>
        <v>0</v>
      </c>
      <c r="AL14" s="883">
        <f t="shared" si="21"/>
        <v>0</v>
      </c>
      <c r="AM14" s="883">
        <f t="shared" si="22"/>
        <v>0</v>
      </c>
      <c r="AN14" s="883">
        <f t="shared" si="23"/>
        <v>0</v>
      </c>
      <c r="AO14" s="883">
        <f t="shared" si="24"/>
        <v>0</v>
      </c>
      <c r="AP14" s="883">
        <f t="shared" si="25"/>
        <v>0</v>
      </c>
      <c r="AQ14" s="890">
        <f t="shared" si="10"/>
        <v>0</v>
      </c>
    </row>
    <row r="15" spans="1:43">
      <c r="A15" s="817"/>
      <c r="B15" s="860" t="s">
        <v>1736</v>
      </c>
      <c r="C15" s="883"/>
      <c r="D15" s="883"/>
      <c r="E15" s="883"/>
      <c r="F15" s="883"/>
      <c r="G15" s="883">
        <f>HLOOKUP($B$2,'Consumption Input'!$E$5:$AQ$82,'Consumption Input'!$B58)</f>
        <v>12052.957</v>
      </c>
      <c r="H15" s="883"/>
      <c r="I15" s="883">
        <f t="shared" si="2"/>
        <v>12052.957</v>
      </c>
      <c r="J15" s="884"/>
      <c r="K15" s="883"/>
      <c r="L15" s="883"/>
      <c r="M15" s="883"/>
      <c r="N15" s="885">
        <f t="shared" si="11"/>
        <v>0</v>
      </c>
      <c r="O15" s="883">
        <f t="shared" si="11"/>
        <v>0</v>
      </c>
      <c r="P15" s="883">
        <f t="shared" si="12"/>
        <v>0</v>
      </c>
      <c r="Q15" s="883">
        <f t="shared" si="13"/>
        <v>0</v>
      </c>
      <c r="R15" s="883">
        <f t="shared" si="13"/>
        <v>12052.957</v>
      </c>
      <c r="S15" s="886">
        <f t="shared" si="13"/>
        <v>0</v>
      </c>
      <c r="T15" s="883">
        <f t="shared" si="4"/>
        <v>12052.957</v>
      </c>
      <c r="U15" s="887">
        <f>HLOOKUP($B$2,Factors!$J$12:$BE$25,Factors!$H16,FALSE)</f>
        <v>26.086614483816899</v>
      </c>
      <c r="V15" s="885">
        <f t="shared" si="14"/>
        <v>0</v>
      </c>
      <c r="W15" s="883">
        <f t="shared" si="15"/>
        <v>0</v>
      </c>
      <c r="X15" s="883">
        <f t="shared" si="16"/>
        <v>0</v>
      </c>
      <c r="Y15" s="883">
        <f t="shared" si="17"/>
        <v>0</v>
      </c>
      <c r="Z15" s="883">
        <f t="shared" si="18"/>
        <v>314.42084264902229</v>
      </c>
      <c r="AA15" s="883">
        <f t="shared" si="19"/>
        <v>0</v>
      </c>
      <c r="AB15" s="883">
        <f t="shared" si="6"/>
        <v>314.42084264902229</v>
      </c>
      <c r="AC15" s="888">
        <f>Factors!E16</f>
        <v>1</v>
      </c>
      <c r="AD15" s="885">
        <f t="shared" si="20"/>
        <v>0</v>
      </c>
      <c r="AE15" s="883">
        <f t="shared" si="20"/>
        <v>0</v>
      </c>
      <c r="AF15" s="883">
        <f t="shared" si="20"/>
        <v>0</v>
      </c>
      <c r="AG15" s="883">
        <f t="shared" si="20"/>
        <v>0</v>
      </c>
      <c r="AH15" s="883">
        <f t="shared" si="20"/>
        <v>314.42084264902229</v>
      </c>
      <c r="AI15" s="883">
        <f t="shared" si="20"/>
        <v>0</v>
      </c>
      <c r="AJ15" s="889">
        <f t="shared" si="8"/>
        <v>314.42084264902229</v>
      </c>
      <c r="AK15" s="885">
        <f t="shared" si="26"/>
        <v>0</v>
      </c>
      <c r="AL15" s="883">
        <f t="shared" si="21"/>
        <v>0</v>
      </c>
      <c r="AM15" s="883">
        <f t="shared" si="22"/>
        <v>0</v>
      </c>
      <c r="AN15" s="883">
        <f t="shared" si="23"/>
        <v>0</v>
      </c>
      <c r="AO15" s="883">
        <f t="shared" si="24"/>
        <v>1152.8764230464151</v>
      </c>
      <c r="AP15" s="883">
        <f t="shared" si="25"/>
        <v>0</v>
      </c>
      <c r="AQ15" s="890">
        <f t="shared" si="10"/>
        <v>1152.8764230464151</v>
      </c>
    </row>
    <row r="16" spans="1:43">
      <c r="A16" s="817"/>
      <c r="B16" s="860" t="s">
        <v>1737</v>
      </c>
      <c r="C16" s="883"/>
      <c r="D16" s="883"/>
      <c r="E16" s="883"/>
      <c r="F16" s="883"/>
      <c r="G16" s="883"/>
      <c r="H16" s="883">
        <f>HLOOKUP($B$2,'US Territories'!$D$28:$AO$38,'US Territories'!$B29)</f>
        <v>27.736806900000005</v>
      </c>
      <c r="I16" s="883">
        <f t="shared" si="2"/>
        <v>27.736806900000005</v>
      </c>
      <c r="J16" s="884"/>
      <c r="K16" s="883"/>
      <c r="L16" s="883"/>
      <c r="M16" s="883"/>
      <c r="N16" s="885">
        <f t="shared" si="11"/>
        <v>0</v>
      </c>
      <c r="O16" s="883">
        <f t="shared" si="11"/>
        <v>0</v>
      </c>
      <c r="P16" s="883">
        <f t="shared" si="12"/>
        <v>0</v>
      </c>
      <c r="Q16" s="883">
        <f t="shared" si="13"/>
        <v>0</v>
      </c>
      <c r="R16" s="883">
        <f t="shared" si="13"/>
        <v>0</v>
      </c>
      <c r="S16" s="886">
        <f>H16</f>
        <v>27.736806900000005</v>
      </c>
      <c r="T16" s="883">
        <f t="shared" si="4"/>
        <v>27.736806900000005</v>
      </c>
      <c r="U16" s="887">
        <f>Factors!D17</f>
        <v>25.14</v>
      </c>
      <c r="V16" s="899">
        <f t="shared" si="14"/>
        <v>0</v>
      </c>
      <c r="W16" s="900">
        <f t="shared" si="15"/>
        <v>0</v>
      </c>
      <c r="X16" s="900">
        <f t="shared" si="16"/>
        <v>0</v>
      </c>
      <c r="Y16" s="900">
        <f t="shared" si="17"/>
        <v>0</v>
      </c>
      <c r="Z16" s="900">
        <f t="shared" si="18"/>
        <v>0</v>
      </c>
      <c r="AA16" s="900">
        <f t="shared" si="19"/>
        <v>0.69730332546600016</v>
      </c>
      <c r="AB16" s="883">
        <f t="shared" si="6"/>
        <v>0.69730332546600016</v>
      </c>
      <c r="AC16" s="888">
        <f>Factors!E17</f>
        <v>1</v>
      </c>
      <c r="AD16" s="899">
        <f t="shared" si="20"/>
        <v>0</v>
      </c>
      <c r="AE16" s="900">
        <f t="shared" si="20"/>
        <v>0</v>
      </c>
      <c r="AF16" s="900">
        <f t="shared" si="20"/>
        <v>0</v>
      </c>
      <c r="AG16" s="900">
        <f t="shared" si="20"/>
        <v>0</v>
      </c>
      <c r="AH16" s="900">
        <f t="shared" si="20"/>
        <v>0</v>
      </c>
      <c r="AI16" s="900">
        <f t="shared" si="20"/>
        <v>0.69730332546600016</v>
      </c>
      <c r="AJ16" s="889">
        <f t="shared" si="8"/>
        <v>0.69730332546600016</v>
      </c>
      <c r="AK16" s="885">
        <f t="shared" si="26"/>
        <v>0</v>
      </c>
      <c r="AL16" s="883">
        <f t="shared" si="21"/>
        <v>0</v>
      </c>
      <c r="AM16" s="883">
        <f t="shared" si="22"/>
        <v>0</v>
      </c>
      <c r="AN16" s="883">
        <f t="shared" si="23"/>
        <v>0</v>
      </c>
      <c r="AO16" s="883">
        <f t="shared" si="24"/>
        <v>0</v>
      </c>
      <c r="AP16" s="883">
        <f t="shared" si="25"/>
        <v>2.5567788600420003</v>
      </c>
      <c r="AQ16" s="890">
        <f t="shared" si="10"/>
        <v>2.5567788600420003</v>
      </c>
    </row>
    <row r="17" spans="1:43">
      <c r="A17" s="817"/>
      <c r="B17" s="863" t="s">
        <v>1439</v>
      </c>
      <c r="C17" s="901">
        <f>HLOOKUP($B$2,'Consumption Input'!$E$5:$AQ$82,'Consumption Input'!$B8)</f>
        <v>5174.3940000000002</v>
      </c>
      <c r="D17" s="901">
        <f>HLOOKUP($B$2,'Consumption Input'!$E$5:$AQ$82,'Consumption Input'!$B14)</f>
        <v>3638.2959999999998</v>
      </c>
      <c r="E17" s="901">
        <f>HLOOKUP($B$2,'Consumption Input'!$E$5:$AQ$82,'Consumption Input'!$B26)</f>
        <v>10056.058622156899</v>
      </c>
      <c r="F17" s="901">
        <f>HLOOKUP($B$2,'Consumption Input'!$E$5:$AQ$82,'Consumption Input'!$B49)</f>
        <v>962.17200000000003</v>
      </c>
      <c r="G17" s="901">
        <f>HLOOKUP($B$2,'Consumption Input'!$E$5:$AQ$82,'Consumption Input'!$B59)</f>
        <v>10921.508</v>
      </c>
      <c r="H17" s="902">
        <f>HLOOKUP($B$2,'US Territories'!$D$28:$AO$38,'US Territories'!$B30)</f>
        <v>62.438463332000005</v>
      </c>
      <c r="I17" s="901">
        <f t="shared" si="2"/>
        <v>30814.867085488899</v>
      </c>
      <c r="J17" s="903"/>
      <c r="K17" s="901">
        <f>HLOOKUP($B$2,NEUConsumption,'Non-Energy Use'!$C$9)</f>
        <v>730.75199999999995</v>
      </c>
      <c r="L17" s="901"/>
      <c r="M17" s="901"/>
      <c r="N17" s="904">
        <f t="shared" si="11"/>
        <v>5174.3940000000002</v>
      </c>
      <c r="O17" s="901">
        <f t="shared" si="11"/>
        <v>3638.2959999999998</v>
      </c>
      <c r="P17" s="901">
        <f t="shared" si="12"/>
        <v>9325.3066221568988</v>
      </c>
      <c r="Q17" s="901">
        <f t="shared" si="13"/>
        <v>962.17200000000003</v>
      </c>
      <c r="R17" s="901">
        <f t="shared" si="13"/>
        <v>10921.508</v>
      </c>
      <c r="S17" s="902">
        <f t="shared" si="13"/>
        <v>62.438463332000005</v>
      </c>
      <c r="T17" s="901">
        <f t="shared" si="4"/>
        <v>30084.115085488898</v>
      </c>
      <c r="U17" s="905">
        <f>HLOOKUP($B$2,Factors!$J$12:$BE$26,Factors!$H26,FALSE)</f>
        <v>14.431959663127413</v>
      </c>
      <c r="V17" s="901">
        <f t="shared" si="14"/>
        <v>74.676645489128518</v>
      </c>
      <c r="W17" s="901">
        <f t="shared" si="15"/>
        <v>52.507741114517813</v>
      </c>
      <c r="X17" s="901">
        <f t="shared" si="16"/>
        <v>134.58244901726331</v>
      </c>
      <c r="Y17" s="901">
        <f t="shared" si="17"/>
        <v>13.88602749299063</v>
      </c>
      <c r="Z17" s="901">
        <f t="shared" si="18"/>
        <v>157.61876291652337</v>
      </c>
      <c r="AA17" s="901">
        <f t="shared" si="19"/>
        <v>0.90110938423508413</v>
      </c>
      <c r="AB17" s="901">
        <f t="shared" si="6"/>
        <v>434.1727354146588</v>
      </c>
      <c r="AC17" s="906">
        <f>Factors!E19</f>
        <v>1</v>
      </c>
      <c r="AD17" s="904">
        <f t="shared" si="20"/>
        <v>74.676645489128518</v>
      </c>
      <c r="AE17" s="901">
        <f>W17*$AC17</f>
        <v>52.507741114517813</v>
      </c>
      <c r="AF17" s="901">
        <f t="shared" si="20"/>
        <v>134.58244901726331</v>
      </c>
      <c r="AG17" s="901">
        <f t="shared" si="20"/>
        <v>13.88602749299063</v>
      </c>
      <c r="AH17" s="901">
        <f t="shared" si="20"/>
        <v>157.61876291652337</v>
      </c>
      <c r="AI17" s="901">
        <f t="shared" si="20"/>
        <v>0.90110938423508413</v>
      </c>
      <c r="AJ17" s="901">
        <f t="shared" si="8"/>
        <v>434.1727354146588</v>
      </c>
      <c r="AK17" s="904">
        <f t="shared" si="26"/>
        <v>273.81436679347121</v>
      </c>
      <c r="AL17" s="901">
        <f t="shared" si="21"/>
        <v>192.5283840865653</v>
      </c>
      <c r="AM17" s="901">
        <f t="shared" si="22"/>
        <v>493.46897972996544</v>
      </c>
      <c r="AN17" s="901">
        <f t="shared" si="23"/>
        <v>50.915434140965644</v>
      </c>
      <c r="AO17" s="901">
        <f t="shared" si="24"/>
        <v>577.93546402725235</v>
      </c>
      <c r="AP17" s="901">
        <f t="shared" si="25"/>
        <v>3.3040677421953082</v>
      </c>
      <c r="AQ17" s="907">
        <f t="shared" si="10"/>
        <v>1591.9666965204153</v>
      </c>
    </row>
    <row r="18" spans="1:43">
      <c r="A18" s="817"/>
      <c r="B18" s="864" t="s">
        <v>1440</v>
      </c>
      <c r="C18" s="908">
        <f t="shared" ref="C18:H18" si="27">SUM(C19:C41)</f>
        <v>955.47672473704495</v>
      </c>
      <c r="D18" s="908">
        <f t="shared" si="27"/>
        <v>740.79981189504667</v>
      </c>
      <c r="E18" s="908">
        <f t="shared" si="27"/>
        <v>8237.5432788324688</v>
      </c>
      <c r="F18" s="908">
        <f t="shared" si="27"/>
        <v>26398.607745964062</v>
      </c>
      <c r="G18" s="908">
        <f t="shared" si="27"/>
        <v>260.35000000000002</v>
      </c>
      <c r="H18" s="908">
        <f t="shared" si="27"/>
        <v>281.59557863243447</v>
      </c>
      <c r="I18" s="908">
        <f t="shared" si="2"/>
        <v>36874.373140061056</v>
      </c>
      <c r="J18" s="909">
        <f t="shared" ref="J18:S18" si="28">SUM(J19:J41)</f>
        <v>1699.6777071588529</v>
      </c>
      <c r="K18" s="908">
        <f t="shared" si="28"/>
        <v>4812.3581925571925</v>
      </c>
      <c r="L18" s="908">
        <f t="shared" si="28"/>
        <v>136.98599999999999</v>
      </c>
      <c r="M18" s="908">
        <f t="shared" si="28"/>
        <v>3.5746380564039066</v>
      </c>
      <c r="N18" s="910">
        <f t="shared" si="28"/>
        <v>955.47672473704495</v>
      </c>
      <c r="O18" s="908">
        <f t="shared" si="28"/>
        <v>740.79981189504667</v>
      </c>
      <c r="P18" s="908">
        <f t="shared" si="28"/>
        <v>3425.1850862752754</v>
      </c>
      <c r="Q18" s="908">
        <f t="shared" si="28"/>
        <v>24561.94403880521</v>
      </c>
      <c r="R18" s="908">
        <f t="shared" si="28"/>
        <v>260.35000000000002</v>
      </c>
      <c r="S18" s="911">
        <f t="shared" si="28"/>
        <v>278.02094057603051</v>
      </c>
      <c r="T18" s="889">
        <f t="shared" si="4"/>
        <v>30221.776602288603</v>
      </c>
      <c r="U18" s="912" t="s">
        <v>1731</v>
      </c>
      <c r="V18" s="908">
        <f t="shared" ref="V18:AA18" si="29">SUM(V19:V41)</f>
        <v>17.761447003876704</v>
      </c>
      <c r="W18" s="908">
        <f t="shared" si="29"/>
        <v>14.175678643601085</v>
      </c>
      <c r="X18" s="908">
        <f t="shared" si="29"/>
        <v>70.180403685089033</v>
      </c>
      <c r="Y18" s="908">
        <f t="shared" si="29"/>
        <v>480.60524035687655</v>
      </c>
      <c r="Z18" s="908">
        <f t="shared" si="29"/>
        <v>6.058835139480415</v>
      </c>
      <c r="AA18" s="908">
        <f t="shared" si="29"/>
        <v>5.4713648374371067</v>
      </c>
      <c r="AB18" s="908">
        <f t="shared" si="6"/>
        <v>594.25296966636085</v>
      </c>
      <c r="AC18" s="913" t="s">
        <v>1731</v>
      </c>
      <c r="AD18" s="910">
        <f t="shared" ref="AD18:AI18" si="30">SUM(AD19:AD41)</f>
        <v>17.761447003876704</v>
      </c>
      <c r="AE18" s="908">
        <f t="shared" si="30"/>
        <v>14.175678643601085</v>
      </c>
      <c r="AF18" s="908">
        <f t="shared" si="30"/>
        <v>70.180403685089033</v>
      </c>
      <c r="AG18" s="908">
        <f t="shared" si="30"/>
        <v>480.60524035687655</v>
      </c>
      <c r="AH18" s="908">
        <f t="shared" si="30"/>
        <v>6.058835139480415</v>
      </c>
      <c r="AI18" s="908">
        <f t="shared" si="30"/>
        <v>5.4713648374371067</v>
      </c>
      <c r="AJ18" s="908">
        <f t="shared" si="8"/>
        <v>594.25296966636085</v>
      </c>
      <c r="AK18" s="914">
        <f t="shared" si="26"/>
        <v>65.12530568088124</v>
      </c>
      <c r="AL18" s="889">
        <f t="shared" si="21"/>
        <v>51.977488359870641</v>
      </c>
      <c r="AM18" s="889">
        <f t="shared" si="22"/>
        <v>257.32814684532644</v>
      </c>
      <c r="AN18" s="889">
        <f t="shared" si="23"/>
        <v>1762.2192146418806</v>
      </c>
      <c r="AO18" s="889">
        <f t="shared" si="24"/>
        <v>22.215728844761522</v>
      </c>
      <c r="AP18" s="889">
        <f t="shared" si="25"/>
        <v>20.061671070602724</v>
      </c>
      <c r="AQ18" s="915">
        <f t="shared" si="10"/>
        <v>2178.9275554433234</v>
      </c>
    </row>
    <row r="19" spans="1:43">
      <c r="A19" s="817"/>
      <c r="B19" s="860" t="s">
        <v>1608</v>
      </c>
      <c r="C19" s="883"/>
      <c r="D19" s="883"/>
      <c r="E19" s="883">
        <f>HLOOKUP($B$2,'Consumption Input'!$E$5:$AQ$82,'Consumption Input'!$B27)</f>
        <v>792.76300000000003</v>
      </c>
      <c r="F19" s="883"/>
      <c r="G19" s="883"/>
      <c r="H19" s="883"/>
      <c r="I19" s="883">
        <f t="shared" si="2"/>
        <v>792.76300000000003</v>
      </c>
      <c r="J19" s="884"/>
      <c r="K19" s="883">
        <f>HLOOKUP($B$2,NEUConsumption,'Non-Energy Use'!$C$10)</f>
        <v>792.76300000000003</v>
      </c>
      <c r="L19" s="883"/>
      <c r="M19" s="883"/>
      <c r="N19" s="885">
        <f t="shared" ref="N19:O42" si="31">C19</f>
        <v>0</v>
      </c>
      <c r="O19" s="883">
        <f t="shared" si="31"/>
        <v>0</v>
      </c>
      <c r="P19" s="883">
        <f t="shared" ref="P19:P41" si="32">E19-K19</f>
        <v>0</v>
      </c>
      <c r="Q19" s="883">
        <f t="shared" ref="Q19:Q41" si="33">F19-J19-L19</f>
        <v>0</v>
      </c>
      <c r="R19" s="883">
        <f t="shared" ref="R19:R42" si="34">G19</f>
        <v>0</v>
      </c>
      <c r="S19" s="886">
        <f t="shared" ref="S19:S41" si="35">H19-M19</f>
        <v>0</v>
      </c>
      <c r="T19" s="883">
        <f t="shared" si="4"/>
        <v>0</v>
      </c>
      <c r="U19" s="887">
        <f>Factors!D24</f>
        <v>20.55318099621897</v>
      </c>
      <c r="V19" s="885">
        <f t="shared" ref="V19:V41" si="36">N19*$U19*TbtuToQBtu</f>
        <v>0</v>
      </c>
      <c r="W19" s="883">
        <f t="shared" ref="W19:W41" si="37">O19*$U19*TbtuToQBtu</f>
        <v>0</v>
      </c>
      <c r="X19" s="883">
        <f t="shared" ref="X19:X41" si="38">P19*$U19*TbtuToQBtu</f>
        <v>0</v>
      </c>
      <c r="Y19" s="883">
        <f t="shared" ref="Y19:Y41" si="39">Q19*$U19*TbtuToQBtu</f>
        <v>0</v>
      </c>
      <c r="Z19" s="883">
        <f t="shared" ref="Z19:Z41" si="40">R19*$U19*TbtuToQBtu</f>
        <v>0</v>
      </c>
      <c r="AA19" s="883">
        <f t="shared" ref="AA19:AA41" si="41">S19*$U19*TbtuToQBtu</f>
        <v>0</v>
      </c>
      <c r="AB19" s="883">
        <f t="shared" si="6"/>
        <v>0</v>
      </c>
      <c r="AC19" s="888">
        <f>Factors!E24</f>
        <v>1</v>
      </c>
      <c r="AD19" s="885">
        <f t="shared" ref="AD19:AI35" si="42">V19*$AC19</f>
        <v>0</v>
      </c>
      <c r="AE19" s="883">
        <f t="shared" si="42"/>
        <v>0</v>
      </c>
      <c r="AF19" s="883">
        <f t="shared" si="42"/>
        <v>0</v>
      </c>
      <c r="AG19" s="883">
        <f t="shared" si="42"/>
        <v>0</v>
      </c>
      <c r="AH19" s="883">
        <f t="shared" si="42"/>
        <v>0</v>
      </c>
      <c r="AI19" s="883">
        <f t="shared" si="42"/>
        <v>0</v>
      </c>
      <c r="AJ19" s="889">
        <f t="shared" si="8"/>
        <v>0</v>
      </c>
      <c r="AK19" s="885">
        <f t="shared" si="26"/>
        <v>0</v>
      </c>
      <c r="AL19" s="883">
        <f t="shared" si="21"/>
        <v>0</v>
      </c>
      <c r="AM19" s="883">
        <f t="shared" si="22"/>
        <v>0</v>
      </c>
      <c r="AN19" s="883">
        <f t="shared" si="23"/>
        <v>0</v>
      </c>
      <c r="AO19" s="883">
        <f t="shared" si="24"/>
        <v>0</v>
      </c>
      <c r="AP19" s="883">
        <f t="shared" si="25"/>
        <v>0</v>
      </c>
      <c r="AQ19" s="890">
        <f t="shared" si="10"/>
        <v>0</v>
      </c>
    </row>
    <row r="20" spans="1:43">
      <c r="A20" s="817"/>
      <c r="B20" s="860" t="s">
        <v>1622</v>
      </c>
      <c r="C20" s="883"/>
      <c r="D20" s="883"/>
      <c r="E20" s="883"/>
      <c r="F20" s="883">
        <f>HLOOKUP($B$2,'Consumption Input'!$E$5:$AQ$82,'Consumption Input'!$B50)</f>
        <v>22.393000000000001</v>
      </c>
      <c r="G20" s="883"/>
      <c r="H20" s="883"/>
      <c r="I20" s="883">
        <f t="shared" si="2"/>
        <v>22.393000000000001</v>
      </c>
      <c r="J20" s="884"/>
      <c r="K20" s="883"/>
      <c r="L20" s="883"/>
      <c r="M20" s="883"/>
      <c r="N20" s="885">
        <f t="shared" si="31"/>
        <v>0</v>
      </c>
      <c r="O20" s="883">
        <f t="shared" si="31"/>
        <v>0</v>
      </c>
      <c r="P20" s="883">
        <f t="shared" si="32"/>
        <v>0</v>
      </c>
      <c r="Q20" s="883">
        <f t="shared" si="33"/>
        <v>22.393000000000001</v>
      </c>
      <c r="R20" s="883">
        <f t="shared" si="34"/>
        <v>0</v>
      </c>
      <c r="S20" s="886">
        <f t="shared" si="35"/>
        <v>0</v>
      </c>
      <c r="T20" s="883">
        <f t="shared" si="4"/>
        <v>22.393000000000001</v>
      </c>
      <c r="U20" s="887">
        <f>Factors!D25</f>
        <v>18.855352254718337</v>
      </c>
      <c r="V20" s="885">
        <f t="shared" si="36"/>
        <v>0</v>
      </c>
      <c r="W20" s="883">
        <f t="shared" si="37"/>
        <v>0</v>
      </c>
      <c r="X20" s="883">
        <f t="shared" si="38"/>
        <v>0</v>
      </c>
      <c r="Y20" s="883">
        <f t="shared" si="39"/>
        <v>0.42222790303990776</v>
      </c>
      <c r="Z20" s="883">
        <f t="shared" si="40"/>
        <v>0</v>
      </c>
      <c r="AA20" s="883">
        <f t="shared" si="41"/>
        <v>0</v>
      </c>
      <c r="AB20" s="883">
        <f t="shared" si="6"/>
        <v>0.42222790303990776</v>
      </c>
      <c r="AC20" s="888">
        <f>Factors!E25</f>
        <v>1</v>
      </c>
      <c r="AD20" s="885">
        <f t="shared" si="42"/>
        <v>0</v>
      </c>
      <c r="AE20" s="883">
        <f t="shared" si="42"/>
        <v>0</v>
      </c>
      <c r="AF20" s="883">
        <f t="shared" si="42"/>
        <v>0</v>
      </c>
      <c r="AG20" s="883">
        <f t="shared" si="42"/>
        <v>0.42222790303990776</v>
      </c>
      <c r="AH20" s="883">
        <f t="shared" si="42"/>
        <v>0</v>
      </c>
      <c r="AI20" s="883">
        <f t="shared" si="42"/>
        <v>0</v>
      </c>
      <c r="AJ20" s="889">
        <f t="shared" si="8"/>
        <v>0.42222790303990776</v>
      </c>
      <c r="AK20" s="885">
        <f t="shared" si="26"/>
        <v>0</v>
      </c>
      <c r="AL20" s="883">
        <f t="shared" si="21"/>
        <v>0</v>
      </c>
      <c r="AM20" s="883">
        <f t="shared" si="22"/>
        <v>0</v>
      </c>
      <c r="AN20" s="883">
        <f t="shared" si="23"/>
        <v>1.548168977812995</v>
      </c>
      <c r="AO20" s="883">
        <f t="shared" si="24"/>
        <v>0</v>
      </c>
      <c r="AP20" s="883">
        <f t="shared" si="25"/>
        <v>0</v>
      </c>
      <c r="AQ20" s="890">
        <f t="shared" si="10"/>
        <v>1.548168977812995</v>
      </c>
    </row>
    <row r="21" spans="1:43">
      <c r="A21" s="817"/>
      <c r="B21" s="860" t="s">
        <v>1738</v>
      </c>
      <c r="C21" s="883">
        <f>HLOOKUP($B$2,'Consumption Input'!$E$5:$AQ$82,'Consumption Input'!$B9)</f>
        <v>440.68872473704488</v>
      </c>
      <c r="D21" s="883">
        <f>HLOOKUP($B$2,'Consumption Input'!$E$5:$AQ$82,'Consumption Input'!$B15)</f>
        <v>280.49274187314353</v>
      </c>
      <c r="E21" s="883">
        <f>HLOOKUP($B$2,'Consumption Input'!$E$5:$AQ$82,'Consumption Input'!$B28)</f>
        <v>1087.9623230467391</v>
      </c>
      <c r="F21" s="883">
        <f>HLOOKUP($B$2,'Consumption Input'!$E$5:$AQ$82,'Consumption Input'!$B51)</f>
        <v>6562.291516890692</v>
      </c>
      <c r="G21" s="883">
        <f>HLOOKUP($B$2,'Consumption Input'!$E$5:$AQ$82,'Consumption Input'!$B60)</f>
        <v>80.617000000000004</v>
      </c>
      <c r="H21" s="883">
        <f>HLOOKUP($B$2,'US Territories'!$D$28:$AO$38,'US Territories'!$B31)</f>
        <v>85.422981366264281</v>
      </c>
      <c r="I21" s="883">
        <f t="shared" si="2"/>
        <v>8537.4752879138832</v>
      </c>
      <c r="J21" s="884">
        <f>HLOOKUP($B$2,IBFConsumption,'International Bunker Fuels'!$B$10)</f>
        <v>134.44842939592129</v>
      </c>
      <c r="K21" s="883">
        <f>HLOOKUP($B$2,NEUConsumption,'Non-Energy Use'!$C$20)</f>
        <v>5.8250000000000002</v>
      </c>
      <c r="L21" s="883"/>
      <c r="M21" s="883"/>
      <c r="N21" s="885">
        <f t="shared" si="31"/>
        <v>440.68872473704488</v>
      </c>
      <c r="O21" s="883">
        <f>D21</f>
        <v>280.49274187314353</v>
      </c>
      <c r="P21" s="883">
        <f t="shared" si="32"/>
        <v>1082.1373230467391</v>
      </c>
      <c r="Q21" s="883">
        <f t="shared" si="33"/>
        <v>6427.8430874947708</v>
      </c>
      <c r="R21" s="883">
        <f t="shared" si="34"/>
        <v>80.617000000000004</v>
      </c>
      <c r="S21" s="886">
        <f>H21-M21</f>
        <v>85.422981366264281</v>
      </c>
      <c r="T21" s="883">
        <f t="shared" si="4"/>
        <v>8397.201858517963</v>
      </c>
      <c r="U21" s="887">
        <f>HLOOKUP($B$2,Factors!$J$12:$BE$27,Factors!$H27,FALSE)</f>
        <v>20.221719451899205</v>
      </c>
      <c r="V21" s="885">
        <f>N21*$U21*TbtuToQBtu</f>
        <v>8.9114837572477548</v>
      </c>
      <c r="W21" s="883">
        <f>O21*$U21*TbtuToQBtu</f>
        <v>5.672045534452689</v>
      </c>
      <c r="X21" s="883">
        <f t="shared" si="38"/>
        <v>21.882677355080379</v>
      </c>
      <c r="Y21" s="883">
        <f t="shared" si="39"/>
        <v>129.98203959614884</v>
      </c>
      <c r="Z21" s="883">
        <f t="shared" si="40"/>
        <v>1.6302143570537584</v>
      </c>
      <c r="AA21" s="883">
        <f t="shared" si="41"/>
        <v>1.7273995639334099</v>
      </c>
      <c r="AB21" s="883">
        <f t="shared" si="6"/>
        <v>169.8058601639168</v>
      </c>
      <c r="AC21" s="888">
        <f>Factors!E26</f>
        <v>1</v>
      </c>
      <c r="AD21" s="885">
        <f t="shared" si="42"/>
        <v>8.9114837572477548</v>
      </c>
      <c r="AE21" s="883">
        <f>W21*$AC21</f>
        <v>5.672045534452689</v>
      </c>
      <c r="AF21" s="883">
        <f t="shared" si="42"/>
        <v>21.882677355080379</v>
      </c>
      <c r="AG21" s="883">
        <f t="shared" si="42"/>
        <v>129.98203959614884</v>
      </c>
      <c r="AH21" s="883">
        <f t="shared" si="42"/>
        <v>1.6302143570537584</v>
      </c>
      <c r="AI21" s="883">
        <f t="shared" si="42"/>
        <v>1.7273995639334099</v>
      </c>
      <c r="AJ21" s="889">
        <f t="shared" si="8"/>
        <v>169.8058601639168</v>
      </c>
      <c r="AK21" s="885">
        <f t="shared" si="26"/>
        <v>32.675440443241769</v>
      </c>
      <c r="AL21" s="883">
        <f t="shared" si="21"/>
        <v>20.797500292993192</v>
      </c>
      <c r="AM21" s="883">
        <f t="shared" si="22"/>
        <v>80.236483635294718</v>
      </c>
      <c r="AN21" s="883">
        <f t="shared" si="23"/>
        <v>476.60081185254569</v>
      </c>
      <c r="AO21" s="883">
        <f t="shared" si="24"/>
        <v>5.9774526425304471</v>
      </c>
      <c r="AP21" s="883">
        <f t="shared" si="25"/>
        <v>6.3337984010891697</v>
      </c>
      <c r="AQ21" s="890">
        <f t="shared" si="10"/>
        <v>622.6214872676951</v>
      </c>
    </row>
    <row r="22" spans="1:43">
      <c r="A22" s="817"/>
      <c r="B22" s="860" t="s">
        <v>1623</v>
      </c>
      <c r="C22" s="883"/>
      <c r="D22" s="883"/>
      <c r="E22" s="883"/>
      <c r="F22" s="883">
        <f>HLOOKUP($B$2,'Consumption Input'!$E$5:$AQ$82,'Consumption Input'!$B52)</f>
        <v>3532.7570000000001</v>
      </c>
      <c r="G22" s="916"/>
      <c r="H22" s="883">
        <f>HLOOKUP($B$2,'US Territories'!$D$28:$AO$38,'US Territories'!$B32)</f>
        <v>40.406502890467138</v>
      </c>
      <c r="I22" s="883">
        <f t="shared" si="2"/>
        <v>3573.163502890467</v>
      </c>
      <c r="J22" s="884">
        <f>HLOOKUP($B$2,IBFConsumption,'International Bunker Fuels'!$B$8)</f>
        <v>1147.6629896579316</v>
      </c>
      <c r="K22" s="883"/>
      <c r="L22" s="883"/>
      <c r="M22" s="883"/>
      <c r="N22" s="885">
        <f t="shared" si="31"/>
        <v>0</v>
      </c>
      <c r="O22" s="883">
        <f t="shared" si="31"/>
        <v>0</v>
      </c>
      <c r="P22" s="883">
        <f t="shared" si="32"/>
        <v>0</v>
      </c>
      <c r="Q22" s="883">
        <f t="shared" si="33"/>
        <v>2385.0940103420685</v>
      </c>
      <c r="R22" s="883">
        <f t="shared" si="34"/>
        <v>0</v>
      </c>
      <c r="S22" s="886">
        <f t="shared" si="35"/>
        <v>40.406502890467138</v>
      </c>
      <c r="T22" s="883">
        <f t="shared" si="4"/>
        <v>2425.5005132325355</v>
      </c>
      <c r="U22" s="887">
        <f>HLOOKUP($B$2,Factors!$J$12:$BE$25,Factors!$H21,FALSE)</f>
        <v>19.696969696969692</v>
      </c>
      <c r="V22" s="885">
        <f t="shared" si="36"/>
        <v>0</v>
      </c>
      <c r="W22" s="883">
        <f t="shared" si="37"/>
        <v>0</v>
      </c>
      <c r="X22" s="883">
        <f t="shared" si="38"/>
        <v>0</v>
      </c>
      <c r="Y22" s="883">
        <f t="shared" si="39"/>
        <v>46.979124446131642</v>
      </c>
      <c r="Z22" s="883">
        <f t="shared" si="40"/>
        <v>0</v>
      </c>
      <c r="AA22" s="883">
        <f t="shared" si="41"/>
        <v>0.79588566299404939</v>
      </c>
      <c r="AB22" s="883">
        <f t="shared" si="6"/>
        <v>47.775010109125695</v>
      </c>
      <c r="AC22" s="888">
        <f>Factors!E27</f>
        <v>1</v>
      </c>
      <c r="AD22" s="885">
        <f t="shared" si="42"/>
        <v>0</v>
      </c>
      <c r="AE22" s="883">
        <f t="shared" si="42"/>
        <v>0</v>
      </c>
      <c r="AF22" s="883">
        <f t="shared" si="42"/>
        <v>0</v>
      </c>
      <c r="AG22" s="883">
        <f t="shared" si="42"/>
        <v>46.979124446131642</v>
      </c>
      <c r="AH22" s="883">
        <f t="shared" si="42"/>
        <v>0</v>
      </c>
      <c r="AI22" s="883">
        <f t="shared" si="42"/>
        <v>0.79588566299404939</v>
      </c>
      <c r="AJ22" s="889">
        <f t="shared" si="8"/>
        <v>47.775010109125695</v>
      </c>
      <c r="AK22" s="885">
        <f t="shared" si="26"/>
        <v>0</v>
      </c>
      <c r="AL22" s="883">
        <f t="shared" si="21"/>
        <v>0</v>
      </c>
      <c r="AM22" s="883">
        <f t="shared" si="22"/>
        <v>0</v>
      </c>
      <c r="AN22" s="883">
        <f t="shared" si="23"/>
        <v>172.25678963581601</v>
      </c>
      <c r="AO22" s="883">
        <f t="shared" si="24"/>
        <v>0</v>
      </c>
      <c r="AP22" s="883">
        <f t="shared" si="25"/>
        <v>2.9182474309781812</v>
      </c>
      <c r="AQ22" s="890">
        <f t="shared" si="10"/>
        <v>175.17503706679418</v>
      </c>
    </row>
    <row r="23" spans="1:43">
      <c r="A23" s="817"/>
      <c r="B23" s="860" t="s">
        <v>1599</v>
      </c>
      <c r="C23" s="883">
        <f>HLOOKUP($B$2,'Consumption Input'!$E$5:$AQ$82,'Consumption Input'!$B10)</f>
        <v>8.2409999999999997</v>
      </c>
      <c r="D23" s="883">
        <f>HLOOKUP($B$2,'Consumption Input'!$E$5:$AQ$82,'Consumption Input'!$B16)</f>
        <v>1.3369999999999997</v>
      </c>
      <c r="E23" s="883">
        <f>HLOOKUP($B$2,'Consumption Input'!$E$5:$AQ$82,'Consumption Input'!$B29)</f>
        <v>1.623</v>
      </c>
      <c r="F23" s="883"/>
      <c r="G23" s="883"/>
      <c r="H23" s="883">
        <f>HLOOKUP($B$2,'US Territories'!$D$28:$AO$38,'US Territories'!$B33)</f>
        <v>0.42215875993399504</v>
      </c>
      <c r="I23" s="883">
        <f t="shared" si="2"/>
        <v>11.623158759933993</v>
      </c>
      <c r="J23" s="884"/>
      <c r="K23" s="883"/>
      <c r="L23" s="883"/>
      <c r="M23" s="883"/>
      <c r="N23" s="885">
        <f t="shared" si="31"/>
        <v>8.2409999999999997</v>
      </c>
      <c r="O23" s="883">
        <f t="shared" si="31"/>
        <v>1.3369999999999997</v>
      </c>
      <c r="P23" s="883">
        <f t="shared" si="32"/>
        <v>1.623</v>
      </c>
      <c r="Q23" s="883">
        <f t="shared" si="33"/>
        <v>0</v>
      </c>
      <c r="R23" s="883">
        <f t="shared" si="34"/>
        <v>0</v>
      </c>
      <c r="S23" s="886">
        <f t="shared" si="35"/>
        <v>0.42215875993399504</v>
      </c>
      <c r="T23" s="883">
        <f t="shared" si="4"/>
        <v>11.623158759933993</v>
      </c>
      <c r="U23" s="887">
        <f>Factors!D28</f>
        <v>19.964104564962931</v>
      </c>
      <c r="V23" s="885">
        <f t="shared" si="36"/>
        <v>0.16452418571985949</v>
      </c>
      <c r="W23" s="883">
        <f t="shared" si="37"/>
        <v>2.6692007803355434E-2</v>
      </c>
      <c r="X23" s="883">
        <f t="shared" si="38"/>
        <v>3.2401741708934839E-2</v>
      </c>
      <c r="Y23" s="883">
        <f t="shared" si="39"/>
        <v>0</v>
      </c>
      <c r="Z23" s="883">
        <f t="shared" si="40"/>
        <v>0</v>
      </c>
      <c r="AA23" s="883">
        <f t="shared" si="41"/>
        <v>8.4280216263373595E-3</v>
      </c>
      <c r="AB23" s="883">
        <f t="shared" si="6"/>
        <v>0.23204595685848711</v>
      </c>
      <c r="AC23" s="888">
        <f>Factors!E28</f>
        <v>1</v>
      </c>
      <c r="AD23" s="885">
        <f t="shared" si="42"/>
        <v>0.16452418571985949</v>
      </c>
      <c r="AE23" s="883">
        <f t="shared" si="42"/>
        <v>2.6692007803355434E-2</v>
      </c>
      <c r="AF23" s="883">
        <f t="shared" si="42"/>
        <v>3.2401741708934839E-2</v>
      </c>
      <c r="AG23" s="883">
        <f t="shared" si="42"/>
        <v>0</v>
      </c>
      <c r="AH23" s="883">
        <f t="shared" si="42"/>
        <v>0</v>
      </c>
      <c r="AI23" s="883">
        <f t="shared" si="42"/>
        <v>8.4280216263373595E-3</v>
      </c>
      <c r="AJ23" s="889">
        <f t="shared" si="8"/>
        <v>0.23204595685848711</v>
      </c>
      <c r="AK23" s="885">
        <f t="shared" si="26"/>
        <v>0.60325534763948474</v>
      </c>
      <c r="AL23" s="883">
        <f t="shared" si="21"/>
        <v>9.7870695278969924E-2</v>
      </c>
      <c r="AM23" s="883">
        <f t="shared" si="22"/>
        <v>0.11880638626609441</v>
      </c>
      <c r="AN23" s="883">
        <f t="shared" si="23"/>
        <v>0</v>
      </c>
      <c r="AO23" s="883">
        <f t="shared" si="24"/>
        <v>0</v>
      </c>
      <c r="AP23" s="883">
        <f t="shared" si="25"/>
        <v>3.0902745963236982E-2</v>
      </c>
      <c r="AQ23" s="890">
        <f t="shared" si="10"/>
        <v>0.85083517514778606</v>
      </c>
    </row>
    <row r="24" spans="1:43">
      <c r="A24" s="817"/>
      <c r="B24" s="860" t="s">
        <v>1600</v>
      </c>
      <c r="C24" s="883">
        <f>HLOOKUP($B$2,'Consumption Input'!$E$5:$AQ$82,'Consumption Input'!$B11)</f>
        <v>506.54700000000008</v>
      </c>
      <c r="D24" s="883">
        <f>HLOOKUP($B$2,'Consumption Input'!$E$5:$AQ$82,'Consumption Input'!$B17)</f>
        <v>175.96600000000001</v>
      </c>
      <c r="E24"/>
      <c r="F24" s="883">
        <f>HLOOKUP($B$2,'Consumption Input'!$E$5:$AQ$82,'Consumption Input'!$B53)</f>
        <v>12.614999999999998</v>
      </c>
      <c r="G24" s="883"/>
      <c r="H24"/>
      <c r="I24" s="883">
        <f>SUM(C24:H24)</f>
        <v>695.12800000000016</v>
      </c>
      <c r="J24" s="884"/>
      <c r="K24"/>
      <c r="L24" s="883"/>
      <c r="M24" s="883"/>
      <c r="N24" s="885">
        <f>C24</f>
        <v>506.54700000000008</v>
      </c>
      <c r="O24" s="883">
        <f t="shared" si="31"/>
        <v>175.96600000000001</v>
      </c>
      <c r="P24"/>
      <c r="Q24" s="883">
        <f t="shared" si="33"/>
        <v>12.614999999999998</v>
      </c>
      <c r="R24" s="883">
        <f t="shared" si="34"/>
        <v>0</v>
      </c>
      <c r="S24" s="1007"/>
      <c r="T24" s="883">
        <f t="shared" si="4"/>
        <v>695.12800000000016</v>
      </c>
      <c r="U24" s="1005">
        <f>HLOOKUP($B$2,Factors!$J$12:$BE$25,Factors!$H17,FALSE)</f>
        <v>17.146363636363635</v>
      </c>
      <c r="V24" s="885">
        <f>N24*$U24*TbtuToQBtu</f>
        <v>8.6854390609090917</v>
      </c>
      <c r="W24" s="883">
        <f>O24*$U24*TbtuToQBtu</f>
        <v>3.0171770236363638</v>
      </c>
      <c r="X24"/>
      <c r="Y24" s="883">
        <f>Q24*$U24*TbtuToQBtu</f>
        <v>0.21630137727272722</v>
      </c>
      <c r="Z24" s="883">
        <f t="shared" ref="Z24" si="43">R24*$U24*TbtuToQBtu</f>
        <v>0</v>
      </c>
      <c r="AA24"/>
      <c r="AB24" s="883">
        <f>SUM(V24:AA24)</f>
        <v>11.918917461818182</v>
      </c>
      <c r="AC24" s="888">
        <f>Factors!E30</f>
        <v>1</v>
      </c>
      <c r="AD24" s="885">
        <f>V24*$AC24</f>
        <v>8.6854390609090917</v>
      </c>
      <c r="AE24" s="883">
        <f t="shared" si="42"/>
        <v>3.0171770236363638</v>
      </c>
      <c r="AF24"/>
      <c r="AG24" s="883">
        <f t="shared" si="42"/>
        <v>0.21630137727272722</v>
      </c>
      <c r="AH24" s="883">
        <f t="shared" si="42"/>
        <v>0</v>
      </c>
      <c r="AI24"/>
      <c r="AJ24" s="889">
        <f t="shared" si="8"/>
        <v>11.918917461818182</v>
      </c>
      <c r="AK24" s="885">
        <f>AD24*CtoCO2</f>
        <v>31.84660989</v>
      </c>
      <c r="AL24" s="883">
        <f t="shared" ref="AL24" si="44">AE24*CtoCO2</f>
        <v>11.062982419999999</v>
      </c>
      <c r="AN24" s="883">
        <f t="shared" ref="AN24" si="45">AG24*CtoCO2</f>
        <v>0.79310504999999976</v>
      </c>
      <c r="AO24" s="883">
        <f t="shared" ref="AO24" si="46">AH24*CtoCO2</f>
        <v>0</v>
      </c>
      <c r="AQ24" s="890">
        <f t="shared" si="10"/>
        <v>43.702697360000002</v>
      </c>
    </row>
    <row r="25" spans="1:43">
      <c r="A25" s="817"/>
      <c r="B25" s="860" t="s">
        <v>1609</v>
      </c>
      <c r="C25" s="883"/>
      <c r="D25" s="883"/>
      <c r="E25" s="883">
        <f>HLOOKUP($B$2,'Consumption Input'!$E$5:$AQ$82,'Consumption Input'!$B30)</f>
        <v>2799.8231436239998</v>
      </c>
      <c r="F25" s="883"/>
      <c r="G25" s="883"/>
      <c r="H25" s="883">
        <f>HLOOKUP($B$2,'US Territories'!$D$28:$AO$38,'US Territories'!$B34)</f>
        <v>8.8102176557291898</v>
      </c>
      <c r="I25" s="883">
        <f>SUM(C25:H25)</f>
        <v>2808.6333612797289</v>
      </c>
      <c r="J25" s="884"/>
      <c r="K25" s="883">
        <f>HLOOKUP($B$2,NEUConsumption,'Non-Energy Use'!$C$11)</f>
        <v>2677.441123751451</v>
      </c>
      <c r="L25" s="883"/>
      <c r="M25" s="883"/>
      <c r="N25" s="885"/>
      <c r="O25" s="883"/>
      <c r="P25" s="883">
        <f>E25-K25</f>
        <v>122.38201987254888</v>
      </c>
      <c r="Q25" s="883"/>
      <c r="R25" s="883"/>
      <c r="S25" s="886">
        <f>H25-M25</f>
        <v>8.8102176557291898</v>
      </c>
      <c r="T25" s="883">
        <f t="shared" si="4"/>
        <v>131.19223752827807</v>
      </c>
      <c r="U25" s="1005">
        <f>HLOOKUP($B$2,Factors!$J$12:$BE$25,Factors!$H18,FALSE)</f>
        <v>17.730487220668685</v>
      </c>
      <c r="V25" s="885"/>
      <c r="W25" s="883"/>
      <c r="X25" s="883">
        <f>P25*$U25*TbtuToQBtu</f>
        <v>2.1698928393898491</v>
      </c>
      <c r="Y25" s="883"/>
      <c r="Z25" s="883"/>
      <c r="AA25" s="883">
        <f>S25*$U25*TbtuToQBtu</f>
        <v>0.15620945155621602</v>
      </c>
      <c r="AB25" s="883">
        <f>SUM(V25:AA25)</f>
        <v>2.3261022909460651</v>
      </c>
      <c r="AC25" s="888">
        <f>Factors!E31</f>
        <v>1</v>
      </c>
      <c r="AD25" s="885"/>
      <c r="AE25" s="883"/>
      <c r="AF25" s="883">
        <f>X25*$AC25</f>
        <v>2.1698928393898491</v>
      </c>
      <c r="AG25" s="883"/>
      <c r="AH25" s="883"/>
      <c r="AI25" s="883">
        <f>AA25*$AC25</f>
        <v>0.15620945155621602</v>
      </c>
      <c r="AJ25" s="889">
        <f t="shared" si="8"/>
        <v>2.3261022909460651</v>
      </c>
      <c r="AK25" s="885"/>
      <c r="AL25" s="883"/>
      <c r="AM25" s="883">
        <f>AF25*CtoCO2</f>
        <v>7.9562737444294465</v>
      </c>
      <c r="AN25" s="883"/>
      <c r="AO25" s="883"/>
      <c r="AP25" s="883">
        <f>AI25*CtoCO2</f>
        <v>0.57276798903945869</v>
      </c>
      <c r="AQ25" s="890">
        <f t="shared" si="10"/>
        <v>8.5290417334689046</v>
      </c>
    </row>
    <row r="26" spans="1:43">
      <c r="A26" s="817"/>
      <c r="B26" s="860" t="s">
        <v>1610</v>
      </c>
      <c r="C26" s="883"/>
      <c r="D26" s="883"/>
      <c r="E26" s="883">
        <f>HLOOKUP($B$2,'Consumption Input'!$E$5:$AQ$82,'Consumption Input'!$B31)</f>
        <v>121.98699999999999</v>
      </c>
      <c r="F26" s="883">
        <f>HLOOKUP($B$2,'Consumption Input'!$E$5:$AQ$82,'Consumption Input'!$B54)</f>
        <v>136.98599999999999</v>
      </c>
      <c r="G26" s="883"/>
      <c r="H26" s="883">
        <f>HLOOKUP($B$2,'US Territories'!$D$28:$AO$38,'US Territories'!$B35)</f>
        <v>1.0411633874999999</v>
      </c>
      <c r="I26" s="883">
        <f t="shared" si="2"/>
        <v>260.01416338749993</v>
      </c>
      <c r="J26" s="884"/>
      <c r="K26" s="883">
        <f>HLOOKUP($B$2,NEUConsumption,'Non-Energy Use'!$C$12)</f>
        <v>121.98699999999999</v>
      </c>
      <c r="L26" s="883">
        <f>HLOOKUP($B$2,NEUConsumption,'Non-Energy Use'!$C$24)</f>
        <v>136.98599999999999</v>
      </c>
      <c r="M26" s="883">
        <f>HLOOKUP($B$2,NEUConsumption,'Non-Energy Use'!$C$26)</f>
        <v>1.0411633874999999</v>
      </c>
      <c r="N26" s="885">
        <f t="shared" si="31"/>
        <v>0</v>
      </c>
      <c r="O26" s="883">
        <f t="shared" si="31"/>
        <v>0</v>
      </c>
      <c r="P26" s="883">
        <f t="shared" si="32"/>
        <v>0</v>
      </c>
      <c r="Q26" s="883">
        <f>F26-J26-L26</f>
        <v>0</v>
      </c>
      <c r="R26" s="883">
        <f>G26</f>
        <v>0</v>
      </c>
      <c r="S26" s="886">
        <f t="shared" si="35"/>
        <v>0</v>
      </c>
      <c r="T26" s="883">
        <f t="shared" si="4"/>
        <v>0</v>
      </c>
      <c r="U26" s="887">
        <f>Factors!D33</f>
        <v>20.199355467286214</v>
      </c>
      <c r="V26" s="885">
        <f t="shared" si="36"/>
        <v>0</v>
      </c>
      <c r="W26" s="883">
        <f t="shared" si="37"/>
        <v>0</v>
      </c>
      <c r="X26" s="883">
        <f t="shared" si="38"/>
        <v>0</v>
      </c>
      <c r="Y26" s="883">
        <f t="shared" si="39"/>
        <v>0</v>
      </c>
      <c r="Z26" s="883">
        <f t="shared" si="40"/>
        <v>0</v>
      </c>
      <c r="AA26" s="883">
        <f t="shared" si="41"/>
        <v>0</v>
      </c>
      <c r="AB26" s="883">
        <f t="shared" si="6"/>
        <v>0</v>
      </c>
      <c r="AC26" s="888">
        <f>Factors!E33</f>
        <v>1</v>
      </c>
      <c r="AD26" s="885">
        <f t="shared" si="42"/>
        <v>0</v>
      </c>
      <c r="AE26" s="883">
        <f t="shared" si="42"/>
        <v>0</v>
      </c>
      <c r="AF26" s="883">
        <f t="shared" si="42"/>
        <v>0</v>
      </c>
      <c r="AG26" s="883">
        <f>Y26*$AC26</f>
        <v>0</v>
      </c>
      <c r="AH26" s="883">
        <f t="shared" si="42"/>
        <v>0</v>
      </c>
      <c r="AI26" s="883">
        <f t="shared" si="42"/>
        <v>0</v>
      </c>
      <c r="AJ26" s="889">
        <f t="shared" si="8"/>
        <v>0</v>
      </c>
      <c r="AK26" s="885">
        <f t="shared" si="26"/>
        <v>0</v>
      </c>
      <c r="AL26" s="883">
        <f t="shared" si="21"/>
        <v>0</v>
      </c>
      <c r="AM26" s="883">
        <f t="shared" si="22"/>
        <v>0</v>
      </c>
      <c r="AN26" s="883">
        <f>AG26*CtoCO2</f>
        <v>0</v>
      </c>
      <c r="AO26" s="883">
        <f t="shared" si="24"/>
        <v>0</v>
      </c>
      <c r="AP26" s="883">
        <f t="shared" si="25"/>
        <v>0</v>
      </c>
      <c r="AQ26" s="890">
        <f t="shared" si="10"/>
        <v>0</v>
      </c>
    </row>
    <row r="27" spans="1:43">
      <c r="A27" s="817"/>
      <c r="B27" s="860" t="s">
        <v>1601</v>
      </c>
      <c r="C27" s="883"/>
      <c r="D27" s="883">
        <f>HLOOKUP($B$2,'Consumption Input'!$E$5:$AQ$82,'Consumption Input'!$B18)</f>
        <v>279.54407002190311</v>
      </c>
      <c r="E27" s="883">
        <f>HLOOKUP($B$2,'Consumption Input'!$E$5:$AQ$82,'Consumption Input'!$B32)</f>
        <v>205.56170090472864</v>
      </c>
      <c r="F27" s="883">
        <f>HLOOKUP($B$2,'Consumption Input'!$E$5:$AQ$82,'Consumption Input'!$B55)</f>
        <v>15527.534229073368</v>
      </c>
      <c r="G27" s="883"/>
      <c r="H27" s="883">
        <f>HLOOKUP($B$2,'US Territories'!$D$28:$AO$38,'US Territories'!$B36)</f>
        <v>119.12281510634816</v>
      </c>
      <c r="I27" s="883">
        <f t="shared" si="2"/>
        <v>16131.762815106347</v>
      </c>
      <c r="J27" s="884"/>
      <c r="K27" s="883"/>
      <c r="L27" s="883"/>
      <c r="M27" s="883"/>
      <c r="N27" s="885">
        <f t="shared" si="31"/>
        <v>0</v>
      </c>
      <c r="O27" s="883">
        <f t="shared" si="31"/>
        <v>279.54407002190311</v>
      </c>
      <c r="P27" s="883">
        <f t="shared" si="32"/>
        <v>205.56170090472864</v>
      </c>
      <c r="Q27" s="883">
        <f t="shared" si="33"/>
        <v>15527.534229073368</v>
      </c>
      <c r="R27" s="883">
        <f t="shared" si="34"/>
        <v>0</v>
      </c>
      <c r="S27" s="886">
        <f t="shared" si="35"/>
        <v>119.12281510634816</v>
      </c>
      <c r="T27" s="883">
        <f t="shared" si="4"/>
        <v>16131.762815106347</v>
      </c>
      <c r="U27" s="887">
        <f>HLOOKUP($B$2,Factors!$J$12:$BE$25,Factors!$H20,FALSE)</f>
        <v>19.268142985283784</v>
      </c>
      <c r="V27" s="885">
        <f t="shared" si="36"/>
        <v>0</v>
      </c>
      <c r="W27" s="883">
        <f t="shared" si="37"/>
        <v>5.3862951118702114</v>
      </c>
      <c r="X27" s="883">
        <f t="shared" si="38"/>
        <v>3.9607922453304507</v>
      </c>
      <c r="Y27" s="883">
        <f t="shared" si="39"/>
        <v>299.18674973467387</v>
      </c>
      <c r="Z27" s="883">
        <f t="shared" si="40"/>
        <v>0</v>
      </c>
      <c r="AA27" s="883">
        <f t="shared" si="41"/>
        <v>2.2952754342786394</v>
      </c>
      <c r="AB27" s="883">
        <f t="shared" si="6"/>
        <v>310.82911252615321</v>
      </c>
      <c r="AC27" s="888">
        <f>Factors!E34</f>
        <v>1</v>
      </c>
      <c r="AD27" s="885">
        <f t="shared" si="42"/>
        <v>0</v>
      </c>
      <c r="AE27" s="883">
        <f t="shared" si="42"/>
        <v>5.3862951118702114</v>
      </c>
      <c r="AF27" s="883">
        <f t="shared" si="42"/>
        <v>3.9607922453304507</v>
      </c>
      <c r="AG27" s="883">
        <f>Y27*$AC44</f>
        <v>299.18674973467387</v>
      </c>
      <c r="AH27" s="883">
        <f t="shared" si="42"/>
        <v>0</v>
      </c>
      <c r="AI27" s="883">
        <f t="shared" si="42"/>
        <v>2.2952754342786394</v>
      </c>
      <c r="AJ27" s="889">
        <f t="shared" si="8"/>
        <v>310.82911252615321</v>
      </c>
      <c r="AK27" s="885">
        <f t="shared" si="26"/>
        <v>0</v>
      </c>
      <c r="AL27" s="883">
        <f t="shared" si="21"/>
        <v>19.749748743524108</v>
      </c>
      <c r="AM27" s="883">
        <f t="shared" si="22"/>
        <v>14.522904899544985</v>
      </c>
      <c r="AN27" s="883">
        <f t="shared" si="23"/>
        <v>1097.0180823604708</v>
      </c>
      <c r="AO27" s="883">
        <f t="shared" si="24"/>
        <v>0</v>
      </c>
      <c r="AP27" s="883">
        <f t="shared" si="25"/>
        <v>8.4160099256883445</v>
      </c>
      <c r="AQ27" s="890">
        <f t="shared" si="10"/>
        <v>1139.7067459292282</v>
      </c>
    </row>
    <row r="28" spans="1:43">
      <c r="A28" s="817"/>
      <c r="B28" s="860" t="s">
        <v>1602</v>
      </c>
      <c r="C28" s="883"/>
      <c r="D28" s="883">
        <f>HLOOKUP($B$2,'Consumption Input'!$E$5:$AQ$82,'Consumption Input'!$B19)</f>
        <v>3.1059999999999999</v>
      </c>
      <c r="E28" s="883">
        <f>HLOOKUP($B$2,'Consumption Input'!$E$5:$AQ$82,'Consumption Input'!$B33)</f>
        <v>0</v>
      </c>
      <c r="F28" s="883">
        <f>HLOOKUP($B$2,'Consumption Input'!$E$5:$AQ$82,'Consumption Input'!$B56)</f>
        <v>604.03099999999995</v>
      </c>
      <c r="G28" s="883">
        <f>HLOOKUP($B$2,'Consumption Input'!$E$5:$AQ$82,'Consumption Input'!$B61)</f>
        <v>78.251000000000005</v>
      </c>
      <c r="H28" s="883">
        <f>HLOOKUP($B$2,'US Territories'!$D$28:$AO$38,'US Territories'!$B37)</f>
        <v>23.836264797287768</v>
      </c>
      <c r="I28" s="883">
        <f t="shared" si="2"/>
        <v>709.22426479728767</v>
      </c>
      <c r="J28" s="884">
        <f>HLOOKUP($B$2,IBFConsumption,'International Bunker Fuels'!$B$9)</f>
        <v>417.56628810500001</v>
      </c>
      <c r="K28" s="883"/>
      <c r="L28" s="883"/>
      <c r="M28" s="883"/>
      <c r="N28" s="885">
        <f t="shared" si="31"/>
        <v>0</v>
      </c>
      <c r="O28" s="883">
        <f t="shared" si="31"/>
        <v>3.1059999999999999</v>
      </c>
      <c r="P28" s="883">
        <f t="shared" si="32"/>
        <v>0</v>
      </c>
      <c r="Q28" s="883">
        <f t="shared" si="33"/>
        <v>186.46471189499994</v>
      </c>
      <c r="R28" s="883">
        <f t="shared" si="34"/>
        <v>78.251000000000005</v>
      </c>
      <c r="S28" s="886">
        <f t="shared" si="35"/>
        <v>23.836264797287768</v>
      </c>
      <c r="T28" s="883">
        <f t="shared" si="4"/>
        <v>291.65797669228766</v>
      </c>
      <c r="U28" s="887">
        <f>Factors!D36</f>
        <v>20.48</v>
      </c>
      <c r="V28" s="885">
        <f t="shared" si="36"/>
        <v>0</v>
      </c>
      <c r="W28" s="883">
        <f t="shared" si="37"/>
        <v>6.3610880000000009E-2</v>
      </c>
      <c r="X28" s="883">
        <f t="shared" si="38"/>
        <v>0</v>
      </c>
      <c r="Y28" s="883">
        <f t="shared" si="39"/>
        <v>3.8187972996095989</v>
      </c>
      <c r="Z28" s="883">
        <f t="shared" si="40"/>
        <v>1.6025804800000001</v>
      </c>
      <c r="AA28" s="883">
        <f t="shared" si="41"/>
        <v>0.4881667030484535</v>
      </c>
      <c r="AB28" s="883">
        <f t="shared" si="6"/>
        <v>5.9731553626580531</v>
      </c>
      <c r="AC28" s="888">
        <f>Factors!E36</f>
        <v>1</v>
      </c>
      <c r="AD28" s="885">
        <f t="shared" si="42"/>
        <v>0</v>
      </c>
      <c r="AE28" s="883">
        <f t="shared" si="42"/>
        <v>6.3610880000000009E-2</v>
      </c>
      <c r="AF28" s="883">
        <f t="shared" si="42"/>
        <v>0</v>
      </c>
      <c r="AG28" s="883">
        <f t="shared" si="42"/>
        <v>3.8187972996095989</v>
      </c>
      <c r="AH28" s="883">
        <f t="shared" si="42"/>
        <v>1.6025804800000001</v>
      </c>
      <c r="AI28" s="883">
        <f t="shared" si="42"/>
        <v>0.4881667030484535</v>
      </c>
      <c r="AJ28" s="889">
        <f t="shared" si="8"/>
        <v>5.9731553626580531</v>
      </c>
      <c r="AK28" s="885">
        <f t="shared" si="26"/>
        <v>0</v>
      </c>
      <c r="AL28" s="883">
        <f t="shared" si="21"/>
        <v>0.23323989333333336</v>
      </c>
      <c r="AM28" s="883">
        <f t="shared" si="22"/>
        <v>0</v>
      </c>
      <c r="AN28" s="883">
        <f t="shared" si="23"/>
        <v>14.002256765235195</v>
      </c>
      <c r="AO28" s="883">
        <f t="shared" si="24"/>
        <v>5.8761284266666669</v>
      </c>
      <c r="AP28" s="883">
        <f t="shared" si="25"/>
        <v>1.7899445778443295</v>
      </c>
      <c r="AQ28" s="890">
        <f t="shared" si="10"/>
        <v>21.901569663079528</v>
      </c>
    </row>
    <row r="29" spans="1:43">
      <c r="A29" s="817"/>
      <c r="B29" s="860" t="s">
        <v>1603</v>
      </c>
      <c r="C29" s="883"/>
      <c r="D29" s="883"/>
      <c r="E29" s="883"/>
      <c r="F29" s="883"/>
      <c r="G29" s="883"/>
      <c r="H29" s="883"/>
      <c r="I29" s="883"/>
      <c r="J29" s="884"/>
      <c r="K29" s="883"/>
      <c r="L29" s="883"/>
      <c r="M29" s="883"/>
      <c r="N29" s="885">
        <f t="shared" si="31"/>
        <v>0</v>
      </c>
      <c r="O29" s="883">
        <f t="shared" si="31"/>
        <v>0</v>
      </c>
      <c r="P29" s="883">
        <f t="shared" si="32"/>
        <v>0</v>
      </c>
      <c r="Q29" s="883">
        <f t="shared" si="33"/>
        <v>0</v>
      </c>
      <c r="R29" s="883">
        <f t="shared" si="34"/>
        <v>0</v>
      </c>
      <c r="S29" s="886">
        <f t="shared" si="35"/>
        <v>0</v>
      </c>
      <c r="T29" s="883">
        <f t="shared" si="4"/>
        <v>0</v>
      </c>
      <c r="U29" s="887"/>
      <c r="V29" s="885">
        <f t="shared" si="36"/>
        <v>0</v>
      </c>
      <c r="W29" s="883">
        <f t="shared" si="37"/>
        <v>0</v>
      </c>
      <c r="X29" s="883">
        <f t="shared" si="38"/>
        <v>0</v>
      </c>
      <c r="Y29" s="883">
        <f t="shared" si="39"/>
        <v>0</v>
      </c>
      <c r="Z29" s="883">
        <f t="shared" si="40"/>
        <v>0</v>
      </c>
      <c r="AA29" s="883">
        <f t="shared" si="41"/>
        <v>0</v>
      </c>
      <c r="AB29" s="883">
        <f t="shared" si="6"/>
        <v>0</v>
      </c>
      <c r="AC29" s="888"/>
      <c r="AD29" s="885">
        <f t="shared" si="42"/>
        <v>0</v>
      </c>
      <c r="AE29" s="883">
        <f t="shared" si="42"/>
        <v>0</v>
      </c>
      <c r="AF29" s="883">
        <f t="shared" si="42"/>
        <v>0</v>
      </c>
      <c r="AG29" s="883">
        <f t="shared" si="42"/>
        <v>0</v>
      </c>
      <c r="AH29" s="883">
        <f t="shared" si="42"/>
        <v>0</v>
      </c>
      <c r="AI29" s="883">
        <f t="shared" si="42"/>
        <v>0</v>
      </c>
      <c r="AJ29" s="889">
        <f t="shared" si="8"/>
        <v>0</v>
      </c>
      <c r="AK29" s="885">
        <f t="shared" si="26"/>
        <v>0</v>
      </c>
      <c r="AL29" s="883">
        <f t="shared" si="21"/>
        <v>0</v>
      </c>
      <c r="AM29" s="883">
        <f t="shared" si="22"/>
        <v>0</v>
      </c>
      <c r="AN29" s="883">
        <f t="shared" si="23"/>
        <v>0</v>
      </c>
      <c r="AO29" s="883">
        <f t="shared" si="24"/>
        <v>0</v>
      </c>
      <c r="AP29" s="883">
        <f t="shared" si="25"/>
        <v>0</v>
      </c>
      <c r="AQ29" s="890">
        <f t="shared" si="10"/>
        <v>0</v>
      </c>
    </row>
    <row r="30" spans="1:43">
      <c r="A30" s="817"/>
      <c r="B30" s="865" t="s">
        <v>1611</v>
      </c>
      <c r="C30" s="883"/>
      <c r="D30" s="883"/>
      <c r="E30" s="883">
        <f>HLOOKUP($B$2,'Consumption Input'!$E$5:$AQ$82,'Consumption Input'!$B35)</f>
        <v>-1.5547839999999999</v>
      </c>
      <c r="F30" s="883"/>
      <c r="G30" s="883"/>
      <c r="H30" s="883"/>
      <c r="I30" s="883">
        <f t="shared" ref="I30:I41" si="47">SUM(C30:H30)</f>
        <v>-1.5547839999999999</v>
      </c>
      <c r="J30" s="884"/>
      <c r="K30" s="883"/>
      <c r="L30" s="883"/>
      <c r="M30" s="883"/>
      <c r="N30" s="885">
        <f t="shared" si="31"/>
        <v>0</v>
      </c>
      <c r="O30" s="883">
        <f t="shared" si="31"/>
        <v>0</v>
      </c>
      <c r="P30" s="883">
        <f t="shared" si="32"/>
        <v>-1.5547839999999999</v>
      </c>
      <c r="Q30" s="883">
        <f t="shared" si="33"/>
        <v>0</v>
      </c>
      <c r="R30" s="883">
        <f t="shared" si="34"/>
        <v>0</v>
      </c>
      <c r="S30" s="886">
        <f t="shared" si="35"/>
        <v>0</v>
      </c>
      <c r="T30" s="883">
        <f t="shared" si="4"/>
        <v>-1.5547839999999999</v>
      </c>
      <c r="U30" s="887">
        <f>Factors!D39</f>
        <v>18.87</v>
      </c>
      <c r="V30" s="885">
        <f t="shared" si="36"/>
        <v>0</v>
      </c>
      <c r="W30" s="883">
        <f t="shared" si="37"/>
        <v>0</v>
      </c>
      <c r="X30" s="883">
        <f t="shared" si="38"/>
        <v>-2.9338774080000001E-2</v>
      </c>
      <c r="Y30" s="883">
        <f t="shared" si="39"/>
        <v>0</v>
      </c>
      <c r="Z30" s="883">
        <f t="shared" si="40"/>
        <v>0</v>
      </c>
      <c r="AA30" s="883">
        <f t="shared" si="41"/>
        <v>0</v>
      </c>
      <c r="AB30" s="883">
        <f t="shared" si="6"/>
        <v>-2.9338774080000001E-2</v>
      </c>
      <c r="AC30" s="888">
        <f>Factors!E39</f>
        <v>1</v>
      </c>
      <c r="AD30" s="885">
        <f t="shared" si="42"/>
        <v>0</v>
      </c>
      <c r="AE30" s="883">
        <f t="shared" si="42"/>
        <v>0</v>
      </c>
      <c r="AF30" s="883">
        <f t="shared" si="42"/>
        <v>-2.9338774080000001E-2</v>
      </c>
      <c r="AG30" s="883">
        <f t="shared" si="42"/>
        <v>0</v>
      </c>
      <c r="AH30" s="883">
        <f t="shared" si="42"/>
        <v>0</v>
      </c>
      <c r="AI30" s="883">
        <f t="shared" si="42"/>
        <v>0</v>
      </c>
      <c r="AJ30" s="889">
        <f t="shared" si="8"/>
        <v>-2.9338774080000001E-2</v>
      </c>
      <c r="AK30" s="885">
        <f t="shared" si="26"/>
        <v>0</v>
      </c>
      <c r="AL30" s="883">
        <f t="shared" si="21"/>
        <v>0</v>
      </c>
      <c r="AM30" s="883">
        <f t="shared" si="22"/>
        <v>-0.10757550496</v>
      </c>
      <c r="AN30" s="883">
        <f t="shared" si="23"/>
        <v>0</v>
      </c>
      <c r="AO30" s="883">
        <f t="shared" si="24"/>
        <v>0</v>
      </c>
      <c r="AP30" s="883">
        <f t="shared" si="25"/>
        <v>0</v>
      </c>
      <c r="AQ30" s="890">
        <f t="shared" si="10"/>
        <v>-0.10757550496</v>
      </c>
    </row>
    <row r="31" spans="1:43">
      <c r="A31" s="817"/>
      <c r="B31" s="865" t="s">
        <v>1612</v>
      </c>
      <c r="C31" s="883"/>
      <c r="D31" s="883"/>
      <c r="E31" s="883">
        <f>HLOOKUP($B$2,'Consumption Input'!$E$5:$AQ$82,'Consumption Input'!$B36)</f>
        <v>0</v>
      </c>
      <c r="F31" s="883"/>
      <c r="G31" s="883"/>
      <c r="H31" s="883"/>
      <c r="I31" s="883">
        <f t="shared" si="47"/>
        <v>0</v>
      </c>
      <c r="J31" s="884"/>
      <c r="K31" s="883"/>
      <c r="L31" s="883"/>
      <c r="M31" s="883"/>
      <c r="N31" s="885">
        <f t="shared" si="31"/>
        <v>0</v>
      </c>
      <c r="O31" s="883">
        <f t="shared" si="31"/>
        <v>0</v>
      </c>
      <c r="P31" s="883">
        <f t="shared" si="32"/>
        <v>0</v>
      </c>
      <c r="Q31" s="883">
        <f t="shared" si="33"/>
        <v>0</v>
      </c>
      <c r="R31" s="883">
        <f t="shared" si="34"/>
        <v>0</v>
      </c>
      <c r="S31" s="886">
        <f t="shared" si="35"/>
        <v>0</v>
      </c>
      <c r="T31" s="883">
        <f t="shared" si="4"/>
        <v>0</v>
      </c>
      <c r="U31" s="887">
        <f>HLOOKUP($B$2,Factors!$J$12:$BE$25,Factors!$H25,FALSE)</f>
        <v>20.305515594827586</v>
      </c>
      <c r="V31" s="885">
        <f t="shared" si="36"/>
        <v>0</v>
      </c>
      <c r="W31" s="883">
        <f t="shared" si="37"/>
        <v>0</v>
      </c>
      <c r="X31" s="883">
        <f t="shared" si="38"/>
        <v>0</v>
      </c>
      <c r="Y31" s="883">
        <f t="shared" si="39"/>
        <v>0</v>
      </c>
      <c r="Z31" s="883">
        <f t="shared" si="40"/>
        <v>0</v>
      </c>
      <c r="AA31" s="883">
        <f t="shared" si="41"/>
        <v>0</v>
      </c>
      <c r="AB31" s="883">
        <f t="shared" si="6"/>
        <v>0</v>
      </c>
      <c r="AC31" s="888">
        <f>Factors!E40</f>
        <v>1</v>
      </c>
      <c r="AD31" s="885">
        <f t="shared" si="42"/>
        <v>0</v>
      </c>
      <c r="AE31" s="883">
        <f t="shared" si="42"/>
        <v>0</v>
      </c>
      <c r="AF31" s="883">
        <f t="shared" si="42"/>
        <v>0</v>
      </c>
      <c r="AG31" s="883">
        <f t="shared" si="42"/>
        <v>0</v>
      </c>
      <c r="AH31" s="883">
        <f t="shared" si="42"/>
        <v>0</v>
      </c>
      <c r="AI31" s="883">
        <f t="shared" si="42"/>
        <v>0</v>
      </c>
      <c r="AJ31" s="889">
        <f t="shared" si="8"/>
        <v>0</v>
      </c>
      <c r="AK31" s="885">
        <f t="shared" si="26"/>
        <v>0</v>
      </c>
      <c r="AL31" s="883">
        <f t="shared" si="21"/>
        <v>0</v>
      </c>
      <c r="AM31" s="883">
        <f t="shared" si="22"/>
        <v>0</v>
      </c>
      <c r="AN31" s="883">
        <f t="shared" si="23"/>
        <v>0</v>
      </c>
      <c r="AO31" s="883">
        <f t="shared" si="24"/>
        <v>0</v>
      </c>
      <c r="AP31" s="883">
        <f t="shared" si="25"/>
        <v>0</v>
      </c>
      <c r="AQ31" s="890">
        <f t="shared" si="10"/>
        <v>0</v>
      </c>
    </row>
    <row r="32" spans="1:43">
      <c r="A32" s="817"/>
      <c r="B32" s="865" t="s">
        <v>1613</v>
      </c>
      <c r="C32" s="883"/>
      <c r="D32" s="883"/>
      <c r="E32" s="883">
        <f>HLOOKUP($B$2,'Consumption Input'!$E$5:$AQ$82,'Consumption Input'!$B37)</f>
        <v>0</v>
      </c>
      <c r="F32" s="883"/>
      <c r="G32" s="883"/>
      <c r="H32" s="883"/>
      <c r="I32" s="883">
        <f t="shared" si="47"/>
        <v>0</v>
      </c>
      <c r="J32" s="884"/>
      <c r="K32" s="883"/>
      <c r="L32" s="883"/>
      <c r="M32" s="883"/>
      <c r="N32" s="885">
        <f t="shared" si="31"/>
        <v>0</v>
      </c>
      <c r="O32" s="883">
        <f t="shared" si="31"/>
        <v>0</v>
      </c>
      <c r="P32" s="883">
        <f t="shared" si="32"/>
        <v>0</v>
      </c>
      <c r="Q32" s="883">
        <f t="shared" si="33"/>
        <v>0</v>
      </c>
      <c r="R32" s="883">
        <f t="shared" si="34"/>
        <v>0</v>
      </c>
      <c r="S32" s="886">
        <f t="shared" si="35"/>
        <v>0</v>
      </c>
      <c r="T32" s="883">
        <f t="shared" si="4"/>
        <v>0</v>
      </c>
      <c r="U32" s="887">
        <f>HLOOKUP($B$2,Factors!$J$12:$BE$25,Factors!$H22,FALSE)</f>
        <v>19.456118437849259</v>
      </c>
      <c r="V32" s="885">
        <f t="shared" si="36"/>
        <v>0</v>
      </c>
      <c r="W32" s="883">
        <f t="shared" si="37"/>
        <v>0</v>
      </c>
      <c r="X32" s="883">
        <f t="shared" si="38"/>
        <v>0</v>
      </c>
      <c r="Y32" s="883">
        <f t="shared" si="39"/>
        <v>0</v>
      </c>
      <c r="Z32" s="883">
        <f t="shared" si="40"/>
        <v>0</v>
      </c>
      <c r="AA32" s="883">
        <f t="shared" si="41"/>
        <v>0</v>
      </c>
      <c r="AB32" s="883">
        <f t="shared" si="6"/>
        <v>0</v>
      </c>
      <c r="AC32" s="888">
        <f>Factors!E41</f>
        <v>1</v>
      </c>
      <c r="AD32" s="885">
        <f t="shared" si="42"/>
        <v>0</v>
      </c>
      <c r="AE32" s="883">
        <f t="shared" si="42"/>
        <v>0</v>
      </c>
      <c r="AF32" s="883">
        <f t="shared" si="42"/>
        <v>0</v>
      </c>
      <c r="AG32" s="883">
        <f t="shared" si="42"/>
        <v>0</v>
      </c>
      <c r="AH32" s="883">
        <f t="shared" si="42"/>
        <v>0</v>
      </c>
      <c r="AI32" s="883">
        <f t="shared" si="42"/>
        <v>0</v>
      </c>
      <c r="AJ32" s="889">
        <f t="shared" si="8"/>
        <v>0</v>
      </c>
      <c r="AK32" s="885">
        <f t="shared" si="26"/>
        <v>0</v>
      </c>
      <c r="AL32" s="883">
        <f t="shared" si="21"/>
        <v>0</v>
      </c>
      <c r="AM32" s="883">
        <f t="shared" si="22"/>
        <v>0</v>
      </c>
      <c r="AN32" s="883">
        <f t="shared" si="23"/>
        <v>0</v>
      </c>
      <c r="AO32" s="883">
        <f t="shared" si="24"/>
        <v>0</v>
      </c>
      <c r="AP32" s="883">
        <f t="shared" si="25"/>
        <v>0</v>
      </c>
      <c r="AQ32" s="890">
        <f t="shared" si="10"/>
        <v>0</v>
      </c>
    </row>
    <row r="33" spans="1:43">
      <c r="A33" s="817"/>
      <c r="B33" s="865" t="s">
        <v>1739</v>
      </c>
      <c r="C33" s="883"/>
      <c r="D33" s="883"/>
      <c r="E33" s="883">
        <f>HLOOKUP($B$2,'Consumption Input'!$E$5:$AQ$82,'Consumption Input'!$B38)</f>
        <v>197.967787668</v>
      </c>
      <c r="F33" s="883"/>
      <c r="G33" s="883"/>
      <c r="H33" s="883">
        <f>HLOOKUP($B$2,'US Territories'!$D$28:$AO$38,'US Territories'!$B38)</f>
        <v>2.5334746689039065</v>
      </c>
      <c r="I33" s="883">
        <f t="shared" si="47"/>
        <v>200.50126233690389</v>
      </c>
      <c r="J33" s="884"/>
      <c r="K33" s="883">
        <f>HLOOKUP($B$2,NEUConsumption,'Non-Energy Use'!C22)</f>
        <v>197.967787668</v>
      </c>
      <c r="L33" s="883"/>
      <c r="M33" s="883">
        <f>HLOOKUP($B$2,NEUConsumption,'Non-Energy Use'!$C$27)</f>
        <v>2.5334746689039065</v>
      </c>
      <c r="N33" s="885">
        <f t="shared" si="31"/>
        <v>0</v>
      </c>
      <c r="O33" s="883">
        <f t="shared" si="31"/>
        <v>0</v>
      </c>
      <c r="P33" s="883">
        <f t="shared" si="32"/>
        <v>0</v>
      </c>
      <c r="Q33" s="883">
        <f t="shared" si="33"/>
        <v>0</v>
      </c>
      <c r="R33" s="883">
        <f t="shared" si="34"/>
        <v>0</v>
      </c>
      <c r="S33" s="886">
        <f t="shared" si="35"/>
        <v>0</v>
      </c>
      <c r="T33" s="883">
        <f t="shared" si="4"/>
        <v>0</v>
      </c>
      <c r="U33" s="887">
        <f>HLOOKUP($B$2,Factors!$J$12:$BE$25,Factors!$H23,FALSE)</f>
        <v>0</v>
      </c>
      <c r="V33" s="885">
        <f t="shared" si="36"/>
        <v>0</v>
      </c>
      <c r="W33" s="883">
        <f t="shared" si="37"/>
        <v>0</v>
      </c>
      <c r="X33" s="883">
        <f t="shared" si="38"/>
        <v>0</v>
      </c>
      <c r="Y33" s="883">
        <f t="shared" si="39"/>
        <v>0</v>
      </c>
      <c r="Z33" s="883">
        <f t="shared" si="40"/>
        <v>0</v>
      </c>
      <c r="AA33" s="883">
        <f t="shared" si="41"/>
        <v>0</v>
      </c>
      <c r="AB33" s="883">
        <f t="shared" si="6"/>
        <v>0</v>
      </c>
      <c r="AC33" s="888">
        <f>Factors!E42</f>
        <v>1</v>
      </c>
      <c r="AD33" s="885">
        <f t="shared" si="42"/>
        <v>0</v>
      </c>
      <c r="AE33" s="883">
        <f t="shared" si="42"/>
        <v>0</v>
      </c>
      <c r="AF33" s="883">
        <f t="shared" si="42"/>
        <v>0</v>
      </c>
      <c r="AG33" s="883">
        <f t="shared" si="42"/>
        <v>0</v>
      </c>
      <c r="AH33" s="883">
        <f t="shared" si="42"/>
        <v>0</v>
      </c>
      <c r="AI33" s="883">
        <f t="shared" si="42"/>
        <v>0</v>
      </c>
      <c r="AJ33" s="889">
        <f t="shared" si="8"/>
        <v>0</v>
      </c>
      <c r="AK33" s="885">
        <f t="shared" si="26"/>
        <v>0</v>
      </c>
      <c r="AL33" s="883">
        <f t="shared" si="21"/>
        <v>0</v>
      </c>
      <c r="AM33" s="883">
        <f t="shared" si="22"/>
        <v>0</v>
      </c>
      <c r="AN33" s="883">
        <f t="shared" si="23"/>
        <v>0</v>
      </c>
      <c r="AO33" s="883">
        <f t="shared" si="24"/>
        <v>0</v>
      </c>
      <c r="AP33" s="883">
        <f t="shared" si="25"/>
        <v>0</v>
      </c>
      <c r="AQ33" s="890">
        <f t="shared" si="10"/>
        <v>0</v>
      </c>
    </row>
    <row r="34" spans="1:43">
      <c r="A34" s="817"/>
      <c r="B34" s="865" t="s">
        <v>1615</v>
      </c>
      <c r="C34" s="883"/>
      <c r="D34" s="883"/>
      <c r="E34" s="883">
        <f>HLOOKUP($B$2,'Consumption Input'!$E$5:$AQ$82,'Consumption Input'!$B39)</f>
        <v>447.08761600000003</v>
      </c>
      <c r="F34" s="883"/>
      <c r="G34" s="883"/>
      <c r="H34" s="883"/>
      <c r="I34" s="883">
        <f t="shared" si="47"/>
        <v>447.08761600000003</v>
      </c>
      <c r="J34" s="884"/>
      <c r="K34" s="883">
        <f>HLOOKUP($B$2,NEUConsumption,'Non-Energy Use'!C14)</f>
        <v>447.08761600000003</v>
      </c>
      <c r="L34" s="883"/>
      <c r="M34" s="883"/>
      <c r="N34" s="885">
        <f t="shared" si="31"/>
        <v>0</v>
      </c>
      <c r="O34" s="883">
        <f t="shared" si="31"/>
        <v>0</v>
      </c>
      <c r="P34" s="883">
        <f t="shared" si="32"/>
        <v>0</v>
      </c>
      <c r="Q34" s="883">
        <f t="shared" si="33"/>
        <v>0</v>
      </c>
      <c r="R34" s="883">
        <f t="shared" si="34"/>
        <v>0</v>
      </c>
      <c r="S34" s="886">
        <f t="shared" si="35"/>
        <v>0</v>
      </c>
      <c r="T34" s="883">
        <f t="shared" si="4"/>
        <v>0</v>
      </c>
      <c r="U34" s="887">
        <f>Factors!D44</f>
        <v>18.550649350649344</v>
      </c>
      <c r="V34" s="885">
        <f t="shared" si="36"/>
        <v>0</v>
      </c>
      <c r="W34" s="883">
        <f t="shared" si="37"/>
        <v>0</v>
      </c>
      <c r="X34" s="883">
        <f t="shared" si="38"/>
        <v>0</v>
      </c>
      <c r="Y34" s="883">
        <f t="shared" si="39"/>
        <v>0</v>
      </c>
      <c r="Z34" s="883">
        <f t="shared" si="40"/>
        <v>0</v>
      </c>
      <c r="AA34" s="883">
        <f t="shared" si="41"/>
        <v>0</v>
      </c>
      <c r="AB34" s="883">
        <f t="shared" si="6"/>
        <v>0</v>
      </c>
      <c r="AC34" s="888">
        <f>Factors!E44</f>
        <v>1</v>
      </c>
      <c r="AD34" s="885">
        <f t="shared" si="42"/>
        <v>0</v>
      </c>
      <c r="AE34" s="883">
        <f t="shared" si="42"/>
        <v>0</v>
      </c>
      <c r="AF34" s="883">
        <f t="shared" si="42"/>
        <v>0</v>
      </c>
      <c r="AG34" s="883">
        <f t="shared" si="42"/>
        <v>0</v>
      </c>
      <c r="AH34" s="883">
        <f t="shared" si="42"/>
        <v>0</v>
      </c>
      <c r="AI34" s="883">
        <f t="shared" si="42"/>
        <v>0</v>
      </c>
      <c r="AJ34" s="889">
        <f t="shared" si="8"/>
        <v>0</v>
      </c>
      <c r="AK34" s="885">
        <f t="shared" si="26"/>
        <v>0</v>
      </c>
      <c r="AL34" s="883">
        <f t="shared" si="21"/>
        <v>0</v>
      </c>
      <c r="AM34" s="883">
        <f t="shared" si="22"/>
        <v>0</v>
      </c>
      <c r="AN34" s="883">
        <f t="shared" si="23"/>
        <v>0</v>
      </c>
      <c r="AO34" s="883">
        <f t="shared" si="24"/>
        <v>0</v>
      </c>
      <c r="AP34" s="883">
        <f t="shared" si="25"/>
        <v>0</v>
      </c>
      <c r="AQ34" s="890">
        <f t="shared" si="10"/>
        <v>0</v>
      </c>
    </row>
    <row r="35" spans="1:43">
      <c r="A35" s="817"/>
      <c r="B35" s="865" t="s">
        <v>1616</v>
      </c>
      <c r="C35" s="883"/>
      <c r="D35" s="883"/>
      <c r="E35" s="883">
        <f>HLOOKUP($B$2,'Consumption Input'!$E$5:$AQ$82,'Consumption Input'!$B40)</f>
        <v>239.0813</v>
      </c>
      <c r="F35" s="883"/>
      <c r="G35" s="883"/>
      <c r="H35" s="883"/>
      <c r="I35" s="883">
        <f t="shared" si="47"/>
        <v>239.0813</v>
      </c>
      <c r="J35" s="884"/>
      <c r="K35" s="883">
        <f>HLOOKUP($B$2,NEUConsumption,'Non-Energy Use'!$C$15)</f>
        <v>239.0813</v>
      </c>
      <c r="L35" s="883"/>
      <c r="M35" s="883"/>
      <c r="N35" s="885">
        <f t="shared" si="31"/>
        <v>0</v>
      </c>
      <c r="O35" s="883">
        <f t="shared" si="31"/>
        <v>0</v>
      </c>
      <c r="P35" s="883">
        <f t="shared" si="32"/>
        <v>0</v>
      </c>
      <c r="Q35" s="883">
        <f t="shared" si="33"/>
        <v>0</v>
      </c>
      <c r="R35" s="883">
        <f t="shared" si="34"/>
        <v>0</v>
      </c>
      <c r="S35" s="886">
        <f t="shared" si="35"/>
        <v>0</v>
      </c>
      <c r="T35" s="883">
        <f t="shared" si="4"/>
        <v>0</v>
      </c>
      <c r="U35" s="887">
        <f>Factors!D45</f>
        <v>20.170000000000002</v>
      </c>
      <c r="V35" s="885">
        <f t="shared" si="36"/>
        <v>0</v>
      </c>
      <c r="W35" s="883">
        <f t="shared" si="37"/>
        <v>0</v>
      </c>
      <c r="X35" s="883">
        <f t="shared" si="38"/>
        <v>0</v>
      </c>
      <c r="Y35" s="883">
        <f t="shared" si="39"/>
        <v>0</v>
      </c>
      <c r="Z35" s="883">
        <f t="shared" si="40"/>
        <v>0</v>
      </c>
      <c r="AA35" s="883">
        <f t="shared" si="41"/>
        <v>0</v>
      </c>
      <c r="AB35" s="883">
        <f t="shared" si="6"/>
        <v>0</v>
      </c>
      <c r="AC35" s="888">
        <f>Factors!E45</f>
        <v>1</v>
      </c>
      <c r="AD35" s="885">
        <f t="shared" si="42"/>
        <v>0</v>
      </c>
      <c r="AE35" s="883">
        <f t="shared" si="42"/>
        <v>0</v>
      </c>
      <c r="AF35" s="883">
        <f t="shared" si="42"/>
        <v>0</v>
      </c>
      <c r="AG35" s="883">
        <f t="shared" si="42"/>
        <v>0</v>
      </c>
      <c r="AH35" s="883">
        <f t="shared" si="42"/>
        <v>0</v>
      </c>
      <c r="AI35" s="883">
        <f t="shared" si="42"/>
        <v>0</v>
      </c>
      <c r="AJ35" s="889">
        <f t="shared" si="8"/>
        <v>0</v>
      </c>
      <c r="AK35" s="885">
        <f t="shared" si="26"/>
        <v>0</v>
      </c>
      <c r="AL35" s="883">
        <f t="shared" si="21"/>
        <v>0</v>
      </c>
      <c r="AM35" s="883">
        <f t="shared" si="22"/>
        <v>0</v>
      </c>
      <c r="AN35" s="883">
        <f t="shared" si="23"/>
        <v>0</v>
      </c>
      <c r="AO35" s="883">
        <f t="shared" si="24"/>
        <v>0</v>
      </c>
      <c r="AP35" s="883">
        <f t="shared" si="25"/>
        <v>0</v>
      </c>
      <c r="AQ35" s="890">
        <f t="shared" si="10"/>
        <v>0</v>
      </c>
    </row>
    <row r="36" spans="1:43">
      <c r="A36" s="817"/>
      <c r="B36" s="865" t="s">
        <v>1617</v>
      </c>
      <c r="C36" s="883"/>
      <c r="D36" s="883"/>
      <c r="E36" s="883">
        <f>HLOOKUP($B$2,'Consumption Input'!$E$5:$AQ$82,'Consumption Input'!$B41)</f>
        <v>0</v>
      </c>
      <c r="F36" s="883"/>
      <c r="G36" s="883"/>
      <c r="H36" s="883"/>
      <c r="I36" s="883">
        <f t="shared" si="47"/>
        <v>0</v>
      </c>
      <c r="J36" s="884"/>
      <c r="K36" s="883">
        <f>HLOOKUP($B$2,NEUConsumption,'Non-Energy Use'!$C$13)</f>
        <v>0</v>
      </c>
      <c r="L36" s="883"/>
      <c r="M36" s="883"/>
      <c r="N36" s="885">
        <f t="shared" si="31"/>
        <v>0</v>
      </c>
      <c r="O36" s="883">
        <f t="shared" si="31"/>
        <v>0</v>
      </c>
      <c r="P36" s="883">
        <f t="shared" si="32"/>
        <v>0</v>
      </c>
      <c r="Q36" s="883">
        <f t="shared" si="33"/>
        <v>0</v>
      </c>
      <c r="R36" s="883">
        <f t="shared" si="34"/>
        <v>0</v>
      </c>
      <c r="S36" s="886">
        <f t="shared" si="35"/>
        <v>0</v>
      </c>
      <c r="T36" s="883">
        <f t="shared" si="4"/>
        <v>0</v>
      </c>
      <c r="U36" s="887">
        <f>Factors!D46</f>
        <v>18.239999999999998</v>
      </c>
      <c r="V36" s="885">
        <f t="shared" si="36"/>
        <v>0</v>
      </c>
      <c r="W36" s="883">
        <f t="shared" si="37"/>
        <v>0</v>
      </c>
      <c r="X36" s="883">
        <f t="shared" si="38"/>
        <v>0</v>
      </c>
      <c r="Y36" s="883">
        <f t="shared" si="39"/>
        <v>0</v>
      </c>
      <c r="Z36" s="883">
        <f t="shared" si="40"/>
        <v>0</v>
      </c>
      <c r="AA36" s="883">
        <f t="shared" si="41"/>
        <v>0</v>
      </c>
      <c r="AB36" s="883">
        <f t="shared" si="6"/>
        <v>0</v>
      </c>
      <c r="AC36" s="888">
        <f>Factors!E46</f>
        <v>1</v>
      </c>
      <c r="AD36" s="885">
        <f t="shared" ref="AD36:AI42" si="48">V36*$AC36</f>
        <v>0</v>
      </c>
      <c r="AE36" s="883">
        <f t="shared" si="48"/>
        <v>0</v>
      </c>
      <c r="AF36" s="883">
        <f t="shared" si="48"/>
        <v>0</v>
      </c>
      <c r="AG36" s="883">
        <f t="shared" si="48"/>
        <v>0</v>
      </c>
      <c r="AH36" s="883">
        <f t="shared" si="48"/>
        <v>0</v>
      </c>
      <c r="AI36" s="883">
        <f t="shared" si="48"/>
        <v>0</v>
      </c>
      <c r="AJ36" s="889">
        <f t="shared" si="8"/>
        <v>0</v>
      </c>
      <c r="AK36" s="885">
        <f t="shared" si="26"/>
        <v>0</v>
      </c>
      <c r="AL36" s="883">
        <f t="shared" si="21"/>
        <v>0</v>
      </c>
      <c r="AM36" s="883">
        <f t="shared" si="22"/>
        <v>0</v>
      </c>
      <c r="AN36" s="883">
        <f t="shared" si="23"/>
        <v>0</v>
      </c>
      <c r="AO36" s="883">
        <f t="shared" si="24"/>
        <v>0</v>
      </c>
      <c r="AP36" s="883">
        <f t="shared" si="25"/>
        <v>0</v>
      </c>
      <c r="AQ36" s="890">
        <f t="shared" si="10"/>
        <v>0</v>
      </c>
    </row>
    <row r="37" spans="1:43">
      <c r="A37" s="817"/>
      <c r="B37" s="865" t="s">
        <v>1604</v>
      </c>
      <c r="C37" s="883"/>
      <c r="D37" s="883">
        <f>HLOOKUP($B$2,'Consumption Input'!$E$5:$AQ$82,'Consumption Input'!$B21)</f>
        <v>0.35399999999999998</v>
      </c>
      <c r="E37" s="883">
        <f>HLOOKUP($B$2,'Consumption Input'!$E$5:$AQ$82,'Consumption Input'!$B42)</f>
        <v>628.62300000000005</v>
      </c>
      <c r="F37" s="883"/>
      <c r="G37" s="883">
        <f>HLOOKUP($B$2,'Consumption Input'!$E$5:$AQ$82,'Consumption Input'!$B63)</f>
        <v>101.482</v>
      </c>
      <c r="H37" s="883"/>
      <c r="I37" s="883">
        <f t="shared" si="47"/>
        <v>730.45900000000006</v>
      </c>
      <c r="J37" s="884"/>
      <c r="K37" s="883">
        <f>HLOOKUP($B$2,NEUConsumption,'Non-Energy Use'!$C$17)</f>
        <v>58.860714737658327</v>
      </c>
      <c r="L37" s="883"/>
      <c r="M37" s="883"/>
      <c r="N37" s="885">
        <f t="shared" si="31"/>
        <v>0</v>
      </c>
      <c r="O37" s="883">
        <f t="shared" si="31"/>
        <v>0.35399999999999998</v>
      </c>
      <c r="P37" s="883">
        <f t="shared" si="32"/>
        <v>569.76228526234172</v>
      </c>
      <c r="Q37" s="883">
        <f t="shared" si="33"/>
        <v>0</v>
      </c>
      <c r="R37" s="883">
        <f t="shared" si="34"/>
        <v>101.482</v>
      </c>
      <c r="S37" s="886">
        <f t="shared" si="35"/>
        <v>0</v>
      </c>
      <c r="T37" s="883">
        <f t="shared" si="4"/>
        <v>671.59828526234173</v>
      </c>
      <c r="U37" s="887">
        <f>Factors!D48</f>
        <v>27.84770010865628</v>
      </c>
      <c r="V37" s="885">
        <f t="shared" si="36"/>
        <v>0</v>
      </c>
      <c r="W37" s="883">
        <f t="shared" si="37"/>
        <v>9.8580858384643231E-3</v>
      </c>
      <c r="X37" s="883">
        <f t="shared" si="38"/>
        <v>15.866569253208363</v>
      </c>
      <c r="Y37" s="883">
        <f t="shared" si="39"/>
        <v>0</v>
      </c>
      <c r="Z37" s="883">
        <f t="shared" si="40"/>
        <v>2.8260403024266565</v>
      </c>
      <c r="AA37" s="883">
        <f t="shared" si="41"/>
        <v>0</v>
      </c>
      <c r="AB37" s="883">
        <f t="shared" si="6"/>
        <v>18.702467641473483</v>
      </c>
      <c r="AC37" s="888">
        <f>Factors!E48</f>
        <v>1</v>
      </c>
      <c r="AD37" s="885">
        <f t="shared" si="48"/>
        <v>0</v>
      </c>
      <c r="AE37" s="883">
        <f t="shared" si="48"/>
        <v>9.8580858384643231E-3</v>
      </c>
      <c r="AF37" s="883">
        <f t="shared" si="48"/>
        <v>15.866569253208363</v>
      </c>
      <c r="AG37" s="883">
        <f t="shared" si="48"/>
        <v>0</v>
      </c>
      <c r="AH37" s="883">
        <f t="shared" si="48"/>
        <v>2.8260403024266565</v>
      </c>
      <c r="AI37" s="883">
        <f t="shared" si="48"/>
        <v>0</v>
      </c>
      <c r="AJ37" s="889">
        <f t="shared" si="8"/>
        <v>18.702467641473483</v>
      </c>
      <c r="AK37" s="885">
        <f t="shared" si="26"/>
        <v>0</v>
      </c>
      <c r="AL37" s="883">
        <f t="shared" si="21"/>
        <v>3.614631474103585E-2</v>
      </c>
      <c r="AM37" s="883">
        <f t="shared" si="22"/>
        <v>58.177420595097331</v>
      </c>
      <c r="AN37" s="883">
        <f t="shared" si="23"/>
        <v>0</v>
      </c>
      <c r="AO37" s="883">
        <f t="shared" si="24"/>
        <v>10.362147775564408</v>
      </c>
      <c r="AP37" s="883">
        <f t="shared" si="25"/>
        <v>0</v>
      </c>
      <c r="AQ37" s="890">
        <f t="shared" si="10"/>
        <v>68.575714685402772</v>
      </c>
    </row>
    <row r="38" spans="1:43">
      <c r="A38" s="817"/>
      <c r="B38" s="865" t="s">
        <v>1618</v>
      </c>
      <c r="C38" s="883"/>
      <c r="D38" s="883"/>
      <c r="E38" s="883">
        <f>HLOOKUP($B$2,'Consumption Input'!$E$5:$AQ$82,'Consumption Input'!$B43)</f>
        <v>1612.156549</v>
      </c>
      <c r="F38" s="883"/>
      <c r="G38" s="883"/>
      <c r="H38" s="883"/>
      <c r="I38" s="883">
        <f t="shared" si="47"/>
        <v>1612.156549</v>
      </c>
      <c r="J38" s="884"/>
      <c r="K38" s="883">
        <f>HLOOKUP($B$2,NEUConsumption,'Non-Energy Use'!$C$16)</f>
        <v>166.88300781108319</v>
      </c>
      <c r="L38" s="883"/>
      <c r="M38" s="883"/>
      <c r="N38" s="885">
        <f t="shared" si="31"/>
        <v>0</v>
      </c>
      <c r="O38" s="883">
        <f t="shared" si="31"/>
        <v>0</v>
      </c>
      <c r="P38" s="883">
        <f t="shared" si="32"/>
        <v>1445.2735411889169</v>
      </c>
      <c r="Q38" s="883">
        <f t="shared" si="33"/>
        <v>0</v>
      </c>
      <c r="R38" s="883">
        <f t="shared" si="34"/>
        <v>0</v>
      </c>
      <c r="S38" s="886">
        <f t="shared" si="35"/>
        <v>0</v>
      </c>
      <c r="T38" s="883">
        <f t="shared" si="4"/>
        <v>1445.2735411889169</v>
      </c>
      <c r="U38" s="887">
        <f>Factors!D51</f>
        <v>18.195454545454545</v>
      </c>
      <c r="V38" s="885">
        <f t="shared" si="36"/>
        <v>0</v>
      </c>
      <c r="W38" s="883">
        <f t="shared" si="37"/>
        <v>0</v>
      </c>
      <c r="X38" s="883">
        <f t="shared" si="38"/>
        <v>26.297409024451063</v>
      </c>
      <c r="Y38" s="883">
        <f t="shared" si="39"/>
        <v>0</v>
      </c>
      <c r="Z38" s="883">
        <f t="shared" si="40"/>
        <v>0</v>
      </c>
      <c r="AA38" s="883">
        <f t="shared" si="41"/>
        <v>0</v>
      </c>
      <c r="AB38" s="883">
        <f t="shared" si="6"/>
        <v>26.297409024451063</v>
      </c>
      <c r="AC38" s="888">
        <f>Factors!E51</f>
        <v>1</v>
      </c>
      <c r="AD38" s="885">
        <f t="shared" si="48"/>
        <v>0</v>
      </c>
      <c r="AE38" s="883">
        <f t="shared" si="48"/>
        <v>0</v>
      </c>
      <c r="AF38" s="883">
        <f t="shared" si="48"/>
        <v>26.297409024451063</v>
      </c>
      <c r="AG38" s="883">
        <f t="shared" si="48"/>
        <v>0</v>
      </c>
      <c r="AH38" s="883">
        <f t="shared" si="48"/>
        <v>0</v>
      </c>
      <c r="AI38" s="883">
        <f t="shared" si="48"/>
        <v>0</v>
      </c>
      <c r="AJ38" s="889">
        <f t="shared" si="8"/>
        <v>26.297409024451063</v>
      </c>
      <c r="AK38" s="885">
        <f t="shared" si="26"/>
        <v>0</v>
      </c>
      <c r="AL38" s="883">
        <f t="shared" si="21"/>
        <v>0</v>
      </c>
      <c r="AM38" s="883">
        <f t="shared" si="22"/>
        <v>96.423833089653897</v>
      </c>
      <c r="AN38" s="883">
        <f t="shared" si="23"/>
        <v>0</v>
      </c>
      <c r="AO38" s="883">
        <f t="shared" si="24"/>
        <v>0</v>
      </c>
      <c r="AP38" s="883">
        <f t="shared" si="25"/>
        <v>0</v>
      </c>
      <c r="AQ38" s="890">
        <f t="shared" si="10"/>
        <v>96.423833089653897</v>
      </c>
    </row>
    <row r="39" spans="1:43">
      <c r="A39" s="817"/>
      <c r="B39" s="865" t="s">
        <v>1619</v>
      </c>
      <c r="C39" s="883"/>
      <c r="D39" s="883"/>
      <c r="E39" s="883">
        <f>HLOOKUP($B$2,'Consumption Input'!$E$5:$AQ$82,'Consumption Input'!$B44)</f>
        <v>92.049919999999986</v>
      </c>
      <c r="F39" s="883"/>
      <c r="G39" s="883"/>
      <c r="H39" s="883"/>
      <c r="I39" s="883">
        <f t="shared" si="47"/>
        <v>92.049919999999986</v>
      </c>
      <c r="J39" s="884"/>
      <c r="K39" s="883">
        <f>HLOOKUP($B$2,NEUConsumption,'Non-Energy Use'!$C$18)</f>
        <v>92.049919999999986</v>
      </c>
      <c r="L39" s="883"/>
      <c r="M39" s="883"/>
      <c r="N39" s="885">
        <f t="shared" si="31"/>
        <v>0</v>
      </c>
      <c r="O39" s="883">
        <f t="shared" si="31"/>
        <v>0</v>
      </c>
      <c r="P39" s="883">
        <f t="shared" si="32"/>
        <v>0</v>
      </c>
      <c r="Q39" s="883">
        <f t="shared" si="33"/>
        <v>0</v>
      </c>
      <c r="R39" s="883">
        <f t="shared" si="34"/>
        <v>0</v>
      </c>
      <c r="S39" s="886">
        <f t="shared" si="35"/>
        <v>0</v>
      </c>
      <c r="T39" s="883">
        <f t="shared" si="4"/>
        <v>0</v>
      </c>
      <c r="U39" s="887">
        <f>Factors!D37</f>
        <v>19.737389135254986</v>
      </c>
      <c r="V39" s="885">
        <f t="shared" si="36"/>
        <v>0</v>
      </c>
      <c r="W39" s="883">
        <f t="shared" si="37"/>
        <v>0</v>
      </c>
      <c r="X39" s="883">
        <f t="shared" si="38"/>
        <v>0</v>
      </c>
      <c r="Y39" s="883">
        <f t="shared" si="39"/>
        <v>0</v>
      </c>
      <c r="Z39" s="883">
        <f t="shared" si="40"/>
        <v>0</v>
      </c>
      <c r="AA39" s="883">
        <f t="shared" si="41"/>
        <v>0</v>
      </c>
      <c r="AB39" s="883">
        <f t="shared" si="6"/>
        <v>0</v>
      </c>
      <c r="AC39" s="888">
        <f>Factors!E37</f>
        <v>1</v>
      </c>
      <c r="AD39" s="885">
        <f t="shared" si="48"/>
        <v>0</v>
      </c>
      <c r="AE39" s="883">
        <f t="shared" si="48"/>
        <v>0</v>
      </c>
      <c r="AF39" s="883">
        <f t="shared" si="48"/>
        <v>0</v>
      </c>
      <c r="AG39" s="883">
        <f t="shared" si="48"/>
        <v>0</v>
      </c>
      <c r="AH39" s="883">
        <f t="shared" si="48"/>
        <v>0</v>
      </c>
      <c r="AI39" s="883">
        <f t="shared" si="48"/>
        <v>0</v>
      </c>
      <c r="AJ39" s="889">
        <f t="shared" si="8"/>
        <v>0</v>
      </c>
      <c r="AK39" s="885">
        <f t="shared" si="26"/>
        <v>0</v>
      </c>
      <c r="AL39" s="883">
        <f t="shared" si="21"/>
        <v>0</v>
      </c>
      <c r="AM39" s="883">
        <f t="shared" si="22"/>
        <v>0</v>
      </c>
      <c r="AN39" s="883">
        <f t="shared" si="23"/>
        <v>0</v>
      </c>
      <c r="AO39" s="883">
        <f t="shared" si="24"/>
        <v>0</v>
      </c>
      <c r="AP39" s="883">
        <f t="shared" si="25"/>
        <v>0</v>
      </c>
      <c r="AQ39" s="890">
        <f t="shared" si="10"/>
        <v>0</v>
      </c>
    </row>
    <row r="40" spans="1:43">
      <c r="A40" s="817"/>
      <c r="B40" s="865" t="s">
        <v>1620</v>
      </c>
      <c r="C40" s="883"/>
      <c r="D40" s="883"/>
      <c r="E40" s="883">
        <f>HLOOKUP($B$2,'Consumption Input'!$E$5:$AQ$82,'Consumption Input'!$B45)</f>
        <v>0</v>
      </c>
      <c r="F40" s="883"/>
      <c r="G40" s="883"/>
      <c r="H40" s="883"/>
      <c r="I40" s="883">
        <f t="shared" si="47"/>
        <v>0</v>
      </c>
      <c r="J40" s="884"/>
      <c r="K40" s="883"/>
      <c r="L40" s="883"/>
      <c r="M40" s="883"/>
      <c r="N40" s="885">
        <f t="shared" si="31"/>
        <v>0</v>
      </c>
      <c r="O40" s="883">
        <f t="shared" si="31"/>
        <v>0</v>
      </c>
      <c r="P40" s="883">
        <f t="shared" si="32"/>
        <v>0</v>
      </c>
      <c r="Q40" s="883">
        <f t="shared" si="33"/>
        <v>0</v>
      </c>
      <c r="R40" s="883">
        <f t="shared" si="34"/>
        <v>0</v>
      </c>
      <c r="S40" s="886">
        <f t="shared" si="35"/>
        <v>0</v>
      </c>
      <c r="T40" s="883">
        <f t="shared" si="4"/>
        <v>0</v>
      </c>
      <c r="U40" s="887">
        <f>HLOOKUP($B$2,Factors!$J$12:$BE$25,Factors!$H24,FALSE)</f>
        <v>20.305515594827586</v>
      </c>
      <c r="V40" s="885">
        <f t="shared" si="36"/>
        <v>0</v>
      </c>
      <c r="W40" s="883">
        <f t="shared" si="37"/>
        <v>0</v>
      </c>
      <c r="X40" s="883">
        <f t="shared" si="38"/>
        <v>0</v>
      </c>
      <c r="Y40" s="883">
        <f t="shared" si="39"/>
        <v>0</v>
      </c>
      <c r="Z40" s="883">
        <f t="shared" si="40"/>
        <v>0</v>
      </c>
      <c r="AA40" s="883">
        <f t="shared" si="41"/>
        <v>0</v>
      </c>
      <c r="AB40" s="883">
        <f t="shared" si="6"/>
        <v>0</v>
      </c>
      <c r="AC40" s="888">
        <f>Factors!E53</f>
        <v>1</v>
      </c>
      <c r="AD40" s="885">
        <f t="shared" si="48"/>
        <v>0</v>
      </c>
      <c r="AE40" s="883">
        <f t="shared" si="48"/>
        <v>0</v>
      </c>
      <c r="AF40" s="883">
        <f t="shared" si="48"/>
        <v>0</v>
      </c>
      <c r="AG40" s="883">
        <f t="shared" si="48"/>
        <v>0</v>
      </c>
      <c r="AH40" s="883">
        <f t="shared" si="48"/>
        <v>0</v>
      </c>
      <c r="AI40" s="883">
        <f t="shared" si="48"/>
        <v>0</v>
      </c>
      <c r="AJ40" s="889">
        <f t="shared" si="8"/>
        <v>0</v>
      </c>
      <c r="AK40" s="885">
        <f t="shared" si="26"/>
        <v>0</v>
      </c>
      <c r="AL40" s="883">
        <f t="shared" si="21"/>
        <v>0</v>
      </c>
      <c r="AM40" s="883">
        <f t="shared" si="22"/>
        <v>0</v>
      </c>
      <c r="AN40" s="883">
        <f t="shared" si="23"/>
        <v>0</v>
      </c>
      <c r="AO40" s="883">
        <f t="shared" si="24"/>
        <v>0</v>
      </c>
      <c r="AP40" s="883">
        <f t="shared" si="25"/>
        <v>0</v>
      </c>
      <c r="AQ40" s="890">
        <f t="shared" si="10"/>
        <v>0</v>
      </c>
    </row>
    <row r="41" spans="1:43">
      <c r="A41" s="817"/>
      <c r="B41" s="865" t="s">
        <v>1621</v>
      </c>
      <c r="C41" s="883"/>
      <c r="D41" s="883"/>
      <c r="E41" s="883">
        <f>HLOOKUP($B$2,'Consumption Input'!$E$5:$AQ$82,'Consumption Input'!$B46)</f>
        <v>12.411722589</v>
      </c>
      <c r="F41" s="883"/>
      <c r="G41" s="883"/>
      <c r="H41" s="883"/>
      <c r="I41" s="883">
        <f t="shared" si="47"/>
        <v>12.411722589</v>
      </c>
      <c r="J41" s="884"/>
      <c r="K41" s="883">
        <f>HLOOKUP($B$2,NEUConsumption,'Non-Energy Use'!$C$21)</f>
        <v>12.411722589</v>
      </c>
      <c r="L41" s="883"/>
      <c r="M41" s="883"/>
      <c r="N41" s="885">
        <f t="shared" si="31"/>
        <v>0</v>
      </c>
      <c r="O41" s="883">
        <f t="shared" si="31"/>
        <v>0</v>
      </c>
      <c r="P41" s="883">
        <f t="shared" si="32"/>
        <v>0</v>
      </c>
      <c r="Q41" s="883">
        <f t="shared" si="33"/>
        <v>0</v>
      </c>
      <c r="R41" s="883">
        <f t="shared" si="34"/>
        <v>0</v>
      </c>
      <c r="S41" s="886">
        <f t="shared" si="35"/>
        <v>0</v>
      </c>
      <c r="T41" s="883">
        <f t="shared" si="4"/>
        <v>0</v>
      </c>
      <c r="U41" s="887">
        <f>Factors!D55</f>
        <v>19.795754182606267</v>
      </c>
      <c r="V41" s="899">
        <f t="shared" si="36"/>
        <v>0</v>
      </c>
      <c r="W41" s="900">
        <f t="shared" si="37"/>
        <v>0</v>
      </c>
      <c r="X41" s="900">
        <f t="shared" si="38"/>
        <v>0</v>
      </c>
      <c r="Y41" s="900">
        <f t="shared" si="39"/>
        <v>0</v>
      </c>
      <c r="Z41" s="900">
        <f t="shared" si="40"/>
        <v>0</v>
      </c>
      <c r="AA41" s="900">
        <f t="shared" si="41"/>
        <v>0</v>
      </c>
      <c r="AB41" s="883">
        <f t="shared" si="6"/>
        <v>0</v>
      </c>
      <c r="AC41" s="888">
        <f>Factors!E55</f>
        <v>1</v>
      </c>
      <c r="AD41" s="885">
        <f t="shared" si="48"/>
        <v>0</v>
      </c>
      <c r="AE41" s="883">
        <f t="shared" si="48"/>
        <v>0</v>
      </c>
      <c r="AF41" s="883">
        <f t="shared" si="48"/>
        <v>0</v>
      </c>
      <c r="AG41" s="883">
        <f t="shared" si="48"/>
        <v>0</v>
      </c>
      <c r="AH41" s="883">
        <f t="shared" si="48"/>
        <v>0</v>
      </c>
      <c r="AI41" s="883">
        <f t="shared" si="48"/>
        <v>0</v>
      </c>
      <c r="AJ41" s="889">
        <f t="shared" si="8"/>
        <v>0</v>
      </c>
      <c r="AK41" s="885">
        <f t="shared" si="26"/>
        <v>0</v>
      </c>
      <c r="AL41" s="883">
        <f t="shared" si="21"/>
        <v>0</v>
      </c>
      <c r="AM41" s="883">
        <f t="shared" si="22"/>
        <v>0</v>
      </c>
      <c r="AN41" s="883">
        <f t="shared" si="23"/>
        <v>0</v>
      </c>
      <c r="AO41" s="883">
        <f t="shared" si="24"/>
        <v>0</v>
      </c>
      <c r="AP41" s="883">
        <f t="shared" si="25"/>
        <v>0</v>
      </c>
      <c r="AQ41" s="890">
        <f t="shared" si="10"/>
        <v>0</v>
      </c>
    </row>
    <row r="42" spans="1:43" ht="11.1" thickBot="1">
      <c r="A42" s="817"/>
      <c r="B42" s="866" t="s">
        <v>82</v>
      </c>
      <c r="C42" s="917"/>
      <c r="D42" s="917"/>
      <c r="E42" s="917"/>
      <c r="F42" s="917"/>
      <c r="G42" s="917">
        <f>INDEX(Geothermal!$C$6:$AG$10,MATCH("Total",Geothermal!$C$6:$C$10,0),MATCH($B$2,Geothermal!$C$6:$AG$6,0))/Factors!$J$61*Factors!$J$55/BBtuToBtu*BBtuToTBtu</f>
        <v>54.479861208000003</v>
      </c>
      <c r="H42" s="917"/>
      <c r="I42" s="917">
        <f>G42</f>
        <v>54.479861208000003</v>
      </c>
      <c r="J42" s="918"/>
      <c r="K42" s="919"/>
      <c r="L42" s="917"/>
      <c r="M42" s="920"/>
      <c r="N42" s="917">
        <f t="shared" si="31"/>
        <v>0</v>
      </c>
      <c r="O42" s="917">
        <f t="shared" si="31"/>
        <v>0</v>
      </c>
      <c r="P42" s="917">
        <f>E42</f>
        <v>0</v>
      </c>
      <c r="Q42" s="917">
        <f>F42</f>
        <v>0</v>
      </c>
      <c r="R42" s="917">
        <f t="shared" si="34"/>
        <v>54.479861208000003</v>
      </c>
      <c r="S42" s="917">
        <f>H42</f>
        <v>0</v>
      </c>
      <c r="T42" s="917">
        <f t="shared" si="4"/>
        <v>54.479861208000003</v>
      </c>
      <c r="U42" s="921">
        <f>Factors!D56</f>
        <v>2.6974658424810825</v>
      </c>
      <c r="V42" s="917"/>
      <c r="W42" s="917"/>
      <c r="X42" s="917"/>
      <c r="Y42" s="917"/>
      <c r="Z42" s="917">
        <f>INDEX(Geothermal!$C$14:$AG$18,MATCH("Total",Geothermal!$C$14:$C$18,0),MATCH($B$2,Geothermal!$C$14:$AG$14,0))/CtoCO2</f>
        <v>0.11038696933299054</v>
      </c>
      <c r="AA42" s="917"/>
      <c r="AB42" s="917">
        <f t="shared" si="6"/>
        <v>0.11038696933299054</v>
      </c>
      <c r="AC42" s="921">
        <f>Factors!$E$56</f>
        <v>1</v>
      </c>
      <c r="AD42" s="917">
        <f t="shared" si="48"/>
        <v>0</v>
      </c>
      <c r="AE42" s="917">
        <f t="shared" si="48"/>
        <v>0</v>
      </c>
      <c r="AF42" s="917">
        <f t="shared" si="48"/>
        <v>0</v>
      </c>
      <c r="AG42" s="917">
        <f t="shared" si="48"/>
        <v>0</v>
      </c>
      <c r="AH42" s="917">
        <f>Z42*$AC42</f>
        <v>0.11038696933299054</v>
      </c>
      <c r="AI42" s="917">
        <f t="shared" si="48"/>
        <v>0</v>
      </c>
      <c r="AJ42" s="920">
        <f t="shared" si="8"/>
        <v>0.11038696933299054</v>
      </c>
      <c r="AK42" s="919">
        <f t="shared" si="26"/>
        <v>0</v>
      </c>
      <c r="AL42" s="917">
        <f t="shared" si="21"/>
        <v>0</v>
      </c>
      <c r="AM42" s="917">
        <f t="shared" si="22"/>
        <v>0</v>
      </c>
      <c r="AN42" s="917">
        <f t="shared" si="23"/>
        <v>0</v>
      </c>
      <c r="AO42" s="917">
        <f t="shared" si="24"/>
        <v>0.40475222088763196</v>
      </c>
      <c r="AP42" s="917">
        <f t="shared" si="25"/>
        <v>0</v>
      </c>
      <c r="AQ42" s="920">
        <f t="shared" si="10"/>
        <v>0.40475222088763196</v>
      </c>
    </row>
    <row r="43" spans="1:43" ht="11.1" thickBot="1">
      <c r="A43" s="817"/>
      <c r="B43" s="867" t="s">
        <v>1740</v>
      </c>
      <c r="C43" s="922">
        <f>C8+C17+C18+C42</f>
        <v>6129.8707247370448</v>
      </c>
      <c r="D43" s="922">
        <f>D8+D17+D18+D42</f>
        <v>4397.8168118950462</v>
      </c>
      <c r="E43" s="922">
        <f>E8+E17+E18+E42</f>
        <v>18996.792479671851</v>
      </c>
      <c r="F43" s="922">
        <f>F8+F17+F18+F42</f>
        <v>27360.779745964061</v>
      </c>
      <c r="G43" s="922">
        <f>G8+G17+G18+G42</f>
        <v>23289.294861208</v>
      </c>
      <c r="H43" s="922">
        <f>H16+H17+H18+H42</f>
        <v>371.77084886443447</v>
      </c>
      <c r="I43" s="922">
        <f>SUM(C43:H43)</f>
        <v>80546.325472340424</v>
      </c>
      <c r="J43" s="923">
        <f t="shared" ref="J43:S43" si="49">J8+J17+J18+J42</f>
        <v>1699.6777071588529</v>
      </c>
      <c r="K43" s="924">
        <f t="shared" si="49"/>
        <v>5677.2605915868216</v>
      </c>
      <c r="L43" s="922">
        <f t="shared" si="49"/>
        <v>136.98599999999999</v>
      </c>
      <c r="M43" s="925">
        <f t="shared" si="49"/>
        <v>3.5746380564039066</v>
      </c>
      <c r="N43" s="922">
        <f t="shared" si="49"/>
        <v>6129.8707247370448</v>
      </c>
      <c r="O43" s="922">
        <f t="shared" si="49"/>
        <v>4397.8168118950462</v>
      </c>
      <c r="P43" s="922">
        <f t="shared" si="49"/>
        <v>13319.531888085025</v>
      </c>
      <c r="Q43" s="922">
        <f t="shared" si="49"/>
        <v>25524.116038805209</v>
      </c>
      <c r="R43" s="922">
        <f t="shared" si="49"/>
        <v>23289.294861208</v>
      </c>
      <c r="S43" s="922">
        <f t="shared" si="49"/>
        <v>368.19621080803051</v>
      </c>
      <c r="T43" s="922">
        <f t="shared" si="4"/>
        <v>73028.826535538363</v>
      </c>
      <c r="U43" s="926" t="s">
        <v>1731</v>
      </c>
      <c r="V43" s="922">
        <f t="shared" ref="V43:AA43" si="50">V8+V17+V18+V42</f>
        <v>92.438092493005229</v>
      </c>
      <c r="W43" s="922">
        <f t="shared" si="50"/>
        <v>67.171927239373346</v>
      </c>
      <c r="X43" s="922">
        <f t="shared" si="50"/>
        <v>219.6037859257996</v>
      </c>
      <c r="Y43" s="922">
        <f t="shared" si="50"/>
        <v>494.4912678498672</v>
      </c>
      <c r="Z43" s="922">
        <f t="shared" si="50"/>
        <v>478.2088276743591</v>
      </c>
      <c r="AA43" s="922">
        <f t="shared" si="50"/>
        <v>7.069777547138191</v>
      </c>
      <c r="AB43" s="922">
        <f t="shared" si="6"/>
        <v>1358.9836787295428</v>
      </c>
      <c r="AC43" s="926" t="s">
        <v>1731</v>
      </c>
      <c r="AD43" s="922">
        <f t="shared" ref="AD43:AQ43" si="51">AD8+AD17+AD18+AD42</f>
        <v>92.438092493005229</v>
      </c>
      <c r="AE43" s="922">
        <f t="shared" si="51"/>
        <v>67.171927239373346</v>
      </c>
      <c r="AF43" s="922">
        <f t="shared" si="51"/>
        <v>219.6037859257996</v>
      </c>
      <c r="AG43" s="922">
        <f t="shared" si="51"/>
        <v>494.4912678498672</v>
      </c>
      <c r="AH43" s="922">
        <f t="shared" si="51"/>
        <v>478.2088276743591</v>
      </c>
      <c r="AI43" s="922">
        <f t="shared" si="51"/>
        <v>7.069777547138191</v>
      </c>
      <c r="AJ43" s="925">
        <f t="shared" si="51"/>
        <v>1358.9836787295426</v>
      </c>
      <c r="AK43" s="922">
        <f t="shared" si="51"/>
        <v>338.93967247435245</v>
      </c>
      <c r="AL43" s="922">
        <f t="shared" si="51"/>
        <v>246.29706654436893</v>
      </c>
      <c r="AM43" s="922">
        <f t="shared" si="51"/>
        <v>805.21388172793172</v>
      </c>
      <c r="AN43" s="922">
        <f t="shared" si="51"/>
        <v>1813.1346487828462</v>
      </c>
      <c r="AO43" s="922">
        <f t="shared" si="51"/>
        <v>1753.4323681393166</v>
      </c>
      <c r="AP43" s="922">
        <f t="shared" si="51"/>
        <v>25.922517672840033</v>
      </c>
      <c r="AQ43" s="925">
        <f t="shared" si="51"/>
        <v>4982.9401553416565</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8"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96038-7BDD-40F1-9723-F0256EE86AC4}">
  <sheetPr transitionEvaluation="1" transitionEntry="1" codeName="Sheet54">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10"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39" width="9.6640625" customWidth="1"/>
    <col min="40" max="40" width="10" customWidth="1"/>
    <col min="41" max="41" width="9.6640625" customWidth="1"/>
    <col min="42" max="42" width="9" bestFit="1" customWidth="1"/>
    <col min="43" max="43" width="10" customWidth="1"/>
    <col min="44" max="45" width="9" customWidth="1"/>
  </cols>
  <sheetData>
    <row r="1" spans="1:43">
      <c r="A1" s="871" t="s">
        <v>1714</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2019</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827" t="s">
        <v>1772</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S4+1</f>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ht="12.6">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1767</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65.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16.716000000000001</v>
      </c>
      <c r="E8" s="876">
        <f t="shared" si="1"/>
        <v>639.69706184953088</v>
      </c>
      <c r="F8" s="876">
        <f t="shared" si="1"/>
        <v>0</v>
      </c>
      <c r="G8" s="876">
        <f t="shared" si="1"/>
        <v>10181.262000000001</v>
      </c>
      <c r="H8" s="876">
        <f t="shared" si="1"/>
        <v>38.625227900000006</v>
      </c>
      <c r="I8" s="876">
        <f t="shared" ref="I8:I28" si="2">SUM(C8:H8)</f>
        <v>10876.300289749532</v>
      </c>
      <c r="J8" s="877"/>
      <c r="K8" s="876">
        <f>SUM(K9:K16)</f>
        <v>122.31391637784766</v>
      </c>
      <c r="L8" s="876">
        <f>SUM(L9:L16)</f>
        <v>0</v>
      </c>
      <c r="M8" s="876"/>
      <c r="N8" s="878">
        <f t="shared" ref="N8:S8" si="3">SUM(N9:N16)</f>
        <v>0</v>
      </c>
      <c r="O8" s="876">
        <f t="shared" si="3"/>
        <v>16.716000000000001</v>
      </c>
      <c r="P8" s="876">
        <f t="shared" si="3"/>
        <v>517.38314547168318</v>
      </c>
      <c r="Q8" s="876">
        <f t="shared" si="3"/>
        <v>0</v>
      </c>
      <c r="R8" s="876">
        <f t="shared" si="3"/>
        <v>10181.262000000001</v>
      </c>
      <c r="S8" s="879">
        <f t="shared" si="3"/>
        <v>38.625227900000006</v>
      </c>
      <c r="T8" s="876">
        <f t="shared" ref="T8:T43" si="4">SUM(N8:S8)</f>
        <v>10753.986373371685</v>
      </c>
      <c r="U8" s="880" t="s">
        <v>1731</v>
      </c>
      <c r="V8" s="876">
        <f t="shared" ref="V8:AA8" si="5">SUM(V9:V16)</f>
        <v>0</v>
      </c>
      <c r="W8" s="876">
        <f>SUM(W9:W16)</f>
        <v>0.43639068933175701</v>
      </c>
      <c r="X8" s="876">
        <f>SUM(X9:X16)</f>
        <v>13.488597258862674</v>
      </c>
      <c r="Y8" s="876">
        <f t="shared" si="5"/>
        <v>0</v>
      </c>
      <c r="Z8" s="876">
        <f t="shared" si="5"/>
        <v>265.5108497421985</v>
      </c>
      <c r="AA8" s="876">
        <f t="shared" si="5"/>
        <v>0.97103822940600015</v>
      </c>
      <c r="AB8" s="876">
        <f>SUM(V8:AA8)</f>
        <v>280.40687591979895</v>
      </c>
      <c r="AC8" s="881" t="s">
        <v>1731</v>
      </c>
      <c r="AD8" s="878">
        <f t="shared" ref="AD8:AI8" si="6">SUM(AD9:AD16)</f>
        <v>0</v>
      </c>
      <c r="AE8" s="876">
        <f t="shared" si="6"/>
        <v>0.43639068933175701</v>
      </c>
      <c r="AF8" s="876">
        <f t="shared" si="6"/>
        <v>13.488597258862674</v>
      </c>
      <c r="AG8" s="876" t="s">
        <v>108</v>
      </c>
      <c r="AH8" s="876">
        <f t="shared" si="6"/>
        <v>265.5108497421985</v>
      </c>
      <c r="AI8" s="876">
        <f t="shared" si="6"/>
        <v>0.97103822940600015</v>
      </c>
      <c r="AJ8" s="876">
        <f t="shared" ref="AJ8:AJ42" si="7">SUM(AD8:AI8)</f>
        <v>280.40687591979895</v>
      </c>
      <c r="AK8" s="878">
        <f t="shared" ref="AK8:AO8" si="8">SUM(AK9:AK16)</f>
        <v>0</v>
      </c>
      <c r="AL8" s="876">
        <f t="shared" si="8"/>
        <v>1.6000991942164422</v>
      </c>
      <c r="AM8" s="876">
        <f t="shared" si="8"/>
        <v>49.458189949163135</v>
      </c>
      <c r="AN8" s="876">
        <f t="shared" si="8"/>
        <v>0</v>
      </c>
      <c r="AO8" s="876">
        <f t="shared" si="8"/>
        <v>973.5397823880611</v>
      </c>
      <c r="AP8" s="876">
        <f>SUM(AP9:AP16)</f>
        <v>3.5604735078220004</v>
      </c>
      <c r="AQ8" s="882">
        <f t="shared" ref="AQ8:AQ41" si="9">SUM(AK8:AP8)</f>
        <v>1028.1585450392627</v>
      </c>
    </row>
    <row r="9" spans="1:43" ht="12.75" customHeight="1">
      <c r="A9" s="817"/>
      <c r="B9" s="860" t="s">
        <v>1732</v>
      </c>
      <c r="C9" s="883">
        <f>HLOOKUP($B$2,'Consumption Input'!$E$5:$AQ$82,'Consumption Input'!$B7)</f>
        <v>0</v>
      </c>
      <c r="D9" s="883"/>
      <c r="E9" s="883"/>
      <c r="F9" s="883"/>
      <c r="G9" s="883"/>
      <c r="H9" s="883"/>
      <c r="I9" s="883">
        <f t="shared" si="2"/>
        <v>0</v>
      </c>
      <c r="J9" s="884"/>
      <c r="K9" s="883"/>
      <c r="L9" s="883"/>
      <c r="M9" s="883"/>
      <c r="N9" s="885">
        <f t="shared" ref="N9:O17" si="10">C9</f>
        <v>0</v>
      </c>
      <c r="O9" s="883">
        <f t="shared" si="10"/>
        <v>0</v>
      </c>
      <c r="P9" s="883">
        <f t="shared" ref="P9:P16" si="11">E9-K9</f>
        <v>0</v>
      </c>
      <c r="Q9" s="883">
        <f t="shared" ref="Q9:S17" si="12">F9</f>
        <v>0</v>
      </c>
      <c r="R9" s="883">
        <f t="shared" si="12"/>
        <v>0</v>
      </c>
      <c r="S9" s="886">
        <f t="shared" si="12"/>
        <v>0</v>
      </c>
      <c r="T9" s="883">
        <f>SUM(N9:S9)</f>
        <v>0</v>
      </c>
      <c r="U9" s="887">
        <f>HLOOKUP($B$2,Factors!$J$12:$BE$25,Factors!$H13,FALSE)</f>
        <v>26.106167105273808</v>
      </c>
      <c r="V9" s="885">
        <f t="shared" ref="V9:V17" si="13">N9*$U9*TbtuToQBtu</f>
        <v>0</v>
      </c>
      <c r="W9" s="883">
        <f t="shared" ref="W9:W17" si="14">O9*$U9*TbtuToQBtu</f>
        <v>0</v>
      </c>
      <c r="X9" s="883">
        <f t="shared" ref="X9:X16" si="15">P9*$U9*TbtuToQBtu</f>
        <v>0</v>
      </c>
      <c r="Y9" s="883">
        <f t="shared" ref="Y9:Y17" si="16">Q9*$U9*TbtuToQBtu</f>
        <v>0</v>
      </c>
      <c r="Z9" s="883">
        <f t="shared" ref="Z9:Z17" si="17">R9*$U9*TbtuToQBtu</f>
        <v>0</v>
      </c>
      <c r="AA9" s="883">
        <f t="shared" ref="AA9:AA16" si="18">S9*$U9*TbtuToQBtu</f>
        <v>0</v>
      </c>
      <c r="AB9" s="883">
        <f t="shared" ref="AB9:AB43" si="19">SUM(V9:AA9)</f>
        <v>0</v>
      </c>
      <c r="AC9" s="888">
        <f>Factors!E10</f>
        <v>1</v>
      </c>
      <c r="AD9" s="885">
        <f t="shared" ref="AD9:AI17" si="20">V9*$AC9</f>
        <v>0</v>
      </c>
      <c r="AE9" s="883">
        <f t="shared" si="20"/>
        <v>0</v>
      </c>
      <c r="AF9" s="883">
        <f t="shared" si="20"/>
        <v>0</v>
      </c>
      <c r="AG9" s="883">
        <f t="shared" si="20"/>
        <v>0</v>
      </c>
      <c r="AH9" s="883">
        <f t="shared" si="20"/>
        <v>0</v>
      </c>
      <c r="AI9" s="883">
        <f t="shared" si="20"/>
        <v>0</v>
      </c>
      <c r="AJ9" s="889">
        <f t="shared" si="7"/>
        <v>0</v>
      </c>
      <c r="AK9" s="885">
        <f>AD9*CtoCO2</f>
        <v>0</v>
      </c>
      <c r="AL9" s="883">
        <f t="shared" ref="AL9:AL42" si="21">AE9*CtoCO2</f>
        <v>0</v>
      </c>
      <c r="AM9" s="883">
        <f t="shared" ref="AM9:AM42" si="22">AF9*CtoCO2</f>
        <v>0</v>
      </c>
      <c r="AN9" s="883">
        <f t="shared" ref="AN9:AN42" si="23">AG9*CtoCO2</f>
        <v>0</v>
      </c>
      <c r="AO9" s="883">
        <f t="shared" ref="AO9:AO41" si="24">AH9*CtoCO2</f>
        <v>0</v>
      </c>
      <c r="AP9" s="883">
        <f t="shared" ref="AP9:AP41" si="25">AI9*CtoCO2</f>
        <v>0</v>
      </c>
      <c r="AQ9" s="890">
        <f t="shared" si="9"/>
        <v>0</v>
      </c>
    </row>
    <row r="10" spans="1:43">
      <c r="A10" s="817"/>
      <c r="B10" s="860" t="s">
        <v>1733</v>
      </c>
      <c r="C10" s="883"/>
      <c r="D10" s="883">
        <f>HLOOKUP($B$2,'Consumption Input'!$E$5:$AQ$82,'Consumption Input'!$B13)</f>
        <v>16.716000000000001</v>
      </c>
      <c r="E10" s="883"/>
      <c r="F10" s="883"/>
      <c r="G10" s="883"/>
      <c r="H10" s="883"/>
      <c r="I10" s="883">
        <f t="shared" si="2"/>
        <v>16.716000000000001</v>
      </c>
      <c r="J10" s="884"/>
      <c r="K10" s="883"/>
      <c r="L10" s="883"/>
      <c r="M10" s="883"/>
      <c r="N10" s="885">
        <f t="shared" si="10"/>
        <v>0</v>
      </c>
      <c r="O10" s="883">
        <f t="shared" si="10"/>
        <v>16.716000000000001</v>
      </c>
      <c r="P10" s="883">
        <f t="shared" si="11"/>
        <v>0</v>
      </c>
      <c r="Q10" s="883">
        <f t="shared" si="12"/>
        <v>0</v>
      </c>
      <c r="R10" s="883">
        <f t="shared" si="12"/>
        <v>0</v>
      </c>
      <c r="S10" s="886">
        <f t="shared" si="12"/>
        <v>0</v>
      </c>
      <c r="T10" s="883">
        <f t="shared" si="4"/>
        <v>16.716000000000001</v>
      </c>
      <c r="U10" s="887">
        <f>HLOOKUP($B$2,Factors!$J$12:$BE$25,Factors!$H14,FALSE)</f>
        <v>26.106167105273808</v>
      </c>
      <c r="V10" s="885">
        <f t="shared" si="13"/>
        <v>0</v>
      </c>
      <c r="W10" s="883">
        <f t="shared" si="14"/>
        <v>0.43639068933175701</v>
      </c>
      <c r="X10" s="883">
        <f t="shared" si="15"/>
        <v>0</v>
      </c>
      <c r="Y10" s="883">
        <f t="shared" si="16"/>
        <v>0</v>
      </c>
      <c r="Z10" s="883">
        <f t="shared" si="17"/>
        <v>0</v>
      </c>
      <c r="AA10" s="883">
        <f t="shared" si="18"/>
        <v>0</v>
      </c>
      <c r="AB10" s="883">
        <f t="shared" si="19"/>
        <v>0.43639068933175701</v>
      </c>
      <c r="AC10" s="888">
        <f>Factors!E11</f>
        <v>1</v>
      </c>
      <c r="AD10" s="885">
        <f t="shared" si="20"/>
        <v>0</v>
      </c>
      <c r="AE10" s="883">
        <f t="shared" si="20"/>
        <v>0.43639068933175701</v>
      </c>
      <c r="AF10" s="883">
        <f t="shared" si="20"/>
        <v>0</v>
      </c>
      <c r="AG10" s="883">
        <f t="shared" si="20"/>
        <v>0</v>
      </c>
      <c r="AH10" s="883">
        <f t="shared" si="20"/>
        <v>0</v>
      </c>
      <c r="AI10" s="883">
        <f t="shared" si="20"/>
        <v>0</v>
      </c>
      <c r="AJ10" s="889">
        <f t="shared" si="7"/>
        <v>0.43639068933175701</v>
      </c>
      <c r="AK10" s="885">
        <f t="shared" ref="AK10:AK42" si="26">AD10*CtoCO2</f>
        <v>0</v>
      </c>
      <c r="AL10" s="883">
        <f t="shared" si="21"/>
        <v>1.6000991942164422</v>
      </c>
      <c r="AM10" s="883">
        <f t="shared" si="22"/>
        <v>0</v>
      </c>
      <c r="AN10" s="883">
        <f t="shared" si="23"/>
        <v>0</v>
      </c>
      <c r="AO10" s="883">
        <f t="shared" si="24"/>
        <v>0</v>
      </c>
      <c r="AP10" s="883">
        <f t="shared" si="25"/>
        <v>0</v>
      </c>
      <c r="AQ10" s="890">
        <f t="shared" si="9"/>
        <v>1.6000991942164422</v>
      </c>
    </row>
    <row r="11" spans="1:43" s="244" customFormat="1" hidden="1">
      <c r="A11" s="861"/>
      <c r="B11" s="862" t="s">
        <v>1734</v>
      </c>
      <c r="C11" s="891"/>
      <c r="D11" s="891"/>
      <c r="E11" s="891">
        <f>HLOOKUP($B$2,'Consumption Input'!$E$5:$AQ$82,'Consumption Input'!$B23)</f>
        <v>112.83747864130271</v>
      </c>
      <c r="F11" s="891"/>
      <c r="G11" s="891"/>
      <c r="H11" s="891"/>
      <c r="I11" s="891">
        <f t="shared" si="2"/>
        <v>112.83747864130271</v>
      </c>
      <c r="J11" s="892"/>
      <c r="K11" s="891">
        <f>HLOOKUP($B$2,NEUConsumption,'Non-Energy Use'!$C$7)</f>
        <v>112.83747864130271</v>
      </c>
      <c r="L11" s="891"/>
      <c r="M11" s="891"/>
      <c r="N11" s="893">
        <f t="shared" si="10"/>
        <v>0</v>
      </c>
      <c r="O11" s="891">
        <f t="shared" si="10"/>
        <v>0</v>
      </c>
      <c r="P11" s="891">
        <f>E11-K11</f>
        <v>0</v>
      </c>
      <c r="Q11" s="891">
        <f t="shared" si="12"/>
        <v>0</v>
      </c>
      <c r="R11" s="891">
        <f t="shared" si="12"/>
        <v>0</v>
      </c>
      <c r="S11" s="894">
        <f t="shared" si="12"/>
        <v>0</v>
      </c>
      <c r="T11" s="891">
        <f t="shared" si="4"/>
        <v>0</v>
      </c>
      <c r="U11" s="1013">
        <f>HLOOKUP($B$2,Factors!$J$12:$BE$28,Factors!$H28,FALSE)</f>
        <v>25.594048438950679</v>
      </c>
      <c r="V11" s="893">
        <f t="shared" si="13"/>
        <v>0</v>
      </c>
      <c r="W11" s="891">
        <f t="shared" si="14"/>
        <v>0</v>
      </c>
      <c r="X11" s="891">
        <f>P11*$U11*TbtuToQBtu</f>
        <v>0</v>
      </c>
      <c r="Y11" s="891">
        <f t="shared" si="16"/>
        <v>0</v>
      </c>
      <c r="Z11" s="891">
        <f t="shared" si="17"/>
        <v>0</v>
      </c>
      <c r="AA11" s="891">
        <f t="shared" si="18"/>
        <v>0</v>
      </c>
      <c r="AB11" s="891">
        <f>SUM(V11:AA11)</f>
        <v>0</v>
      </c>
      <c r="AC11" s="896">
        <f>Factors!E12</f>
        <v>1</v>
      </c>
      <c r="AD11" s="893">
        <f t="shared" si="20"/>
        <v>0</v>
      </c>
      <c r="AE11" s="891">
        <f t="shared" si="20"/>
        <v>0</v>
      </c>
      <c r="AF11" s="891">
        <f t="shared" si="20"/>
        <v>0</v>
      </c>
      <c r="AG11" s="891">
        <f t="shared" si="20"/>
        <v>0</v>
      </c>
      <c r="AH11" s="891">
        <f t="shared" si="20"/>
        <v>0</v>
      </c>
      <c r="AI11" s="891">
        <f t="shared" si="20"/>
        <v>0</v>
      </c>
      <c r="AJ11" s="897">
        <f t="shared" si="7"/>
        <v>0</v>
      </c>
      <c r="AK11" s="893">
        <f t="shared" si="26"/>
        <v>0</v>
      </c>
      <c r="AL11" s="891">
        <f t="shared" si="21"/>
        <v>0</v>
      </c>
      <c r="AM11" s="891">
        <f t="shared" si="22"/>
        <v>0</v>
      </c>
      <c r="AN11" s="891">
        <f t="shared" si="23"/>
        <v>0</v>
      </c>
      <c r="AO11" s="891">
        <f t="shared" si="24"/>
        <v>0</v>
      </c>
      <c r="AP11" s="891">
        <f t="shared" si="25"/>
        <v>0</v>
      </c>
      <c r="AQ11" s="898">
        <f t="shared" si="9"/>
        <v>0</v>
      </c>
    </row>
    <row r="12" spans="1:43">
      <c r="A12" s="817"/>
      <c r="B12" s="860" t="s">
        <v>1701</v>
      </c>
      <c r="C12" s="883"/>
      <c r="D12" s="883"/>
      <c r="E12" s="883">
        <f>HLOOKUP($B$2,'Consumption Input'!$E$5:$AQ$82,'Consumption Input'!$B24)</f>
        <v>526.85958320822817</v>
      </c>
      <c r="F12" s="883"/>
      <c r="G12" s="883"/>
      <c r="H12" s="883"/>
      <c r="I12" s="883">
        <f t="shared" si="2"/>
        <v>526.85958320822817</v>
      </c>
      <c r="J12" s="884"/>
      <c r="K12" s="883">
        <f>HLOOKUP($B$2,NEUConsumption,'Non-Energy Use'!$C$8)</f>
        <v>9.4764377365449537</v>
      </c>
      <c r="L12" s="883"/>
      <c r="M12" s="883"/>
      <c r="N12" s="885">
        <f t="shared" si="10"/>
        <v>0</v>
      </c>
      <c r="O12" s="883">
        <f t="shared" si="10"/>
        <v>0</v>
      </c>
      <c r="P12" s="883">
        <f t="shared" si="11"/>
        <v>517.38314547168318</v>
      </c>
      <c r="Q12" s="883">
        <f t="shared" si="12"/>
        <v>0</v>
      </c>
      <c r="R12" s="883">
        <f t="shared" si="12"/>
        <v>0</v>
      </c>
      <c r="S12" s="886">
        <f t="shared" si="12"/>
        <v>0</v>
      </c>
      <c r="T12" s="883">
        <f t="shared" si="4"/>
        <v>517.38314547168318</v>
      </c>
      <c r="U12" s="887">
        <f>HLOOKUP($B$2,Factors!$J$12:$BE$25,Factors!$H15,FALSE)</f>
        <v>26.070809180622827</v>
      </c>
      <c r="V12" s="885">
        <f t="shared" si="13"/>
        <v>0</v>
      </c>
      <c r="W12" s="883">
        <f t="shared" si="14"/>
        <v>0</v>
      </c>
      <c r="X12" s="883">
        <f t="shared" si="15"/>
        <v>13.488597258862674</v>
      </c>
      <c r="Y12" s="883">
        <f t="shared" si="16"/>
        <v>0</v>
      </c>
      <c r="Z12" s="883">
        <f t="shared" si="17"/>
        <v>0</v>
      </c>
      <c r="AA12" s="883">
        <f t="shared" si="18"/>
        <v>0</v>
      </c>
      <c r="AB12" s="883">
        <f t="shared" si="19"/>
        <v>13.488597258862674</v>
      </c>
      <c r="AC12" s="888">
        <f>Factors!E13</f>
        <v>1</v>
      </c>
      <c r="AD12" s="885">
        <f t="shared" si="20"/>
        <v>0</v>
      </c>
      <c r="AE12" s="883">
        <f t="shared" si="20"/>
        <v>0</v>
      </c>
      <c r="AF12" s="883">
        <f>X12*$AC12</f>
        <v>13.488597258862674</v>
      </c>
      <c r="AG12" s="883">
        <f t="shared" si="20"/>
        <v>0</v>
      </c>
      <c r="AH12" s="883">
        <f t="shared" si="20"/>
        <v>0</v>
      </c>
      <c r="AI12" s="883">
        <f t="shared" si="20"/>
        <v>0</v>
      </c>
      <c r="AJ12" s="889">
        <f t="shared" si="7"/>
        <v>13.488597258862674</v>
      </c>
      <c r="AK12" s="885">
        <f t="shared" si="26"/>
        <v>0</v>
      </c>
      <c r="AL12" s="883">
        <f t="shared" si="21"/>
        <v>0</v>
      </c>
      <c r="AM12" s="883">
        <f>AF12*CtoCO2</f>
        <v>49.458189949163135</v>
      </c>
      <c r="AN12" s="883">
        <f t="shared" si="23"/>
        <v>0</v>
      </c>
      <c r="AO12" s="883">
        <f t="shared" si="24"/>
        <v>0</v>
      </c>
      <c r="AP12" s="883">
        <f t="shared" si="25"/>
        <v>0</v>
      </c>
      <c r="AQ12" s="890">
        <f t="shared" si="9"/>
        <v>49.458189949163135</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10"/>
        <v>0</v>
      </c>
      <c r="O13" s="891">
        <f t="shared" si="10"/>
        <v>0</v>
      </c>
      <c r="P13" s="891">
        <f t="shared" si="11"/>
        <v>0</v>
      </c>
      <c r="Q13" s="891">
        <f t="shared" si="12"/>
        <v>0</v>
      </c>
      <c r="R13" s="891">
        <f t="shared" si="12"/>
        <v>0</v>
      </c>
      <c r="S13" s="894">
        <f t="shared" si="12"/>
        <v>0</v>
      </c>
      <c r="T13" s="891">
        <f t="shared" si="4"/>
        <v>0</v>
      </c>
      <c r="U13" s="895">
        <f>Factors!D14</f>
        <v>27.85</v>
      </c>
      <c r="V13" s="893">
        <f t="shared" si="13"/>
        <v>0</v>
      </c>
      <c r="W13" s="891">
        <f t="shared" si="14"/>
        <v>0</v>
      </c>
      <c r="X13" s="891">
        <f t="shared" si="15"/>
        <v>0</v>
      </c>
      <c r="Y13" s="891">
        <f t="shared" si="16"/>
        <v>0</v>
      </c>
      <c r="Z13" s="891">
        <f t="shared" si="17"/>
        <v>0</v>
      </c>
      <c r="AA13" s="891">
        <f t="shared" si="18"/>
        <v>0</v>
      </c>
      <c r="AB13" s="883">
        <f t="shared" si="19"/>
        <v>0</v>
      </c>
      <c r="AC13" s="896">
        <f>Factors!E14</f>
        <v>1</v>
      </c>
      <c r="AD13" s="893">
        <f t="shared" si="20"/>
        <v>0</v>
      </c>
      <c r="AE13" s="891">
        <f t="shared" si="20"/>
        <v>0</v>
      </c>
      <c r="AF13" s="891">
        <f t="shared" si="20"/>
        <v>0</v>
      </c>
      <c r="AG13" s="891">
        <f t="shared" si="20"/>
        <v>0</v>
      </c>
      <c r="AH13" s="891">
        <f t="shared" si="20"/>
        <v>0</v>
      </c>
      <c r="AI13" s="891">
        <f t="shared" si="20"/>
        <v>0</v>
      </c>
      <c r="AJ13" s="897">
        <f t="shared" si="7"/>
        <v>0</v>
      </c>
      <c r="AK13" s="893">
        <f t="shared" si="26"/>
        <v>0</v>
      </c>
      <c r="AL13" s="891">
        <f t="shared" si="21"/>
        <v>0</v>
      </c>
      <c r="AM13" s="891">
        <f t="shared" si="22"/>
        <v>0</v>
      </c>
      <c r="AN13" s="891">
        <f t="shared" si="23"/>
        <v>0</v>
      </c>
      <c r="AO13" s="891">
        <f t="shared" si="24"/>
        <v>0</v>
      </c>
      <c r="AP13" s="891">
        <f t="shared" si="25"/>
        <v>0</v>
      </c>
      <c r="AQ13" s="890">
        <f t="shared" si="9"/>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10"/>
        <v>0</v>
      </c>
      <c r="O14" s="883">
        <f t="shared" si="10"/>
        <v>0</v>
      </c>
      <c r="P14" s="883">
        <f t="shared" si="11"/>
        <v>0</v>
      </c>
      <c r="Q14" s="883">
        <f t="shared" si="12"/>
        <v>0</v>
      </c>
      <c r="R14" s="883">
        <f t="shared" si="12"/>
        <v>0</v>
      </c>
      <c r="S14" s="886">
        <f t="shared" si="12"/>
        <v>0</v>
      </c>
      <c r="T14" s="883">
        <f t="shared" si="4"/>
        <v>0</v>
      </c>
      <c r="U14" s="887" t="str">
        <f>Factors!D15</f>
        <v>NC</v>
      </c>
      <c r="V14" s="885">
        <f t="shared" si="13"/>
        <v>0</v>
      </c>
      <c r="W14" s="883">
        <f t="shared" si="14"/>
        <v>0</v>
      </c>
      <c r="X14" s="883">
        <f t="shared" si="15"/>
        <v>0</v>
      </c>
      <c r="Y14" s="883">
        <f t="shared" si="16"/>
        <v>0</v>
      </c>
      <c r="Z14" s="883">
        <f t="shared" si="17"/>
        <v>0</v>
      </c>
      <c r="AA14" s="883">
        <f t="shared" si="18"/>
        <v>0</v>
      </c>
      <c r="AB14" s="883">
        <f t="shared" si="19"/>
        <v>0</v>
      </c>
      <c r="AC14" s="888" t="str">
        <f>Factors!E15</f>
        <v>NC</v>
      </c>
      <c r="AD14" s="885">
        <f t="shared" si="20"/>
        <v>0</v>
      </c>
      <c r="AE14" s="883">
        <f t="shared" si="20"/>
        <v>0</v>
      </c>
      <c r="AF14" s="883">
        <f t="shared" si="20"/>
        <v>0</v>
      </c>
      <c r="AG14" s="883">
        <f t="shared" si="20"/>
        <v>0</v>
      </c>
      <c r="AH14" s="883">
        <f t="shared" si="20"/>
        <v>0</v>
      </c>
      <c r="AI14" s="883">
        <f t="shared" si="20"/>
        <v>0</v>
      </c>
      <c r="AJ14" s="889">
        <f t="shared" si="7"/>
        <v>0</v>
      </c>
      <c r="AK14" s="885">
        <f t="shared" si="26"/>
        <v>0</v>
      </c>
      <c r="AL14" s="883">
        <f t="shared" si="21"/>
        <v>0</v>
      </c>
      <c r="AM14" s="883">
        <f t="shared" si="22"/>
        <v>0</v>
      </c>
      <c r="AN14" s="883">
        <f t="shared" si="23"/>
        <v>0</v>
      </c>
      <c r="AO14" s="883">
        <f t="shared" si="24"/>
        <v>0</v>
      </c>
      <c r="AP14" s="883">
        <f t="shared" si="25"/>
        <v>0</v>
      </c>
      <c r="AQ14" s="890">
        <f t="shared" si="9"/>
        <v>0</v>
      </c>
    </row>
    <row r="15" spans="1:43">
      <c r="A15" s="817"/>
      <c r="B15" s="860" t="s">
        <v>1736</v>
      </c>
      <c r="C15" s="883"/>
      <c r="D15" s="883"/>
      <c r="E15" s="883"/>
      <c r="F15" s="883"/>
      <c r="G15" s="883">
        <f>HLOOKUP($B$2,'Consumption Input'!$E$5:$AQ$82,'Consumption Input'!$B58)</f>
        <v>10181.262000000001</v>
      </c>
      <c r="H15" s="883"/>
      <c r="I15" s="883">
        <f t="shared" si="2"/>
        <v>10181.262000000001</v>
      </c>
      <c r="J15" s="884"/>
      <c r="K15" s="883"/>
      <c r="L15" s="883"/>
      <c r="M15" s="883"/>
      <c r="N15" s="885">
        <f t="shared" si="10"/>
        <v>0</v>
      </c>
      <c r="O15" s="883">
        <f t="shared" si="10"/>
        <v>0</v>
      </c>
      <c r="P15" s="883">
        <f t="shared" si="11"/>
        <v>0</v>
      </c>
      <c r="Q15" s="883">
        <f t="shared" si="12"/>
        <v>0</v>
      </c>
      <c r="R15" s="883">
        <f t="shared" si="12"/>
        <v>10181.262000000001</v>
      </c>
      <c r="S15" s="886">
        <f t="shared" si="12"/>
        <v>0</v>
      </c>
      <c r="T15" s="883">
        <f t="shared" si="4"/>
        <v>10181.262000000001</v>
      </c>
      <c r="U15" s="887">
        <f>HLOOKUP($B$2,Factors!$J$12:$BE$25,Factors!$H16,FALSE)</f>
        <v>26.078382988493807</v>
      </c>
      <c r="V15" s="885">
        <f t="shared" si="13"/>
        <v>0</v>
      </c>
      <c r="W15" s="883">
        <f t="shared" si="14"/>
        <v>0</v>
      </c>
      <c r="X15" s="883">
        <f t="shared" si="15"/>
        <v>0</v>
      </c>
      <c r="Y15" s="883">
        <f t="shared" si="16"/>
        <v>0</v>
      </c>
      <c r="Z15" s="883">
        <f t="shared" si="17"/>
        <v>265.5108497421985</v>
      </c>
      <c r="AA15" s="883">
        <f t="shared" si="18"/>
        <v>0</v>
      </c>
      <c r="AB15" s="883">
        <f t="shared" si="19"/>
        <v>265.5108497421985</v>
      </c>
      <c r="AC15" s="888">
        <f>Factors!E16</f>
        <v>1</v>
      </c>
      <c r="AD15" s="885">
        <f t="shared" si="20"/>
        <v>0</v>
      </c>
      <c r="AE15" s="883">
        <f t="shared" si="20"/>
        <v>0</v>
      </c>
      <c r="AF15" s="883">
        <f t="shared" si="20"/>
        <v>0</v>
      </c>
      <c r="AG15" s="883">
        <f t="shared" si="20"/>
        <v>0</v>
      </c>
      <c r="AH15" s="883">
        <f t="shared" si="20"/>
        <v>265.5108497421985</v>
      </c>
      <c r="AI15" s="883">
        <f t="shared" si="20"/>
        <v>0</v>
      </c>
      <c r="AJ15" s="889">
        <f t="shared" si="7"/>
        <v>265.5108497421985</v>
      </c>
      <c r="AK15" s="885">
        <f t="shared" si="26"/>
        <v>0</v>
      </c>
      <c r="AL15" s="883">
        <f t="shared" si="21"/>
        <v>0</v>
      </c>
      <c r="AM15" s="883">
        <f t="shared" si="22"/>
        <v>0</v>
      </c>
      <c r="AN15" s="883">
        <f t="shared" si="23"/>
        <v>0</v>
      </c>
      <c r="AO15" s="883">
        <f t="shared" si="24"/>
        <v>973.5397823880611</v>
      </c>
      <c r="AP15" s="883">
        <f t="shared" si="25"/>
        <v>0</v>
      </c>
      <c r="AQ15" s="890">
        <f t="shared" si="9"/>
        <v>973.5397823880611</v>
      </c>
    </row>
    <row r="16" spans="1:43">
      <c r="A16" s="817"/>
      <c r="B16" s="860" t="s">
        <v>1737</v>
      </c>
      <c r="C16" s="883"/>
      <c r="D16" s="883"/>
      <c r="E16" s="883"/>
      <c r="F16" s="883"/>
      <c r="G16" s="883"/>
      <c r="H16" s="883">
        <f>HLOOKUP($B$2,'US Territories'!$D$28:$AO$38,'US Territories'!$B29)</f>
        <v>38.625227900000006</v>
      </c>
      <c r="I16" s="883">
        <f t="shared" si="2"/>
        <v>38.625227900000006</v>
      </c>
      <c r="J16" s="884"/>
      <c r="K16" s="883"/>
      <c r="L16" s="883"/>
      <c r="M16" s="883"/>
      <c r="N16" s="885">
        <f t="shared" si="10"/>
        <v>0</v>
      </c>
      <c r="O16" s="883">
        <f t="shared" si="10"/>
        <v>0</v>
      </c>
      <c r="P16" s="883">
        <f t="shared" si="11"/>
        <v>0</v>
      </c>
      <c r="Q16" s="883">
        <f t="shared" si="12"/>
        <v>0</v>
      </c>
      <c r="R16" s="883">
        <f t="shared" si="12"/>
        <v>0</v>
      </c>
      <c r="S16" s="886">
        <f>H16</f>
        <v>38.625227900000006</v>
      </c>
      <c r="T16" s="883">
        <f t="shared" si="4"/>
        <v>38.625227900000006</v>
      </c>
      <c r="U16" s="887">
        <f>Factors!D17</f>
        <v>25.14</v>
      </c>
      <c r="V16" s="899">
        <f t="shared" si="13"/>
        <v>0</v>
      </c>
      <c r="W16" s="900">
        <f t="shared" si="14"/>
        <v>0</v>
      </c>
      <c r="X16" s="900">
        <f t="shared" si="15"/>
        <v>0</v>
      </c>
      <c r="Y16" s="900">
        <f t="shared" si="16"/>
        <v>0</v>
      </c>
      <c r="Z16" s="900">
        <f t="shared" si="17"/>
        <v>0</v>
      </c>
      <c r="AA16" s="900">
        <f t="shared" si="18"/>
        <v>0.97103822940600015</v>
      </c>
      <c r="AB16" s="883">
        <f t="shared" si="19"/>
        <v>0.97103822940600015</v>
      </c>
      <c r="AC16" s="888">
        <f>Factors!E17</f>
        <v>1</v>
      </c>
      <c r="AD16" s="899">
        <f t="shared" si="20"/>
        <v>0</v>
      </c>
      <c r="AE16" s="900">
        <f t="shared" si="20"/>
        <v>0</v>
      </c>
      <c r="AF16" s="900">
        <f t="shared" si="20"/>
        <v>0</v>
      </c>
      <c r="AG16" s="900">
        <f t="shared" si="20"/>
        <v>0</v>
      </c>
      <c r="AH16" s="900">
        <f t="shared" si="20"/>
        <v>0</v>
      </c>
      <c r="AI16" s="900">
        <f t="shared" si="20"/>
        <v>0.97103822940600015</v>
      </c>
      <c r="AJ16" s="889">
        <f t="shared" si="7"/>
        <v>0.97103822940600015</v>
      </c>
      <c r="AK16" s="885">
        <f t="shared" si="26"/>
        <v>0</v>
      </c>
      <c r="AL16" s="883">
        <f t="shared" si="21"/>
        <v>0</v>
      </c>
      <c r="AM16" s="883">
        <f t="shared" si="22"/>
        <v>0</v>
      </c>
      <c r="AN16" s="883">
        <f t="shared" si="23"/>
        <v>0</v>
      </c>
      <c r="AO16" s="883">
        <f t="shared" si="24"/>
        <v>0</v>
      </c>
      <c r="AP16" s="883">
        <f t="shared" si="25"/>
        <v>3.5604735078220004</v>
      </c>
      <c r="AQ16" s="890">
        <f t="shared" si="9"/>
        <v>3.5604735078220004</v>
      </c>
    </row>
    <row r="17" spans="1:43">
      <c r="A17" s="817"/>
      <c r="B17" s="863" t="s">
        <v>1439</v>
      </c>
      <c r="C17" s="901">
        <f>HLOOKUP($B$2,'Consumption Input'!$E$5:$AQ$82,'Consumption Input'!$B8)</f>
        <v>5208.0320000000002</v>
      </c>
      <c r="D17" s="901">
        <f>HLOOKUP($B$2,'Consumption Input'!$E$5:$AQ$82,'Consumption Input'!$B14)</f>
        <v>3647.2860000000001</v>
      </c>
      <c r="E17" s="901">
        <f>HLOOKUP($B$2,'Consumption Input'!$E$5:$AQ$82,'Consumption Input'!$B26)</f>
        <v>10213.711603697042</v>
      </c>
      <c r="F17" s="901">
        <f>HLOOKUP($B$2,'Consumption Input'!$E$5:$AQ$82,'Consumption Input'!$B49)</f>
        <v>1114.1110000000001</v>
      </c>
      <c r="G17" s="901">
        <f>HLOOKUP($B$2,'Consumption Input'!$E$5:$AQ$82,'Consumption Input'!$B59)</f>
        <v>11658.398999999999</v>
      </c>
      <c r="H17" s="902">
        <f>HLOOKUP($B$2,'US Territories'!$D$28:$AO$38,'US Territories'!$B30)</f>
        <v>71.333004192000004</v>
      </c>
      <c r="I17" s="901">
        <f t="shared" si="2"/>
        <v>31912.872607889043</v>
      </c>
      <c r="J17" s="903"/>
      <c r="K17" s="901">
        <f>HLOOKUP($B$2,NEUConsumption,'Non-Energy Use'!$C$9)</f>
        <v>732.16000000000008</v>
      </c>
      <c r="L17" s="901"/>
      <c r="M17" s="901"/>
      <c r="N17" s="904">
        <f t="shared" si="10"/>
        <v>5208.0320000000002</v>
      </c>
      <c r="O17" s="901">
        <f t="shared" si="10"/>
        <v>3647.2860000000001</v>
      </c>
      <c r="P17" s="901">
        <f>E17-K17</f>
        <v>9481.5516036970421</v>
      </c>
      <c r="Q17" s="901">
        <f t="shared" si="12"/>
        <v>1114.1110000000001</v>
      </c>
      <c r="R17" s="901">
        <f t="shared" si="12"/>
        <v>11658.398999999999</v>
      </c>
      <c r="S17" s="902">
        <f t="shared" si="12"/>
        <v>71.333004192000004</v>
      </c>
      <c r="T17" s="901">
        <f t="shared" si="4"/>
        <v>31180.712607889047</v>
      </c>
      <c r="U17" s="905">
        <f>HLOOKUP($B$2,Factors!$J$12:$BE$26,Factors!$H26,FALSE)</f>
        <v>14.425386842967246</v>
      </c>
      <c r="V17" s="901">
        <f t="shared" si="13"/>
        <v>75.127876290552393</v>
      </c>
      <c r="W17" s="901">
        <f t="shared" si="14"/>
        <v>52.613511476938633</v>
      </c>
      <c r="X17" s="901">
        <f>P17*$U17*TbtuToQBtu</f>
        <v>136.77504975488631</v>
      </c>
      <c r="Y17" s="901">
        <f t="shared" si="16"/>
        <v>16.071482161005083</v>
      </c>
      <c r="Z17" s="901">
        <f t="shared" si="17"/>
        <v>168.17691554466248</v>
      </c>
      <c r="AA17" s="901">
        <f>S17*$U17*TbtuToQBtu</f>
        <v>1.0290061801406043</v>
      </c>
      <c r="AB17" s="901">
        <f t="shared" si="19"/>
        <v>449.79384140818553</v>
      </c>
      <c r="AC17" s="906">
        <f>Factors!E19</f>
        <v>1</v>
      </c>
      <c r="AD17" s="904">
        <f t="shared" si="20"/>
        <v>75.127876290552393</v>
      </c>
      <c r="AE17" s="901">
        <f>W17*$AC17</f>
        <v>52.613511476938633</v>
      </c>
      <c r="AF17" s="901">
        <f>X17*$AC17</f>
        <v>136.77504975488631</v>
      </c>
      <c r="AG17" s="901">
        <f t="shared" si="20"/>
        <v>16.071482161005083</v>
      </c>
      <c r="AH17" s="901">
        <f t="shared" si="20"/>
        <v>168.17691554466248</v>
      </c>
      <c r="AI17" s="901">
        <f t="shared" si="20"/>
        <v>1.0290061801406043</v>
      </c>
      <c r="AJ17" s="901">
        <f t="shared" si="7"/>
        <v>449.79384140818553</v>
      </c>
      <c r="AK17" s="904">
        <f t="shared" si="26"/>
        <v>275.46887973202541</v>
      </c>
      <c r="AL17" s="901">
        <f t="shared" si="21"/>
        <v>192.91620874877498</v>
      </c>
      <c r="AM17" s="901">
        <f t="shared" si="22"/>
        <v>501.50851576791644</v>
      </c>
      <c r="AN17" s="901">
        <f t="shared" si="23"/>
        <v>58.928767923685299</v>
      </c>
      <c r="AO17" s="901">
        <f t="shared" si="24"/>
        <v>616.64869033042908</v>
      </c>
      <c r="AP17" s="901">
        <f>AI17*CtoCO2</f>
        <v>3.773022660515549</v>
      </c>
      <c r="AQ17" s="907">
        <f t="shared" si="9"/>
        <v>1649.2440851633467</v>
      </c>
    </row>
    <row r="18" spans="1:43">
      <c r="A18" s="817"/>
      <c r="B18" s="864" t="s">
        <v>1440</v>
      </c>
      <c r="C18" s="908">
        <f t="shared" ref="C18:H18" si="27">SUM(C19:C41)</f>
        <v>995.31953400322186</v>
      </c>
      <c r="D18" s="908">
        <f t="shared" si="27"/>
        <v>815.38007817894209</v>
      </c>
      <c r="E18" s="908">
        <f t="shared" si="27"/>
        <v>8141.1594306622137</v>
      </c>
      <c r="F18" s="908">
        <f t="shared" si="27"/>
        <v>26214.720917618382</v>
      </c>
      <c r="G18" s="908">
        <f t="shared" si="27"/>
        <v>188.58600000000001</v>
      </c>
      <c r="H18" s="908">
        <f t="shared" si="27"/>
        <v>244.3949446258606</v>
      </c>
      <c r="I18" s="908">
        <f t="shared" ref="I18:I25" si="28">SUM(C18:H18)</f>
        <v>36599.560905088627</v>
      </c>
      <c r="J18" s="909">
        <f t="shared" ref="J18:S18" si="29">SUM(J19:J41)</f>
        <v>1584.5173403178246</v>
      </c>
      <c r="K18" s="908">
        <f t="shared" si="29"/>
        <v>4858.9407156049247</v>
      </c>
      <c r="L18" s="908">
        <f t="shared" si="29"/>
        <v>131.32900000000001</v>
      </c>
      <c r="M18" s="908">
        <f t="shared" si="29"/>
        <v>3.6425698478538049</v>
      </c>
      <c r="N18" s="910">
        <f t="shared" si="29"/>
        <v>995.31953400322186</v>
      </c>
      <c r="O18" s="908">
        <f t="shared" si="29"/>
        <v>815.38007817894209</v>
      </c>
      <c r="P18" s="908">
        <f t="shared" si="29"/>
        <v>3282.2187150572895</v>
      </c>
      <c r="Q18" s="908">
        <f t="shared" si="29"/>
        <v>24498.874577300561</v>
      </c>
      <c r="R18" s="908">
        <f t="shared" si="29"/>
        <v>188.58600000000001</v>
      </c>
      <c r="S18" s="911">
        <f t="shared" si="29"/>
        <v>240.75237477800681</v>
      </c>
      <c r="T18" s="889">
        <f t="shared" si="4"/>
        <v>30021.131279318022</v>
      </c>
      <c r="U18" s="912" t="s">
        <v>1731</v>
      </c>
      <c r="V18" s="908">
        <f t="shared" ref="V18:AA18" si="30">SUM(V19:V41)</f>
        <v>18.39163114786227</v>
      </c>
      <c r="W18" s="908">
        <f t="shared" si="30"/>
        <v>15.609001787263932</v>
      </c>
      <c r="X18" s="908">
        <f t="shared" si="30"/>
        <v>67.406895077706736</v>
      </c>
      <c r="Y18" s="908">
        <f t="shared" si="30"/>
        <v>479.37461072328375</v>
      </c>
      <c r="Z18" s="908">
        <f t="shared" si="30"/>
        <v>4.4076296006973017</v>
      </c>
      <c r="AA18" s="908">
        <f t="shared" si="30"/>
        <v>4.7670682330035712</v>
      </c>
      <c r="AB18" s="908">
        <f t="shared" si="19"/>
        <v>589.9568365698176</v>
      </c>
      <c r="AC18" s="913" t="s">
        <v>1731</v>
      </c>
      <c r="AD18" s="910">
        <f t="shared" ref="AD18:AI18" si="31">SUM(AD19:AD41)</f>
        <v>18.39163114786227</v>
      </c>
      <c r="AE18" s="908">
        <f t="shared" si="31"/>
        <v>15.609001787263932</v>
      </c>
      <c r="AF18" s="908">
        <f t="shared" si="31"/>
        <v>67.406895077706736</v>
      </c>
      <c r="AG18" s="908">
        <f t="shared" si="31"/>
        <v>479.37461072328375</v>
      </c>
      <c r="AH18" s="908">
        <f t="shared" si="31"/>
        <v>4.4076296006973017</v>
      </c>
      <c r="AI18" s="908">
        <f t="shared" si="31"/>
        <v>4.7670682330035712</v>
      </c>
      <c r="AJ18" s="908">
        <f t="shared" si="7"/>
        <v>589.9568365698176</v>
      </c>
      <c r="AK18" s="914">
        <f t="shared" si="26"/>
        <v>67.435980875494991</v>
      </c>
      <c r="AL18" s="889">
        <f t="shared" si="21"/>
        <v>57.233006553301081</v>
      </c>
      <c r="AM18" s="889">
        <f t="shared" si="22"/>
        <v>247.15861528492468</v>
      </c>
      <c r="AN18" s="889">
        <f t="shared" si="23"/>
        <v>1757.7069059853736</v>
      </c>
      <c r="AO18" s="889">
        <f t="shared" si="24"/>
        <v>16.161308535890104</v>
      </c>
      <c r="AP18" s="889">
        <f>AI18*CtoCO2</f>
        <v>17.47925018767976</v>
      </c>
      <c r="AQ18" s="915">
        <f t="shared" si="9"/>
        <v>2163.1750674226637</v>
      </c>
    </row>
    <row r="19" spans="1:43">
      <c r="A19" s="817"/>
      <c r="B19" s="860" t="s">
        <v>1608</v>
      </c>
      <c r="C19" s="883"/>
      <c r="D19" s="883"/>
      <c r="E19" s="883">
        <f>HLOOKUP($B$2,'Consumption Input'!$E$5:$AQ$82,'Consumption Input'!$B27)</f>
        <v>843.88300000000004</v>
      </c>
      <c r="F19" s="883"/>
      <c r="G19" s="883"/>
      <c r="H19" s="883"/>
      <c r="I19" s="883">
        <f t="shared" si="28"/>
        <v>843.88300000000004</v>
      </c>
      <c r="J19" s="884"/>
      <c r="K19" s="883">
        <f>HLOOKUP($B$2,NEUConsumption,'Non-Energy Use'!$C$10)</f>
        <v>843.88300000000004</v>
      </c>
      <c r="L19" s="883"/>
      <c r="M19" s="883"/>
      <c r="N19" s="885">
        <f t="shared" ref="N19:O42" si="32">C19</f>
        <v>0</v>
      </c>
      <c r="O19" s="883">
        <f t="shared" si="32"/>
        <v>0</v>
      </c>
      <c r="P19" s="883">
        <f t="shared" ref="P19:P41" si="33">E19-K19</f>
        <v>0</v>
      </c>
      <c r="Q19" s="883">
        <f t="shared" ref="Q19:Q41" si="34">F19-J19-L19</f>
        <v>0</v>
      </c>
      <c r="R19" s="883">
        <f t="shared" ref="R19:R42" si="35">G19</f>
        <v>0</v>
      </c>
      <c r="S19" s="886">
        <f t="shared" ref="S19:S41" si="36">H19-M19</f>
        <v>0</v>
      </c>
      <c r="T19" s="883">
        <f t="shared" si="4"/>
        <v>0</v>
      </c>
      <c r="U19" s="887">
        <f>Factors!D24</f>
        <v>20.55318099621897</v>
      </c>
      <c r="V19" s="885">
        <f t="shared" ref="V19:V41" si="37">N19*$U19*TbtuToQBtu</f>
        <v>0</v>
      </c>
      <c r="W19" s="883">
        <f t="shared" ref="W19:W41" si="38">O19*$U19*TbtuToQBtu</f>
        <v>0</v>
      </c>
      <c r="X19" s="883">
        <f t="shared" ref="X19:X41" si="39">P19*$U19*TbtuToQBtu</f>
        <v>0</v>
      </c>
      <c r="Y19" s="883">
        <f t="shared" ref="Y19:Y41" si="40">Q19*$U19*TbtuToQBtu</f>
        <v>0</v>
      </c>
      <c r="Z19" s="883">
        <f t="shared" ref="Z19:Z41" si="41">R19*$U19*TbtuToQBtu</f>
        <v>0</v>
      </c>
      <c r="AA19" s="883">
        <f t="shared" ref="AA19:AA41" si="42">S19*$U19*TbtuToQBtu</f>
        <v>0</v>
      </c>
      <c r="AB19" s="883">
        <f t="shared" si="19"/>
        <v>0</v>
      </c>
      <c r="AC19" s="888">
        <f>Factors!E24</f>
        <v>1</v>
      </c>
      <c r="AD19" s="885">
        <f t="shared" ref="AD19:AI35" si="43">V19*$AC19</f>
        <v>0</v>
      </c>
      <c r="AE19" s="883">
        <f t="shared" si="43"/>
        <v>0</v>
      </c>
      <c r="AF19" s="883">
        <f t="shared" si="43"/>
        <v>0</v>
      </c>
      <c r="AG19" s="883">
        <f t="shared" si="43"/>
        <v>0</v>
      </c>
      <c r="AH19" s="883">
        <f t="shared" si="43"/>
        <v>0</v>
      </c>
      <c r="AI19" s="883">
        <f t="shared" si="43"/>
        <v>0</v>
      </c>
      <c r="AJ19" s="889">
        <f t="shared" si="7"/>
        <v>0</v>
      </c>
      <c r="AK19" s="885">
        <f t="shared" si="26"/>
        <v>0</v>
      </c>
      <c r="AL19" s="883">
        <f t="shared" si="21"/>
        <v>0</v>
      </c>
      <c r="AM19" s="883">
        <f t="shared" si="22"/>
        <v>0</v>
      </c>
      <c r="AN19" s="883">
        <f t="shared" si="23"/>
        <v>0</v>
      </c>
      <c r="AO19" s="883">
        <f t="shared" si="24"/>
        <v>0</v>
      </c>
      <c r="AP19" s="883">
        <f t="shared" si="25"/>
        <v>0</v>
      </c>
      <c r="AQ19" s="890">
        <f t="shared" si="9"/>
        <v>0</v>
      </c>
    </row>
    <row r="20" spans="1:43">
      <c r="A20" s="817"/>
      <c r="B20" s="860" t="s">
        <v>1622</v>
      </c>
      <c r="C20" s="883"/>
      <c r="D20" s="883"/>
      <c r="E20" s="883"/>
      <c r="F20" s="883">
        <f>HLOOKUP($B$2,'Consumption Input'!$E$5:$AQ$82,'Consumption Input'!$B50)</f>
        <v>23.387</v>
      </c>
      <c r="G20" s="883"/>
      <c r="H20" s="883"/>
      <c r="I20" s="883">
        <f t="shared" si="28"/>
        <v>23.387</v>
      </c>
      <c r="J20" s="884"/>
      <c r="K20" s="883"/>
      <c r="L20" s="883"/>
      <c r="M20" s="883"/>
      <c r="N20" s="885">
        <f t="shared" si="32"/>
        <v>0</v>
      </c>
      <c r="O20" s="883">
        <f t="shared" si="32"/>
        <v>0</v>
      </c>
      <c r="P20" s="883">
        <f t="shared" si="33"/>
        <v>0</v>
      </c>
      <c r="Q20" s="883">
        <f t="shared" si="34"/>
        <v>23.387</v>
      </c>
      <c r="R20" s="883">
        <f t="shared" si="35"/>
        <v>0</v>
      </c>
      <c r="S20" s="886">
        <f t="shared" si="36"/>
        <v>0</v>
      </c>
      <c r="T20" s="883">
        <f t="shared" si="4"/>
        <v>23.387</v>
      </c>
      <c r="U20" s="887">
        <f>Factors!D25</f>
        <v>18.855352254718337</v>
      </c>
      <c r="V20" s="885">
        <f t="shared" si="37"/>
        <v>0</v>
      </c>
      <c r="W20" s="883">
        <f t="shared" si="38"/>
        <v>0</v>
      </c>
      <c r="X20" s="883">
        <f t="shared" si="39"/>
        <v>0</v>
      </c>
      <c r="Y20" s="883">
        <f t="shared" si="40"/>
        <v>0.44097012318109774</v>
      </c>
      <c r="Z20" s="883">
        <f t="shared" si="41"/>
        <v>0</v>
      </c>
      <c r="AA20" s="883">
        <f t="shared" si="42"/>
        <v>0</v>
      </c>
      <c r="AB20" s="883">
        <f t="shared" si="19"/>
        <v>0.44097012318109774</v>
      </c>
      <c r="AC20" s="888">
        <f>Factors!E25</f>
        <v>1</v>
      </c>
      <c r="AD20" s="885">
        <f t="shared" si="43"/>
        <v>0</v>
      </c>
      <c r="AE20" s="883">
        <f t="shared" si="43"/>
        <v>0</v>
      </c>
      <c r="AF20" s="883">
        <f t="shared" si="43"/>
        <v>0</v>
      </c>
      <c r="AG20" s="883">
        <f t="shared" si="43"/>
        <v>0.44097012318109774</v>
      </c>
      <c r="AH20" s="883">
        <f t="shared" si="43"/>
        <v>0</v>
      </c>
      <c r="AI20" s="883">
        <f t="shared" si="43"/>
        <v>0</v>
      </c>
      <c r="AJ20" s="889">
        <f t="shared" si="7"/>
        <v>0.44097012318109774</v>
      </c>
      <c r="AK20" s="885">
        <f t="shared" si="26"/>
        <v>0</v>
      </c>
      <c r="AL20" s="883">
        <f t="shared" si="21"/>
        <v>0</v>
      </c>
      <c r="AM20" s="883">
        <f t="shared" si="22"/>
        <v>0</v>
      </c>
      <c r="AN20" s="883">
        <f t="shared" si="23"/>
        <v>1.616890451664025</v>
      </c>
      <c r="AO20" s="883">
        <f t="shared" si="24"/>
        <v>0</v>
      </c>
      <c r="AP20" s="883">
        <f t="shared" si="25"/>
        <v>0</v>
      </c>
      <c r="AQ20" s="890">
        <f t="shared" si="9"/>
        <v>1.616890451664025</v>
      </c>
    </row>
    <row r="21" spans="1:43">
      <c r="A21" s="817"/>
      <c r="B21" s="860" t="s">
        <v>1738</v>
      </c>
      <c r="C21" s="883">
        <f>HLOOKUP($B$2,'Consumption Input'!$E$5:$AQ$82,'Consumption Input'!$B9)</f>
        <v>421.16053400322193</v>
      </c>
      <c r="D21" s="883">
        <f>HLOOKUP($B$2,'Consumption Input'!$E$5:$AQ$82,'Consumption Input'!$B15)</f>
        <v>292.86392135374274</v>
      </c>
      <c r="E21" s="883">
        <f>HLOOKUP($B$2,'Consumption Input'!$E$5:$AQ$82,'Consumption Input'!$B28)</f>
        <v>1078.9566172655975</v>
      </c>
      <c r="F21" s="883">
        <f>HLOOKUP($B$2,'Consumption Input'!$E$5:$AQ$82,'Consumption Input'!$B51)</f>
        <v>6529.2837587821996</v>
      </c>
      <c r="G21" s="883">
        <f>HLOOKUP($B$2,'Consumption Input'!$E$5:$AQ$82,'Consumption Input'!$B60)</f>
        <v>53.878999999999998</v>
      </c>
      <c r="H21" s="883">
        <f>HLOOKUP($B$2,'US Territories'!$D$28:$AO$38,'US Territories'!$B31)</f>
        <v>71.561999371696388</v>
      </c>
      <c r="I21" s="883">
        <f t="shared" si="28"/>
        <v>8447.7058307764582</v>
      </c>
      <c r="J21" s="884">
        <f>HLOOKUP($B$2,IBFConsumption,'International Bunker Fuels'!$B$10)</f>
        <v>136.25532563870291</v>
      </c>
      <c r="K21" s="883">
        <f>HLOOKUP($B$2,NEUConsumption,'Non-Energy Use'!$C$20)</f>
        <v>5.8250000000000002</v>
      </c>
      <c r="L21" s="883"/>
      <c r="M21" s="883"/>
      <c r="N21" s="885">
        <f t="shared" si="32"/>
        <v>421.16053400322193</v>
      </c>
      <c r="O21" s="883">
        <f>D21</f>
        <v>292.86392135374274</v>
      </c>
      <c r="P21" s="883">
        <f t="shared" si="33"/>
        <v>1073.1316172655975</v>
      </c>
      <c r="Q21" s="883">
        <f t="shared" si="34"/>
        <v>6393.0284331434968</v>
      </c>
      <c r="R21" s="883">
        <f t="shared" si="35"/>
        <v>53.878999999999998</v>
      </c>
      <c r="S21" s="886">
        <f>H21-M21</f>
        <v>71.561999371696388</v>
      </c>
      <c r="T21" s="883">
        <f t="shared" si="4"/>
        <v>8305.6255051377557</v>
      </c>
      <c r="U21" s="887">
        <f>HLOOKUP($B$2,Factors!$J$12:$BE$27,Factors!$H27,FALSE)</f>
        <v>20.221719451899205</v>
      </c>
      <c r="V21" s="885">
        <f>N21*$U21*TbtuToQBtu</f>
        <v>8.5165901628252083</v>
      </c>
      <c r="W21" s="883">
        <f>O21*$U21*TbtuToQBtu</f>
        <v>5.9222120551984583</v>
      </c>
      <c r="X21" s="883">
        <f t="shared" si="39"/>
        <v>21.700566499307786</v>
      </c>
      <c r="Y21" s="883">
        <f t="shared" si="40"/>
        <v>129.27802742304254</v>
      </c>
      <c r="Z21" s="883">
        <f t="shared" si="41"/>
        <v>1.0895260223488772</v>
      </c>
      <c r="AA21" s="883">
        <f t="shared" si="42"/>
        <v>1.4471066747114314</v>
      </c>
      <c r="AB21" s="883">
        <f t="shared" si="19"/>
        <v>167.95402883743429</v>
      </c>
      <c r="AC21" s="888">
        <f>Factors!E26</f>
        <v>1</v>
      </c>
      <c r="AD21" s="885">
        <f t="shared" si="43"/>
        <v>8.5165901628252083</v>
      </c>
      <c r="AE21" s="883">
        <f>W21*$AC21</f>
        <v>5.9222120551984583</v>
      </c>
      <c r="AF21" s="883">
        <f t="shared" si="43"/>
        <v>21.700566499307786</v>
      </c>
      <c r="AG21" s="883">
        <f t="shared" si="43"/>
        <v>129.27802742304254</v>
      </c>
      <c r="AH21" s="883">
        <f t="shared" si="43"/>
        <v>1.0895260223488772</v>
      </c>
      <c r="AI21" s="883">
        <f t="shared" si="43"/>
        <v>1.4471066747114314</v>
      </c>
      <c r="AJ21" s="889">
        <f t="shared" si="7"/>
        <v>167.95402883743429</v>
      </c>
      <c r="AK21" s="885">
        <f t="shared" si="26"/>
        <v>31.227497263692428</v>
      </c>
      <c r="AL21" s="883">
        <f t="shared" si="21"/>
        <v>21.714777535727681</v>
      </c>
      <c r="AM21" s="883">
        <f t="shared" si="22"/>
        <v>79.568743830795214</v>
      </c>
      <c r="AN21" s="883">
        <f t="shared" si="23"/>
        <v>474.01943388448933</v>
      </c>
      <c r="AO21" s="883">
        <f t="shared" si="24"/>
        <v>3.9949287486125495</v>
      </c>
      <c r="AP21" s="883">
        <f t="shared" si="25"/>
        <v>5.3060578072752485</v>
      </c>
      <c r="AQ21" s="890">
        <f t="shared" si="9"/>
        <v>615.83143907059241</v>
      </c>
    </row>
    <row r="22" spans="1:43">
      <c r="A22" s="817"/>
      <c r="B22" s="860" t="s">
        <v>1623</v>
      </c>
      <c r="C22" s="883"/>
      <c r="D22" s="883"/>
      <c r="E22" s="883"/>
      <c r="F22" s="883">
        <f>HLOOKUP($B$2,'Consumption Input'!$E$5:$AQ$82,'Consumption Input'!$B52)</f>
        <v>3608.0210000000002</v>
      </c>
      <c r="G22" s="916"/>
      <c r="H22" s="883">
        <f>HLOOKUP($B$2,'US Territories'!$D$28:$AO$38,'US Territories'!$B32)</f>
        <v>34.562085085851066</v>
      </c>
      <c r="I22" s="883">
        <f t="shared" si="28"/>
        <v>3642.5830850858511</v>
      </c>
      <c r="J22" s="884">
        <f>HLOOKUP($B$2,IBFConsumption,'International Bunker Fuels'!$B$8)</f>
        <v>1112.0356750483818</v>
      </c>
      <c r="K22" s="883"/>
      <c r="L22" s="883"/>
      <c r="M22" s="883"/>
      <c r="N22" s="885">
        <f t="shared" si="32"/>
        <v>0</v>
      </c>
      <c r="O22" s="883">
        <f t="shared" si="32"/>
        <v>0</v>
      </c>
      <c r="P22" s="883">
        <f t="shared" si="33"/>
        <v>0</v>
      </c>
      <c r="Q22" s="883">
        <f t="shared" si="34"/>
        <v>2495.9853249516182</v>
      </c>
      <c r="R22" s="883">
        <f t="shared" si="35"/>
        <v>0</v>
      </c>
      <c r="S22" s="886">
        <f t="shared" si="36"/>
        <v>34.562085085851066</v>
      </c>
      <c r="T22" s="883">
        <f t="shared" si="4"/>
        <v>2530.547410037469</v>
      </c>
      <c r="U22" s="887">
        <f>HLOOKUP($B$2,Factors!$J$12:$BE$25,Factors!$H21,FALSE)</f>
        <v>19.696969696969692</v>
      </c>
      <c r="V22" s="885">
        <f t="shared" si="37"/>
        <v>0</v>
      </c>
      <c r="W22" s="883">
        <f t="shared" si="38"/>
        <v>0</v>
      </c>
      <c r="X22" s="883">
        <f t="shared" si="39"/>
        <v>0</v>
      </c>
      <c r="Y22" s="883">
        <f t="shared" si="40"/>
        <v>49.163347309653076</v>
      </c>
      <c r="Z22" s="883">
        <f t="shared" si="41"/>
        <v>0</v>
      </c>
      <c r="AA22" s="883">
        <f t="shared" si="42"/>
        <v>0.68076834260009667</v>
      </c>
      <c r="AB22" s="883">
        <f t="shared" si="19"/>
        <v>49.844115652253173</v>
      </c>
      <c r="AC22" s="888">
        <f>Factors!E27</f>
        <v>1</v>
      </c>
      <c r="AD22" s="885">
        <f t="shared" si="43"/>
        <v>0</v>
      </c>
      <c r="AE22" s="883">
        <f t="shared" si="43"/>
        <v>0</v>
      </c>
      <c r="AF22" s="883">
        <f t="shared" si="43"/>
        <v>0</v>
      </c>
      <c r="AG22" s="883">
        <f t="shared" si="43"/>
        <v>49.163347309653076</v>
      </c>
      <c r="AH22" s="883">
        <f t="shared" si="43"/>
        <v>0</v>
      </c>
      <c r="AI22" s="883">
        <f t="shared" si="43"/>
        <v>0.68076834260009667</v>
      </c>
      <c r="AJ22" s="889">
        <f t="shared" si="7"/>
        <v>49.844115652253173</v>
      </c>
      <c r="AK22" s="885">
        <f t="shared" si="26"/>
        <v>0</v>
      </c>
      <c r="AL22" s="883">
        <f t="shared" si="21"/>
        <v>0</v>
      </c>
      <c r="AM22" s="883">
        <f t="shared" si="22"/>
        <v>0</v>
      </c>
      <c r="AN22" s="883">
        <f t="shared" si="23"/>
        <v>180.26560680206128</v>
      </c>
      <c r="AO22" s="883">
        <f t="shared" si="24"/>
        <v>0</v>
      </c>
      <c r="AP22" s="883">
        <f t="shared" si="25"/>
        <v>2.4961505895336877</v>
      </c>
      <c r="AQ22" s="890">
        <f t="shared" si="9"/>
        <v>182.76175739159498</v>
      </c>
    </row>
    <row r="23" spans="1:43">
      <c r="A23" s="817"/>
      <c r="B23" s="860" t="s">
        <v>1599</v>
      </c>
      <c r="C23" s="883">
        <f>HLOOKUP($B$2,'Consumption Input'!$E$5:$AQ$82,'Consumption Input'!$B10)</f>
        <v>10.754</v>
      </c>
      <c r="D23" s="883">
        <f>HLOOKUP($B$2,'Consumption Input'!$E$5:$AQ$82,'Consumption Input'!$B16)</f>
        <v>1.839</v>
      </c>
      <c r="E23" s="883">
        <f>HLOOKUP($B$2,'Consumption Input'!$E$5:$AQ$82,'Consumption Input'!$B29)</f>
        <v>1.4199999999999997</v>
      </c>
      <c r="F23" s="883"/>
      <c r="G23" s="883"/>
      <c r="H23" s="883">
        <f>HLOOKUP($B$2,'US Territories'!$D$28:$AO$38,'US Territories'!$B33)</f>
        <v>0.46187594414971994</v>
      </c>
      <c r="I23" s="883">
        <f t="shared" si="28"/>
        <v>14.474875944149719</v>
      </c>
      <c r="J23" s="884"/>
      <c r="K23" s="883"/>
      <c r="L23" s="883"/>
      <c r="M23" s="883"/>
      <c r="N23" s="885">
        <f t="shared" si="32"/>
        <v>10.754</v>
      </c>
      <c r="O23" s="883">
        <f t="shared" si="32"/>
        <v>1.839</v>
      </c>
      <c r="P23" s="883">
        <f t="shared" si="33"/>
        <v>1.4199999999999997</v>
      </c>
      <c r="Q23" s="883">
        <f t="shared" si="34"/>
        <v>0</v>
      </c>
      <c r="R23" s="883">
        <f t="shared" si="35"/>
        <v>0</v>
      </c>
      <c r="S23" s="886">
        <f t="shared" si="36"/>
        <v>0.46187594414971994</v>
      </c>
      <c r="T23" s="883">
        <f t="shared" si="4"/>
        <v>14.474875944149719</v>
      </c>
      <c r="U23" s="887">
        <f>Factors!D28</f>
        <v>19.964104564962931</v>
      </c>
      <c r="V23" s="885">
        <f t="shared" si="37"/>
        <v>0.21469398049161134</v>
      </c>
      <c r="W23" s="883">
        <f t="shared" si="38"/>
        <v>3.6713988294966832E-2</v>
      </c>
      <c r="X23" s="883">
        <f t="shared" si="39"/>
        <v>2.8349028482247355E-2</v>
      </c>
      <c r="Y23" s="883">
        <f t="shared" si="40"/>
        <v>0</v>
      </c>
      <c r="Z23" s="883">
        <f t="shared" si="41"/>
        <v>0</v>
      </c>
      <c r="AA23" s="883">
        <f t="shared" si="42"/>
        <v>9.220939645045988E-3</v>
      </c>
      <c r="AB23" s="883">
        <f t="shared" si="19"/>
        <v>0.28897793691387152</v>
      </c>
      <c r="AC23" s="888">
        <f>Factors!E28</f>
        <v>1</v>
      </c>
      <c r="AD23" s="885">
        <f t="shared" si="43"/>
        <v>0.21469398049161134</v>
      </c>
      <c r="AE23" s="883">
        <f t="shared" si="43"/>
        <v>3.6713988294966832E-2</v>
      </c>
      <c r="AF23" s="883">
        <f t="shared" si="43"/>
        <v>2.8349028482247355E-2</v>
      </c>
      <c r="AG23" s="883">
        <f t="shared" si="43"/>
        <v>0</v>
      </c>
      <c r="AH23" s="883">
        <f t="shared" si="43"/>
        <v>0</v>
      </c>
      <c r="AI23" s="883">
        <f t="shared" si="43"/>
        <v>9.220939645045988E-3</v>
      </c>
      <c r="AJ23" s="889">
        <f t="shared" si="7"/>
        <v>0.28897793691387152</v>
      </c>
      <c r="AK23" s="885">
        <f t="shared" si="26"/>
        <v>0.78721126180257484</v>
      </c>
      <c r="AL23" s="883">
        <f t="shared" si="21"/>
        <v>0.13461795708154503</v>
      </c>
      <c r="AM23" s="883">
        <f t="shared" si="22"/>
        <v>0.10394643776824029</v>
      </c>
      <c r="AN23" s="883">
        <f t="shared" si="23"/>
        <v>0</v>
      </c>
      <c r="AO23" s="883">
        <f t="shared" si="24"/>
        <v>0</v>
      </c>
      <c r="AP23" s="883">
        <f t="shared" si="25"/>
        <v>3.3810112031835288E-2</v>
      </c>
      <c r="AQ23" s="890">
        <f t="shared" si="9"/>
        <v>1.0595857686841954</v>
      </c>
    </row>
    <row r="24" spans="1:43">
      <c r="A24" s="817"/>
      <c r="B24" s="860" t="s">
        <v>1600</v>
      </c>
      <c r="C24" s="883">
        <f>HLOOKUP($B$2,'Consumption Input'!$E$5:$AQ$82,'Consumption Input'!$B11)</f>
        <v>563.40499999999997</v>
      </c>
      <c r="D24" s="883">
        <f>HLOOKUP($B$2,'Consumption Input'!$E$5:$AQ$82,'Consumption Input'!$B17)</f>
        <v>182.02799999999999</v>
      </c>
      <c r="E24"/>
      <c r="F24" s="883">
        <f>HLOOKUP($B$2,'Consumption Input'!$E$5:$AQ$82,'Consumption Input'!$B53)</f>
        <v>12.491</v>
      </c>
      <c r="G24" s="883"/>
      <c r="H24"/>
      <c r="I24" s="883">
        <f t="shared" si="28"/>
        <v>757.92399999999998</v>
      </c>
      <c r="J24" s="884"/>
      <c r="K24"/>
      <c r="L24" s="883"/>
      <c r="M24" s="883"/>
      <c r="N24" s="885">
        <f>C24</f>
        <v>563.40499999999997</v>
      </c>
      <c r="O24" s="883">
        <f t="shared" si="32"/>
        <v>182.02799999999999</v>
      </c>
      <c r="P24"/>
      <c r="Q24" s="883">
        <f t="shared" si="34"/>
        <v>12.491</v>
      </c>
      <c r="R24" s="883">
        <f t="shared" si="35"/>
        <v>0</v>
      </c>
      <c r="S24" s="1007"/>
      <c r="T24" s="883">
        <f t="shared" si="4"/>
        <v>757.92399999999998</v>
      </c>
      <c r="U24" s="1005">
        <f>HLOOKUP($B$2,Factors!$J$12:$BE$25,Factors!$H17,FALSE)</f>
        <v>17.146363636363635</v>
      </c>
      <c r="V24" s="885">
        <f>N24*$U24*TbtuToQBtu</f>
        <v>9.6603470045454518</v>
      </c>
      <c r="W24" s="883">
        <f>O24*$U24*TbtuToQBtu</f>
        <v>3.1211182799999997</v>
      </c>
      <c r="X24"/>
      <c r="Y24" s="883">
        <f>Q24*$U24*TbtuToQBtu</f>
        <v>0.21417522818181814</v>
      </c>
      <c r="Z24" s="883">
        <f t="shared" si="41"/>
        <v>0</v>
      </c>
      <c r="AA24"/>
      <c r="AB24" s="883">
        <f>SUM(V24:AA24)</f>
        <v>12.995640512727269</v>
      </c>
      <c r="AC24" s="888">
        <f>Factors!E30</f>
        <v>1</v>
      </c>
      <c r="AD24" s="885">
        <f>V24*$AC24</f>
        <v>9.6603470045454518</v>
      </c>
      <c r="AE24" s="883">
        <f t="shared" si="43"/>
        <v>3.1211182799999997</v>
      </c>
      <c r="AF24"/>
      <c r="AG24" s="883">
        <f t="shared" si="43"/>
        <v>0.21417522818181814</v>
      </c>
      <c r="AH24" s="883">
        <f t="shared" si="43"/>
        <v>0</v>
      </c>
      <c r="AI24"/>
      <c r="AJ24" s="889">
        <f t="shared" si="7"/>
        <v>12.995640512727269</v>
      </c>
      <c r="AK24" s="885">
        <f>AD24*CtoCO2</f>
        <v>35.421272349999988</v>
      </c>
      <c r="AL24" s="883">
        <f t="shared" si="21"/>
        <v>11.444100359999998</v>
      </c>
      <c r="AN24" s="883">
        <f t="shared" si="23"/>
        <v>0.78530916999999978</v>
      </c>
      <c r="AO24" s="883">
        <f t="shared" si="24"/>
        <v>0</v>
      </c>
      <c r="AQ24" s="890">
        <f t="shared" si="9"/>
        <v>47.650681879999986</v>
      </c>
    </row>
    <row r="25" spans="1:43">
      <c r="A25" s="817"/>
      <c r="B25" s="860" t="s">
        <v>1609</v>
      </c>
      <c r="C25" s="883"/>
      <c r="D25" s="883"/>
      <c r="E25" s="883">
        <f>HLOOKUP($B$2,'Consumption Input'!$E$5:$AQ$82,'Consumption Input'!$B30)</f>
        <v>2804.2537543660001</v>
      </c>
      <c r="F25" s="883"/>
      <c r="G25" s="883"/>
      <c r="H25" s="883">
        <f>HLOOKUP($B$2,'US Territories'!$D$28:$AO$38,'US Territories'!$B34)</f>
        <v>10.222639405326296</v>
      </c>
      <c r="I25" s="883">
        <f t="shared" si="28"/>
        <v>2814.4763937713265</v>
      </c>
      <c r="J25" s="884"/>
      <c r="K25" s="883">
        <f>HLOOKUP($B$2,NEUConsumption,'Non-Energy Use'!$C$11)</f>
        <v>2758.7677783638755</v>
      </c>
      <c r="L25" s="883"/>
      <c r="M25" s="883"/>
      <c r="N25" s="885"/>
      <c r="O25" s="883"/>
      <c r="P25" s="883">
        <f>E25-K25</f>
        <v>45.485976002124517</v>
      </c>
      <c r="Q25" s="883"/>
      <c r="R25" s="883"/>
      <c r="S25" s="886">
        <f>H25-M25</f>
        <v>10.222639405326296</v>
      </c>
      <c r="T25" s="883">
        <f t="shared" si="4"/>
        <v>55.708615407450814</v>
      </c>
      <c r="U25" s="1005">
        <f>HLOOKUP($B$2,Factors!$J$12:$BE$25,Factors!$H18,FALSE)</f>
        <v>17.765137541392221</v>
      </c>
      <c r="V25" s="885"/>
      <c r="W25" s="883"/>
      <c r="X25" s="883">
        <f>P25*$U25*TbtuToQBtu</f>
        <v>0.8080646198822079</v>
      </c>
      <c r="Y25" s="883"/>
      <c r="Z25" s="883"/>
      <c r="AA25" s="883">
        <f>S25*$U25*TbtuToQBtu</f>
        <v>0.18160659507167765</v>
      </c>
      <c r="AB25" s="883">
        <f>SUM(V25:AA25)</f>
        <v>0.98967121495388555</v>
      </c>
      <c r="AC25" s="888">
        <f>Factors!E31</f>
        <v>1</v>
      </c>
      <c r="AD25" s="885"/>
      <c r="AE25" s="883"/>
      <c r="AF25" s="883">
        <f>X25*$AC25</f>
        <v>0.8080646198822079</v>
      </c>
      <c r="AG25" s="883"/>
      <c r="AH25" s="883"/>
      <c r="AI25" s="883">
        <f>AA25*$AC25</f>
        <v>0.18160659507167765</v>
      </c>
      <c r="AJ25" s="889">
        <f t="shared" si="7"/>
        <v>0.98967121495388555</v>
      </c>
      <c r="AK25" s="885"/>
      <c r="AL25" s="883"/>
      <c r="AM25" s="883">
        <f>AF25*CtoCO2</f>
        <v>2.9629036062347622</v>
      </c>
      <c r="AN25" s="883"/>
      <c r="AO25" s="883"/>
      <c r="AP25" s="883">
        <f>AI25*CtoCO2</f>
        <v>0.66589084859615133</v>
      </c>
      <c r="AQ25" s="890">
        <f t="shared" si="9"/>
        <v>3.6287944548309135</v>
      </c>
    </row>
    <row r="26" spans="1:43">
      <c r="A26" s="817"/>
      <c r="B26" s="860" t="s">
        <v>1610</v>
      </c>
      <c r="C26" s="883"/>
      <c r="D26" s="883"/>
      <c r="E26" s="883">
        <f>HLOOKUP($B$2,'Consumption Input'!$E$5:$AQ$82,'Consumption Input'!$B31)</f>
        <v>118.313</v>
      </c>
      <c r="F26" s="883">
        <f>HLOOKUP($B$2,'Consumption Input'!$E$5:$AQ$82,'Consumption Input'!$B54)</f>
        <v>131.32900000000001</v>
      </c>
      <c r="G26" s="883"/>
      <c r="H26" s="883">
        <f>HLOOKUP($B$2,'US Territories'!$D$28:$AO$38,'US Territories'!$B35)</f>
        <v>1.0411633874999999</v>
      </c>
      <c r="I26" s="883">
        <f t="shared" si="2"/>
        <v>250.6831633875</v>
      </c>
      <c r="J26" s="884"/>
      <c r="K26" s="883">
        <f>HLOOKUP($B$2,NEUConsumption,'Non-Energy Use'!$C$12)</f>
        <v>118.313</v>
      </c>
      <c r="L26" s="883">
        <f>HLOOKUP($B$2,NEUConsumption,'Non-Energy Use'!$C$24)</f>
        <v>131.32900000000001</v>
      </c>
      <c r="M26" s="883">
        <f>HLOOKUP($B$2,NEUConsumption,'Non-Energy Use'!$C$26)</f>
        <v>1.0411633874999999</v>
      </c>
      <c r="N26" s="885">
        <f t="shared" si="32"/>
        <v>0</v>
      </c>
      <c r="O26" s="883">
        <f t="shared" si="32"/>
        <v>0</v>
      </c>
      <c r="P26" s="883">
        <f t="shared" si="33"/>
        <v>0</v>
      </c>
      <c r="Q26" s="883">
        <f>F26-J26-L26</f>
        <v>0</v>
      </c>
      <c r="R26" s="883">
        <f>G26</f>
        <v>0</v>
      </c>
      <c r="S26" s="886">
        <f t="shared" si="36"/>
        <v>0</v>
      </c>
      <c r="T26" s="883">
        <f t="shared" si="4"/>
        <v>0</v>
      </c>
      <c r="U26" s="887">
        <f>Factors!D33</f>
        <v>20.199355467286214</v>
      </c>
      <c r="V26" s="885">
        <f t="shared" si="37"/>
        <v>0</v>
      </c>
      <c r="W26" s="883">
        <f t="shared" si="38"/>
        <v>0</v>
      </c>
      <c r="X26" s="883">
        <f t="shared" si="39"/>
        <v>0</v>
      </c>
      <c r="Y26" s="883">
        <f t="shared" si="40"/>
        <v>0</v>
      </c>
      <c r="Z26" s="883">
        <f t="shared" si="41"/>
        <v>0</v>
      </c>
      <c r="AA26" s="883">
        <f t="shared" si="42"/>
        <v>0</v>
      </c>
      <c r="AB26" s="883">
        <f t="shared" si="19"/>
        <v>0</v>
      </c>
      <c r="AC26" s="888">
        <f>Factors!E33</f>
        <v>1</v>
      </c>
      <c r="AD26" s="885">
        <f t="shared" si="43"/>
        <v>0</v>
      </c>
      <c r="AE26" s="883">
        <f t="shared" si="43"/>
        <v>0</v>
      </c>
      <c r="AF26" s="883">
        <f t="shared" si="43"/>
        <v>0</v>
      </c>
      <c r="AG26" s="883">
        <f>Y26*$AC26</f>
        <v>0</v>
      </c>
      <c r="AH26" s="883">
        <f t="shared" si="43"/>
        <v>0</v>
      </c>
      <c r="AI26" s="883">
        <f t="shared" si="43"/>
        <v>0</v>
      </c>
      <c r="AJ26" s="889">
        <f t="shared" si="7"/>
        <v>0</v>
      </c>
      <c r="AK26" s="885">
        <f t="shared" si="26"/>
        <v>0</v>
      </c>
      <c r="AL26" s="883">
        <f t="shared" si="21"/>
        <v>0</v>
      </c>
      <c r="AM26" s="883">
        <f t="shared" si="22"/>
        <v>0</v>
      </c>
      <c r="AN26" s="883">
        <f>AG26*CtoCO2</f>
        <v>0</v>
      </c>
      <c r="AO26" s="883">
        <f t="shared" si="24"/>
        <v>0</v>
      </c>
      <c r="AP26" s="883">
        <f t="shared" si="25"/>
        <v>0</v>
      </c>
      <c r="AQ26" s="890">
        <f t="shared" si="9"/>
        <v>0</v>
      </c>
    </row>
    <row r="27" spans="1:43">
      <c r="A27" s="817"/>
      <c r="B27" s="860" t="s">
        <v>1601</v>
      </c>
      <c r="C27" s="883"/>
      <c r="D27" s="883">
        <f>HLOOKUP($B$2,'Consumption Input'!$E$5:$AQ$82,'Consumption Input'!$B18)</f>
        <v>336.10215682519936</v>
      </c>
      <c r="E27" s="883">
        <f>HLOOKUP($B$2,'Consumption Input'!$E$5:$AQ$82,'Consumption Input'!$B32)</f>
        <v>242.74768433861655</v>
      </c>
      <c r="F27" s="883">
        <f>HLOOKUP($B$2,'Consumption Input'!$E$5:$AQ$82,'Consumption Input'!$B55)</f>
        <v>15381.106158836184</v>
      </c>
      <c r="G27" s="883"/>
      <c r="H27" s="883">
        <f>HLOOKUP($B$2,'US Territories'!$D$28:$AO$38,'US Territories'!$B36)</f>
        <v>74.119898554078532</v>
      </c>
      <c r="I27" s="883">
        <f t="shared" si="2"/>
        <v>16034.075898554078</v>
      </c>
      <c r="J27" s="884"/>
      <c r="K27" s="883"/>
      <c r="L27" s="883"/>
      <c r="M27" s="883"/>
      <c r="N27" s="885">
        <f t="shared" si="32"/>
        <v>0</v>
      </c>
      <c r="O27" s="883">
        <f t="shared" si="32"/>
        <v>336.10215682519936</v>
      </c>
      <c r="P27" s="883">
        <f t="shared" si="33"/>
        <v>242.74768433861655</v>
      </c>
      <c r="Q27" s="883">
        <f>F27-J27-L27</f>
        <v>15381.106158836184</v>
      </c>
      <c r="R27" s="883">
        <f t="shared" si="35"/>
        <v>0</v>
      </c>
      <c r="S27" s="886">
        <f t="shared" si="36"/>
        <v>74.119898554078532</v>
      </c>
      <c r="T27" s="883">
        <f t="shared" si="4"/>
        <v>16034.075898554078</v>
      </c>
      <c r="U27" s="887">
        <f>HLOOKUP($B$2,Factors!$J$12:$BE$25,Factors!$H20,FALSE)</f>
        <v>19.265712984148887</v>
      </c>
      <c r="V27" s="885">
        <f t="shared" si="37"/>
        <v>0</v>
      </c>
      <c r="W27" s="883">
        <f t="shared" si="38"/>
        <v>6.4752476867476894</v>
      </c>
      <c r="X27" s="883">
        <f t="shared" si="39"/>
        <v>4.6767072140345611</v>
      </c>
      <c r="Y27" s="883">
        <f>Q27*$U27*TbtuToQBtu</f>
        <v>296.32797663486275</v>
      </c>
      <c r="Z27" s="883">
        <f t="shared" si="41"/>
        <v>0</v>
      </c>
      <c r="AA27" s="883">
        <f t="shared" si="42"/>
        <v>1.4279726919571092</v>
      </c>
      <c r="AB27" s="883">
        <f t="shared" si="19"/>
        <v>308.9079042276021</v>
      </c>
      <c r="AC27" s="888">
        <f>Factors!E34</f>
        <v>1</v>
      </c>
      <c r="AD27" s="885">
        <f t="shared" si="43"/>
        <v>0</v>
      </c>
      <c r="AE27" s="883">
        <f t="shared" si="43"/>
        <v>6.4752476867476894</v>
      </c>
      <c r="AF27" s="883">
        <f t="shared" si="43"/>
        <v>4.6767072140345611</v>
      </c>
      <c r="AG27" s="883">
        <f>Y27*$AC44</f>
        <v>296.32797663486275</v>
      </c>
      <c r="AH27" s="883">
        <f t="shared" si="43"/>
        <v>0</v>
      </c>
      <c r="AI27" s="883">
        <f t="shared" si="43"/>
        <v>1.4279726919571092</v>
      </c>
      <c r="AJ27" s="889">
        <f t="shared" si="7"/>
        <v>308.9079042276021</v>
      </c>
      <c r="AK27" s="885">
        <f t="shared" si="26"/>
        <v>0</v>
      </c>
      <c r="AL27" s="883">
        <f t="shared" si="21"/>
        <v>23.742574851408193</v>
      </c>
      <c r="AM27" s="883">
        <f t="shared" si="22"/>
        <v>17.147926451460055</v>
      </c>
      <c r="AN27" s="883">
        <f t="shared" si="23"/>
        <v>1086.5359143278301</v>
      </c>
      <c r="AO27" s="883">
        <f t="shared" si="24"/>
        <v>0</v>
      </c>
      <c r="AP27" s="883">
        <f t="shared" si="25"/>
        <v>5.2358998705094004</v>
      </c>
      <c r="AQ27" s="890">
        <f t="shared" si="9"/>
        <v>1132.6623155012078</v>
      </c>
    </row>
    <row r="28" spans="1:43">
      <c r="A28" s="817"/>
      <c r="B28" s="860" t="s">
        <v>1602</v>
      </c>
      <c r="C28" s="883"/>
      <c r="D28" s="883">
        <f>HLOOKUP($B$2,'Consumption Input'!$E$5:$AQ$82,'Consumption Input'!$B19)</f>
        <v>2.3370000000000002</v>
      </c>
      <c r="E28" s="883">
        <f>HLOOKUP($B$2,'Consumption Input'!$E$5:$AQ$82,'Consumption Input'!$B33)</f>
        <v>0</v>
      </c>
      <c r="F28" s="883">
        <f>HLOOKUP($B$2,'Consumption Input'!$E$5:$AQ$82,'Consumption Input'!$B56)</f>
        <v>529.10299999999995</v>
      </c>
      <c r="G28" s="883">
        <f>HLOOKUP($B$2,'Consumption Input'!$E$5:$AQ$82,'Consumption Input'!$B61)</f>
        <v>58.793999999999997</v>
      </c>
      <c r="H28" s="883">
        <f>HLOOKUP($B$2,'US Territories'!$D$28:$AO$38,'US Territories'!$B37)</f>
        <v>49.82387641690481</v>
      </c>
      <c r="I28" s="883">
        <f t="shared" si="2"/>
        <v>640.05787641690472</v>
      </c>
      <c r="J28" s="884">
        <f>HLOOKUP($B$2,IBFConsumption,'International Bunker Fuels'!$B$9)</f>
        <v>336.22633963073997</v>
      </c>
      <c r="K28" s="883"/>
      <c r="L28" s="883"/>
      <c r="M28" s="883"/>
      <c r="N28" s="885">
        <f t="shared" si="32"/>
        <v>0</v>
      </c>
      <c r="O28" s="883">
        <f t="shared" si="32"/>
        <v>2.3370000000000002</v>
      </c>
      <c r="P28" s="883">
        <f t="shared" si="33"/>
        <v>0</v>
      </c>
      <c r="Q28" s="883">
        <f t="shared" si="34"/>
        <v>192.87666036925998</v>
      </c>
      <c r="R28" s="883">
        <f t="shared" si="35"/>
        <v>58.793999999999997</v>
      </c>
      <c r="S28" s="886">
        <f t="shared" si="36"/>
        <v>49.82387641690481</v>
      </c>
      <c r="T28" s="883">
        <f t="shared" si="4"/>
        <v>303.83153678616475</v>
      </c>
      <c r="U28" s="887">
        <f>Factors!D36</f>
        <v>20.48</v>
      </c>
      <c r="V28" s="885">
        <f t="shared" si="37"/>
        <v>0</v>
      </c>
      <c r="W28" s="883">
        <f t="shared" si="38"/>
        <v>4.7861760000000003E-2</v>
      </c>
      <c r="X28" s="883">
        <f t="shared" si="39"/>
        <v>0</v>
      </c>
      <c r="Y28" s="883">
        <f t="shared" si="40"/>
        <v>3.9501140043624448</v>
      </c>
      <c r="Z28" s="883">
        <f t="shared" si="41"/>
        <v>1.20410112</v>
      </c>
      <c r="AA28" s="883">
        <f t="shared" si="42"/>
        <v>1.0203929890182106</v>
      </c>
      <c r="AB28" s="883">
        <f>SUM(V28:AA28)</f>
        <v>6.2224698733806552</v>
      </c>
      <c r="AC28" s="888">
        <f>Factors!E36</f>
        <v>1</v>
      </c>
      <c r="AD28" s="885">
        <f t="shared" si="43"/>
        <v>0</v>
      </c>
      <c r="AE28" s="883">
        <f t="shared" si="43"/>
        <v>4.7861760000000003E-2</v>
      </c>
      <c r="AF28" s="883">
        <f t="shared" si="43"/>
        <v>0</v>
      </c>
      <c r="AG28" s="883">
        <f t="shared" si="43"/>
        <v>3.9501140043624448</v>
      </c>
      <c r="AH28" s="883">
        <f t="shared" si="43"/>
        <v>1.20410112</v>
      </c>
      <c r="AI28" s="883">
        <f t="shared" si="43"/>
        <v>1.0203929890182106</v>
      </c>
      <c r="AJ28" s="889">
        <f t="shared" si="7"/>
        <v>6.2224698733806552</v>
      </c>
      <c r="AK28" s="885">
        <f t="shared" si="26"/>
        <v>0</v>
      </c>
      <c r="AL28" s="883">
        <f t="shared" si="21"/>
        <v>0.17549312</v>
      </c>
      <c r="AM28" s="883">
        <f t="shared" si="22"/>
        <v>0</v>
      </c>
      <c r="AN28" s="883">
        <f t="shared" si="23"/>
        <v>14.483751349328964</v>
      </c>
      <c r="AO28" s="883">
        <f t="shared" si="24"/>
        <v>4.4150374399999999</v>
      </c>
      <c r="AP28" s="883">
        <f t="shared" si="25"/>
        <v>3.7414409597334388</v>
      </c>
      <c r="AQ28" s="890">
        <f t="shared" si="9"/>
        <v>22.815722869062402</v>
      </c>
    </row>
    <row r="29" spans="1:43">
      <c r="A29" s="817"/>
      <c r="B29" s="860" t="s">
        <v>1603</v>
      </c>
      <c r="C29" s="883"/>
      <c r="D29" s="883"/>
      <c r="E29" s="883"/>
      <c r="F29" s="883"/>
      <c r="G29" s="883"/>
      <c r="H29" s="883"/>
      <c r="I29" s="883"/>
      <c r="J29" s="884"/>
      <c r="K29" s="883"/>
      <c r="L29" s="883"/>
      <c r="M29" s="883"/>
      <c r="N29" s="885">
        <f t="shared" si="32"/>
        <v>0</v>
      </c>
      <c r="O29" s="883">
        <f t="shared" si="32"/>
        <v>0</v>
      </c>
      <c r="P29" s="883">
        <f t="shared" si="33"/>
        <v>0</v>
      </c>
      <c r="Q29" s="883">
        <f t="shared" si="34"/>
        <v>0</v>
      </c>
      <c r="R29" s="883">
        <f t="shared" si="35"/>
        <v>0</v>
      </c>
      <c r="S29" s="886">
        <f t="shared" si="36"/>
        <v>0</v>
      </c>
      <c r="T29" s="883">
        <f t="shared" si="4"/>
        <v>0</v>
      </c>
      <c r="U29" s="887"/>
      <c r="V29" s="885">
        <f t="shared" si="37"/>
        <v>0</v>
      </c>
      <c r="W29" s="883">
        <f t="shared" si="38"/>
        <v>0</v>
      </c>
      <c r="X29" s="883">
        <f t="shared" si="39"/>
        <v>0</v>
      </c>
      <c r="Y29" s="883">
        <f t="shared" si="40"/>
        <v>0</v>
      </c>
      <c r="Z29" s="883">
        <f t="shared" si="41"/>
        <v>0</v>
      </c>
      <c r="AA29" s="883">
        <f t="shared" si="42"/>
        <v>0</v>
      </c>
      <c r="AB29" s="883">
        <f t="shared" si="19"/>
        <v>0</v>
      </c>
      <c r="AC29" s="888"/>
      <c r="AD29" s="885">
        <f t="shared" si="43"/>
        <v>0</v>
      </c>
      <c r="AE29" s="883">
        <f t="shared" si="43"/>
        <v>0</v>
      </c>
      <c r="AF29" s="883">
        <f t="shared" si="43"/>
        <v>0</v>
      </c>
      <c r="AG29" s="883">
        <f t="shared" si="43"/>
        <v>0</v>
      </c>
      <c r="AH29" s="883">
        <f t="shared" si="43"/>
        <v>0</v>
      </c>
      <c r="AI29" s="883">
        <f t="shared" si="43"/>
        <v>0</v>
      </c>
      <c r="AJ29" s="889">
        <f t="shared" si="7"/>
        <v>0</v>
      </c>
      <c r="AK29" s="885">
        <f t="shared" si="26"/>
        <v>0</v>
      </c>
      <c r="AL29" s="883">
        <f t="shared" si="21"/>
        <v>0</v>
      </c>
      <c r="AM29" s="883">
        <f t="shared" si="22"/>
        <v>0</v>
      </c>
      <c r="AN29" s="883">
        <f t="shared" si="23"/>
        <v>0</v>
      </c>
      <c r="AO29" s="883">
        <f t="shared" si="24"/>
        <v>0</v>
      </c>
      <c r="AP29" s="883">
        <f t="shared" si="25"/>
        <v>0</v>
      </c>
      <c r="AQ29" s="890">
        <f t="shared" si="9"/>
        <v>0</v>
      </c>
    </row>
    <row r="30" spans="1:43">
      <c r="A30" s="817"/>
      <c r="B30" s="865" t="s">
        <v>1611</v>
      </c>
      <c r="C30" s="883"/>
      <c r="D30" s="883"/>
      <c r="E30" s="883">
        <f>HLOOKUP($B$2,'Consumption Input'!$E$5:$AQ$82,'Consumption Input'!$B35)</f>
        <v>-1.1913279999999999</v>
      </c>
      <c r="F30" s="883"/>
      <c r="G30" s="883"/>
      <c r="H30" s="883"/>
      <c r="I30" s="883">
        <f t="shared" ref="I30:I41" si="44">SUM(C30:H30)</f>
        <v>-1.1913279999999999</v>
      </c>
      <c r="J30" s="884"/>
      <c r="K30" s="883"/>
      <c r="L30" s="883"/>
      <c r="M30" s="883"/>
      <c r="N30" s="885">
        <f t="shared" si="32"/>
        <v>0</v>
      </c>
      <c r="O30" s="883">
        <f t="shared" si="32"/>
        <v>0</v>
      </c>
      <c r="P30" s="883">
        <f t="shared" si="33"/>
        <v>-1.1913279999999999</v>
      </c>
      <c r="Q30" s="883">
        <f t="shared" si="34"/>
        <v>0</v>
      </c>
      <c r="R30" s="883">
        <f t="shared" si="35"/>
        <v>0</v>
      </c>
      <c r="S30" s="886">
        <f t="shared" si="36"/>
        <v>0</v>
      </c>
      <c r="T30" s="883">
        <f t="shared" si="4"/>
        <v>-1.1913279999999999</v>
      </c>
      <c r="U30" s="887">
        <f>Factors!D39</f>
        <v>18.87</v>
      </c>
      <c r="V30" s="885">
        <f t="shared" si="37"/>
        <v>0</v>
      </c>
      <c r="W30" s="883">
        <f t="shared" si="38"/>
        <v>0</v>
      </c>
      <c r="X30" s="883">
        <f t="shared" si="39"/>
        <v>-2.248035936E-2</v>
      </c>
      <c r="Y30" s="883">
        <f t="shared" si="40"/>
        <v>0</v>
      </c>
      <c r="Z30" s="883">
        <f t="shared" si="41"/>
        <v>0</v>
      </c>
      <c r="AA30" s="883">
        <f t="shared" si="42"/>
        <v>0</v>
      </c>
      <c r="AB30" s="883">
        <f t="shared" si="19"/>
        <v>-2.248035936E-2</v>
      </c>
      <c r="AC30" s="888">
        <f>Factors!E39</f>
        <v>1</v>
      </c>
      <c r="AD30" s="885">
        <f t="shared" si="43"/>
        <v>0</v>
      </c>
      <c r="AE30" s="883">
        <f t="shared" si="43"/>
        <v>0</v>
      </c>
      <c r="AF30" s="883">
        <f t="shared" si="43"/>
        <v>-2.248035936E-2</v>
      </c>
      <c r="AG30" s="883">
        <f t="shared" si="43"/>
        <v>0</v>
      </c>
      <c r="AH30" s="883">
        <f t="shared" si="43"/>
        <v>0</v>
      </c>
      <c r="AI30" s="883">
        <f t="shared" si="43"/>
        <v>0</v>
      </c>
      <c r="AJ30" s="889">
        <f t="shared" si="7"/>
        <v>-2.248035936E-2</v>
      </c>
      <c r="AK30" s="885">
        <f t="shared" si="26"/>
        <v>0</v>
      </c>
      <c r="AL30" s="883">
        <f t="shared" si="21"/>
        <v>0</v>
      </c>
      <c r="AM30" s="883">
        <f t="shared" si="22"/>
        <v>-8.2427984319999995E-2</v>
      </c>
      <c r="AN30" s="883">
        <f t="shared" si="23"/>
        <v>0</v>
      </c>
      <c r="AO30" s="883">
        <f t="shared" si="24"/>
        <v>0</v>
      </c>
      <c r="AP30" s="883">
        <f t="shared" si="25"/>
        <v>0</v>
      </c>
      <c r="AQ30" s="890">
        <f t="shared" si="9"/>
        <v>-8.2427984319999995E-2</v>
      </c>
    </row>
    <row r="31" spans="1:43">
      <c r="A31" s="817"/>
      <c r="B31" s="865" t="s">
        <v>1612</v>
      </c>
      <c r="C31" s="883"/>
      <c r="D31" s="883"/>
      <c r="E31" s="883">
        <f>HLOOKUP($B$2,'Consumption Input'!$E$5:$AQ$82,'Consumption Input'!$B36)</f>
        <v>0</v>
      </c>
      <c r="F31" s="883"/>
      <c r="G31" s="883"/>
      <c r="H31" s="883"/>
      <c r="I31" s="883">
        <f t="shared" si="44"/>
        <v>0</v>
      </c>
      <c r="J31" s="884"/>
      <c r="K31" s="883"/>
      <c r="L31" s="883"/>
      <c r="M31" s="883"/>
      <c r="N31" s="885">
        <f t="shared" si="32"/>
        <v>0</v>
      </c>
      <c r="O31" s="883">
        <f t="shared" si="32"/>
        <v>0</v>
      </c>
      <c r="P31" s="883">
        <f t="shared" si="33"/>
        <v>0</v>
      </c>
      <c r="Q31" s="883">
        <f t="shared" si="34"/>
        <v>0</v>
      </c>
      <c r="R31" s="883">
        <f t="shared" si="35"/>
        <v>0</v>
      </c>
      <c r="S31" s="886">
        <f t="shared" si="36"/>
        <v>0</v>
      </c>
      <c r="T31" s="883">
        <f t="shared" si="4"/>
        <v>0</v>
      </c>
      <c r="U31" s="887">
        <f>HLOOKUP($B$2,Factors!$J$12:$BE$25,Factors!$H25,FALSE)</f>
        <v>20.305515594827586</v>
      </c>
      <c r="V31" s="885">
        <f t="shared" si="37"/>
        <v>0</v>
      </c>
      <c r="W31" s="883">
        <f t="shared" si="38"/>
        <v>0</v>
      </c>
      <c r="X31" s="883">
        <f t="shared" si="39"/>
        <v>0</v>
      </c>
      <c r="Y31" s="883">
        <f t="shared" si="40"/>
        <v>0</v>
      </c>
      <c r="Z31" s="883">
        <f t="shared" si="41"/>
        <v>0</v>
      </c>
      <c r="AA31" s="883">
        <f t="shared" si="42"/>
        <v>0</v>
      </c>
      <c r="AB31" s="883">
        <f t="shared" si="19"/>
        <v>0</v>
      </c>
      <c r="AC31" s="888">
        <f>Factors!E40</f>
        <v>1</v>
      </c>
      <c r="AD31" s="885">
        <f t="shared" si="43"/>
        <v>0</v>
      </c>
      <c r="AE31" s="883">
        <f t="shared" si="43"/>
        <v>0</v>
      </c>
      <c r="AF31" s="883">
        <f t="shared" si="43"/>
        <v>0</v>
      </c>
      <c r="AG31" s="883">
        <f t="shared" si="43"/>
        <v>0</v>
      </c>
      <c r="AH31" s="883">
        <f t="shared" si="43"/>
        <v>0</v>
      </c>
      <c r="AI31" s="883">
        <f t="shared" si="43"/>
        <v>0</v>
      </c>
      <c r="AJ31" s="889">
        <f t="shared" si="7"/>
        <v>0</v>
      </c>
      <c r="AK31" s="885">
        <f t="shared" si="26"/>
        <v>0</v>
      </c>
      <c r="AL31" s="883">
        <f t="shared" si="21"/>
        <v>0</v>
      </c>
      <c r="AM31" s="883">
        <f t="shared" si="22"/>
        <v>0</v>
      </c>
      <c r="AN31" s="883">
        <f t="shared" si="23"/>
        <v>0</v>
      </c>
      <c r="AO31" s="883">
        <f t="shared" si="24"/>
        <v>0</v>
      </c>
      <c r="AP31" s="883">
        <f t="shared" si="25"/>
        <v>0</v>
      </c>
      <c r="AQ31" s="890">
        <f t="shared" si="9"/>
        <v>0</v>
      </c>
    </row>
    <row r="32" spans="1:43">
      <c r="A32" s="817"/>
      <c r="B32" s="865" t="s">
        <v>1613</v>
      </c>
      <c r="C32" s="883"/>
      <c r="D32" s="883"/>
      <c r="E32" s="883">
        <f>HLOOKUP($B$2,'Consumption Input'!$E$5:$AQ$82,'Consumption Input'!$B37)</f>
        <v>0</v>
      </c>
      <c r="F32" s="883"/>
      <c r="G32" s="883"/>
      <c r="H32" s="883"/>
      <c r="I32" s="883">
        <f t="shared" si="44"/>
        <v>0</v>
      </c>
      <c r="J32" s="884"/>
      <c r="K32" s="883"/>
      <c r="L32" s="883"/>
      <c r="M32" s="883"/>
      <c r="N32" s="885">
        <f t="shared" si="32"/>
        <v>0</v>
      </c>
      <c r="O32" s="883">
        <f t="shared" si="32"/>
        <v>0</v>
      </c>
      <c r="P32" s="883">
        <f t="shared" si="33"/>
        <v>0</v>
      </c>
      <c r="Q32" s="883">
        <f t="shared" si="34"/>
        <v>0</v>
      </c>
      <c r="R32" s="883">
        <f t="shared" si="35"/>
        <v>0</v>
      </c>
      <c r="S32" s="886">
        <f t="shared" si="36"/>
        <v>0</v>
      </c>
      <c r="T32" s="883">
        <f t="shared" si="4"/>
        <v>0</v>
      </c>
      <c r="U32" s="887">
        <f>HLOOKUP($B$2,Factors!$J$12:$BE$25,Factors!$H22,FALSE)</f>
        <v>19.456118437849259</v>
      </c>
      <c r="V32" s="885">
        <f t="shared" si="37"/>
        <v>0</v>
      </c>
      <c r="W32" s="883">
        <f t="shared" si="38"/>
        <v>0</v>
      </c>
      <c r="X32" s="883">
        <f t="shared" si="39"/>
        <v>0</v>
      </c>
      <c r="Y32" s="883">
        <f t="shared" si="40"/>
        <v>0</v>
      </c>
      <c r="Z32" s="883">
        <f t="shared" si="41"/>
        <v>0</v>
      </c>
      <c r="AA32" s="883">
        <f t="shared" si="42"/>
        <v>0</v>
      </c>
      <c r="AB32" s="883">
        <f t="shared" si="19"/>
        <v>0</v>
      </c>
      <c r="AC32" s="888">
        <f>Factors!E41</f>
        <v>1</v>
      </c>
      <c r="AD32" s="885">
        <f t="shared" si="43"/>
        <v>0</v>
      </c>
      <c r="AE32" s="883">
        <f t="shared" si="43"/>
        <v>0</v>
      </c>
      <c r="AF32" s="883">
        <f t="shared" si="43"/>
        <v>0</v>
      </c>
      <c r="AG32" s="883">
        <f t="shared" si="43"/>
        <v>0</v>
      </c>
      <c r="AH32" s="883">
        <f t="shared" si="43"/>
        <v>0</v>
      </c>
      <c r="AI32" s="883">
        <f t="shared" si="43"/>
        <v>0</v>
      </c>
      <c r="AJ32" s="889">
        <f t="shared" si="7"/>
        <v>0</v>
      </c>
      <c r="AK32" s="885">
        <f t="shared" si="26"/>
        <v>0</v>
      </c>
      <c r="AL32" s="883">
        <f t="shared" si="21"/>
        <v>0</v>
      </c>
      <c r="AM32" s="883">
        <f t="shared" si="22"/>
        <v>0</v>
      </c>
      <c r="AN32" s="883">
        <f t="shared" si="23"/>
        <v>0</v>
      </c>
      <c r="AO32" s="883">
        <f t="shared" si="24"/>
        <v>0</v>
      </c>
      <c r="AP32" s="883">
        <f t="shared" si="25"/>
        <v>0</v>
      </c>
      <c r="AQ32" s="890">
        <f t="shared" si="9"/>
        <v>0</v>
      </c>
    </row>
    <row r="33" spans="1:43">
      <c r="A33" s="817"/>
      <c r="B33" s="865" t="s">
        <v>1739</v>
      </c>
      <c r="C33" s="883"/>
      <c r="D33" s="883"/>
      <c r="E33" s="883">
        <f>HLOOKUP($B$2,'Consumption Input'!$E$5:$AQ$82,'Consumption Input'!$B38)</f>
        <v>180.154361268</v>
      </c>
      <c r="F33" s="883"/>
      <c r="G33" s="883"/>
      <c r="H33" s="883">
        <f>HLOOKUP($B$2,'US Territories'!$D$28:$AO$38,'US Territories'!$B38)</f>
        <v>2.6014064603538047</v>
      </c>
      <c r="I33" s="883">
        <f t="shared" si="44"/>
        <v>182.75576772835382</v>
      </c>
      <c r="J33" s="884"/>
      <c r="K33" s="883">
        <f>HLOOKUP($B$2,NEUConsumption,'Non-Energy Use'!C22)</f>
        <v>180.154361268</v>
      </c>
      <c r="L33" s="883"/>
      <c r="M33" s="883">
        <f>HLOOKUP($B$2,NEUConsumption,'Non-Energy Use'!$C$27)</f>
        <v>2.6014064603538047</v>
      </c>
      <c r="N33" s="885">
        <f t="shared" si="32"/>
        <v>0</v>
      </c>
      <c r="O33" s="883">
        <f t="shared" si="32"/>
        <v>0</v>
      </c>
      <c r="P33" s="883">
        <f t="shared" si="33"/>
        <v>0</v>
      </c>
      <c r="Q33" s="883">
        <f t="shared" si="34"/>
        <v>0</v>
      </c>
      <c r="R33" s="883">
        <f t="shared" si="35"/>
        <v>0</v>
      </c>
      <c r="S33" s="886">
        <f t="shared" si="36"/>
        <v>0</v>
      </c>
      <c r="T33" s="883">
        <f t="shared" si="4"/>
        <v>0</v>
      </c>
      <c r="U33" s="887">
        <f>HLOOKUP($B$2,Factors!$J$12:$BE$25,Factors!$H23,FALSE)</f>
        <v>0</v>
      </c>
      <c r="V33" s="885">
        <f t="shared" si="37"/>
        <v>0</v>
      </c>
      <c r="W33" s="883">
        <f t="shared" si="38"/>
        <v>0</v>
      </c>
      <c r="X33" s="883">
        <f t="shared" si="39"/>
        <v>0</v>
      </c>
      <c r="Y33" s="883">
        <f t="shared" si="40"/>
        <v>0</v>
      </c>
      <c r="Z33" s="883">
        <f t="shared" si="41"/>
        <v>0</v>
      </c>
      <c r="AA33" s="883">
        <f t="shared" si="42"/>
        <v>0</v>
      </c>
      <c r="AB33" s="883">
        <f t="shared" si="19"/>
        <v>0</v>
      </c>
      <c r="AC33" s="888">
        <f>Factors!E42</f>
        <v>1</v>
      </c>
      <c r="AD33" s="885">
        <f t="shared" si="43"/>
        <v>0</v>
      </c>
      <c r="AE33" s="883">
        <f t="shared" si="43"/>
        <v>0</v>
      </c>
      <c r="AF33" s="883">
        <f t="shared" si="43"/>
        <v>0</v>
      </c>
      <c r="AG33" s="883">
        <f t="shared" si="43"/>
        <v>0</v>
      </c>
      <c r="AH33" s="883">
        <f t="shared" si="43"/>
        <v>0</v>
      </c>
      <c r="AI33" s="883">
        <f t="shared" si="43"/>
        <v>0</v>
      </c>
      <c r="AJ33" s="889">
        <f t="shared" si="7"/>
        <v>0</v>
      </c>
      <c r="AK33" s="885">
        <f t="shared" si="26"/>
        <v>0</v>
      </c>
      <c r="AL33" s="883">
        <f t="shared" si="21"/>
        <v>0</v>
      </c>
      <c r="AM33" s="883">
        <f t="shared" si="22"/>
        <v>0</v>
      </c>
      <c r="AN33" s="883">
        <f t="shared" si="23"/>
        <v>0</v>
      </c>
      <c r="AO33" s="883">
        <f t="shared" si="24"/>
        <v>0</v>
      </c>
      <c r="AP33" s="883">
        <f t="shared" si="25"/>
        <v>0</v>
      </c>
      <c r="AQ33" s="890">
        <f t="shared" si="9"/>
        <v>0</v>
      </c>
    </row>
    <row r="34" spans="1:43">
      <c r="A34" s="817"/>
      <c r="B34" s="865" t="s">
        <v>1615</v>
      </c>
      <c r="C34" s="883"/>
      <c r="D34" s="883"/>
      <c r="E34" s="883">
        <f>HLOOKUP($B$2,'Consumption Input'!$E$5:$AQ$82,'Consumption Input'!$B39)</f>
        <v>396.69107200000002</v>
      </c>
      <c r="F34" s="883"/>
      <c r="G34" s="883"/>
      <c r="H34" s="883"/>
      <c r="I34" s="883">
        <f t="shared" si="44"/>
        <v>396.69107200000002</v>
      </c>
      <c r="J34" s="884"/>
      <c r="K34" s="883">
        <f>HLOOKUP($B$2,NEUConsumption,'Non-Energy Use'!C14)</f>
        <v>396.69107200000002</v>
      </c>
      <c r="L34" s="883"/>
      <c r="M34" s="883"/>
      <c r="N34" s="885">
        <f t="shared" si="32"/>
        <v>0</v>
      </c>
      <c r="O34" s="883">
        <f t="shared" si="32"/>
        <v>0</v>
      </c>
      <c r="P34" s="883">
        <f t="shared" si="33"/>
        <v>0</v>
      </c>
      <c r="Q34" s="883">
        <f t="shared" si="34"/>
        <v>0</v>
      </c>
      <c r="R34" s="883">
        <f t="shared" si="35"/>
        <v>0</v>
      </c>
      <c r="S34" s="886">
        <f t="shared" si="36"/>
        <v>0</v>
      </c>
      <c r="T34" s="883">
        <f t="shared" si="4"/>
        <v>0</v>
      </c>
      <c r="U34" s="887">
        <f>Factors!D44</f>
        <v>18.550649350649344</v>
      </c>
      <c r="V34" s="885">
        <f t="shared" si="37"/>
        <v>0</v>
      </c>
      <c r="W34" s="883">
        <f t="shared" si="38"/>
        <v>0</v>
      </c>
      <c r="X34" s="883">
        <f t="shared" si="39"/>
        <v>0</v>
      </c>
      <c r="Y34" s="883">
        <f t="shared" si="40"/>
        <v>0</v>
      </c>
      <c r="Z34" s="883">
        <f t="shared" si="41"/>
        <v>0</v>
      </c>
      <c r="AA34" s="883">
        <f t="shared" si="42"/>
        <v>0</v>
      </c>
      <c r="AB34" s="883">
        <f t="shared" si="19"/>
        <v>0</v>
      </c>
      <c r="AC34" s="888">
        <f>Factors!E44</f>
        <v>1</v>
      </c>
      <c r="AD34" s="885">
        <f t="shared" si="43"/>
        <v>0</v>
      </c>
      <c r="AE34" s="883">
        <f t="shared" si="43"/>
        <v>0</v>
      </c>
      <c r="AF34" s="883">
        <f t="shared" si="43"/>
        <v>0</v>
      </c>
      <c r="AG34" s="883">
        <f t="shared" si="43"/>
        <v>0</v>
      </c>
      <c r="AH34" s="883">
        <f t="shared" si="43"/>
        <v>0</v>
      </c>
      <c r="AI34" s="883">
        <f t="shared" si="43"/>
        <v>0</v>
      </c>
      <c r="AJ34" s="889">
        <f t="shared" si="7"/>
        <v>0</v>
      </c>
      <c r="AK34" s="885">
        <f t="shared" si="26"/>
        <v>0</v>
      </c>
      <c r="AL34" s="883">
        <f t="shared" si="21"/>
        <v>0</v>
      </c>
      <c r="AM34" s="883">
        <f t="shared" si="22"/>
        <v>0</v>
      </c>
      <c r="AN34" s="883">
        <f t="shared" si="23"/>
        <v>0</v>
      </c>
      <c r="AO34" s="883">
        <f t="shared" si="24"/>
        <v>0</v>
      </c>
      <c r="AP34" s="883">
        <f t="shared" si="25"/>
        <v>0</v>
      </c>
      <c r="AQ34" s="890">
        <f t="shared" si="9"/>
        <v>0</v>
      </c>
    </row>
    <row r="35" spans="1:43">
      <c r="A35" s="817"/>
      <c r="B35" s="865" t="s">
        <v>1616</v>
      </c>
      <c r="C35" s="883"/>
      <c r="D35" s="883"/>
      <c r="E35" s="883">
        <f>HLOOKUP($B$2,'Consumption Input'!$E$5:$AQ$82,'Consumption Input'!$B40)</f>
        <v>234.08927499999999</v>
      </c>
      <c r="F35" s="883"/>
      <c r="G35" s="883"/>
      <c r="H35" s="883"/>
      <c r="I35" s="883">
        <f t="shared" si="44"/>
        <v>234.08927499999999</v>
      </c>
      <c r="J35" s="884"/>
      <c r="K35" s="883">
        <f>HLOOKUP($B$2,NEUConsumption,'Non-Energy Use'!$C$15)</f>
        <v>234.08927499999999</v>
      </c>
      <c r="L35" s="883"/>
      <c r="M35" s="883"/>
      <c r="N35" s="885">
        <f t="shared" si="32"/>
        <v>0</v>
      </c>
      <c r="O35" s="883">
        <f t="shared" si="32"/>
        <v>0</v>
      </c>
      <c r="P35" s="883">
        <f t="shared" si="33"/>
        <v>0</v>
      </c>
      <c r="Q35" s="883">
        <f t="shared" si="34"/>
        <v>0</v>
      </c>
      <c r="R35" s="883">
        <f t="shared" si="35"/>
        <v>0</v>
      </c>
      <c r="S35" s="886">
        <f t="shared" si="36"/>
        <v>0</v>
      </c>
      <c r="T35" s="883">
        <f t="shared" si="4"/>
        <v>0</v>
      </c>
      <c r="U35" s="887">
        <f>Factors!D45</f>
        <v>20.170000000000002</v>
      </c>
      <c r="V35" s="885">
        <f t="shared" si="37"/>
        <v>0</v>
      </c>
      <c r="W35" s="883">
        <f t="shared" si="38"/>
        <v>0</v>
      </c>
      <c r="X35" s="883">
        <f t="shared" si="39"/>
        <v>0</v>
      </c>
      <c r="Y35" s="883">
        <f t="shared" si="40"/>
        <v>0</v>
      </c>
      <c r="Z35" s="883">
        <f t="shared" si="41"/>
        <v>0</v>
      </c>
      <c r="AA35" s="883">
        <f t="shared" si="42"/>
        <v>0</v>
      </c>
      <c r="AB35" s="883">
        <f t="shared" si="19"/>
        <v>0</v>
      </c>
      <c r="AC35" s="888">
        <f>Factors!E45</f>
        <v>1</v>
      </c>
      <c r="AD35" s="885">
        <f t="shared" si="43"/>
        <v>0</v>
      </c>
      <c r="AE35" s="883">
        <f t="shared" si="43"/>
        <v>0</v>
      </c>
      <c r="AF35" s="883">
        <f t="shared" si="43"/>
        <v>0</v>
      </c>
      <c r="AG35" s="883">
        <f t="shared" si="43"/>
        <v>0</v>
      </c>
      <c r="AH35" s="883">
        <f t="shared" si="43"/>
        <v>0</v>
      </c>
      <c r="AI35" s="883">
        <f t="shared" si="43"/>
        <v>0</v>
      </c>
      <c r="AJ35" s="889">
        <f t="shared" si="7"/>
        <v>0</v>
      </c>
      <c r="AK35" s="885">
        <f t="shared" si="26"/>
        <v>0</v>
      </c>
      <c r="AL35" s="883">
        <f t="shared" si="21"/>
        <v>0</v>
      </c>
      <c r="AM35" s="883">
        <f t="shared" si="22"/>
        <v>0</v>
      </c>
      <c r="AN35" s="883">
        <f t="shared" si="23"/>
        <v>0</v>
      </c>
      <c r="AO35" s="883">
        <f t="shared" si="24"/>
        <v>0</v>
      </c>
      <c r="AP35" s="883">
        <f t="shared" si="25"/>
        <v>0</v>
      </c>
      <c r="AQ35" s="890">
        <f t="shared" si="9"/>
        <v>0</v>
      </c>
    </row>
    <row r="36" spans="1:43">
      <c r="A36" s="817"/>
      <c r="B36" s="865" t="s">
        <v>1617</v>
      </c>
      <c r="C36" s="883"/>
      <c r="D36" s="883"/>
      <c r="E36" s="883">
        <f>HLOOKUP($B$2,'Consumption Input'!$E$5:$AQ$82,'Consumption Input'!$B41)</f>
        <v>0</v>
      </c>
      <c r="F36" s="883"/>
      <c r="G36" s="883"/>
      <c r="H36" s="883"/>
      <c r="I36" s="883">
        <f t="shared" si="44"/>
        <v>0</v>
      </c>
      <c r="J36" s="884"/>
      <c r="K36" s="883">
        <f>HLOOKUP($B$2,NEUConsumption,'Non-Energy Use'!$C$13)</f>
        <v>0</v>
      </c>
      <c r="L36" s="883"/>
      <c r="M36" s="883"/>
      <c r="N36" s="885">
        <f t="shared" si="32"/>
        <v>0</v>
      </c>
      <c r="O36" s="883">
        <f t="shared" si="32"/>
        <v>0</v>
      </c>
      <c r="P36" s="883">
        <f t="shared" si="33"/>
        <v>0</v>
      </c>
      <c r="Q36" s="883">
        <f t="shared" si="34"/>
        <v>0</v>
      </c>
      <c r="R36" s="883">
        <f t="shared" si="35"/>
        <v>0</v>
      </c>
      <c r="S36" s="886">
        <f t="shared" si="36"/>
        <v>0</v>
      </c>
      <c r="T36" s="883">
        <f t="shared" si="4"/>
        <v>0</v>
      </c>
      <c r="U36" s="887">
        <f>Factors!D46</f>
        <v>18.239999999999998</v>
      </c>
      <c r="V36" s="885">
        <f t="shared" si="37"/>
        <v>0</v>
      </c>
      <c r="W36" s="883">
        <f t="shared" si="38"/>
        <v>0</v>
      </c>
      <c r="X36" s="883">
        <f t="shared" si="39"/>
        <v>0</v>
      </c>
      <c r="Y36" s="883">
        <f t="shared" si="40"/>
        <v>0</v>
      </c>
      <c r="Z36" s="883">
        <f t="shared" si="41"/>
        <v>0</v>
      </c>
      <c r="AA36" s="883">
        <f t="shared" si="42"/>
        <v>0</v>
      </c>
      <c r="AB36" s="883">
        <f t="shared" si="19"/>
        <v>0</v>
      </c>
      <c r="AC36" s="888">
        <f>Factors!E46</f>
        <v>1</v>
      </c>
      <c r="AD36" s="885">
        <f t="shared" ref="AD36:AI42" si="45">V36*$AC36</f>
        <v>0</v>
      </c>
      <c r="AE36" s="883">
        <f t="shared" si="45"/>
        <v>0</v>
      </c>
      <c r="AF36" s="883">
        <f t="shared" si="45"/>
        <v>0</v>
      </c>
      <c r="AG36" s="883">
        <f t="shared" si="45"/>
        <v>0</v>
      </c>
      <c r="AH36" s="883">
        <f t="shared" si="45"/>
        <v>0</v>
      </c>
      <c r="AI36" s="883">
        <f t="shared" si="45"/>
        <v>0</v>
      </c>
      <c r="AJ36" s="889">
        <f t="shared" si="7"/>
        <v>0</v>
      </c>
      <c r="AK36" s="885">
        <f t="shared" si="26"/>
        <v>0</v>
      </c>
      <c r="AL36" s="883">
        <f t="shared" si="21"/>
        <v>0</v>
      </c>
      <c r="AM36" s="883">
        <f t="shared" si="22"/>
        <v>0</v>
      </c>
      <c r="AN36" s="883">
        <f t="shared" si="23"/>
        <v>0</v>
      </c>
      <c r="AO36" s="883">
        <f t="shared" si="24"/>
        <v>0</v>
      </c>
      <c r="AP36" s="883">
        <f t="shared" si="25"/>
        <v>0</v>
      </c>
      <c r="AQ36" s="890">
        <f t="shared" si="9"/>
        <v>0</v>
      </c>
    </row>
    <row r="37" spans="1:43">
      <c r="A37" s="817"/>
      <c r="B37" s="865" t="s">
        <v>1604</v>
      </c>
      <c r="C37" s="883"/>
      <c r="D37" s="883">
        <f>HLOOKUP($B$2,'Consumption Input'!$E$5:$AQ$82,'Consumption Input'!$B21)</f>
        <v>0.20999999999999996</v>
      </c>
      <c r="E37" s="883">
        <f>HLOOKUP($B$2,'Consumption Input'!$E$5:$AQ$82,'Consumption Input'!$B42)</f>
        <v>602.32499999999993</v>
      </c>
      <c r="F37" s="883"/>
      <c r="G37" s="883">
        <f>HLOOKUP($B$2,'Consumption Input'!$E$5:$AQ$82,'Consumption Input'!$B63)</f>
        <v>75.912999999999997</v>
      </c>
      <c r="H37" s="883"/>
      <c r="I37" s="883">
        <f t="shared" si="44"/>
        <v>678.44799999999998</v>
      </c>
      <c r="J37" s="884"/>
      <c r="K37" s="883">
        <f>HLOOKUP($B$2,NEUConsumption,'Non-Energy Use'!$C$17)</f>
        <v>56.436748170746554</v>
      </c>
      <c r="L37" s="883"/>
      <c r="M37" s="883"/>
      <c r="N37" s="885">
        <f t="shared" si="32"/>
        <v>0</v>
      </c>
      <c r="O37" s="883">
        <f t="shared" si="32"/>
        <v>0.20999999999999996</v>
      </c>
      <c r="P37" s="883">
        <f t="shared" si="33"/>
        <v>545.88825182925336</v>
      </c>
      <c r="Q37" s="883">
        <f t="shared" si="34"/>
        <v>0</v>
      </c>
      <c r="R37" s="883">
        <f t="shared" si="35"/>
        <v>75.912999999999997</v>
      </c>
      <c r="S37" s="886">
        <f t="shared" si="36"/>
        <v>0</v>
      </c>
      <c r="T37" s="883">
        <f t="shared" si="4"/>
        <v>622.01125182925341</v>
      </c>
      <c r="U37" s="887">
        <f>Factors!D48</f>
        <v>27.84770010865628</v>
      </c>
      <c r="V37" s="885">
        <f t="shared" si="37"/>
        <v>0</v>
      </c>
      <c r="W37" s="883">
        <f t="shared" si="38"/>
        <v>5.8480170228178176E-3</v>
      </c>
      <c r="X37" s="883">
        <f t="shared" si="39"/>
        <v>15.201732329779686</v>
      </c>
      <c r="Y37" s="883">
        <f t="shared" si="40"/>
        <v>0</v>
      </c>
      <c r="Z37" s="883">
        <f t="shared" si="41"/>
        <v>2.1140024583484243</v>
      </c>
      <c r="AA37" s="883">
        <f t="shared" si="42"/>
        <v>0</v>
      </c>
      <c r="AB37" s="883">
        <f t="shared" si="19"/>
        <v>17.321582805150928</v>
      </c>
      <c r="AC37" s="888">
        <f>Factors!E48</f>
        <v>1</v>
      </c>
      <c r="AD37" s="885">
        <f t="shared" si="45"/>
        <v>0</v>
      </c>
      <c r="AE37" s="883">
        <f t="shared" si="45"/>
        <v>5.8480170228178176E-3</v>
      </c>
      <c r="AF37" s="883">
        <f t="shared" si="45"/>
        <v>15.201732329779686</v>
      </c>
      <c r="AG37" s="883">
        <f t="shared" si="45"/>
        <v>0</v>
      </c>
      <c r="AH37" s="883">
        <f t="shared" si="45"/>
        <v>2.1140024583484243</v>
      </c>
      <c r="AI37" s="883">
        <f t="shared" si="45"/>
        <v>0</v>
      </c>
      <c r="AJ37" s="889">
        <f t="shared" si="7"/>
        <v>17.321582805150928</v>
      </c>
      <c r="AK37" s="885">
        <f t="shared" si="26"/>
        <v>0</v>
      </c>
      <c r="AL37" s="883">
        <f t="shared" si="21"/>
        <v>2.1442729083665329E-2</v>
      </c>
      <c r="AM37" s="883">
        <f t="shared" si="22"/>
        <v>55.739685209192182</v>
      </c>
      <c r="AN37" s="883">
        <f t="shared" si="23"/>
        <v>0</v>
      </c>
      <c r="AO37" s="883">
        <f t="shared" si="24"/>
        <v>7.7513423472775553</v>
      </c>
      <c r="AP37" s="883">
        <f t="shared" si="25"/>
        <v>0</v>
      </c>
      <c r="AQ37" s="890">
        <f t="shared" si="9"/>
        <v>63.512470285553405</v>
      </c>
    </row>
    <row r="38" spans="1:43">
      <c r="A38" s="817"/>
      <c r="B38" s="865" t="s">
        <v>1618</v>
      </c>
      <c r="C38" s="883"/>
      <c r="D38" s="883"/>
      <c r="E38" s="883">
        <f>HLOOKUP($B$2,'Consumption Input'!$E$5:$AQ$82,'Consumption Input'!$B43)</f>
        <v>1533.4747440000001</v>
      </c>
      <c r="F38" s="883"/>
      <c r="G38" s="883"/>
      <c r="H38" s="883"/>
      <c r="I38" s="883">
        <f t="shared" si="44"/>
        <v>1533.4747440000001</v>
      </c>
      <c r="J38" s="884"/>
      <c r="K38" s="883">
        <f>HLOOKUP($B$2,NEUConsumption,'Non-Energy Use'!$C$16)</f>
        <v>158.73823037830232</v>
      </c>
      <c r="L38" s="883"/>
      <c r="M38" s="883"/>
      <c r="N38" s="885">
        <f t="shared" si="32"/>
        <v>0</v>
      </c>
      <c r="O38" s="883">
        <f t="shared" si="32"/>
        <v>0</v>
      </c>
      <c r="P38" s="883">
        <f t="shared" si="33"/>
        <v>1374.7365136216977</v>
      </c>
      <c r="Q38" s="883">
        <f t="shared" si="34"/>
        <v>0</v>
      </c>
      <c r="R38" s="883">
        <f t="shared" si="35"/>
        <v>0</v>
      </c>
      <c r="S38" s="886">
        <f t="shared" si="36"/>
        <v>0</v>
      </c>
      <c r="T38" s="883">
        <f t="shared" si="4"/>
        <v>1374.7365136216977</v>
      </c>
      <c r="U38" s="887">
        <f>Factors!D51</f>
        <v>18.195454545454545</v>
      </c>
      <c r="V38" s="885">
        <f t="shared" si="37"/>
        <v>0</v>
      </c>
      <c r="W38" s="883">
        <f t="shared" si="38"/>
        <v>0</v>
      </c>
      <c r="X38" s="883">
        <f t="shared" si="39"/>
        <v>25.013955745580255</v>
      </c>
      <c r="Y38" s="883">
        <f t="shared" si="40"/>
        <v>0</v>
      </c>
      <c r="Z38" s="883">
        <f t="shared" si="41"/>
        <v>0</v>
      </c>
      <c r="AA38" s="883">
        <f t="shared" si="42"/>
        <v>0</v>
      </c>
      <c r="AB38" s="883">
        <f t="shared" si="19"/>
        <v>25.013955745580255</v>
      </c>
      <c r="AC38" s="888">
        <f>Factors!E51</f>
        <v>1</v>
      </c>
      <c r="AD38" s="885">
        <f t="shared" si="45"/>
        <v>0</v>
      </c>
      <c r="AE38" s="883">
        <f t="shared" si="45"/>
        <v>0</v>
      </c>
      <c r="AF38" s="883">
        <f t="shared" si="45"/>
        <v>25.013955745580255</v>
      </c>
      <c r="AG38" s="883">
        <f t="shared" si="45"/>
        <v>0</v>
      </c>
      <c r="AH38" s="883">
        <f t="shared" si="45"/>
        <v>0</v>
      </c>
      <c r="AI38" s="883">
        <f t="shared" si="45"/>
        <v>0</v>
      </c>
      <c r="AJ38" s="889">
        <f t="shared" si="7"/>
        <v>25.013955745580255</v>
      </c>
      <c r="AK38" s="885">
        <f t="shared" si="26"/>
        <v>0</v>
      </c>
      <c r="AL38" s="883">
        <f t="shared" si="21"/>
        <v>0</v>
      </c>
      <c r="AM38" s="883">
        <f t="shared" si="22"/>
        <v>91.717837733794269</v>
      </c>
      <c r="AN38" s="883">
        <f t="shared" si="23"/>
        <v>0</v>
      </c>
      <c r="AO38" s="883">
        <f t="shared" si="24"/>
        <v>0</v>
      </c>
      <c r="AP38" s="883">
        <f t="shared" si="25"/>
        <v>0</v>
      </c>
      <c r="AQ38" s="890">
        <f t="shared" si="9"/>
        <v>91.717837733794269</v>
      </c>
    </row>
    <row r="39" spans="1:43">
      <c r="A39" s="817"/>
      <c r="B39" s="865" t="s">
        <v>1619</v>
      </c>
      <c r="C39" s="883"/>
      <c r="D39" s="883"/>
      <c r="E39" s="883">
        <f>HLOOKUP($B$2,'Consumption Input'!$E$5:$AQ$82,'Consumption Input'!$B44)</f>
        <v>95.618560000000002</v>
      </c>
      <c r="F39" s="883"/>
      <c r="G39" s="883"/>
      <c r="H39" s="883"/>
      <c r="I39" s="883">
        <f t="shared" si="44"/>
        <v>95.618560000000002</v>
      </c>
      <c r="J39" s="884"/>
      <c r="K39" s="883">
        <f>HLOOKUP($B$2,NEUConsumption,'Non-Energy Use'!$C$18)</f>
        <v>95.618560000000002</v>
      </c>
      <c r="L39" s="883"/>
      <c r="M39" s="883"/>
      <c r="N39" s="885">
        <f t="shared" si="32"/>
        <v>0</v>
      </c>
      <c r="O39" s="883">
        <f t="shared" si="32"/>
        <v>0</v>
      </c>
      <c r="P39" s="883">
        <f t="shared" si="33"/>
        <v>0</v>
      </c>
      <c r="Q39" s="883">
        <f t="shared" si="34"/>
        <v>0</v>
      </c>
      <c r="R39" s="883">
        <f t="shared" si="35"/>
        <v>0</v>
      </c>
      <c r="S39" s="886">
        <f t="shared" si="36"/>
        <v>0</v>
      </c>
      <c r="T39" s="883">
        <f t="shared" si="4"/>
        <v>0</v>
      </c>
      <c r="U39" s="887">
        <f>Factors!D37</f>
        <v>19.737389135254986</v>
      </c>
      <c r="V39" s="885">
        <f t="shared" si="37"/>
        <v>0</v>
      </c>
      <c r="W39" s="883">
        <f t="shared" si="38"/>
        <v>0</v>
      </c>
      <c r="X39" s="883">
        <f t="shared" si="39"/>
        <v>0</v>
      </c>
      <c r="Y39" s="883">
        <f t="shared" si="40"/>
        <v>0</v>
      </c>
      <c r="Z39" s="883">
        <f t="shared" si="41"/>
        <v>0</v>
      </c>
      <c r="AA39" s="883">
        <f t="shared" si="42"/>
        <v>0</v>
      </c>
      <c r="AB39" s="883">
        <f t="shared" si="19"/>
        <v>0</v>
      </c>
      <c r="AC39" s="888">
        <f>Factors!E37</f>
        <v>1</v>
      </c>
      <c r="AD39" s="885">
        <f t="shared" si="45"/>
        <v>0</v>
      </c>
      <c r="AE39" s="883">
        <f t="shared" si="45"/>
        <v>0</v>
      </c>
      <c r="AF39" s="883">
        <f t="shared" si="45"/>
        <v>0</v>
      </c>
      <c r="AG39" s="883">
        <f t="shared" si="45"/>
        <v>0</v>
      </c>
      <c r="AH39" s="883">
        <f t="shared" si="45"/>
        <v>0</v>
      </c>
      <c r="AI39" s="883">
        <f t="shared" si="45"/>
        <v>0</v>
      </c>
      <c r="AJ39" s="889">
        <f t="shared" si="7"/>
        <v>0</v>
      </c>
      <c r="AK39" s="885">
        <f t="shared" si="26"/>
        <v>0</v>
      </c>
      <c r="AL39" s="883">
        <f t="shared" si="21"/>
        <v>0</v>
      </c>
      <c r="AM39" s="883">
        <f t="shared" si="22"/>
        <v>0</v>
      </c>
      <c r="AN39" s="883">
        <f t="shared" si="23"/>
        <v>0</v>
      </c>
      <c r="AO39" s="883">
        <f t="shared" si="24"/>
        <v>0</v>
      </c>
      <c r="AP39" s="883">
        <f t="shared" si="25"/>
        <v>0</v>
      </c>
      <c r="AQ39" s="890">
        <f t="shared" si="9"/>
        <v>0</v>
      </c>
    </row>
    <row r="40" spans="1:43">
      <c r="A40" s="817"/>
      <c r="B40" s="865" t="s">
        <v>1620</v>
      </c>
      <c r="C40" s="883"/>
      <c r="D40" s="883"/>
      <c r="E40" s="883">
        <f>HLOOKUP($B$2,'Consumption Input'!$E$5:$AQ$82,'Consumption Input'!$B45)</f>
        <v>0</v>
      </c>
      <c r="F40" s="883"/>
      <c r="G40" s="883"/>
      <c r="H40" s="883"/>
      <c r="I40" s="883">
        <f t="shared" si="44"/>
        <v>0</v>
      </c>
      <c r="J40" s="884"/>
      <c r="K40" s="883"/>
      <c r="L40" s="883"/>
      <c r="M40" s="883"/>
      <c r="N40" s="885">
        <f t="shared" si="32"/>
        <v>0</v>
      </c>
      <c r="O40" s="883">
        <f t="shared" si="32"/>
        <v>0</v>
      </c>
      <c r="P40" s="883">
        <f t="shared" si="33"/>
        <v>0</v>
      </c>
      <c r="Q40" s="883">
        <f t="shared" si="34"/>
        <v>0</v>
      </c>
      <c r="R40" s="883">
        <f t="shared" si="35"/>
        <v>0</v>
      </c>
      <c r="S40" s="886">
        <f t="shared" si="36"/>
        <v>0</v>
      </c>
      <c r="T40" s="883">
        <f t="shared" si="4"/>
        <v>0</v>
      </c>
      <c r="U40" s="887">
        <f>HLOOKUP($B$2,Factors!$J$12:$BE$25,Factors!$H24,FALSE)</f>
        <v>20.305515594827586</v>
      </c>
      <c r="V40" s="885">
        <f t="shared" si="37"/>
        <v>0</v>
      </c>
      <c r="W40" s="883">
        <f t="shared" si="38"/>
        <v>0</v>
      </c>
      <c r="X40" s="883">
        <f t="shared" si="39"/>
        <v>0</v>
      </c>
      <c r="Y40" s="883">
        <f t="shared" si="40"/>
        <v>0</v>
      </c>
      <c r="Z40" s="883">
        <f t="shared" si="41"/>
        <v>0</v>
      </c>
      <c r="AA40" s="883">
        <f t="shared" si="42"/>
        <v>0</v>
      </c>
      <c r="AB40" s="883">
        <f t="shared" si="19"/>
        <v>0</v>
      </c>
      <c r="AC40" s="888">
        <f>Factors!E53</f>
        <v>1</v>
      </c>
      <c r="AD40" s="885">
        <f t="shared" si="45"/>
        <v>0</v>
      </c>
      <c r="AE40" s="883">
        <f t="shared" si="45"/>
        <v>0</v>
      </c>
      <c r="AF40" s="883">
        <f t="shared" si="45"/>
        <v>0</v>
      </c>
      <c r="AG40" s="883">
        <f t="shared" si="45"/>
        <v>0</v>
      </c>
      <c r="AH40" s="883">
        <f t="shared" si="45"/>
        <v>0</v>
      </c>
      <c r="AI40" s="883">
        <f t="shared" si="45"/>
        <v>0</v>
      </c>
      <c r="AJ40" s="889">
        <f t="shared" si="7"/>
        <v>0</v>
      </c>
      <c r="AK40" s="885">
        <f t="shared" si="26"/>
        <v>0</v>
      </c>
      <c r="AL40" s="883">
        <f t="shared" si="21"/>
        <v>0</v>
      </c>
      <c r="AM40" s="883">
        <f t="shared" si="22"/>
        <v>0</v>
      </c>
      <c r="AN40" s="883">
        <f t="shared" si="23"/>
        <v>0</v>
      </c>
      <c r="AO40" s="883">
        <f t="shared" si="24"/>
        <v>0</v>
      </c>
      <c r="AP40" s="883">
        <f t="shared" si="25"/>
        <v>0</v>
      </c>
      <c r="AQ40" s="890">
        <f t="shared" si="9"/>
        <v>0</v>
      </c>
    </row>
    <row r="41" spans="1:43">
      <c r="A41" s="817"/>
      <c r="B41" s="865" t="s">
        <v>1621</v>
      </c>
      <c r="C41" s="883"/>
      <c r="D41" s="883"/>
      <c r="E41" s="883">
        <f>HLOOKUP($B$2,'Consumption Input'!$E$5:$AQ$82,'Consumption Input'!$B46)</f>
        <v>10.423690423999998</v>
      </c>
      <c r="F41" s="883"/>
      <c r="G41" s="883"/>
      <c r="H41" s="883"/>
      <c r="I41" s="883">
        <f t="shared" si="44"/>
        <v>10.423690423999998</v>
      </c>
      <c r="J41" s="884"/>
      <c r="K41" s="883">
        <f>HLOOKUP($B$2,NEUConsumption,'Non-Energy Use'!$C$21)</f>
        <v>10.423690423999998</v>
      </c>
      <c r="L41" s="883"/>
      <c r="M41" s="883"/>
      <c r="N41" s="885">
        <f t="shared" si="32"/>
        <v>0</v>
      </c>
      <c r="O41" s="883">
        <f t="shared" si="32"/>
        <v>0</v>
      </c>
      <c r="P41" s="883">
        <f t="shared" si="33"/>
        <v>0</v>
      </c>
      <c r="Q41" s="883">
        <f t="shared" si="34"/>
        <v>0</v>
      </c>
      <c r="R41" s="883">
        <f t="shared" si="35"/>
        <v>0</v>
      </c>
      <c r="S41" s="886">
        <f t="shared" si="36"/>
        <v>0</v>
      </c>
      <c r="T41" s="883">
        <f t="shared" si="4"/>
        <v>0</v>
      </c>
      <c r="U41" s="887">
        <f>Factors!D55</f>
        <v>19.795754182606267</v>
      </c>
      <c r="V41" s="899">
        <f t="shared" si="37"/>
        <v>0</v>
      </c>
      <c r="W41" s="900">
        <f t="shared" si="38"/>
        <v>0</v>
      </c>
      <c r="X41" s="900">
        <f t="shared" si="39"/>
        <v>0</v>
      </c>
      <c r="Y41" s="900">
        <f t="shared" si="40"/>
        <v>0</v>
      </c>
      <c r="Z41" s="900">
        <f t="shared" si="41"/>
        <v>0</v>
      </c>
      <c r="AA41" s="900">
        <f t="shared" si="42"/>
        <v>0</v>
      </c>
      <c r="AB41" s="883">
        <f t="shared" si="19"/>
        <v>0</v>
      </c>
      <c r="AC41" s="888">
        <f>Factors!E55</f>
        <v>1</v>
      </c>
      <c r="AD41" s="885">
        <f t="shared" si="45"/>
        <v>0</v>
      </c>
      <c r="AE41" s="883">
        <f t="shared" si="45"/>
        <v>0</v>
      </c>
      <c r="AF41" s="883">
        <f t="shared" si="45"/>
        <v>0</v>
      </c>
      <c r="AG41" s="883">
        <f t="shared" si="45"/>
        <v>0</v>
      </c>
      <c r="AH41" s="883">
        <f t="shared" si="45"/>
        <v>0</v>
      </c>
      <c r="AI41" s="883">
        <f t="shared" si="45"/>
        <v>0</v>
      </c>
      <c r="AJ41" s="889">
        <f t="shared" si="7"/>
        <v>0</v>
      </c>
      <c r="AK41" s="885">
        <f t="shared" si="26"/>
        <v>0</v>
      </c>
      <c r="AL41" s="883">
        <f t="shared" si="21"/>
        <v>0</v>
      </c>
      <c r="AM41" s="883">
        <f t="shared" si="22"/>
        <v>0</v>
      </c>
      <c r="AN41" s="883">
        <f t="shared" si="23"/>
        <v>0</v>
      </c>
      <c r="AO41" s="883">
        <f t="shared" si="24"/>
        <v>0</v>
      </c>
      <c r="AP41" s="883">
        <f t="shared" si="25"/>
        <v>0</v>
      </c>
      <c r="AQ41" s="890">
        <f t="shared" si="9"/>
        <v>0</v>
      </c>
    </row>
    <row r="42" spans="1:43" ht="11.1" thickBot="1">
      <c r="A42" s="817"/>
      <c r="B42" s="866" t="s">
        <v>82</v>
      </c>
      <c r="C42" s="917"/>
      <c r="D42" s="917"/>
      <c r="E42" s="917"/>
      <c r="F42" s="917"/>
      <c r="G42" s="917">
        <f>INDEX(Geothermal!$C$6:$AG$10,MATCH("Total",Geothermal!$C$6:$C$10,0),MATCH($B$2,Geothermal!$C$6:$AG$6,0))/Factors!$J$61*Factors!$J$55/BBtuToBtu*BBtuToTBtu</f>
        <v>52.792910404000004</v>
      </c>
      <c r="H42" s="917"/>
      <c r="I42" s="917">
        <f>G42</f>
        <v>52.792910404000004</v>
      </c>
      <c r="J42" s="918"/>
      <c r="K42" s="919"/>
      <c r="L42" s="917"/>
      <c r="M42" s="920"/>
      <c r="N42" s="917">
        <f t="shared" si="32"/>
        <v>0</v>
      </c>
      <c r="O42" s="917">
        <f t="shared" si="32"/>
        <v>0</v>
      </c>
      <c r="P42" s="917">
        <f>E42</f>
        <v>0</v>
      </c>
      <c r="Q42" s="917">
        <f>F42</f>
        <v>0</v>
      </c>
      <c r="R42" s="917">
        <f t="shared" si="35"/>
        <v>52.792910404000004</v>
      </c>
      <c r="S42" s="917">
        <f>H42</f>
        <v>0</v>
      </c>
      <c r="T42" s="917">
        <f t="shared" si="4"/>
        <v>52.792910404000004</v>
      </c>
      <c r="U42" s="921">
        <f>Factors!D56</f>
        <v>2.6974658424810825</v>
      </c>
      <c r="V42" s="917"/>
      <c r="W42" s="917"/>
      <c r="X42" s="917"/>
      <c r="Y42" s="917"/>
      <c r="Z42" s="917">
        <f>INDEX(Geothermal!$C$14:$AG$18,MATCH("Total",Geothermal!$C$14:$C$18,0),MATCH($B$2,Geothermal!$C$14:$AG$14,0))/CtoCO2</f>
        <v>0.10118576205230401</v>
      </c>
      <c r="AA42" s="917"/>
      <c r="AB42" s="917">
        <f t="shared" si="19"/>
        <v>0.10118576205230401</v>
      </c>
      <c r="AC42" s="921">
        <f>Factors!$E$56</f>
        <v>1</v>
      </c>
      <c r="AD42" s="917">
        <f t="shared" si="45"/>
        <v>0</v>
      </c>
      <c r="AE42" s="917">
        <f t="shared" si="45"/>
        <v>0</v>
      </c>
      <c r="AF42" s="917">
        <f t="shared" si="45"/>
        <v>0</v>
      </c>
      <c r="AG42" s="917">
        <f t="shared" si="45"/>
        <v>0</v>
      </c>
      <c r="AH42" s="917">
        <f>Z42*$AC42</f>
        <v>0.10118576205230401</v>
      </c>
      <c r="AI42" s="917">
        <f t="shared" si="45"/>
        <v>0</v>
      </c>
      <c r="AJ42" s="920">
        <f t="shared" si="7"/>
        <v>0.10118576205230401</v>
      </c>
      <c r="AK42" s="919">
        <f t="shared" si="26"/>
        <v>0</v>
      </c>
      <c r="AL42" s="917">
        <f t="shared" si="21"/>
        <v>0</v>
      </c>
      <c r="AM42" s="917">
        <f t="shared" si="22"/>
        <v>0</v>
      </c>
      <c r="AN42" s="917">
        <f t="shared" si="23"/>
        <v>0</v>
      </c>
      <c r="AO42" s="917">
        <f>AH42*CtoCO2</f>
        <v>0.37101446085844803</v>
      </c>
      <c r="AP42" s="917">
        <f>AI42*CtoCO2</f>
        <v>0</v>
      </c>
      <c r="AQ42" s="920">
        <f>SUM(AK42:AP42)</f>
        <v>0.37101446085844803</v>
      </c>
    </row>
    <row r="43" spans="1:43" ht="11.1" thickBot="1">
      <c r="A43" s="817"/>
      <c r="B43" s="867" t="s">
        <v>1740</v>
      </c>
      <c r="C43" s="922">
        <f>C8+C17+C18+C42</f>
        <v>6203.3515340032218</v>
      </c>
      <c r="D43" s="922">
        <f>D8+D17+D18+D42</f>
        <v>4479.3820781789418</v>
      </c>
      <c r="E43" s="922">
        <f>E8+E17+E18+E42</f>
        <v>18994.568096208786</v>
      </c>
      <c r="F43" s="922">
        <f>F8+F17+F18+F42</f>
        <v>27328.831917618383</v>
      </c>
      <c r="G43" s="922">
        <f>G8+G17+G18+G42</f>
        <v>22081.039910404001</v>
      </c>
      <c r="H43" s="922">
        <f>H16+H17+H18+H42</f>
        <v>354.35317671786061</v>
      </c>
      <c r="I43" s="922">
        <f>SUM(C43:H43)</f>
        <v>79441.526713131199</v>
      </c>
      <c r="J43" s="923">
        <f t="shared" ref="J43:S43" si="46">J8+J17+J18+J42</f>
        <v>1584.5173403178246</v>
      </c>
      <c r="K43" s="924">
        <f t="shared" si="46"/>
        <v>5713.4146319827723</v>
      </c>
      <c r="L43" s="922">
        <f t="shared" si="46"/>
        <v>131.32900000000001</v>
      </c>
      <c r="M43" s="925">
        <f t="shared" si="46"/>
        <v>3.6425698478538049</v>
      </c>
      <c r="N43" s="922">
        <f t="shared" si="46"/>
        <v>6203.3515340032218</v>
      </c>
      <c r="O43" s="922">
        <f t="shared" si="46"/>
        <v>4479.3820781789418</v>
      </c>
      <c r="P43" s="922">
        <f t="shared" si="46"/>
        <v>13281.153464226016</v>
      </c>
      <c r="Q43" s="922">
        <f t="shared" si="46"/>
        <v>25612.985577300562</v>
      </c>
      <c r="R43" s="922">
        <f t="shared" si="46"/>
        <v>22081.039910404001</v>
      </c>
      <c r="S43" s="922">
        <f t="shared" si="46"/>
        <v>350.71060687000681</v>
      </c>
      <c r="T43" s="922">
        <f t="shared" si="4"/>
        <v>72008.623170982755</v>
      </c>
      <c r="U43" s="926" t="s">
        <v>1731</v>
      </c>
      <c r="V43" s="922">
        <f t="shared" ref="V43:AA43" si="47">V8+V17+V18+V42</f>
        <v>93.519507438414664</v>
      </c>
      <c r="W43" s="922">
        <f t="shared" si="47"/>
        <v>68.65890395353432</v>
      </c>
      <c r="X43" s="922">
        <f t="shared" si="47"/>
        <v>217.67054209145573</v>
      </c>
      <c r="Y43" s="922">
        <f t="shared" si="47"/>
        <v>495.44609288428882</v>
      </c>
      <c r="Z43" s="922">
        <f t="shared" si="47"/>
        <v>438.19658064961061</v>
      </c>
      <c r="AA43" s="922">
        <f t="shared" si="47"/>
        <v>6.7671126425501757</v>
      </c>
      <c r="AB43" s="922">
        <f t="shared" si="19"/>
        <v>1320.2587396598544</v>
      </c>
      <c r="AC43" s="926" t="s">
        <v>1731</v>
      </c>
      <c r="AD43" s="922">
        <f t="shared" ref="AD43:AQ43" si="48">AD8+AD17+AD18+AD42</f>
        <v>93.519507438414664</v>
      </c>
      <c r="AE43" s="922">
        <f t="shared" si="48"/>
        <v>68.65890395353432</v>
      </c>
      <c r="AF43" s="922">
        <f t="shared" si="48"/>
        <v>217.67054209145573</v>
      </c>
      <c r="AG43" s="922">
        <f t="shared" si="48"/>
        <v>495.44609288428882</v>
      </c>
      <c r="AH43" s="922">
        <f t="shared" si="48"/>
        <v>438.19658064961061</v>
      </c>
      <c r="AI43" s="922">
        <f t="shared" si="48"/>
        <v>6.7671126425501757</v>
      </c>
      <c r="AJ43" s="925">
        <f t="shared" si="48"/>
        <v>1320.2587396598544</v>
      </c>
      <c r="AK43" s="922">
        <f t="shared" si="48"/>
        <v>342.90486060752039</v>
      </c>
      <c r="AL43" s="922">
        <f t="shared" si="48"/>
        <v>251.74931449629253</v>
      </c>
      <c r="AM43" s="922">
        <f t="shared" si="48"/>
        <v>798.12532100200428</v>
      </c>
      <c r="AN43" s="922">
        <f t="shared" si="48"/>
        <v>1816.6356739090588</v>
      </c>
      <c r="AO43" s="922">
        <f t="shared" si="48"/>
        <v>1606.7207957152389</v>
      </c>
      <c r="AP43" s="922">
        <f t="shared" si="48"/>
        <v>24.81274635601731</v>
      </c>
      <c r="AQ43" s="925">
        <f t="shared" si="48"/>
        <v>4840.9487120861313</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c r="V49" s="207"/>
      <c r="W49" s="207"/>
      <c r="X49" s="207"/>
      <c r="Y49" s="207"/>
      <c r="Z49" s="207"/>
      <c r="AA49" s="207"/>
      <c r="AB49" s="207"/>
      <c r="AC49"/>
      <c r="AD49"/>
      <c r="AE49"/>
      <c r="AF49"/>
      <c r="AG49"/>
      <c r="AH49"/>
      <c r="AI49"/>
      <c r="AJ49"/>
    </row>
    <row r="50" spans="2:36" customFormat="1" ht="9.9499999999999993">
      <c r="V50" s="207"/>
      <c r="W50" s="207"/>
      <c r="X50" s="207"/>
      <c r="Y50" s="207"/>
      <c r="Z50" s="207"/>
      <c r="AA50" s="207"/>
      <c r="AB50" s="207"/>
    </row>
    <row r="51" spans="2:36" customFormat="1" ht="9.9499999999999993">
      <c r="V51" s="207"/>
      <c r="W51" s="207"/>
      <c r="X51" s="207"/>
      <c r="Y51" s="207"/>
      <c r="Z51" s="207"/>
      <c r="AA51" s="207"/>
      <c r="AB51" s="207"/>
    </row>
    <row r="52" spans="2:36" customFormat="1" ht="9.9499999999999993">
      <c r="V52" s="207"/>
      <c r="W52" s="207"/>
      <c r="X52" s="207"/>
      <c r="Y52" s="207"/>
      <c r="Z52" s="207"/>
      <c r="AA52" s="207"/>
      <c r="AB52" s="207"/>
    </row>
    <row r="53" spans="2:36" customFormat="1" ht="9.9499999999999993">
      <c r="V53" s="207"/>
      <c r="W53" s="207"/>
      <c r="X53" s="207"/>
      <c r="Y53" s="207"/>
      <c r="Z53" s="207"/>
      <c r="AA53" s="207"/>
      <c r="AB53" s="207"/>
    </row>
    <row r="54" spans="2:36" customFormat="1" ht="9.9499999999999993">
      <c r="V54" s="207"/>
      <c r="W54" s="207"/>
      <c r="X54" s="207"/>
      <c r="Y54" s="207"/>
      <c r="Z54" s="207"/>
      <c r="AA54" s="207"/>
      <c r="AB54" s="207"/>
    </row>
    <row r="55" spans="2:36" customFormat="1" ht="9.9499999999999993">
      <c r="V55" s="207"/>
      <c r="W55" s="207"/>
      <c r="X55" s="207"/>
      <c r="Y55" s="207"/>
      <c r="Z55" s="207"/>
      <c r="AA55" s="207"/>
      <c r="AB55" s="207"/>
    </row>
    <row r="56" spans="2:36" customFormat="1" ht="9.9499999999999993">
      <c r="V56" s="207"/>
      <c r="W56" s="207"/>
      <c r="X56" s="207"/>
      <c r="Y56" s="207"/>
      <c r="Z56" s="207"/>
      <c r="AA56" s="207"/>
      <c r="AB56" s="207"/>
    </row>
    <row r="57" spans="2:36" customFormat="1" ht="9.9499999999999993">
      <c r="V57" s="207"/>
      <c r="W57" s="207"/>
      <c r="X57" s="207"/>
      <c r="Y57" s="207"/>
      <c r="Z57" s="207"/>
      <c r="AA57" s="207"/>
      <c r="AB57" s="207"/>
    </row>
    <row r="58" spans="2:36" customFormat="1" ht="9.9499999999999993">
      <c r="V58" s="207"/>
      <c r="W58" s="207"/>
      <c r="X58" s="207"/>
      <c r="Y58" s="207"/>
      <c r="Z58" s="207"/>
      <c r="AA58" s="207"/>
      <c r="AB58" s="207"/>
    </row>
    <row r="59" spans="2:36" customFormat="1" ht="9.9499999999999993">
      <c r="V59" s="207"/>
      <c r="W59" s="207"/>
      <c r="X59" s="207"/>
      <c r="Y59" s="207"/>
      <c r="Z59" s="207"/>
      <c r="AA59" s="207"/>
      <c r="AB59" s="207"/>
    </row>
    <row r="60" spans="2:36" customFormat="1" ht="9.9499999999999993">
      <c r="V60" s="207"/>
      <c r="W60" s="207"/>
      <c r="X60" s="207"/>
      <c r="Y60" s="207"/>
      <c r="Z60" s="207"/>
      <c r="AA60" s="207"/>
      <c r="AB60" s="207"/>
    </row>
    <row r="61" spans="2:36" customFormat="1" ht="9.9499999999999993">
      <c r="V61" s="207"/>
      <c r="W61" s="207"/>
      <c r="X61" s="207"/>
      <c r="Y61" s="207"/>
      <c r="Z61" s="207"/>
      <c r="AA61" s="207"/>
      <c r="AB61" s="207"/>
    </row>
    <row r="62" spans="2:36" customFormat="1" ht="9.9499999999999993">
      <c r="V62" s="207"/>
      <c r="W62" s="207"/>
      <c r="X62" s="207"/>
      <c r="Y62" s="207"/>
      <c r="Z62" s="207"/>
      <c r="AA62" s="207"/>
      <c r="AB62" s="207"/>
    </row>
    <row r="63" spans="2:36" customFormat="1" ht="9.9499999999999993">
      <c r="V63" s="207"/>
      <c r="W63" s="207"/>
      <c r="X63" s="207"/>
      <c r="Y63" s="207"/>
      <c r="Z63" s="207"/>
      <c r="AA63" s="207"/>
      <c r="AB63" s="207"/>
    </row>
    <row r="64" spans="2:36"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8"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3086-A00B-4EA8-8170-18E9636B582D}">
  <sheetPr transitionEvaluation="1" transitionEntry="1">
    <pageSetUpPr fitToPage="1"/>
  </sheetPr>
  <dimension ref="A1:AQ1177"/>
  <sheetViews>
    <sheetView workbookViewId="0">
      <selection activeCell="F27" sqref="F27"/>
    </sheetView>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10"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39" width="9.6640625" customWidth="1"/>
    <col min="40" max="40" width="10" customWidth="1"/>
    <col min="41" max="41" width="9.6640625" customWidth="1"/>
    <col min="42" max="42" width="9" bestFit="1" customWidth="1"/>
    <col min="43" max="43" width="10" customWidth="1"/>
    <col min="44" max="45" width="9" customWidth="1"/>
  </cols>
  <sheetData>
    <row r="1" spans="1:43">
      <c r="A1" s="1043" t="s">
        <v>1773</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2020</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827" t="s">
        <v>1774</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S4+1</f>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ht="12.6">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1767</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65.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14.512</v>
      </c>
      <c r="E8" s="876">
        <f t="shared" si="1"/>
        <v>537.81499465683714</v>
      </c>
      <c r="F8" s="876">
        <f t="shared" si="1"/>
        <v>0</v>
      </c>
      <c r="G8" s="876">
        <f t="shared" si="1"/>
        <v>8229.2829999999994</v>
      </c>
      <c r="H8" s="876">
        <f t="shared" si="1"/>
        <v>33.440974905674999</v>
      </c>
      <c r="I8" s="876">
        <f t="shared" ref="I8:I28" si="2">SUM(C8:H8)</f>
        <v>8815.0509695625115</v>
      </c>
      <c r="J8" s="877"/>
      <c r="K8" s="876">
        <f>SUM(K9:K16)</f>
        <v>89.331207642895436</v>
      </c>
      <c r="L8" s="876">
        <f>SUM(L9:L16)</f>
        <v>0</v>
      </c>
      <c r="M8" s="876"/>
      <c r="N8" s="878">
        <f t="shared" ref="N8:S8" si="3">SUM(N9:N16)</f>
        <v>0</v>
      </c>
      <c r="O8" s="876">
        <f t="shared" si="3"/>
        <v>14.512</v>
      </c>
      <c r="P8" s="876">
        <f t="shared" si="3"/>
        <v>448.48378701394176</v>
      </c>
      <c r="Q8" s="876">
        <f t="shared" si="3"/>
        <v>0</v>
      </c>
      <c r="R8" s="876">
        <f t="shared" si="3"/>
        <v>8229.2829999999994</v>
      </c>
      <c r="S8" s="879">
        <f t="shared" si="3"/>
        <v>33.440974905674999</v>
      </c>
      <c r="T8" s="876">
        <f t="shared" ref="T8:T43" si="4">SUM(N8:S8)</f>
        <v>8725.7197619196177</v>
      </c>
      <c r="U8" s="880" t="s">
        <v>1731</v>
      </c>
      <c r="V8" s="876">
        <f t="shared" ref="V8:AA8" si="5">SUM(V9:V16)</f>
        <v>0</v>
      </c>
      <c r="W8" s="876">
        <f>SUM(W9:W16)</f>
        <v>0.38034318384093913</v>
      </c>
      <c r="X8" s="876">
        <f>SUM(X9:X16)</f>
        <v>11.718080295791049</v>
      </c>
      <c r="Y8" s="876">
        <f t="shared" si="5"/>
        <v>0</v>
      </c>
      <c r="Z8" s="876">
        <f t="shared" si="5"/>
        <v>214.95262538138545</v>
      </c>
      <c r="AA8" s="876">
        <f t="shared" si="5"/>
        <v>0.8407061091286695</v>
      </c>
      <c r="AB8" s="876">
        <f>SUM(V8:AA8)</f>
        <v>227.89175497014608</v>
      </c>
      <c r="AC8" s="881" t="s">
        <v>1731</v>
      </c>
      <c r="AD8" s="878">
        <f t="shared" ref="AD8:AI8" si="6">SUM(AD9:AD16)</f>
        <v>0</v>
      </c>
      <c r="AE8" s="876">
        <f t="shared" si="6"/>
        <v>0.38034318384093913</v>
      </c>
      <c r="AF8" s="876">
        <f t="shared" si="6"/>
        <v>11.718080295791049</v>
      </c>
      <c r="AG8" s="876" t="s">
        <v>108</v>
      </c>
      <c r="AH8" s="876">
        <f t="shared" si="6"/>
        <v>214.95262538138545</v>
      </c>
      <c r="AI8" s="876">
        <f t="shared" si="6"/>
        <v>0.8407061091286695</v>
      </c>
      <c r="AJ8" s="876">
        <f t="shared" ref="AJ8:AJ42" si="7">SUM(AD8:AI8)</f>
        <v>227.89175497014608</v>
      </c>
      <c r="AK8" s="878">
        <f t="shared" ref="AK8:AO8" si="8">SUM(AK9:AK16)</f>
        <v>0</v>
      </c>
      <c r="AL8" s="876">
        <f t="shared" si="8"/>
        <v>1.3945916740834434</v>
      </c>
      <c r="AM8" s="876">
        <f t="shared" si="8"/>
        <v>42.966294417900514</v>
      </c>
      <c r="AN8" s="876">
        <f t="shared" si="8"/>
        <v>0</v>
      </c>
      <c r="AO8" s="876">
        <f t="shared" si="8"/>
        <v>788.15962639841325</v>
      </c>
      <c r="AP8" s="876">
        <f>SUM(AP9:AP16)</f>
        <v>3.0825890668051215</v>
      </c>
      <c r="AQ8" s="882">
        <f t="shared" ref="AQ8:AQ41" si="9">SUM(AK8:AP8)</f>
        <v>835.60310155720231</v>
      </c>
    </row>
    <row r="9" spans="1:43" ht="12.75" customHeight="1">
      <c r="A9" s="817"/>
      <c r="B9" s="860" t="s">
        <v>1732</v>
      </c>
      <c r="C9" s="883">
        <f>HLOOKUP($B$2,'Consumption Input'!$E$5:$AQ$82,'Consumption Input'!$B7)</f>
        <v>0</v>
      </c>
      <c r="D9" s="883"/>
      <c r="E9" s="883"/>
      <c r="F9" s="883"/>
      <c r="G9" s="883"/>
      <c r="H9" s="883"/>
      <c r="I9" s="883">
        <f t="shared" si="2"/>
        <v>0</v>
      </c>
      <c r="J9" s="884"/>
      <c r="K9" s="883"/>
      <c r="L9" s="883"/>
      <c r="M9" s="883"/>
      <c r="N9" s="885">
        <f t="shared" ref="N9:O17" si="10">C9</f>
        <v>0</v>
      </c>
      <c r="O9" s="883">
        <f t="shared" si="10"/>
        <v>0</v>
      </c>
      <c r="P9" s="883">
        <f t="shared" ref="P9:P16" si="11">E9-K9</f>
        <v>0</v>
      </c>
      <c r="Q9" s="883">
        <f t="shared" ref="Q9:S17" si="12">F9</f>
        <v>0</v>
      </c>
      <c r="R9" s="883">
        <f t="shared" si="12"/>
        <v>0</v>
      </c>
      <c r="S9" s="886">
        <f t="shared" si="12"/>
        <v>0</v>
      </c>
      <c r="T9" s="883">
        <f>SUM(N9:S9)</f>
        <v>0</v>
      </c>
      <c r="U9" s="887">
        <f>HLOOKUP($B$2,Factors!$J$12:$BE$25,Factors!$H13,FALSE)</f>
        <v>26.208874299954459</v>
      </c>
      <c r="V9" s="885">
        <f t="shared" ref="V9:V17" si="13">N9*$U9*TbtuToQBtu</f>
        <v>0</v>
      </c>
      <c r="W9" s="883">
        <f t="shared" ref="W9:W17" si="14">O9*$U9*TbtuToQBtu</f>
        <v>0</v>
      </c>
      <c r="X9" s="883">
        <f t="shared" ref="X9:X16" si="15">P9*$U9*TbtuToQBtu</f>
        <v>0</v>
      </c>
      <c r="Y9" s="883">
        <f t="shared" ref="Y9:Y17" si="16">Q9*$U9*TbtuToQBtu</f>
        <v>0</v>
      </c>
      <c r="Z9" s="883">
        <f t="shared" ref="Z9:Z17" si="17">R9*$U9*TbtuToQBtu</f>
        <v>0</v>
      </c>
      <c r="AA9" s="883">
        <f t="shared" ref="AA9:AA16" si="18">S9*$U9*TbtuToQBtu</f>
        <v>0</v>
      </c>
      <c r="AB9" s="883">
        <f t="shared" ref="AB9:AB43" si="19">SUM(V9:AA9)</f>
        <v>0</v>
      </c>
      <c r="AC9" s="888">
        <f>Factors!E10</f>
        <v>1</v>
      </c>
      <c r="AD9" s="885">
        <f t="shared" ref="AD9:AI17" si="20">V9*$AC9</f>
        <v>0</v>
      </c>
      <c r="AE9" s="883">
        <f t="shared" si="20"/>
        <v>0</v>
      </c>
      <c r="AF9" s="883">
        <f t="shared" si="20"/>
        <v>0</v>
      </c>
      <c r="AG9" s="883">
        <f t="shared" si="20"/>
        <v>0</v>
      </c>
      <c r="AH9" s="883">
        <f t="shared" si="20"/>
        <v>0</v>
      </c>
      <c r="AI9" s="883">
        <f t="shared" si="20"/>
        <v>0</v>
      </c>
      <c r="AJ9" s="889">
        <f t="shared" si="7"/>
        <v>0</v>
      </c>
      <c r="AK9" s="885">
        <f>AD9*CtoCO2</f>
        <v>0</v>
      </c>
      <c r="AL9" s="883">
        <f t="shared" ref="AL9:AL42" si="21">AE9*CtoCO2</f>
        <v>0</v>
      </c>
      <c r="AM9" s="883">
        <f t="shared" ref="AM9:AM42" si="22">AF9*CtoCO2</f>
        <v>0</v>
      </c>
      <c r="AN9" s="883">
        <f t="shared" ref="AN9:AN42" si="23">AG9*CtoCO2</f>
        <v>0</v>
      </c>
      <c r="AO9" s="883">
        <f t="shared" ref="AO9:AO41" si="24">AH9*CtoCO2</f>
        <v>0</v>
      </c>
      <c r="AP9" s="883">
        <f t="shared" ref="AP9:AP41" si="25">AI9*CtoCO2</f>
        <v>0</v>
      </c>
      <c r="AQ9" s="890">
        <f t="shared" si="9"/>
        <v>0</v>
      </c>
    </row>
    <row r="10" spans="1:43">
      <c r="A10" s="817"/>
      <c r="B10" s="860" t="s">
        <v>1733</v>
      </c>
      <c r="C10" s="883"/>
      <c r="D10" s="883">
        <f>HLOOKUP($B$2,'Consumption Input'!$E$5:$AQ$82,'Consumption Input'!$B13)</f>
        <v>14.512</v>
      </c>
      <c r="E10" s="883"/>
      <c r="F10" s="883"/>
      <c r="G10" s="883"/>
      <c r="H10" s="883"/>
      <c r="I10" s="883">
        <f t="shared" si="2"/>
        <v>14.512</v>
      </c>
      <c r="J10" s="884"/>
      <c r="K10" s="883"/>
      <c r="L10" s="883"/>
      <c r="M10" s="883"/>
      <c r="N10" s="885">
        <f t="shared" si="10"/>
        <v>0</v>
      </c>
      <c r="O10" s="883">
        <f t="shared" si="10"/>
        <v>14.512</v>
      </c>
      <c r="P10" s="883">
        <f t="shared" si="11"/>
        <v>0</v>
      </c>
      <c r="Q10" s="883">
        <f t="shared" si="12"/>
        <v>0</v>
      </c>
      <c r="R10" s="883">
        <f t="shared" si="12"/>
        <v>0</v>
      </c>
      <c r="S10" s="886">
        <f t="shared" si="12"/>
        <v>0</v>
      </c>
      <c r="T10" s="883">
        <f t="shared" si="4"/>
        <v>14.512</v>
      </c>
      <c r="U10" s="887">
        <f>HLOOKUP($B$2,Factors!$J$12:$BE$25,Factors!$H14,FALSE)</f>
        <v>26.208874299954459</v>
      </c>
      <c r="V10" s="885">
        <f t="shared" si="13"/>
        <v>0</v>
      </c>
      <c r="W10" s="883">
        <f t="shared" si="14"/>
        <v>0.38034318384093913</v>
      </c>
      <c r="X10" s="883">
        <f t="shared" si="15"/>
        <v>0</v>
      </c>
      <c r="Y10" s="883">
        <f t="shared" si="16"/>
        <v>0</v>
      </c>
      <c r="Z10" s="883">
        <f t="shared" si="17"/>
        <v>0</v>
      </c>
      <c r="AA10" s="883">
        <f t="shared" si="18"/>
        <v>0</v>
      </c>
      <c r="AB10" s="883">
        <f t="shared" si="19"/>
        <v>0.38034318384093913</v>
      </c>
      <c r="AC10" s="888">
        <f>Factors!E11</f>
        <v>1</v>
      </c>
      <c r="AD10" s="885">
        <f t="shared" si="20"/>
        <v>0</v>
      </c>
      <c r="AE10" s="883">
        <f t="shared" si="20"/>
        <v>0.38034318384093913</v>
      </c>
      <c r="AF10" s="883">
        <f t="shared" si="20"/>
        <v>0</v>
      </c>
      <c r="AG10" s="883">
        <f t="shared" si="20"/>
        <v>0</v>
      </c>
      <c r="AH10" s="883">
        <f t="shared" si="20"/>
        <v>0</v>
      </c>
      <c r="AI10" s="883">
        <f t="shared" si="20"/>
        <v>0</v>
      </c>
      <c r="AJ10" s="889">
        <f t="shared" si="7"/>
        <v>0.38034318384093913</v>
      </c>
      <c r="AK10" s="885">
        <f t="shared" ref="AK10:AK42" si="26">AD10*CtoCO2</f>
        <v>0</v>
      </c>
      <c r="AL10" s="883">
        <f t="shared" si="21"/>
        <v>1.3945916740834434</v>
      </c>
      <c r="AM10" s="883">
        <f t="shared" si="22"/>
        <v>0</v>
      </c>
      <c r="AN10" s="883">
        <f t="shared" si="23"/>
        <v>0</v>
      </c>
      <c r="AO10" s="883">
        <f t="shared" si="24"/>
        <v>0</v>
      </c>
      <c r="AP10" s="883">
        <f t="shared" si="25"/>
        <v>0</v>
      </c>
      <c r="AQ10" s="890">
        <f t="shared" si="9"/>
        <v>1.3945916740834434</v>
      </c>
    </row>
    <row r="11" spans="1:43" s="244" customFormat="1" hidden="1">
      <c r="A11" s="861"/>
      <c r="B11" s="862" t="s">
        <v>1734</v>
      </c>
      <c r="C11" s="891"/>
      <c r="D11" s="891"/>
      <c r="E11" s="891">
        <f>HLOOKUP($B$2,'Consumption Input'!$E$5:$AQ$82,'Consumption Input'!$B23)</f>
        <v>79.875589997130135</v>
      </c>
      <c r="F11" s="891"/>
      <c r="G11" s="891"/>
      <c r="H11" s="891"/>
      <c r="I11" s="891">
        <f t="shared" si="2"/>
        <v>79.875589997130135</v>
      </c>
      <c r="J11" s="892"/>
      <c r="K11" s="891">
        <f>HLOOKUP($B$2,NEUConsumption,'Non-Energy Use'!$C$7)</f>
        <v>79.875589997130135</v>
      </c>
      <c r="L11" s="891"/>
      <c r="M11" s="891"/>
      <c r="N11" s="893">
        <f t="shared" si="10"/>
        <v>0</v>
      </c>
      <c r="O11" s="891">
        <f t="shared" si="10"/>
        <v>0</v>
      </c>
      <c r="P11" s="891">
        <f>E11-K11</f>
        <v>0</v>
      </c>
      <c r="Q11" s="891">
        <f t="shared" si="12"/>
        <v>0</v>
      </c>
      <c r="R11" s="891">
        <f t="shared" si="12"/>
        <v>0</v>
      </c>
      <c r="S11" s="894">
        <f t="shared" si="12"/>
        <v>0</v>
      </c>
      <c r="T11" s="891">
        <f t="shared" si="4"/>
        <v>0</v>
      </c>
      <c r="U11" s="1013">
        <f>HLOOKUP($B$2,Factors!$J$12:$BE$28,Factors!$H28,FALSE)</f>
        <v>25.601082279442927</v>
      </c>
      <c r="V11" s="893">
        <f t="shared" si="13"/>
        <v>0</v>
      </c>
      <c r="W11" s="891">
        <f t="shared" si="14"/>
        <v>0</v>
      </c>
      <c r="X11" s="891">
        <f>P11*$U11*TbtuToQBtu</f>
        <v>0</v>
      </c>
      <c r="Y11" s="891">
        <f t="shared" si="16"/>
        <v>0</v>
      </c>
      <c r="Z11" s="891">
        <f t="shared" si="17"/>
        <v>0</v>
      </c>
      <c r="AA11" s="891">
        <f t="shared" si="18"/>
        <v>0</v>
      </c>
      <c r="AB11" s="891">
        <f>SUM(V11:AA11)</f>
        <v>0</v>
      </c>
      <c r="AC11" s="896">
        <f>Factors!E12</f>
        <v>1</v>
      </c>
      <c r="AD11" s="893">
        <f t="shared" si="20"/>
        <v>0</v>
      </c>
      <c r="AE11" s="891">
        <f t="shared" si="20"/>
        <v>0</v>
      </c>
      <c r="AF11" s="891">
        <f t="shared" si="20"/>
        <v>0</v>
      </c>
      <c r="AG11" s="891">
        <f t="shared" si="20"/>
        <v>0</v>
      </c>
      <c r="AH11" s="891">
        <f t="shared" si="20"/>
        <v>0</v>
      </c>
      <c r="AI11" s="891">
        <f t="shared" si="20"/>
        <v>0</v>
      </c>
      <c r="AJ11" s="897">
        <f t="shared" si="7"/>
        <v>0</v>
      </c>
      <c r="AK11" s="893">
        <f t="shared" si="26"/>
        <v>0</v>
      </c>
      <c r="AL11" s="891">
        <f t="shared" si="21"/>
        <v>0</v>
      </c>
      <c r="AM11" s="891">
        <f t="shared" si="22"/>
        <v>0</v>
      </c>
      <c r="AN11" s="891">
        <f t="shared" si="23"/>
        <v>0</v>
      </c>
      <c r="AO11" s="891">
        <f t="shared" si="24"/>
        <v>0</v>
      </c>
      <c r="AP11" s="891">
        <f t="shared" si="25"/>
        <v>0</v>
      </c>
      <c r="AQ11" s="898">
        <f t="shared" si="9"/>
        <v>0</v>
      </c>
    </row>
    <row r="12" spans="1:43">
      <c r="A12" s="817"/>
      <c r="B12" s="860" t="s">
        <v>1701</v>
      </c>
      <c r="C12" s="883"/>
      <c r="D12" s="883"/>
      <c r="E12" s="883">
        <f>HLOOKUP($B$2,'Consumption Input'!$E$5:$AQ$82,'Consumption Input'!$B24)</f>
        <v>457.93940465970707</v>
      </c>
      <c r="F12" s="883"/>
      <c r="G12" s="883"/>
      <c r="H12" s="883"/>
      <c r="I12" s="883">
        <f t="shared" si="2"/>
        <v>457.93940465970707</v>
      </c>
      <c r="J12" s="884"/>
      <c r="K12" s="883">
        <f>HLOOKUP($B$2,NEUConsumption,'Non-Energy Use'!$C$8)</f>
        <v>9.4556176457652974</v>
      </c>
      <c r="L12" s="883"/>
      <c r="M12" s="883"/>
      <c r="N12" s="885">
        <f t="shared" si="10"/>
        <v>0</v>
      </c>
      <c r="O12" s="883">
        <f t="shared" si="10"/>
        <v>0</v>
      </c>
      <c r="P12" s="883">
        <f t="shared" si="11"/>
        <v>448.48378701394176</v>
      </c>
      <c r="Q12" s="883">
        <f t="shared" si="12"/>
        <v>0</v>
      </c>
      <c r="R12" s="883">
        <f t="shared" si="12"/>
        <v>0</v>
      </c>
      <c r="S12" s="886">
        <f t="shared" si="12"/>
        <v>0</v>
      </c>
      <c r="T12" s="883">
        <f t="shared" si="4"/>
        <v>448.48378701394176</v>
      </c>
      <c r="U12" s="887">
        <f>HLOOKUP($B$2,Factors!$J$12:$BE$25,Factors!$H15,FALSE)</f>
        <v>26.128213850965309</v>
      </c>
      <c r="V12" s="885">
        <f t="shared" si="13"/>
        <v>0</v>
      </c>
      <c r="W12" s="883">
        <f t="shared" si="14"/>
        <v>0</v>
      </c>
      <c r="X12" s="883">
        <f t="shared" si="15"/>
        <v>11.718080295791049</v>
      </c>
      <c r="Y12" s="883">
        <f t="shared" si="16"/>
        <v>0</v>
      </c>
      <c r="Z12" s="883">
        <f t="shared" si="17"/>
        <v>0</v>
      </c>
      <c r="AA12" s="883">
        <f t="shared" si="18"/>
        <v>0</v>
      </c>
      <c r="AB12" s="883">
        <f t="shared" si="19"/>
        <v>11.718080295791049</v>
      </c>
      <c r="AC12" s="888">
        <f>Factors!E13</f>
        <v>1</v>
      </c>
      <c r="AD12" s="885">
        <f t="shared" si="20"/>
        <v>0</v>
      </c>
      <c r="AE12" s="883">
        <f t="shared" si="20"/>
        <v>0</v>
      </c>
      <c r="AF12" s="883">
        <f>X12*$AC12</f>
        <v>11.718080295791049</v>
      </c>
      <c r="AG12" s="883">
        <f t="shared" si="20"/>
        <v>0</v>
      </c>
      <c r="AH12" s="883">
        <f t="shared" si="20"/>
        <v>0</v>
      </c>
      <c r="AI12" s="883">
        <f t="shared" si="20"/>
        <v>0</v>
      </c>
      <c r="AJ12" s="889">
        <f t="shared" si="7"/>
        <v>11.718080295791049</v>
      </c>
      <c r="AK12" s="885">
        <f t="shared" si="26"/>
        <v>0</v>
      </c>
      <c r="AL12" s="883">
        <f t="shared" si="21"/>
        <v>0</v>
      </c>
      <c r="AM12" s="883">
        <f>AF12*CtoCO2</f>
        <v>42.966294417900514</v>
      </c>
      <c r="AN12" s="883">
        <f t="shared" si="23"/>
        <v>0</v>
      </c>
      <c r="AO12" s="883">
        <f t="shared" si="24"/>
        <v>0</v>
      </c>
      <c r="AP12" s="883">
        <f t="shared" si="25"/>
        <v>0</v>
      </c>
      <c r="AQ12" s="890">
        <f t="shared" si="9"/>
        <v>42.966294417900514</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10"/>
        <v>0</v>
      </c>
      <c r="O13" s="891">
        <f t="shared" si="10"/>
        <v>0</v>
      </c>
      <c r="P13" s="891">
        <f t="shared" si="11"/>
        <v>0</v>
      </c>
      <c r="Q13" s="891">
        <f t="shared" si="12"/>
        <v>0</v>
      </c>
      <c r="R13" s="891">
        <f t="shared" si="12"/>
        <v>0</v>
      </c>
      <c r="S13" s="894">
        <f t="shared" si="12"/>
        <v>0</v>
      </c>
      <c r="T13" s="891">
        <f t="shared" si="4"/>
        <v>0</v>
      </c>
      <c r="U13" s="895">
        <f>Factors!D14</f>
        <v>27.85</v>
      </c>
      <c r="V13" s="893">
        <f t="shared" si="13"/>
        <v>0</v>
      </c>
      <c r="W13" s="891">
        <f t="shared" si="14"/>
        <v>0</v>
      </c>
      <c r="X13" s="891">
        <f t="shared" si="15"/>
        <v>0</v>
      </c>
      <c r="Y13" s="891">
        <f t="shared" si="16"/>
        <v>0</v>
      </c>
      <c r="Z13" s="891">
        <f t="shared" si="17"/>
        <v>0</v>
      </c>
      <c r="AA13" s="891">
        <f t="shared" si="18"/>
        <v>0</v>
      </c>
      <c r="AB13" s="883">
        <f t="shared" si="19"/>
        <v>0</v>
      </c>
      <c r="AC13" s="896">
        <f>Factors!E14</f>
        <v>1</v>
      </c>
      <c r="AD13" s="893">
        <f t="shared" si="20"/>
        <v>0</v>
      </c>
      <c r="AE13" s="891">
        <f t="shared" si="20"/>
        <v>0</v>
      </c>
      <c r="AF13" s="891">
        <f t="shared" si="20"/>
        <v>0</v>
      </c>
      <c r="AG13" s="891">
        <f t="shared" si="20"/>
        <v>0</v>
      </c>
      <c r="AH13" s="891">
        <f t="shared" si="20"/>
        <v>0</v>
      </c>
      <c r="AI13" s="891">
        <f t="shared" si="20"/>
        <v>0</v>
      </c>
      <c r="AJ13" s="897">
        <f t="shared" si="7"/>
        <v>0</v>
      </c>
      <c r="AK13" s="893">
        <f t="shared" si="26"/>
        <v>0</v>
      </c>
      <c r="AL13" s="891">
        <f t="shared" si="21"/>
        <v>0</v>
      </c>
      <c r="AM13" s="891">
        <f t="shared" si="22"/>
        <v>0</v>
      </c>
      <c r="AN13" s="891">
        <f t="shared" si="23"/>
        <v>0</v>
      </c>
      <c r="AO13" s="891">
        <f t="shared" si="24"/>
        <v>0</v>
      </c>
      <c r="AP13" s="891">
        <f t="shared" si="25"/>
        <v>0</v>
      </c>
      <c r="AQ13" s="890">
        <f t="shared" si="9"/>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10"/>
        <v>0</v>
      </c>
      <c r="O14" s="883">
        <f t="shared" si="10"/>
        <v>0</v>
      </c>
      <c r="P14" s="883">
        <f t="shared" si="11"/>
        <v>0</v>
      </c>
      <c r="Q14" s="883">
        <f t="shared" si="12"/>
        <v>0</v>
      </c>
      <c r="R14" s="883">
        <f t="shared" si="12"/>
        <v>0</v>
      </c>
      <c r="S14" s="886">
        <f t="shared" si="12"/>
        <v>0</v>
      </c>
      <c r="T14" s="883">
        <f t="shared" si="4"/>
        <v>0</v>
      </c>
      <c r="U14" s="887" t="str">
        <f>Factors!D15</f>
        <v>NC</v>
      </c>
      <c r="V14" s="885">
        <f t="shared" si="13"/>
        <v>0</v>
      </c>
      <c r="W14" s="883">
        <f t="shared" si="14"/>
        <v>0</v>
      </c>
      <c r="X14" s="883">
        <f t="shared" si="15"/>
        <v>0</v>
      </c>
      <c r="Y14" s="883">
        <f t="shared" si="16"/>
        <v>0</v>
      </c>
      <c r="Z14" s="883">
        <f t="shared" si="17"/>
        <v>0</v>
      </c>
      <c r="AA14" s="883">
        <f t="shared" si="18"/>
        <v>0</v>
      </c>
      <c r="AB14" s="883">
        <f t="shared" si="19"/>
        <v>0</v>
      </c>
      <c r="AC14" s="888" t="str">
        <f>Factors!E15</f>
        <v>NC</v>
      </c>
      <c r="AD14" s="885">
        <f t="shared" si="20"/>
        <v>0</v>
      </c>
      <c r="AE14" s="883">
        <f t="shared" si="20"/>
        <v>0</v>
      </c>
      <c r="AF14" s="883">
        <f t="shared" si="20"/>
        <v>0</v>
      </c>
      <c r="AG14" s="883">
        <f t="shared" si="20"/>
        <v>0</v>
      </c>
      <c r="AH14" s="883">
        <f t="shared" si="20"/>
        <v>0</v>
      </c>
      <c r="AI14" s="883">
        <f t="shared" si="20"/>
        <v>0</v>
      </c>
      <c r="AJ14" s="889">
        <f t="shared" si="7"/>
        <v>0</v>
      </c>
      <c r="AK14" s="885">
        <f t="shared" si="26"/>
        <v>0</v>
      </c>
      <c r="AL14" s="883">
        <f t="shared" si="21"/>
        <v>0</v>
      </c>
      <c r="AM14" s="883">
        <f t="shared" si="22"/>
        <v>0</v>
      </c>
      <c r="AN14" s="883">
        <f t="shared" si="23"/>
        <v>0</v>
      </c>
      <c r="AO14" s="883">
        <f t="shared" si="24"/>
        <v>0</v>
      </c>
      <c r="AP14" s="883">
        <f t="shared" si="25"/>
        <v>0</v>
      </c>
      <c r="AQ14" s="890">
        <f t="shared" si="9"/>
        <v>0</v>
      </c>
    </row>
    <row r="15" spans="1:43">
      <c r="A15" s="817"/>
      <c r="B15" s="860" t="s">
        <v>1736</v>
      </c>
      <c r="C15" s="883"/>
      <c r="D15" s="883"/>
      <c r="E15" s="883"/>
      <c r="F15" s="883"/>
      <c r="G15" s="883">
        <f>HLOOKUP($B$2,'Consumption Input'!$E$5:$AQ$82,'Consumption Input'!$B58)</f>
        <v>8229.2829999999994</v>
      </c>
      <c r="H15" s="883"/>
      <c r="I15" s="883">
        <f t="shared" si="2"/>
        <v>8229.2829999999994</v>
      </c>
      <c r="J15" s="884"/>
      <c r="K15" s="883"/>
      <c r="L15" s="883"/>
      <c r="M15" s="883"/>
      <c r="N15" s="885">
        <f t="shared" si="10"/>
        <v>0</v>
      </c>
      <c r="O15" s="883">
        <f t="shared" si="10"/>
        <v>0</v>
      </c>
      <c r="P15" s="883">
        <f t="shared" si="11"/>
        <v>0</v>
      </c>
      <c r="Q15" s="883">
        <f t="shared" si="12"/>
        <v>0</v>
      </c>
      <c r="R15" s="883">
        <f t="shared" si="12"/>
        <v>8229.2829999999994</v>
      </c>
      <c r="S15" s="886">
        <f t="shared" si="12"/>
        <v>0</v>
      </c>
      <c r="T15" s="883">
        <f t="shared" si="4"/>
        <v>8229.2829999999994</v>
      </c>
      <c r="U15" s="887">
        <f>HLOOKUP($B$2,Factors!$J$12:$BE$25,Factors!$H16,FALSE)</f>
        <v>26.120456105517995</v>
      </c>
      <c r="V15" s="885">
        <f t="shared" si="13"/>
        <v>0</v>
      </c>
      <c r="W15" s="883">
        <f t="shared" si="14"/>
        <v>0</v>
      </c>
      <c r="X15" s="883">
        <f t="shared" si="15"/>
        <v>0</v>
      </c>
      <c r="Y15" s="883">
        <f t="shared" si="16"/>
        <v>0</v>
      </c>
      <c r="Z15" s="883">
        <f t="shared" si="17"/>
        <v>214.95262538138545</v>
      </c>
      <c r="AA15" s="883">
        <f t="shared" si="18"/>
        <v>0</v>
      </c>
      <c r="AB15" s="883">
        <f t="shared" si="19"/>
        <v>214.95262538138545</v>
      </c>
      <c r="AC15" s="888">
        <f>Factors!E16</f>
        <v>1</v>
      </c>
      <c r="AD15" s="885">
        <f t="shared" si="20"/>
        <v>0</v>
      </c>
      <c r="AE15" s="883">
        <f t="shared" si="20"/>
        <v>0</v>
      </c>
      <c r="AF15" s="883">
        <f t="shared" si="20"/>
        <v>0</v>
      </c>
      <c r="AG15" s="883">
        <f t="shared" si="20"/>
        <v>0</v>
      </c>
      <c r="AH15" s="883">
        <f t="shared" si="20"/>
        <v>214.95262538138545</v>
      </c>
      <c r="AI15" s="883">
        <f t="shared" si="20"/>
        <v>0</v>
      </c>
      <c r="AJ15" s="889">
        <f t="shared" si="7"/>
        <v>214.95262538138545</v>
      </c>
      <c r="AK15" s="885">
        <f t="shared" si="26"/>
        <v>0</v>
      </c>
      <c r="AL15" s="883">
        <f t="shared" si="21"/>
        <v>0</v>
      </c>
      <c r="AM15" s="883">
        <f t="shared" si="22"/>
        <v>0</v>
      </c>
      <c r="AN15" s="883">
        <f t="shared" si="23"/>
        <v>0</v>
      </c>
      <c r="AO15" s="883">
        <f t="shared" si="24"/>
        <v>788.15962639841325</v>
      </c>
      <c r="AP15" s="883">
        <f t="shared" si="25"/>
        <v>0</v>
      </c>
      <c r="AQ15" s="890">
        <f t="shared" si="9"/>
        <v>788.15962639841325</v>
      </c>
    </row>
    <row r="16" spans="1:43">
      <c r="A16" s="817"/>
      <c r="B16" s="860" t="s">
        <v>1737</v>
      </c>
      <c r="C16" s="883"/>
      <c r="D16" s="883"/>
      <c r="E16" s="883"/>
      <c r="F16" s="883"/>
      <c r="G16" s="883"/>
      <c r="H16" s="883">
        <f>HLOOKUP($B$2,'US Territories'!$D$28:$AO$38,'US Territories'!$B29)</f>
        <v>33.440974905674999</v>
      </c>
      <c r="I16" s="883">
        <f t="shared" si="2"/>
        <v>33.440974905674999</v>
      </c>
      <c r="J16" s="884"/>
      <c r="K16" s="883"/>
      <c r="L16" s="883"/>
      <c r="M16" s="883"/>
      <c r="N16" s="885">
        <f t="shared" si="10"/>
        <v>0</v>
      </c>
      <c r="O16" s="883">
        <f t="shared" si="10"/>
        <v>0</v>
      </c>
      <c r="P16" s="883">
        <f t="shared" si="11"/>
        <v>0</v>
      </c>
      <c r="Q16" s="883">
        <f t="shared" si="12"/>
        <v>0</v>
      </c>
      <c r="R16" s="883">
        <f t="shared" si="12"/>
        <v>0</v>
      </c>
      <c r="S16" s="886">
        <f>H16</f>
        <v>33.440974905674999</v>
      </c>
      <c r="T16" s="883">
        <f t="shared" si="4"/>
        <v>33.440974905674999</v>
      </c>
      <c r="U16" s="887">
        <f>Factors!D17</f>
        <v>25.14</v>
      </c>
      <c r="V16" s="899">
        <f t="shared" si="13"/>
        <v>0</v>
      </c>
      <c r="W16" s="900">
        <f t="shared" si="14"/>
        <v>0</v>
      </c>
      <c r="X16" s="900">
        <f t="shared" si="15"/>
        <v>0</v>
      </c>
      <c r="Y16" s="900">
        <f t="shared" si="16"/>
        <v>0</v>
      </c>
      <c r="Z16" s="900">
        <f t="shared" si="17"/>
        <v>0</v>
      </c>
      <c r="AA16" s="900">
        <f t="shared" si="18"/>
        <v>0.8407061091286695</v>
      </c>
      <c r="AB16" s="883">
        <f t="shared" si="19"/>
        <v>0.8407061091286695</v>
      </c>
      <c r="AC16" s="888">
        <f>Factors!E17</f>
        <v>1</v>
      </c>
      <c r="AD16" s="899">
        <f t="shared" si="20"/>
        <v>0</v>
      </c>
      <c r="AE16" s="900">
        <f t="shared" si="20"/>
        <v>0</v>
      </c>
      <c r="AF16" s="900">
        <f t="shared" si="20"/>
        <v>0</v>
      </c>
      <c r="AG16" s="900">
        <f t="shared" si="20"/>
        <v>0</v>
      </c>
      <c r="AH16" s="900">
        <f t="shared" si="20"/>
        <v>0</v>
      </c>
      <c r="AI16" s="900">
        <f t="shared" si="20"/>
        <v>0.8407061091286695</v>
      </c>
      <c r="AJ16" s="889">
        <f t="shared" si="7"/>
        <v>0.8407061091286695</v>
      </c>
      <c r="AK16" s="885">
        <f t="shared" si="26"/>
        <v>0</v>
      </c>
      <c r="AL16" s="883">
        <f t="shared" si="21"/>
        <v>0</v>
      </c>
      <c r="AM16" s="883">
        <f t="shared" si="22"/>
        <v>0</v>
      </c>
      <c r="AN16" s="883">
        <f t="shared" si="23"/>
        <v>0</v>
      </c>
      <c r="AO16" s="883">
        <f t="shared" si="24"/>
        <v>0</v>
      </c>
      <c r="AP16" s="883">
        <f t="shared" si="25"/>
        <v>3.0825890668051215</v>
      </c>
      <c r="AQ16" s="890">
        <f t="shared" si="9"/>
        <v>3.0825890668051215</v>
      </c>
    </row>
    <row r="17" spans="1:43">
      <c r="A17" s="817"/>
      <c r="B17" s="863" t="s">
        <v>1439</v>
      </c>
      <c r="C17" s="901">
        <f>HLOOKUP($B$2,'Consumption Input'!$E$5:$AQ$82,'Consumption Input'!$B8)</f>
        <v>4845.6809999999996</v>
      </c>
      <c r="D17" s="901">
        <f>HLOOKUP($B$2,'Consumption Input'!$E$5:$AQ$82,'Consumption Input'!$B14)</f>
        <v>3278.5120000000002</v>
      </c>
      <c r="E17" s="901">
        <f>HLOOKUP($B$2,'Consumption Input'!$E$5:$AQ$82,'Consumption Input'!$B26)</f>
        <v>9987.9689956998172</v>
      </c>
      <c r="F17" s="901">
        <f>HLOOKUP($B$2,'Consumption Input'!$E$5:$AQ$82,'Consumption Input'!$B49)</f>
        <v>1108.6599999999999</v>
      </c>
      <c r="G17" s="901">
        <f>HLOOKUP($B$2,'Consumption Input'!$E$5:$AQ$82,'Consumption Input'!$B59)</f>
        <v>11999.767</v>
      </c>
      <c r="H17" s="902">
        <f>HLOOKUP($B$2,'US Territories'!$D$28:$AO$38,'US Territories'!$B30)</f>
        <v>50.043995020999994</v>
      </c>
      <c r="I17" s="901">
        <f t="shared" si="2"/>
        <v>31270.632990720816</v>
      </c>
      <c r="J17" s="903"/>
      <c r="K17" s="901">
        <f>HLOOKUP($B$2,NEUConsumption,'Non-Energy Use'!$C$9)</f>
        <v>731.45600000000002</v>
      </c>
      <c r="L17" s="901"/>
      <c r="M17" s="901"/>
      <c r="N17" s="904">
        <f t="shared" si="10"/>
        <v>4845.6809999999996</v>
      </c>
      <c r="O17" s="901">
        <f t="shared" si="10"/>
        <v>3278.5120000000002</v>
      </c>
      <c r="P17" s="901">
        <f>E17-K17</f>
        <v>9256.5129956998171</v>
      </c>
      <c r="Q17" s="901">
        <f t="shared" si="12"/>
        <v>1108.6599999999999</v>
      </c>
      <c r="R17" s="901">
        <f t="shared" si="12"/>
        <v>11999.767</v>
      </c>
      <c r="S17" s="902">
        <f t="shared" si="12"/>
        <v>50.043995020999994</v>
      </c>
      <c r="T17" s="901">
        <f t="shared" si="4"/>
        <v>30539.176990720815</v>
      </c>
      <c r="U17" s="905">
        <f>HLOOKUP($B$2,Factors!$J$12:$BE$26,Factors!$H26,FALSE)</f>
        <v>14.428670083895854</v>
      </c>
      <c r="V17" s="901">
        <f t="shared" si="13"/>
        <v>69.916732480802551</v>
      </c>
      <c r="W17" s="901">
        <f t="shared" si="14"/>
        <v>47.304568014093569</v>
      </c>
      <c r="X17" s="901">
        <f>P17*$U17*TbtuToQBtu</f>
        <v>133.55917214224715</v>
      </c>
      <c r="Y17" s="901">
        <f t="shared" si="16"/>
        <v>15.996489375211976</v>
      </c>
      <c r="Z17" s="901">
        <f t="shared" si="17"/>
        <v>173.14067912662071</v>
      </c>
      <c r="AA17" s="901">
        <f>S17*$U17*TbtuToQBtu</f>
        <v>0.72206829383813564</v>
      </c>
      <c r="AB17" s="901">
        <f t="shared" si="19"/>
        <v>440.63970943281407</v>
      </c>
      <c r="AC17" s="906">
        <f>Factors!E19</f>
        <v>1</v>
      </c>
      <c r="AD17" s="904">
        <f t="shared" si="20"/>
        <v>69.916732480802551</v>
      </c>
      <c r="AE17" s="901">
        <f>W17*$AC17</f>
        <v>47.304568014093569</v>
      </c>
      <c r="AF17" s="901">
        <f>X17*$AC17</f>
        <v>133.55917214224715</v>
      </c>
      <c r="AG17" s="901">
        <f t="shared" si="20"/>
        <v>15.996489375211976</v>
      </c>
      <c r="AH17" s="901">
        <f t="shared" si="20"/>
        <v>173.14067912662071</v>
      </c>
      <c r="AI17" s="901">
        <f t="shared" si="20"/>
        <v>0.72206829383813564</v>
      </c>
      <c r="AJ17" s="901">
        <f t="shared" si="7"/>
        <v>440.63970943281407</v>
      </c>
      <c r="AK17" s="904">
        <f t="shared" si="26"/>
        <v>256.36135242960933</v>
      </c>
      <c r="AL17" s="901">
        <f t="shared" si="21"/>
        <v>173.45008271834308</v>
      </c>
      <c r="AM17" s="901">
        <f t="shared" si="22"/>
        <v>489.71696452157283</v>
      </c>
      <c r="AN17" s="901">
        <f t="shared" si="23"/>
        <v>58.653794375777238</v>
      </c>
      <c r="AO17" s="901">
        <f t="shared" si="24"/>
        <v>634.84915679760923</v>
      </c>
      <c r="AP17" s="901">
        <f>AI17*CtoCO2</f>
        <v>2.647583744073164</v>
      </c>
      <c r="AQ17" s="907">
        <f t="shared" si="9"/>
        <v>1615.678934586985</v>
      </c>
    </row>
    <row r="18" spans="1:43">
      <c r="A18" s="817"/>
      <c r="B18" s="864" t="s">
        <v>1440</v>
      </c>
      <c r="C18" s="908">
        <f t="shared" ref="C18:H18" si="27">SUM(C19:C41)</f>
        <v>863.58006676248033</v>
      </c>
      <c r="D18" s="908">
        <f t="shared" si="27"/>
        <v>780.19807867781822</v>
      </c>
      <c r="E18" s="908">
        <f t="shared" si="27"/>
        <v>7757.8339956937716</v>
      </c>
      <c r="F18" s="908">
        <f t="shared" si="27"/>
        <v>22170.091498516569</v>
      </c>
      <c r="G18" s="908">
        <f t="shared" si="27"/>
        <v>184.39699999999999</v>
      </c>
      <c r="H18" s="908">
        <f t="shared" si="27"/>
        <v>242.06249197965619</v>
      </c>
      <c r="I18" s="908">
        <f t="shared" ref="I18:I25" si="28">SUM(C18:H18)</f>
        <v>31998.163131630296</v>
      </c>
      <c r="J18" s="909">
        <f t="shared" ref="J18:S18" si="29">SUM(J19:J41)</f>
        <v>962.61280212929216</v>
      </c>
      <c r="K18" s="908">
        <f t="shared" si="29"/>
        <v>4863.3891375520379</v>
      </c>
      <c r="L18" s="908">
        <f t="shared" si="29"/>
        <v>115.61499999999999</v>
      </c>
      <c r="M18" s="908">
        <f t="shared" si="29"/>
        <v>1.0447859369999999</v>
      </c>
      <c r="N18" s="910">
        <f t="shared" si="29"/>
        <v>863.58006676248033</v>
      </c>
      <c r="O18" s="908">
        <f t="shared" si="29"/>
        <v>780.19807867781822</v>
      </c>
      <c r="P18" s="908">
        <f t="shared" si="29"/>
        <v>2894.4448581417346</v>
      </c>
      <c r="Q18" s="908">
        <f t="shared" si="29"/>
        <v>21091.863696387278</v>
      </c>
      <c r="R18" s="908">
        <f t="shared" si="29"/>
        <v>184.39699999999999</v>
      </c>
      <c r="S18" s="911">
        <f t="shared" si="29"/>
        <v>241.01770604265622</v>
      </c>
      <c r="T18" s="889">
        <f t="shared" si="4"/>
        <v>26055.501406011968</v>
      </c>
      <c r="U18" s="912" t="s">
        <v>1731</v>
      </c>
      <c r="V18" s="908">
        <f t="shared" ref="V18:AA18" si="30">SUM(V19:V41)</f>
        <v>15.936457030533028</v>
      </c>
      <c r="W18" s="908">
        <f t="shared" si="30"/>
        <v>14.841557586426278</v>
      </c>
      <c r="X18" s="908">
        <f t="shared" si="30"/>
        <v>59.136667151327984</v>
      </c>
      <c r="Y18" s="908">
        <f t="shared" si="30"/>
        <v>412.95447591779555</v>
      </c>
      <c r="Z18" s="908">
        <f t="shared" si="30"/>
        <v>4.4089376557356514</v>
      </c>
      <c r="AA18" s="908">
        <f t="shared" si="30"/>
        <v>4.7859969532807476</v>
      </c>
      <c r="AB18" s="908">
        <f t="shared" si="19"/>
        <v>512.06409229509927</v>
      </c>
      <c r="AC18" s="913" t="s">
        <v>1731</v>
      </c>
      <c r="AD18" s="910">
        <f>SUM(AD19:AD41)</f>
        <v>15.936457030533028</v>
      </c>
      <c r="AE18" s="908">
        <f t="shared" ref="AE18:AI18" si="31">SUM(AE19:AE41)</f>
        <v>14.841557586426278</v>
      </c>
      <c r="AF18" s="908">
        <f t="shared" si="31"/>
        <v>59.136667151327984</v>
      </c>
      <c r="AG18" s="908">
        <f>SUM(AG19:AG41)</f>
        <v>412.95447591779555</v>
      </c>
      <c r="AH18" s="908">
        <f t="shared" si="31"/>
        <v>4.4089376557356514</v>
      </c>
      <c r="AI18" s="908">
        <f t="shared" si="31"/>
        <v>4.7859969532807476</v>
      </c>
      <c r="AJ18" s="908">
        <f t="shared" si="7"/>
        <v>512.06409229509927</v>
      </c>
      <c r="AK18" s="914">
        <f t="shared" si="26"/>
        <v>58.433675778621101</v>
      </c>
      <c r="AL18" s="889">
        <f t="shared" si="21"/>
        <v>54.41904448356302</v>
      </c>
      <c r="AM18" s="889">
        <f t="shared" si="22"/>
        <v>216.83444622153593</v>
      </c>
      <c r="AN18" s="889">
        <f t="shared" si="23"/>
        <v>1514.1664116985837</v>
      </c>
      <c r="AO18" s="889">
        <f t="shared" si="24"/>
        <v>16.166104737697388</v>
      </c>
      <c r="AP18" s="889">
        <f>AI18*CtoCO2</f>
        <v>17.548655495362741</v>
      </c>
      <c r="AQ18" s="915">
        <f t="shared" si="9"/>
        <v>1877.568338415364</v>
      </c>
    </row>
    <row r="19" spans="1:43">
      <c r="A19" s="817"/>
      <c r="B19" s="860" t="s">
        <v>1608</v>
      </c>
      <c r="C19" s="883"/>
      <c r="D19" s="883"/>
      <c r="E19" s="883">
        <f>HLOOKUP($B$2,'Consumption Input'!$E$5:$AQ$82,'Consumption Input'!$B27)</f>
        <v>832.27300000000002</v>
      </c>
      <c r="F19" s="883"/>
      <c r="G19" s="883"/>
      <c r="H19" s="883"/>
      <c r="I19" s="883">
        <f t="shared" si="28"/>
        <v>832.27300000000002</v>
      </c>
      <c r="J19" s="884"/>
      <c r="K19" s="883">
        <f>HLOOKUP($B$2,NEUConsumption,'Non-Energy Use'!$C$10)</f>
        <v>832.27300000000002</v>
      </c>
      <c r="L19" s="883"/>
      <c r="M19" s="883"/>
      <c r="N19" s="885">
        <f t="shared" ref="N19:O42" si="32">C19</f>
        <v>0</v>
      </c>
      <c r="O19" s="883">
        <f t="shared" si="32"/>
        <v>0</v>
      </c>
      <c r="P19" s="883">
        <f t="shared" ref="P19:P41" si="33">E19-K19</f>
        <v>0</v>
      </c>
      <c r="Q19" s="883">
        <f t="shared" ref="Q19:Q41" si="34">F19-J19-L19</f>
        <v>0</v>
      </c>
      <c r="R19" s="883">
        <f t="shared" ref="R19:R42" si="35">G19</f>
        <v>0</v>
      </c>
      <c r="S19" s="886">
        <f t="shared" ref="S19:S41" si="36">H19-M19</f>
        <v>0</v>
      </c>
      <c r="T19" s="883">
        <f t="shared" si="4"/>
        <v>0</v>
      </c>
      <c r="U19" s="887">
        <f>Factors!D24</f>
        <v>20.55318099621897</v>
      </c>
      <c r="V19" s="885">
        <f t="shared" ref="V19:V41" si="37">N19*$U19*TbtuToQBtu</f>
        <v>0</v>
      </c>
      <c r="W19" s="883">
        <f t="shared" ref="W19:W41" si="38">O19*$U19*TbtuToQBtu</f>
        <v>0</v>
      </c>
      <c r="X19" s="883">
        <f t="shared" ref="X19:X41" si="39">P19*$U19*TbtuToQBtu</f>
        <v>0</v>
      </c>
      <c r="Y19" s="883">
        <f t="shared" ref="Y19:Y41" si="40">Q19*$U19*TbtuToQBtu</f>
        <v>0</v>
      </c>
      <c r="Z19" s="883">
        <f t="shared" ref="Z19:Z41" si="41">R19*$U19*TbtuToQBtu</f>
        <v>0</v>
      </c>
      <c r="AA19" s="883">
        <f t="shared" ref="AA19:AA41" si="42">S19*$U19*TbtuToQBtu</f>
        <v>0</v>
      </c>
      <c r="AB19" s="883">
        <f t="shared" si="19"/>
        <v>0</v>
      </c>
      <c r="AC19" s="888">
        <f>Factors!E24</f>
        <v>1</v>
      </c>
      <c r="AD19" s="885">
        <f t="shared" ref="AD19:AI35" si="43">V19*$AC19</f>
        <v>0</v>
      </c>
      <c r="AE19" s="883">
        <f t="shared" si="43"/>
        <v>0</v>
      </c>
      <c r="AF19" s="883">
        <f t="shared" si="43"/>
        <v>0</v>
      </c>
      <c r="AG19" s="883">
        <f t="shared" si="43"/>
        <v>0</v>
      </c>
      <c r="AH19" s="883">
        <f t="shared" si="43"/>
        <v>0</v>
      </c>
      <c r="AI19" s="883">
        <f t="shared" si="43"/>
        <v>0</v>
      </c>
      <c r="AJ19" s="889">
        <f t="shared" si="7"/>
        <v>0</v>
      </c>
      <c r="AK19" s="885">
        <f t="shared" si="26"/>
        <v>0</v>
      </c>
      <c r="AL19" s="883">
        <f t="shared" si="21"/>
        <v>0</v>
      </c>
      <c r="AM19" s="883">
        <f t="shared" si="22"/>
        <v>0</v>
      </c>
      <c r="AN19" s="883">
        <f t="shared" si="23"/>
        <v>0</v>
      </c>
      <c r="AO19" s="883">
        <f t="shared" si="24"/>
        <v>0</v>
      </c>
      <c r="AP19" s="883">
        <f t="shared" si="25"/>
        <v>0</v>
      </c>
      <c r="AQ19" s="890">
        <f t="shared" si="9"/>
        <v>0</v>
      </c>
    </row>
    <row r="20" spans="1:43">
      <c r="A20" s="817"/>
      <c r="B20" s="860" t="s">
        <v>1622</v>
      </c>
      <c r="C20" s="883"/>
      <c r="D20" s="883"/>
      <c r="E20" s="883"/>
      <c r="F20" s="883">
        <f>HLOOKUP($B$2,'Consumption Input'!$E$5:$AQ$82,'Consumption Input'!$B50)</f>
        <v>20.202000000000002</v>
      </c>
      <c r="G20" s="883"/>
      <c r="H20" s="883"/>
      <c r="I20" s="883">
        <f t="shared" si="28"/>
        <v>20.202000000000002</v>
      </c>
      <c r="J20" s="884"/>
      <c r="K20" s="883"/>
      <c r="L20" s="883"/>
      <c r="M20" s="883"/>
      <c r="N20" s="885">
        <f t="shared" si="32"/>
        <v>0</v>
      </c>
      <c r="O20" s="883">
        <f t="shared" si="32"/>
        <v>0</v>
      </c>
      <c r="P20" s="883">
        <f t="shared" si="33"/>
        <v>0</v>
      </c>
      <c r="Q20" s="883">
        <f t="shared" si="34"/>
        <v>20.202000000000002</v>
      </c>
      <c r="R20" s="883">
        <f t="shared" si="35"/>
        <v>0</v>
      </c>
      <c r="S20" s="886">
        <f t="shared" si="36"/>
        <v>0</v>
      </c>
      <c r="T20" s="883">
        <f t="shared" si="4"/>
        <v>20.202000000000002</v>
      </c>
      <c r="U20" s="887">
        <f>Factors!D25</f>
        <v>18.855352254718337</v>
      </c>
      <c r="V20" s="885">
        <f t="shared" si="37"/>
        <v>0</v>
      </c>
      <c r="W20" s="883">
        <f t="shared" si="38"/>
        <v>0</v>
      </c>
      <c r="X20" s="883">
        <f t="shared" si="39"/>
        <v>0</v>
      </c>
      <c r="Y20" s="883">
        <f t="shared" si="40"/>
        <v>0.3809158262498199</v>
      </c>
      <c r="Z20" s="883">
        <f t="shared" si="41"/>
        <v>0</v>
      </c>
      <c r="AA20" s="883">
        <f t="shared" si="42"/>
        <v>0</v>
      </c>
      <c r="AB20" s="883">
        <f t="shared" si="19"/>
        <v>0.3809158262498199</v>
      </c>
      <c r="AC20" s="888">
        <f>Factors!E25</f>
        <v>1</v>
      </c>
      <c r="AD20" s="885">
        <f t="shared" si="43"/>
        <v>0</v>
      </c>
      <c r="AE20" s="883">
        <f t="shared" si="43"/>
        <v>0</v>
      </c>
      <c r="AF20" s="883">
        <f t="shared" si="43"/>
        <v>0</v>
      </c>
      <c r="AG20" s="883">
        <f t="shared" si="43"/>
        <v>0.3809158262498199</v>
      </c>
      <c r="AH20" s="883">
        <f t="shared" si="43"/>
        <v>0</v>
      </c>
      <c r="AI20" s="883">
        <f t="shared" si="43"/>
        <v>0</v>
      </c>
      <c r="AJ20" s="889">
        <f t="shared" si="7"/>
        <v>0.3809158262498199</v>
      </c>
      <c r="AK20" s="885">
        <f t="shared" si="26"/>
        <v>0</v>
      </c>
      <c r="AL20" s="883">
        <f t="shared" si="21"/>
        <v>0</v>
      </c>
      <c r="AM20" s="883">
        <f t="shared" si="22"/>
        <v>0</v>
      </c>
      <c r="AN20" s="883">
        <f t="shared" si="23"/>
        <v>1.3966913629160063</v>
      </c>
      <c r="AO20" s="883">
        <f t="shared" si="24"/>
        <v>0</v>
      </c>
      <c r="AP20" s="883">
        <f t="shared" si="25"/>
        <v>0</v>
      </c>
      <c r="AQ20" s="890">
        <f t="shared" si="9"/>
        <v>1.3966913629160063</v>
      </c>
    </row>
    <row r="21" spans="1:43">
      <c r="A21" s="817"/>
      <c r="B21" s="860" t="s">
        <v>1738</v>
      </c>
      <c r="C21" s="883">
        <f>HLOOKUP($B$2,'Consumption Input'!$E$5:$AQ$82,'Consumption Input'!$B9)</f>
        <v>357.81006676248023</v>
      </c>
      <c r="D21" s="883">
        <f>HLOOKUP($B$2,'Consumption Input'!$E$5:$AQ$82,'Consumption Input'!$B15)</f>
        <v>242.11412010551922</v>
      </c>
      <c r="E21" s="883">
        <f>HLOOKUP($B$2,'Consumption Input'!$E$5:$AQ$82,'Consumption Input'!$B28)</f>
        <v>935.64714171799005</v>
      </c>
      <c r="F21" s="883">
        <f>HLOOKUP($B$2,'Consumption Input'!$E$5:$AQ$82,'Consumption Input'!$B51)</f>
        <v>6140.774506620648</v>
      </c>
      <c r="G21" s="883">
        <f>HLOOKUP($B$2,'Consumption Input'!$E$5:$AQ$82,'Consumption Input'!$B60)</f>
        <v>44.274000000000001</v>
      </c>
      <c r="H21" s="883">
        <f>HLOOKUP($B$2,'US Territories'!$D$28:$AO$38,'US Territories'!$B31)</f>
        <v>67.999027937049462</v>
      </c>
      <c r="I21" s="883">
        <f t="shared" si="28"/>
        <v>7788.6188631436871</v>
      </c>
      <c r="J21" s="884">
        <f>HLOOKUP($B$2,IBFConsumption,'International Bunker Fuels'!$B$10,FALSE)</f>
        <v>104.9583132795492</v>
      </c>
      <c r="K21" s="883">
        <f>HLOOKUP($B$2,NEUConsumption,'Non-Energy Use'!$C$20)</f>
        <v>5.8250000000000002</v>
      </c>
      <c r="L21" s="883"/>
      <c r="M21" s="883"/>
      <c r="N21" s="885">
        <f t="shared" si="32"/>
        <v>357.81006676248023</v>
      </c>
      <c r="O21" s="883">
        <f>D21</f>
        <v>242.11412010551922</v>
      </c>
      <c r="P21" s="883">
        <f t="shared" si="33"/>
        <v>929.82214171799001</v>
      </c>
      <c r="Q21" s="883">
        <f>F21-J21-L21</f>
        <v>6035.8161933410993</v>
      </c>
      <c r="R21" s="883">
        <f t="shared" si="35"/>
        <v>44.274000000000001</v>
      </c>
      <c r="S21" s="886">
        <f>H21-M21</f>
        <v>67.999027937049462</v>
      </c>
      <c r="T21" s="883">
        <f t="shared" si="4"/>
        <v>7677.8355498641386</v>
      </c>
      <c r="U21" s="887">
        <f>HLOOKUP($B$2,Factors!$J$12:$BE$27,Factors!$H27,FALSE)</f>
        <v>20.216892495282984</v>
      </c>
      <c r="V21" s="885">
        <f>N21*$U21*TbtuToQBtu</f>
        <v>7.2338076534670899</v>
      </c>
      <c r="W21" s="883">
        <f>O21*$U21*TbtuToQBtu</f>
        <v>4.8947951377633148</v>
      </c>
      <c r="X21" s="883">
        <f t="shared" si="39"/>
        <v>18.798114278846384</v>
      </c>
      <c r="Y21" s="883">
        <f>Q21*$U21*TbtuToQBtu</f>
        <v>122.02544710206519</v>
      </c>
      <c r="Z21" s="883">
        <f t="shared" si="41"/>
        <v>0.89508269833615883</v>
      </c>
      <c r="AA21" s="883">
        <f t="shared" si="42"/>
        <v>1.3747290375870733</v>
      </c>
      <c r="AB21" s="883">
        <f t="shared" si="19"/>
        <v>155.22197590806519</v>
      </c>
      <c r="AC21" s="888">
        <f>Factors!E26</f>
        <v>1</v>
      </c>
      <c r="AD21" s="885">
        <f t="shared" si="43"/>
        <v>7.2338076534670899</v>
      </c>
      <c r="AE21" s="883">
        <f>W21*$AC21</f>
        <v>4.8947951377633148</v>
      </c>
      <c r="AF21" s="883">
        <f t="shared" si="43"/>
        <v>18.798114278846384</v>
      </c>
      <c r="AG21" s="883">
        <f>Y21*$AC21</f>
        <v>122.02544710206519</v>
      </c>
      <c r="AH21" s="883">
        <f t="shared" si="43"/>
        <v>0.89508269833615883</v>
      </c>
      <c r="AI21" s="883">
        <f t="shared" si="43"/>
        <v>1.3747290375870733</v>
      </c>
      <c r="AJ21" s="889">
        <f t="shared" si="7"/>
        <v>155.22197590806519</v>
      </c>
      <c r="AK21" s="885">
        <f t="shared" si="26"/>
        <v>26.523961396045994</v>
      </c>
      <c r="AL21" s="883">
        <f t="shared" si="21"/>
        <v>17.947582171798821</v>
      </c>
      <c r="AM21" s="883">
        <f t="shared" si="22"/>
        <v>68.926419022436733</v>
      </c>
      <c r="AN21" s="883">
        <f t="shared" si="23"/>
        <v>447.42663937423902</v>
      </c>
      <c r="AO21" s="883">
        <f t="shared" si="24"/>
        <v>3.281969893899249</v>
      </c>
      <c r="AP21" s="883">
        <f t="shared" si="25"/>
        <v>5.0406731378192688</v>
      </c>
      <c r="AQ21" s="890">
        <f t="shared" si="9"/>
        <v>569.14724499623901</v>
      </c>
    </row>
    <row r="22" spans="1:43">
      <c r="A22" s="817"/>
      <c r="B22" s="860" t="s">
        <v>1623</v>
      </c>
      <c r="C22" s="883"/>
      <c r="D22" s="883"/>
      <c r="E22" s="883"/>
      <c r="F22" s="883">
        <f>HLOOKUP($B$2,'Consumption Input'!$E$5:$AQ$82,'Consumption Input'!$B52)</f>
        <v>2233.8429999999998</v>
      </c>
      <c r="G22" s="916"/>
      <c r="H22" s="883">
        <f>HLOOKUP($B$2,'US Territories'!$D$28:$AO$38,'US Territories'!$B32)</f>
        <v>36.434007198064869</v>
      </c>
      <c r="I22" s="883">
        <f t="shared" si="28"/>
        <v>2270.2770071980649</v>
      </c>
      <c r="J22" s="884">
        <f>HLOOKUP($B$2,IBFConsumption,'International Bunker Fuels'!$B$8,FALSE)</f>
        <v>563.66616431474301</v>
      </c>
      <c r="K22" s="883"/>
      <c r="L22" s="883"/>
      <c r="M22" s="883"/>
      <c r="N22" s="885">
        <f t="shared" si="32"/>
        <v>0</v>
      </c>
      <c r="O22" s="883">
        <f t="shared" si="32"/>
        <v>0</v>
      </c>
      <c r="P22" s="883">
        <f t="shared" si="33"/>
        <v>0</v>
      </c>
      <c r="Q22" s="883">
        <f t="shared" si="34"/>
        <v>1670.1768356852567</v>
      </c>
      <c r="R22" s="883">
        <f t="shared" si="35"/>
        <v>0</v>
      </c>
      <c r="S22" s="886">
        <f t="shared" si="36"/>
        <v>36.434007198064869</v>
      </c>
      <c r="T22" s="883">
        <f t="shared" si="4"/>
        <v>1706.6108428833215</v>
      </c>
      <c r="U22" s="887">
        <f>HLOOKUP($B$2,Factors!$J$12:$BE$25,Factors!$H21,FALSE)</f>
        <v>19.696969696969692</v>
      </c>
      <c r="V22" s="885">
        <f t="shared" si="37"/>
        <v>0</v>
      </c>
      <c r="W22" s="883">
        <f t="shared" si="38"/>
        <v>0</v>
      </c>
      <c r="X22" s="883">
        <f t="shared" si="39"/>
        <v>0</v>
      </c>
      <c r="Y22" s="883">
        <f t="shared" si="40"/>
        <v>32.897422521073231</v>
      </c>
      <c r="Z22" s="883">
        <f t="shared" si="41"/>
        <v>0</v>
      </c>
      <c r="AA22" s="883">
        <f t="shared" si="42"/>
        <v>0.71763953571945938</v>
      </c>
      <c r="AB22" s="883">
        <f t="shared" si="19"/>
        <v>33.615062056792688</v>
      </c>
      <c r="AC22" s="888">
        <f>Factors!E27</f>
        <v>1</v>
      </c>
      <c r="AD22" s="885">
        <f t="shared" si="43"/>
        <v>0</v>
      </c>
      <c r="AE22" s="883">
        <f t="shared" si="43"/>
        <v>0</v>
      </c>
      <c r="AF22" s="883">
        <f t="shared" si="43"/>
        <v>0</v>
      </c>
      <c r="AG22" s="883">
        <f t="shared" si="43"/>
        <v>32.897422521073231</v>
      </c>
      <c r="AH22" s="883">
        <f t="shared" si="43"/>
        <v>0</v>
      </c>
      <c r="AI22" s="883">
        <f t="shared" si="43"/>
        <v>0.71763953571945938</v>
      </c>
      <c r="AJ22" s="889">
        <f t="shared" si="7"/>
        <v>33.615062056792688</v>
      </c>
      <c r="AK22" s="885">
        <f t="shared" si="26"/>
        <v>0</v>
      </c>
      <c r="AL22" s="883">
        <f t="shared" si="21"/>
        <v>0</v>
      </c>
      <c r="AM22" s="883">
        <f t="shared" si="22"/>
        <v>0</v>
      </c>
      <c r="AN22" s="883">
        <f t="shared" si="23"/>
        <v>120.6238825772685</v>
      </c>
      <c r="AO22" s="883">
        <f t="shared" si="24"/>
        <v>0</v>
      </c>
      <c r="AP22" s="883">
        <f t="shared" si="25"/>
        <v>2.6313449643046845</v>
      </c>
      <c r="AQ22" s="890">
        <f t="shared" si="9"/>
        <v>123.25522754157319</v>
      </c>
    </row>
    <row r="23" spans="1:43">
      <c r="A23" s="817"/>
      <c r="B23" s="860" t="s">
        <v>1599</v>
      </c>
      <c r="C23" s="883">
        <f>HLOOKUP($B$2,'Consumption Input'!$E$5:$AQ$82,'Consumption Input'!$B10)</f>
        <v>10.836</v>
      </c>
      <c r="D23" s="883">
        <f>HLOOKUP($B$2,'Consumption Input'!$E$5:$AQ$82,'Consumption Input'!$B16)</f>
        <v>1.6930000000000001</v>
      </c>
      <c r="E23" s="883">
        <f>HLOOKUP($B$2,'Consumption Input'!$E$5:$AQ$82,'Consumption Input'!$B29)</f>
        <v>3.0230000000000001</v>
      </c>
      <c r="F23" s="883"/>
      <c r="G23" s="883"/>
      <c r="H23" s="883">
        <f>HLOOKUP($B$2,'US Territories'!$D$28:$AO$38,'US Territories'!$B33)</f>
        <v>0.10354837500000001</v>
      </c>
      <c r="I23" s="883">
        <f t="shared" si="28"/>
        <v>15.655548375</v>
      </c>
      <c r="J23" s="884"/>
      <c r="K23" s="883"/>
      <c r="L23" s="883"/>
      <c r="M23" s="883"/>
      <c r="N23" s="885">
        <f t="shared" si="32"/>
        <v>10.836</v>
      </c>
      <c r="O23" s="883">
        <f t="shared" si="32"/>
        <v>1.6930000000000001</v>
      </c>
      <c r="P23" s="883">
        <f t="shared" si="33"/>
        <v>3.0230000000000001</v>
      </c>
      <c r="Q23" s="883">
        <f t="shared" si="34"/>
        <v>0</v>
      </c>
      <c r="R23" s="883">
        <f t="shared" si="35"/>
        <v>0</v>
      </c>
      <c r="S23" s="886">
        <f t="shared" si="36"/>
        <v>0.10354837500000001</v>
      </c>
      <c r="T23" s="883">
        <f t="shared" si="4"/>
        <v>15.655548375</v>
      </c>
      <c r="U23" s="887">
        <f>Factors!D28</f>
        <v>19.964104564962931</v>
      </c>
      <c r="V23" s="885">
        <f t="shared" si="37"/>
        <v>0.21633103706593831</v>
      </c>
      <c r="W23" s="883">
        <f t="shared" si="38"/>
        <v>3.3799229028482244E-2</v>
      </c>
      <c r="X23" s="883">
        <f t="shared" si="39"/>
        <v>6.0351488099882944E-2</v>
      </c>
      <c r="Y23" s="883">
        <f t="shared" si="40"/>
        <v>0</v>
      </c>
      <c r="Z23" s="883">
        <f t="shared" si="41"/>
        <v>0</v>
      </c>
      <c r="AA23" s="883">
        <f t="shared" si="42"/>
        <v>2.0672505860319938E-3</v>
      </c>
      <c r="AB23" s="883">
        <f t="shared" si="19"/>
        <v>0.31254900478033554</v>
      </c>
      <c r="AC23" s="888">
        <f>Factors!E28</f>
        <v>1</v>
      </c>
      <c r="AD23" s="885">
        <f t="shared" si="43"/>
        <v>0.21633103706593831</v>
      </c>
      <c r="AE23" s="883">
        <f t="shared" si="43"/>
        <v>3.3799229028482244E-2</v>
      </c>
      <c r="AF23" s="883">
        <f t="shared" si="43"/>
        <v>6.0351488099882944E-2</v>
      </c>
      <c r="AG23" s="883">
        <f t="shared" si="43"/>
        <v>0</v>
      </c>
      <c r="AH23" s="883">
        <f t="shared" si="43"/>
        <v>0</v>
      </c>
      <c r="AI23" s="883">
        <f t="shared" si="43"/>
        <v>2.0672505860319938E-3</v>
      </c>
      <c r="AJ23" s="889">
        <f t="shared" si="7"/>
        <v>0.31254900478033554</v>
      </c>
      <c r="AK23" s="885">
        <f t="shared" si="26"/>
        <v>0.7932138025751071</v>
      </c>
      <c r="AL23" s="883">
        <f t="shared" si="21"/>
        <v>0.12393050643776822</v>
      </c>
      <c r="AM23" s="883">
        <f t="shared" si="22"/>
        <v>0.22128878969957078</v>
      </c>
      <c r="AN23" s="883">
        <f t="shared" si="23"/>
        <v>0</v>
      </c>
      <c r="AO23" s="883">
        <f t="shared" si="24"/>
        <v>0</v>
      </c>
      <c r="AP23" s="883">
        <f t="shared" si="25"/>
        <v>7.5799188154506434E-3</v>
      </c>
      <c r="AQ23" s="890">
        <f t="shared" si="9"/>
        <v>1.1460130175278969</v>
      </c>
    </row>
    <row r="24" spans="1:43">
      <c r="A24" s="817"/>
      <c r="B24" s="860" t="s">
        <v>1600</v>
      </c>
      <c r="C24" s="883">
        <f>HLOOKUP($B$2,'Consumption Input'!$E$5:$AQ$82,'Consumption Input'!$B11)</f>
        <v>494.93400000000003</v>
      </c>
      <c r="D24" s="883">
        <f>HLOOKUP($B$2,'Consumption Input'!$E$5:$AQ$82,'Consumption Input'!$B17)</f>
        <v>201.04499999999996</v>
      </c>
      <c r="E24"/>
      <c r="F24" s="883">
        <f>HLOOKUP($B$2,'Consumption Input'!$E$5:$AQ$82,'Consumption Input'!$B53)</f>
        <v>8.6449999999999996</v>
      </c>
      <c r="G24" s="883"/>
      <c r="H24"/>
      <c r="I24" s="883">
        <f t="shared" si="28"/>
        <v>704.62400000000002</v>
      </c>
      <c r="J24" s="884"/>
      <c r="K24"/>
      <c r="L24" s="883"/>
      <c r="M24" s="883"/>
      <c r="N24" s="885">
        <f>C24</f>
        <v>494.93400000000003</v>
      </c>
      <c r="O24" s="883">
        <f t="shared" si="32"/>
        <v>201.04499999999996</v>
      </c>
      <c r="P24"/>
      <c r="Q24" s="883">
        <f t="shared" si="34"/>
        <v>8.6449999999999996</v>
      </c>
      <c r="R24" s="883">
        <f t="shared" si="35"/>
        <v>0</v>
      </c>
      <c r="S24" s="1007"/>
      <c r="T24" s="883">
        <f t="shared" si="4"/>
        <v>704.62400000000002</v>
      </c>
      <c r="U24" s="1005">
        <f>HLOOKUP($B$2,Factors!$J$12:$BE$25,Factors!$H17,FALSE)</f>
        <v>17.146363636363635</v>
      </c>
      <c r="V24" s="885">
        <f>N24*$U24*TbtuToQBtu</f>
        <v>8.4863183400000004</v>
      </c>
      <c r="W24" s="883">
        <f>O24*$U24*TbtuToQBtu</f>
        <v>3.4471906772727263</v>
      </c>
      <c r="X24"/>
      <c r="Y24" s="883">
        <f>Q24*$U24*TbtuToQBtu</f>
        <v>0.1482303136363636</v>
      </c>
      <c r="Z24" s="883">
        <f t="shared" si="41"/>
        <v>0</v>
      </c>
      <c r="AA24"/>
      <c r="AB24" s="883">
        <f>SUM(V24:AA24)</f>
        <v>12.081739330909089</v>
      </c>
      <c r="AC24" s="888">
        <f>Factors!E30</f>
        <v>1</v>
      </c>
      <c r="AD24" s="885">
        <f>V24*$AC24</f>
        <v>8.4863183400000004</v>
      </c>
      <c r="AE24" s="883">
        <f t="shared" si="43"/>
        <v>3.4471906772727263</v>
      </c>
      <c r="AF24"/>
      <c r="AG24" s="883">
        <f t="shared" si="43"/>
        <v>0.1482303136363636</v>
      </c>
      <c r="AH24" s="883">
        <f t="shared" si="43"/>
        <v>0</v>
      </c>
      <c r="AI24"/>
      <c r="AJ24" s="889">
        <f t="shared" si="7"/>
        <v>12.081739330909089</v>
      </c>
      <c r="AK24" s="885">
        <f>AD24*CtoCO2</f>
        <v>31.11650058</v>
      </c>
      <c r="AL24" s="883">
        <f t="shared" si="21"/>
        <v>12.639699149999997</v>
      </c>
      <c r="AN24" s="883">
        <f t="shared" si="23"/>
        <v>0.54351114999999983</v>
      </c>
      <c r="AO24" s="883">
        <f t="shared" si="24"/>
        <v>0</v>
      </c>
      <c r="AQ24" s="890">
        <f t="shared" si="9"/>
        <v>44.299710879999999</v>
      </c>
    </row>
    <row r="25" spans="1:43">
      <c r="A25" s="817"/>
      <c r="B25" s="860" t="s">
        <v>1609</v>
      </c>
      <c r="C25" s="883"/>
      <c r="D25" s="883"/>
      <c r="E25" s="883">
        <f>HLOOKUP($B$2,'Consumption Input'!$E$5:$AQ$82,'Consumption Input'!$B30)</f>
        <v>2897.3225185609999</v>
      </c>
      <c r="F25" s="883"/>
      <c r="G25" s="883"/>
      <c r="H25" s="883">
        <f>HLOOKUP($B$2,'US Territories'!$D$28:$AO$38,'US Territories'!$B34)</f>
        <v>9.62048238330107</v>
      </c>
      <c r="I25" s="883">
        <f t="shared" si="28"/>
        <v>2906.9430009443008</v>
      </c>
      <c r="J25" s="884"/>
      <c r="K25" s="883">
        <f>HLOOKUP($B$2,NEUConsumption,'Non-Energy Use'!$C$11)</f>
        <v>2884.5017990910087</v>
      </c>
      <c r="L25" s="883"/>
      <c r="M25" s="883"/>
      <c r="N25" s="885"/>
      <c r="O25" s="883"/>
      <c r="P25" s="883">
        <f>E25-K25</f>
        <v>12.820719469991218</v>
      </c>
      <c r="Q25" s="883"/>
      <c r="R25" s="883"/>
      <c r="S25" s="886">
        <f>H25-M25</f>
        <v>9.62048238330107</v>
      </c>
      <c r="T25" s="883">
        <f t="shared" si="4"/>
        <v>22.441201853292288</v>
      </c>
      <c r="U25" s="1005">
        <f>HLOOKUP($B$2,Factors!$J$12:$BE$25,Factors!$H18,FALSE)</f>
        <v>17.746560604157896</v>
      </c>
      <c r="V25" s="885"/>
      <c r="W25" s="883"/>
      <c r="X25" s="883">
        <f>P25*$U25*TbtuToQBtu</f>
        <v>0.22752367506310625</v>
      </c>
      <c r="Y25" s="883"/>
      <c r="Z25" s="883"/>
      <c r="AA25" s="883">
        <f>S25*$U25*TbtuToQBtu</f>
        <v>0.17073047365648583</v>
      </c>
      <c r="AB25" s="883">
        <f>SUM(V25:AA25)</f>
        <v>0.39825414871959208</v>
      </c>
      <c r="AC25" s="888">
        <f>Factors!E31</f>
        <v>1</v>
      </c>
      <c r="AD25" s="885"/>
      <c r="AE25" s="883"/>
      <c r="AF25" s="883">
        <f>X25*$AC25</f>
        <v>0.22752367506310625</v>
      </c>
      <c r="AG25" s="883"/>
      <c r="AH25" s="883"/>
      <c r="AI25" s="883">
        <f>AA25*$AC25</f>
        <v>0.17073047365648583</v>
      </c>
      <c r="AJ25" s="889">
        <f t="shared" si="7"/>
        <v>0.39825414871959208</v>
      </c>
      <c r="AK25" s="885"/>
      <c r="AL25" s="883"/>
      <c r="AM25" s="883">
        <f>AF25*CtoCO2</f>
        <v>0.8342534752313896</v>
      </c>
      <c r="AN25" s="883"/>
      <c r="AO25" s="883"/>
      <c r="AP25" s="883">
        <f>AI25*CtoCO2</f>
        <v>0.62601173674044808</v>
      </c>
      <c r="AQ25" s="890">
        <f t="shared" si="9"/>
        <v>1.4602652119718376</v>
      </c>
    </row>
    <row r="26" spans="1:43">
      <c r="A26" s="817"/>
      <c r="B26" s="860" t="s">
        <v>1610</v>
      </c>
      <c r="C26" s="883"/>
      <c r="D26" s="883"/>
      <c r="E26" s="883">
        <f>HLOOKUP($B$2,'Consumption Input'!$E$5:$AQ$82,'Consumption Input'!$B31)</f>
        <v>111.09</v>
      </c>
      <c r="F26" s="883">
        <f>HLOOKUP($B$2,'Consumption Input'!$E$5:$AQ$82,'Consumption Input'!$B54)</f>
        <v>115.61499999999999</v>
      </c>
      <c r="G26" s="883"/>
      <c r="H26" s="883">
        <f>HLOOKUP($B$2,'US Territories'!$D$28:$AO$38,'US Territories'!$B35)</f>
        <v>1.0411633874999999</v>
      </c>
      <c r="I26" s="883">
        <f t="shared" si="2"/>
        <v>227.74616338749999</v>
      </c>
      <c r="J26" s="884"/>
      <c r="K26" s="883">
        <f>HLOOKUP($B$2,NEUConsumption,'Non-Energy Use'!$C$12)</f>
        <v>111.09</v>
      </c>
      <c r="L26" s="883">
        <f>HLOOKUP($B$2,NEUConsumption,'Non-Energy Use'!$C$24)</f>
        <v>115.61499999999999</v>
      </c>
      <c r="M26" s="883">
        <f>HLOOKUP($B$2,NEUConsumption,'Non-Energy Use'!$C$26)</f>
        <v>1.0411633874999999</v>
      </c>
      <c r="N26" s="885">
        <f t="shared" si="32"/>
        <v>0</v>
      </c>
      <c r="O26" s="883">
        <f t="shared" si="32"/>
        <v>0</v>
      </c>
      <c r="P26" s="883">
        <f t="shared" si="33"/>
        <v>0</v>
      </c>
      <c r="Q26" s="883">
        <f>F26-J26-L26</f>
        <v>0</v>
      </c>
      <c r="R26" s="883">
        <f>G26</f>
        <v>0</v>
      </c>
      <c r="S26" s="886">
        <f t="shared" si="36"/>
        <v>0</v>
      </c>
      <c r="T26" s="883">
        <f t="shared" si="4"/>
        <v>0</v>
      </c>
      <c r="U26" s="887">
        <f>Factors!D33</f>
        <v>20.199355467286214</v>
      </c>
      <c r="V26" s="885">
        <f t="shared" si="37"/>
        <v>0</v>
      </c>
      <c r="W26" s="883">
        <f t="shared" si="38"/>
        <v>0</v>
      </c>
      <c r="X26" s="883">
        <f t="shared" si="39"/>
        <v>0</v>
      </c>
      <c r="Y26" s="883">
        <f t="shared" si="40"/>
        <v>0</v>
      </c>
      <c r="Z26" s="883">
        <f t="shared" si="41"/>
        <v>0</v>
      </c>
      <c r="AA26" s="883">
        <f t="shared" si="42"/>
        <v>0</v>
      </c>
      <c r="AB26" s="883">
        <f t="shared" si="19"/>
        <v>0</v>
      </c>
      <c r="AC26" s="888">
        <f>Factors!E33</f>
        <v>1</v>
      </c>
      <c r="AD26" s="885">
        <f t="shared" si="43"/>
        <v>0</v>
      </c>
      <c r="AE26" s="883">
        <f t="shared" si="43"/>
        <v>0</v>
      </c>
      <c r="AF26" s="883">
        <f t="shared" si="43"/>
        <v>0</v>
      </c>
      <c r="AG26" s="883">
        <f>Y26*$AC26</f>
        <v>0</v>
      </c>
      <c r="AH26" s="883">
        <f t="shared" si="43"/>
        <v>0</v>
      </c>
      <c r="AI26" s="883">
        <f t="shared" si="43"/>
        <v>0</v>
      </c>
      <c r="AJ26" s="889">
        <f t="shared" si="7"/>
        <v>0</v>
      </c>
      <c r="AK26" s="885">
        <f t="shared" si="26"/>
        <v>0</v>
      </c>
      <c r="AL26" s="883">
        <f t="shared" si="21"/>
        <v>0</v>
      </c>
      <c r="AM26" s="883">
        <f t="shared" si="22"/>
        <v>0</v>
      </c>
      <c r="AN26" s="883">
        <f>AG26*CtoCO2</f>
        <v>0</v>
      </c>
      <c r="AO26" s="883">
        <f t="shared" si="24"/>
        <v>0</v>
      </c>
      <c r="AP26" s="883">
        <f t="shared" si="25"/>
        <v>0</v>
      </c>
      <c r="AQ26" s="890">
        <f t="shared" si="9"/>
        <v>0</v>
      </c>
    </row>
    <row r="27" spans="1:43">
      <c r="A27" s="817"/>
      <c r="B27" s="860" t="s">
        <v>1601</v>
      </c>
      <c r="C27" s="883"/>
      <c r="D27" s="883">
        <f>HLOOKUP($B$2,'Consumption Input'!$E$5:$AQ$82,'Consumption Input'!$B18)</f>
        <v>332.89595857229904</v>
      </c>
      <c r="E27" s="883">
        <f>HLOOKUP($B$2,'Consumption Input'!$E$5:$AQ$82,'Consumption Input'!$B32)</f>
        <v>241.27304953178137</v>
      </c>
      <c r="F27" s="883">
        <f>HLOOKUP($B$2,'Consumption Input'!$E$5:$AQ$82,'Consumption Input'!$B55)</f>
        <v>13259.550991895921</v>
      </c>
      <c r="G27" s="883"/>
      <c r="H27" s="883">
        <f>HLOOKUP($B$2,'US Territories'!$D$28:$AO$38,'US Territories'!$B36)</f>
        <v>63.842646078612617</v>
      </c>
      <c r="I27" s="883">
        <f t="shared" si="2"/>
        <v>13897.562646078613</v>
      </c>
      <c r="J27" s="884"/>
      <c r="K27" s="883"/>
      <c r="L27" s="883"/>
      <c r="M27" s="883"/>
      <c r="N27" s="885">
        <f t="shared" si="32"/>
        <v>0</v>
      </c>
      <c r="O27" s="883">
        <f t="shared" si="32"/>
        <v>332.89595857229904</v>
      </c>
      <c r="P27" s="883">
        <f t="shared" si="33"/>
        <v>241.27304953178137</v>
      </c>
      <c r="Q27" s="883">
        <f>F27-J27-L27</f>
        <v>13259.550991895921</v>
      </c>
      <c r="R27" s="883">
        <f t="shared" si="35"/>
        <v>0</v>
      </c>
      <c r="S27" s="886">
        <f t="shared" si="36"/>
        <v>63.842646078612617</v>
      </c>
      <c r="T27" s="883">
        <f t="shared" si="4"/>
        <v>13897.562646078613</v>
      </c>
      <c r="U27" s="887">
        <f>HLOOKUP($B$2,Factors!$J$12:$BE$25,Factors!$H20,FALSE)</f>
        <v>19.26959818755628</v>
      </c>
      <c r="V27" s="885">
        <f t="shared" si="37"/>
        <v>0</v>
      </c>
      <c r="W27" s="883">
        <f t="shared" si="38"/>
        <v>6.4147713599495839</v>
      </c>
      <c r="X27" s="883">
        <f t="shared" si="39"/>
        <v>4.6492347179637914</v>
      </c>
      <c r="Y27" s="883">
        <f>Q27*$U27*TbtuToQBtu</f>
        <v>255.50621976124773</v>
      </c>
      <c r="Z27" s="883">
        <f t="shared" si="41"/>
        <v>0</v>
      </c>
      <c r="AA27" s="883">
        <f t="shared" si="42"/>
        <v>1.2302221371652309</v>
      </c>
      <c r="AB27" s="883">
        <f t="shared" si="19"/>
        <v>267.80044797632638</v>
      </c>
      <c r="AC27" s="888">
        <f>Factors!E34</f>
        <v>1</v>
      </c>
      <c r="AD27" s="885">
        <f t="shared" si="43"/>
        <v>0</v>
      </c>
      <c r="AE27" s="883">
        <f t="shared" si="43"/>
        <v>6.4147713599495839</v>
      </c>
      <c r="AF27" s="883">
        <f t="shared" si="43"/>
        <v>4.6492347179637914</v>
      </c>
      <c r="AG27" s="883">
        <f>Y27*$AC44</f>
        <v>255.50621976124773</v>
      </c>
      <c r="AH27" s="883">
        <f t="shared" si="43"/>
        <v>0</v>
      </c>
      <c r="AI27" s="883">
        <f t="shared" si="43"/>
        <v>1.2302221371652309</v>
      </c>
      <c r="AJ27" s="889">
        <f t="shared" si="7"/>
        <v>267.80044797632638</v>
      </c>
      <c r="AK27" s="885">
        <f t="shared" si="26"/>
        <v>0</v>
      </c>
      <c r="AL27" s="883">
        <f t="shared" si="21"/>
        <v>23.520828319815141</v>
      </c>
      <c r="AM27" s="883">
        <f t="shared" si="22"/>
        <v>17.047193965867233</v>
      </c>
      <c r="AN27" s="883">
        <f t="shared" si="23"/>
        <v>936.85613912457495</v>
      </c>
      <c r="AO27" s="883">
        <f t="shared" si="24"/>
        <v>0</v>
      </c>
      <c r="AP27" s="883">
        <f t="shared" si="25"/>
        <v>4.51081450293918</v>
      </c>
      <c r="AQ27" s="890">
        <f t="shared" si="9"/>
        <v>981.93497591319647</v>
      </c>
    </row>
    <row r="28" spans="1:43">
      <c r="A28" s="817"/>
      <c r="B28" s="860" t="s">
        <v>1602</v>
      </c>
      <c r="C28" s="883"/>
      <c r="D28" s="883">
        <f>HLOOKUP($B$2,'Consumption Input'!$E$5:$AQ$82,'Consumption Input'!$B19)</f>
        <v>2.3380000000000001</v>
      </c>
      <c r="E28" s="883">
        <f>HLOOKUP($B$2,'Consumption Input'!$E$5:$AQ$82,'Consumption Input'!$B33)</f>
        <v>0</v>
      </c>
      <c r="F28" s="883">
        <f>HLOOKUP($B$2,'Consumption Input'!$E$5:$AQ$82,'Consumption Input'!$B56)</f>
        <v>391.46100000000001</v>
      </c>
      <c r="G28" s="883">
        <f>HLOOKUP($B$2,'Consumption Input'!$E$5:$AQ$82,'Consumption Input'!$B61)</f>
        <v>52.695999999999998</v>
      </c>
      <c r="H28" s="883">
        <f>HLOOKUP($B$2,'US Territories'!$D$28:$AO$38,'US Territories'!$B37)</f>
        <v>63.017994070628198</v>
      </c>
      <c r="I28" s="883">
        <f t="shared" si="2"/>
        <v>509.51299407062822</v>
      </c>
      <c r="J28" s="884">
        <f>HLOOKUP($B$2,IBFConsumption,'International Bunker Fuels'!$B$9,FALSE)</f>
        <v>293.98832453499995</v>
      </c>
      <c r="K28" s="883"/>
      <c r="L28" s="883"/>
      <c r="M28" s="883"/>
      <c r="N28" s="885">
        <f t="shared" si="32"/>
        <v>0</v>
      </c>
      <c r="O28" s="883">
        <f t="shared" si="32"/>
        <v>2.3380000000000001</v>
      </c>
      <c r="P28" s="883">
        <f t="shared" si="33"/>
        <v>0</v>
      </c>
      <c r="Q28" s="883">
        <f t="shared" si="34"/>
        <v>97.472675465000066</v>
      </c>
      <c r="R28" s="883">
        <f t="shared" si="35"/>
        <v>52.695999999999998</v>
      </c>
      <c r="S28" s="886">
        <f t="shared" si="36"/>
        <v>63.017994070628198</v>
      </c>
      <c r="T28" s="883">
        <f t="shared" si="4"/>
        <v>215.52466953562825</v>
      </c>
      <c r="U28" s="887">
        <f>Factors!D36</f>
        <v>20.48</v>
      </c>
      <c r="V28" s="885">
        <f t="shared" si="37"/>
        <v>0</v>
      </c>
      <c r="W28" s="883">
        <f t="shared" si="38"/>
        <v>4.7882240000000006E-2</v>
      </c>
      <c r="X28" s="883">
        <f t="shared" si="39"/>
        <v>0</v>
      </c>
      <c r="Y28" s="883">
        <f t="shared" si="40"/>
        <v>1.9962403935232014</v>
      </c>
      <c r="Z28" s="883">
        <f t="shared" si="41"/>
        <v>1.0792140800000001</v>
      </c>
      <c r="AA28" s="883">
        <f t="shared" si="42"/>
        <v>1.2906085185664655</v>
      </c>
      <c r="AB28" s="883">
        <f>SUM(V28:AA28)</f>
        <v>4.4139452320896666</v>
      </c>
      <c r="AC28" s="888">
        <f>Factors!E36</f>
        <v>1</v>
      </c>
      <c r="AD28" s="885">
        <f t="shared" si="43"/>
        <v>0</v>
      </c>
      <c r="AE28" s="883">
        <f t="shared" si="43"/>
        <v>4.7882240000000006E-2</v>
      </c>
      <c r="AF28" s="883">
        <f t="shared" si="43"/>
        <v>0</v>
      </c>
      <c r="AG28" s="883">
        <f t="shared" si="43"/>
        <v>1.9962403935232014</v>
      </c>
      <c r="AH28" s="883">
        <f t="shared" si="43"/>
        <v>1.0792140800000001</v>
      </c>
      <c r="AI28" s="883">
        <f t="shared" si="43"/>
        <v>1.2906085185664655</v>
      </c>
      <c r="AJ28" s="889">
        <f t="shared" si="7"/>
        <v>4.4139452320896666</v>
      </c>
      <c r="AK28" s="885">
        <f t="shared" si="26"/>
        <v>0</v>
      </c>
      <c r="AL28" s="883">
        <f t="shared" si="21"/>
        <v>0.17556821333333336</v>
      </c>
      <c r="AM28" s="883">
        <f t="shared" si="22"/>
        <v>0</v>
      </c>
      <c r="AN28" s="883">
        <f t="shared" si="23"/>
        <v>7.3195481095850718</v>
      </c>
      <c r="AO28" s="883">
        <f t="shared" si="24"/>
        <v>3.9571182933333335</v>
      </c>
      <c r="AP28" s="883">
        <f t="shared" si="25"/>
        <v>4.7322312347437068</v>
      </c>
      <c r="AQ28" s="890">
        <f t="shared" si="9"/>
        <v>16.184465850995444</v>
      </c>
    </row>
    <row r="29" spans="1:43">
      <c r="A29" s="817"/>
      <c r="B29" s="860" t="s">
        <v>1603</v>
      </c>
      <c r="C29" s="883"/>
      <c r="D29" s="883"/>
      <c r="E29" s="883"/>
      <c r="F29" s="883"/>
      <c r="G29" s="883"/>
      <c r="H29" s="883"/>
      <c r="I29" s="883"/>
      <c r="J29" s="884"/>
      <c r="K29" s="883"/>
      <c r="L29" s="883"/>
      <c r="M29" s="883"/>
      <c r="N29" s="885">
        <f t="shared" si="32"/>
        <v>0</v>
      </c>
      <c r="O29" s="883">
        <f t="shared" si="32"/>
        <v>0</v>
      </c>
      <c r="P29" s="883">
        <f t="shared" si="33"/>
        <v>0</v>
      </c>
      <c r="Q29" s="883">
        <f t="shared" si="34"/>
        <v>0</v>
      </c>
      <c r="R29" s="883">
        <f t="shared" si="35"/>
        <v>0</v>
      </c>
      <c r="S29" s="886">
        <f t="shared" si="36"/>
        <v>0</v>
      </c>
      <c r="T29" s="883">
        <f t="shared" si="4"/>
        <v>0</v>
      </c>
      <c r="U29" s="887"/>
      <c r="V29" s="885">
        <f t="shared" si="37"/>
        <v>0</v>
      </c>
      <c r="W29" s="883">
        <f t="shared" si="38"/>
        <v>0</v>
      </c>
      <c r="X29" s="883">
        <f t="shared" si="39"/>
        <v>0</v>
      </c>
      <c r="Y29" s="883">
        <f t="shared" si="40"/>
        <v>0</v>
      </c>
      <c r="Z29" s="883">
        <f t="shared" si="41"/>
        <v>0</v>
      </c>
      <c r="AA29" s="883">
        <f t="shared" si="42"/>
        <v>0</v>
      </c>
      <c r="AB29" s="883">
        <f t="shared" si="19"/>
        <v>0</v>
      </c>
      <c r="AC29" s="888"/>
      <c r="AD29" s="885">
        <f t="shared" si="43"/>
        <v>0</v>
      </c>
      <c r="AE29" s="883">
        <f t="shared" si="43"/>
        <v>0</v>
      </c>
      <c r="AF29" s="883">
        <f t="shared" si="43"/>
        <v>0</v>
      </c>
      <c r="AG29" s="883">
        <f t="shared" si="43"/>
        <v>0</v>
      </c>
      <c r="AH29" s="883">
        <f t="shared" si="43"/>
        <v>0</v>
      </c>
      <c r="AI29" s="883">
        <f t="shared" si="43"/>
        <v>0</v>
      </c>
      <c r="AJ29" s="889">
        <f t="shared" si="7"/>
        <v>0</v>
      </c>
      <c r="AK29" s="885">
        <f t="shared" si="26"/>
        <v>0</v>
      </c>
      <c r="AL29" s="883">
        <f t="shared" si="21"/>
        <v>0</v>
      </c>
      <c r="AM29" s="883">
        <f t="shared" si="22"/>
        <v>0</v>
      </c>
      <c r="AN29" s="883">
        <f t="shared" si="23"/>
        <v>0</v>
      </c>
      <c r="AO29" s="883">
        <f t="shared" si="24"/>
        <v>0</v>
      </c>
      <c r="AP29" s="883">
        <f t="shared" si="25"/>
        <v>0</v>
      </c>
      <c r="AQ29" s="890">
        <f t="shared" si="9"/>
        <v>0</v>
      </c>
    </row>
    <row r="30" spans="1:43">
      <c r="A30" s="817"/>
      <c r="B30" s="865" t="s">
        <v>1611</v>
      </c>
      <c r="C30" s="883"/>
      <c r="D30" s="883"/>
      <c r="E30" s="883">
        <f>HLOOKUP($B$2,'Consumption Input'!$E$5:$AQ$82,'Consumption Input'!$B35)</f>
        <v>-0.78748799999999985</v>
      </c>
      <c r="F30" s="883"/>
      <c r="G30" s="883"/>
      <c r="H30" s="883"/>
      <c r="I30" s="883">
        <f t="shared" ref="I30:I41" si="44">SUM(C30:H30)</f>
        <v>-0.78748799999999985</v>
      </c>
      <c r="J30" s="884"/>
      <c r="K30" s="883"/>
      <c r="L30" s="883"/>
      <c r="M30" s="883"/>
      <c r="N30" s="885">
        <f t="shared" si="32"/>
        <v>0</v>
      </c>
      <c r="O30" s="883">
        <f t="shared" si="32"/>
        <v>0</v>
      </c>
      <c r="P30" s="883">
        <f t="shared" si="33"/>
        <v>-0.78748799999999985</v>
      </c>
      <c r="Q30" s="883">
        <f t="shared" si="34"/>
        <v>0</v>
      </c>
      <c r="R30" s="883">
        <f t="shared" si="35"/>
        <v>0</v>
      </c>
      <c r="S30" s="886">
        <f t="shared" si="36"/>
        <v>0</v>
      </c>
      <c r="T30" s="883">
        <f t="shared" si="4"/>
        <v>-0.78748799999999985</v>
      </c>
      <c r="U30" s="887">
        <f>Factors!D39</f>
        <v>18.87</v>
      </c>
      <c r="V30" s="885">
        <f t="shared" si="37"/>
        <v>0</v>
      </c>
      <c r="W30" s="883">
        <f t="shared" si="38"/>
        <v>0</v>
      </c>
      <c r="X30" s="883">
        <f t="shared" si="39"/>
        <v>-1.4859898559999998E-2</v>
      </c>
      <c r="Y30" s="883">
        <f t="shared" si="40"/>
        <v>0</v>
      </c>
      <c r="Z30" s="883">
        <f t="shared" si="41"/>
        <v>0</v>
      </c>
      <c r="AA30" s="883">
        <f t="shared" si="42"/>
        <v>0</v>
      </c>
      <c r="AB30" s="883">
        <f t="shared" si="19"/>
        <v>-1.4859898559999998E-2</v>
      </c>
      <c r="AC30" s="888">
        <f>Factors!E39</f>
        <v>1</v>
      </c>
      <c r="AD30" s="885">
        <f t="shared" si="43"/>
        <v>0</v>
      </c>
      <c r="AE30" s="883">
        <f t="shared" si="43"/>
        <v>0</v>
      </c>
      <c r="AF30" s="883">
        <f t="shared" si="43"/>
        <v>-1.4859898559999998E-2</v>
      </c>
      <c r="AG30" s="883">
        <f t="shared" si="43"/>
        <v>0</v>
      </c>
      <c r="AH30" s="883">
        <f t="shared" si="43"/>
        <v>0</v>
      </c>
      <c r="AI30" s="883">
        <f t="shared" si="43"/>
        <v>0</v>
      </c>
      <c r="AJ30" s="889">
        <f t="shared" si="7"/>
        <v>-1.4859898559999998E-2</v>
      </c>
      <c r="AK30" s="885">
        <f t="shared" si="26"/>
        <v>0</v>
      </c>
      <c r="AL30" s="883">
        <f t="shared" si="21"/>
        <v>0</v>
      </c>
      <c r="AM30" s="883">
        <f t="shared" si="22"/>
        <v>-5.4486294719999988E-2</v>
      </c>
      <c r="AN30" s="883">
        <f t="shared" si="23"/>
        <v>0</v>
      </c>
      <c r="AO30" s="883">
        <f t="shared" si="24"/>
        <v>0</v>
      </c>
      <c r="AP30" s="883">
        <f t="shared" si="25"/>
        <v>0</v>
      </c>
      <c r="AQ30" s="890">
        <f t="shared" si="9"/>
        <v>-5.4486294719999988E-2</v>
      </c>
    </row>
    <row r="31" spans="1:43">
      <c r="A31" s="817"/>
      <c r="B31" s="865" t="s">
        <v>1612</v>
      </c>
      <c r="C31" s="883"/>
      <c r="D31" s="883"/>
      <c r="E31" s="883">
        <f>HLOOKUP($B$2,'Consumption Input'!$E$5:$AQ$82,'Consumption Input'!$B36)</f>
        <v>0</v>
      </c>
      <c r="F31" s="883"/>
      <c r="G31" s="883"/>
      <c r="H31" s="883"/>
      <c r="I31" s="883">
        <f t="shared" si="44"/>
        <v>0</v>
      </c>
      <c r="J31" s="884"/>
      <c r="K31" s="883"/>
      <c r="L31" s="883"/>
      <c r="M31" s="883"/>
      <c r="N31" s="885">
        <f t="shared" si="32"/>
        <v>0</v>
      </c>
      <c r="O31" s="883">
        <f t="shared" si="32"/>
        <v>0</v>
      </c>
      <c r="P31" s="883">
        <f t="shared" si="33"/>
        <v>0</v>
      </c>
      <c r="Q31" s="883">
        <f t="shared" si="34"/>
        <v>0</v>
      </c>
      <c r="R31" s="883">
        <f t="shared" si="35"/>
        <v>0</v>
      </c>
      <c r="S31" s="886">
        <f t="shared" si="36"/>
        <v>0</v>
      </c>
      <c r="T31" s="883">
        <f t="shared" si="4"/>
        <v>0</v>
      </c>
      <c r="U31" s="887">
        <f>HLOOKUP($B$2,Factors!$J$12:$BE$25,Factors!$H25,FALSE)</f>
        <v>20.305515594827586</v>
      </c>
      <c r="V31" s="885">
        <f t="shared" si="37"/>
        <v>0</v>
      </c>
      <c r="W31" s="883">
        <f t="shared" si="38"/>
        <v>0</v>
      </c>
      <c r="X31" s="883">
        <f t="shared" si="39"/>
        <v>0</v>
      </c>
      <c r="Y31" s="883">
        <f t="shared" si="40"/>
        <v>0</v>
      </c>
      <c r="Z31" s="883">
        <f t="shared" si="41"/>
        <v>0</v>
      </c>
      <c r="AA31" s="883">
        <f t="shared" si="42"/>
        <v>0</v>
      </c>
      <c r="AB31" s="883">
        <f t="shared" si="19"/>
        <v>0</v>
      </c>
      <c r="AC31" s="888">
        <f>Factors!E40</f>
        <v>1</v>
      </c>
      <c r="AD31" s="885">
        <f t="shared" si="43"/>
        <v>0</v>
      </c>
      <c r="AE31" s="883">
        <f t="shared" si="43"/>
        <v>0</v>
      </c>
      <c r="AF31" s="883">
        <f t="shared" si="43"/>
        <v>0</v>
      </c>
      <c r="AG31" s="883">
        <f t="shared" si="43"/>
        <v>0</v>
      </c>
      <c r="AH31" s="883">
        <f t="shared" si="43"/>
        <v>0</v>
      </c>
      <c r="AI31" s="883">
        <f t="shared" si="43"/>
        <v>0</v>
      </c>
      <c r="AJ31" s="889">
        <f t="shared" si="7"/>
        <v>0</v>
      </c>
      <c r="AK31" s="885">
        <f t="shared" si="26"/>
        <v>0</v>
      </c>
      <c r="AL31" s="883">
        <f t="shared" si="21"/>
        <v>0</v>
      </c>
      <c r="AM31" s="883">
        <f t="shared" si="22"/>
        <v>0</v>
      </c>
      <c r="AN31" s="883">
        <f t="shared" si="23"/>
        <v>0</v>
      </c>
      <c r="AO31" s="883">
        <f t="shared" si="24"/>
        <v>0</v>
      </c>
      <c r="AP31" s="883">
        <f t="shared" si="25"/>
        <v>0</v>
      </c>
      <c r="AQ31" s="890">
        <f t="shared" si="9"/>
        <v>0</v>
      </c>
    </row>
    <row r="32" spans="1:43">
      <c r="A32" s="817"/>
      <c r="B32" s="865" t="s">
        <v>1613</v>
      </c>
      <c r="C32" s="883"/>
      <c r="D32" s="883"/>
      <c r="E32" s="883">
        <f>HLOOKUP($B$2,'Consumption Input'!$E$5:$AQ$82,'Consumption Input'!$B37)</f>
        <v>0</v>
      </c>
      <c r="F32" s="883"/>
      <c r="G32" s="883"/>
      <c r="H32" s="883"/>
      <c r="I32" s="883">
        <f t="shared" si="44"/>
        <v>0</v>
      </c>
      <c r="J32" s="884"/>
      <c r="K32" s="883"/>
      <c r="L32" s="883"/>
      <c r="M32" s="883"/>
      <c r="N32" s="885">
        <f t="shared" si="32"/>
        <v>0</v>
      </c>
      <c r="O32" s="883">
        <f t="shared" si="32"/>
        <v>0</v>
      </c>
      <c r="P32" s="883">
        <f t="shared" si="33"/>
        <v>0</v>
      </c>
      <c r="Q32" s="883">
        <f t="shared" si="34"/>
        <v>0</v>
      </c>
      <c r="R32" s="883">
        <f t="shared" si="35"/>
        <v>0</v>
      </c>
      <c r="S32" s="886">
        <f t="shared" si="36"/>
        <v>0</v>
      </c>
      <c r="T32" s="883">
        <f t="shared" si="4"/>
        <v>0</v>
      </c>
      <c r="U32" s="887">
        <f>HLOOKUP($B$2,Factors!$J$12:$BE$25,Factors!$H22,FALSE)</f>
        <v>19.456118437849259</v>
      </c>
      <c r="V32" s="885">
        <f t="shared" si="37"/>
        <v>0</v>
      </c>
      <c r="W32" s="883">
        <f t="shared" si="38"/>
        <v>0</v>
      </c>
      <c r="X32" s="883">
        <f t="shared" si="39"/>
        <v>0</v>
      </c>
      <c r="Y32" s="883">
        <f t="shared" si="40"/>
        <v>0</v>
      </c>
      <c r="Z32" s="883">
        <f t="shared" si="41"/>
        <v>0</v>
      </c>
      <c r="AA32" s="883">
        <f t="shared" si="42"/>
        <v>0</v>
      </c>
      <c r="AB32" s="883">
        <f t="shared" si="19"/>
        <v>0</v>
      </c>
      <c r="AC32" s="888">
        <f>Factors!E41</f>
        <v>1</v>
      </c>
      <c r="AD32" s="885">
        <f t="shared" si="43"/>
        <v>0</v>
      </c>
      <c r="AE32" s="883">
        <f t="shared" si="43"/>
        <v>0</v>
      </c>
      <c r="AF32" s="883">
        <f t="shared" si="43"/>
        <v>0</v>
      </c>
      <c r="AG32" s="883">
        <f t="shared" si="43"/>
        <v>0</v>
      </c>
      <c r="AH32" s="883">
        <f t="shared" si="43"/>
        <v>0</v>
      </c>
      <c r="AI32" s="883">
        <f t="shared" si="43"/>
        <v>0</v>
      </c>
      <c r="AJ32" s="889">
        <f t="shared" si="7"/>
        <v>0</v>
      </c>
      <c r="AK32" s="885">
        <f t="shared" si="26"/>
        <v>0</v>
      </c>
      <c r="AL32" s="883">
        <f t="shared" si="21"/>
        <v>0</v>
      </c>
      <c r="AM32" s="883">
        <f t="shared" si="22"/>
        <v>0</v>
      </c>
      <c r="AN32" s="883">
        <f t="shared" si="23"/>
        <v>0</v>
      </c>
      <c r="AO32" s="883">
        <f t="shared" si="24"/>
        <v>0</v>
      </c>
      <c r="AP32" s="883">
        <f t="shared" si="25"/>
        <v>0</v>
      </c>
      <c r="AQ32" s="890">
        <f t="shared" si="9"/>
        <v>0</v>
      </c>
    </row>
    <row r="33" spans="1:43">
      <c r="A33" s="817"/>
      <c r="B33" s="865" t="s">
        <v>1739</v>
      </c>
      <c r="C33" s="883"/>
      <c r="D33" s="883"/>
      <c r="E33" s="883">
        <f>HLOOKUP($B$2,'Consumption Input'!$E$5:$AQ$82,'Consumption Input'!$B38)</f>
        <v>170.665492032</v>
      </c>
      <c r="F33" s="883"/>
      <c r="G33" s="883"/>
      <c r="H33" s="883">
        <f>HLOOKUP($B$2,'US Territories'!$D$28:$AO$38,'US Territories'!$B38)</f>
        <v>3.6225494999999998E-3</v>
      </c>
      <c r="I33" s="883">
        <f t="shared" si="44"/>
        <v>170.6691145815</v>
      </c>
      <c r="J33" s="884"/>
      <c r="K33" s="883">
        <f>HLOOKUP($B$2,NEUConsumption,'Non-Energy Use'!C22)</f>
        <v>170.665492032</v>
      </c>
      <c r="L33" s="883"/>
      <c r="M33" s="883">
        <f>HLOOKUP($B$2,NEUConsumption,'Non-Energy Use'!$C$27)</f>
        <v>3.6225494999999998E-3</v>
      </c>
      <c r="N33" s="885">
        <f t="shared" si="32"/>
        <v>0</v>
      </c>
      <c r="O33" s="883">
        <f t="shared" si="32"/>
        <v>0</v>
      </c>
      <c r="P33" s="883">
        <f t="shared" si="33"/>
        <v>0</v>
      </c>
      <c r="Q33" s="883">
        <f t="shared" si="34"/>
        <v>0</v>
      </c>
      <c r="R33" s="883">
        <f t="shared" si="35"/>
        <v>0</v>
      </c>
      <c r="S33" s="886">
        <f t="shared" si="36"/>
        <v>0</v>
      </c>
      <c r="T33" s="883">
        <f t="shared" si="4"/>
        <v>0</v>
      </c>
      <c r="U33" s="887">
        <f>HLOOKUP($B$2,Factors!$J$12:$BE$25,Factors!$H23,FALSE)</f>
        <v>0</v>
      </c>
      <c r="V33" s="885">
        <f t="shared" si="37"/>
        <v>0</v>
      </c>
      <c r="W33" s="883">
        <f t="shared" si="38"/>
        <v>0</v>
      </c>
      <c r="X33" s="883">
        <f t="shared" si="39"/>
        <v>0</v>
      </c>
      <c r="Y33" s="883">
        <f t="shared" si="40"/>
        <v>0</v>
      </c>
      <c r="Z33" s="883">
        <f t="shared" si="41"/>
        <v>0</v>
      </c>
      <c r="AA33" s="883">
        <f t="shared" si="42"/>
        <v>0</v>
      </c>
      <c r="AB33" s="883">
        <f t="shared" si="19"/>
        <v>0</v>
      </c>
      <c r="AC33" s="888">
        <f>Factors!E42</f>
        <v>1</v>
      </c>
      <c r="AD33" s="885">
        <f t="shared" si="43"/>
        <v>0</v>
      </c>
      <c r="AE33" s="883">
        <f t="shared" si="43"/>
        <v>0</v>
      </c>
      <c r="AF33" s="883">
        <f t="shared" si="43"/>
        <v>0</v>
      </c>
      <c r="AG33" s="883">
        <f t="shared" si="43"/>
        <v>0</v>
      </c>
      <c r="AH33" s="883">
        <f t="shared" si="43"/>
        <v>0</v>
      </c>
      <c r="AI33" s="883">
        <f t="shared" si="43"/>
        <v>0</v>
      </c>
      <c r="AJ33" s="889">
        <f t="shared" si="7"/>
        <v>0</v>
      </c>
      <c r="AK33" s="885">
        <f t="shared" si="26"/>
        <v>0</v>
      </c>
      <c r="AL33" s="883">
        <f t="shared" si="21"/>
        <v>0</v>
      </c>
      <c r="AM33" s="883">
        <f t="shared" si="22"/>
        <v>0</v>
      </c>
      <c r="AN33" s="883">
        <f t="shared" si="23"/>
        <v>0</v>
      </c>
      <c r="AO33" s="883">
        <f t="shared" si="24"/>
        <v>0</v>
      </c>
      <c r="AP33" s="883">
        <f t="shared" si="25"/>
        <v>0</v>
      </c>
      <c r="AQ33" s="890">
        <f t="shared" si="9"/>
        <v>0</v>
      </c>
    </row>
    <row r="34" spans="1:43">
      <c r="A34" s="817"/>
      <c r="B34" s="865" t="s">
        <v>1615</v>
      </c>
      <c r="C34" s="883"/>
      <c r="D34" s="883"/>
      <c r="E34" s="883">
        <f>HLOOKUP($B$2,'Consumption Input'!$E$5:$AQ$82,'Consumption Input'!$B39)</f>
        <v>354.60736000000003</v>
      </c>
      <c r="F34" s="883"/>
      <c r="G34" s="883"/>
      <c r="H34" s="883"/>
      <c r="I34" s="883">
        <f t="shared" si="44"/>
        <v>354.60736000000003</v>
      </c>
      <c r="J34" s="884"/>
      <c r="K34" s="883">
        <f>HLOOKUP($B$2,NEUConsumption,'Non-Energy Use'!C14)</f>
        <v>354.60736000000003</v>
      </c>
      <c r="L34" s="883"/>
      <c r="M34" s="883"/>
      <c r="N34" s="885">
        <f t="shared" si="32"/>
        <v>0</v>
      </c>
      <c r="O34" s="883">
        <f t="shared" si="32"/>
        <v>0</v>
      </c>
      <c r="P34" s="883">
        <f t="shared" si="33"/>
        <v>0</v>
      </c>
      <c r="Q34" s="883">
        <f t="shared" si="34"/>
        <v>0</v>
      </c>
      <c r="R34" s="883">
        <f t="shared" si="35"/>
        <v>0</v>
      </c>
      <c r="S34" s="886">
        <f t="shared" si="36"/>
        <v>0</v>
      </c>
      <c r="T34" s="883">
        <f t="shared" si="4"/>
        <v>0</v>
      </c>
      <c r="U34" s="887">
        <f>Factors!D44</f>
        <v>18.550649350649344</v>
      </c>
      <c r="V34" s="885">
        <f t="shared" si="37"/>
        <v>0</v>
      </c>
      <c r="W34" s="883">
        <f t="shared" si="38"/>
        <v>0</v>
      </c>
      <c r="X34" s="883">
        <f t="shared" si="39"/>
        <v>0</v>
      </c>
      <c r="Y34" s="883">
        <f t="shared" si="40"/>
        <v>0</v>
      </c>
      <c r="Z34" s="883">
        <f t="shared" si="41"/>
        <v>0</v>
      </c>
      <c r="AA34" s="883">
        <f t="shared" si="42"/>
        <v>0</v>
      </c>
      <c r="AB34" s="883">
        <f t="shared" si="19"/>
        <v>0</v>
      </c>
      <c r="AC34" s="888">
        <f>Factors!E44</f>
        <v>1</v>
      </c>
      <c r="AD34" s="885">
        <f t="shared" si="43"/>
        <v>0</v>
      </c>
      <c r="AE34" s="883">
        <f t="shared" si="43"/>
        <v>0</v>
      </c>
      <c r="AF34" s="883">
        <f t="shared" si="43"/>
        <v>0</v>
      </c>
      <c r="AG34" s="883">
        <f t="shared" si="43"/>
        <v>0</v>
      </c>
      <c r="AH34" s="883">
        <f t="shared" si="43"/>
        <v>0</v>
      </c>
      <c r="AI34" s="883">
        <f t="shared" si="43"/>
        <v>0</v>
      </c>
      <c r="AJ34" s="889">
        <f t="shared" si="7"/>
        <v>0</v>
      </c>
      <c r="AK34" s="885">
        <f t="shared" si="26"/>
        <v>0</v>
      </c>
      <c r="AL34" s="883">
        <f t="shared" si="21"/>
        <v>0</v>
      </c>
      <c r="AM34" s="883">
        <f t="shared" si="22"/>
        <v>0</v>
      </c>
      <c r="AN34" s="883">
        <f t="shared" si="23"/>
        <v>0</v>
      </c>
      <c r="AO34" s="883">
        <f t="shared" si="24"/>
        <v>0</v>
      </c>
      <c r="AP34" s="883">
        <f t="shared" si="25"/>
        <v>0</v>
      </c>
      <c r="AQ34" s="890">
        <f t="shared" si="9"/>
        <v>0</v>
      </c>
    </row>
    <row r="35" spans="1:43">
      <c r="A35" s="817"/>
      <c r="B35" s="865" t="s">
        <v>1616</v>
      </c>
      <c r="C35" s="883"/>
      <c r="D35" s="883"/>
      <c r="E35" s="883">
        <f>HLOOKUP($B$2,'Consumption Input'!$E$5:$AQ$82,'Consumption Input'!$B40)</f>
        <v>217.01037500000001</v>
      </c>
      <c r="F35" s="883"/>
      <c r="G35" s="883"/>
      <c r="H35" s="883"/>
      <c r="I35" s="883">
        <f t="shared" si="44"/>
        <v>217.01037500000001</v>
      </c>
      <c r="J35" s="884"/>
      <c r="K35" s="883">
        <f>HLOOKUP($B$2,NEUConsumption,'Non-Energy Use'!$C$15)</f>
        <v>217.01037500000001</v>
      </c>
      <c r="L35" s="883"/>
      <c r="M35" s="883"/>
      <c r="N35" s="885">
        <f t="shared" si="32"/>
        <v>0</v>
      </c>
      <c r="O35" s="883">
        <f t="shared" si="32"/>
        <v>0</v>
      </c>
      <c r="P35" s="883">
        <f t="shared" si="33"/>
        <v>0</v>
      </c>
      <c r="Q35" s="883">
        <f t="shared" si="34"/>
        <v>0</v>
      </c>
      <c r="R35" s="883">
        <f t="shared" si="35"/>
        <v>0</v>
      </c>
      <c r="S35" s="886">
        <f t="shared" si="36"/>
        <v>0</v>
      </c>
      <c r="T35" s="883">
        <f t="shared" si="4"/>
        <v>0</v>
      </c>
      <c r="U35" s="887">
        <f>Factors!D45</f>
        <v>20.170000000000002</v>
      </c>
      <c r="V35" s="885">
        <f t="shared" si="37"/>
        <v>0</v>
      </c>
      <c r="W35" s="883">
        <f t="shared" si="38"/>
        <v>0</v>
      </c>
      <c r="X35" s="883">
        <f t="shared" si="39"/>
        <v>0</v>
      </c>
      <c r="Y35" s="883">
        <f t="shared" si="40"/>
        <v>0</v>
      </c>
      <c r="Z35" s="883">
        <f t="shared" si="41"/>
        <v>0</v>
      </c>
      <c r="AA35" s="883">
        <f t="shared" si="42"/>
        <v>0</v>
      </c>
      <c r="AB35" s="883">
        <f t="shared" si="19"/>
        <v>0</v>
      </c>
      <c r="AC35" s="888">
        <f>Factors!E45</f>
        <v>1</v>
      </c>
      <c r="AD35" s="885">
        <f t="shared" si="43"/>
        <v>0</v>
      </c>
      <c r="AE35" s="883">
        <f t="shared" si="43"/>
        <v>0</v>
      </c>
      <c r="AF35" s="883">
        <f t="shared" si="43"/>
        <v>0</v>
      </c>
      <c r="AG35" s="883">
        <f t="shared" si="43"/>
        <v>0</v>
      </c>
      <c r="AH35" s="883">
        <f t="shared" si="43"/>
        <v>0</v>
      </c>
      <c r="AI35" s="883">
        <f t="shared" si="43"/>
        <v>0</v>
      </c>
      <c r="AJ35" s="889">
        <f t="shared" si="7"/>
        <v>0</v>
      </c>
      <c r="AK35" s="885">
        <f t="shared" si="26"/>
        <v>0</v>
      </c>
      <c r="AL35" s="883">
        <f t="shared" si="21"/>
        <v>0</v>
      </c>
      <c r="AM35" s="883">
        <f t="shared" si="22"/>
        <v>0</v>
      </c>
      <c r="AN35" s="883">
        <f t="shared" si="23"/>
        <v>0</v>
      </c>
      <c r="AO35" s="883">
        <f t="shared" si="24"/>
        <v>0</v>
      </c>
      <c r="AP35" s="883">
        <f t="shared" si="25"/>
        <v>0</v>
      </c>
      <c r="AQ35" s="890">
        <f t="shared" si="9"/>
        <v>0</v>
      </c>
    </row>
    <row r="36" spans="1:43">
      <c r="A36" s="817"/>
      <c r="B36" s="865" t="s">
        <v>1617</v>
      </c>
      <c r="C36" s="883"/>
      <c r="D36" s="883"/>
      <c r="E36" s="883">
        <f>HLOOKUP($B$2,'Consumption Input'!$E$5:$AQ$82,'Consumption Input'!$B41)</f>
        <v>0</v>
      </c>
      <c r="F36" s="883"/>
      <c r="G36" s="883"/>
      <c r="H36" s="883"/>
      <c r="I36" s="883">
        <f t="shared" si="44"/>
        <v>0</v>
      </c>
      <c r="J36" s="884"/>
      <c r="K36" s="883">
        <f>HLOOKUP($B$2,NEUConsumption,'Non-Energy Use'!$C$13)</f>
        <v>0</v>
      </c>
      <c r="L36" s="883"/>
      <c r="M36" s="883"/>
      <c r="N36" s="885">
        <f t="shared" si="32"/>
        <v>0</v>
      </c>
      <c r="O36" s="883">
        <f t="shared" si="32"/>
        <v>0</v>
      </c>
      <c r="P36" s="883">
        <f t="shared" si="33"/>
        <v>0</v>
      </c>
      <c r="Q36" s="883">
        <f t="shared" si="34"/>
        <v>0</v>
      </c>
      <c r="R36" s="883">
        <f t="shared" si="35"/>
        <v>0</v>
      </c>
      <c r="S36" s="886">
        <f t="shared" si="36"/>
        <v>0</v>
      </c>
      <c r="T36" s="883">
        <f t="shared" si="4"/>
        <v>0</v>
      </c>
      <c r="U36" s="887">
        <f>Factors!D46</f>
        <v>18.239999999999998</v>
      </c>
      <c r="V36" s="885">
        <f t="shared" si="37"/>
        <v>0</v>
      </c>
      <c r="W36" s="883">
        <f t="shared" si="38"/>
        <v>0</v>
      </c>
      <c r="X36" s="883">
        <f t="shared" si="39"/>
        <v>0</v>
      </c>
      <c r="Y36" s="883">
        <f t="shared" si="40"/>
        <v>0</v>
      </c>
      <c r="Z36" s="883">
        <f t="shared" si="41"/>
        <v>0</v>
      </c>
      <c r="AA36" s="883">
        <f t="shared" si="42"/>
        <v>0</v>
      </c>
      <c r="AB36" s="883">
        <f t="shared" si="19"/>
        <v>0</v>
      </c>
      <c r="AC36" s="888">
        <f>Factors!E46</f>
        <v>1</v>
      </c>
      <c r="AD36" s="885">
        <f t="shared" ref="AD36:AI42" si="45">V36*$AC36</f>
        <v>0</v>
      </c>
      <c r="AE36" s="883">
        <f t="shared" si="45"/>
        <v>0</v>
      </c>
      <c r="AF36" s="883">
        <f t="shared" si="45"/>
        <v>0</v>
      </c>
      <c r="AG36" s="883">
        <f t="shared" si="45"/>
        <v>0</v>
      </c>
      <c r="AH36" s="883">
        <f t="shared" si="45"/>
        <v>0</v>
      </c>
      <c r="AI36" s="883">
        <f t="shared" si="45"/>
        <v>0</v>
      </c>
      <c r="AJ36" s="889">
        <f t="shared" si="7"/>
        <v>0</v>
      </c>
      <c r="AK36" s="885">
        <f t="shared" si="26"/>
        <v>0</v>
      </c>
      <c r="AL36" s="883">
        <f t="shared" si="21"/>
        <v>0</v>
      </c>
      <c r="AM36" s="883">
        <f t="shared" si="22"/>
        <v>0</v>
      </c>
      <c r="AN36" s="883">
        <f t="shared" si="23"/>
        <v>0</v>
      </c>
      <c r="AO36" s="883">
        <f t="shared" si="24"/>
        <v>0</v>
      </c>
      <c r="AP36" s="883">
        <f t="shared" si="25"/>
        <v>0</v>
      </c>
      <c r="AQ36" s="890">
        <f t="shared" si="9"/>
        <v>0</v>
      </c>
    </row>
    <row r="37" spans="1:43">
      <c r="A37" s="817"/>
      <c r="B37" s="865" t="s">
        <v>1604</v>
      </c>
      <c r="C37" s="883"/>
      <c r="D37" s="883">
        <f>HLOOKUP($B$2,'Consumption Input'!$E$5:$AQ$82,'Consumption Input'!$B21)</f>
        <v>0.112</v>
      </c>
      <c r="E37" s="883">
        <f>HLOOKUP($B$2,'Consumption Input'!$E$5:$AQ$82,'Consumption Input'!$B42)</f>
        <v>495.16800000000001</v>
      </c>
      <c r="F37" s="883"/>
      <c r="G37" s="883">
        <f>HLOOKUP($B$2,'Consumption Input'!$E$5:$AQ$82,'Consumption Input'!$B63)</f>
        <v>87.427000000000007</v>
      </c>
      <c r="H37" s="883"/>
      <c r="I37" s="883">
        <f t="shared" si="44"/>
        <v>582.70699999999999</v>
      </c>
      <c r="J37" s="884"/>
      <c r="K37" s="883">
        <f>HLOOKUP($B$2,NEUConsumption,'Non-Energy Use'!$C$17)</f>
        <v>46.243725640923849</v>
      </c>
      <c r="L37" s="883"/>
      <c r="M37" s="883"/>
      <c r="N37" s="885">
        <f t="shared" si="32"/>
        <v>0</v>
      </c>
      <c r="O37" s="883">
        <f t="shared" si="32"/>
        <v>0.112</v>
      </c>
      <c r="P37" s="883">
        <f t="shared" si="33"/>
        <v>448.92427435907615</v>
      </c>
      <c r="Q37" s="883">
        <f t="shared" si="34"/>
        <v>0</v>
      </c>
      <c r="R37" s="883">
        <f t="shared" si="35"/>
        <v>87.427000000000007</v>
      </c>
      <c r="S37" s="886">
        <f t="shared" si="36"/>
        <v>0</v>
      </c>
      <c r="T37" s="883">
        <f t="shared" si="4"/>
        <v>536.46327435907619</v>
      </c>
      <c r="U37" s="887">
        <f>Factors!D48</f>
        <v>27.84770010865628</v>
      </c>
      <c r="V37" s="885">
        <f t="shared" si="37"/>
        <v>0</v>
      </c>
      <c r="W37" s="883">
        <f t="shared" si="38"/>
        <v>3.1189424121695034E-3</v>
      </c>
      <c r="X37" s="883">
        <f t="shared" si="39"/>
        <v>12.501508563847686</v>
      </c>
      <c r="Y37" s="883">
        <f t="shared" si="40"/>
        <v>0</v>
      </c>
      <c r="Z37" s="883">
        <f t="shared" si="41"/>
        <v>2.4346408773994925</v>
      </c>
      <c r="AA37" s="883">
        <f t="shared" si="42"/>
        <v>0</v>
      </c>
      <c r="AB37" s="883">
        <f t="shared" si="19"/>
        <v>14.93926838365935</v>
      </c>
      <c r="AC37" s="888">
        <f>Factors!E48</f>
        <v>1</v>
      </c>
      <c r="AD37" s="885">
        <f t="shared" si="45"/>
        <v>0</v>
      </c>
      <c r="AE37" s="883">
        <f t="shared" si="45"/>
        <v>3.1189424121695034E-3</v>
      </c>
      <c r="AF37" s="883">
        <f t="shared" si="45"/>
        <v>12.501508563847686</v>
      </c>
      <c r="AG37" s="883">
        <f t="shared" si="45"/>
        <v>0</v>
      </c>
      <c r="AH37" s="883">
        <f t="shared" si="45"/>
        <v>2.4346408773994925</v>
      </c>
      <c r="AI37" s="883">
        <f t="shared" si="45"/>
        <v>0</v>
      </c>
      <c r="AJ37" s="889">
        <f t="shared" si="7"/>
        <v>14.93926838365935</v>
      </c>
      <c r="AK37" s="885">
        <f t="shared" si="26"/>
        <v>0</v>
      </c>
      <c r="AL37" s="883">
        <f t="shared" si="21"/>
        <v>1.1436122177954845E-2</v>
      </c>
      <c r="AM37" s="883">
        <f t="shared" si="22"/>
        <v>45.838864734108178</v>
      </c>
      <c r="AN37" s="883">
        <f t="shared" si="23"/>
        <v>0</v>
      </c>
      <c r="AO37" s="883">
        <f t="shared" si="24"/>
        <v>8.9270165504648062</v>
      </c>
      <c r="AP37" s="883">
        <f t="shared" si="25"/>
        <v>0</v>
      </c>
      <c r="AQ37" s="890">
        <f t="shared" si="9"/>
        <v>54.777317406750939</v>
      </c>
    </row>
    <row r="38" spans="1:43">
      <c r="A38" s="817"/>
      <c r="B38" s="865" t="s">
        <v>1618</v>
      </c>
      <c r="C38" s="883"/>
      <c r="D38" s="883"/>
      <c r="E38" s="883">
        <f>HLOOKUP($B$2,'Consumption Input'!$E$5:$AQ$82,'Consumption Input'!$B43)</f>
        <v>1404.786141</v>
      </c>
      <c r="F38" s="883"/>
      <c r="G38" s="883"/>
      <c r="H38" s="883"/>
      <c r="I38" s="883">
        <f t="shared" si="44"/>
        <v>1404.786141</v>
      </c>
      <c r="J38" s="884"/>
      <c r="K38" s="883">
        <f>HLOOKUP($B$2,NEUConsumption,'Non-Energy Use'!$C$16)</f>
        <v>145.41697993710437</v>
      </c>
      <c r="L38" s="883"/>
      <c r="M38" s="883"/>
      <c r="N38" s="885">
        <f t="shared" si="32"/>
        <v>0</v>
      </c>
      <c r="O38" s="883">
        <f t="shared" si="32"/>
        <v>0</v>
      </c>
      <c r="P38" s="883">
        <f t="shared" si="33"/>
        <v>1259.3691610628957</v>
      </c>
      <c r="Q38" s="883">
        <f t="shared" si="34"/>
        <v>0</v>
      </c>
      <c r="R38" s="883">
        <f t="shared" si="35"/>
        <v>0</v>
      </c>
      <c r="S38" s="886">
        <f t="shared" si="36"/>
        <v>0</v>
      </c>
      <c r="T38" s="883">
        <f t="shared" si="4"/>
        <v>1259.3691610628957</v>
      </c>
      <c r="U38" s="887">
        <f>Factors!D51</f>
        <v>18.195454545454545</v>
      </c>
      <c r="V38" s="885">
        <f t="shared" si="37"/>
        <v>0</v>
      </c>
      <c r="W38" s="883">
        <f t="shared" si="38"/>
        <v>0</v>
      </c>
      <c r="X38" s="883">
        <f t="shared" si="39"/>
        <v>22.914794326067142</v>
      </c>
      <c r="Y38" s="883">
        <f t="shared" si="40"/>
        <v>0</v>
      </c>
      <c r="Z38" s="883">
        <f t="shared" si="41"/>
        <v>0</v>
      </c>
      <c r="AA38" s="883">
        <f t="shared" si="42"/>
        <v>0</v>
      </c>
      <c r="AB38" s="883">
        <f t="shared" si="19"/>
        <v>22.914794326067142</v>
      </c>
      <c r="AC38" s="888">
        <f>Factors!E51</f>
        <v>1</v>
      </c>
      <c r="AD38" s="885">
        <f t="shared" si="45"/>
        <v>0</v>
      </c>
      <c r="AE38" s="883">
        <f t="shared" si="45"/>
        <v>0</v>
      </c>
      <c r="AF38" s="883">
        <f t="shared" si="45"/>
        <v>22.914794326067142</v>
      </c>
      <c r="AG38" s="883">
        <f t="shared" si="45"/>
        <v>0</v>
      </c>
      <c r="AH38" s="883">
        <f t="shared" si="45"/>
        <v>0</v>
      </c>
      <c r="AI38" s="883">
        <f t="shared" si="45"/>
        <v>0</v>
      </c>
      <c r="AJ38" s="889">
        <f t="shared" si="7"/>
        <v>22.914794326067142</v>
      </c>
      <c r="AK38" s="885">
        <f t="shared" si="26"/>
        <v>0</v>
      </c>
      <c r="AL38" s="883">
        <f t="shared" si="21"/>
        <v>0</v>
      </c>
      <c r="AM38" s="883">
        <f t="shared" si="22"/>
        <v>84.020912528912845</v>
      </c>
      <c r="AN38" s="883">
        <f t="shared" si="23"/>
        <v>0</v>
      </c>
      <c r="AO38" s="883">
        <f t="shared" si="24"/>
        <v>0</v>
      </c>
      <c r="AP38" s="883">
        <f t="shared" si="25"/>
        <v>0</v>
      </c>
      <c r="AQ38" s="890">
        <f t="shared" si="9"/>
        <v>84.020912528912845</v>
      </c>
    </row>
    <row r="39" spans="1:43">
      <c r="A39" s="817"/>
      <c r="B39" s="865" t="s">
        <v>1619</v>
      </c>
      <c r="C39" s="883"/>
      <c r="D39" s="883"/>
      <c r="E39" s="883">
        <f>HLOOKUP($B$2,'Consumption Input'!$E$5:$AQ$82,'Consumption Input'!$B44)</f>
        <v>86.550015999999985</v>
      </c>
      <c r="F39" s="883"/>
      <c r="G39" s="883"/>
      <c r="H39" s="883"/>
      <c r="I39" s="883">
        <f t="shared" si="44"/>
        <v>86.550015999999985</v>
      </c>
      <c r="J39" s="884"/>
      <c r="K39" s="883">
        <f>HLOOKUP($B$2,NEUConsumption,'Non-Energy Use'!$C$18)</f>
        <v>86.550015999999985</v>
      </c>
      <c r="L39" s="883"/>
      <c r="M39" s="883"/>
      <c r="N39" s="885">
        <f t="shared" si="32"/>
        <v>0</v>
      </c>
      <c r="O39" s="883">
        <f t="shared" si="32"/>
        <v>0</v>
      </c>
      <c r="P39" s="883">
        <f t="shared" si="33"/>
        <v>0</v>
      </c>
      <c r="Q39" s="883">
        <f t="shared" si="34"/>
        <v>0</v>
      </c>
      <c r="R39" s="883">
        <f t="shared" si="35"/>
        <v>0</v>
      </c>
      <c r="S39" s="886">
        <f t="shared" si="36"/>
        <v>0</v>
      </c>
      <c r="T39" s="883">
        <f t="shared" si="4"/>
        <v>0</v>
      </c>
      <c r="U39" s="887">
        <f>Factors!D37</f>
        <v>19.737389135254986</v>
      </c>
      <c r="V39" s="885">
        <f t="shared" si="37"/>
        <v>0</v>
      </c>
      <c r="W39" s="883">
        <f t="shared" si="38"/>
        <v>0</v>
      </c>
      <c r="X39" s="883">
        <f t="shared" si="39"/>
        <v>0</v>
      </c>
      <c r="Y39" s="883">
        <f t="shared" si="40"/>
        <v>0</v>
      </c>
      <c r="Z39" s="883">
        <f t="shared" si="41"/>
        <v>0</v>
      </c>
      <c r="AA39" s="883">
        <f t="shared" si="42"/>
        <v>0</v>
      </c>
      <c r="AB39" s="883">
        <f t="shared" si="19"/>
        <v>0</v>
      </c>
      <c r="AC39" s="888">
        <f>Factors!E37</f>
        <v>1</v>
      </c>
      <c r="AD39" s="885">
        <f t="shared" si="45"/>
        <v>0</v>
      </c>
      <c r="AE39" s="883">
        <f t="shared" si="45"/>
        <v>0</v>
      </c>
      <c r="AF39" s="883">
        <f t="shared" si="45"/>
        <v>0</v>
      </c>
      <c r="AG39" s="883">
        <f t="shared" si="45"/>
        <v>0</v>
      </c>
      <c r="AH39" s="883">
        <f t="shared" si="45"/>
        <v>0</v>
      </c>
      <c r="AI39" s="883">
        <f t="shared" si="45"/>
        <v>0</v>
      </c>
      <c r="AJ39" s="889">
        <f t="shared" si="7"/>
        <v>0</v>
      </c>
      <c r="AK39" s="885">
        <f t="shared" si="26"/>
        <v>0</v>
      </c>
      <c r="AL39" s="883">
        <f t="shared" si="21"/>
        <v>0</v>
      </c>
      <c r="AM39" s="883">
        <f t="shared" si="22"/>
        <v>0</v>
      </c>
      <c r="AN39" s="883">
        <f t="shared" si="23"/>
        <v>0</v>
      </c>
      <c r="AO39" s="883">
        <f t="shared" si="24"/>
        <v>0</v>
      </c>
      <c r="AP39" s="883">
        <f t="shared" si="25"/>
        <v>0</v>
      </c>
      <c r="AQ39" s="890">
        <f t="shared" si="9"/>
        <v>0</v>
      </c>
    </row>
    <row r="40" spans="1:43">
      <c r="A40" s="817"/>
      <c r="B40" s="865" t="s">
        <v>1620</v>
      </c>
      <c r="C40" s="883"/>
      <c r="D40" s="883"/>
      <c r="E40" s="883">
        <f>HLOOKUP($B$2,'Consumption Input'!$E$5:$AQ$82,'Consumption Input'!$B45)</f>
        <v>0</v>
      </c>
      <c r="F40" s="883"/>
      <c r="G40" s="883"/>
      <c r="H40" s="883"/>
      <c r="I40" s="883">
        <f t="shared" si="44"/>
        <v>0</v>
      </c>
      <c r="J40" s="884"/>
      <c r="K40" s="883"/>
      <c r="L40" s="883"/>
      <c r="M40" s="883"/>
      <c r="N40" s="885">
        <f t="shared" si="32"/>
        <v>0</v>
      </c>
      <c r="O40" s="883">
        <f t="shared" si="32"/>
        <v>0</v>
      </c>
      <c r="P40" s="883">
        <f t="shared" si="33"/>
        <v>0</v>
      </c>
      <c r="Q40" s="883">
        <f t="shared" si="34"/>
        <v>0</v>
      </c>
      <c r="R40" s="883">
        <f t="shared" si="35"/>
        <v>0</v>
      </c>
      <c r="S40" s="886">
        <f t="shared" si="36"/>
        <v>0</v>
      </c>
      <c r="T40" s="883">
        <f t="shared" si="4"/>
        <v>0</v>
      </c>
      <c r="U40" s="887">
        <f>HLOOKUP($B$2,Factors!$J$12:$BE$25,Factors!$H24,FALSE)</f>
        <v>20.305515594827586</v>
      </c>
      <c r="V40" s="885">
        <f t="shared" si="37"/>
        <v>0</v>
      </c>
      <c r="W40" s="883">
        <f t="shared" si="38"/>
        <v>0</v>
      </c>
      <c r="X40" s="883">
        <f t="shared" si="39"/>
        <v>0</v>
      </c>
      <c r="Y40" s="883">
        <f t="shared" si="40"/>
        <v>0</v>
      </c>
      <c r="Z40" s="883">
        <f t="shared" si="41"/>
        <v>0</v>
      </c>
      <c r="AA40" s="883">
        <f t="shared" si="42"/>
        <v>0</v>
      </c>
      <c r="AB40" s="883">
        <f t="shared" si="19"/>
        <v>0</v>
      </c>
      <c r="AC40" s="888">
        <f>Factors!E53</f>
        <v>1</v>
      </c>
      <c r="AD40" s="885">
        <f t="shared" si="45"/>
        <v>0</v>
      </c>
      <c r="AE40" s="883">
        <f t="shared" si="45"/>
        <v>0</v>
      </c>
      <c r="AF40" s="883">
        <f t="shared" si="45"/>
        <v>0</v>
      </c>
      <c r="AG40" s="883">
        <f t="shared" si="45"/>
        <v>0</v>
      </c>
      <c r="AH40" s="883">
        <f t="shared" si="45"/>
        <v>0</v>
      </c>
      <c r="AI40" s="883">
        <f t="shared" si="45"/>
        <v>0</v>
      </c>
      <c r="AJ40" s="889">
        <f t="shared" si="7"/>
        <v>0</v>
      </c>
      <c r="AK40" s="885">
        <f t="shared" si="26"/>
        <v>0</v>
      </c>
      <c r="AL40" s="883">
        <f t="shared" si="21"/>
        <v>0</v>
      </c>
      <c r="AM40" s="883">
        <f t="shared" si="22"/>
        <v>0</v>
      </c>
      <c r="AN40" s="883">
        <f t="shared" si="23"/>
        <v>0</v>
      </c>
      <c r="AO40" s="883">
        <f t="shared" si="24"/>
        <v>0</v>
      </c>
      <c r="AP40" s="883">
        <f t="shared" si="25"/>
        <v>0</v>
      </c>
      <c r="AQ40" s="890">
        <f t="shared" si="9"/>
        <v>0</v>
      </c>
    </row>
    <row r="41" spans="1:43">
      <c r="A41" s="817"/>
      <c r="B41" s="865" t="s">
        <v>1621</v>
      </c>
      <c r="C41" s="883"/>
      <c r="D41" s="883"/>
      <c r="E41" s="883">
        <f>HLOOKUP($B$2,'Consumption Input'!$E$5:$AQ$82,'Consumption Input'!$B46)</f>
        <v>9.2053898509999996</v>
      </c>
      <c r="F41" s="883"/>
      <c r="G41" s="883"/>
      <c r="H41" s="883"/>
      <c r="I41" s="883">
        <f t="shared" si="44"/>
        <v>9.2053898509999996</v>
      </c>
      <c r="J41" s="884"/>
      <c r="K41" s="883">
        <f>HLOOKUP($B$2,NEUConsumption,'Non-Energy Use'!$C$21)</f>
        <v>9.2053898509999996</v>
      </c>
      <c r="L41" s="883"/>
      <c r="M41" s="883"/>
      <c r="N41" s="885">
        <f t="shared" si="32"/>
        <v>0</v>
      </c>
      <c r="O41" s="883">
        <f t="shared" si="32"/>
        <v>0</v>
      </c>
      <c r="P41" s="883">
        <f t="shared" si="33"/>
        <v>0</v>
      </c>
      <c r="Q41" s="883">
        <f t="shared" si="34"/>
        <v>0</v>
      </c>
      <c r="R41" s="883">
        <f t="shared" si="35"/>
        <v>0</v>
      </c>
      <c r="S41" s="886">
        <f t="shared" si="36"/>
        <v>0</v>
      </c>
      <c r="T41" s="883">
        <f t="shared" si="4"/>
        <v>0</v>
      </c>
      <c r="U41" s="887">
        <f>Factors!D55</f>
        <v>19.795754182606267</v>
      </c>
      <c r="V41" s="899">
        <f t="shared" si="37"/>
        <v>0</v>
      </c>
      <c r="W41" s="900">
        <f t="shared" si="38"/>
        <v>0</v>
      </c>
      <c r="X41" s="900">
        <f t="shared" si="39"/>
        <v>0</v>
      </c>
      <c r="Y41" s="900">
        <f t="shared" si="40"/>
        <v>0</v>
      </c>
      <c r="Z41" s="900">
        <f t="shared" si="41"/>
        <v>0</v>
      </c>
      <c r="AA41" s="900">
        <f t="shared" si="42"/>
        <v>0</v>
      </c>
      <c r="AB41" s="883">
        <f t="shared" si="19"/>
        <v>0</v>
      </c>
      <c r="AC41" s="888">
        <f>Factors!E55</f>
        <v>1</v>
      </c>
      <c r="AD41" s="885">
        <f t="shared" si="45"/>
        <v>0</v>
      </c>
      <c r="AE41" s="883">
        <f t="shared" si="45"/>
        <v>0</v>
      </c>
      <c r="AF41" s="883">
        <f t="shared" si="45"/>
        <v>0</v>
      </c>
      <c r="AG41" s="883">
        <f t="shared" si="45"/>
        <v>0</v>
      </c>
      <c r="AH41" s="883">
        <f t="shared" si="45"/>
        <v>0</v>
      </c>
      <c r="AI41" s="883">
        <f t="shared" si="45"/>
        <v>0</v>
      </c>
      <c r="AJ41" s="889">
        <f t="shared" si="7"/>
        <v>0</v>
      </c>
      <c r="AK41" s="885">
        <f t="shared" si="26"/>
        <v>0</v>
      </c>
      <c r="AL41" s="883">
        <f t="shared" si="21"/>
        <v>0</v>
      </c>
      <c r="AM41" s="883">
        <f t="shared" si="22"/>
        <v>0</v>
      </c>
      <c r="AN41" s="883">
        <f t="shared" si="23"/>
        <v>0</v>
      </c>
      <c r="AO41" s="883">
        <f t="shared" si="24"/>
        <v>0</v>
      </c>
      <c r="AP41" s="883">
        <f t="shared" si="25"/>
        <v>0</v>
      </c>
      <c r="AQ41" s="890">
        <f t="shared" si="9"/>
        <v>0</v>
      </c>
    </row>
    <row r="42" spans="1:43" ht="11.1" thickBot="1">
      <c r="A42" s="817"/>
      <c r="B42" s="866" t="s">
        <v>82</v>
      </c>
      <c r="C42" s="917"/>
      <c r="D42" s="917"/>
      <c r="E42" s="917"/>
      <c r="F42" s="917"/>
      <c r="G42" s="917">
        <f>INDEX(Geothermal!$C$6:$AH$10,MATCH("Total",Geothermal!$C$6:$C$10,0),MATCH($B$2,Geothermal!$C$6:$AH$6,0))/Factors!$J$61*Factors!$J$55/BBtuToBtu*BBtuToTBtu</f>
        <v>54.215646163999999</v>
      </c>
      <c r="H42" s="917"/>
      <c r="I42" s="917">
        <f>G42</f>
        <v>54.215646163999999</v>
      </c>
      <c r="J42" s="918"/>
      <c r="K42" s="919"/>
      <c r="L42" s="917"/>
      <c r="M42" s="920"/>
      <c r="N42" s="917">
        <f t="shared" si="32"/>
        <v>0</v>
      </c>
      <c r="O42" s="917">
        <f t="shared" si="32"/>
        <v>0</v>
      </c>
      <c r="P42" s="917">
        <f>E42</f>
        <v>0</v>
      </c>
      <c r="Q42" s="917">
        <f>F42</f>
        <v>0</v>
      </c>
      <c r="R42" s="917">
        <f t="shared" si="35"/>
        <v>54.215646163999999</v>
      </c>
      <c r="S42" s="917">
        <f>H42</f>
        <v>0</v>
      </c>
      <c r="T42" s="917">
        <f t="shared" si="4"/>
        <v>54.215646163999999</v>
      </c>
      <c r="U42" s="921">
        <f>Factors!D56</f>
        <v>2.6974658424810825</v>
      </c>
      <c r="V42" s="917"/>
      <c r="W42" s="917"/>
      <c r="X42" s="917"/>
      <c r="Y42" s="917"/>
      <c r="Z42" s="917">
        <f>INDEX(Geothermal!$C$14:$AH$18,MATCH("Total",Geothermal!$C$14:$C$18,0),MATCH($B$2,Geothermal!$C$14:$AH$14,0))/CtoCO2</f>
        <v>0.10658890063229891</v>
      </c>
      <c r="AA42" s="917"/>
      <c r="AB42" s="917">
        <f t="shared" si="19"/>
        <v>0.10658890063229891</v>
      </c>
      <c r="AC42" s="921">
        <f>Factors!$E$56</f>
        <v>1</v>
      </c>
      <c r="AD42" s="917">
        <f t="shared" si="45"/>
        <v>0</v>
      </c>
      <c r="AE42" s="917">
        <f t="shared" si="45"/>
        <v>0</v>
      </c>
      <c r="AF42" s="917">
        <f t="shared" si="45"/>
        <v>0</v>
      </c>
      <c r="AG42" s="917">
        <f t="shared" si="45"/>
        <v>0</v>
      </c>
      <c r="AH42" s="917">
        <f>Z42*$AC42</f>
        <v>0.10658890063229891</v>
      </c>
      <c r="AI42" s="917">
        <f t="shared" si="45"/>
        <v>0</v>
      </c>
      <c r="AJ42" s="920">
        <f t="shared" si="7"/>
        <v>0.10658890063229891</v>
      </c>
      <c r="AK42" s="919">
        <f t="shared" si="26"/>
        <v>0</v>
      </c>
      <c r="AL42" s="917">
        <f t="shared" si="21"/>
        <v>0</v>
      </c>
      <c r="AM42" s="917">
        <f t="shared" si="22"/>
        <v>0</v>
      </c>
      <c r="AN42" s="917">
        <f t="shared" si="23"/>
        <v>0</v>
      </c>
      <c r="AO42" s="917">
        <f>AH42*CtoCO2</f>
        <v>0.39082596898509597</v>
      </c>
      <c r="AP42" s="917">
        <f>AI42*CtoCO2</f>
        <v>0</v>
      </c>
      <c r="AQ42" s="920">
        <f>SUM(AK42:AP42)</f>
        <v>0.39082596898509597</v>
      </c>
    </row>
    <row r="43" spans="1:43" ht="11.1" thickBot="1">
      <c r="A43" s="817"/>
      <c r="B43" s="867" t="s">
        <v>1740</v>
      </c>
      <c r="C43" s="922">
        <f>C8+C17+C18+C42</f>
        <v>5709.2610667624795</v>
      </c>
      <c r="D43" s="922">
        <f>D8+D17+D18+D42</f>
        <v>4073.2220786778184</v>
      </c>
      <c r="E43" s="922">
        <f>E8+E17+E18+E42</f>
        <v>18283.617986050427</v>
      </c>
      <c r="F43" s="922">
        <f>F8+F17+F18+F42</f>
        <v>23278.751498516569</v>
      </c>
      <c r="G43" s="922">
        <f>G8+G17+G18+G42</f>
        <v>20467.662646164001</v>
      </c>
      <c r="H43" s="922">
        <f>H16+H17+H18+H42</f>
        <v>325.54746190633119</v>
      </c>
      <c r="I43" s="922">
        <f>SUM(C43:H43)</f>
        <v>72138.062738077628</v>
      </c>
      <c r="J43" s="923">
        <f t="shared" ref="J43:S43" si="46">J8+J17+J18+J42</f>
        <v>962.61280212929216</v>
      </c>
      <c r="K43" s="924">
        <f t="shared" si="46"/>
        <v>5684.1763451949337</v>
      </c>
      <c r="L43" s="922">
        <f t="shared" si="46"/>
        <v>115.61499999999999</v>
      </c>
      <c r="M43" s="925">
        <f t="shared" si="46"/>
        <v>1.0447859369999999</v>
      </c>
      <c r="N43" s="922">
        <f t="shared" si="46"/>
        <v>5709.2610667624795</v>
      </c>
      <c r="O43" s="922">
        <f t="shared" si="46"/>
        <v>4073.2220786778184</v>
      </c>
      <c r="P43" s="922">
        <f t="shared" si="46"/>
        <v>12599.441640855493</v>
      </c>
      <c r="Q43" s="922">
        <f t="shared" si="46"/>
        <v>22200.523696387278</v>
      </c>
      <c r="R43" s="922">
        <f t="shared" si="46"/>
        <v>20467.662646164001</v>
      </c>
      <c r="S43" s="922">
        <f t="shared" si="46"/>
        <v>324.50267596933122</v>
      </c>
      <c r="T43" s="922">
        <f t="shared" si="4"/>
        <v>65374.613804816399</v>
      </c>
      <c r="U43" s="926" t="s">
        <v>1731</v>
      </c>
      <c r="V43" s="922">
        <f t="shared" ref="V43:AA43" si="47">V8+V17+V18+V42</f>
        <v>85.853189511335586</v>
      </c>
      <c r="W43" s="922">
        <f t="shared" si="47"/>
        <v>62.526468784360787</v>
      </c>
      <c r="X43" s="922">
        <f t="shared" si="47"/>
        <v>204.41391958936617</v>
      </c>
      <c r="Y43" s="922">
        <f t="shared" si="47"/>
        <v>428.95096529300753</v>
      </c>
      <c r="Z43" s="922">
        <f t="shared" si="47"/>
        <v>392.6088310643741</v>
      </c>
      <c r="AA43" s="922">
        <f t="shared" si="47"/>
        <v>6.3487713562475525</v>
      </c>
      <c r="AB43" s="922">
        <f t="shared" si="19"/>
        <v>1180.7021455986917</v>
      </c>
      <c r="AC43" s="926" t="s">
        <v>1731</v>
      </c>
      <c r="AD43" s="922">
        <f t="shared" ref="AD43:AQ43" si="48">AD8+AD17+AD18+AD42</f>
        <v>85.853189511335586</v>
      </c>
      <c r="AE43" s="922">
        <f t="shared" si="48"/>
        <v>62.526468784360787</v>
      </c>
      <c r="AF43" s="922">
        <f t="shared" si="48"/>
        <v>204.41391958936617</v>
      </c>
      <c r="AG43" s="922">
        <f t="shared" si="48"/>
        <v>428.95096529300753</v>
      </c>
      <c r="AH43" s="922">
        <f t="shared" si="48"/>
        <v>392.6088310643741</v>
      </c>
      <c r="AI43" s="922">
        <f t="shared" si="48"/>
        <v>6.3487713562475525</v>
      </c>
      <c r="AJ43" s="925">
        <f t="shared" si="48"/>
        <v>1180.7021455986917</v>
      </c>
      <c r="AK43" s="922">
        <f t="shared" si="48"/>
        <v>314.79502820823041</v>
      </c>
      <c r="AL43" s="922">
        <f t="shared" si="48"/>
        <v>229.26371887598955</v>
      </c>
      <c r="AM43" s="922">
        <f t="shared" si="48"/>
        <v>749.5177051610093</v>
      </c>
      <c r="AN43" s="922">
        <f t="shared" si="48"/>
        <v>1572.8202060743611</v>
      </c>
      <c r="AO43" s="922">
        <f t="shared" si="48"/>
        <v>1439.5657139027051</v>
      </c>
      <c r="AP43" s="922">
        <f t="shared" si="48"/>
        <v>23.278828306241024</v>
      </c>
      <c r="AQ43" s="925">
        <f t="shared" si="48"/>
        <v>4329.2412005285369</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c r="B46"/>
      <c r="C46"/>
      <c r="D46"/>
      <c r="E46"/>
      <c r="F46"/>
      <c r="G46"/>
      <c r="H46"/>
      <c r="I46"/>
      <c r="J46"/>
      <c r="R46"/>
      <c r="S46"/>
      <c r="U46"/>
      <c r="V46" s="207"/>
      <c r="W46" s="207"/>
      <c r="X46" s="207"/>
      <c r="Y46" s="207"/>
      <c r="Z46" s="207"/>
      <c r="AA46" s="207"/>
      <c r="AB46" s="207"/>
      <c r="AC46"/>
      <c r="AD46"/>
      <c r="AE46"/>
      <c r="AF46"/>
      <c r="AG46"/>
      <c r="AH46"/>
      <c r="AI46"/>
      <c r="AJ46"/>
    </row>
    <row r="47" spans="1:43">
      <c r="B47"/>
      <c r="C47"/>
      <c r="D47"/>
      <c r="E47"/>
      <c r="F47"/>
      <c r="G47"/>
      <c r="H47"/>
      <c r="I47"/>
      <c r="J47"/>
      <c r="R47"/>
      <c r="S47"/>
      <c r="U47"/>
      <c r="V47" s="207"/>
      <c r="W47" s="207"/>
      <c r="X47" s="207"/>
      <c r="Y47" s="207"/>
      <c r="Z47" s="207"/>
      <c r="AA47" s="207"/>
      <c r="AB47" s="207"/>
      <c r="AC47"/>
      <c r="AD47"/>
      <c r="AE47"/>
      <c r="AF47"/>
      <c r="AG47"/>
      <c r="AH47"/>
      <c r="AI47"/>
      <c r="AJ47"/>
    </row>
    <row r="48" spans="1:43">
      <c r="B48"/>
      <c r="C48"/>
      <c r="D48"/>
      <c r="E48"/>
      <c r="F48"/>
      <c r="G48"/>
      <c r="H48"/>
      <c r="I48"/>
      <c r="J48"/>
      <c r="R48"/>
      <c r="S48"/>
      <c r="U48"/>
      <c r="V48" s="207"/>
      <c r="W48" s="207"/>
      <c r="X48" s="207"/>
      <c r="Y48" s="207"/>
      <c r="Z48" s="207"/>
      <c r="AA48" s="207"/>
      <c r="AB48" s="207"/>
      <c r="AC48"/>
      <c r="AD48"/>
      <c r="AE48"/>
      <c r="AF48"/>
      <c r="AG48"/>
      <c r="AH48"/>
      <c r="AI48"/>
      <c r="AJ48"/>
    </row>
    <row r="49" spans="2:36">
      <c r="B49"/>
      <c r="C49"/>
      <c r="D49"/>
      <c r="E49"/>
      <c r="F49"/>
      <c r="G49"/>
      <c r="H49"/>
      <c r="I49"/>
      <c r="J49"/>
      <c r="R49"/>
      <c r="S49"/>
      <c r="U49"/>
      <c r="V49" s="207"/>
      <c r="W49" s="207"/>
      <c r="X49" s="207"/>
      <c r="Y49" s="207"/>
      <c r="Z49" s="207"/>
      <c r="AA49" s="207"/>
      <c r="AB49" s="207"/>
      <c r="AC49"/>
      <c r="AD49"/>
      <c r="AE49"/>
      <c r="AF49"/>
      <c r="AG49"/>
      <c r="AH49"/>
      <c r="AI49"/>
      <c r="AJ49"/>
    </row>
    <row r="50" spans="2:36">
      <c r="B50"/>
      <c r="C50"/>
      <c r="D50"/>
      <c r="E50"/>
      <c r="F50"/>
      <c r="G50"/>
      <c r="H50"/>
      <c r="I50"/>
      <c r="J50"/>
      <c r="R50"/>
      <c r="S50"/>
      <c r="U50"/>
      <c r="V50" s="207"/>
      <c r="W50" s="207"/>
      <c r="X50" s="207"/>
      <c r="Y50" s="207"/>
      <c r="Z50" s="207"/>
      <c r="AA50" s="207"/>
      <c r="AB50" s="207"/>
      <c r="AC50"/>
      <c r="AD50"/>
      <c r="AE50"/>
      <c r="AF50"/>
      <c r="AG50"/>
      <c r="AH50"/>
      <c r="AI50"/>
      <c r="AJ50"/>
    </row>
    <row r="51" spans="2:36">
      <c r="B51"/>
      <c r="C51"/>
      <c r="D51"/>
      <c r="E51"/>
      <c r="F51"/>
      <c r="G51"/>
      <c r="H51"/>
      <c r="I51"/>
      <c r="J51"/>
      <c r="R51"/>
      <c r="S51"/>
      <c r="U51"/>
      <c r="V51" s="207"/>
      <c r="W51" s="207"/>
      <c r="X51" s="207"/>
      <c r="Y51" s="207"/>
      <c r="Z51" s="207"/>
      <c r="AA51" s="207"/>
      <c r="AB51" s="207"/>
      <c r="AC51"/>
      <c r="AD51"/>
      <c r="AE51"/>
      <c r="AF51"/>
      <c r="AG51"/>
      <c r="AH51"/>
      <c r="AI51"/>
      <c r="AJ51"/>
    </row>
    <row r="52" spans="2:36">
      <c r="B52"/>
      <c r="C52"/>
      <c r="D52"/>
      <c r="E52"/>
      <c r="F52"/>
      <c r="G52"/>
      <c r="H52"/>
      <c r="I52"/>
      <c r="J52"/>
      <c r="R52"/>
      <c r="S52"/>
      <c r="U52"/>
      <c r="V52" s="207"/>
      <c r="W52" s="207"/>
      <c r="X52" s="207"/>
      <c r="Y52" s="207"/>
      <c r="Z52" s="207"/>
      <c r="AA52" s="207"/>
      <c r="AB52" s="207"/>
      <c r="AC52"/>
      <c r="AD52"/>
      <c r="AE52"/>
      <c r="AF52"/>
      <c r="AG52"/>
      <c r="AH52"/>
      <c r="AI52"/>
      <c r="AJ52"/>
    </row>
    <row r="53" spans="2:36">
      <c r="B53"/>
      <c r="C53"/>
      <c r="D53"/>
      <c r="E53"/>
      <c r="F53"/>
      <c r="G53"/>
      <c r="H53"/>
      <c r="I53"/>
      <c r="J53"/>
      <c r="R53"/>
      <c r="S53"/>
      <c r="U53"/>
      <c r="V53" s="207"/>
      <c r="W53" s="207"/>
      <c r="X53" s="207"/>
      <c r="Y53" s="207"/>
      <c r="Z53" s="207"/>
      <c r="AA53" s="207"/>
      <c r="AB53" s="207"/>
      <c r="AC53"/>
      <c r="AD53"/>
      <c r="AE53"/>
      <c r="AF53"/>
      <c r="AG53"/>
      <c r="AH53"/>
      <c r="AI53"/>
      <c r="AJ53"/>
    </row>
    <row r="54" spans="2:36">
      <c r="B54"/>
      <c r="C54"/>
      <c r="D54"/>
      <c r="E54"/>
      <c r="F54"/>
      <c r="G54"/>
      <c r="H54"/>
      <c r="I54"/>
      <c r="J54"/>
      <c r="R54"/>
      <c r="S54"/>
      <c r="U54"/>
      <c r="V54" s="207"/>
      <c r="W54" s="207"/>
      <c r="X54" s="207"/>
      <c r="Y54" s="207"/>
      <c r="Z54" s="207"/>
      <c r="AA54" s="207"/>
      <c r="AB54" s="207"/>
      <c r="AC54"/>
      <c r="AD54"/>
      <c r="AE54"/>
      <c r="AF54"/>
      <c r="AG54"/>
      <c r="AH54"/>
      <c r="AI54"/>
      <c r="AJ54"/>
    </row>
    <row r="55" spans="2:36">
      <c r="B55"/>
      <c r="C55"/>
      <c r="D55"/>
      <c r="E55"/>
      <c r="F55"/>
      <c r="G55"/>
      <c r="H55"/>
      <c r="I55"/>
      <c r="J55"/>
      <c r="R55"/>
      <c r="S55"/>
      <c r="U55"/>
      <c r="V55" s="207"/>
      <c r="W55" s="207"/>
      <c r="X55" s="207"/>
      <c r="Y55" s="207"/>
      <c r="Z55" s="207"/>
      <c r="AA55" s="207"/>
      <c r="AB55" s="207"/>
      <c r="AC55"/>
      <c r="AD55"/>
      <c r="AE55"/>
      <c r="AF55"/>
      <c r="AG55"/>
      <c r="AH55"/>
      <c r="AI55"/>
      <c r="AJ55"/>
    </row>
    <row r="56" spans="2:36">
      <c r="B56"/>
      <c r="C56"/>
      <c r="D56"/>
      <c r="E56"/>
      <c r="F56"/>
      <c r="G56"/>
      <c r="H56"/>
      <c r="I56"/>
      <c r="J56"/>
      <c r="R56"/>
      <c r="S56"/>
      <c r="U56"/>
      <c r="V56" s="207"/>
      <c r="W56" s="207"/>
      <c r="X56" s="207"/>
      <c r="Y56" s="207"/>
      <c r="Z56" s="207"/>
      <c r="AA56" s="207"/>
      <c r="AB56" s="207"/>
      <c r="AC56"/>
      <c r="AD56"/>
      <c r="AE56"/>
      <c r="AF56"/>
      <c r="AG56"/>
      <c r="AH56"/>
      <c r="AI56"/>
      <c r="AJ56"/>
    </row>
    <row r="57" spans="2:36">
      <c r="B57"/>
      <c r="C57"/>
      <c r="D57"/>
      <c r="E57"/>
      <c r="F57"/>
      <c r="G57"/>
      <c r="H57"/>
      <c r="I57"/>
      <c r="J57"/>
      <c r="R57"/>
      <c r="S57"/>
      <c r="U57"/>
      <c r="V57" s="207"/>
      <c r="W57" s="207"/>
      <c r="X57" s="207"/>
      <c r="Y57" s="207"/>
      <c r="Z57" s="207"/>
      <c r="AA57" s="207"/>
      <c r="AB57" s="207"/>
      <c r="AC57"/>
      <c r="AD57"/>
      <c r="AE57"/>
      <c r="AF57"/>
      <c r="AG57"/>
      <c r="AH57"/>
      <c r="AI57"/>
      <c r="AJ57"/>
    </row>
    <row r="58" spans="2:36">
      <c r="B58"/>
      <c r="C58"/>
      <c r="D58"/>
      <c r="E58"/>
      <c r="F58"/>
      <c r="G58"/>
      <c r="H58"/>
      <c r="I58"/>
      <c r="J58"/>
      <c r="R58"/>
      <c r="S58"/>
      <c r="U58"/>
      <c r="V58" s="207"/>
      <c r="W58" s="207"/>
      <c r="X58" s="207"/>
      <c r="Y58" s="207"/>
      <c r="Z58" s="207"/>
      <c r="AA58" s="207"/>
      <c r="AB58" s="207"/>
      <c r="AC58"/>
      <c r="AD58"/>
      <c r="AE58"/>
      <c r="AF58"/>
      <c r="AG58"/>
      <c r="AH58"/>
      <c r="AI58"/>
      <c r="AJ58"/>
    </row>
    <row r="59" spans="2:36">
      <c r="B59"/>
      <c r="C59"/>
      <c r="D59"/>
      <c r="E59"/>
      <c r="F59"/>
      <c r="G59"/>
      <c r="H59"/>
      <c r="I59"/>
      <c r="J59"/>
      <c r="R59"/>
      <c r="S59"/>
      <c r="U59"/>
      <c r="V59" s="207"/>
      <c r="W59" s="207"/>
      <c r="X59" s="207"/>
      <c r="Y59" s="207"/>
      <c r="Z59" s="207"/>
      <c r="AA59" s="207"/>
      <c r="AB59" s="207"/>
      <c r="AC59"/>
      <c r="AD59"/>
      <c r="AE59"/>
      <c r="AF59"/>
      <c r="AG59"/>
      <c r="AH59"/>
      <c r="AI59"/>
      <c r="AJ59"/>
    </row>
    <row r="60" spans="2:36">
      <c r="B60"/>
      <c r="C60"/>
      <c r="D60"/>
      <c r="E60"/>
      <c r="F60"/>
      <c r="G60"/>
      <c r="H60"/>
      <c r="I60"/>
      <c r="J60"/>
      <c r="R60"/>
      <c r="S60"/>
      <c r="U60"/>
      <c r="V60" s="207"/>
      <c r="W60" s="207"/>
      <c r="X60" s="207"/>
      <c r="Y60" s="207"/>
      <c r="Z60" s="207"/>
      <c r="AA60" s="207"/>
      <c r="AB60" s="207"/>
      <c r="AC60"/>
      <c r="AD60"/>
      <c r="AE60"/>
      <c r="AF60"/>
      <c r="AG60"/>
      <c r="AH60"/>
      <c r="AI60"/>
      <c r="AJ60"/>
    </row>
    <row r="61" spans="2:36">
      <c r="B61"/>
      <c r="C61"/>
      <c r="D61"/>
      <c r="E61"/>
      <c r="F61"/>
      <c r="G61"/>
      <c r="H61"/>
      <c r="I61"/>
      <c r="J61"/>
      <c r="R61"/>
      <c r="S61"/>
      <c r="U61"/>
      <c r="V61" s="207"/>
      <c r="W61" s="207"/>
      <c r="X61" s="207"/>
      <c r="Y61" s="207"/>
      <c r="Z61" s="207"/>
      <c r="AA61" s="207"/>
      <c r="AB61" s="207"/>
      <c r="AC61"/>
      <c r="AD61"/>
      <c r="AE61"/>
      <c r="AF61"/>
      <c r="AG61"/>
      <c r="AH61"/>
      <c r="AI61"/>
      <c r="AJ61"/>
    </row>
    <row r="62" spans="2:36">
      <c r="B62"/>
      <c r="C62"/>
      <c r="D62"/>
      <c r="E62"/>
      <c r="F62"/>
      <c r="G62"/>
      <c r="H62"/>
      <c r="I62"/>
      <c r="J62"/>
      <c r="R62"/>
      <c r="S62"/>
      <c r="U62"/>
      <c r="V62" s="207"/>
      <c r="W62" s="207"/>
      <c r="X62" s="207"/>
      <c r="Y62" s="207"/>
      <c r="Z62" s="207"/>
      <c r="AA62" s="207"/>
      <c r="AB62" s="207"/>
      <c r="AC62"/>
      <c r="AD62"/>
      <c r="AE62"/>
      <c r="AF62"/>
      <c r="AG62"/>
      <c r="AH62"/>
      <c r="AI62"/>
      <c r="AJ62"/>
    </row>
    <row r="63" spans="2:36">
      <c r="B63"/>
      <c r="C63"/>
      <c r="D63"/>
      <c r="E63"/>
      <c r="F63"/>
      <c r="G63"/>
      <c r="H63"/>
      <c r="I63"/>
      <c r="J63"/>
      <c r="R63"/>
      <c r="S63"/>
      <c r="U63"/>
      <c r="V63" s="207"/>
      <c r="W63" s="207"/>
      <c r="X63" s="207"/>
      <c r="Y63" s="207"/>
      <c r="Z63" s="207"/>
      <c r="AA63" s="207"/>
      <c r="AB63" s="207"/>
      <c r="AC63"/>
      <c r="AD63"/>
      <c r="AE63"/>
      <c r="AF63"/>
      <c r="AG63"/>
      <c r="AH63"/>
      <c r="AI63"/>
      <c r="AJ63"/>
    </row>
    <row r="64" spans="2:36">
      <c r="B64"/>
      <c r="C64"/>
      <c r="D64"/>
      <c r="E64"/>
      <c r="F64"/>
      <c r="G64"/>
      <c r="H64"/>
      <c r="I64"/>
      <c r="J64"/>
      <c r="R64"/>
      <c r="S64"/>
      <c r="U64"/>
      <c r="V64" s="207"/>
      <c r="W64" s="207"/>
      <c r="X64" s="207"/>
      <c r="Y64" s="207"/>
      <c r="Z64" s="207"/>
      <c r="AA64" s="207"/>
      <c r="AB64" s="207"/>
      <c r="AC64"/>
      <c r="AD64"/>
      <c r="AE64"/>
      <c r="AF64"/>
      <c r="AG64"/>
      <c r="AH64"/>
      <c r="AI64"/>
      <c r="AJ64"/>
    </row>
    <row r="65" spans="2:28" customFormat="1">
      <c r="K65" s="152"/>
      <c r="L65" s="152"/>
      <c r="M65" s="152"/>
      <c r="N65" s="152"/>
      <c r="O65" s="152"/>
      <c r="P65" s="152"/>
      <c r="Q65" s="152"/>
      <c r="V65" s="207"/>
      <c r="W65" s="207"/>
      <c r="X65" s="207"/>
      <c r="Y65" s="207"/>
      <c r="Z65" s="207"/>
      <c r="AA65" s="207"/>
      <c r="AB65" s="207"/>
    </row>
    <row r="66" spans="2:28" customFormat="1">
      <c r="K66" s="152"/>
      <c r="L66" s="152"/>
      <c r="M66" s="152"/>
      <c r="N66" s="152"/>
      <c r="O66" s="152"/>
      <c r="P66" s="152"/>
      <c r="Q66" s="152"/>
      <c r="V66" s="207"/>
      <c r="W66" s="207"/>
      <c r="X66" s="207"/>
      <c r="Y66" s="207"/>
      <c r="Z66" s="207"/>
      <c r="AA66" s="207"/>
      <c r="AB66" s="207"/>
    </row>
    <row r="67" spans="2:28" customFormat="1">
      <c r="K67" s="152"/>
      <c r="L67" s="152"/>
      <c r="M67" s="152"/>
      <c r="N67" s="152"/>
      <c r="O67" s="152"/>
      <c r="P67" s="152"/>
      <c r="Q67" s="152"/>
      <c r="V67" s="207"/>
      <c r="W67" s="207"/>
      <c r="X67" s="207"/>
      <c r="Y67" s="207"/>
      <c r="Z67" s="207"/>
      <c r="AA67" s="207"/>
      <c r="AB67" s="207"/>
    </row>
    <row r="68" spans="2:28" customFormat="1">
      <c r="K68" s="152"/>
      <c r="L68" s="152"/>
      <c r="M68" s="152"/>
      <c r="N68" s="152"/>
      <c r="O68" s="152"/>
      <c r="P68" s="152"/>
      <c r="Q68" s="152"/>
      <c r="V68" s="207"/>
      <c r="W68" s="207"/>
      <c r="X68" s="207"/>
      <c r="Y68" s="207"/>
      <c r="Z68" s="207"/>
      <c r="AA68" s="207"/>
      <c r="AB68" s="207"/>
    </row>
    <row r="69" spans="2:28" customFormat="1">
      <c r="B69" s="152"/>
      <c r="C69" s="152"/>
      <c r="D69" s="152"/>
      <c r="E69" s="152"/>
      <c r="F69" s="152"/>
      <c r="G69" s="152"/>
      <c r="H69" s="152"/>
      <c r="I69" s="152"/>
      <c r="K69" s="152"/>
      <c r="L69" s="152"/>
      <c r="M69" s="152"/>
      <c r="N69" s="152"/>
      <c r="O69" s="152"/>
      <c r="P69" s="152"/>
      <c r="Q69" s="152"/>
      <c r="V69" s="207"/>
      <c r="W69" s="207"/>
      <c r="X69" s="207"/>
      <c r="Y69" s="207"/>
      <c r="Z69" s="207"/>
      <c r="AA69" s="207"/>
      <c r="AB69" s="207"/>
    </row>
    <row r="70" spans="2:28" customFormat="1" ht="9.9499999999999993">
      <c r="V70" s="207"/>
      <c r="W70" s="207"/>
      <c r="X70" s="207"/>
      <c r="Y70" s="207"/>
      <c r="Z70" s="207"/>
      <c r="AA70" s="207"/>
      <c r="AB70" s="207"/>
    </row>
    <row r="71" spans="2:28" customFormat="1" ht="9.9499999999999993">
      <c r="V71" s="207"/>
      <c r="W71" s="207"/>
      <c r="X71" s="207"/>
      <c r="Y71" s="207"/>
      <c r="Z71" s="207"/>
      <c r="AA71" s="207"/>
      <c r="AB71" s="207"/>
    </row>
    <row r="72" spans="2:28" customFormat="1" ht="9.9499999999999993">
      <c r="V72" s="207"/>
      <c r="W72" s="207"/>
      <c r="X72" s="207"/>
      <c r="Y72" s="207"/>
      <c r="Z72" s="207"/>
      <c r="AA72" s="207"/>
      <c r="AB72" s="207"/>
    </row>
    <row r="73" spans="2:28" customFormat="1" ht="9.9499999999999993">
      <c r="V73" s="207"/>
      <c r="W73" s="207"/>
      <c r="X73" s="207"/>
      <c r="Y73" s="207"/>
      <c r="Z73" s="207"/>
      <c r="AA73" s="207"/>
      <c r="AB73" s="207"/>
    </row>
    <row r="74" spans="2:28" customFormat="1" ht="9.9499999999999993">
      <c r="V74" s="207"/>
      <c r="W74" s="207"/>
      <c r="X74" s="207"/>
      <c r="Y74" s="207"/>
      <c r="Z74" s="207"/>
      <c r="AA74" s="207"/>
      <c r="AB74" s="207"/>
    </row>
    <row r="75" spans="2:28" customFormat="1" ht="9.9499999999999993">
      <c r="V75" s="207"/>
      <c r="W75" s="207"/>
      <c r="X75" s="207"/>
      <c r="Y75" s="207"/>
      <c r="Z75" s="207"/>
      <c r="AA75" s="207"/>
      <c r="AB75" s="207"/>
    </row>
    <row r="76" spans="2:28" customFormat="1" ht="9.9499999999999993">
      <c r="V76" s="207"/>
      <c r="W76" s="207"/>
      <c r="X76" s="207"/>
      <c r="Y76" s="207"/>
      <c r="Z76" s="207"/>
      <c r="AA76" s="207"/>
      <c r="AB76" s="207"/>
    </row>
    <row r="77" spans="2:28" customFormat="1" ht="9.9499999999999993">
      <c r="V77" s="207"/>
      <c r="W77" s="207"/>
      <c r="X77" s="207"/>
      <c r="Y77" s="207"/>
      <c r="Z77" s="207"/>
      <c r="AA77" s="207"/>
      <c r="AB77" s="207"/>
    </row>
    <row r="78" spans="2:28" customFormat="1" ht="9.9499999999999993">
      <c r="V78" s="207"/>
      <c r="W78" s="207"/>
      <c r="X78" s="207"/>
      <c r="Y78" s="207"/>
      <c r="Z78" s="207"/>
      <c r="AA78" s="207"/>
      <c r="AB78" s="207"/>
    </row>
    <row r="79" spans="2:28" customFormat="1" ht="9.9499999999999993">
      <c r="V79" s="207"/>
      <c r="W79" s="207"/>
      <c r="X79" s="207"/>
      <c r="Y79" s="207"/>
      <c r="Z79" s="207"/>
      <c r="AA79" s="207"/>
      <c r="AB79" s="207"/>
    </row>
    <row r="80" spans="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8"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9367-4CA1-4F1A-B00A-444D4FAF7366}">
  <sheetPr transitionEvaluation="1" transitionEntry="1">
    <pageSetUpPr fitToPage="1"/>
  </sheetPr>
  <dimension ref="A1:AQ1177"/>
  <sheetViews>
    <sheetView workbookViewId="0"/>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10"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39" width="9.6640625" customWidth="1"/>
    <col min="40" max="40" width="10" customWidth="1"/>
    <col min="41" max="41" width="9.6640625" customWidth="1"/>
    <col min="42" max="42" width="9" bestFit="1" customWidth="1"/>
    <col min="43" max="43" width="10" customWidth="1"/>
    <col min="44" max="45" width="9" customWidth="1"/>
  </cols>
  <sheetData>
    <row r="1" spans="1:43">
      <c r="A1" s="1043" t="s">
        <v>1775</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2021</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827" t="s">
        <v>1776</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S4+1</f>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ht="12.6">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1767</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65.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14.914999999999999</v>
      </c>
      <c r="E8" s="876">
        <f t="shared" si="1"/>
        <v>537.01015821038027</v>
      </c>
      <c r="F8" s="876">
        <f t="shared" si="1"/>
        <v>0</v>
      </c>
      <c r="G8" s="876">
        <f t="shared" si="1"/>
        <v>9497.6719999999987</v>
      </c>
      <c r="H8" s="876">
        <f t="shared" si="1"/>
        <v>31.336178988899004</v>
      </c>
      <c r="I8" s="876">
        <f t="shared" ref="I8:I28" si="2">SUM(C8:H8)</f>
        <v>10080.933337199278</v>
      </c>
      <c r="J8" s="877"/>
      <c r="K8" s="876">
        <f>SUM(K9:K16)</f>
        <v>87.34676171310609</v>
      </c>
      <c r="L8" s="876">
        <f>SUM(L9:L16)</f>
        <v>0</v>
      </c>
      <c r="M8" s="876"/>
      <c r="N8" s="878">
        <f t="shared" ref="N8:S8" si="3">SUM(N9:N16)</f>
        <v>0</v>
      </c>
      <c r="O8" s="876">
        <f t="shared" si="3"/>
        <v>14.914999999999999</v>
      </c>
      <c r="P8" s="876">
        <f t="shared" si="3"/>
        <v>449.66339649727416</v>
      </c>
      <c r="Q8" s="876">
        <f t="shared" si="3"/>
        <v>0</v>
      </c>
      <c r="R8" s="876">
        <f t="shared" si="3"/>
        <v>9497.6719999999987</v>
      </c>
      <c r="S8" s="879">
        <f t="shared" si="3"/>
        <v>31.336178988899004</v>
      </c>
      <c r="T8" s="876">
        <f t="shared" ref="T8:T43" si="4">SUM(N8:S8)</f>
        <v>9993.5865754861716</v>
      </c>
      <c r="U8" s="880" t="s">
        <v>1731</v>
      </c>
      <c r="V8" s="876">
        <f t="shared" ref="V8:AA8" si="5">SUM(V9:V16)</f>
        <v>0</v>
      </c>
      <c r="W8" s="876">
        <f>SUM(W9:W16)</f>
        <v>0.39011370897225583</v>
      </c>
      <c r="X8" s="876">
        <f>SUM(X9:X16)</f>
        <v>11.734473090483474</v>
      </c>
      <c r="Y8" s="876">
        <f t="shared" si="5"/>
        <v>0</v>
      </c>
      <c r="Z8" s="876">
        <f t="shared" si="5"/>
        <v>248.19939769041113</v>
      </c>
      <c r="AA8" s="876">
        <f t="shared" si="5"/>
        <v>0.78779153978092098</v>
      </c>
      <c r="AB8" s="876">
        <f>SUM(V8:AA8)</f>
        <v>261.11177602964779</v>
      </c>
      <c r="AC8" s="881" t="s">
        <v>1731</v>
      </c>
      <c r="AD8" s="878">
        <f t="shared" ref="AD8:AI8" si="6">SUM(AD9:AD16)</f>
        <v>0</v>
      </c>
      <c r="AE8" s="876">
        <f t="shared" si="6"/>
        <v>0.39011370897225583</v>
      </c>
      <c r="AF8" s="876">
        <f t="shared" si="6"/>
        <v>11.734473090483474</v>
      </c>
      <c r="AG8" s="876" t="s">
        <v>108</v>
      </c>
      <c r="AH8" s="876">
        <f t="shared" si="6"/>
        <v>248.19939769041113</v>
      </c>
      <c r="AI8" s="876">
        <f t="shared" si="6"/>
        <v>0.78779153978092098</v>
      </c>
      <c r="AJ8" s="876">
        <f t="shared" ref="AJ8:AJ42" si="7">SUM(AD8:AI8)</f>
        <v>261.11177602964779</v>
      </c>
      <c r="AK8" s="878">
        <f t="shared" ref="AK8:AO8" si="8">SUM(AK9:AK16)</f>
        <v>0</v>
      </c>
      <c r="AL8" s="876">
        <f t="shared" si="8"/>
        <v>1.4304169328982714</v>
      </c>
      <c r="AM8" s="876">
        <f t="shared" si="8"/>
        <v>43.026401331772739</v>
      </c>
      <c r="AN8" s="876">
        <f t="shared" si="8"/>
        <v>0</v>
      </c>
      <c r="AO8" s="876">
        <f t="shared" si="8"/>
        <v>910.06445819817407</v>
      </c>
      <c r="AP8" s="876">
        <f>SUM(AP9:AP16)</f>
        <v>2.8885689791967102</v>
      </c>
      <c r="AQ8" s="882">
        <f t="shared" ref="AQ8:AQ41" si="9">SUM(AK8:AP8)</f>
        <v>957.40984544204184</v>
      </c>
    </row>
    <row r="9" spans="1:43" ht="12.75" customHeight="1">
      <c r="A9" s="817"/>
      <c r="B9" s="860" t="s">
        <v>1732</v>
      </c>
      <c r="C9" s="883">
        <f>HLOOKUP($B$2,'Consumption Input'!$E$5:$AQ$82,'Consumption Input'!$B7)</f>
        <v>0</v>
      </c>
      <c r="D9" s="883"/>
      <c r="E9" s="883"/>
      <c r="F9" s="883"/>
      <c r="G9" s="883"/>
      <c r="H9" s="883"/>
      <c r="I9" s="883">
        <f t="shared" si="2"/>
        <v>0</v>
      </c>
      <c r="J9" s="884"/>
      <c r="K9" s="883"/>
      <c r="L9" s="883"/>
      <c r="M9" s="883"/>
      <c r="N9" s="885">
        <f t="shared" ref="N9:O17" si="10">C9</f>
        <v>0</v>
      </c>
      <c r="O9" s="883">
        <f t="shared" si="10"/>
        <v>0</v>
      </c>
      <c r="P9" s="883">
        <f t="shared" ref="P9:P16" si="11">E9-K9</f>
        <v>0</v>
      </c>
      <c r="Q9" s="883">
        <f t="shared" ref="Q9:S17" si="12">F9</f>
        <v>0</v>
      </c>
      <c r="R9" s="883">
        <f t="shared" si="12"/>
        <v>0</v>
      </c>
      <c r="S9" s="886">
        <f t="shared" si="12"/>
        <v>0</v>
      </c>
      <c r="T9" s="883">
        <f>SUM(N9:S9)</f>
        <v>0</v>
      </c>
      <c r="U9" s="887">
        <f>HLOOKUP($B$2,Factors!$J$12:$BE$25,Factors!$H13,FALSE)</f>
        <v>26.155796779903174</v>
      </c>
      <c r="V9" s="885">
        <f t="shared" ref="V9:V17" si="13">N9*$U9*TbtuToQBtu</f>
        <v>0</v>
      </c>
      <c r="W9" s="883">
        <f t="shared" ref="W9:W17" si="14">O9*$U9*TbtuToQBtu</f>
        <v>0</v>
      </c>
      <c r="X9" s="883">
        <f t="shared" ref="X9:X16" si="15">P9*$U9*TbtuToQBtu</f>
        <v>0</v>
      </c>
      <c r="Y9" s="883">
        <f t="shared" ref="Y9:Y17" si="16">Q9*$U9*TbtuToQBtu</f>
        <v>0</v>
      </c>
      <c r="Z9" s="883">
        <f t="shared" ref="Z9:Z17" si="17">R9*$U9*TbtuToQBtu</f>
        <v>0</v>
      </c>
      <c r="AA9" s="883">
        <f t="shared" ref="AA9:AA16" si="18">S9*$U9*TbtuToQBtu</f>
        <v>0</v>
      </c>
      <c r="AB9" s="883">
        <f t="shared" ref="AB9:AB43" si="19">SUM(V9:AA9)</f>
        <v>0</v>
      </c>
      <c r="AC9" s="888">
        <f>Factors!E10</f>
        <v>1</v>
      </c>
      <c r="AD9" s="885">
        <f t="shared" ref="AD9:AI17" si="20">V9*$AC9</f>
        <v>0</v>
      </c>
      <c r="AE9" s="883">
        <f t="shared" si="20"/>
        <v>0</v>
      </c>
      <c r="AF9" s="883">
        <f t="shared" si="20"/>
        <v>0</v>
      </c>
      <c r="AG9" s="883">
        <f t="shared" si="20"/>
        <v>0</v>
      </c>
      <c r="AH9" s="883">
        <f t="shared" si="20"/>
        <v>0</v>
      </c>
      <c r="AI9" s="883">
        <f t="shared" si="20"/>
        <v>0</v>
      </c>
      <c r="AJ9" s="889">
        <f t="shared" si="7"/>
        <v>0</v>
      </c>
      <c r="AK9" s="885">
        <f>AD9*CtoCO2</f>
        <v>0</v>
      </c>
      <c r="AL9" s="883">
        <f t="shared" ref="AL9:AL42" si="21">AE9*CtoCO2</f>
        <v>0</v>
      </c>
      <c r="AM9" s="883">
        <f t="shared" ref="AM9:AM42" si="22">AF9*CtoCO2</f>
        <v>0</v>
      </c>
      <c r="AN9" s="883">
        <f t="shared" ref="AN9:AN42" si="23">AG9*CtoCO2</f>
        <v>0</v>
      </c>
      <c r="AO9" s="883">
        <f t="shared" ref="AO9:AO41" si="24">AH9*CtoCO2</f>
        <v>0</v>
      </c>
      <c r="AP9" s="883">
        <f t="shared" ref="AP9:AP41" si="25">AI9*CtoCO2</f>
        <v>0</v>
      </c>
      <c r="AQ9" s="890">
        <f t="shared" si="9"/>
        <v>0</v>
      </c>
    </row>
    <row r="10" spans="1:43">
      <c r="A10" s="817"/>
      <c r="B10" s="860" t="s">
        <v>1733</v>
      </c>
      <c r="C10" s="883"/>
      <c r="D10" s="883">
        <f>HLOOKUP($B$2,'Consumption Input'!$E$5:$AQ$82,'Consumption Input'!$B13)</f>
        <v>14.914999999999999</v>
      </c>
      <c r="E10" s="883"/>
      <c r="F10" s="883"/>
      <c r="G10" s="883"/>
      <c r="H10" s="883"/>
      <c r="I10" s="883">
        <f t="shared" si="2"/>
        <v>14.914999999999999</v>
      </c>
      <c r="J10" s="884"/>
      <c r="K10" s="883"/>
      <c r="L10" s="883"/>
      <c r="M10" s="883"/>
      <c r="N10" s="885">
        <f t="shared" si="10"/>
        <v>0</v>
      </c>
      <c r="O10" s="883">
        <f t="shared" si="10"/>
        <v>14.914999999999999</v>
      </c>
      <c r="P10" s="883">
        <f t="shared" si="11"/>
        <v>0</v>
      </c>
      <c r="Q10" s="883">
        <f t="shared" si="12"/>
        <v>0</v>
      </c>
      <c r="R10" s="883">
        <f t="shared" si="12"/>
        <v>0</v>
      </c>
      <c r="S10" s="886">
        <f t="shared" si="12"/>
        <v>0</v>
      </c>
      <c r="T10" s="883">
        <f t="shared" si="4"/>
        <v>14.914999999999999</v>
      </c>
      <c r="U10" s="887">
        <f>HLOOKUP($B$2,Factors!$J$12:$BE$25,Factors!$H14,FALSE)</f>
        <v>26.155796779903174</v>
      </c>
      <c r="V10" s="885">
        <f t="shared" si="13"/>
        <v>0</v>
      </c>
      <c r="W10" s="883">
        <f t="shared" si="14"/>
        <v>0.39011370897225583</v>
      </c>
      <c r="X10" s="883">
        <f t="shared" si="15"/>
        <v>0</v>
      </c>
      <c r="Y10" s="883">
        <f t="shared" si="16"/>
        <v>0</v>
      </c>
      <c r="Z10" s="883">
        <f t="shared" si="17"/>
        <v>0</v>
      </c>
      <c r="AA10" s="883">
        <f t="shared" si="18"/>
        <v>0</v>
      </c>
      <c r="AB10" s="883">
        <f t="shared" si="19"/>
        <v>0.39011370897225583</v>
      </c>
      <c r="AC10" s="888">
        <f>Factors!E11</f>
        <v>1</v>
      </c>
      <c r="AD10" s="885">
        <f t="shared" si="20"/>
        <v>0</v>
      </c>
      <c r="AE10" s="883">
        <f t="shared" si="20"/>
        <v>0.39011370897225583</v>
      </c>
      <c r="AF10" s="883">
        <f t="shared" si="20"/>
        <v>0</v>
      </c>
      <c r="AG10" s="883">
        <f t="shared" si="20"/>
        <v>0</v>
      </c>
      <c r="AH10" s="883">
        <f t="shared" si="20"/>
        <v>0</v>
      </c>
      <c r="AI10" s="883">
        <f t="shared" si="20"/>
        <v>0</v>
      </c>
      <c r="AJ10" s="889">
        <f t="shared" si="7"/>
        <v>0.39011370897225583</v>
      </c>
      <c r="AK10" s="885">
        <f t="shared" ref="AK10:AK42" si="26">AD10*CtoCO2</f>
        <v>0</v>
      </c>
      <c r="AL10" s="883">
        <f t="shared" si="21"/>
        <v>1.4304169328982714</v>
      </c>
      <c r="AM10" s="883">
        <f t="shared" si="22"/>
        <v>0</v>
      </c>
      <c r="AN10" s="883">
        <f t="shared" si="23"/>
        <v>0</v>
      </c>
      <c r="AO10" s="883">
        <f t="shared" si="24"/>
        <v>0</v>
      </c>
      <c r="AP10" s="883">
        <f t="shared" si="25"/>
        <v>0</v>
      </c>
      <c r="AQ10" s="890">
        <f t="shared" si="9"/>
        <v>1.4304169328982714</v>
      </c>
    </row>
    <row r="11" spans="1:43" s="244" customFormat="1" hidden="1">
      <c r="A11" s="861"/>
      <c r="B11" s="862" t="s">
        <v>1734</v>
      </c>
      <c r="C11" s="891"/>
      <c r="D11" s="891"/>
      <c r="E11" s="891">
        <f>HLOOKUP($B$2,'Consumption Input'!$E$5:$AQ$82,'Consumption Input'!$B23)</f>
        <v>77.879517773454495</v>
      </c>
      <c r="F11" s="891"/>
      <c r="G11" s="891"/>
      <c r="H11" s="891"/>
      <c r="I11" s="891">
        <f t="shared" si="2"/>
        <v>77.879517773454495</v>
      </c>
      <c r="J11" s="892"/>
      <c r="K11" s="891">
        <f>HLOOKUP($B$2,NEUConsumption,'Non-Energy Use'!$C$7)</f>
        <v>77.879517773454495</v>
      </c>
      <c r="L11" s="891"/>
      <c r="M11" s="891"/>
      <c r="N11" s="893">
        <f t="shared" si="10"/>
        <v>0</v>
      </c>
      <c r="O11" s="891">
        <f t="shared" si="10"/>
        <v>0</v>
      </c>
      <c r="P11" s="891">
        <f>E11-K11</f>
        <v>0</v>
      </c>
      <c r="Q11" s="891">
        <f t="shared" si="12"/>
        <v>0</v>
      </c>
      <c r="R11" s="891">
        <f t="shared" si="12"/>
        <v>0</v>
      </c>
      <c r="S11" s="894">
        <f t="shared" si="12"/>
        <v>0</v>
      </c>
      <c r="T11" s="891">
        <f t="shared" si="4"/>
        <v>0</v>
      </c>
      <c r="U11" s="1013">
        <f>HLOOKUP($B$2,Factors!$J$12:$BE$28,Factors!$H28,FALSE)</f>
        <v>25.59791634553288</v>
      </c>
      <c r="V11" s="893">
        <f t="shared" si="13"/>
        <v>0</v>
      </c>
      <c r="W11" s="891">
        <f t="shared" si="14"/>
        <v>0</v>
      </c>
      <c r="X11" s="891">
        <f>P11*$U11*TbtuToQBtu</f>
        <v>0</v>
      </c>
      <c r="Y11" s="891">
        <f t="shared" si="16"/>
        <v>0</v>
      </c>
      <c r="Z11" s="891">
        <f t="shared" si="17"/>
        <v>0</v>
      </c>
      <c r="AA11" s="891">
        <f t="shared" si="18"/>
        <v>0</v>
      </c>
      <c r="AB11" s="891">
        <f>SUM(V11:AA11)</f>
        <v>0</v>
      </c>
      <c r="AC11" s="896">
        <f>Factors!E12</f>
        <v>1</v>
      </c>
      <c r="AD11" s="893">
        <f t="shared" si="20"/>
        <v>0</v>
      </c>
      <c r="AE11" s="891">
        <f t="shared" si="20"/>
        <v>0</v>
      </c>
      <c r="AF11" s="891">
        <f t="shared" si="20"/>
        <v>0</v>
      </c>
      <c r="AG11" s="891">
        <f t="shared" si="20"/>
        <v>0</v>
      </c>
      <c r="AH11" s="891">
        <f t="shared" si="20"/>
        <v>0</v>
      </c>
      <c r="AI11" s="891">
        <f t="shared" si="20"/>
        <v>0</v>
      </c>
      <c r="AJ11" s="897">
        <f t="shared" si="7"/>
        <v>0</v>
      </c>
      <c r="AK11" s="893">
        <f t="shared" si="26"/>
        <v>0</v>
      </c>
      <c r="AL11" s="891">
        <f t="shared" si="21"/>
        <v>0</v>
      </c>
      <c r="AM11" s="891">
        <f t="shared" si="22"/>
        <v>0</v>
      </c>
      <c r="AN11" s="891">
        <f t="shared" si="23"/>
        <v>0</v>
      </c>
      <c r="AO11" s="891">
        <f t="shared" si="24"/>
        <v>0</v>
      </c>
      <c r="AP11" s="891">
        <f t="shared" si="25"/>
        <v>0</v>
      </c>
      <c r="AQ11" s="898">
        <f t="shared" si="9"/>
        <v>0</v>
      </c>
    </row>
    <row r="12" spans="1:43">
      <c r="A12" s="817"/>
      <c r="B12" s="860" t="s">
        <v>1701</v>
      </c>
      <c r="C12" s="883"/>
      <c r="D12" s="883"/>
      <c r="E12" s="883">
        <f>HLOOKUP($B$2,'Consumption Input'!$E$5:$AQ$82,'Consumption Input'!$B24)</f>
        <v>459.13064043692577</v>
      </c>
      <c r="F12" s="883"/>
      <c r="G12" s="883"/>
      <c r="H12" s="883"/>
      <c r="I12" s="883">
        <f t="shared" si="2"/>
        <v>459.13064043692577</v>
      </c>
      <c r="J12" s="884"/>
      <c r="K12" s="883">
        <f>HLOOKUP($B$2,NEUConsumption,'Non-Energy Use'!$C$8)</f>
        <v>9.4672439396515937</v>
      </c>
      <c r="L12" s="883"/>
      <c r="M12" s="883"/>
      <c r="N12" s="885">
        <f t="shared" si="10"/>
        <v>0</v>
      </c>
      <c r="O12" s="883">
        <f t="shared" si="10"/>
        <v>0</v>
      </c>
      <c r="P12" s="883">
        <f t="shared" si="11"/>
        <v>449.66339649727416</v>
      </c>
      <c r="Q12" s="883">
        <f t="shared" si="12"/>
        <v>0</v>
      </c>
      <c r="R12" s="883">
        <f t="shared" si="12"/>
        <v>0</v>
      </c>
      <c r="S12" s="886">
        <f t="shared" si="12"/>
        <v>0</v>
      </c>
      <c r="T12" s="883">
        <f t="shared" si="4"/>
        <v>449.66339649727416</v>
      </c>
      <c r="U12" s="887">
        <f>HLOOKUP($B$2,Factors!$J$12:$BE$25,Factors!$H15,FALSE)</f>
        <v>26.096126973845443</v>
      </c>
      <c r="V12" s="885">
        <f t="shared" si="13"/>
        <v>0</v>
      </c>
      <c r="W12" s="883">
        <f t="shared" si="14"/>
        <v>0</v>
      </c>
      <c r="X12" s="883">
        <f t="shared" si="15"/>
        <v>11.734473090483474</v>
      </c>
      <c r="Y12" s="883">
        <f t="shared" si="16"/>
        <v>0</v>
      </c>
      <c r="Z12" s="883">
        <f t="shared" si="17"/>
        <v>0</v>
      </c>
      <c r="AA12" s="883">
        <f t="shared" si="18"/>
        <v>0</v>
      </c>
      <c r="AB12" s="883">
        <f t="shared" si="19"/>
        <v>11.734473090483474</v>
      </c>
      <c r="AC12" s="888">
        <f>Factors!E13</f>
        <v>1</v>
      </c>
      <c r="AD12" s="885">
        <f t="shared" si="20"/>
        <v>0</v>
      </c>
      <c r="AE12" s="883">
        <f t="shared" si="20"/>
        <v>0</v>
      </c>
      <c r="AF12" s="883">
        <f>X12*$AC12</f>
        <v>11.734473090483474</v>
      </c>
      <c r="AG12" s="883">
        <f t="shared" si="20"/>
        <v>0</v>
      </c>
      <c r="AH12" s="883">
        <f t="shared" si="20"/>
        <v>0</v>
      </c>
      <c r="AI12" s="883">
        <f t="shared" si="20"/>
        <v>0</v>
      </c>
      <c r="AJ12" s="889">
        <f t="shared" si="7"/>
        <v>11.734473090483474</v>
      </c>
      <c r="AK12" s="885">
        <f t="shared" si="26"/>
        <v>0</v>
      </c>
      <c r="AL12" s="883">
        <f t="shared" si="21"/>
        <v>0</v>
      </c>
      <c r="AM12" s="883">
        <f>AF12*CtoCO2</f>
        <v>43.026401331772739</v>
      </c>
      <c r="AN12" s="883">
        <f t="shared" si="23"/>
        <v>0</v>
      </c>
      <c r="AO12" s="883">
        <f t="shared" si="24"/>
        <v>0</v>
      </c>
      <c r="AP12" s="883">
        <f t="shared" si="25"/>
        <v>0</v>
      </c>
      <c r="AQ12" s="890">
        <f t="shared" si="9"/>
        <v>43.026401331772739</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10"/>
        <v>0</v>
      </c>
      <c r="O13" s="891">
        <f t="shared" si="10"/>
        <v>0</v>
      </c>
      <c r="P13" s="891">
        <f t="shared" si="11"/>
        <v>0</v>
      </c>
      <c r="Q13" s="891">
        <f t="shared" si="12"/>
        <v>0</v>
      </c>
      <c r="R13" s="891">
        <f t="shared" si="12"/>
        <v>0</v>
      </c>
      <c r="S13" s="894">
        <f t="shared" si="12"/>
        <v>0</v>
      </c>
      <c r="T13" s="891">
        <f t="shared" si="4"/>
        <v>0</v>
      </c>
      <c r="U13" s="895">
        <f>Factors!D14</f>
        <v>27.85</v>
      </c>
      <c r="V13" s="893">
        <f t="shared" si="13"/>
        <v>0</v>
      </c>
      <c r="W13" s="891">
        <f t="shared" si="14"/>
        <v>0</v>
      </c>
      <c r="X13" s="891">
        <f t="shared" si="15"/>
        <v>0</v>
      </c>
      <c r="Y13" s="891">
        <f t="shared" si="16"/>
        <v>0</v>
      </c>
      <c r="Z13" s="891">
        <f t="shared" si="17"/>
        <v>0</v>
      </c>
      <c r="AA13" s="891">
        <f t="shared" si="18"/>
        <v>0</v>
      </c>
      <c r="AB13" s="883">
        <f t="shared" si="19"/>
        <v>0</v>
      </c>
      <c r="AC13" s="896">
        <f>Factors!E14</f>
        <v>1</v>
      </c>
      <c r="AD13" s="893">
        <f t="shared" si="20"/>
        <v>0</v>
      </c>
      <c r="AE13" s="891">
        <f t="shared" si="20"/>
        <v>0</v>
      </c>
      <c r="AF13" s="891">
        <f t="shared" si="20"/>
        <v>0</v>
      </c>
      <c r="AG13" s="891">
        <f t="shared" si="20"/>
        <v>0</v>
      </c>
      <c r="AH13" s="891">
        <f t="shared" si="20"/>
        <v>0</v>
      </c>
      <c r="AI13" s="891">
        <f t="shared" si="20"/>
        <v>0</v>
      </c>
      <c r="AJ13" s="897">
        <f t="shared" si="7"/>
        <v>0</v>
      </c>
      <c r="AK13" s="893">
        <f t="shared" si="26"/>
        <v>0</v>
      </c>
      <c r="AL13" s="891">
        <f t="shared" si="21"/>
        <v>0</v>
      </c>
      <c r="AM13" s="891">
        <f t="shared" si="22"/>
        <v>0</v>
      </c>
      <c r="AN13" s="891">
        <f t="shared" si="23"/>
        <v>0</v>
      </c>
      <c r="AO13" s="891">
        <f t="shared" si="24"/>
        <v>0</v>
      </c>
      <c r="AP13" s="891">
        <f t="shared" si="25"/>
        <v>0</v>
      </c>
      <c r="AQ13" s="890">
        <f t="shared" si="9"/>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10"/>
        <v>0</v>
      </c>
      <c r="O14" s="883">
        <f t="shared" si="10"/>
        <v>0</v>
      </c>
      <c r="P14" s="883">
        <f t="shared" si="11"/>
        <v>0</v>
      </c>
      <c r="Q14" s="883">
        <f t="shared" si="12"/>
        <v>0</v>
      </c>
      <c r="R14" s="883">
        <f t="shared" si="12"/>
        <v>0</v>
      </c>
      <c r="S14" s="886">
        <f t="shared" si="12"/>
        <v>0</v>
      </c>
      <c r="T14" s="883">
        <f t="shared" si="4"/>
        <v>0</v>
      </c>
      <c r="U14" s="887" t="str">
        <f>Factors!D15</f>
        <v>NC</v>
      </c>
      <c r="V14" s="885">
        <f t="shared" si="13"/>
        <v>0</v>
      </c>
      <c r="W14" s="883">
        <f t="shared" si="14"/>
        <v>0</v>
      </c>
      <c r="X14" s="883">
        <f t="shared" si="15"/>
        <v>0</v>
      </c>
      <c r="Y14" s="883">
        <f t="shared" si="16"/>
        <v>0</v>
      </c>
      <c r="Z14" s="883">
        <f t="shared" si="17"/>
        <v>0</v>
      </c>
      <c r="AA14" s="883">
        <f t="shared" si="18"/>
        <v>0</v>
      </c>
      <c r="AB14" s="883">
        <f t="shared" si="19"/>
        <v>0</v>
      </c>
      <c r="AC14" s="888" t="str">
        <f>Factors!E15</f>
        <v>NC</v>
      </c>
      <c r="AD14" s="885">
        <f t="shared" si="20"/>
        <v>0</v>
      </c>
      <c r="AE14" s="883">
        <f t="shared" si="20"/>
        <v>0</v>
      </c>
      <c r="AF14" s="883">
        <f t="shared" si="20"/>
        <v>0</v>
      </c>
      <c r="AG14" s="883">
        <f t="shared" si="20"/>
        <v>0</v>
      </c>
      <c r="AH14" s="883">
        <f t="shared" si="20"/>
        <v>0</v>
      </c>
      <c r="AI14" s="883">
        <f t="shared" si="20"/>
        <v>0</v>
      </c>
      <c r="AJ14" s="889">
        <f t="shared" si="7"/>
        <v>0</v>
      </c>
      <c r="AK14" s="885">
        <f t="shared" si="26"/>
        <v>0</v>
      </c>
      <c r="AL14" s="883">
        <f t="shared" si="21"/>
        <v>0</v>
      </c>
      <c r="AM14" s="883">
        <f t="shared" si="22"/>
        <v>0</v>
      </c>
      <c r="AN14" s="883">
        <f t="shared" si="23"/>
        <v>0</v>
      </c>
      <c r="AO14" s="883">
        <f t="shared" si="24"/>
        <v>0</v>
      </c>
      <c r="AP14" s="883">
        <f t="shared" si="25"/>
        <v>0</v>
      </c>
      <c r="AQ14" s="890">
        <f t="shared" si="9"/>
        <v>0</v>
      </c>
    </row>
    <row r="15" spans="1:43">
      <c r="A15" s="817"/>
      <c r="B15" s="860" t="s">
        <v>1736</v>
      </c>
      <c r="C15" s="883"/>
      <c r="D15" s="883"/>
      <c r="E15" s="883"/>
      <c r="F15" s="883"/>
      <c r="G15" s="883">
        <f>HLOOKUP($B$2,'Consumption Input'!$E$5:$AQ$82,'Consumption Input'!$B58)</f>
        <v>9497.6719999999987</v>
      </c>
      <c r="H15" s="883"/>
      <c r="I15" s="883">
        <f t="shared" si="2"/>
        <v>9497.6719999999987</v>
      </c>
      <c r="J15" s="884"/>
      <c r="K15" s="883"/>
      <c r="L15" s="883"/>
      <c r="M15" s="883"/>
      <c r="N15" s="885">
        <f t="shared" si="10"/>
        <v>0</v>
      </c>
      <c r="O15" s="883">
        <f t="shared" si="10"/>
        <v>0</v>
      </c>
      <c r="P15" s="883">
        <f t="shared" si="11"/>
        <v>0</v>
      </c>
      <c r="Q15" s="883">
        <f t="shared" si="12"/>
        <v>0</v>
      </c>
      <c r="R15" s="883">
        <f t="shared" si="12"/>
        <v>9497.6719999999987</v>
      </c>
      <c r="S15" s="886">
        <f t="shared" si="12"/>
        <v>0</v>
      </c>
      <c r="T15" s="883">
        <f t="shared" si="4"/>
        <v>9497.6719999999987</v>
      </c>
      <c r="U15" s="887">
        <f>HLOOKUP($B$2,Factors!$J$12:$BE$25,Factors!$H16,FALSE)</f>
        <v>26.132656264652134</v>
      </c>
      <c r="V15" s="885">
        <f t="shared" si="13"/>
        <v>0</v>
      </c>
      <c r="W15" s="883">
        <f t="shared" si="14"/>
        <v>0</v>
      </c>
      <c r="X15" s="883">
        <f t="shared" si="15"/>
        <v>0</v>
      </c>
      <c r="Y15" s="883">
        <f t="shared" si="16"/>
        <v>0</v>
      </c>
      <c r="Z15" s="883">
        <f t="shared" si="17"/>
        <v>248.19939769041113</v>
      </c>
      <c r="AA15" s="883">
        <f t="shared" si="18"/>
        <v>0</v>
      </c>
      <c r="AB15" s="883">
        <f t="shared" si="19"/>
        <v>248.19939769041113</v>
      </c>
      <c r="AC15" s="888">
        <f>Factors!E16</f>
        <v>1</v>
      </c>
      <c r="AD15" s="885">
        <f t="shared" si="20"/>
        <v>0</v>
      </c>
      <c r="AE15" s="883">
        <f t="shared" si="20"/>
        <v>0</v>
      </c>
      <c r="AF15" s="883">
        <f t="shared" si="20"/>
        <v>0</v>
      </c>
      <c r="AG15" s="883">
        <f t="shared" si="20"/>
        <v>0</v>
      </c>
      <c r="AH15" s="883">
        <f t="shared" si="20"/>
        <v>248.19939769041113</v>
      </c>
      <c r="AI15" s="883">
        <f t="shared" si="20"/>
        <v>0</v>
      </c>
      <c r="AJ15" s="889">
        <f t="shared" si="7"/>
        <v>248.19939769041113</v>
      </c>
      <c r="AK15" s="885">
        <f t="shared" si="26"/>
        <v>0</v>
      </c>
      <c r="AL15" s="883">
        <f t="shared" si="21"/>
        <v>0</v>
      </c>
      <c r="AM15" s="883">
        <f t="shared" si="22"/>
        <v>0</v>
      </c>
      <c r="AN15" s="883">
        <f t="shared" si="23"/>
        <v>0</v>
      </c>
      <c r="AO15" s="883">
        <f t="shared" si="24"/>
        <v>910.06445819817407</v>
      </c>
      <c r="AP15" s="883">
        <f t="shared" si="25"/>
        <v>0</v>
      </c>
      <c r="AQ15" s="890">
        <f t="shared" si="9"/>
        <v>910.06445819817407</v>
      </c>
    </row>
    <row r="16" spans="1:43">
      <c r="A16" s="817"/>
      <c r="B16" s="860" t="s">
        <v>1737</v>
      </c>
      <c r="C16" s="883"/>
      <c r="D16" s="883"/>
      <c r="E16" s="883"/>
      <c r="F16" s="883"/>
      <c r="G16" s="883"/>
      <c r="H16" s="883">
        <f>HLOOKUP($B$2,'US Territories'!$D$28:$AO$38,'US Territories'!$B29)</f>
        <v>31.336178988899004</v>
      </c>
      <c r="I16" s="883">
        <f t="shared" si="2"/>
        <v>31.336178988899004</v>
      </c>
      <c r="J16" s="884"/>
      <c r="K16" s="883"/>
      <c r="L16" s="883"/>
      <c r="M16" s="883"/>
      <c r="N16" s="885">
        <f t="shared" si="10"/>
        <v>0</v>
      </c>
      <c r="O16" s="883">
        <f t="shared" si="10"/>
        <v>0</v>
      </c>
      <c r="P16" s="883">
        <f t="shared" si="11"/>
        <v>0</v>
      </c>
      <c r="Q16" s="883">
        <f t="shared" si="12"/>
        <v>0</v>
      </c>
      <c r="R16" s="883">
        <f t="shared" si="12"/>
        <v>0</v>
      </c>
      <c r="S16" s="886">
        <f>H16</f>
        <v>31.336178988899004</v>
      </c>
      <c r="T16" s="883">
        <f t="shared" si="4"/>
        <v>31.336178988899004</v>
      </c>
      <c r="U16" s="887">
        <f>Factors!D17</f>
        <v>25.14</v>
      </c>
      <c r="V16" s="899">
        <f t="shared" si="13"/>
        <v>0</v>
      </c>
      <c r="W16" s="900">
        <f t="shared" si="14"/>
        <v>0</v>
      </c>
      <c r="X16" s="900">
        <f t="shared" si="15"/>
        <v>0</v>
      </c>
      <c r="Y16" s="900">
        <f t="shared" si="16"/>
        <v>0</v>
      </c>
      <c r="Z16" s="900">
        <f t="shared" si="17"/>
        <v>0</v>
      </c>
      <c r="AA16" s="900">
        <f t="shared" si="18"/>
        <v>0.78779153978092098</v>
      </c>
      <c r="AB16" s="883">
        <f t="shared" si="19"/>
        <v>0.78779153978092098</v>
      </c>
      <c r="AC16" s="888">
        <f>Factors!E17</f>
        <v>1</v>
      </c>
      <c r="AD16" s="899">
        <f t="shared" si="20"/>
        <v>0</v>
      </c>
      <c r="AE16" s="900">
        <f t="shared" si="20"/>
        <v>0</v>
      </c>
      <c r="AF16" s="900">
        <f t="shared" si="20"/>
        <v>0</v>
      </c>
      <c r="AG16" s="900">
        <f t="shared" si="20"/>
        <v>0</v>
      </c>
      <c r="AH16" s="900">
        <f t="shared" si="20"/>
        <v>0</v>
      </c>
      <c r="AI16" s="900">
        <f t="shared" si="20"/>
        <v>0.78779153978092098</v>
      </c>
      <c r="AJ16" s="889">
        <f t="shared" si="7"/>
        <v>0.78779153978092098</v>
      </c>
      <c r="AK16" s="885">
        <f t="shared" si="26"/>
        <v>0</v>
      </c>
      <c r="AL16" s="883">
        <f t="shared" si="21"/>
        <v>0</v>
      </c>
      <c r="AM16" s="883">
        <f t="shared" si="22"/>
        <v>0</v>
      </c>
      <c r="AN16" s="883">
        <f t="shared" si="23"/>
        <v>0</v>
      </c>
      <c r="AO16" s="883">
        <f t="shared" si="24"/>
        <v>0</v>
      </c>
      <c r="AP16" s="883">
        <f t="shared" si="25"/>
        <v>2.8885689791967102</v>
      </c>
      <c r="AQ16" s="890">
        <f t="shared" si="9"/>
        <v>2.8885689791967102</v>
      </c>
    </row>
    <row r="17" spans="1:43">
      <c r="A17" s="817"/>
      <c r="B17" s="863" t="s">
        <v>1439</v>
      </c>
      <c r="C17" s="901">
        <f>HLOOKUP($B$2,'Consumption Input'!$E$5:$AQ$82,'Consumption Input'!$B8)</f>
        <v>4888.8850000000002</v>
      </c>
      <c r="D17" s="901">
        <f>HLOOKUP($B$2,'Consumption Input'!$E$5:$AQ$82,'Consumption Input'!$B14)</f>
        <v>3409.1750000000002</v>
      </c>
      <c r="E17" s="901">
        <f>HLOOKUP($B$2,'Consumption Input'!$E$5:$AQ$82,'Consumption Input'!$B26)</f>
        <v>10204.388517767327</v>
      </c>
      <c r="F17" s="901">
        <f>HLOOKUP($B$2,'Consumption Input'!$E$5:$AQ$82,'Consumption Input'!$B49)</f>
        <v>1232.2249999999999</v>
      </c>
      <c r="G17" s="901">
        <f>HLOOKUP($B$2,'Consumption Input'!$E$5:$AQ$82,'Consumption Input'!$B59)</f>
        <v>11582.584999999999</v>
      </c>
      <c r="H17" s="902">
        <f>HLOOKUP($B$2,'US Territories'!$D$28:$AO$38,'US Territories'!$B30)</f>
        <v>74.144902688000002</v>
      </c>
      <c r="I17" s="901">
        <f t="shared" si="2"/>
        <v>31391.403420455325</v>
      </c>
      <c r="J17" s="903"/>
      <c r="K17" s="901">
        <f>HLOOKUP($B$2,NEUConsumption,'Non-Energy Use'!$C$9)</f>
        <v>731.45600000000002</v>
      </c>
      <c r="L17" s="901"/>
      <c r="M17" s="901"/>
      <c r="N17" s="904">
        <f t="shared" si="10"/>
        <v>4888.8850000000002</v>
      </c>
      <c r="O17" s="901">
        <f t="shared" si="10"/>
        <v>3409.1750000000002</v>
      </c>
      <c r="P17" s="901">
        <f>E17-K17</f>
        <v>9472.9325177673272</v>
      </c>
      <c r="Q17" s="901">
        <f t="shared" si="12"/>
        <v>1232.2249999999999</v>
      </c>
      <c r="R17" s="901">
        <f t="shared" si="12"/>
        <v>11582.584999999999</v>
      </c>
      <c r="S17" s="902">
        <f t="shared" si="12"/>
        <v>74.144902688000002</v>
      </c>
      <c r="T17" s="901">
        <f t="shared" si="4"/>
        <v>30659.947420455326</v>
      </c>
      <c r="U17" s="905">
        <f>HLOOKUP($B$2,Factors!$J$12:$BE$26,Factors!$H26,FALSE)</f>
        <v>14.428670083895854</v>
      </c>
      <c r="V17" s="901">
        <f t="shared" si="13"/>
        <v>70.540108743107183</v>
      </c>
      <c r="W17" s="901">
        <f t="shared" si="14"/>
        <v>49.189861333265654</v>
      </c>
      <c r="X17" s="901">
        <f>P17*$U17*TbtuToQBtu</f>
        <v>136.68181802587367</v>
      </c>
      <c r="Y17" s="901">
        <f t="shared" si="16"/>
        <v>17.779367994128567</v>
      </c>
      <c r="Z17" s="901">
        <f t="shared" si="17"/>
        <v>167.12129768368084</v>
      </c>
      <c r="AA17" s="901">
        <f>S17*$U17*TbtuToQBtu</f>
        <v>1.0698123392877148</v>
      </c>
      <c r="AB17" s="901">
        <f t="shared" si="19"/>
        <v>442.38226611934363</v>
      </c>
      <c r="AC17" s="906">
        <f>Factors!E19</f>
        <v>1</v>
      </c>
      <c r="AD17" s="904">
        <f t="shared" si="20"/>
        <v>70.540108743107183</v>
      </c>
      <c r="AE17" s="901">
        <f>W17*$AC17</f>
        <v>49.189861333265654</v>
      </c>
      <c r="AF17" s="901">
        <f>X17*$AC17</f>
        <v>136.68181802587367</v>
      </c>
      <c r="AG17" s="901">
        <f t="shared" si="20"/>
        <v>17.779367994128567</v>
      </c>
      <c r="AH17" s="901">
        <f t="shared" si="20"/>
        <v>167.12129768368084</v>
      </c>
      <c r="AI17" s="901">
        <f t="shared" si="20"/>
        <v>1.0698123392877148</v>
      </c>
      <c r="AJ17" s="901">
        <f t="shared" si="7"/>
        <v>442.38226611934363</v>
      </c>
      <c r="AK17" s="904">
        <f t="shared" si="26"/>
        <v>258.64706539139297</v>
      </c>
      <c r="AL17" s="901">
        <f t="shared" si="21"/>
        <v>180.36282488864072</v>
      </c>
      <c r="AM17" s="901">
        <f t="shared" si="22"/>
        <v>501.1666660948701</v>
      </c>
      <c r="AN17" s="901">
        <f t="shared" si="23"/>
        <v>65.191015978471412</v>
      </c>
      <c r="AO17" s="901">
        <f t="shared" si="24"/>
        <v>612.7780915068297</v>
      </c>
      <c r="AP17" s="901">
        <f>AI17*CtoCO2</f>
        <v>3.9226452440549542</v>
      </c>
      <c r="AQ17" s="907">
        <f t="shared" si="9"/>
        <v>1622.0683091042599</v>
      </c>
    </row>
    <row r="18" spans="1:43">
      <c r="A18" s="817"/>
      <c r="B18" s="864" t="s">
        <v>1440</v>
      </c>
      <c r="C18" s="908">
        <f t="shared" ref="C18:H18" si="27">SUM(C19:C41)</f>
        <v>874.77534113425963</v>
      </c>
      <c r="D18" s="908">
        <f t="shared" si="27"/>
        <v>799.40792739425467</v>
      </c>
      <c r="E18" s="908">
        <f t="shared" si="27"/>
        <v>8099.3103647536809</v>
      </c>
      <c r="F18" s="908">
        <f t="shared" si="27"/>
        <v>24744.231358102577</v>
      </c>
      <c r="G18" s="908">
        <f t="shared" si="27"/>
        <v>205.01399999999998</v>
      </c>
      <c r="H18" s="908">
        <f t="shared" si="27"/>
        <v>234.8995572500362</v>
      </c>
      <c r="I18" s="908">
        <f t="shared" ref="I18:I25" si="28">SUM(C18:H18)</f>
        <v>34957.638548634815</v>
      </c>
      <c r="J18" s="909">
        <f t="shared" ref="J18:S18" si="29">SUM(J19:J41)</f>
        <v>1113.8507288550891</v>
      </c>
      <c r="K18" s="908">
        <f t="shared" si="29"/>
        <v>5097.6987849480192</v>
      </c>
      <c r="L18" s="908">
        <f t="shared" si="29"/>
        <v>119.03799999999998</v>
      </c>
      <c r="M18" s="908">
        <f t="shared" si="29"/>
        <v>1.0453579184999999</v>
      </c>
      <c r="N18" s="910">
        <f t="shared" si="29"/>
        <v>874.77534113425963</v>
      </c>
      <c r="O18" s="908">
        <f t="shared" si="29"/>
        <v>799.40792739425467</v>
      </c>
      <c r="P18" s="908">
        <f t="shared" si="29"/>
        <v>3001.6115798056608</v>
      </c>
      <c r="Q18" s="908">
        <f t="shared" si="29"/>
        <v>23511.342629247491</v>
      </c>
      <c r="R18" s="908">
        <f t="shared" si="29"/>
        <v>205.01399999999998</v>
      </c>
      <c r="S18" s="911">
        <f t="shared" si="29"/>
        <v>233.85419933153622</v>
      </c>
      <c r="T18" s="889">
        <f t="shared" si="4"/>
        <v>28626.005676913202</v>
      </c>
      <c r="U18" s="912" t="s">
        <v>1731</v>
      </c>
      <c r="V18" s="908">
        <f t="shared" ref="V18:AA18" si="30">SUM(V19:V41)</f>
        <v>16.196325411130822</v>
      </c>
      <c r="W18" s="908">
        <f t="shared" si="30"/>
        <v>15.200288933278896</v>
      </c>
      <c r="X18" s="908">
        <f t="shared" si="30"/>
        <v>61.265519066570633</v>
      </c>
      <c r="Y18" s="908">
        <f t="shared" si="30"/>
        <v>460.46042971117566</v>
      </c>
      <c r="Z18" s="908">
        <f t="shared" si="30"/>
        <v>4.8308760688907935</v>
      </c>
      <c r="AA18" s="908">
        <f t="shared" si="30"/>
        <v>4.6255880934798306</v>
      </c>
      <c r="AB18" s="908">
        <f t="shared" si="19"/>
        <v>562.57902728452655</v>
      </c>
      <c r="AC18" s="913" t="s">
        <v>1731</v>
      </c>
      <c r="AD18" s="910">
        <f>SUM(AD19:AD41)</f>
        <v>16.196325411130822</v>
      </c>
      <c r="AE18" s="908">
        <f t="shared" ref="AE18:AI18" si="31">SUM(AE19:AE41)</f>
        <v>15.200288933278896</v>
      </c>
      <c r="AF18" s="908">
        <f t="shared" si="31"/>
        <v>61.265519066570633</v>
      </c>
      <c r="AG18" s="908">
        <f>SUM(AG19:AG41)</f>
        <v>460.46042971117566</v>
      </c>
      <c r="AH18" s="908">
        <f t="shared" si="31"/>
        <v>4.8308760688907935</v>
      </c>
      <c r="AI18" s="908">
        <f t="shared" si="31"/>
        <v>4.6255880934798306</v>
      </c>
      <c r="AJ18" s="908">
        <f t="shared" si="7"/>
        <v>562.57902728452655</v>
      </c>
      <c r="AK18" s="914">
        <f t="shared" si="26"/>
        <v>59.38652650747968</v>
      </c>
      <c r="AL18" s="889">
        <f t="shared" si="21"/>
        <v>55.734392755355948</v>
      </c>
      <c r="AM18" s="889">
        <f t="shared" si="22"/>
        <v>224.64023657742564</v>
      </c>
      <c r="AN18" s="889">
        <f t="shared" si="23"/>
        <v>1688.3549089409773</v>
      </c>
      <c r="AO18" s="889">
        <f t="shared" si="24"/>
        <v>17.713212252599575</v>
      </c>
      <c r="AP18" s="889">
        <f>AI18*CtoCO2</f>
        <v>16.96048967609271</v>
      </c>
      <c r="AQ18" s="915">
        <f t="shared" si="9"/>
        <v>2062.7897667099305</v>
      </c>
    </row>
    <row r="19" spans="1:43">
      <c r="A19" s="817"/>
      <c r="B19" s="860" t="s">
        <v>1608</v>
      </c>
      <c r="C19" s="883"/>
      <c r="D19" s="883"/>
      <c r="E19" s="883">
        <f>HLOOKUP($B$2,'Consumption Input'!$E$5:$AQ$82,'Consumption Input'!$B27)</f>
        <v>898.08500000000004</v>
      </c>
      <c r="F19" s="883"/>
      <c r="G19" s="883"/>
      <c r="H19" s="883"/>
      <c r="I19" s="883">
        <f t="shared" si="28"/>
        <v>898.08500000000004</v>
      </c>
      <c r="J19" s="884"/>
      <c r="K19" s="883">
        <f>HLOOKUP($B$2,NEUConsumption,'Non-Energy Use'!$C$10)</f>
        <v>898.08500000000004</v>
      </c>
      <c r="L19" s="883"/>
      <c r="M19" s="883"/>
      <c r="N19" s="885">
        <f t="shared" ref="N19:O42" si="32">C19</f>
        <v>0</v>
      </c>
      <c r="O19" s="883">
        <f t="shared" si="32"/>
        <v>0</v>
      </c>
      <c r="P19" s="883">
        <f t="shared" ref="P19:P41" si="33">E19-K19</f>
        <v>0</v>
      </c>
      <c r="Q19" s="883">
        <f t="shared" ref="Q19:Q41" si="34">F19-J19-L19</f>
        <v>0</v>
      </c>
      <c r="R19" s="883">
        <f t="shared" ref="R19:R42" si="35">G19</f>
        <v>0</v>
      </c>
      <c r="S19" s="886">
        <f t="shared" ref="S19:S41" si="36">H19-M19</f>
        <v>0</v>
      </c>
      <c r="T19" s="883">
        <f t="shared" si="4"/>
        <v>0</v>
      </c>
      <c r="U19" s="887">
        <f>Factors!D24</f>
        <v>20.55318099621897</v>
      </c>
      <c r="V19" s="885">
        <f t="shared" ref="V19:V41" si="37">N19*$U19*TbtuToQBtu</f>
        <v>0</v>
      </c>
      <c r="W19" s="883">
        <f t="shared" ref="W19:W41" si="38">O19*$U19*TbtuToQBtu</f>
        <v>0</v>
      </c>
      <c r="X19" s="883">
        <f t="shared" ref="X19:X41" si="39">P19*$U19*TbtuToQBtu</f>
        <v>0</v>
      </c>
      <c r="Y19" s="883">
        <f t="shared" ref="Y19:Y41" si="40">Q19*$U19*TbtuToQBtu</f>
        <v>0</v>
      </c>
      <c r="Z19" s="883">
        <f t="shared" ref="Z19:Z41" si="41">R19*$U19*TbtuToQBtu</f>
        <v>0</v>
      </c>
      <c r="AA19" s="883">
        <f t="shared" ref="AA19:AA41" si="42">S19*$U19*TbtuToQBtu</f>
        <v>0</v>
      </c>
      <c r="AB19" s="883">
        <f t="shared" si="19"/>
        <v>0</v>
      </c>
      <c r="AC19" s="888">
        <f>Factors!E24</f>
        <v>1</v>
      </c>
      <c r="AD19" s="885">
        <f t="shared" ref="AD19:AI35" si="43">V19*$AC19</f>
        <v>0</v>
      </c>
      <c r="AE19" s="883">
        <f t="shared" si="43"/>
        <v>0</v>
      </c>
      <c r="AF19" s="883">
        <f t="shared" si="43"/>
        <v>0</v>
      </c>
      <c r="AG19" s="883">
        <f t="shared" si="43"/>
        <v>0</v>
      </c>
      <c r="AH19" s="883">
        <f t="shared" si="43"/>
        <v>0</v>
      </c>
      <c r="AI19" s="883">
        <f t="shared" si="43"/>
        <v>0</v>
      </c>
      <c r="AJ19" s="889">
        <f t="shared" si="7"/>
        <v>0</v>
      </c>
      <c r="AK19" s="885">
        <f t="shared" si="26"/>
        <v>0</v>
      </c>
      <c r="AL19" s="883">
        <f t="shared" si="21"/>
        <v>0</v>
      </c>
      <c r="AM19" s="883">
        <f t="shared" si="22"/>
        <v>0</v>
      </c>
      <c r="AN19" s="883">
        <f t="shared" si="23"/>
        <v>0</v>
      </c>
      <c r="AO19" s="883">
        <f t="shared" si="24"/>
        <v>0</v>
      </c>
      <c r="AP19" s="883">
        <f t="shared" si="25"/>
        <v>0</v>
      </c>
      <c r="AQ19" s="890">
        <f t="shared" si="9"/>
        <v>0</v>
      </c>
    </row>
    <row r="20" spans="1:43">
      <c r="A20" s="817"/>
      <c r="B20" s="860" t="s">
        <v>1622</v>
      </c>
      <c r="C20" s="883"/>
      <c r="D20" s="883"/>
      <c r="E20" s="883"/>
      <c r="F20" s="883">
        <f>HLOOKUP($B$2,'Consumption Input'!$E$5:$AQ$82,'Consumption Input'!$B50)</f>
        <v>21.55</v>
      </c>
      <c r="G20" s="883"/>
      <c r="H20" s="883"/>
      <c r="I20" s="883">
        <f t="shared" si="28"/>
        <v>21.55</v>
      </c>
      <c r="J20" s="884"/>
      <c r="K20" s="883"/>
      <c r="L20" s="883"/>
      <c r="M20" s="883"/>
      <c r="N20" s="885">
        <f t="shared" si="32"/>
        <v>0</v>
      </c>
      <c r="O20" s="883">
        <f t="shared" si="32"/>
        <v>0</v>
      </c>
      <c r="P20" s="883">
        <f t="shared" si="33"/>
        <v>0</v>
      </c>
      <c r="Q20" s="883">
        <f t="shared" si="34"/>
        <v>21.55</v>
      </c>
      <c r="R20" s="883">
        <f t="shared" si="35"/>
        <v>0</v>
      </c>
      <c r="S20" s="886">
        <f t="shared" si="36"/>
        <v>0</v>
      </c>
      <c r="T20" s="883">
        <f t="shared" si="4"/>
        <v>21.55</v>
      </c>
      <c r="U20" s="887">
        <f>Factors!D25</f>
        <v>18.855352254718337</v>
      </c>
      <c r="V20" s="885">
        <f t="shared" si="37"/>
        <v>0</v>
      </c>
      <c r="W20" s="883">
        <f t="shared" si="38"/>
        <v>0</v>
      </c>
      <c r="X20" s="883">
        <f t="shared" si="39"/>
        <v>0</v>
      </c>
      <c r="Y20" s="883">
        <f t="shared" si="40"/>
        <v>0.40633284108918022</v>
      </c>
      <c r="Z20" s="883">
        <f t="shared" si="41"/>
        <v>0</v>
      </c>
      <c r="AA20" s="883">
        <f t="shared" si="42"/>
        <v>0</v>
      </c>
      <c r="AB20" s="883">
        <f t="shared" si="19"/>
        <v>0.40633284108918022</v>
      </c>
      <c r="AC20" s="888">
        <f>Factors!E25</f>
        <v>1</v>
      </c>
      <c r="AD20" s="885">
        <f t="shared" si="43"/>
        <v>0</v>
      </c>
      <c r="AE20" s="883">
        <f t="shared" si="43"/>
        <v>0</v>
      </c>
      <c r="AF20" s="883">
        <f t="shared" si="43"/>
        <v>0</v>
      </c>
      <c r="AG20" s="883">
        <f t="shared" si="43"/>
        <v>0.40633284108918022</v>
      </c>
      <c r="AH20" s="883">
        <f t="shared" si="43"/>
        <v>0</v>
      </c>
      <c r="AI20" s="883">
        <f t="shared" si="43"/>
        <v>0</v>
      </c>
      <c r="AJ20" s="889">
        <f t="shared" si="7"/>
        <v>0.40633284108918022</v>
      </c>
      <c r="AK20" s="885">
        <f t="shared" si="26"/>
        <v>0</v>
      </c>
      <c r="AL20" s="883">
        <f t="shared" si="21"/>
        <v>0</v>
      </c>
      <c r="AM20" s="883">
        <f t="shared" si="22"/>
        <v>0</v>
      </c>
      <c r="AN20" s="883">
        <f t="shared" si="23"/>
        <v>1.4898870839936607</v>
      </c>
      <c r="AO20" s="883">
        <f t="shared" si="24"/>
        <v>0</v>
      </c>
      <c r="AP20" s="883">
        <f t="shared" si="25"/>
        <v>0</v>
      </c>
      <c r="AQ20" s="890">
        <f t="shared" si="9"/>
        <v>1.4898870839936607</v>
      </c>
    </row>
    <row r="21" spans="1:43">
      <c r="A21" s="817"/>
      <c r="B21" s="860" t="s">
        <v>1738</v>
      </c>
      <c r="C21" s="883">
        <f>HLOOKUP($B$2,'Consumption Input'!$E$5:$AQ$82,'Consumption Input'!$B9)</f>
        <v>381.23634113425965</v>
      </c>
      <c r="D21" s="883">
        <f>HLOOKUP($B$2,'Consumption Input'!$E$5:$AQ$82,'Consumption Input'!$B15)</f>
        <v>264.13927112458236</v>
      </c>
      <c r="E21" s="883">
        <f>HLOOKUP($B$2,'Consumption Input'!$E$5:$AQ$82,'Consumption Input'!$B28)</f>
        <v>953.91960015831023</v>
      </c>
      <c r="F21" s="883">
        <f>HLOOKUP($B$2,'Consumption Input'!$E$5:$AQ$82,'Consumption Input'!$B51)</f>
        <v>6584.0781120626216</v>
      </c>
      <c r="G21" s="883">
        <f>HLOOKUP($B$2,'Consumption Input'!$E$5:$AQ$82,'Consumption Input'!$B60)</f>
        <v>59.770999999999994</v>
      </c>
      <c r="H21" s="883">
        <f>HLOOKUP($B$2,'US Territories'!$D$28:$AO$38,'US Territories'!$B31)</f>
        <v>49.527364931939935</v>
      </c>
      <c r="I21" s="883">
        <f t="shared" si="28"/>
        <v>8292.6716894117144</v>
      </c>
      <c r="J21" s="884">
        <f>HLOOKUP($B$2,IBFConsumption,'International Bunker Fuels'!$B$10,FALSE)</f>
        <v>100.08479845833058</v>
      </c>
      <c r="K21" s="883">
        <f>HLOOKUP($B$2,NEUConsumption,'Non-Energy Use'!$C$20)</f>
        <v>5.8250000000000002</v>
      </c>
      <c r="L21" s="883"/>
      <c r="M21" s="883"/>
      <c r="N21" s="885">
        <f t="shared" si="32"/>
        <v>381.23634113425965</v>
      </c>
      <c r="O21" s="883">
        <f>D21</f>
        <v>264.13927112458236</v>
      </c>
      <c r="P21" s="883">
        <f t="shared" si="33"/>
        <v>948.09460015831019</v>
      </c>
      <c r="Q21" s="883">
        <f>F21-J21-L21</f>
        <v>6483.993313604291</v>
      </c>
      <c r="R21" s="883">
        <f t="shared" si="35"/>
        <v>59.770999999999994</v>
      </c>
      <c r="S21" s="886">
        <f>H21-M21</f>
        <v>49.527364931939935</v>
      </c>
      <c r="T21" s="883">
        <f t="shared" si="4"/>
        <v>8186.761890953383</v>
      </c>
      <c r="U21" s="887">
        <f>HLOOKUP($B$2,Factors!$J$12:$BE$27,Factors!$H27,FALSE)</f>
        <v>20.216892495282984</v>
      </c>
      <c r="V21" s="885">
        <f>N21*$U21*TbtuToQBtu</f>
        <v>7.7074141240063572</v>
      </c>
      <c r="W21" s="883">
        <f>O21*$U21*TbtuToQBtu</f>
        <v>5.3400752481080866</v>
      </c>
      <c r="X21" s="883">
        <f t="shared" si="39"/>
        <v>19.167526606758862</v>
      </c>
      <c r="Y21" s="883">
        <f>Q21*$U21*TbtuToQBtu</f>
        <v>131.08619576127163</v>
      </c>
      <c r="Z21" s="883">
        <f t="shared" si="41"/>
        <v>1.2083838813355592</v>
      </c>
      <c r="AA21" s="883">
        <f t="shared" si="42"/>
        <v>1.0012894124036782</v>
      </c>
      <c r="AB21" s="883">
        <f t="shared" si="19"/>
        <v>165.51088503388416</v>
      </c>
      <c r="AC21" s="888">
        <f>Factors!E26</f>
        <v>1</v>
      </c>
      <c r="AD21" s="885">
        <f t="shared" si="43"/>
        <v>7.7074141240063572</v>
      </c>
      <c r="AE21" s="883">
        <f>W21*$AC21</f>
        <v>5.3400752481080866</v>
      </c>
      <c r="AF21" s="883">
        <f t="shared" si="43"/>
        <v>19.167526606758862</v>
      </c>
      <c r="AG21" s="883">
        <f>Y21*$AC21</f>
        <v>131.08619576127163</v>
      </c>
      <c r="AH21" s="883">
        <f t="shared" si="43"/>
        <v>1.2083838813355592</v>
      </c>
      <c r="AI21" s="883">
        <f t="shared" si="43"/>
        <v>1.0012894124036782</v>
      </c>
      <c r="AJ21" s="889">
        <f t="shared" si="7"/>
        <v>165.51088503388416</v>
      </c>
      <c r="AK21" s="885">
        <f t="shared" si="26"/>
        <v>28.260518454689976</v>
      </c>
      <c r="AL21" s="883">
        <f t="shared" si="21"/>
        <v>19.58027590972965</v>
      </c>
      <c r="AM21" s="883">
        <f t="shared" si="22"/>
        <v>70.28093089144916</v>
      </c>
      <c r="AN21" s="883">
        <f t="shared" si="23"/>
        <v>480.64938445799595</v>
      </c>
      <c r="AO21" s="883">
        <f t="shared" si="24"/>
        <v>4.4307408982303835</v>
      </c>
      <c r="AP21" s="883">
        <f t="shared" si="25"/>
        <v>3.6713945121468199</v>
      </c>
      <c r="AQ21" s="890">
        <f t="shared" si="9"/>
        <v>606.87324512424186</v>
      </c>
    </row>
    <row r="22" spans="1:43">
      <c r="A22" s="817"/>
      <c r="B22" s="860" t="s">
        <v>1623</v>
      </c>
      <c r="C22" s="883"/>
      <c r="D22" s="883"/>
      <c r="E22" s="883"/>
      <c r="F22" s="883">
        <f>HLOOKUP($B$2,'Consumption Input'!$E$5:$AQ$82,'Consumption Input'!$B52)</f>
        <v>2835.0430000000001</v>
      </c>
      <c r="G22" s="916"/>
      <c r="H22" s="883">
        <f>HLOOKUP($B$2,'US Territories'!$D$28:$AO$38,'US Territories'!$B32)</f>
        <v>43.538773891545155</v>
      </c>
      <c r="I22" s="883">
        <f t="shared" si="28"/>
        <v>2878.5817738915453</v>
      </c>
      <c r="J22" s="884">
        <f>HLOOKUP($B$2,IBFConsumption,'International Bunker Fuels'!$B$8,FALSE)</f>
        <v>721.46880886175848</v>
      </c>
      <c r="K22" s="883"/>
      <c r="L22" s="883"/>
      <c r="M22" s="883"/>
      <c r="N22" s="885">
        <f t="shared" si="32"/>
        <v>0</v>
      </c>
      <c r="O22" s="883">
        <f t="shared" si="32"/>
        <v>0</v>
      </c>
      <c r="P22" s="883">
        <f t="shared" si="33"/>
        <v>0</v>
      </c>
      <c r="Q22" s="883">
        <f t="shared" si="34"/>
        <v>2113.5741911382415</v>
      </c>
      <c r="R22" s="883">
        <f t="shared" si="35"/>
        <v>0</v>
      </c>
      <c r="S22" s="886">
        <f t="shared" si="36"/>
        <v>43.538773891545155</v>
      </c>
      <c r="T22" s="883">
        <f t="shared" si="4"/>
        <v>2157.1129650297867</v>
      </c>
      <c r="U22" s="887">
        <f>HLOOKUP($B$2,Factors!$J$12:$BE$25,Factors!$H21,FALSE)</f>
        <v>19.696969696969692</v>
      </c>
      <c r="V22" s="885">
        <f t="shared" si="37"/>
        <v>0</v>
      </c>
      <c r="W22" s="883">
        <f t="shared" si="38"/>
        <v>0</v>
      </c>
      <c r="X22" s="883">
        <f t="shared" si="39"/>
        <v>0</v>
      </c>
      <c r="Y22" s="883">
        <f t="shared" si="40"/>
        <v>41.631006795147172</v>
      </c>
      <c r="Z22" s="883">
        <f t="shared" si="41"/>
        <v>0</v>
      </c>
      <c r="AA22" s="883">
        <f t="shared" si="42"/>
        <v>0.85758190998498018</v>
      </c>
      <c r="AB22" s="883">
        <f t="shared" si="19"/>
        <v>42.488588705132152</v>
      </c>
      <c r="AC22" s="888">
        <f>Factors!E27</f>
        <v>1</v>
      </c>
      <c r="AD22" s="885">
        <f t="shared" si="43"/>
        <v>0</v>
      </c>
      <c r="AE22" s="883">
        <f t="shared" si="43"/>
        <v>0</v>
      </c>
      <c r="AF22" s="883">
        <f t="shared" si="43"/>
        <v>0</v>
      </c>
      <c r="AG22" s="883">
        <f t="shared" si="43"/>
        <v>41.631006795147172</v>
      </c>
      <c r="AH22" s="883">
        <f t="shared" si="43"/>
        <v>0</v>
      </c>
      <c r="AI22" s="883">
        <f t="shared" si="43"/>
        <v>0.85758190998498018</v>
      </c>
      <c r="AJ22" s="889">
        <f t="shared" si="7"/>
        <v>42.488588705132152</v>
      </c>
      <c r="AK22" s="885">
        <f t="shared" si="26"/>
        <v>0</v>
      </c>
      <c r="AL22" s="883">
        <f t="shared" si="21"/>
        <v>0</v>
      </c>
      <c r="AM22" s="883">
        <f t="shared" si="22"/>
        <v>0</v>
      </c>
      <c r="AN22" s="883">
        <f t="shared" si="23"/>
        <v>152.64702491553962</v>
      </c>
      <c r="AO22" s="883">
        <f t="shared" si="24"/>
        <v>0</v>
      </c>
      <c r="AP22" s="883">
        <f t="shared" si="25"/>
        <v>3.1444670032782605</v>
      </c>
      <c r="AQ22" s="890">
        <f t="shared" si="9"/>
        <v>155.79149191881788</v>
      </c>
    </row>
    <row r="23" spans="1:43">
      <c r="A23" s="817"/>
      <c r="B23" s="860" t="s">
        <v>1599</v>
      </c>
      <c r="C23" s="883">
        <f>HLOOKUP($B$2,'Consumption Input'!$E$5:$AQ$82,'Consumption Input'!$B10)</f>
        <v>9.4090000000000007</v>
      </c>
      <c r="D23" s="883">
        <f>HLOOKUP($B$2,'Consumption Input'!$E$5:$AQ$82,'Consumption Input'!$B16)</f>
        <v>1.4370000000000001</v>
      </c>
      <c r="E23" s="883">
        <f>HLOOKUP($B$2,'Consumption Input'!$E$5:$AQ$82,'Consumption Input'!$B29)</f>
        <v>1.454</v>
      </c>
      <c r="F23" s="883"/>
      <c r="G23" s="883"/>
      <c r="H23" s="883">
        <f>HLOOKUP($B$2,'US Territories'!$D$28:$AO$38,'US Territories'!$B33)</f>
        <v>0.45625923903454363</v>
      </c>
      <c r="I23" s="883">
        <f t="shared" si="28"/>
        <v>12.756259239034545</v>
      </c>
      <c r="J23" s="884"/>
      <c r="K23" s="883"/>
      <c r="L23" s="883"/>
      <c r="M23" s="883"/>
      <c r="N23" s="885">
        <f t="shared" si="32"/>
        <v>9.4090000000000007</v>
      </c>
      <c r="O23" s="883">
        <f t="shared" si="32"/>
        <v>1.4370000000000001</v>
      </c>
      <c r="P23" s="883">
        <f t="shared" si="33"/>
        <v>1.454</v>
      </c>
      <c r="Q23" s="883">
        <f t="shared" si="34"/>
        <v>0</v>
      </c>
      <c r="R23" s="883">
        <f t="shared" si="35"/>
        <v>0</v>
      </c>
      <c r="S23" s="886">
        <f t="shared" si="36"/>
        <v>0.45625923903454363</v>
      </c>
      <c r="T23" s="883">
        <f t="shared" si="4"/>
        <v>12.756259239034545</v>
      </c>
      <c r="U23" s="887">
        <f>Factors!D28</f>
        <v>19.964104564962931</v>
      </c>
      <c r="V23" s="885">
        <f t="shared" si="37"/>
        <v>0.18784225985173622</v>
      </c>
      <c r="W23" s="883">
        <f t="shared" si="38"/>
        <v>2.8688418259851734E-2</v>
      </c>
      <c r="X23" s="883">
        <f t="shared" si="39"/>
        <v>2.9027808037456103E-2</v>
      </c>
      <c r="Y23" s="883">
        <f t="shared" si="40"/>
        <v>0</v>
      </c>
      <c r="Z23" s="883">
        <f t="shared" si="41"/>
        <v>0</v>
      </c>
      <c r="AA23" s="883">
        <f t="shared" si="42"/>
        <v>9.1088071568160445E-3</v>
      </c>
      <c r="AB23" s="883">
        <f t="shared" si="19"/>
        <v>0.25466729330586013</v>
      </c>
      <c r="AC23" s="888">
        <f>Factors!E28</f>
        <v>1</v>
      </c>
      <c r="AD23" s="885">
        <f t="shared" si="43"/>
        <v>0.18784225985173622</v>
      </c>
      <c r="AE23" s="883">
        <f t="shared" si="43"/>
        <v>2.8688418259851734E-2</v>
      </c>
      <c r="AF23" s="883">
        <f t="shared" si="43"/>
        <v>2.9027808037456103E-2</v>
      </c>
      <c r="AG23" s="883">
        <f t="shared" si="43"/>
        <v>0</v>
      </c>
      <c r="AH23" s="883">
        <f t="shared" si="43"/>
        <v>0</v>
      </c>
      <c r="AI23" s="883">
        <f t="shared" si="43"/>
        <v>9.1088071568160445E-3</v>
      </c>
      <c r="AJ23" s="889">
        <f t="shared" si="7"/>
        <v>0.25466729330586013</v>
      </c>
      <c r="AK23" s="885">
        <f t="shared" si="26"/>
        <v>0.68875495278969945</v>
      </c>
      <c r="AL23" s="883">
        <f t="shared" si="21"/>
        <v>0.10519086695278969</v>
      </c>
      <c r="AM23" s="883">
        <f t="shared" si="22"/>
        <v>0.10643529613733904</v>
      </c>
      <c r="AN23" s="883">
        <f t="shared" si="23"/>
        <v>0</v>
      </c>
      <c r="AO23" s="883">
        <f t="shared" si="24"/>
        <v>0</v>
      </c>
      <c r="AP23" s="883">
        <f t="shared" si="25"/>
        <v>3.3398959574992164E-2</v>
      </c>
      <c r="AQ23" s="890">
        <f t="shared" si="9"/>
        <v>0.93378007545482034</v>
      </c>
    </row>
    <row r="24" spans="1:43">
      <c r="A24" s="817"/>
      <c r="B24" s="860" t="s">
        <v>1600</v>
      </c>
      <c r="C24" s="883">
        <f>HLOOKUP($B$2,'Consumption Input'!$E$5:$AQ$82,'Consumption Input'!$B11)</f>
        <v>484.13</v>
      </c>
      <c r="D24" s="883">
        <f>HLOOKUP($B$2,'Consumption Input'!$E$5:$AQ$82,'Consumption Input'!$B17)</f>
        <v>216.971</v>
      </c>
      <c r="E24"/>
      <c r="F24" s="883">
        <f>HLOOKUP($B$2,'Consumption Input'!$E$5:$AQ$82,'Consumption Input'!$B53)</f>
        <v>9.7620000000000005</v>
      </c>
      <c r="G24" s="883"/>
      <c r="H24"/>
      <c r="I24" s="883">
        <f t="shared" si="28"/>
        <v>710.86300000000006</v>
      </c>
      <c r="J24" s="884"/>
      <c r="K24"/>
      <c r="L24" s="883"/>
      <c r="M24" s="883"/>
      <c r="N24" s="885">
        <f>C24</f>
        <v>484.13</v>
      </c>
      <c r="O24" s="883">
        <f t="shared" si="32"/>
        <v>216.971</v>
      </c>
      <c r="P24"/>
      <c r="Q24" s="883">
        <f t="shared" si="34"/>
        <v>9.7620000000000005</v>
      </c>
      <c r="R24" s="883">
        <f t="shared" si="35"/>
        <v>0</v>
      </c>
      <c r="S24" s="1007"/>
      <c r="T24" s="883">
        <f t="shared" si="4"/>
        <v>710.86300000000006</v>
      </c>
      <c r="U24" s="1005">
        <f>HLOOKUP($B$2,Factors!$J$12:$BE$25,Factors!$H17,FALSE)</f>
        <v>17.146363636363635</v>
      </c>
      <c r="V24" s="885">
        <f>N24*$U24*TbtuToQBtu</f>
        <v>8.3010690272727263</v>
      </c>
      <c r="W24" s="883">
        <f>O24*$U24*TbtuToQBtu</f>
        <v>3.7202636645454543</v>
      </c>
      <c r="X24"/>
      <c r="Y24" s="883">
        <f>Q24*$U24*TbtuToQBtu</f>
        <v>0.1673828018181818</v>
      </c>
      <c r="Z24" s="883">
        <f t="shared" si="41"/>
        <v>0</v>
      </c>
      <c r="AA24"/>
      <c r="AB24" s="883">
        <f>SUM(V24:AA24)</f>
        <v>12.188715493636362</v>
      </c>
      <c r="AC24" s="888">
        <f>Factors!E30</f>
        <v>1</v>
      </c>
      <c r="AD24" s="885">
        <f>V24*$AC24</f>
        <v>8.3010690272727263</v>
      </c>
      <c r="AE24" s="883">
        <f t="shared" si="43"/>
        <v>3.7202636645454543</v>
      </c>
      <c r="AF24"/>
      <c r="AG24" s="883">
        <f t="shared" si="43"/>
        <v>0.1673828018181818</v>
      </c>
      <c r="AH24" s="883">
        <f t="shared" si="43"/>
        <v>0</v>
      </c>
      <c r="AI24"/>
      <c r="AJ24" s="889">
        <f t="shared" si="7"/>
        <v>12.188715493636362</v>
      </c>
      <c r="AK24" s="885">
        <f>AD24*CtoCO2</f>
        <v>30.437253099999996</v>
      </c>
      <c r="AL24" s="883">
        <f t="shared" si="21"/>
        <v>13.640966769999999</v>
      </c>
      <c r="AN24" s="883">
        <f t="shared" si="23"/>
        <v>0.6137369399999999</v>
      </c>
      <c r="AO24" s="883">
        <f t="shared" si="24"/>
        <v>0</v>
      </c>
      <c r="AQ24" s="890">
        <f t="shared" si="9"/>
        <v>44.691956810000001</v>
      </c>
    </row>
    <row r="25" spans="1:43">
      <c r="A25" s="817"/>
      <c r="B25" s="860" t="s">
        <v>1609</v>
      </c>
      <c r="C25" s="883"/>
      <c r="D25" s="883"/>
      <c r="E25" s="883">
        <f>HLOOKUP($B$2,'Consumption Input'!$E$5:$AQ$82,'Consumption Input'!$B30)</f>
        <v>3083.4958338380002</v>
      </c>
      <c r="F25" s="883"/>
      <c r="G25" s="883"/>
      <c r="H25" s="883">
        <f>HLOOKUP($B$2,'US Territories'!$D$28:$AO$38,'US Territories'!$B34)</f>
        <v>9.2030144042274085</v>
      </c>
      <c r="I25" s="883">
        <f t="shared" si="28"/>
        <v>3092.6988482422275</v>
      </c>
      <c r="J25" s="884"/>
      <c r="K25" s="883">
        <f>HLOOKUP($B$2,NEUConsumption,'Non-Energy Use'!$C$11)</f>
        <v>3043.8864109986448</v>
      </c>
      <c r="L25" s="883"/>
      <c r="M25" s="883"/>
      <c r="N25" s="885"/>
      <c r="O25" s="883"/>
      <c r="P25" s="883">
        <f>E25-K25</f>
        <v>39.609422839355375</v>
      </c>
      <c r="Q25" s="883"/>
      <c r="R25" s="883"/>
      <c r="S25" s="886">
        <f>H25-M25</f>
        <v>9.2030144042274085</v>
      </c>
      <c r="T25" s="883">
        <f t="shared" si="4"/>
        <v>48.812437243582785</v>
      </c>
      <c r="U25" s="1005">
        <f>HLOOKUP($B$2,Factors!$J$12:$BE$25,Factors!$H18,FALSE)</f>
        <v>17.774410481887031</v>
      </c>
      <c r="V25" s="885"/>
      <c r="W25" s="883"/>
      <c r="X25" s="883">
        <f>P25*$U25*TbtuToQBtu</f>
        <v>0.7040341404973337</v>
      </c>
      <c r="Y25" s="883"/>
      <c r="Z25" s="883"/>
      <c r="AA25" s="883">
        <f>S25*$U25*TbtuToQBtu</f>
        <v>0.16357815569145698</v>
      </c>
      <c r="AB25" s="883">
        <f>SUM(V25:AA25)</f>
        <v>0.86761229618879065</v>
      </c>
      <c r="AC25" s="888">
        <f>Factors!E31</f>
        <v>1</v>
      </c>
      <c r="AD25" s="885"/>
      <c r="AE25" s="883"/>
      <c r="AF25" s="883">
        <f>X25*$AC25</f>
        <v>0.7040341404973337</v>
      </c>
      <c r="AG25" s="883"/>
      <c r="AH25" s="883"/>
      <c r="AI25" s="883">
        <f>AA25*$AC25</f>
        <v>0.16357815569145698</v>
      </c>
      <c r="AJ25" s="889">
        <f t="shared" si="7"/>
        <v>0.86761229618879065</v>
      </c>
      <c r="AK25" s="885"/>
      <c r="AL25" s="883"/>
      <c r="AM25" s="883">
        <f>AF25*CtoCO2</f>
        <v>2.5814585151568901</v>
      </c>
      <c r="AN25" s="883"/>
      <c r="AO25" s="883"/>
      <c r="AP25" s="883">
        <f>AI25*CtoCO2</f>
        <v>0.59978657086867559</v>
      </c>
      <c r="AQ25" s="890">
        <f t="shared" si="9"/>
        <v>3.1812450860255659</v>
      </c>
    </row>
    <row r="26" spans="1:43">
      <c r="A26" s="817"/>
      <c r="B26" s="860" t="s">
        <v>1610</v>
      </c>
      <c r="C26" s="883"/>
      <c r="D26" s="883"/>
      <c r="E26" s="883">
        <f>HLOOKUP($B$2,'Consumption Input'!$E$5:$AQ$82,'Consumption Input'!$B31)</f>
        <v>113.49299999999999</v>
      </c>
      <c r="F26" s="883">
        <f>HLOOKUP($B$2,'Consumption Input'!$E$5:$AQ$82,'Consumption Input'!$B54)</f>
        <v>119.03799999999998</v>
      </c>
      <c r="G26" s="883"/>
      <c r="H26" s="883">
        <f>HLOOKUP($B$2,'US Territories'!$D$28:$AO$38,'US Territories'!$B35)</f>
        <v>1.0411633874999999</v>
      </c>
      <c r="I26" s="883">
        <f t="shared" si="2"/>
        <v>233.57216338749998</v>
      </c>
      <c r="J26" s="884"/>
      <c r="K26" s="883">
        <f>HLOOKUP($B$2,NEUConsumption,'Non-Energy Use'!$C$12)</f>
        <v>113.49299999999999</v>
      </c>
      <c r="L26" s="883">
        <f>HLOOKUP($B$2,NEUConsumption,'Non-Energy Use'!$C$24)</f>
        <v>119.03799999999998</v>
      </c>
      <c r="M26" s="883">
        <f>HLOOKUP($B$2,NEUConsumption,'Non-Energy Use'!$C$26)</f>
        <v>1.0411633874999999</v>
      </c>
      <c r="N26" s="885">
        <f t="shared" si="32"/>
        <v>0</v>
      </c>
      <c r="O26" s="883">
        <f t="shared" si="32"/>
        <v>0</v>
      </c>
      <c r="P26" s="883">
        <f t="shared" si="33"/>
        <v>0</v>
      </c>
      <c r="Q26" s="883">
        <f>F26-J26-L26</f>
        <v>0</v>
      </c>
      <c r="R26" s="883">
        <f>G26</f>
        <v>0</v>
      </c>
      <c r="S26" s="886">
        <f t="shared" si="36"/>
        <v>0</v>
      </c>
      <c r="T26" s="883">
        <f t="shared" si="4"/>
        <v>0</v>
      </c>
      <c r="U26" s="887">
        <f>Factors!D33</f>
        <v>20.199355467286214</v>
      </c>
      <c r="V26" s="885">
        <f t="shared" si="37"/>
        <v>0</v>
      </c>
      <c r="W26" s="883">
        <f t="shared" si="38"/>
        <v>0</v>
      </c>
      <c r="X26" s="883">
        <f t="shared" si="39"/>
        <v>0</v>
      </c>
      <c r="Y26" s="883">
        <f t="shared" si="40"/>
        <v>0</v>
      </c>
      <c r="Z26" s="883">
        <f t="shared" si="41"/>
        <v>0</v>
      </c>
      <c r="AA26" s="883">
        <f t="shared" si="42"/>
        <v>0</v>
      </c>
      <c r="AB26" s="883">
        <f t="shared" si="19"/>
        <v>0</v>
      </c>
      <c r="AC26" s="888">
        <f>Factors!E33</f>
        <v>1</v>
      </c>
      <c r="AD26" s="885">
        <f t="shared" si="43"/>
        <v>0</v>
      </c>
      <c r="AE26" s="883">
        <f t="shared" si="43"/>
        <v>0</v>
      </c>
      <c r="AF26" s="883">
        <f t="shared" si="43"/>
        <v>0</v>
      </c>
      <c r="AG26" s="883">
        <f>Y26*$AC26</f>
        <v>0</v>
      </c>
      <c r="AH26" s="883">
        <f t="shared" si="43"/>
        <v>0</v>
      </c>
      <c r="AI26" s="883">
        <f t="shared" si="43"/>
        <v>0</v>
      </c>
      <c r="AJ26" s="889">
        <f t="shared" si="7"/>
        <v>0</v>
      </c>
      <c r="AK26" s="885">
        <f t="shared" si="26"/>
        <v>0</v>
      </c>
      <c r="AL26" s="883">
        <f t="shared" si="21"/>
        <v>0</v>
      </c>
      <c r="AM26" s="883">
        <f t="shared" si="22"/>
        <v>0</v>
      </c>
      <c r="AN26" s="883">
        <f>AG26*CtoCO2</f>
        <v>0</v>
      </c>
      <c r="AO26" s="883">
        <f t="shared" si="24"/>
        <v>0</v>
      </c>
      <c r="AP26" s="883">
        <f t="shared" si="25"/>
        <v>0</v>
      </c>
      <c r="AQ26" s="890">
        <f t="shared" si="9"/>
        <v>0</v>
      </c>
    </row>
    <row r="27" spans="1:43">
      <c r="A27" s="817"/>
      <c r="B27" s="860" t="s">
        <v>1601</v>
      </c>
      <c r="C27" s="883"/>
      <c r="D27" s="883">
        <f>HLOOKUP($B$2,'Consumption Input'!$E$5:$AQ$82,'Consumption Input'!$B18)</f>
        <v>313.5046562696723</v>
      </c>
      <c r="E27" s="883">
        <f>HLOOKUP($B$2,'Consumption Input'!$E$5:$AQ$82,'Consumption Input'!$B32)</f>
        <v>221.17809769037061</v>
      </c>
      <c r="F27" s="883">
        <f>HLOOKUP($B$2,'Consumption Input'!$E$5:$AQ$82,'Consumption Input'!$B55)</f>
        <v>14559.903246039956</v>
      </c>
      <c r="G27" s="883"/>
      <c r="H27" s="883">
        <f>HLOOKUP($B$2,'US Territories'!$D$28:$AO$38,'US Territories'!$B36)</f>
        <v>75.584608191618727</v>
      </c>
      <c r="I27" s="883">
        <f t="shared" si="2"/>
        <v>15170.170608191618</v>
      </c>
      <c r="J27" s="884"/>
      <c r="K27" s="883"/>
      <c r="L27" s="883"/>
      <c r="M27" s="883"/>
      <c r="N27" s="885">
        <f t="shared" si="32"/>
        <v>0</v>
      </c>
      <c r="O27" s="883">
        <f t="shared" si="32"/>
        <v>313.5046562696723</v>
      </c>
      <c r="P27" s="883">
        <f t="shared" si="33"/>
        <v>221.17809769037061</v>
      </c>
      <c r="Q27" s="883">
        <f>F27-J27-L27</f>
        <v>14559.903246039956</v>
      </c>
      <c r="R27" s="883">
        <f t="shared" si="35"/>
        <v>0</v>
      </c>
      <c r="S27" s="886">
        <f t="shared" si="36"/>
        <v>75.584608191618727</v>
      </c>
      <c r="T27" s="883">
        <f t="shared" si="4"/>
        <v>15170.170608191618</v>
      </c>
      <c r="U27" s="887">
        <f>HLOOKUP($B$2,Factors!$J$12:$BE$25,Factors!$H20,FALSE)</f>
        <v>19.26959818755628</v>
      </c>
      <c r="V27" s="885">
        <f t="shared" si="37"/>
        <v>0</v>
      </c>
      <c r="W27" s="883">
        <f t="shared" si="38"/>
        <v>6.0411087562445323</v>
      </c>
      <c r="X27" s="883">
        <f t="shared" si="39"/>
        <v>4.2620130703815109</v>
      </c>
      <c r="Y27" s="883">
        <f>Q27*$U27*TbtuToQBtu</f>
        <v>280.5634852008863</v>
      </c>
      <c r="Z27" s="883">
        <f t="shared" si="41"/>
        <v>0</v>
      </c>
      <c r="AA27" s="883">
        <f t="shared" si="42"/>
        <v>1.456485029016368</v>
      </c>
      <c r="AB27" s="883">
        <f t="shared" si="19"/>
        <v>292.32309205652876</v>
      </c>
      <c r="AC27" s="888">
        <f>Factors!E34</f>
        <v>1</v>
      </c>
      <c r="AD27" s="885">
        <f t="shared" si="43"/>
        <v>0</v>
      </c>
      <c r="AE27" s="883">
        <f t="shared" si="43"/>
        <v>6.0411087562445323</v>
      </c>
      <c r="AF27" s="883">
        <f t="shared" si="43"/>
        <v>4.2620130703815109</v>
      </c>
      <c r="AG27" s="883">
        <f>Y27*$AC44</f>
        <v>280.5634852008863</v>
      </c>
      <c r="AH27" s="883">
        <f t="shared" si="43"/>
        <v>0</v>
      </c>
      <c r="AI27" s="883">
        <f t="shared" si="43"/>
        <v>1.456485029016368</v>
      </c>
      <c r="AJ27" s="889">
        <f t="shared" si="7"/>
        <v>292.32309205652876</v>
      </c>
      <c r="AK27" s="885">
        <f t="shared" si="26"/>
        <v>0</v>
      </c>
      <c r="AL27" s="883">
        <f t="shared" si="21"/>
        <v>22.150732106229949</v>
      </c>
      <c r="AM27" s="883">
        <f t="shared" si="22"/>
        <v>15.627381258065538</v>
      </c>
      <c r="AN27" s="883">
        <f t="shared" si="23"/>
        <v>1028.7327790699164</v>
      </c>
      <c r="AO27" s="883">
        <f t="shared" si="24"/>
        <v>0</v>
      </c>
      <c r="AP27" s="883">
        <f t="shared" si="25"/>
        <v>5.3404451063933491</v>
      </c>
      <c r="AQ27" s="890">
        <f t="shared" si="9"/>
        <v>1071.8513375406053</v>
      </c>
    </row>
    <row r="28" spans="1:43">
      <c r="A28" s="817"/>
      <c r="B28" s="860" t="s">
        <v>1602</v>
      </c>
      <c r="C28" s="883"/>
      <c r="D28" s="883">
        <f>HLOOKUP($B$2,'Consumption Input'!$E$5:$AQ$82,'Consumption Input'!$B19)</f>
        <v>3.1629999999999998</v>
      </c>
      <c r="E28" s="883">
        <f>HLOOKUP($B$2,'Consumption Input'!$E$5:$AQ$82,'Consumption Input'!$B33)</f>
        <v>1.8320000000000007</v>
      </c>
      <c r="F28" s="883">
        <f>HLOOKUP($B$2,'Consumption Input'!$E$5:$AQ$82,'Consumption Input'!$B56)</f>
        <v>614.85699999999997</v>
      </c>
      <c r="G28" s="883">
        <f>HLOOKUP($B$2,'Consumption Input'!$E$5:$AQ$82,'Consumption Input'!$B61)</f>
        <v>57.302999999999997</v>
      </c>
      <c r="H28" s="883">
        <f>HLOOKUP($B$2,'US Territories'!$D$28:$AO$38,'US Territories'!$B37)</f>
        <v>55.544178673170457</v>
      </c>
      <c r="I28" s="883">
        <f t="shared" si="2"/>
        <v>732.69917867317042</v>
      </c>
      <c r="J28" s="884">
        <f>HLOOKUP($B$2,IBFConsumption,'International Bunker Fuels'!$B$9,FALSE)</f>
        <v>292.29712153499997</v>
      </c>
      <c r="K28" s="883"/>
      <c r="L28" s="883"/>
      <c r="M28" s="883"/>
      <c r="N28" s="885">
        <f t="shared" si="32"/>
        <v>0</v>
      </c>
      <c r="O28" s="883">
        <f t="shared" si="32"/>
        <v>3.1629999999999998</v>
      </c>
      <c r="P28" s="883">
        <f t="shared" si="33"/>
        <v>1.8320000000000007</v>
      </c>
      <c r="Q28" s="883">
        <f t="shared" si="34"/>
        <v>322.559878465</v>
      </c>
      <c r="R28" s="883">
        <f t="shared" si="35"/>
        <v>57.302999999999997</v>
      </c>
      <c r="S28" s="886">
        <f t="shared" si="36"/>
        <v>55.544178673170457</v>
      </c>
      <c r="T28" s="883">
        <f t="shared" si="4"/>
        <v>440.40205713817045</v>
      </c>
      <c r="U28" s="887">
        <f>Factors!D36</f>
        <v>20.48</v>
      </c>
      <c r="V28" s="885">
        <f t="shared" si="37"/>
        <v>0</v>
      </c>
      <c r="W28" s="883">
        <f t="shared" si="38"/>
        <v>6.4778240000000001E-2</v>
      </c>
      <c r="X28" s="883">
        <f t="shared" si="39"/>
        <v>3.7519360000000015E-2</v>
      </c>
      <c r="Y28" s="883">
        <f t="shared" si="40"/>
        <v>6.6060263109632</v>
      </c>
      <c r="Z28" s="883">
        <f t="shared" si="41"/>
        <v>1.1735654400000002</v>
      </c>
      <c r="AA28" s="883">
        <f t="shared" si="42"/>
        <v>1.1375447792265312</v>
      </c>
      <c r="AB28" s="883">
        <f>SUM(V28:AA28)</f>
        <v>9.0194341301897314</v>
      </c>
      <c r="AC28" s="888">
        <f>Factors!E36</f>
        <v>1</v>
      </c>
      <c r="AD28" s="885">
        <f t="shared" si="43"/>
        <v>0</v>
      </c>
      <c r="AE28" s="883">
        <f t="shared" si="43"/>
        <v>6.4778240000000001E-2</v>
      </c>
      <c r="AF28" s="883">
        <f t="shared" si="43"/>
        <v>3.7519360000000015E-2</v>
      </c>
      <c r="AG28" s="883">
        <f t="shared" si="43"/>
        <v>6.6060263109632</v>
      </c>
      <c r="AH28" s="883">
        <f t="shared" si="43"/>
        <v>1.1735654400000002</v>
      </c>
      <c r="AI28" s="883">
        <f t="shared" si="43"/>
        <v>1.1375447792265312</v>
      </c>
      <c r="AJ28" s="889">
        <f t="shared" si="7"/>
        <v>9.0194341301897314</v>
      </c>
      <c r="AK28" s="885">
        <f t="shared" si="26"/>
        <v>0</v>
      </c>
      <c r="AL28" s="883">
        <f t="shared" si="21"/>
        <v>0.23752021333333331</v>
      </c>
      <c r="AM28" s="883">
        <f t="shared" si="22"/>
        <v>0.13757098666666673</v>
      </c>
      <c r="AN28" s="883">
        <f t="shared" si="23"/>
        <v>24.222096473531732</v>
      </c>
      <c r="AO28" s="883">
        <f t="shared" si="24"/>
        <v>4.3030732800000004</v>
      </c>
      <c r="AP28" s="883">
        <f t="shared" si="25"/>
        <v>4.1709975238306143</v>
      </c>
      <c r="AQ28" s="890">
        <f t="shared" si="9"/>
        <v>33.071258477362349</v>
      </c>
    </row>
    <row r="29" spans="1:43">
      <c r="A29" s="817"/>
      <c r="B29" s="860" t="s">
        <v>1603</v>
      </c>
      <c r="C29" s="883"/>
      <c r="D29" s="883"/>
      <c r="E29" s="883"/>
      <c r="F29" s="883"/>
      <c r="G29" s="883"/>
      <c r="H29" s="883"/>
      <c r="I29" s="883"/>
      <c r="J29" s="884"/>
      <c r="K29" s="883"/>
      <c r="L29" s="883"/>
      <c r="M29" s="883"/>
      <c r="N29" s="885">
        <f t="shared" si="32"/>
        <v>0</v>
      </c>
      <c r="O29" s="883">
        <f t="shared" si="32"/>
        <v>0</v>
      </c>
      <c r="P29" s="883">
        <f t="shared" si="33"/>
        <v>0</v>
      </c>
      <c r="Q29" s="883">
        <f t="shared" si="34"/>
        <v>0</v>
      </c>
      <c r="R29" s="883">
        <f t="shared" si="35"/>
        <v>0</v>
      </c>
      <c r="S29" s="886">
        <f t="shared" si="36"/>
        <v>0</v>
      </c>
      <c r="T29" s="883">
        <f t="shared" si="4"/>
        <v>0</v>
      </c>
      <c r="U29" s="887"/>
      <c r="V29" s="885">
        <f t="shared" si="37"/>
        <v>0</v>
      </c>
      <c r="W29" s="883">
        <f t="shared" si="38"/>
        <v>0</v>
      </c>
      <c r="X29" s="883">
        <f t="shared" si="39"/>
        <v>0</v>
      </c>
      <c r="Y29" s="883">
        <f t="shared" si="40"/>
        <v>0</v>
      </c>
      <c r="Z29" s="883">
        <f t="shared" si="41"/>
        <v>0</v>
      </c>
      <c r="AA29" s="883">
        <f t="shared" si="42"/>
        <v>0</v>
      </c>
      <c r="AB29" s="883">
        <f t="shared" si="19"/>
        <v>0</v>
      </c>
      <c r="AC29" s="888"/>
      <c r="AD29" s="885">
        <f t="shared" si="43"/>
        <v>0</v>
      </c>
      <c r="AE29" s="883">
        <f t="shared" si="43"/>
        <v>0</v>
      </c>
      <c r="AF29" s="883">
        <f t="shared" si="43"/>
        <v>0</v>
      </c>
      <c r="AG29" s="883">
        <f t="shared" si="43"/>
        <v>0</v>
      </c>
      <c r="AH29" s="883">
        <f t="shared" si="43"/>
        <v>0</v>
      </c>
      <c r="AI29" s="883">
        <f t="shared" si="43"/>
        <v>0</v>
      </c>
      <c r="AJ29" s="889">
        <f t="shared" si="7"/>
        <v>0</v>
      </c>
      <c r="AK29" s="885">
        <f t="shared" si="26"/>
        <v>0</v>
      </c>
      <c r="AL29" s="883">
        <f t="shared" si="21"/>
        <v>0</v>
      </c>
      <c r="AM29" s="883">
        <f t="shared" si="22"/>
        <v>0</v>
      </c>
      <c r="AN29" s="883">
        <f t="shared" si="23"/>
        <v>0</v>
      </c>
      <c r="AO29" s="883">
        <f t="shared" si="24"/>
        <v>0</v>
      </c>
      <c r="AP29" s="883">
        <f t="shared" si="25"/>
        <v>0</v>
      </c>
      <c r="AQ29" s="890">
        <f t="shared" si="9"/>
        <v>0</v>
      </c>
    </row>
    <row r="30" spans="1:43">
      <c r="A30" s="817"/>
      <c r="B30" s="865" t="s">
        <v>1611</v>
      </c>
      <c r="C30" s="883"/>
      <c r="D30" s="883"/>
      <c r="E30" s="883">
        <f>HLOOKUP($B$2,'Consumption Input'!$E$5:$AQ$82,'Consumption Input'!$B35)</f>
        <v>-0.83291999999999999</v>
      </c>
      <c r="F30" s="883"/>
      <c r="G30" s="883"/>
      <c r="H30" s="883"/>
      <c r="I30" s="883">
        <f t="shared" ref="I30:I41" si="44">SUM(C30:H30)</f>
        <v>-0.83291999999999999</v>
      </c>
      <c r="J30" s="884"/>
      <c r="K30" s="883"/>
      <c r="L30" s="883"/>
      <c r="M30" s="883"/>
      <c r="N30" s="885">
        <f t="shared" si="32"/>
        <v>0</v>
      </c>
      <c r="O30" s="883">
        <f t="shared" si="32"/>
        <v>0</v>
      </c>
      <c r="P30" s="883">
        <f t="shared" si="33"/>
        <v>-0.83291999999999999</v>
      </c>
      <c r="Q30" s="883">
        <f t="shared" si="34"/>
        <v>0</v>
      </c>
      <c r="R30" s="883">
        <f t="shared" si="35"/>
        <v>0</v>
      </c>
      <c r="S30" s="886">
        <f t="shared" si="36"/>
        <v>0</v>
      </c>
      <c r="T30" s="883">
        <f t="shared" si="4"/>
        <v>-0.83291999999999999</v>
      </c>
      <c r="U30" s="887">
        <f>Factors!D39</f>
        <v>18.87</v>
      </c>
      <c r="V30" s="885">
        <f t="shared" si="37"/>
        <v>0</v>
      </c>
      <c r="W30" s="883">
        <f t="shared" si="38"/>
        <v>0</v>
      </c>
      <c r="X30" s="883">
        <f t="shared" si="39"/>
        <v>-1.5717200400000002E-2</v>
      </c>
      <c r="Y30" s="883">
        <f t="shared" si="40"/>
        <v>0</v>
      </c>
      <c r="Z30" s="883">
        <f t="shared" si="41"/>
        <v>0</v>
      </c>
      <c r="AA30" s="883">
        <f t="shared" si="42"/>
        <v>0</v>
      </c>
      <c r="AB30" s="883">
        <f t="shared" si="19"/>
        <v>-1.5717200400000002E-2</v>
      </c>
      <c r="AC30" s="888">
        <f>Factors!E39</f>
        <v>1</v>
      </c>
      <c r="AD30" s="885">
        <f t="shared" si="43"/>
        <v>0</v>
      </c>
      <c r="AE30" s="883">
        <f t="shared" si="43"/>
        <v>0</v>
      </c>
      <c r="AF30" s="883">
        <f t="shared" si="43"/>
        <v>-1.5717200400000002E-2</v>
      </c>
      <c r="AG30" s="883">
        <f t="shared" si="43"/>
        <v>0</v>
      </c>
      <c r="AH30" s="883">
        <f t="shared" si="43"/>
        <v>0</v>
      </c>
      <c r="AI30" s="883">
        <f t="shared" si="43"/>
        <v>0</v>
      </c>
      <c r="AJ30" s="889">
        <f t="shared" si="7"/>
        <v>-1.5717200400000002E-2</v>
      </c>
      <c r="AK30" s="885">
        <f t="shared" si="26"/>
        <v>0</v>
      </c>
      <c r="AL30" s="883">
        <f t="shared" si="21"/>
        <v>0</v>
      </c>
      <c r="AM30" s="883">
        <f t="shared" si="22"/>
        <v>-5.7629734800000006E-2</v>
      </c>
      <c r="AN30" s="883">
        <f t="shared" si="23"/>
        <v>0</v>
      </c>
      <c r="AO30" s="883">
        <f t="shared" si="24"/>
        <v>0</v>
      </c>
      <c r="AP30" s="883">
        <f t="shared" si="25"/>
        <v>0</v>
      </c>
      <c r="AQ30" s="890">
        <f t="shared" si="9"/>
        <v>-5.7629734800000006E-2</v>
      </c>
    </row>
    <row r="31" spans="1:43">
      <c r="A31" s="817"/>
      <c r="B31" s="865" t="s">
        <v>1612</v>
      </c>
      <c r="C31" s="883"/>
      <c r="D31" s="883"/>
      <c r="E31" s="883">
        <f>HLOOKUP($B$2,'Consumption Input'!$E$5:$AQ$82,'Consumption Input'!$B36)</f>
        <v>0</v>
      </c>
      <c r="F31" s="883"/>
      <c r="G31" s="883"/>
      <c r="H31" s="883"/>
      <c r="I31" s="883">
        <f t="shared" si="44"/>
        <v>0</v>
      </c>
      <c r="J31" s="884"/>
      <c r="K31" s="883"/>
      <c r="L31" s="883"/>
      <c r="M31" s="883"/>
      <c r="N31" s="885">
        <f t="shared" si="32"/>
        <v>0</v>
      </c>
      <c r="O31" s="883">
        <f t="shared" si="32"/>
        <v>0</v>
      </c>
      <c r="P31" s="883">
        <f t="shared" si="33"/>
        <v>0</v>
      </c>
      <c r="Q31" s="883">
        <f t="shared" si="34"/>
        <v>0</v>
      </c>
      <c r="R31" s="883">
        <f t="shared" si="35"/>
        <v>0</v>
      </c>
      <c r="S31" s="886">
        <f t="shared" si="36"/>
        <v>0</v>
      </c>
      <c r="T31" s="883">
        <f t="shared" si="4"/>
        <v>0</v>
      </c>
      <c r="U31" s="887">
        <f>HLOOKUP($B$2,Factors!$J$12:$BE$25,Factors!$H25,FALSE)</f>
        <v>20.305515594827586</v>
      </c>
      <c r="V31" s="885">
        <f t="shared" si="37"/>
        <v>0</v>
      </c>
      <c r="W31" s="883">
        <f t="shared" si="38"/>
        <v>0</v>
      </c>
      <c r="X31" s="883">
        <f t="shared" si="39"/>
        <v>0</v>
      </c>
      <c r="Y31" s="883">
        <f t="shared" si="40"/>
        <v>0</v>
      </c>
      <c r="Z31" s="883">
        <f t="shared" si="41"/>
        <v>0</v>
      </c>
      <c r="AA31" s="883">
        <f t="shared" si="42"/>
        <v>0</v>
      </c>
      <c r="AB31" s="883">
        <f t="shared" si="19"/>
        <v>0</v>
      </c>
      <c r="AC31" s="888">
        <f>Factors!E40</f>
        <v>1</v>
      </c>
      <c r="AD31" s="885">
        <f t="shared" si="43"/>
        <v>0</v>
      </c>
      <c r="AE31" s="883">
        <f t="shared" si="43"/>
        <v>0</v>
      </c>
      <c r="AF31" s="883">
        <f t="shared" si="43"/>
        <v>0</v>
      </c>
      <c r="AG31" s="883">
        <f t="shared" si="43"/>
        <v>0</v>
      </c>
      <c r="AH31" s="883">
        <f t="shared" si="43"/>
        <v>0</v>
      </c>
      <c r="AI31" s="883">
        <f t="shared" si="43"/>
        <v>0</v>
      </c>
      <c r="AJ31" s="889">
        <f t="shared" si="7"/>
        <v>0</v>
      </c>
      <c r="AK31" s="885">
        <f t="shared" si="26"/>
        <v>0</v>
      </c>
      <c r="AL31" s="883">
        <f t="shared" si="21"/>
        <v>0</v>
      </c>
      <c r="AM31" s="883">
        <f t="shared" si="22"/>
        <v>0</v>
      </c>
      <c r="AN31" s="883">
        <f t="shared" si="23"/>
        <v>0</v>
      </c>
      <c r="AO31" s="883">
        <f t="shared" si="24"/>
        <v>0</v>
      </c>
      <c r="AP31" s="883">
        <f t="shared" si="25"/>
        <v>0</v>
      </c>
      <c r="AQ31" s="890">
        <f t="shared" si="9"/>
        <v>0</v>
      </c>
    </row>
    <row r="32" spans="1:43">
      <c r="A32" s="817"/>
      <c r="B32" s="865" t="s">
        <v>1613</v>
      </c>
      <c r="C32" s="883"/>
      <c r="D32" s="883"/>
      <c r="E32" s="883">
        <f>HLOOKUP($B$2,'Consumption Input'!$E$5:$AQ$82,'Consumption Input'!$B37)</f>
        <v>0</v>
      </c>
      <c r="F32" s="883"/>
      <c r="G32" s="883"/>
      <c r="H32" s="883"/>
      <c r="I32" s="883">
        <f t="shared" si="44"/>
        <v>0</v>
      </c>
      <c r="J32" s="884"/>
      <c r="K32" s="883"/>
      <c r="L32" s="883"/>
      <c r="M32" s="883"/>
      <c r="N32" s="885">
        <f t="shared" si="32"/>
        <v>0</v>
      </c>
      <c r="O32" s="883">
        <f t="shared" si="32"/>
        <v>0</v>
      </c>
      <c r="P32" s="883">
        <f t="shared" si="33"/>
        <v>0</v>
      </c>
      <c r="Q32" s="883">
        <f t="shared" si="34"/>
        <v>0</v>
      </c>
      <c r="R32" s="883">
        <f t="shared" si="35"/>
        <v>0</v>
      </c>
      <c r="S32" s="886">
        <f t="shared" si="36"/>
        <v>0</v>
      </c>
      <c r="T32" s="883">
        <f t="shared" si="4"/>
        <v>0</v>
      </c>
      <c r="U32" s="887">
        <f>HLOOKUP($B$2,Factors!$J$12:$BE$25,Factors!$H22,FALSE)</f>
        <v>19.456118437849259</v>
      </c>
      <c r="V32" s="885">
        <f t="shared" si="37"/>
        <v>0</v>
      </c>
      <c r="W32" s="883">
        <f t="shared" si="38"/>
        <v>0</v>
      </c>
      <c r="X32" s="883">
        <f t="shared" si="39"/>
        <v>0</v>
      </c>
      <c r="Y32" s="883">
        <f t="shared" si="40"/>
        <v>0</v>
      </c>
      <c r="Z32" s="883">
        <f t="shared" si="41"/>
        <v>0</v>
      </c>
      <c r="AA32" s="883">
        <f t="shared" si="42"/>
        <v>0</v>
      </c>
      <c r="AB32" s="883">
        <f t="shared" si="19"/>
        <v>0</v>
      </c>
      <c r="AC32" s="888">
        <f>Factors!E41</f>
        <v>1</v>
      </c>
      <c r="AD32" s="885">
        <f t="shared" si="43"/>
        <v>0</v>
      </c>
      <c r="AE32" s="883">
        <f t="shared" si="43"/>
        <v>0</v>
      </c>
      <c r="AF32" s="883">
        <f t="shared" si="43"/>
        <v>0</v>
      </c>
      <c r="AG32" s="883">
        <f t="shared" si="43"/>
        <v>0</v>
      </c>
      <c r="AH32" s="883">
        <f t="shared" si="43"/>
        <v>0</v>
      </c>
      <c r="AI32" s="883">
        <f t="shared" si="43"/>
        <v>0</v>
      </c>
      <c r="AJ32" s="889">
        <f t="shared" si="7"/>
        <v>0</v>
      </c>
      <c r="AK32" s="885">
        <f t="shared" si="26"/>
        <v>0</v>
      </c>
      <c r="AL32" s="883">
        <f t="shared" si="21"/>
        <v>0</v>
      </c>
      <c r="AM32" s="883">
        <f t="shared" si="22"/>
        <v>0</v>
      </c>
      <c r="AN32" s="883">
        <f t="shared" si="23"/>
        <v>0</v>
      </c>
      <c r="AO32" s="883">
        <f t="shared" si="24"/>
        <v>0</v>
      </c>
      <c r="AP32" s="883">
        <f t="shared" si="25"/>
        <v>0</v>
      </c>
      <c r="AQ32" s="890">
        <f t="shared" si="9"/>
        <v>0</v>
      </c>
    </row>
    <row r="33" spans="1:43">
      <c r="A33" s="817"/>
      <c r="B33" s="865" t="s">
        <v>1739</v>
      </c>
      <c r="C33" s="883"/>
      <c r="D33" s="883"/>
      <c r="E33" s="883">
        <f>HLOOKUP($B$2,'Consumption Input'!$E$5:$AQ$82,'Consumption Input'!$B38)</f>
        <v>170.80425406800001</v>
      </c>
      <c r="F33" s="883"/>
      <c r="G33" s="883"/>
      <c r="H33" s="883">
        <f>HLOOKUP($B$2,'US Territories'!$D$28:$AO$38,'US Territories'!$B38)</f>
        <v>4.1945309999999996E-3</v>
      </c>
      <c r="I33" s="883">
        <f t="shared" si="44"/>
        <v>170.808448599</v>
      </c>
      <c r="J33" s="884"/>
      <c r="K33" s="883">
        <f>HLOOKUP($B$2,NEUConsumption,'Non-Energy Use'!C22)</f>
        <v>170.80425406800001</v>
      </c>
      <c r="L33" s="883"/>
      <c r="M33" s="883">
        <f>HLOOKUP($B$2,NEUConsumption,'Non-Energy Use'!$C$27)</f>
        <v>4.1945309999999996E-3</v>
      </c>
      <c r="N33" s="885">
        <f t="shared" si="32"/>
        <v>0</v>
      </c>
      <c r="O33" s="883">
        <f t="shared" si="32"/>
        <v>0</v>
      </c>
      <c r="P33" s="883">
        <f t="shared" si="33"/>
        <v>0</v>
      </c>
      <c r="Q33" s="883">
        <f t="shared" si="34"/>
        <v>0</v>
      </c>
      <c r="R33" s="883">
        <f t="shared" si="35"/>
        <v>0</v>
      </c>
      <c r="S33" s="886">
        <f t="shared" si="36"/>
        <v>0</v>
      </c>
      <c r="T33" s="883">
        <f t="shared" si="4"/>
        <v>0</v>
      </c>
      <c r="U33" s="887">
        <f>HLOOKUP($B$2,Factors!$J$12:$BE$25,Factors!$H23,FALSE)</f>
        <v>0</v>
      </c>
      <c r="V33" s="885">
        <f t="shared" si="37"/>
        <v>0</v>
      </c>
      <c r="W33" s="883">
        <f t="shared" si="38"/>
        <v>0</v>
      </c>
      <c r="X33" s="883">
        <f t="shared" si="39"/>
        <v>0</v>
      </c>
      <c r="Y33" s="883">
        <f t="shared" si="40"/>
        <v>0</v>
      </c>
      <c r="Z33" s="883">
        <f t="shared" si="41"/>
        <v>0</v>
      </c>
      <c r="AA33" s="883">
        <f t="shared" si="42"/>
        <v>0</v>
      </c>
      <c r="AB33" s="883">
        <f t="shared" si="19"/>
        <v>0</v>
      </c>
      <c r="AC33" s="888">
        <f>Factors!E42</f>
        <v>1</v>
      </c>
      <c r="AD33" s="885">
        <f t="shared" si="43"/>
        <v>0</v>
      </c>
      <c r="AE33" s="883">
        <f t="shared" si="43"/>
        <v>0</v>
      </c>
      <c r="AF33" s="883">
        <f t="shared" si="43"/>
        <v>0</v>
      </c>
      <c r="AG33" s="883">
        <f t="shared" si="43"/>
        <v>0</v>
      </c>
      <c r="AH33" s="883">
        <f t="shared" si="43"/>
        <v>0</v>
      </c>
      <c r="AI33" s="883">
        <f t="shared" si="43"/>
        <v>0</v>
      </c>
      <c r="AJ33" s="889">
        <f t="shared" si="7"/>
        <v>0</v>
      </c>
      <c r="AK33" s="885">
        <f t="shared" si="26"/>
        <v>0</v>
      </c>
      <c r="AL33" s="883">
        <f t="shared" si="21"/>
        <v>0</v>
      </c>
      <c r="AM33" s="883">
        <f t="shared" si="22"/>
        <v>0</v>
      </c>
      <c r="AN33" s="883">
        <f t="shared" si="23"/>
        <v>0</v>
      </c>
      <c r="AO33" s="883">
        <f t="shared" si="24"/>
        <v>0</v>
      </c>
      <c r="AP33" s="883">
        <f t="shared" si="25"/>
        <v>0</v>
      </c>
      <c r="AQ33" s="890">
        <f t="shared" si="9"/>
        <v>0</v>
      </c>
    </row>
    <row r="34" spans="1:43">
      <c r="A34" s="817"/>
      <c r="B34" s="865" t="s">
        <v>1615</v>
      </c>
      <c r="C34" s="883"/>
      <c r="D34" s="883"/>
      <c r="E34" s="883">
        <f>HLOOKUP($B$2,'Consumption Input'!$E$5:$AQ$82,'Consumption Input'!$B39)</f>
        <v>354.81727999999993</v>
      </c>
      <c r="F34" s="883"/>
      <c r="G34" s="883"/>
      <c r="H34" s="883"/>
      <c r="I34" s="883">
        <f t="shared" si="44"/>
        <v>354.81727999999993</v>
      </c>
      <c r="J34" s="884"/>
      <c r="K34" s="883">
        <f>HLOOKUP($B$2,NEUConsumption,'Non-Energy Use'!C14)</f>
        <v>354.81727999999993</v>
      </c>
      <c r="L34" s="883"/>
      <c r="M34" s="883"/>
      <c r="N34" s="885">
        <f t="shared" si="32"/>
        <v>0</v>
      </c>
      <c r="O34" s="883">
        <f t="shared" si="32"/>
        <v>0</v>
      </c>
      <c r="P34" s="883">
        <f t="shared" si="33"/>
        <v>0</v>
      </c>
      <c r="Q34" s="883">
        <f t="shared" si="34"/>
        <v>0</v>
      </c>
      <c r="R34" s="883">
        <f t="shared" si="35"/>
        <v>0</v>
      </c>
      <c r="S34" s="886">
        <f t="shared" si="36"/>
        <v>0</v>
      </c>
      <c r="T34" s="883">
        <f t="shared" si="4"/>
        <v>0</v>
      </c>
      <c r="U34" s="887">
        <f>Factors!D44</f>
        <v>18.550649350649344</v>
      </c>
      <c r="V34" s="885">
        <f t="shared" si="37"/>
        <v>0</v>
      </c>
      <c r="W34" s="883">
        <f t="shared" si="38"/>
        <v>0</v>
      </c>
      <c r="X34" s="883">
        <f t="shared" si="39"/>
        <v>0</v>
      </c>
      <c r="Y34" s="883">
        <f t="shared" si="40"/>
        <v>0</v>
      </c>
      <c r="Z34" s="883">
        <f t="shared" si="41"/>
        <v>0</v>
      </c>
      <c r="AA34" s="883">
        <f t="shared" si="42"/>
        <v>0</v>
      </c>
      <c r="AB34" s="883">
        <f t="shared" si="19"/>
        <v>0</v>
      </c>
      <c r="AC34" s="888">
        <f>Factors!E44</f>
        <v>1</v>
      </c>
      <c r="AD34" s="885">
        <f t="shared" si="43"/>
        <v>0</v>
      </c>
      <c r="AE34" s="883">
        <f t="shared" si="43"/>
        <v>0</v>
      </c>
      <c r="AF34" s="883">
        <f t="shared" si="43"/>
        <v>0</v>
      </c>
      <c r="AG34" s="883">
        <f t="shared" si="43"/>
        <v>0</v>
      </c>
      <c r="AH34" s="883">
        <f t="shared" si="43"/>
        <v>0</v>
      </c>
      <c r="AI34" s="883">
        <f t="shared" si="43"/>
        <v>0</v>
      </c>
      <c r="AJ34" s="889">
        <f t="shared" si="7"/>
        <v>0</v>
      </c>
      <c r="AK34" s="885">
        <f t="shared" si="26"/>
        <v>0</v>
      </c>
      <c r="AL34" s="883">
        <f t="shared" si="21"/>
        <v>0</v>
      </c>
      <c r="AM34" s="883">
        <f t="shared" si="22"/>
        <v>0</v>
      </c>
      <c r="AN34" s="883">
        <f t="shared" si="23"/>
        <v>0</v>
      </c>
      <c r="AO34" s="883">
        <f t="shared" si="24"/>
        <v>0</v>
      </c>
      <c r="AP34" s="883">
        <f t="shared" si="25"/>
        <v>0</v>
      </c>
      <c r="AQ34" s="890">
        <f t="shared" si="9"/>
        <v>0</v>
      </c>
    </row>
    <row r="35" spans="1:43">
      <c r="A35" s="817"/>
      <c r="B35" s="865" t="s">
        <v>1616</v>
      </c>
      <c r="C35" s="883"/>
      <c r="D35" s="883"/>
      <c r="E35" s="883">
        <f>HLOOKUP($B$2,'Consumption Input'!$E$5:$AQ$82,'Consumption Input'!$B40)</f>
        <v>216.89387500000001</v>
      </c>
      <c r="F35" s="883"/>
      <c r="G35" s="883"/>
      <c r="H35" s="883"/>
      <c r="I35" s="883">
        <f t="shared" si="44"/>
        <v>216.89387500000001</v>
      </c>
      <c r="J35" s="884"/>
      <c r="K35" s="883">
        <f>HLOOKUP($B$2,NEUConsumption,'Non-Energy Use'!$C$15)</f>
        <v>216.89387500000001</v>
      </c>
      <c r="L35" s="883"/>
      <c r="M35" s="883"/>
      <c r="N35" s="885">
        <f t="shared" si="32"/>
        <v>0</v>
      </c>
      <c r="O35" s="883">
        <f t="shared" si="32"/>
        <v>0</v>
      </c>
      <c r="P35" s="883">
        <f t="shared" si="33"/>
        <v>0</v>
      </c>
      <c r="Q35" s="883">
        <f t="shared" si="34"/>
        <v>0</v>
      </c>
      <c r="R35" s="883">
        <f t="shared" si="35"/>
        <v>0</v>
      </c>
      <c r="S35" s="886">
        <f t="shared" si="36"/>
        <v>0</v>
      </c>
      <c r="T35" s="883">
        <f t="shared" si="4"/>
        <v>0</v>
      </c>
      <c r="U35" s="887">
        <f>Factors!D45</f>
        <v>20.170000000000002</v>
      </c>
      <c r="V35" s="885">
        <f t="shared" si="37"/>
        <v>0</v>
      </c>
      <c r="W35" s="883">
        <f t="shared" si="38"/>
        <v>0</v>
      </c>
      <c r="X35" s="883">
        <f t="shared" si="39"/>
        <v>0</v>
      </c>
      <c r="Y35" s="883">
        <f t="shared" si="40"/>
        <v>0</v>
      </c>
      <c r="Z35" s="883">
        <f t="shared" si="41"/>
        <v>0</v>
      </c>
      <c r="AA35" s="883">
        <f t="shared" si="42"/>
        <v>0</v>
      </c>
      <c r="AB35" s="883">
        <f t="shared" si="19"/>
        <v>0</v>
      </c>
      <c r="AC35" s="888">
        <f>Factors!E45</f>
        <v>1</v>
      </c>
      <c r="AD35" s="885">
        <f t="shared" si="43"/>
        <v>0</v>
      </c>
      <c r="AE35" s="883">
        <f t="shared" si="43"/>
        <v>0</v>
      </c>
      <c r="AF35" s="883">
        <f t="shared" si="43"/>
        <v>0</v>
      </c>
      <c r="AG35" s="883">
        <f t="shared" si="43"/>
        <v>0</v>
      </c>
      <c r="AH35" s="883">
        <f t="shared" si="43"/>
        <v>0</v>
      </c>
      <c r="AI35" s="883">
        <f t="shared" si="43"/>
        <v>0</v>
      </c>
      <c r="AJ35" s="889">
        <f t="shared" si="7"/>
        <v>0</v>
      </c>
      <c r="AK35" s="885">
        <f t="shared" si="26"/>
        <v>0</v>
      </c>
      <c r="AL35" s="883">
        <f t="shared" si="21"/>
        <v>0</v>
      </c>
      <c r="AM35" s="883">
        <f t="shared" si="22"/>
        <v>0</v>
      </c>
      <c r="AN35" s="883">
        <f t="shared" si="23"/>
        <v>0</v>
      </c>
      <c r="AO35" s="883">
        <f t="shared" si="24"/>
        <v>0</v>
      </c>
      <c r="AP35" s="883">
        <f t="shared" si="25"/>
        <v>0</v>
      </c>
      <c r="AQ35" s="890">
        <f t="shared" si="9"/>
        <v>0</v>
      </c>
    </row>
    <row r="36" spans="1:43">
      <c r="A36" s="817"/>
      <c r="B36" s="865" t="s">
        <v>1617</v>
      </c>
      <c r="C36" s="883"/>
      <c r="D36" s="883"/>
      <c r="E36" s="883">
        <f>HLOOKUP($B$2,'Consumption Input'!$E$5:$AQ$82,'Consumption Input'!$B41)</f>
        <v>0</v>
      </c>
      <c r="F36" s="883"/>
      <c r="G36" s="883"/>
      <c r="H36" s="883"/>
      <c r="I36" s="883">
        <f t="shared" si="44"/>
        <v>0</v>
      </c>
      <c r="J36" s="884"/>
      <c r="K36" s="883">
        <f>HLOOKUP($B$2,NEUConsumption,'Non-Energy Use'!$C$13)</f>
        <v>0</v>
      </c>
      <c r="L36" s="883"/>
      <c r="M36" s="883"/>
      <c r="N36" s="885">
        <f t="shared" si="32"/>
        <v>0</v>
      </c>
      <c r="O36" s="883">
        <f t="shared" si="32"/>
        <v>0</v>
      </c>
      <c r="P36" s="883">
        <f t="shared" si="33"/>
        <v>0</v>
      </c>
      <c r="Q36" s="883">
        <f t="shared" si="34"/>
        <v>0</v>
      </c>
      <c r="R36" s="883">
        <f t="shared" si="35"/>
        <v>0</v>
      </c>
      <c r="S36" s="886">
        <f t="shared" si="36"/>
        <v>0</v>
      </c>
      <c r="T36" s="883">
        <f t="shared" si="4"/>
        <v>0</v>
      </c>
      <c r="U36" s="887">
        <f>Factors!D46</f>
        <v>18.239999999999998</v>
      </c>
      <c r="V36" s="885">
        <f t="shared" si="37"/>
        <v>0</v>
      </c>
      <c r="W36" s="883">
        <f t="shared" si="38"/>
        <v>0</v>
      </c>
      <c r="X36" s="883">
        <f t="shared" si="39"/>
        <v>0</v>
      </c>
      <c r="Y36" s="883">
        <f t="shared" si="40"/>
        <v>0</v>
      </c>
      <c r="Z36" s="883">
        <f t="shared" si="41"/>
        <v>0</v>
      </c>
      <c r="AA36" s="883">
        <f t="shared" si="42"/>
        <v>0</v>
      </c>
      <c r="AB36" s="883">
        <f t="shared" si="19"/>
        <v>0</v>
      </c>
      <c r="AC36" s="888">
        <f>Factors!E46</f>
        <v>1</v>
      </c>
      <c r="AD36" s="885">
        <f t="shared" ref="AD36:AI42" si="45">V36*$AC36</f>
        <v>0</v>
      </c>
      <c r="AE36" s="883">
        <f t="shared" si="45"/>
        <v>0</v>
      </c>
      <c r="AF36" s="883">
        <f t="shared" si="45"/>
        <v>0</v>
      </c>
      <c r="AG36" s="883">
        <f t="shared" si="45"/>
        <v>0</v>
      </c>
      <c r="AH36" s="883">
        <f t="shared" si="45"/>
        <v>0</v>
      </c>
      <c r="AI36" s="883">
        <f t="shared" si="45"/>
        <v>0</v>
      </c>
      <c r="AJ36" s="889">
        <f t="shared" si="7"/>
        <v>0</v>
      </c>
      <c r="AK36" s="885">
        <f t="shared" si="26"/>
        <v>0</v>
      </c>
      <c r="AL36" s="883">
        <f t="shared" si="21"/>
        <v>0</v>
      </c>
      <c r="AM36" s="883">
        <f t="shared" si="22"/>
        <v>0</v>
      </c>
      <c r="AN36" s="883">
        <f t="shared" si="23"/>
        <v>0</v>
      </c>
      <c r="AO36" s="883">
        <f t="shared" si="24"/>
        <v>0</v>
      </c>
      <c r="AP36" s="883">
        <f t="shared" si="25"/>
        <v>0</v>
      </c>
      <c r="AQ36" s="890">
        <f t="shared" si="9"/>
        <v>0</v>
      </c>
    </row>
    <row r="37" spans="1:43">
      <c r="A37" s="817"/>
      <c r="B37" s="865" t="s">
        <v>1604</v>
      </c>
      <c r="C37" s="883"/>
      <c r="D37" s="883">
        <f>HLOOKUP($B$2,'Consumption Input'!$E$5:$AQ$82,'Consumption Input'!$B21)</f>
        <v>0.193</v>
      </c>
      <c r="E37" s="883">
        <f>HLOOKUP($B$2,'Consumption Input'!$E$5:$AQ$82,'Consumption Input'!$B42)</f>
        <v>514.91899999999998</v>
      </c>
      <c r="F37" s="883"/>
      <c r="G37" s="883">
        <f>HLOOKUP($B$2,'Consumption Input'!$E$5:$AQ$82,'Consumption Input'!$B63)</f>
        <v>87.94</v>
      </c>
      <c r="H37" s="883"/>
      <c r="I37" s="883">
        <f t="shared" si="44"/>
        <v>603.05199999999991</v>
      </c>
      <c r="J37" s="884"/>
      <c r="K37" s="883">
        <f>HLOOKUP($B$2,NEUConsumption,'Non-Energy Use'!$C$17)</f>
        <v>48.061544731836854</v>
      </c>
      <c r="L37" s="883"/>
      <c r="M37" s="883"/>
      <c r="N37" s="885">
        <f t="shared" si="32"/>
        <v>0</v>
      </c>
      <c r="O37" s="883">
        <f t="shared" si="32"/>
        <v>0.193</v>
      </c>
      <c r="P37" s="883">
        <f t="shared" si="33"/>
        <v>466.85745526816311</v>
      </c>
      <c r="Q37" s="883">
        <f t="shared" si="34"/>
        <v>0</v>
      </c>
      <c r="R37" s="883">
        <f t="shared" si="35"/>
        <v>87.94</v>
      </c>
      <c r="S37" s="886">
        <f t="shared" si="36"/>
        <v>0</v>
      </c>
      <c r="T37" s="883">
        <f t="shared" si="4"/>
        <v>554.99045526816303</v>
      </c>
      <c r="U37" s="887">
        <f>Factors!D48</f>
        <v>27.84770010865628</v>
      </c>
      <c r="V37" s="885">
        <f t="shared" si="37"/>
        <v>0</v>
      </c>
      <c r="W37" s="883">
        <f t="shared" si="38"/>
        <v>5.374606120970662E-3</v>
      </c>
      <c r="X37" s="883">
        <f t="shared" si="39"/>
        <v>13.000906407798221</v>
      </c>
      <c r="Y37" s="883">
        <f t="shared" si="40"/>
        <v>0</v>
      </c>
      <c r="Z37" s="883">
        <f t="shared" si="41"/>
        <v>2.4489267475552334</v>
      </c>
      <c r="AA37" s="883">
        <f t="shared" si="42"/>
        <v>0</v>
      </c>
      <c r="AB37" s="883">
        <f t="shared" si="19"/>
        <v>15.455207761474425</v>
      </c>
      <c r="AC37" s="888">
        <f>Factors!E48</f>
        <v>1</v>
      </c>
      <c r="AD37" s="885">
        <f t="shared" si="45"/>
        <v>0</v>
      </c>
      <c r="AE37" s="883">
        <f t="shared" si="45"/>
        <v>5.374606120970662E-3</v>
      </c>
      <c r="AF37" s="883">
        <f t="shared" si="45"/>
        <v>13.000906407798221</v>
      </c>
      <c r="AG37" s="883">
        <f t="shared" si="45"/>
        <v>0</v>
      </c>
      <c r="AH37" s="883">
        <f t="shared" si="45"/>
        <v>2.4489267475552334</v>
      </c>
      <c r="AI37" s="883">
        <f t="shared" si="45"/>
        <v>0</v>
      </c>
      <c r="AJ37" s="889">
        <f t="shared" si="7"/>
        <v>15.455207761474425</v>
      </c>
      <c r="AK37" s="885">
        <f t="shared" si="26"/>
        <v>0</v>
      </c>
      <c r="AL37" s="883">
        <f t="shared" si="21"/>
        <v>1.9706889110225761E-2</v>
      </c>
      <c r="AM37" s="883">
        <f t="shared" si="22"/>
        <v>47.669990161926805</v>
      </c>
      <c r="AN37" s="883">
        <f t="shared" si="23"/>
        <v>0</v>
      </c>
      <c r="AO37" s="883">
        <f t="shared" si="24"/>
        <v>8.9793980743691897</v>
      </c>
      <c r="AP37" s="883">
        <f t="shared" si="25"/>
        <v>0</v>
      </c>
      <c r="AQ37" s="890">
        <f t="shared" si="9"/>
        <v>56.669095125406216</v>
      </c>
    </row>
    <row r="38" spans="1:43">
      <c r="A38" s="817"/>
      <c r="B38" s="865" t="s">
        <v>1618</v>
      </c>
      <c r="C38" s="883"/>
      <c r="D38" s="883"/>
      <c r="E38" s="883">
        <f>HLOOKUP($B$2,'Consumption Input'!$E$5:$AQ$82,'Consumption Input'!$B43)</f>
        <v>1476.2316089999997</v>
      </c>
      <c r="F38" s="883"/>
      <c r="G38" s="883"/>
      <c r="H38" s="883"/>
      <c r="I38" s="883">
        <f t="shared" si="44"/>
        <v>1476.2316089999997</v>
      </c>
      <c r="J38" s="884"/>
      <c r="K38" s="883">
        <f>HLOOKUP($B$2,NEUConsumption,'Non-Energy Use'!$C$16)</f>
        <v>152.81268515053802</v>
      </c>
      <c r="L38" s="883"/>
      <c r="M38" s="883"/>
      <c r="N38" s="885">
        <f t="shared" si="32"/>
        <v>0</v>
      </c>
      <c r="O38" s="883">
        <f t="shared" si="32"/>
        <v>0</v>
      </c>
      <c r="P38" s="883">
        <f t="shared" si="33"/>
        <v>1323.4189238494616</v>
      </c>
      <c r="Q38" s="883">
        <f t="shared" si="34"/>
        <v>0</v>
      </c>
      <c r="R38" s="883">
        <f t="shared" si="35"/>
        <v>0</v>
      </c>
      <c r="S38" s="886">
        <f t="shared" si="36"/>
        <v>0</v>
      </c>
      <c r="T38" s="883">
        <f t="shared" si="4"/>
        <v>1323.4189238494616</v>
      </c>
      <c r="U38" s="887">
        <f>Factors!D51</f>
        <v>18.195454545454545</v>
      </c>
      <c r="V38" s="885">
        <f t="shared" si="37"/>
        <v>0</v>
      </c>
      <c r="W38" s="883">
        <f t="shared" si="38"/>
        <v>0</v>
      </c>
      <c r="X38" s="883">
        <f t="shared" si="39"/>
        <v>24.080208873497249</v>
      </c>
      <c r="Y38" s="883">
        <f t="shared" si="40"/>
        <v>0</v>
      </c>
      <c r="Z38" s="883">
        <f t="shared" si="41"/>
        <v>0</v>
      </c>
      <c r="AA38" s="883">
        <f t="shared" si="42"/>
        <v>0</v>
      </c>
      <c r="AB38" s="883">
        <f t="shared" si="19"/>
        <v>24.080208873497249</v>
      </c>
      <c r="AC38" s="888">
        <f>Factors!E51</f>
        <v>1</v>
      </c>
      <c r="AD38" s="885">
        <f t="shared" si="45"/>
        <v>0</v>
      </c>
      <c r="AE38" s="883">
        <f t="shared" si="45"/>
        <v>0</v>
      </c>
      <c r="AF38" s="883">
        <f t="shared" si="45"/>
        <v>24.080208873497249</v>
      </c>
      <c r="AG38" s="883">
        <f t="shared" si="45"/>
        <v>0</v>
      </c>
      <c r="AH38" s="883">
        <f t="shared" si="45"/>
        <v>0</v>
      </c>
      <c r="AI38" s="883">
        <f t="shared" si="45"/>
        <v>0</v>
      </c>
      <c r="AJ38" s="889">
        <f t="shared" si="7"/>
        <v>24.080208873497249</v>
      </c>
      <c r="AK38" s="885">
        <f t="shared" si="26"/>
        <v>0</v>
      </c>
      <c r="AL38" s="883">
        <f t="shared" si="21"/>
        <v>0</v>
      </c>
      <c r="AM38" s="883">
        <f t="shared" si="22"/>
        <v>88.294099202823247</v>
      </c>
      <c r="AN38" s="883">
        <f t="shared" si="23"/>
        <v>0</v>
      </c>
      <c r="AO38" s="883">
        <f t="shared" si="24"/>
        <v>0</v>
      </c>
      <c r="AP38" s="883">
        <f t="shared" si="25"/>
        <v>0</v>
      </c>
      <c r="AQ38" s="890">
        <f t="shared" si="9"/>
        <v>88.294099202823247</v>
      </c>
    </row>
    <row r="39" spans="1:43">
      <c r="A39" s="817"/>
      <c r="B39" s="865" t="s">
        <v>1619</v>
      </c>
      <c r="C39" s="883"/>
      <c r="D39" s="883"/>
      <c r="E39" s="883">
        <f>HLOOKUP($B$2,'Consumption Input'!$E$5:$AQ$82,'Consumption Input'!$B44)</f>
        <v>81.228543999999999</v>
      </c>
      <c r="F39" s="883"/>
      <c r="G39" s="883"/>
      <c r="H39" s="883"/>
      <c r="I39" s="883">
        <f t="shared" si="44"/>
        <v>81.228543999999999</v>
      </c>
      <c r="J39" s="884"/>
      <c r="K39" s="883">
        <f>HLOOKUP($B$2,NEUConsumption,'Non-Energy Use'!$C$18)</f>
        <v>81.228543999999999</v>
      </c>
      <c r="L39" s="883"/>
      <c r="M39" s="883"/>
      <c r="N39" s="885">
        <f t="shared" si="32"/>
        <v>0</v>
      </c>
      <c r="O39" s="883">
        <f t="shared" si="32"/>
        <v>0</v>
      </c>
      <c r="P39" s="883">
        <f t="shared" si="33"/>
        <v>0</v>
      </c>
      <c r="Q39" s="883">
        <f t="shared" si="34"/>
        <v>0</v>
      </c>
      <c r="R39" s="883">
        <f t="shared" si="35"/>
        <v>0</v>
      </c>
      <c r="S39" s="886">
        <f t="shared" si="36"/>
        <v>0</v>
      </c>
      <c r="T39" s="883">
        <f t="shared" si="4"/>
        <v>0</v>
      </c>
      <c r="U39" s="887">
        <f>Factors!D37</f>
        <v>19.737389135254986</v>
      </c>
      <c r="V39" s="885">
        <f t="shared" si="37"/>
        <v>0</v>
      </c>
      <c r="W39" s="883">
        <f t="shared" si="38"/>
        <v>0</v>
      </c>
      <c r="X39" s="883">
        <f t="shared" si="39"/>
        <v>0</v>
      </c>
      <c r="Y39" s="883">
        <f t="shared" si="40"/>
        <v>0</v>
      </c>
      <c r="Z39" s="883">
        <f t="shared" si="41"/>
        <v>0</v>
      </c>
      <c r="AA39" s="883">
        <f t="shared" si="42"/>
        <v>0</v>
      </c>
      <c r="AB39" s="883">
        <f t="shared" si="19"/>
        <v>0</v>
      </c>
      <c r="AC39" s="888">
        <f>Factors!E37</f>
        <v>1</v>
      </c>
      <c r="AD39" s="885">
        <f t="shared" si="45"/>
        <v>0</v>
      </c>
      <c r="AE39" s="883">
        <f t="shared" si="45"/>
        <v>0</v>
      </c>
      <c r="AF39" s="883">
        <f t="shared" si="45"/>
        <v>0</v>
      </c>
      <c r="AG39" s="883">
        <f t="shared" si="45"/>
        <v>0</v>
      </c>
      <c r="AH39" s="883">
        <f t="shared" si="45"/>
        <v>0</v>
      </c>
      <c r="AI39" s="883">
        <f t="shared" si="45"/>
        <v>0</v>
      </c>
      <c r="AJ39" s="889">
        <f t="shared" si="7"/>
        <v>0</v>
      </c>
      <c r="AK39" s="885">
        <f t="shared" si="26"/>
        <v>0</v>
      </c>
      <c r="AL39" s="883">
        <f t="shared" si="21"/>
        <v>0</v>
      </c>
      <c r="AM39" s="883">
        <f t="shared" si="22"/>
        <v>0</v>
      </c>
      <c r="AN39" s="883">
        <f t="shared" si="23"/>
        <v>0</v>
      </c>
      <c r="AO39" s="883">
        <f t="shared" si="24"/>
        <v>0</v>
      </c>
      <c r="AP39" s="883">
        <f t="shared" si="25"/>
        <v>0</v>
      </c>
      <c r="AQ39" s="890">
        <f t="shared" si="9"/>
        <v>0</v>
      </c>
    </row>
    <row r="40" spans="1:43">
      <c r="A40" s="817"/>
      <c r="B40" s="865" t="s">
        <v>1620</v>
      </c>
      <c r="C40" s="883"/>
      <c r="D40" s="883"/>
      <c r="E40" s="883">
        <f>HLOOKUP($B$2,'Consumption Input'!$E$5:$AQ$82,'Consumption Input'!$B45)</f>
        <v>0</v>
      </c>
      <c r="F40" s="883"/>
      <c r="G40" s="883"/>
      <c r="H40" s="883"/>
      <c r="I40" s="883">
        <f t="shared" si="44"/>
        <v>0</v>
      </c>
      <c r="J40" s="884"/>
      <c r="K40" s="883"/>
      <c r="L40" s="883"/>
      <c r="M40" s="883"/>
      <c r="N40" s="885">
        <f t="shared" si="32"/>
        <v>0</v>
      </c>
      <c r="O40" s="883">
        <f t="shared" si="32"/>
        <v>0</v>
      </c>
      <c r="P40" s="883">
        <f t="shared" si="33"/>
        <v>0</v>
      </c>
      <c r="Q40" s="883">
        <f t="shared" si="34"/>
        <v>0</v>
      </c>
      <c r="R40" s="883">
        <f t="shared" si="35"/>
        <v>0</v>
      </c>
      <c r="S40" s="886">
        <f t="shared" si="36"/>
        <v>0</v>
      </c>
      <c r="T40" s="883">
        <f t="shared" si="4"/>
        <v>0</v>
      </c>
      <c r="U40" s="887">
        <f>HLOOKUP($B$2,Factors!$J$12:$BE$25,Factors!$H24,FALSE)</f>
        <v>20.305515594827586</v>
      </c>
      <c r="V40" s="885">
        <f t="shared" si="37"/>
        <v>0</v>
      </c>
      <c r="W40" s="883">
        <f t="shared" si="38"/>
        <v>0</v>
      </c>
      <c r="X40" s="883">
        <f t="shared" si="39"/>
        <v>0</v>
      </c>
      <c r="Y40" s="883">
        <f t="shared" si="40"/>
        <v>0</v>
      </c>
      <c r="Z40" s="883">
        <f t="shared" si="41"/>
        <v>0</v>
      </c>
      <c r="AA40" s="883">
        <f t="shared" si="42"/>
        <v>0</v>
      </c>
      <c r="AB40" s="883">
        <f t="shared" si="19"/>
        <v>0</v>
      </c>
      <c r="AC40" s="888">
        <f>Factors!E53</f>
        <v>1</v>
      </c>
      <c r="AD40" s="885">
        <f t="shared" si="45"/>
        <v>0</v>
      </c>
      <c r="AE40" s="883">
        <f t="shared" si="45"/>
        <v>0</v>
      </c>
      <c r="AF40" s="883">
        <f t="shared" si="45"/>
        <v>0</v>
      </c>
      <c r="AG40" s="883">
        <f t="shared" si="45"/>
        <v>0</v>
      </c>
      <c r="AH40" s="883">
        <f t="shared" si="45"/>
        <v>0</v>
      </c>
      <c r="AI40" s="883">
        <f t="shared" si="45"/>
        <v>0</v>
      </c>
      <c r="AJ40" s="889">
        <f t="shared" si="7"/>
        <v>0</v>
      </c>
      <c r="AK40" s="885">
        <f t="shared" si="26"/>
        <v>0</v>
      </c>
      <c r="AL40" s="883">
        <f t="shared" si="21"/>
        <v>0</v>
      </c>
      <c r="AM40" s="883">
        <f t="shared" si="22"/>
        <v>0</v>
      </c>
      <c r="AN40" s="883">
        <f t="shared" si="23"/>
        <v>0</v>
      </c>
      <c r="AO40" s="883">
        <f t="shared" si="24"/>
        <v>0</v>
      </c>
      <c r="AP40" s="883">
        <f t="shared" si="25"/>
        <v>0</v>
      </c>
      <c r="AQ40" s="890">
        <f t="shared" si="9"/>
        <v>0</v>
      </c>
    </row>
    <row r="41" spans="1:43">
      <c r="A41" s="817"/>
      <c r="B41" s="865" t="s">
        <v>1621</v>
      </c>
      <c r="C41" s="883"/>
      <c r="D41" s="883"/>
      <c r="E41" s="883">
        <f>HLOOKUP($B$2,'Consumption Input'!$E$5:$AQ$82,'Consumption Input'!$B46)</f>
        <v>11.791190998999999</v>
      </c>
      <c r="F41" s="883"/>
      <c r="G41" s="883"/>
      <c r="H41" s="883"/>
      <c r="I41" s="883">
        <f t="shared" si="44"/>
        <v>11.791190998999999</v>
      </c>
      <c r="J41" s="884"/>
      <c r="K41" s="883">
        <f>HLOOKUP($B$2,NEUConsumption,'Non-Energy Use'!$C$21)</f>
        <v>11.791190998999999</v>
      </c>
      <c r="L41" s="883"/>
      <c r="M41" s="883"/>
      <c r="N41" s="885">
        <f t="shared" si="32"/>
        <v>0</v>
      </c>
      <c r="O41" s="883">
        <f t="shared" si="32"/>
        <v>0</v>
      </c>
      <c r="P41" s="883">
        <f t="shared" si="33"/>
        <v>0</v>
      </c>
      <c r="Q41" s="883">
        <f t="shared" si="34"/>
        <v>0</v>
      </c>
      <c r="R41" s="883">
        <f t="shared" si="35"/>
        <v>0</v>
      </c>
      <c r="S41" s="886">
        <f t="shared" si="36"/>
        <v>0</v>
      </c>
      <c r="T41" s="883">
        <f t="shared" si="4"/>
        <v>0</v>
      </c>
      <c r="U41" s="887">
        <f>Factors!D55</f>
        <v>19.795754182606267</v>
      </c>
      <c r="V41" s="899">
        <f t="shared" si="37"/>
        <v>0</v>
      </c>
      <c r="W41" s="900">
        <f t="shared" si="38"/>
        <v>0</v>
      </c>
      <c r="X41" s="900">
        <f t="shared" si="39"/>
        <v>0</v>
      </c>
      <c r="Y41" s="900">
        <f t="shared" si="40"/>
        <v>0</v>
      </c>
      <c r="Z41" s="900">
        <f t="shared" si="41"/>
        <v>0</v>
      </c>
      <c r="AA41" s="900">
        <f t="shared" si="42"/>
        <v>0</v>
      </c>
      <c r="AB41" s="883">
        <f t="shared" si="19"/>
        <v>0</v>
      </c>
      <c r="AC41" s="888">
        <f>Factors!E55</f>
        <v>1</v>
      </c>
      <c r="AD41" s="885">
        <f t="shared" si="45"/>
        <v>0</v>
      </c>
      <c r="AE41" s="883">
        <f t="shared" si="45"/>
        <v>0</v>
      </c>
      <c r="AF41" s="883">
        <f t="shared" si="45"/>
        <v>0</v>
      </c>
      <c r="AG41" s="883">
        <f t="shared" si="45"/>
        <v>0</v>
      </c>
      <c r="AH41" s="883">
        <f t="shared" si="45"/>
        <v>0</v>
      </c>
      <c r="AI41" s="883">
        <f t="shared" si="45"/>
        <v>0</v>
      </c>
      <c r="AJ41" s="889">
        <f t="shared" si="7"/>
        <v>0</v>
      </c>
      <c r="AK41" s="885">
        <f t="shared" si="26"/>
        <v>0</v>
      </c>
      <c r="AL41" s="883">
        <f t="shared" si="21"/>
        <v>0</v>
      </c>
      <c r="AM41" s="883">
        <f t="shared" si="22"/>
        <v>0</v>
      </c>
      <c r="AN41" s="883">
        <f t="shared" si="23"/>
        <v>0</v>
      </c>
      <c r="AO41" s="883">
        <f t="shared" si="24"/>
        <v>0</v>
      </c>
      <c r="AP41" s="883">
        <f t="shared" si="25"/>
        <v>0</v>
      </c>
      <c r="AQ41" s="890">
        <f t="shared" si="9"/>
        <v>0</v>
      </c>
    </row>
    <row r="42" spans="1:43" ht="11.1" thickBot="1">
      <c r="A42" s="817"/>
      <c r="B42" s="866" t="s">
        <v>82</v>
      </c>
      <c r="C42" s="917"/>
      <c r="D42" s="917"/>
      <c r="E42" s="917"/>
      <c r="F42" s="917"/>
      <c r="G42" s="917">
        <f>INDEX(Geothermal!$C$6:$AI$10,MATCH("Total",Geothermal!$C$6:$C$10,0),MATCH($B$2,Geothermal!$C$6:$AI$6,0))/Factors!$J$61*Factors!$J$55/BBtuToBtu*BBtuToTBtu</f>
        <v>54.505905003999999</v>
      </c>
      <c r="H42" s="917"/>
      <c r="I42" s="917">
        <f>G42</f>
        <v>54.505905003999999</v>
      </c>
      <c r="J42" s="918"/>
      <c r="K42" s="919"/>
      <c r="L42" s="917"/>
      <c r="M42" s="920"/>
      <c r="N42" s="917">
        <f t="shared" si="32"/>
        <v>0</v>
      </c>
      <c r="O42" s="917">
        <f t="shared" si="32"/>
        <v>0</v>
      </c>
      <c r="P42" s="917">
        <f>E42</f>
        <v>0</v>
      </c>
      <c r="Q42" s="917">
        <f>F42</f>
        <v>0</v>
      </c>
      <c r="R42" s="917">
        <f t="shared" si="35"/>
        <v>54.505905003999999</v>
      </c>
      <c r="S42" s="917">
        <f>H42</f>
        <v>0</v>
      </c>
      <c r="T42" s="917">
        <f t="shared" si="4"/>
        <v>54.505905003999999</v>
      </c>
      <c r="U42" s="921">
        <f>Factors!D56</f>
        <v>2.6974658424810825</v>
      </c>
      <c r="V42" s="917"/>
      <c r="W42" s="917"/>
      <c r="X42" s="917"/>
      <c r="Y42" s="917"/>
      <c r="Z42" s="917">
        <f>INDEX(Geothermal!$C$14:$AI$18,MATCH("Total",Geothermal!$C$14:$C$18,0),MATCH($B$2,Geothermal!$C$14:$AI$14,0))/CtoCO2</f>
        <v>0.10282306169483346</v>
      </c>
      <c r="AA42" s="917"/>
      <c r="AB42" s="917">
        <f t="shared" si="19"/>
        <v>0.10282306169483346</v>
      </c>
      <c r="AC42" s="921">
        <f>Factors!$E$56</f>
        <v>1</v>
      </c>
      <c r="AD42" s="917">
        <f t="shared" si="45"/>
        <v>0</v>
      </c>
      <c r="AE42" s="917">
        <f t="shared" si="45"/>
        <v>0</v>
      </c>
      <c r="AF42" s="917">
        <f t="shared" si="45"/>
        <v>0</v>
      </c>
      <c r="AG42" s="917">
        <f t="shared" si="45"/>
        <v>0</v>
      </c>
      <c r="AH42" s="917">
        <f>Z42*$AC42</f>
        <v>0.10282306169483346</v>
      </c>
      <c r="AI42" s="917">
        <f t="shared" si="45"/>
        <v>0</v>
      </c>
      <c r="AJ42" s="920">
        <f t="shared" si="7"/>
        <v>0.10282306169483346</v>
      </c>
      <c r="AK42" s="919">
        <f t="shared" si="26"/>
        <v>0</v>
      </c>
      <c r="AL42" s="917">
        <f t="shared" si="21"/>
        <v>0</v>
      </c>
      <c r="AM42" s="917">
        <f t="shared" si="22"/>
        <v>0</v>
      </c>
      <c r="AN42" s="917">
        <f t="shared" si="23"/>
        <v>0</v>
      </c>
      <c r="AO42" s="917">
        <f>AH42*CtoCO2</f>
        <v>0.37701789288105603</v>
      </c>
      <c r="AP42" s="917">
        <f>AI42*CtoCO2</f>
        <v>0</v>
      </c>
      <c r="AQ42" s="920">
        <f>SUM(AK42:AP42)</f>
        <v>0.37701789288105603</v>
      </c>
    </row>
    <row r="43" spans="1:43" ht="11.1" thickBot="1">
      <c r="A43" s="817"/>
      <c r="B43" s="867" t="s">
        <v>1740</v>
      </c>
      <c r="C43" s="922">
        <f>C8+C17+C18+C42</f>
        <v>5763.6603411342603</v>
      </c>
      <c r="D43" s="922">
        <f>D8+D17+D18+D42</f>
        <v>4223.4979273942545</v>
      </c>
      <c r="E43" s="922">
        <f>E8+E17+E18+E42</f>
        <v>18840.709040731388</v>
      </c>
      <c r="F43" s="922">
        <f>F8+F17+F18+F42</f>
        <v>25976.456358102576</v>
      </c>
      <c r="G43" s="922">
        <f>G8+G17+G18+G42</f>
        <v>21339.776905003997</v>
      </c>
      <c r="H43" s="922">
        <f>H16+H17+H18+H42</f>
        <v>340.38063892693521</v>
      </c>
      <c r="I43" s="922">
        <f>SUM(C43:H43)</f>
        <v>76484.481211293401</v>
      </c>
      <c r="J43" s="923">
        <f t="shared" ref="J43:S43" si="46">J8+J17+J18+J42</f>
        <v>1113.8507288550891</v>
      </c>
      <c r="K43" s="924">
        <f t="shared" si="46"/>
        <v>5916.5015466611258</v>
      </c>
      <c r="L43" s="922">
        <f t="shared" si="46"/>
        <v>119.03799999999998</v>
      </c>
      <c r="M43" s="925">
        <f t="shared" si="46"/>
        <v>1.0453579184999999</v>
      </c>
      <c r="N43" s="922">
        <f t="shared" si="46"/>
        <v>5763.6603411342603</v>
      </c>
      <c r="O43" s="922">
        <f t="shared" si="46"/>
        <v>4223.4979273942545</v>
      </c>
      <c r="P43" s="922">
        <f t="shared" si="46"/>
        <v>12924.207494070262</v>
      </c>
      <c r="Q43" s="922">
        <f t="shared" si="46"/>
        <v>24743.567629247489</v>
      </c>
      <c r="R43" s="922">
        <f t="shared" si="46"/>
        <v>21339.776905003997</v>
      </c>
      <c r="S43" s="922">
        <f t="shared" si="46"/>
        <v>339.33528100843523</v>
      </c>
      <c r="T43" s="922">
        <f t="shared" si="4"/>
        <v>69334.045577858691</v>
      </c>
      <c r="U43" s="926" t="s">
        <v>1731</v>
      </c>
      <c r="V43" s="922">
        <f t="shared" ref="V43:AA43" si="47">V8+V17+V18+V42</f>
        <v>86.736434154237998</v>
      </c>
      <c r="W43" s="922">
        <f t="shared" si="47"/>
        <v>64.780263975516803</v>
      </c>
      <c r="X43" s="922">
        <f t="shared" si="47"/>
        <v>209.68181018292779</v>
      </c>
      <c r="Y43" s="922">
        <f t="shared" si="47"/>
        <v>478.23979770530423</v>
      </c>
      <c r="Z43" s="922">
        <f t="shared" si="47"/>
        <v>420.25439450467763</v>
      </c>
      <c r="AA43" s="922">
        <f t="shared" si="47"/>
        <v>6.4831919725484664</v>
      </c>
      <c r="AB43" s="922">
        <f t="shared" si="19"/>
        <v>1266.1758924952128</v>
      </c>
      <c r="AC43" s="926" t="s">
        <v>1731</v>
      </c>
      <c r="AD43" s="922">
        <f t="shared" ref="AD43:AQ43" si="48">AD8+AD17+AD18+AD42</f>
        <v>86.736434154237998</v>
      </c>
      <c r="AE43" s="922">
        <f t="shared" si="48"/>
        <v>64.780263975516803</v>
      </c>
      <c r="AF43" s="922">
        <f t="shared" si="48"/>
        <v>209.68181018292779</v>
      </c>
      <c r="AG43" s="922">
        <f t="shared" si="48"/>
        <v>478.23979770530423</v>
      </c>
      <c r="AH43" s="922">
        <f t="shared" si="48"/>
        <v>420.25439450467763</v>
      </c>
      <c r="AI43" s="922">
        <f t="shared" si="48"/>
        <v>6.4831919725484664</v>
      </c>
      <c r="AJ43" s="925">
        <f t="shared" si="48"/>
        <v>1266.1758924952128</v>
      </c>
      <c r="AK43" s="922">
        <f t="shared" si="48"/>
        <v>318.03359189887266</v>
      </c>
      <c r="AL43" s="922">
        <f t="shared" si="48"/>
        <v>237.52763457689494</v>
      </c>
      <c r="AM43" s="922">
        <f t="shared" si="48"/>
        <v>768.83330400406851</v>
      </c>
      <c r="AN43" s="922">
        <f t="shared" si="48"/>
        <v>1753.5459249194487</v>
      </c>
      <c r="AO43" s="922">
        <f t="shared" si="48"/>
        <v>1540.9327798504844</v>
      </c>
      <c r="AP43" s="922">
        <f t="shared" si="48"/>
        <v>23.771703899344374</v>
      </c>
      <c r="AQ43" s="925">
        <f t="shared" si="48"/>
        <v>4642.6449391491133</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ht="9.9499999999999993">
      <c r="B45"/>
      <c r="C45"/>
      <c r="D45"/>
      <c r="E45"/>
      <c r="F45"/>
      <c r="G45"/>
      <c r="H45"/>
      <c r="I45"/>
      <c r="J45"/>
      <c r="K45"/>
      <c r="L45"/>
      <c r="M45"/>
      <c r="N45" s="206"/>
      <c r="O45" s="206"/>
      <c r="P45" s="206"/>
      <c r="Q45" s="206"/>
      <c r="R45" s="206"/>
      <c r="S45" s="206"/>
      <c r="U45"/>
      <c r="V45" s="207"/>
      <c r="W45" s="207"/>
      <c r="X45" s="207"/>
      <c r="Y45" s="207"/>
      <c r="Z45" s="207"/>
      <c r="AA45" s="207"/>
      <c r="AB45" s="207"/>
      <c r="AC45"/>
      <c r="AD45"/>
      <c r="AE45"/>
      <c r="AF45"/>
      <c r="AG45"/>
      <c r="AH45"/>
      <c r="AI45"/>
      <c r="AJ45"/>
    </row>
    <row r="46" spans="1:43" ht="9.9499999999999993">
      <c r="B46"/>
      <c r="C46"/>
      <c r="D46"/>
      <c r="E46"/>
      <c r="F46"/>
      <c r="G46"/>
      <c r="H46"/>
      <c r="I46"/>
      <c r="J46"/>
      <c r="K46"/>
      <c r="L46"/>
      <c r="M46"/>
      <c r="N46" s="206"/>
      <c r="O46" s="206"/>
      <c r="P46" s="206"/>
      <c r="Q46" s="206"/>
      <c r="R46" s="206"/>
      <c r="S46" s="206"/>
      <c r="U46" s="1111"/>
      <c r="V46" s="207"/>
      <c r="W46" s="207"/>
      <c r="X46" s="207"/>
      <c r="Y46" s="207"/>
      <c r="Z46" s="207"/>
      <c r="AA46" s="207"/>
      <c r="AB46" s="207"/>
      <c r="AC46"/>
      <c r="AD46"/>
      <c r="AE46"/>
      <c r="AF46"/>
      <c r="AG46"/>
      <c r="AH46"/>
      <c r="AI46"/>
      <c r="AJ46"/>
    </row>
    <row r="47" spans="1:43" ht="9.9499999999999993">
      <c r="B47"/>
      <c r="C47"/>
      <c r="D47"/>
      <c r="E47"/>
      <c r="F47"/>
      <c r="G47"/>
      <c r="H47"/>
      <c r="I47"/>
      <c r="J47"/>
      <c r="K47"/>
      <c r="L47"/>
      <c r="M47"/>
      <c r="N47" s="206"/>
      <c r="O47" s="206"/>
      <c r="P47" s="206"/>
      <c r="Q47" s="206"/>
      <c r="R47" s="206"/>
      <c r="S47" s="206"/>
      <c r="U47" s="1111"/>
      <c r="V47" s="207"/>
      <c r="W47" s="207"/>
      <c r="X47" s="207"/>
      <c r="Y47" s="207"/>
      <c r="Z47" s="207"/>
      <c r="AA47" s="207"/>
      <c r="AB47" s="207"/>
      <c r="AC47"/>
      <c r="AD47"/>
      <c r="AE47"/>
      <c r="AF47"/>
      <c r="AG47"/>
      <c r="AH47"/>
      <c r="AI47"/>
      <c r="AJ47"/>
    </row>
    <row r="48" spans="1:43" ht="9.9499999999999993">
      <c r="B48"/>
      <c r="C48"/>
      <c r="D48"/>
      <c r="E48"/>
      <c r="F48"/>
      <c r="G48"/>
      <c r="H48"/>
      <c r="I48"/>
      <c r="J48"/>
      <c r="K48"/>
      <c r="L48"/>
      <c r="M48"/>
      <c r="N48" s="206"/>
      <c r="O48" s="206"/>
      <c r="P48" s="206"/>
      <c r="Q48" s="206"/>
      <c r="R48" s="206"/>
      <c r="S48" s="206"/>
      <c r="U48" s="1111"/>
      <c r="V48" s="207"/>
      <c r="W48" s="207"/>
      <c r="X48" s="207"/>
      <c r="Y48" s="207"/>
      <c r="Z48" s="207"/>
      <c r="AA48" s="207"/>
      <c r="AB48" s="207"/>
      <c r="AC48"/>
      <c r="AD48"/>
      <c r="AE48"/>
      <c r="AF48"/>
      <c r="AG48"/>
      <c r="AH48"/>
      <c r="AI48"/>
      <c r="AJ48"/>
    </row>
    <row r="49" spans="2:36" ht="9.9499999999999993">
      <c r="B49"/>
      <c r="C49"/>
      <c r="D49"/>
      <c r="E49"/>
      <c r="F49"/>
      <c r="G49"/>
      <c r="H49"/>
      <c r="I49"/>
      <c r="J49"/>
      <c r="K49"/>
      <c r="L49"/>
      <c r="M49"/>
      <c r="N49" s="206"/>
      <c r="O49" s="206"/>
      <c r="P49" s="206"/>
      <c r="Q49" s="206"/>
      <c r="R49" s="206"/>
      <c r="S49" s="206"/>
      <c r="U49" s="1111"/>
      <c r="V49" s="207"/>
      <c r="W49" s="207"/>
      <c r="X49" s="207"/>
      <c r="Y49" s="207"/>
      <c r="Z49" s="207"/>
      <c r="AA49" s="207"/>
      <c r="AB49" s="207"/>
      <c r="AC49"/>
      <c r="AD49"/>
      <c r="AE49"/>
      <c r="AF49"/>
      <c r="AG49"/>
      <c r="AH49"/>
      <c r="AI49"/>
      <c r="AJ49"/>
    </row>
    <row r="50" spans="2:36" customFormat="1" ht="9.9499999999999993">
      <c r="U50" s="1111"/>
      <c r="V50" s="207"/>
      <c r="W50" s="207"/>
      <c r="X50" s="207"/>
      <c r="Y50" s="207"/>
      <c r="Z50" s="207"/>
      <c r="AA50" s="207"/>
      <c r="AB50" s="207"/>
    </row>
    <row r="51" spans="2:36" customFormat="1" ht="9.9499999999999993">
      <c r="U51" s="1111"/>
      <c r="V51" s="207"/>
      <c r="W51" s="207"/>
      <c r="X51" s="207"/>
      <c r="Y51" s="207"/>
      <c r="Z51" s="207"/>
      <c r="AA51" s="207"/>
      <c r="AB51" s="207"/>
    </row>
    <row r="52" spans="2:36" customFormat="1" ht="9.9499999999999993">
      <c r="U52" s="1111"/>
      <c r="V52" s="207"/>
      <c r="W52" s="207"/>
      <c r="X52" s="207"/>
      <c r="Y52" s="207"/>
      <c r="Z52" s="207"/>
      <c r="AA52" s="207"/>
      <c r="AB52" s="207"/>
    </row>
    <row r="53" spans="2:36" customFormat="1" ht="9.9499999999999993">
      <c r="U53" s="1111"/>
      <c r="V53" s="207"/>
      <c r="W53" s="207"/>
      <c r="X53" s="207"/>
      <c r="Y53" s="207"/>
      <c r="Z53" s="207"/>
      <c r="AA53" s="207"/>
      <c r="AB53" s="207"/>
    </row>
    <row r="54" spans="2:36" customFormat="1" ht="9.9499999999999993">
      <c r="U54" s="1111"/>
      <c r="V54" s="207"/>
      <c r="W54" s="207"/>
      <c r="X54" s="207"/>
      <c r="Y54" s="207"/>
      <c r="Z54" s="207"/>
      <c r="AA54" s="207"/>
      <c r="AB54" s="207"/>
    </row>
    <row r="55" spans="2:36" customFormat="1" ht="9.9499999999999993">
      <c r="U55" s="1111"/>
      <c r="V55" s="207"/>
      <c r="W55" s="207"/>
      <c r="X55" s="207"/>
      <c r="Y55" s="207"/>
      <c r="Z55" s="207"/>
      <c r="AA55" s="207"/>
      <c r="AB55" s="207"/>
    </row>
    <row r="56" spans="2:36" customFormat="1" ht="9.9499999999999993">
      <c r="U56" s="1111"/>
      <c r="V56" s="207"/>
      <c r="W56" s="207"/>
      <c r="X56" s="207"/>
      <c r="Y56" s="207"/>
      <c r="Z56" s="207"/>
      <c r="AA56" s="207"/>
      <c r="AB56" s="207"/>
    </row>
    <row r="57" spans="2:36" customFormat="1" ht="9.9499999999999993">
      <c r="U57" s="1111"/>
      <c r="V57" s="207"/>
      <c r="W57" s="207"/>
      <c r="X57" s="207"/>
      <c r="Y57" s="207"/>
      <c r="Z57" s="207"/>
      <c r="AA57" s="207"/>
      <c r="AB57" s="207"/>
    </row>
    <row r="58" spans="2:36" customFormat="1" ht="9.9499999999999993">
      <c r="U58" s="1111"/>
      <c r="V58" s="207"/>
      <c r="W58" s="207"/>
      <c r="X58" s="207"/>
      <c r="Y58" s="207"/>
      <c r="Z58" s="207"/>
      <c r="AA58" s="207"/>
      <c r="AB58" s="207"/>
    </row>
    <row r="59" spans="2:36" customFormat="1" ht="9.9499999999999993">
      <c r="U59" s="1111"/>
      <c r="V59" s="207"/>
      <c r="W59" s="207"/>
      <c r="X59" s="207"/>
      <c r="Y59" s="207"/>
      <c r="Z59" s="207"/>
      <c r="AA59" s="207"/>
      <c r="AB59" s="207"/>
    </row>
    <row r="60" spans="2:36" customFormat="1" ht="9.9499999999999993">
      <c r="U60" s="1111"/>
      <c r="V60" s="207"/>
      <c r="W60" s="207"/>
      <c r="X60" s="207"/>
      <c r="Y60" s="207"/>
      <c r="Z60" s="207"/>
      <c r="AA60" s="207"/>
      <c r="AB60" s="207"/>
    </row>
    <row r="61" spans="2:36" customFormat="1" ht="9.9499999999999993">
      <c r="U61" s="1111"/>
      <c r="V61" s="207"/>
      <c r="W61" s="207"/>
      <c r="X61" s="207"/>
      <c r="Y61" s="207"/>
      <c r="Z61" s="207"/>
      <c r="AA61" s="207"/>
      <c r="AB61" s="207"/>
    </row>
    <row r="62" spans="2:36" customFormat="1" ht="9.9499999999999993">
      <c r="U62" s="1111"/>
      <c r="V62" s="207"/>
      <c r="W62" s="207"/>
      <c r="X62" s="207"/>
      <c r="Y62" s="207"/>
      <c r="Z62" s="207"/>
      <c r="AA62" s="207"/>
      <c r="AB62" s="207"/>
    </row>
    <row r="63" spans="2:36" customFormat="1" ht="9.9499999999999993">
      <c r="U63" s="1111"/>
      <c r="V63" s="207"/>
      <c r="W63" s="207"/>
      <c r="X63" s="207"/>
      <c r="Y63" s="207"/>
      <c r="Z63" s="207"/>
      <c r="AA63" s="207"/>
      <c r="AB63" s="207"/>
    </row>
    <row r="64" spans="2:36" customFormat="1" ht="9.9499999999999993">
      <c r="U64" s="1111"/>
      <c r="V64" s="207"/>
      <c r="W64" s="207"/>
      <c r="X64" s="207"/>
      <c r="Y64" s="207"/>
      <c r="Z64" s="207"/>
      <c r="AA64" s="207"/>
      <c r="AB64" s="207"/>
    </row>
    <row r="65" spans="21:28" customFormat="1" ht="9.9499999999999993">
      <c r="U65" s="1111"/>
      <c r="V65" s="207"/>
      <c r="W65" s="207"/>
      <c r="X65" s="207"/>
      <c r="Y65" s="207"/>
      <c r="Z65" s="207"/>
      <c r="AA65" s="207"/>
      <c r="AB65" s="207"/>
    </row>
    <row r="66" spans="21:28" customFormat="1" ht="9.9499999999999993">
      <c r="U66" s="1111"/>
      <c r="V66" s="207"/>
      <c r="W66" s="207"/>
      <c r="X66" s="207"/>
      <c r="Y66" s="207"/>
      <c r="Z66" s="207"/>
      <c r="AA66" s="207"/>
      <c r="AB66" s="207"/>
    </row>
    <row r="67" spans="21:28" customFormat="1" ht="9.9499999999999993">
      <c r="U67" s="1111"/>
      <c r="V67" s="207"/>
      <c r="W67" s="207"/>
      <c r="X67" s="207"/>
      <c r="Y67" s="207"/>
      <c r="Z67" s="207"/>
      <c r="AA67" s="207"/>
      <c r="AB67" s="207"/>
    </row>
    <row r="68" spans="21:28" customFormat="1" ht="9.9499999999999993">
      <c r="U68" s="1111"/>
      <c r="V68" s="207"/>
      <c r="W68" s="207"/>
      <c r="X68" s="207"/>
      <c r="Y68" s="207"/>
      <c r="Z68" s="207"/>
      <c r="AA68" s="207"/>
      <c r="AB68" s="207"/>
    </row>
    <row r="69" spans="21:28" customFormat="1" ht="9.9499999999999993">
      <c r="U69" s="1111"/>
      <c r="V69" s="207"/>
      <c r="W69" s="207"/>
      <c r="X69" s="207"/>
      <c r="Y69" s="207"/>
      <c r="Z69" s="207"/>
      <c r="AA69" s="207"/>
      <c r="AB69" s="207"/>
    </row>
    <row r="70" spans="21:28" customFormat="1" ht="9.9499999999999993">
      <c r="U70" s="1111"/>
      <c r="V70" s="207"/>
      <c r="W70" s="207"/>
      <c r="X70" s="207"/>
      <c r="Y70" s="207"/>
      <c r="Z70" s="207"/>
      <c r="AA70" s="207"/>
      <c r="AB70" s="207"/>
    </row>
    <row r="71" spans="21:28" customFormat="1" ht="9.9499999999999993">
      <c r="V71" s="207"/>
      <c r="W71" s="207"/>
      <c r="X71" s="207"/>
      <c r="Y71" s="207"/>
      <c r="Z71" s="207"/>
      <c r="AA71" s="207"/>
      <c r="AB71" s="207"/>
    </row>
    <row r="72" spans="21:28" customFormat="1" ht="9.9499999999999993">
      <c r="V72" s="207"/>
      <c r="W72" s="207"/>
      <c r="X72" s="207"/>
      <c r="Y72" s="207"/>
      <c r="Z72" s="207"/>
      <c r="AA72" s="207"/>
      <c r="AB72" s="207"/>
    </row>
    <row r="73" spans="21:28" customFormat="1" ht="9.9499999999999993">
      <c r="V73" s="207"/>
      <c r="W73" s="207"/>
      <c r="X73" s="207"/>
      <c r="Y73" s="207"/>
      <c r="Z73" s="207"/>
      <c r="AA73" s="207"/>
      <c r="AB73" s="207"/>
    </row>
    <row r="74" spans="21:28" customFormat="1" ht="9.9499999999999993">
      <c r="V74" s="207"/>
      <c r="W74" s="207"/>
      <c r="X74" s="207"/>
      <c r="Y74" s="207"/>
      <c r="Z74" s="207"/>
      <c r="AA74" s="207"/>
      <c r="AB74" s="207"/>
    </row>
    <row r="75" spans="21:28" customFormat="1" ht="9.9499999999999993">
      <c r="V75" s="207"/>
      <c r="W75" s="207"/>
      <c r="X75" s="207"/>
      <c r="Y75" s="207"/>
      <c r="Z75" s="207"/>
      <c r="AA75" s="207"/>
      <c r="AB75" s="207"/>
    </row>
    <row r="76" spans="21:28" customFormat="1" ht="9.9499999999999993">
      <c r="V76" s="207"/>
      <c r="W76" s="207"/>
      <c r="X76" s="207"/>
      <c r="Y76" s="207"/>
      <c r="Z76" s="207"/>
      <c r="AA76" s="207"/>
      <c r="AB76" s="207"/>
    </row>
    <row r="77" spans="21:28" customFormat="1" ht="9.9499999999999993">
      <c r="V77" s="207"/>
      <c r="W77" s="207"/>
      <c r="X77" s="207"/>
      <c r="Y77" s="207"/>
      <c r="Z77" s="207"/>
      <c r="AA77" s="207"/>
      <c r="AB77" s="207"/>
    </row>
    <row r="78" spans="21:28" customFormat="1" ht="9.9499999999999993">
      <c r="V78" s="207"/>
      <c r="W78" s="207"/>
      <c r="X78" s="207"/>
      <c r="Y78" s="207"/>
      <c r="Z78" s="207"/>
      <c r="AA78" s="207"/>
      <c r="AB78" s="207"/>
    </row>
    <row r="79" spans="21:28" customFormat="1" ht="9.9499999999999993">
      <c r="V79" s="207"/>
      <c r="W79" s="207"/>
      <c r="X79" s="207"/>
      <c r="Y79" s="207"/>
      <c r="Z79" s="207"/>
      <c r="AA79" s="207"/>
      <c r="AB79" s="207"/>
    </row>
    <row r="80" spans="21: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8"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05FB8-F512-4AEB-BF1D-E21737AB6999}">
  <sheetPr transitionEvaluation="1" transitionEntry="1">
    <pageSetUpPr fitToPage="1"/>
  </sheetPr>
  <dimension ref="A1:AQ1177"/>
  <sheetViews>
    <sheetView workbookViewId="0">
      <selection activeCell="P25" sqref="P25"/>
    </sheetView>
  </sheetViews>
  <sheetFormatPr defaultColWidth="9.6640625" defaultRowHeight="10.5"/>
  <cols>
    <col min="1" max="1" width="8" customWidth="1"/>
    <col min="2" max="2" width="24.6640625" style="152" customWidth="1"/>
    <col min="3" max="4" width="10" style="152" bestFit="1" customWidth="1"/>
    <col min="5" max="7" width="11" style="152" bestFit="1" customWidth="1"/>
    <col min="8" max="8" width="8" style="152" bestFit="1" customWidth="1"/>
    <col min="9" max="9" width="11" style="152" bestFit="1" customWidth="1"/>
    <col min="10" max="10" width="12" style="152" customWidth="1"/>
    <col min="11" max="11" width="9" style="152" customWidth="1"/>
    <col min="12" max="12" width="7" style="152" customWidth="1"/>
    <col min="13" max="13" width="8" style="152" bestFit="1" customWidth="1"/>
    <col min="14" max="14" width="11" style="152" customWidth="1"/>
    <col min="15" max="15" width="10" style="152" customWidth="1"/>
    <col min="16" max="16" width="10.6640625" style="152" customWidth="1"/>
    <col min="17" max="18" width="11" style="152" customWidth="1"/>
    <col min="19" max="19" width="8" style="152" customWidth="1"/>
    <col min="20" max="20" width="11" bestFit="1" customWidth="1"/>
    <col min="21" max="21" width="10" style="153" customWidth="1"/>
    <col min="22" max="27" width="9" style="154" customWidth="1"/>
    <col min="28" max="28" width="8.6640625" style="154" customWidth="1"/>
    <col min="29" max="29" width="7" style="155" customWidth="1"/>
    <col min="30" max="30" width="8.6640625" style="152" customWidth="1"/>
    <col min="31" max="31" width="8" style="152" customWidth="1"/>
    <col min="32" max="32" width="9" style="152" customWidth="1"/>
    <col min="33" max="33" width="8" style="152" customWidth="1"/>
    <col min="34" max="34" width="8.6640625" style="152" customWidth="1"/>
    <col min="35" max="35" width="9" style="152" customWidth="1"/>
    <col min="36" max="36" width="8.6640625" style="152" customWidth="1"/>
    <col min="37" max="37" width="8.6640625" customWidth="1"/>
    <col min="38" max="38" width="9" customWidth="1"/>
    <col min="39" max="39" width="9.6640625" customWidth="1"/>
    <col min="40" max="40" width="10" customWidth="1"/>
    <col min="41" max="41" width="9.6640625" customWidth="1"/>
    <col min="42" max="42" width="9" bestFit="1" customWidth="1"/>
    <col min="43" max="43" width="10" customWidth="1"/>
    <col min="44" max="45" width="9" customWidth="1"/>
  </cols>
  <sheetData>
    <row r="1" spans="1:43">
      <c r="A1" s="1043" t="s">
        <v>1777</v>
      </c>
      <c r="B1" s="816"/>
      <c r="C1" s="816"/>
      <c r="D1" s="816"/>
      <c r="E1" s="816"/>
      <c r="F1" s="816"/>
      <c r="G1" s="816"/>
      <c r="H1" s="816"/>
      <c r="I1" s="816"/>
      <c r="J1" s="816"/>
      <c r="K1" s="816"/>
      <c r="L1" s="816"/>
      <c r="M1" s="816"/>
      <c r="N1" s="816"/>
      <c r="O1" s="816"/>
      <c r="P1" s="816"/>
      <c r="Q1" s="816"/>
      <c r="R1" s="816"/>
      <c r="S1" s="816"/>
      <c r="T1" s="817"/>
      <c r="U1" s="818"/>
      <c r="V1" s="819"/>
      <c r="W1" s="819"/>
      <c r="X1" s="819"/>
      <c r="Y1" s="819"/>
      <c r="Z1" s="816">
        <f>I29*U29/10^3</f>
        <v>0</v>
      </c>
      <c r="AA1" s="819"/>
      <c r="AB1" s="819"/>
      <c r="AC1" s="820"/>
      <c r="AD1" s="816"/>
      <c r="AE1" s="816"/>
      <c r="AF1" s="816"/>
      <c r="AG1" s="816"/>
      <c r="AH1" s="816"/>
      <c r="AI1" s="816"/>
      <c r="AJ1" s="816"/>
      <c r="AK1" s="817"/>
      <c r="AL1" s="817"/>
      <c r="AM1" s="817"/>
      <c r="AN1" s="817"/>
      <c r="AO1" s="817"/>
      <c r="AP1" s="817"/>
      <c r="AQ1" s="817"/>
    </row>
    <row r="2" spans="1:43">
      <c r="A2" s="872" t="s">
        <v>1715</v>
      </c>
      <c r="B2" s="873">
        <v>2022</v>
      </c>
      <c r="C2" s="816"/>
      <c r="D2" s="816"/>
      <c r="E2" s="816"/>
      <c r="F2" s="816"/>
      <c r="G2" s="816"/>
      <c r="H2" s="823"/>
      <c r="I2" s="823"/>
      <c r="J2" s="816"/>
      <c r="K2" s="816"/>
      <c r="L2" s="816"/>
      <c r="M2" s="816"/>
      <c r="N2" s="824" t="s">
        <v>1716</v>
      </c>
      <c r="O2" s="816"/>
      <c r="P2" s="816"/>
      <c r="Q2" s="816"/>
      <c r="R2" s="816"/>
      <c r="S2" s="816"/>
      <c r="T2" s="817"/>
      <c r="U2" s="818"/>
      <c r="V2" s="819"/>
      <c r="W2" s="819"/>
      <c r="X2" s="819"/>
      <c r="Y2" s="819"/>
      <c r="Z2" s="819"/>
      <c r="AA2" s="819"/>
      <c r="AB2" s="819"/>
      <c r="AC2" s="820"/>
      <c r="AD2" s="816"/>
      <c r="AE2" s="816"/>
      <c r="AF2" s="816"/>
      <c r="AG2" s="816"/>
      <c r="AH2" s="816"/>
      <c r="AI2" s="816"/>
      <c r="AJ2" s="816"/>
      <c r="AK2" s="824" t="s">
        <v>1716</v>
      </c>
      <c r="AL2" s="817"/>
      <c r="AM2" s="817"/>
      <c r="AN2" s="874"/>
      <c r="AO2" s="875"/>
      <c r="AP2" s="817"/>
      <c r="AQ2" s="817"/>
    </row>
    <row r="3" spans="1:43">
      <c r="A3" s="1067" t="s">
        <v>1778</v>
      </c>
      <c r="B3" s="816"/>
      <c r="C3" s="816"/>
      <c r="D3" s="816"/>
      <c r="E3" s="816"/>
      <c r="F3" s="816"/>
      <c r="G3" s="816"/>
      <c r="H3" s="823"/>
      <c r="I3" s="823"/>
      <c r="J3" s="816"/>
      <c r="K3" s="816"/>
      <c r="L3" s="816"/>
      <c r="M3" s="816"/>
      <c r="N3" s="816"/>
      <c r="O3" s="816"/>
      <c r="P3" s="816"/>
      <c r="Q3" s="816"/>
      <c r="R3" s="816"/>
      <c r="S3" s="816"/>
      <c r="T3" s="817"/>
      <c r="U3" s="818"/>
      <c r="V3" s="819"/>
      <c r="W3" s="819"/>
      <c r="X3" s="819"/>
      <c r="Y3" s="819"/>
      <c r="Z3" s="819"/>
      <c r="AA3" s="819"/>
      <c r="AB3" s="819"/>
      <c r="AC3" s="820"/>
      <c r="AD3" s="816"/>
      <c r="AE3" s="816"/>
      <c r="AF3" s="816"/>
      <c r="AG3" s="816"/>
      <c r="AH3" s="816"/>
      <c r="AI3" s="816"/>
      <c r="AJ3" s="816"/>
      <c r="AK3" s="817"/>
      <c r="AL3" s="817"/>
      <c r="AM3" s="817"/>
      <c r="AN3" s="817"/>
      <c r="AO3" s="817"/>
      <c r="AP3" s="817"/>
      <c r="AQ3" s="817"/>
    </row>
    <row r="4" spans="1:43" ht="11.1" thickBot="1">
      <c r="A4" s="817"/>
      <c r="B4" s="828">
        <v>1</v>
      </c>
      <c r="C4" s="829">
        <f t="shared" ref="C4:AQ4" si="0">B4+1</f>
        <v>2</v>
      </c>
      <c r="D4" s="829">
        <f t="shared" si="0"/>
        <v>3</v>
      </c>
      <c r="E4" s="829">
        <f t="shared" si="0"/>
        <v>4</v>
      </c>
      <c r="F4" s="829">
        <f t="shared" si="0"/>
        <v>5</v>
      </c>
      <c r="G4" s="829">
        <f t="shared" si="0"/>
        <v>6</v>
      </c>
      <c r="H4" s="829">
        <f t="shared" si="0"/>
        <v>7</v>
      </c>
      <c r="I4" s="829">
        <f t="shared" si="0"/>
        <v>8</v>
      </c>
      <c r="J4" s="829">
        <f t="shared" si="0"/>
        <v>9</v>
      </c>
      <c r="K4" s="829">
        <f t="shared" si="0"/>
        <v>10</v>
      </c>
      <c r="L4" s="829">
        <f t="shared" si="0"/>
        <v>11</v>
      </c>
      <c r="M4" s="829">
        <f t="shared" si="0"/>
        <v>12</v>
      </c>
      <c r="N4" s="829">
        <f t="shared" si="0"/>
        <v>13</v>
      </c>
      <c r="O4" s="829">
        <f t="shared" si="0"/>
        <v>14</v>
      </c>
      <c r="P4" s="829">
        <f t="shared" si="0"/>
        <v>15</v>
      </c>
      <c r="Q4" s="829">
        <f t="shared" si="0"/>
        <v>16</v>
      </c>
      <c r="R4" s="829">
        <f t="shared" si="0"/>
        <v>17</v>
      </c>
      <c r="S4" s="829">
        <f t="shared" si="0"/>
        <v>18</v>
      </c>
      <c r="T4" s="829">
        <f>S4+1</f>
        <v>19</v>
      </c>
      <c r="U4" s="830">
        <f t="shared" si="0"/>
        <v>20</v>
      </c>
      <c r="V4" s="831">
        <f t="shared" si="0"/>
        <v>21</v>
      </c>
      <c r="W4" s="831">
        <f t="shared" si="0"/>
        <v>22</v>
      </c>
      <c r="X4" s="831">
        <f t="shared" si="0"/>
        <v>23</v>
      </c>
      <c r="Y4" s="831">
        <f t="shared" si="0"/>
        <v>24</v>
      </c>
      <c r="Z4" s="831">
        <f t="shared" si="0"/>
        <v>25</v>
      </c>
      <c r="AA4" s="831">
        <f t="shared" si="0"/>
        <v>26</v>
      </c>
      <c r="AB4" s="831">
        <f t="shared" si="0"/>
        <v>27</v>
      </c>
      <c r="AC4" s="830">
        <f t="shared" si="0"/>
        <v>28</v>
      </c>
      <c r="AD4" s="829">
        <f t="shared" si="0"/>
        <v>29</v>
      </c>
      <c r="AE4" s="829">
        <f t="shared" si="0"/>
        <v>30</v>
      </c>
      <c r="AF4" s="829">
        <f t="shared" si="0"/>
        <v>31</v>
      </c>
      <c r="AG4" s="829">
        <f t="shared" si="0"/>
        <v>32</v>
      </c>
      <c r="AH4" s="829">
        <f t="shared" si="0"/>
        <v>33</v>
      </c>
      <c r="AI4" s="829">
        <f t="shared" si="0"/>
        <v>34</v>
      </c>
      <c r="AJ4" s="828">
        <f t="shared" si="0"/>
        <v>35</v>
      </c>
      <c r="AK4" s="829">
        <f t="shared" si="0"/>
        <v>36</v>
      </c>
      <c r="AL4" s="829">
        <f t="shared" si="0"/>
        <v>37</v>
      </c>
      <c r="AM4" s="829">
        <f t="shared" si="0"/>
        <v>38</v>
      </c>
      <c r="AN4" s="829">
        <f t="shared" si="0"/>
        <v>39</v>
      </c>
      <c r="AO4" s="829">
        <f t="shared" si="0"/>
        <v>40</v>
      </c>
      <c r="AP4" s="829">
        <f t="shared" si="0"/>
        <v>41</v>
      </c>
      <c r="AQ4" s="828">
        <f t="shared" si="0"/>
        <v>42</v>
      </c>
    </row>
    <row r="5" spans="1:43" ht="12.6">
      <c r="A5" s="817"/>
      <c r="B5" s="832"/>
      <c r="C5" s="833" t="s">
        <v>1718</v>
      </c>
      <c r="D5" s="833"/>
      <c r="E5" s="833"/>
      <c r="F5" s="833"/>
      <c r="G5" s="833"/>
      <c r="H5" s="834"/>
      <c r="I5" s="834"/>
      <c r="J5" s="835" t="s">
        <v>1719</v>
      </c>
      <c r="K5" s="836"/>
      <c r="L5" s="836"/>
      <c r="M5" s="837"/>
      <c r="N5" s="833" t="s">
        <v>1720</v>
      </c>
      <c r="O5" s="833"/>
      <c r="P5" s="833"/>
      <c r="Q5" s="833"/>
      <c r="R5" s="833"/>
      <c r="S5" s="834"/>
      <c r="T5" s="838"/>
      <c r="U5" s="839"/>
      <c r="V5" s="840" t="s">
        <v>1721</v>
      </c>
      <c r="W5" s="840"/>
      <c r="X5" s="840"/>
      <c r="Y5" s="840"/>
      <c r="Z5" s="840"/>
      <c r="AA5" s="840"/>
      <c r="AB5" s="840"/>
      <c r="AC5" s="841"/>
      <c r="AD5" s="833" t="s">
        <v>1722</v>
      </c>
      <c r="AE5" s="833"/>
      <c r="AF5" s="833"/>
      <c r="AG5" s="833"/>
      <c r="AH5" s="833"/>
      <c r="AI5" s="834"/>
      <c r="AJ5" s="842"/>
      <c r="AK5" s="817"/>
      <c r="AL5" s="833"/>
      <c r="AM5" s="843"/>
      <c r="AN5" s="843" t="s">
        <v>1767</v>
      </c>
      <c r="AO5" s="833"/>
      <c r="AP5" s="834"/>
      <c r="AQ5" s="842"/>
    </row>
    <row r="6" spans="1:43" ht="21" customHeight="1">
      <c r="A6" s="817"/>
      <c r="B6" s="832"/>
      <c r="C6" s="844"/>
      <c r="D6" s="844"/>
      <c r="E6" s="844"/>
      <c r="F6" s="844"/>
      <c r="G6" s="844"/>
      <c r="H6" s="845"/>
      <c r="I6" s="844"/>
      <c r="J6" s="846"/>
      <c r="K6" s="847" t="s">
        <v>1724</v>
      </c>
      <c r="L6" s="833"/>
      <c r="M6" s="842"/>
      <c r="N6" s="844"/>
      <c r="O6" s="844"/>
      <c r="P6" s="844"/>
      <c r="Q6" s="844"/>
      <c r="R6" s="844"/>
      <c r="S6" s="844"/>
      <c r="T6" s="848"/>
      <c r="U6" s="839"/>
      <c r="V6" s="849"/>
      <c r="W6" s="849"/>
      <c r="X6" s="849"/>
      <c r="Y6" s="849"/>
      <c r="Z6" s="849"/>
      <c r="AA6" s="849"/>
      <c r="AB6" s="849"/>
      <c r="AC6" s="850"/>
      <c r="AD6" s="844"/>
      <c r="AE6" s="844"/>
      <c r="AF6" s="844"/>
      <c r="AG6" s="844"/>
      <c r="AH6" s="844"/>
      <c r="AI6" s="844"/>
      <c r="AJ6" s="851"/>
      <c r="AK6" s="844"/>
      <c r="AL6" s="844"/>
      <c r="AM6" s="844"/>
      <c r="AN6" s="844"/>
      <c r="AO6" s="844"/>
      <c r="AP6" s="844"/>
      <c r="AQ6" s="851"/>
    </row>
    <row r="7" spans="1:43" ht="65.25" customHeight="1" thickBot="1">
      <c r="A7" s="817"/>
      <c r="B7" s="852" t="s">
        <v>1583</v>
      </c>
      <c r="C7" s="853" t="s">
        <v>1434</v>
      </c>
      <c r="D7" s="853" t="s">
        <v>1441</v>
      </c>
      <c r="E7" s="853" t="s">
        <v>1443</v>
      </c>
      <c r="F7" s="853" t="s">
        <v>1445</v>
      </c>
      <c r="G7" s="853" t="s">
        <v>1474</v>
      </c>
      <c r="H7" s="853" t="s">
        <v>1725</v>
      </c>
      <c r="I7" s="853" t="s">
        <v>1480</v>
      </c>
      <c r="J7" s="854" t="s">
        <v>1726</v>
      </c>
      <c r="K7" s="854" t="s">
        <v>1443</v>
      </c>
      <c r="L7" s="853" t="s">
        <v>1445</v>
      </c>
      <c r="M7" s="855" t="s">
        <v>1725</v>
      </c>
      <c r="N7" s="853" t="s">
        <v>1434</v>
      </c>
      <c r="O7" s="853" t="s">
        <v>1441</v>
      </c>
      <c r="P7" s="853" t="s">
        <v>1443</v>
      </c>
      <c r="Q7" s="853" t="s">
        <v>1445</v>
      </c>
      <c r="R7" s="853" t="s">
        <v>1474</v>
      </c>
      <c r="S7" s="855" t="s">
        <v>1725</v>
      </c>
      <c r="T7" s="856" t="s">
        <v>1727</v>
      </c>
      <c r="U7" s="857" t="s">
        <v>1728</v>
      </c>
      <c r="V7" s="858" t="s">
        <v>1434</v>
      </c>
      <c r="W7" s="858" t="s">
        <v>1441</v>
      </c>
      <c r="X7" s="858" t="s">
        <v>1443</v>
      </c>
      <c r="Y7" s="858" t="s">
        <v>1445</v>
      </c>
      <c r="Z7" s="858" t="s">
        <v>1474</v>
      </c>
      <c r="AA7" s="858" t="s">
        <v>1725</v>
      </c>
      <c r="AB7" s="858" t="s">
        <v>1480</v>
      </c>
      <c r="AC7" s="857" t="s">
        <v>1729</v>
      </c>
      <c r="AD7" s="853" t="s">
        <v>1434</v>
      </c>
      <c r="AE7" s="853" t="s">
        <v>1441</v>
      </c>
      <c r="AF7" s="853" t="s">
        <v>1443</v>
      </c>
      <c r="AG7" s="853" t="s">
        <v>1445</v>
      </c>
      <c r="AH7" s="853" t="s">
        <v>1474</v>
      </c>
      <c r="AI7" s="853" t="s">
        <v>1725</v>
      </c>
      <c r="AJ7" s="855" t="s">
        <v>1730</v>
      </c>
      <c r="AK7" s="853" t="s">
        <v>1434</v>
      </c>
      <c r="AL7" s="853" t="s">
        <v>1441</v>
      </c>
      <c r="AM7" s="853" t="s">
        <v>1443</v>
      </c>
      <c r="AN7" s="853" t="s">
        <v>1445</v>
      </c>
      <c r="AO7" s="853" t="s">
        <v>1474</v>
      </c>
      <c r="AP7" s="853" t="s">
        <v>1725</v>
      </c>
      <c r="AQ7" s="855" t="s">
        <v>1730</v>
      </c>
    </row>
    <row r="8" spans="1:43">
      <c r="A8" s="817"/>
      <c r="B8" s="859" t="s">
        <v>1435</v>
      </c>
      <c r="C8" s="876">
        <f t="shared" ref="C8:H8" si="1">SUM(C9:C16)</f>
        <v>0</v>
      </c>
      <c r="D8" s="876">
        <f t="shared" si="1"/>
        <v>14.461</v>
      </c>
      <c r="E8" s="876">
        <f t="shared" si="1"/>
        <v>487.80390035738031</v>
      </c>
      <c r="F8" s="876">
        <f t="shared" si="1"/>
        <v>0</v>
      </c>
      <c r="G8" s="876">
        <f t="shared" si="1"/>
        <v>8885.491</v>
      </c>
      <c r="H8" s="876">
        <f t="shared" si="1"/>
        <v>31.336178988899004</v>
      </c>
      <c r="I8" s="876">
        <f t="shared" ref="I8:I28" si="2">SUM(C8:H8)</f>
        <v>9419.0920793462792</v>
      </c>
      <c r="J8" s="877"/>
      <c r="K8" s="876">
        <f>SUM(K9:K16)</f>
        <v>42.120454388106154</v>
      </c>
      <c r="L8" s="876">
        <f>SUM(L9:L16)</f>
        <v>0</v>
      </c>
      <c r="M8" s="876"/>
      <c r="N8" s="878">
        <f t="shared" ref="N8:S8" si="3">SUM(N9:N16)</f>
        <v>0</v>
      </c>
      <c r="O8" s="876">
        <f t="shared" si="3"/>
        <v>14.461</v>
      </c>
      <c r="P8" s="876">
        <f t="shared" si="3"/>
        <v>445.68344596927415</v>
      </c>
      <c r="Q8" s="876">
        <f t="shared" si="3"/>
        <v>0</v>
      </c>
      <c r="R8" s="876">
        <f t="shared" si="3"/>
        <v>8885.491</v>
      </c>
      <c r="S8" s="879">
        <f t="shared" si="3"/>
        <v>31.336178988899004</v>
      </c>
      <c r="T8" s="876">
        <f t="shared" ref="T8:T43" si="4">SUM(N8:S8)</f>
        <v>9376.9716249581725</v>
      </c>
      <c r="U8" s="880" t="s">
        <v>1731</v>
      </c>
      <c r="V8" s="876">
        <f t="shared" ref="V8:AA8" si="5">SUM(V9:V16)</f>
        <v>0</v>
      </c>
      <c r="W8" s="876">
        <f>SUM(W9:W16)</f>
        <v>0.37858082288786604</v>
      </c>
      <c r="X8" s="876">
        <f>SUM(X9:X16)</f>
        <v>11.634543435283913</v>
      </c>
      <c r="Y8" s="876">
        <f t="shared" si="5"/>
        <v>0</v>
      </c>
      <c r="Z8" s="876">
        <f t="shared" si="5"/>
        <v>232.21965174583966</v>
      </c>
      <c r="AA8" s="876">
        <f t="shared" si="5"/>
        <v>0.78779153978092098</v>
      </c>
      <c r="AB8" s="876">
        <f>SUM(V8:AA8)</f>
        <v>245.02056754379237</v>
      </c>
      <c r="AC8" s="881" t="s">
        <v>1731</v>
      </c>
      <c r="AD8" s="878">
        <f t="shared" ref="AD8:AI8" si="6">SUM(AD9:AD16)</f>
        <v>0</v>
      </c>
      <c r="AE8" s="876">
        <f t="shared" si="6"/>
        <v>0.37858082288786604</v>
      </c>
      <c r="AF8" s="876">
        <f t="shared" si="6"/>
        <v>11.634543435283913</v>
      </c>
      <c r="AG8" s="876" t="s">
        <v>108</v>
      </c>
      <c r="AH8" s="876">
        <f t="shared" si="6"/>
        <v>232.21965174583966</v>
      </c>
      <c r="AI8" s="876">
        <f t="shared" si="6"/>
        <v>0.78779153978092098</v>
      </c>
      <c r="AJ8" s="876">
        <f t="shared" ref="AJ8:AJ42" si="7">SUM(AD8:AI8)</f>
        <v>245.02056754379237</v>
      </c>
      <c r="AK8" s="878">
        <f t="shared" ref="AK8:AO8" si="8">SUM(AK9:AK16)</f>
        <v>0</v>
      </c>
      <c r="AL8" s="876">
        <f t="shared" si="8"/>
        <v>1.3881296839221755</v>
      </c>
      <c r="AM8" s="876">
        <f t="shared" si="8"/>
        <v>42.659992596041015</v>
      </c>
      <c r="AN8" s="876">
        <f t="shared" si="8"/>
        <v>0</v>
      </c>
      <c r="AO8" s="876">
        <f t="shared" si="8"/>
        <v>851.47205640141203</v>
      </c>
      <c r="AP8" s="876">
        <f>SUM(AP9:AP16)</f>
        <v>2.8885689791967102</v>
      </c>
      <c r="AQ8" s="882">
        <f t="shared" ref="AQ8:AQ41" si="9">SUM(AK8:AP8)</f>
        <v>898.40874766057198</v>
      </c>
    </row>
    <row r="9" spans="1:43" ht="12.75" customHeight="1">
      <c r="A9" s="817"/>
      <c r="B9" s="860" t="s">
        <v>1732</v>
      </c>
      <c r="C9" s="883">
        <f>HLOOKUP($B$2,'Consumption Input'!$E$5:$AQ$82,'Consumption Input'!$B7)</f>
        <v>0</v>
      </c>
      <c r="D9" s="883"/>
      <c r="E9" s="883"/>
      <c r="F9" s="883"/>
      <c r="G9" s="883"/>
      <c r="H9" s="883"/>
      <c r="I9" s="883">
        <f t="shared" si="2"/>
        <v>0</v>
      </c>
      <c r="J9" s="884"/>
      <c r="K9" s="883"/>
      <c r="L9" s="883"/>
      <c r="M9" s="883"/>
      <c r="N9" s="885">
        <f t="shared" ref="N9:O17" si="10">C9</f>
        <v>0</v>
      </c>
      <c r="O9" s="883">
        <f t="shared" si="10"/>
        <v>0</v>
      </c>
      <c r="P9" s="883">
        <f t="shared" ref="P9:P16" si="11">E9-K9</f>
        <v>0</v>
      </c>
      <c r="Q9" s="883">
        <f t="shared" ref="Q9:S17" si="12">F9</f>
        <v>0</v>
      </c>
      <c r="R9" s="883">
        <f t="shared" si="12"/>
        <v>0</v>
      </c>
      <c r="S9" s="886">
        <f t="shared" si="12"/>
        <v>0</v>
      </c>
      <c r="T9" s="883">
        <f>SUM(N9:S9)</f>
        <v>0</v>
      </c>
      <c r="U9" s="887">
        <f>HLOOKUP($B$2,Factors!$J$12:$BE$25,Factors!$H13,FALSE)</f>
        <v>26.17943592337086</v>
      </c>
      <c r="V9" s="885">
        <f t="shared" ref="V9:V17" si="13">N9*$U9*TbtuToQBtu</f>
        <v>0</v>
      </c>
      <c r="W9" s="883">
        <f t="shared" ref="W9:W17" si="14">O9*$U9*TbtuToQBtu</f>
        <v>0</v>
      </c>
      <c r="X9" s="883">
        <f t="shared" ref="X9:X16" si="15">P9*$U9*TbtuToQBtu</f>
        <v>0</v>
      </c>
      <c r="Y9" s="883">
        <f t="shared" ref="Y9:Y17" si="16">Q9*$U9*TbtuToQBtu</f>
        <v>0</v>
      </c>
      <c r="Z9" s="883">
        <f t="shared" ref="Z9:Z17" si="17">R9*$U9*TbtuToQBtu</f>
        <v>0</v>
      </c>
      <c r="AA9" s="883">
        <f t="shared" ref="AA9:AA16" si="18">S9*$U9*TbtuToQBtu</f>
        <v>0</v>
      </c>
      <c r="AB9" s="883">
        <f t="shared" ref="AB9:AB43" si="19">SUM(V9:AA9)</f>
        <v>0</v>
      </c>
      <c r="AC9" s="888">
        <f>Factors!E10</f>
        <v>1</v>
      </c>
      <c r="AD9" s="885">
        <f t="shared" ref="AD9:AI17" si="20">V9*$AC9</f>
        <v>0</v>
      </c>
      <c r="AE9" s="883">
        <f t="shared" si="20"/>
        <v>0</v>
      </c>
      <c r="AF9" s="883">
        <f t="shared" si="20"/>
        <v>0</v>
      </c>
      <c r="AG9" s="883">
        <f t="shared" si="20"/>
        <v>0</v>
      </c>
      <c r="AH9" s="883">
        <f t="shared" si="20"/>
        <v>0</v>
      </c>
      <c r="AI9" s="883">
        <f t="shared" si="20"/>
        <v>0</v>
      </c>
      <c r="AJ9" s="889">
        <f t="shared" si="7"/>
        <v>0</v>
      </c>
      <c r="AK9" s="885">
        <f>AD9*CtoCO2</f>
        <v>0</v>
      </c>
      <c r="AL9" s="883">
        <f t="shared" ref="AL9:AL42" si="21">AE9*CtoCO2</f>
        <v>0</v>
      </c>
      <c r="AM9" s="883">
        <f t="shared" ref="AM9:AM42" si="22">AF9*CtoCO2</f>
        <v>0</v>
      </c>
      <c r="AN9" s="883">
        <f t="shared" ref="AN9:AN42" si="23">AG9*CtoCO2</f>
        <v>0</v>
      </c>
      <c r="AO9" s="883">
        <f t="shared" ref="AO9:AO41" si="24">AH9*CtoCO2</f>
        <v>0</v>
      </c>
      <c r="AP9" s="883">
        <f t="shared" ref="AP9:AP41" si="25">AI9*CtoCO2</f>
        <v>0</v>
      </c>
      <c r="AQ9" s="890">
        <f t="shared" si="9"/>
        <v>0</v>
      </c>
    </row>
    <row r="10" spans="1:43">
      <c r="A10" s="817"/>
      <c r="B10" s="860" t="s">
        <v>1733</v>
      </c>
      <c r="C10" s="883"/>
      <c r="D10" s="883">
        <f>HLOOKUP($B$2,'Consumption Input'!$E$5:$AQ$82,'Consumption Input'!$B13)</f>
        <v>14.461</v>
      </c>
      <c r="E10" s="883"/>
      <c r="F10" s="883"/>
      <c r="G10" s="883"/>
      <c r="H10" s="883"/>
      <c r="I10" s="883">
        <f t="shared" si="2"/>
        <v>14.461</v>
      </c>
      <c r="J10" s="884"/>
      <c r="K10" s="883"/>
      <c r="L10" s="883"/>
      <c r="M10" s="883"/>
      <c r="N10" s="885">
        <f t="shared" si="10"/>
        <v>0</v>
      </c>
      <c r="O10" s="883">
        <f t="shared" si="10"/>
        <v>14.461</v>
      </c>
      <c r="P10" s="883">
        <f t="shared" si="11"/>
        <v>0</v>
      </c>
      <c r="Q10" s="883">
        <f t="shared" si="12"/>
        <v>0</v>
      </c>
      <c r="R10" s="883">
        <f t="shared" si="12"/>
        <v>0</v>
      </c>
      <c r="S10" s="886">
        <f t="shared" si="12"/>
        <v>0</v>
      </c>
      <c r="T10" s="883">
        <f t="shared" si="4"/>
        <v>14.461</v>
      </c>
      <c r="U10" s="887">
        <f>HLOOKUP($B$2,Factors!$J$12:$BE$25,Factors!$H14,FALSE)</f>
        <v>26.17943592337086</v>
      </c>
      <c r="V10" s="885">
        <f t="shared" si="13"/>
        <v>0</v>
      </c>
      <c r="W10" s="883">
        <f t="shared" si="14"/>
        <v>0.37858082288786604</v>
      </c>
      <c r="X10" s="883">
        <f t="shared" si="15"/>
        <v>0</v>
      </c>
      <c r="Y10" s="883">
        <f t="shared" si="16"/>
        <v>0</v>
      </c>
      <c r="Z10" s="883">
        <f t="shared" si="17"/>
        <v>0</v>
      </c>
      <c r="AA10" s="883">
        <f t="shared" si="18"/>
        <v>0</v>
      </c>
      <c r="AB10" s="883">
        <f t="shared" si="19"/>
        <v>0.37858082288786604</v>
      </c>
      <c r="AC10" s="888">
        <f>Factors!E11</f>
        <v>1</v>
      </c>
      <c r="AD10" s="885">
        <f t="shared" si="20"/>
        <v>0</v>
      </c>
      <c r="AE10" s="883">
        <f t="shared" si="20"/>
        <v>0.37858082288786604</v>
      </c>
      <c r="AF10" s="883">
        <f t="shared" si="20"/>
        <v>0</v>
      </c>
      <c r="AG10" s="883">
        <f t="shared" si="20"/>
        <v>0</v>
      </c>
      <c r="AH10" s="883">
        <f t="shared" si="20"/>
        <v>0</v>
      </c>
      <c r="AI10" s="883">
        <f t="shared" si="20"/>
        <v>0</v>
      </c>
      <c r="AJ10" s="889">
        <f t="shared" si="7"/>
        <v>0.37858082288786604</v>
      </c>
      <c r="AK10" s="885">
        <f t="shared" ref="AK10:AK42" si="26">AD10*CtoCO2</f>
        <v>0</v>
      </c>
      <c r="AL10" s="883">
        <f t="shared" si="21"/>
        <v>1.3881296839221755</v>
      </c>
      <c r="AM10" s="883">
        <f t="shared" si="22"/>
        <v>0</v>
      </c>
      <c r="AN10" s="883">
        <f t="shared" si="23"/>
        <v>0</v>
      </c>
      <c r="AO10" s="883">
        <f t="shared" si="24"/>
        <v>0</v>
      </c>
      <c r="AP10" s="883">
        <f t="shared" si="25"/>
        <v>0</v>
      </c>
      <c r="AQ10" s="890">
        <f t="shared" si="9"/>
        <v>1.3881296839221755</v>
      </c>
    </row>
    <row r="11" spans="1:43" s="244" customFormat="1" hidden="1">
      <c r="A11" s="861"/>
      <c r="B11" s="862" t="s">
        <v>1734</v>
      </c>
      <c r="C11" s="891"/>
      <c r="D11" s="891"/>
      <c r="E11" s="891">
        <f>HLOOKUP($B$2,'Consumption Input'!$E$5:$AQ$82,'Consumption Input'!$B23)</f>
        <v>32.653210448454558</v>
      </c>
      <c r="F11" s="891"/>
      <c r="G11" s="891"/>
      <c r="H11" s="891"/>
      <c r="I11" s="891">
        <f t="shared" si="2"/>
        <v>32.653210448454558</v>
      </c>
      <c r="J11" s="892"/>
      <c r="K11" s="891">
        <f>HLOOKUP($B$2,NEUConsumption,'Non-Energy Use'!$C$7)</f>
        <v>32.653210448454558</v>
      </c>
      <c r="L11" s="891"/>
      <c r="M11" s="891"/>
      <c r="N11" s="893">
        <f t="shared" si="10"/>
        <v>0</v>
      </c>
      <c r="O11" s="891">
        <f t="shared" si="10"/>
        <v>0</v>
      </c>
      <c r="P11" s="891">
        <f>E11-K11</f>
        <v>0</v>
      </c>
      <c r="Q11" s="891">
        <f t="shared" si="12"/>
        <v>0</v>
      </c>
      <c r="R11" s="891">
        <f t="shared" si="12"/>
        <v>0</v>
      </c>
      <c r="S11" s="894">
        <f t="shared" si="12"/>
        <v>0</v>
      </c>
      <c r="T11" s="891">
        <f t="shared" si="4"/>
        <v>0</v>
      </c>
      <c r="U11" s="1013">
        <f>HLOOKUP($B$2,Factors!$J$12:$BE$28,Factors!$H28,FALSE)</f>
        <v>25.605077665523787</v>
      </c>
      <c r="V11" s="893">
        <f t="shared" si="13"/>
        <v>0</v>
      </c>
      <c r="W11" s="891">
        <f t="shared" si="14"/>
        <v>0</v>
      </c>
      <c r="X11" s="891">
        <f>P11*$U11*TbtuToQBtu</f>
        <v>0</v>
      </c>
      <c r="Y11" s="891">
        <f t="shared" si="16"/>
        <v>0</v>
      </c>
      <c r="Z11" s="891">
        <f t="shared" si="17"/>
        <v>0</v>
      </c>
      <c r="AA11" s="891">
        <f t="shared" si="18"/>
        <v>0</v>
      </c>
      <c r="AB11" s="891">
        <f>SUM(V11:AA11)</f>
        <v>0</v>
      </c>
      <c r="AC11" s="896">
        <f>Factors!E12</f>
        <v>1</v>
      </c>
      <c r="AD11" s="893">
        <f t="shared" si="20"/>
        <v>0</v>
      </c>
      <c r="AE11" s="891">
        <f t="shared" si="20"/>
        <v>0</v>
      </c>
      <c r="AF11" s="891">
        <f t="shared" si="20"/>
        <v>0</v>
      </c>
      <c r="AG11" s="891">
        <f t="shared" si="20"/>
        <v>0</v>
      </c>
      <c r="AH11" s="891">
        <f t="shared" si="20"/>
        <v>0</v>
      </c>
      <c r="AI11" s="891">
        <f t="shared" si="20"/>
        <v>0</v>
      </c>
      <c r="AJ11" s="897">
        <f t="shared" si="7"/>
        <v>0</v>
      </c>
      <c r="AK11" s="893">
        <f t="shared" si="26"/>
        <v>0</v>
      </c>
      <c r="AL11" s="891">
        <f t="shared" si="21"/>
        <v>0</v>
      </c>
      <c r="AM11" s="891">
        <f t="shared" si="22"/>
        <v>0</v>
      </c>
      <c r="AN11" s="891">
        <f t="shared" si="23"/>
        <v>0</v>
      </c>
      <c r="AO11" s="891">
        <f t="shared" si="24"/>
        <v>0</v>
      </c>
      <c r="AP11" s="891">
        <f t="shared" si="25"/>
        <v>0</v>
      </c>
      <c r="AQ11" s="898">
        <f t="shared" si="9"/>
        <v>0</v>
      </c>
    </row>
    <row r="12" spans="1:43">
      <c r="A12" s="817"/>
      <c r="B12" s="860" t="s">
        <v>1701</v>
      </c>
      <c r="C12" s="883"/>
      <c r="D12" s="883"/>
      <c r="E12" s="883">
        <f>HLOOKUP($B$2,'Consumption Input'!$E$5:$AQ$82,'Consumption Input'!$B24)</f>
        <v>455.15068990892576</v>
      </c>
      <c r="F12" s="883"/>
      <c r="G12" s="883"/>
      <c r="H12" s="883"/>
      <c r="I12" s="883">
        <f t="shared" si="2"/>
        <v>455.15068990892576</v>
      </c>
      <c r="J12" s="884"/>
      <c r="K12" s="883">
        <f>HLOOKUP($B$2,NEUConsumption,'Non-Energy Use'!$C$8)</f>
        <v>9.4672439396515937</v>
      </c>
      <c r="L12" s="883"/>
      <c r="M12" s="883"/>
      <c r="N12" s="885">
        <f t="shared" si="10"/>
        <v>0</v>
      </c>
      <c r="O12" s="883">
        <f t="shared" si="10"/>
        <v>0</v>
      </c>
      <c r="P12" s="883">
        <f t="shared" si="11"/>
        <v>445.68344596927415</v>
      </c>
      <c r="Q12" s="883">
        <f t="shared" si="12"/>
        <v>0</v>
      </c>
      <c r="R12" s="883">
        <f t="shared" si="12"/>
        <v>0</v>
      </c>
      <c r="S12" s="886">
        <f t="shared" si="12"/>
        <v>0</v>
      </c>
      <c r="T12" s="883">
        <f t="shared" si="4"/>
        <v>445.68344596927415</v>
      </c>
      <c r="U12" s="887">
        <f>HLOOKUP($B$2,Factors!$J$12:$BE$25,Factors!$H15,FALSE)</f>
        <v>26.104948569451711</v>
      </c>
      <c r="V12" s="885">
        <f t="shared" si="13"/>
        <v>0</v>
      </c>
      <c r="W12" s="883">
        <f t="shared" si="14"/>
        <v>0</v>
      </c>
      <c r="X12" s="883">
        <f t="shared" si="15"/>
        <v>11.634543435283913</v>
      </c>
      <c r="Y12" s="883">
        <f t="shared" si="16"/>
        <v>0</v>
      </c>
      <c r="Z12" s="883">
        <f t="shared" si="17"/>
        <v>0</v>
      </c>
      <c r="AA12" s="883">
        <f t="shared" si="18"/>
        <v>0</v>
      </c>
      <c r="AB12" s="883">
        <f t="shared" si="19"/>
        <v>11.634543435283913</v>
      </c>
      <c r="AC12" s="888">
        <f>Factors!E13</f>
        <v>1</v>
      </c>
      <c r="AD12" s="885">
        <f t="shared" si="20"/>
        <v>0</v>
      </c>
      <c r="AE12" s="883">
        <f t="shared" si="20"/>
        <v>0</v>
      </c>
      <c r="AF12" s="883">
        <f>X12*$AC12</f>
        <v>11.634543435283913</v>
      </c>
      <c r="AG12" s="883">
        <f t="shared" si="20"/>
        <v>0</v>
      </c>
      <c r="AH12" s="883">
        <f t="shared" si="20"/>
        <v>0</v>
      </c>
      <c r="AI12" s="883">
        <f t="shared" si="20"/>
        <v>0</v>
      </c>
      <c r="AJ12" s="889">
        <f t="shared" si="7"/>
        <v>11.634543435283913</v>
      </c>
      <c r="AK12" s="885">
        <f t="shared" si="26"/>
        <v>0</v>
      </c>
      <c r="AL12" s="883">
        <f t="shared" si="21"/>
        <v>0</v>
      </c>
      <c r="AM12" s="883">
        <f>AF12*CtoCO2</f>
        <v>42.659992596041015</v>
      </c>
      <c r="AN12" s="883">
        <f t="shared" si="23"/>
        <v>0</v>
      </c>
      <c r="AO12" s="883">
        <f t="shared" si="24"/>
        <v>0</v>
      </c>
      <c r="AP12" s="883">
        <f t="shared" si="25"/>
        <v>0</v>
      </c>
      <c r="AQ12" s="890">
        <f t="shared" si="9"/>
        <v>42.659992596041015</v>
      </c>
    </row>
    <row r="13" spans="1:43" s="244" customFormat="1" hidden="1">
      <c r="A13" s="861"/>
      <c r="B13" s="862" t="s">
        <v>1607</v>
      </c>
      <c r="C13" s="891"/>
      <c r="D13" s="891"/>
      <c r="E13" s="891">
        <f>HLOOKUP($B$2,'Consumption Input'!$E$5:$AQ$82,'Consumption Input'!$B25)</f>
        <v>0</v>
      </c>
      <c r="F13" s="891"/>
      <c r="G13" s="891"/>
      <c r="H13" s="891"/>
      <c r="I13" s="883">
        <f t="shared" si="2"/>
        <v>0</v>
      </c>
      <c r="J13" s="892"/>
      <c r="K13" s="891"/>
      <c r="L13" s="891"/>
      <c r="M13" s="891"/>
      <c r="N13" s="893">
        <f t="shared" si="10"/>
        <v>0</v>
      </c>
      <c r="O13" s="891">
        <f t="shared" si="10"/>
        <v>0</v>
      </c>
      <c r="P13" s="891">
        <f t="shared" si="11"/>
        <v>0</v>
      </c>
      <c r="Q13" s="891">
        <f t="shared" si="12"/>
        <v>0</v>
      </c>
      <c r="R13" s="891">
        <f t="shared" si="12"/>
        <v>0</v>
      </c>
      <c r="S13" s="894">
        <f t="shared" si="12"/>
        <v>0</v>
      </c>
      <c r="T13" s="891">
        <f t="shared" si="4"/>
        <v>0</v>
      </c>
      <c r="U13" s="895">
        <f>Factors!D14</f>
        <v>27.85</v>
      </c>
      <c r="V13" s="893">
        <f t="shared" si="13"/>
        <v>0</v>
      </c>
      <c r="W13" s="891">
        <f t="shared" si="14"/>
        <v>0</v>
      </c>
      <c r="X13" s="891">
        <f t="shared" si="15"/>
        <v>0</v>
      </c>
      <c r="Y13" s="891">
        <f t="shared" si="16"/>
        <v>0</v>
      </c>
      <c r="Z13" s="891">
        <f t="shared" si="17"/>
        <v>0</v>
      </c>
      <c r="AA13" s="891">
        <f t="shared" si="18"/>
        <v>0</v>
      </c>
      <c r="AB13" s="883">
        <f t="shared" si="19"/>
        <v>0</v>
      </c>
      <c r="AC13" s="896">
        <f>Factors!E14</f>
        <v>1</v>
      </c>
      <c r="AD13" s="893">
        <f t="shared" si="20"/>
        <v>0</v>
      </c>
      <c r="AE13" s="891">
        <f t="shared" si="20"/>
        <v>0</v>
      </c>
      <c r="AF13" s="891">
        <f t="shared" si="20"/>
        <v>0</v>
      </c>
      <c r="AG13" s="891">
        <f t="shared" si="20"/>
        <v>0</v>
      </c>
      <c r="AH13" s="891">
        <f t="shared" si="20"/>
        <v>0</v>
      </c>
      <c r="AI13" s="891">
        <f t="shared" si="20"/>
        <v>0</v>
      </c>
      <c r="AJ13" s="897">
        <f t="shared" si="7"/>
        <v>0</v>
      </c>
      <c r="AK13" s="893">
        <f t="shared" si="26"/>
        <v>0</v>
      </c>
      <c r="AL13" s="891">
        <f t="shared" si="21"/>
        <v>0</v>
      </c>
      <c r="AM13" s="891">
        <f t="shared" si="22"/>
        <v>0</v>
      </c>
      <c r="AN13" s="891">
        <f t="shared" si="23"/>
        <v>0</v>
      </c>
      <c r="AO13" s="891">
        <f t="shared" si="24"/>
        <v>0</v>
      </c>
      <c r="AP13" s="891">
        <f t="shared" si="25"/>
        <v>0</v>
      </c>
      <c r="AQ13" s="890">
        <f t="shared" si="9"/>
        <v>0</v>
      </c>
    </row>
    <row r="14" spans="1:43">
      <c r="A14" s="817"/>
      <c r="B14" s="860" t="s">
        <v>1735</v>
      </c>
      <c r="C14" s="883"/>
      <c r="D14" s="883"/>
      <c r="E14" s="883"/>
      <c r="F14" s="883">
        <f>HLOOKUP($B$2,'Consumption Input'!$E$5:$AQ$82,'Consumption Input'!$B48)</f>
        <v>0</v>
      </c>
      <c r="G14" s="883"/>
      <c r="H14" s="883"/>
      <c r="I14" s="883">
        <f t="shared" si="2"/>
        <v>0</v>
      </c>
      <c r="J14" s="884"/>
      <c r="K14" s="883"/>
      <c r="L14" s="883"/>
      <c r="M14" s="883"/>
      <c r="N14" s="885">
        <f t="shared" si="10"/>
        <v>0</v>
      </c>
      <c r="O14" s="883">
        <f t="shared" si="10"/>
        <v>0</v>
      </c>
      <c r="P14" s="883">
        <f t="shared" si="11"/>
        <v>0</v>
      </c>
      <c r="Q14" s="883">
        <f t="shared" si="12"/>
        <v>0</v>
      </c>
      <c r="R14" s="883">
        <f t="shared" si="12"/>
        <v>0</v>
      </c>
      <c r="S14" s="886">
        <f t="shared" si="12"/>
        <v>0</v>
      </c>
      <c r="T14" s="883">
        <f t="shared" si="4"/>
        <v>0</v>
      </c>
      <c r="U14" s="887" t="str">
        <f>Factors!D15</f>
        <v>NC</v>
      </c>
      <c r="V14" s="885">
        <f t="shared" si="13"/>
        <v>0</v>
      </c>
      <c r="W14" s="883">
        <f t="shared" si="14"/>
        <v>0</v>
      </c>
      <c r="X14" s="883">
        <f t="shared" si="15"/>
        <v>0</v>
      </c>
      <c r="Y14" s="883">
        <f t="shared" si="16"/>
        <v>0</v>
      </c>
      <c r="Z14" s="883">
        <f t="shared" si="17"/>
        <v>0</v>
      </c>
      <c r="AA14" s="883">
        <f t="shared" si="18"/>
        <v>0</v>
      </c>
      <c r="AB14" s="883">
        <f t="shared" si="19"/>
        <v>0</v>
      </c>
      <c r="AC14" s="888" t="str">
        <f>Factors!E15</f>
        <v>NC</v>
      </c>
      <c r="AD14" s="885">
        <f t="shared" si="20"/>
        <v>0</v>
      </c>
      <c r="AE14" s="883">
        <f t="shared" si="20"/>
        <v>0</v>
      </c>
      <c r="AF14" s="883">
        <f t="shared" si="20"/>
        <v>0</v>
      </c>
      <c r="AG14" s="883">
        <f t="shared" si="20"/>
        <v>0</v>
      </c>
      <c r="AH14" s="883">
        <f t="shared" si="20"/>
        <v>0</v>
      </c>
      <c r="AI14" s="883">
        <f t="shared" si="20"/>
        <v>0</v>
      </c>
      <c r="AJ14" s="889">
        <f t="shared" si="7"/>
        <v>0</v>
      </c>
      <c r="AK14" s="885">
        <f t="shared" si="26"/>
        <v>0</v>
      </c>
      <c r="AL14" s="883">
        <f t="shared" si="21"/>
        <v>0</v>
      </c>
      <c r="AM14" s="883">
        <f t="shared" si="22"/>
        <v>0</v>
      </c>
      <c r="AN14" s="883">
        <f t="shared" si="23"/>
        <v>0</v>
      </c>
      <c r="AO14" s="883">
        <f t="shared" si="24"/>
        <v>0</v>
      </c>
      <c r="AP14" s="883">
        <f t="shared" si="25"/>
        <v>0</v>
      </c>
      <c r="AQ14" s="890">
        <f t="shared" si="9"/>
        <v>0</v>
      </c>
    </row>
    <row r="15" spans="1:43">
      <c r="A15" s="817"/>
      <c r="B15" s="860" t="s">
        <v>1736</v>
      </c>
      <c r="C15" s="883"/>
      <c r="D15" s="883"/>
      <c r="E15" s="883"/>
      <c r="F15" s="883"/>
      <c r="G15" s="883">
        <f>HLOOKUP($B$2,'Consumption Input'!$E$5:$AQ$82,'Consumption Input'!$B58)</f>
        <v>8885.491</v>
      </c>
      <c r="H15" s="883"/>
      <c r="I15" s="883">
        <f t="shared" si="2"/>
        <v>8885.491</v>
      </c>
      <c r="J15" s="884"/>
      <c r="K15" s="883"/>
      <c r="L15" s="883"/>
      <c r="M15" s="883"/>
      <c r="N15" s="885">
        <f t="shared" si="10"/>
        <v>0</v>
      </c>
      <c r="O15" s="883">
        <f t="shared" si="10"/>
        <v>0</v>
      </c>
      <c r="P15" s="883">
        <f t="shared" si="11"/>
        <v>0</v>
      </c>
      <c r="Q15" s="883">
        <f t="shared" si="12"/>
        <v>0</v>
      </c>
      <c r="R15" s="883">
        <f t="shared" si="12"/>
        <v>8885.491</v>
      </c>
      <c r="S15" s="886">
        <f t="shared" si="12"/>
        <v>0</v>
      </c>
      <c r="T15" s="883">
        <f t="shared" si="4"/>
        <v>8885.491</v>
      </c>
      <c r="U15" s="887">
        <f>HLOOKUP($B$2,Factors!$J$12:$BE$25,Factors!$H16,FALSE)</f>
        <v>26.134701137600572</v>
      </c>
      <c r="V15" s="885">
        <f t="shared" si="13"/>
        <v>0</v>
      </c>
      <c r="W15" s="883">
        <f t="shared" si="14"/>
        <v>0</v>
      </c>
      <c r="X15" s="883">
        <f t="shared" si="15"/>
        <v>0</v>
      </c>
      <c r="Y15" s="883">
        <f t="shared" si="16"/>
        <v>0</v>
      </c>
      <c r="Z15" s="883">
        <f t="shared" si="17"/>
        <v>232.21965174583966</v>
      </c>
      <c r="AA15" s="883">
        <f t="shared" si="18"/>
        <v>0</v>
      </c>
      <c r="AB15" s="883">
        <f t="shared" si="19"/>
        <v>232.21965174583966</v>
      </c>
      <c r="AC15" s="888">
        <f>Factors!E16</f>
        <v>1</v>
      </c>
      <c r="AD15" s="885">
        <f t="shared" si="20"/>
        <v>0</v>
      </c>
      <c r="AE15" s="883">
        <f t="shared" si="20"/>
        <v>0</v>
      </c>
      <c r="AF15" s="883">
        <f t="shared" si="20"/>
        <v>0</v>
      </c>
      <c r="AG15" s="883">
        <f t="shared" si="20"/>
        <v>0</v>
      </c>
      <c r="AH15" s="883">
        <f t="shared" si="20"/>
        <v>232.21965174583966</v>
      </c>
      <c r="AI15" s="883">
        <f t="shared" si="20"/>
        <v>0</v>
      </c>
      <c r="AJ15" s="889">
        <f t="shared" si="7"/>
        <v>232.21965174583966</v>
      </c>
      <c r="AK15" s="885">
        <f t="shared" si="26"/>
        <v>0</v>
      </c>
      <c r="AL15" s="883">
        <f t="shared" si="21"/>
        <v>0</v>
      </c>
      <c r="AM15" s="883">
        <f t="shared" si="22"/>
        <v>0</v>
      </c>
      <c r="AN15" s="883">
        <f t="shared" si="23"/>
        <v>0</v>
      </c>
      <c r="AO15" s="883">
        <f t="shared" si="24"/>
        <v>851.47205640141203</v>
      </c>
      <c r="AP15" s="883">
        <f t="shared" si="25"/>
        <v>0</v>
      </c>
      <c r="AQ15" s="890">
        <f t="shared" si="9"/>
        <v>851.47205640141203</v>
      </c>
    </row>
    <row r="16" spans="1:43">
      <c r="A16" s="817"/>
      <c r="B16" s="860" t="s">
        <v>1737</v>
      </c>
      <c r="C16" s="883"/>
      <c r="D16" s="883"/>
      <c r="E16" s="883"/>
      <c r="F16" s="883"/>
      <c r="G16" s="883"/>
      <c r="H16" s="883">
        <f>HLOOKUP($B$2,'US Territories'!$D$28:$AO$38,'US Territories'!$B29)</f>
        <v>31.336178988899004</v>
      </c>
      <c r="I16" s="883">
        <f t="shared" si="2"/>
        <v>31.336178988899004</v>
      </c>
      <c r="J16" s="884"/>
      <c r="K16" s="883"/>
      <c r="L16" s="883"/>
      <c r="M16" s="883"/>
      <c r="N16" s="885">
        <f t="shared" si="10"/>
        <v>0</v>
      </c>
      <c r="O16" s="883">
        <f t="shared" si="10"/>
        <v>0</v>
      </c>
      <c r="P16" s="883">
        <f t="shared" si="11"/>
        <v>0</v>
      </c>
      <c r="Q16" s="883">
        <f t="shared" si="12"/>
        <v>0</v>
      </c>
      <c r="R16" s="883">
        <f t="shared" si="12"/>
        <v>0</v>
      </c>
      <c r="S16" s="886">
        <f>H16</f>
        <v>31.336178988899004</v>
      </c>
      <c r="T16" s="883">
        <f t="shared" si="4"/>
        <v>31.336178988899004</v>
      </c>
      <c r="U16" s="887">
        <f>Factors!D17</f>
        <v>25.14</v>
      </c>
      <c r="V16" s="899">
        <f t="shared" si="13"/>
        <v>0</v>
      </c>
      <c r="W16" s="900">
        <f t="shared" si="14"/>
        <v>0</v>
      </c>
      <c r="X16" s="900">
        <f t="shared" si="15"/>
        <v>0</v>
      </c>
      <c r="Y16" s="900">
        <f t="shared" si="16"/>
        <v>0</v>
      </c>
      <c r="Z16" s="900">
        <f t="shared" si="17"/>
        <v>0</v>
      </c>
      <c r="AA16" s="900">
        <f t="shared" si="18"/>
        <v>0.78779153978092098</v>
      </c>
      <c r="AB16" s="883">
        <f t="shared" si="19"/>
        <v>0.78779153978092098</v>
      </c>
      <c r="AC16" s="888">
        <f>Factors!E17</f>
        <v>1</v>
      </c>
      <c r="AD16" s="899">
        <f t="shared" si="20"/>
        <v>0</v>
      </c>
      <c r="AE16" s="900">
        <f t="shared" si="20"/>
        <v>0</v>
      </c>
      <c r="AF16" s="900">
        <f t="shared" si="20"/>
        <v>0</v>
      </c>
      <c r="AG16" s="900">
        <f t="shared" si="20"/>
        <v>0</v>
      </c>
      <c r="AH16" s="900">
        <f t="shared" si="20"/>
        <v>0</v>
      </c>
      <c r="AI16" s="900">
        <f t="shared" si="20"/>
        <v>0.78779153978092098</v>
      </c>
      <c r="AJ16" s="889">
        <f t="shared" si="7"/>
        <v>0.78779153978092098</v>
      </c>
      <c r="AK16" s="885">
        <f t="shared" si="26"/>
        <v>0</v>
      </c>
      <c r="AL16" s="883">
        <f t="shared" si="21"/>
        <v>0</v>
      </c>
      <c r="AM16" s="883">
        <f t="shared" si="22"/>
        <v>0</v>
      </c>
      <c r="AN16" s="883">
        <f t="shared" si="23"/>
        <v>0</v>
      </c>
      <c r="AO16" s="883">
        <f t="shared" si="24"/>
        <v>0</v>
      </c>
      <c r="AP16" s="883">
        <f t="shared" si="25"/>
        <v>2.8885689791967102</v>
      </c>
      <c r="AQ16" s="890">
        <f t="shared" si="9"/>
        <v>2.8885689791967102</v>
      </c>
    </row>
    <row r="17" spans="1:43">
      <c r="A17" s="817"/>
      <c r="B17" s="863" t="s">
        <v>1439</v>
      </c>
      <c r="C17" s="901">
        <f>HLOOKUP($B$2,'Consumption Input'!$E$5:$AQ$82,'Consumption Input'!$B8)</f>
        <v>5139.8580000000002</v>
      </c>
      <c r="D17" s="901">
        <f>HLOOKUP($B$2,'Consumption Input'!$E$5:$AQ$82,'Consumption Input'!$B14)</f>
        <v>3633.27</v>
      </c>
      <c r="E17" s="901">
        <f>HLOOKUP($B$2,'Consumption Input'!$E$5:$AQ$82,'Consumption Input'!$B26)</f>
        <v>10394.368517767327</v>
      </c>
      <c r="F17" s="901">
        <f>HLOOKUP($B$2,'Consumption Input'!$E$5:$AQ$82,'Consumption Input'!$B49)</f>
        <v>1325.87</v>
      </c>
      <c r="G17" s="901">
        <f>HLOOKUP($B$2,'Consumption Input'!$E$5:$AQ$82,'Consumption Input'!$B59)</f>
        <v>12459.189</v>
      </c>
      <c r="H17" s="902">
        <f>HLOOKUP($B$2,'US Territories'!$D$28:$AO$38,'US Territories'!$B30)</f>
        <v>74.073403264000007</v>
      </c>
      <c r="I17" s="901">
        <f t="shared" si="2"/>
        <v>33026.628921031333</v>
      </c>
      <c r="J17" s="903"/>
      <c r="K17" s="901">
        <f>HLOOKUP($B$2,NEUConsumption,'Non-Energy Use'!$C$9)</f>
        <v>729.34399999999994</v>
      </c>
      <c r="L17" s="901"/>
      <c r="M17" s="901"/>
      <c r="N17" s="904">
        <f t="shared" si="10"/>
        <v>5139.8580000000002</v>
      </c>
      <c r="O17" s="901">
        <f t="shared" si="10"/>
        <v>3633.27</v>
      </c>
      <c r="P17" s="901">
        <f>E17-K17</f>
        <v>9665.0245177673278</v>
      </c>
      <c r="Q17" s="901">
        <f t="shared" si="12"/>
        <v>1325.87</v>
      </c>
      <c r="R17" s="901">
        <f t="shared" si="12"/>
        <v>12459.189</v>
      </c>
      <c r="S17" s="902">
        <f t="shared" si="12"/>
        <v>74.073403264000007</v>
      </c>
      <c r="T17" s="901">
        <f t="shared" si="4"/>
        <v>32297.284921031325</v>
      </c>
      <c r="U17" s="905">
        <f>HLOOKUP($B$2,Factors!$J$12:$BE$26,Factors!$H26,FALSE)</f>
        <v>14.431959663127413</v>
      </c>
      <c r="V17" s="901">
        <f t="shared" si="13"/>
        <v>74.178223330202741</v>
      </c>
      <c r="W17" s="901">
        <f t="shared" si="14"/>
        <v>52.43520608525094</v>
      </c>
      <c r="X17" s="901">
        <f>P17*$U17*TbtuToQBtu</f>
        <v>139.48524398355556</v>
      </c>
      <c r="Y17" s="901">
        <f t="shared" si="16"/>
        <v>19.134902358550743</v>
      </c>
      <c r="Z17" s="901">
        <f t="shared" si="17"/>
        <v>179.8105130832808</v>
      </c>
      <c r="AA17" s="901">
        <f>S17*$U17*TbtuToQBtu</f>
        <v>1.0690243680166187</v>
      </c>
      <c r="AB17" s="901">
        <f t="shared" si="19"/>
        <v>466.11311320885744</v>
      </c>
      <c r="AC17" s="906">
        <f>Factors!E19</f>
        <v>1</v>
      </c>
      <c r="AD17" s="904">
        <f t="shared" si="20"/>
        <v>74.178223330202741</v>
      </c>
      <c r="AE17" s="901">
        <f>W17*$AC17</f>
        <v>52.43520608525094</v>
      </c>
      <c r="AF17" s="901">
        <f>X17*$AC17</f>
        <v>139.48524398355556</v>
      </c>
      <c r="AG17" s="901">
        <f t="shared" si="20"/>
        <v>19.134902358550743</v>
      </c>
      <c r="AH17" s="901">
        <f t="shared" si="20"/>
        <v>179.8105130832808</v>
      </c>
      <c r="AI17" s="901">
        <f t="shared" si="20"/>
        <v>1.0690243680166187</v>
      </c>
      <c r="AJ17" s="901">
        <f t="shared" si="7"/>
        <v>466.11311320885744</v>
      </c>
      <c r="AK17" s="904">
        <f t="shared" si="26"/>
        <v>271.98681887741003</v>
      </c>
      <c r="AL17" s="901">
        <f t="shared" si="21"/>
        <v>192.26242231258678</v>
      </c>
      <c r="AM17" s="901">
        <f t="shared" si="22"/>
        <v>511.44589460637036</v>
      </c>
      <c r="AN17" s="901">
        <f t="shared" si="23"/>
        <v>70.161308648019386</v>
      </c>
      <c r="AO17" s="901">
        <f t="shared" si="24"/>
        <v>659.30521463869627</v>
      </c>
      <c r="AP17" s="901">
        <f>AI17*CtoCO2</f>
        <v>3.9197560160609353</v>
      </c>
      <c r="AQ17" s="907">
        <f t="shared" si="9"/>
        <v>1709.0814150991439</v>
      </c>
    </row>
    <row r="18" spans="1:43">
      <c r="A18" s="817"/>
      <c r="B18" s="864" t="s">
        <v>1440</v>
      </c>
      <c r="C18" s="908">
        <f t="shared" ref="C18:H18" si="27">SUM(C19:C41)</f>
        <v>898.4806301349015</v>
      </c>
      <c r="D18" s="908">
        <f t="shared" si="27"/>
        <v>732.56896401862355</v>
      </c>
      <c r="E18" s="908">
        <f t="shared" si="27"/>
        <v>8133.8115274105303</v>
      </c>
      <c r="F18" s="908">
        <f t="shared" si="27"/>
        <v>25278.829580575719</v>
      </c>
      <c r="G18" s="908">
        <f t="shared" si="27"/>
        <v>243.863</v>
      </c>
      <c r="H18" s="908">
        <f t="shared" si="27"/>
        <v>234.88459000088938</v>
      </c>
      <c r="I18" s="908">
        <f t="shared" ref="I18:I25" si="28">SUM(C18:H18)</f>
        <v>35522.438292140665</v>
      </c>
      <c r="J18" s="909">
        <f>SUM(J19:J41)</f>
        <v>1330.7510141728378</v>
      </c>
      <c r="K18" s="908">
        <f t="shared" ref="K18:S18" si="29">SUM(K19:K41)</f>
        <v>5173.6522022994786</v>
      </c>
      <c r="L18" s="908">
        <f t="shared" si="29"/>
        <v>125.386</v>
      </c>
      <c r="M18" s="908">
        <f t="shared" si="29"/>
        <v>1.0453579184999999</v>
      </c>
      <c r="N18" s="910">
        <f t="shared" si="29"/>
        <v>898.4806301349015</v>
      </c>
      <c r="O18" s="908">
        <f t="shared" si="29"/>
        <v>732.56896401862355</v>
      </c>
      <c r="P18" s="908">
        <f t="shared" si="29"/>
        <v>2969.0479543714227</v>
      </c>
      <c r="Q18" s="908">
        <f t="shared" si="29"/>
        <v>23822.692566402879</v>
      </c>
      <c r="R18" s="908">
        <f t="shared" si="29"/>
        <v>243.863</v>
      </c>
      <c r="S18" s="911">
        <f t="shared" si="29"/>
        <v>233.83923208238934</v>
      </c>
      <c r="T18" s="889">
        <f t="shared" si="4"/>
        <v>28900.492347010215</v>
      </c>
      <c r="U18" s="912" t="s">
        <v>1731</v>
      </c>
      <c r="V18" s="908">
        <f t="shared" ref="V18:AA18" si="30">SUM(V19:V41)</f>
        <v>16.667184966346099</v>
      </c>
      <c r="W18" s="908">
        <f t="shared" si="30"/>
        <v>13.926399496541546</v>
      </c>
      <c r="X18" s="908">
        <f t="shared" si="30"/>
        <v>60.478130833981098</v>
      </c>
      <c r="Y18" s="908">
        <f t="shared" si="30"/>
        <v>466.5277869983251</v>
      </c>
      <c r="Z18" s="908">
        <f t="shared" si="30"/>
        <v>5.5969770616505317</v>
      </c>
      <c r="AA18" s="908">
        <f t="shared" si="30"/>
        <v>4.6249983608450513</v>
      </c>
      <c r="AB18" s="908">
        <f t="shared" si="19"/>
        <v>567.82147771768939</v>
      </c>
      <c r="AC18" s="913" t="s">
        <v>1731</v>
      </c>
      <c r="AD18" s="910">
        <f>SUM(AD19:AD41)</f>
        <v>16.667184966346099</v>
      </c>
      <c r="AE18" s="908">
        <f t="shared" ref="AE18:AI18" si="31">SUM(AE19:AE41)</f>
        <v>13.926399496541546</v>
      </c>
      <c r="AF18" s="908">
        <f t="shared" si="31"/>
        <v>60.478130833981098</v>
      </c>
      <c r="AG18" s="908">
        <f>SUM(AG19:AG41)</f>
        <v>466.5277869983251</v>
      </c>
      <c r="AH18" s="908">
        <f t="shared" si="31"/>
        <v>5.5969770616505317</v>
      </c>
      <c r="AI18" s="908">
        <f t="shared" si="31"/>
        <v>4.6249983608450513</v>
      </c>
      <c r="AJ18" s="908">
        <f t="shared" si="7"/>
        <v>567.82147771768939</v>
      </c>
      <c r="AK18" s="914">
        <f t="shared" si="26"/>
        <v>61.113011543269025</v>
      </c>
      <c r="AL18" s="889">
        <f t="shared" si="21"/>
        <v>51.063464820652335</v>
      </c>
      <c r="AM18" s="889">
        <f t="shared" si="22"/>
        <v>221.75314639126401</v>
      </c>
      <c r="AN18" s="889">
        <f t="shared" si="23"/>
        <v>1710.6018856605253</v>
      </c>
      <c r="AO18" s="889">
        <f t="shared" si="24"/>
        <v>20.522249226051947</v>
      </c>
      <c r="AP18" s="889">
        <f>AI18*CtoCO2</f>
        <v>16.958327323098519</v>
      </c>
      <c r="AQ18" s="915">
        <f t="shared" si="9"/>
        <v>2082.0120849648615</v>
      </c>
    </row>
    <row r="19" spans="1:43">
      <c r="A19" s="817"/>
      <c r="B19" s="860" t="s">
        <v>1608</v>
      </c>
      <c r="C19" s="883"/>
      <c r="D19" s="883"/>
      <c r="E19" s="883">
        <f>HLOOKUP($B$2,'Consumption Input'!$E$5:$AQ$82,'Consumption Input'!$B27)</f>
        <v>916.13400000000001</v>
      </c>
      <c r="F19" s="883"/>
      <c r="G19" s="883"/>
      <c r="H19" s="883"/>
      <c r="I19" s="883">
        <f t="shared" si="28"/>
        <v>916.13400000000001</v>
      </c>
      <c r="J19" s="884"/>
      <c r="K19" s="883">
        <f>HLOOKUP($B$2,NEUConsumption,'Non-Energy Use'!$C$10)</f>
        <v>916.13400000000001</v>
      </c>
      <c r="L19" s="883"/>
      <c r="M19" s="883"/>
      <c r="N19" s="885">
        <f t="shared" ref="N19:O42" si="32">C19</f>
        <v>0</v>
      </c>
      <c r="O19" s="883">
        <f t="shared" si="32"/>
        <v>0</v>
      </c>
      <c r="P19" s="883">
        <f t="shared" ref="P19:P41" si="33">E19-K19</f>
        <v>0</v>
      </c>
      <c r="Q19" s="883">
        <f t="shared" ref="Q19:Q41" si="34">F19-J19-L19</f>
        <v>0</v>
      </c>
      <c r="R19" s="883">
        <f t="shared" ref="R19:R42" si="35">G19</f>
        <v>0</v>
      </c>
      <c r="S19" s="886">
        <f t="shared" ref="S19:S41" si="36">H19-M19</f>
        <v>0</v>
      </c>
      <c r="T19" s="883">
        <f t="shared" si="4"/>
        <v>0</v>
      </c>
      <c r="U19" s="887">
        <f>Factors!D24</f>
        <v>20.55318099621897</v>
      </c>
      <c r="V19" s="885">
        <f t="shared" ref="V19:V41" si="37">N19*$U19*TbtuToQBtu</f>
        <v>0</v>
      </c>
      <c r="W19" s="883">
        <f t="shared" ref="W19:W41" si="38">O19*$U19*TbtuToQBtu</f>
        <v>0</v>
      </c>
      <c r="X19" s="883">
        <f t="shared" ref="X19:X41" si="39">P19*$U19*TbtuToQBtu</f>
        <v>0</v>
      </c>
      <c r="Y19" s="883">
        <f t="shared" ref="Y19:Y41" si="40">Q19*$U19*TbtuToQBtu</f>
        <v>0</v>
      </c>
      <c r="Z19" s="883">
        <f t="shared" ref="Z19:Z41" si="41">R19*$U19*TbtuToQBtu</f>
        <v>0</v>
      </c>
      <c r="AA19" s="883">
        <f t="shared" ref="AA19:AA41" si="42">S19*$U19*TbtuToQBtu</f>
        <v>0</v>
      </c>
      <c r="AB19" s="883">
        <f t="shared" si="19"/>
        <v>0</v>
      </c>
      <c r="AC19" s="888">
        <f>Factors!E24</f>
        <v>1</v>
      </c>
      <c r="AD19" s="885">
        <f t="shared" ref="AD19:AI35" si="43">V19*$AC19</f>
        <v>0</v>
      </c>
      <c r="AE19" s="883">
        <f t="shared" si="43"/>
        <v>0</v>
      </c>
      <c r="AF19" s="883">
        <f t="shared" si="43"/>
        <v>0</v>
      </c>
      <c r="AG19" s="883">
        <f t="shared" si="43"/>
        <v>0</v>
      </c>
      <c r="AH19" s="883">
        <f t="shared" si="43"/>
        <v>0</v>
      </c>
      <c r="AI19" s="883">
        <f t="shared" si="43"/>
        <v>0</v>
      </c>
      <c r="AJ19" s="889">
        <f t="shared" si="7"/>
        <v>0</v>
      </c>
      <c r="AK19" s="885">
        <f t="shared" si="26"/>
        <v>0</v>
      </c>
      <c r="AL19" s="883">
        <f t="shared" si="21"/>
        <v>0</v>
      </c>
      <c r="AM19" s="883">
        <f t="shared" si="22"/>
        <v>0</v>
      </c>
      <c r="AN19" s="883">
        <f t="shared" si="23"/>
        <v>0</v>
      </c>
      <c r="AO19" s="883">
        <f t="shared" si="24"/>
        <v>0</v>
      </c>
      <c r="AP19" s="883">
        <f t="shared" si="25"/>
        <v>0</v>
      </c>
      <c r="AQ19" s="890">
        <f t="shared" si="9"/>
        <v>0</v>
      </c>
    </row>
    <row r="20" spans="1:43">
      <c r="A20" s="817"/>
      <c r="B20" s="860" t="s">
        <v>1622</v>
      </c>
      <c r="C20" s="883"/>
      <c r="D20" s="883"/>
      <c r="E20" s="883"/>
      <c r="F20" s="883">
        <f>HLOOKUP($B$2,'Consumption Input'!$E$5:$AQ$82,'Consumption Input'!$B50)</f>
        <v>22.306999999999995</v>
      </c>
      <c r="G20" s="883"/>
      <c r="H20" s="883"/>
      <c r="I20" s="883">
        <f t="shared" si="28"/>
        <v>22.306999999999995</v>
      </c>
      <c r="J20" s="884"/>
      <c r="K20" s="883"/>
      <c r="L20" s="883"/>
      <c r="M20" s="883"/>
      <c r="N20" s="885">
        <f t="shared" si="32"/>
        <v>0</v>
      </c>
      <c r="O20" s="883">
        <f t="shared" si="32"/>
        <v>0</v>
      </c>
      <c r="P20" s="883">
        <f t="shared" si="33"/>
        <v>0</v>
      </c>
      <c r="Q20" s="883">
        <f t="shared" si="34"/>
        <v>22.306999999999995</v>
      </c>
      <c r="R20" s="883">
        <f t="shared" si="35"/>
        <v>0</v>
      </c>
      <c r="S20" s="886">
        <f t="shared" si="36"/>
        <v>0</v>
      </c>
      <c r="T20" s="883">
        <f t="shared" si="4"/>
        <v>22.306999999999995</v>
      </c>
      <c r="U20" s="887">
        <f>Factors!D25</f>
        <v>18.855352254718337</v>
      </c>
      <c r="V20" s="885">
        <f t="shared" si="37"/>
        <v>0</v>
      </c>
      <c r="W20" s="883">
        <f t="shared" si="38"/>
        <v>0</v>
      </c>
      <c r="X20" s="883">
        <f t="shared" si="39"/>
        <v>0</v>
      </c>
      <c r="Y20" s="883">
        <f t="shared" si="40"/>
        <v>0.42060634274600189</v>
      </c>
      <c r="Z20" s="883">
        <f t="shared" si="41"/>
        <v>0</v>
      </c>
      <c r="AA20" s="883">
        <f t="shared" si="42"/>
        <v>0</v>
      </c>
      <c r="AB20" s="883">
        <f t="shared" si="19"/>
        <v>0.42060634274600189</v>
      </c>
      <c r="AC20" s="888">
        <f>Factors!E25</f>
        <v>1</v>
      </c>
      <c r="AD20" s="885">
        <f t="shared" si="43"/>
        <v>0</v>
      </c>
      <c r="AE20" s="883">
        <f t="shared" si="43"/>
        <v>0</v>
      </c>
      <c r="AF20" s="883">
        <f t="shared" si="43"/>
        <v>0</v>
      </c>
      <c r="AG20" s="883">
        <f t="shared" si="43"/>
        <v>0.42060634274600189</v>
      </c>
      <c r="AH20" s="883">
        <f t="shared" si="43"/>
        <v>0</v>
      </c>
      <c r="AI20" s="883">
        <f t="shared" si="43"/>
        <v>0</v>
      </c>
      <c r="AJ20" s="889">
        <f t="shared" si="7"/>
        <v>0.42060634274600189</v>
      </c>
      <c r="AK20" s="885">
        <f t="shared" si="26"/>
        <v>0</v>
      </c>
      <c r="AL20" s="883">
        <f t="shared" si="21"/>
        <v>0</v>
      </c>
      <c r="AM20" s="883">
        <f t="shared" si="22"/>
        <v>0</v>
      </c>
      <c r="AN20" s="883">
        <f t="shared" si="23"/>
        <v>1.5422232567353402</v>
      </c>
      <c r="AO20" s="883">
        <f t="shared" si="24"/>
        <v>0</v>
      </c>
      <c r="AP20" s="883">
        <f t="shared" si="25"/>
        <v>0</v>
      </c>
      <c r="AQ20" s="890">
        <f t="shared" si="9"/>
        <v>1.5422232567353402</v>
      </c>
    </row>
    <row r="21" spans="1:43">
      <c r="A21" s="817"/>
      <c r="B21" s="860" t="s">
        <v>1738</v>
      </c>
      <c r="C21" s="883">
        <f>HLOOKUP($B$2,'Consumption Input'!$E$5:$AQ$82,'Consumption Input'!$B9)</f>
        <v>403.21663013490144</v>
      </c>
      <c r="D21" s="883">
        <f>HLOOKUP($B$2,'Consumption Input'!$E$5:$AQ$82,'Consumption Input'!$B15)</f>
        <v>279.36831163385483</v>
      </c>
      <c r="E21" s="883">
        <f>HLOOKUP($B$2,'Consumption Input'!$E$5:$AQ$82,'Consumption Input'!$B28)</f>
        <v>1008.9336111554181</v>
      </c>
      <c r="F21" s="883">
        <f>HLOOKUP($B$2,'Consumption Input'!$E$5:$AQ$82,'Consumption Input'!$B51)</f>
        <v>6582.6595535556016</v>
      </c>
      <c r="G21" s="883">
        <f>HLOOKUP($B$2,'Consumption Input'!$E$5:$AQ$82,'Consumption Input'!$B60)</f>
        <v>83.448999999999998</v>
      </c>
      <c r="H21" s="883">
        <f>HLOOKUP($B$2,'US Territories'!$D$28:$AO$38,'US Territories'!$B31)</f>
        <v>49.527364931939935</v>
      </c>
      <c r="I21" s="883">
        <f t="shared" si="28"/>
        <v>8407.1544714117172</v>
      </c>
      <c r="J21" s="884">
        <f>HLOOKUP($B$2,IBFConsumption,'International Bunker Fuels'!$B$10,FALSE)</f>
        <v>96.810063081760362</v>
      </c>
      <c r="K21" s="883">
        <f>HLOOKUP($B$2,NEUConsumption,'Non-Energy Use'!$C$20)</f>
        <v>5.8250000000000002</v>
      </c>
      <c r="L21" s="883"/>
      <c r="M21" s="883"/>
      <c r="N21" s="885">
        <f t="shared" si="32"/>
        <v>403.21663013490144</v>
      </c>
      <c r="O21" s="883">
        <f>D21</f>
        <v>279.36831163385483</v>
      </c>
      <c r="P21" s="883">
        <f t="shared" si="33"/>
        <v>1003.1086111554181</v>
      </c>
      <c r="Q21" s="883">
        <f>F21-J21-L21</f>
        <v>6485.8494904738409</v>
      </c>
      <c r="R21" s="883">
        <f t="shared" si="35"/>
        <v>83.448999999999998</v>
      </c>
      <c r="S21" s="886">
        <f>H21-M21</f>
        <v>49.527364931939935</v>
      </c>
      <c r="T21" s="883">
        <f t="shared" si="4"/>
        <v>8304.5194083299557</v>
      </c>
      <c r="U21" s="887">
        <f>HLOOKUP($B$2,Factors!$J$12:$BE$27,Factors!$H27,FALSE)</f>
        <v>20.216892495282984</v>
      </c>
      <c r="V21" s="885">
        <f>N21*$U21*TbtuToQBtu</f>
        <v>8.1517872637475843</v>
      </c>
      <c r="W21" s="883">
        <f>O21*$U21*TbtuToQBtu</f>
        <v>5.6479591228903576</v>
      </c>
      <c r="X21" s="883">
        <f t="shared" si="39"/>
        <v>20.27973895282171</v>
      </c>
      <c r="Y21" s="883">
        <f>Q21*$U21*TbtuToQBtu</f>
        <v>131.12372188949556</v>
      </c>
      <c r="Z21" s="883">
        <f t="shared" si="41"/>
        <v>1.6870794618388698</v>
      </c>
      <c r="AA21" s="883">
        <f t="shared" si="42"/>
        <v>1.0012894124036782</v>
      </c>
      <c r="AB21" s="883">
        <f t="shared" si="19"/>
        <v>167.89157610319774</v>
      </c>
      <c r="AC21" s="888">
        <f>Factors!E26</f>
        <v>1</v>
      </c>
      <c r="AD21" s="885">
        <f t="shared" si="43"/>
        <v>8.1517872637475843</v>
      </c>
      <c r="AE21" s="883">
        <f>W21*$AC21</f>
        <v>5.6479591228903576</v>
      </c>
      <c r="AF21" s="883">
        <f t="shared" si="43"/>
        <v>20.27973895282171</v>
      </c>
      <c r="AG21" s="883">
        <f>Y21*$AC21</f>
        <v>131.12372188949556</v>
      </c>
      <c r="AH21" s="883">
        <f t="shared" si="43"/>
        <v>1.6870794618388698</v>
      </c>
      <c r="AI21" s="883">
        <f t="shared" si="43"/>
        <v>1.0012894124036782</v>
      </c>
      <c r="AJ21" s="889">
        <f t="shared" si="7"/>
        <v>167.89157610319774</v>
      </c>
      <c r="AK21" s="885">
        <f t="shared" si="26"/>
        <v>29.889886633741142</v>
      </c>
      <c r="AL21" s="883">
        <f t="shared" si="21"/>
        <v>20.709183450597976</v>
      </c>
      <c r="AM21" s="883">
        <f t="shared" si="22"/>
        <v>74.359042827012928</v>
      </c>
      <c r="AN21" s="883">
        <f t="shared" si="23"/>
        <v>480.78698026148368</v>
      </c>
      <c r="AO21" s="883">
        <f t="shared" si="24"/>
        <v>6.1859580267425223</v>
      </c>
      <c r="AP21" s="883">
        <f t="shared" si="25"/>
        <v>3.6713945121468199</v>
      </c>
      <c r="AQ21" s="890">
        <f t="shared" si="9"/>
        <v>615.60244571172495</v>
      </c>
    </row>
    <row r="22" spans="1:43">
      <c r="A22" s="817"/>
      <c r="B22" s="860" t="s">
        <v>1623</v>
      </c>
      <c r="C22" s="883"/>
      <c r="D22" s="883"/>
      <c r="E22" s="883"/>
      <c r="F22" s="883">
        <f>HLOOKUP($B$2,'Consumption Input'!$E$5:$AQ$82,'Consumption Input'!$B52)</f>
        <v>3227.8989999999999</v>
      </c>
      <c r="G22" s="883"/>
      <c r="H22" s="883">
        <f>HLOOKUP($B$2,'US Territories'!$D$28:$AO$38,'US Territories'!$B32)</f>
        <v>43.538773891545155</v>
      </c>
      <c r="I22" s="883">
        <f t="shared" si="28"/>
        <v>3271.437773891545</v>
      </c>
      <c r="J22" s="884">
        <f>HLOOKUP($B$2,IBFConsumption,'International Bunker Fuels'!$B$8,FALSE)</f>
        <v>908.76435987107743</v>
      </c>
      <c r="K22" s="883"/>
      <c r="L22" s="883"/>
      <c r="M22" s="883"/>
      <c r="N22" s="885">
        <f t="shared" si="32"/>
        <v>0</v>
      </c>
      <c r="O22" s="883">
        <f t="shared" si="32"/>
        <v>0</v>
      </c>
      <c r="P22" s="883">
        <f t="shared" si="33"/>
        <v>0</v>
      </c>
      <c r="Q22" s="883">
        <f t="shared" si="34"/>
        <v>2319.1346401289225</v>
      </c>
      <c r="R22" s="883">
        <f t="shared" si="35"/>
        <v>0</v>
      </c>
      <c r="S22" s="886">
        <f t="shared" si="36"/>
        <v>43.538773891545155</v>
      </c>
      <c r="T22" s="883">
        <f t="shared" si="4"/>
        <v>2362.6734140204676</v>
      </c>
      <c r="U22" s="887">
        <f>HLOOKUP($B$2,Factors!$J$12:$BE$25,Factors!$H21,FALSE)</f>
        <v>19.696969696969692</v>
      </c>
      <c r="V22" s="885">
        <f t="shared" si="37"/>
        <v>0</v>
      </c>
      <c r="W22" s="883">
        <f t="shared" si="38"/>
        <v>0</v>
      </c>
      <c r="X22" s="883">
        <f t="shared" si="39"/>
        <v>0</v>
      </c>
      <c r="Y22" s="883">
        <f t="shared" si="40"/>
        <v>45.6799247298121</v>
      </c>
      <c r="Z22" s="883">
        <f t="shared" si="41"/>
        <v>0</v>
      </c>
      <c r="AA22" s="883">
        <f t="shared" si="42"/>
        <v>0.85758190998498018</v>
      </c>
      <c r="AB22" s="883">
        <f t="shared" si="19"/>
        <v>46.53750663979708</v>
      </c>
      <c r="AC22" s="888">
        <f>Factors!E27</f>
        <v>1</v>
      </c>
      <c r="AD22" s="885">
        <f t="shared" si="43"/>
        <v>0</v>
      </c>
      <c r="AE22" s="883">
        <f t="shared" si="43"/>
        <v>0</v>
      </c>
      <c r="AF22" s="883">
        <f t="shared" si="43"/>
        <v>0</v>
      </c>
      <c r="AG22" s="883">
        <f t="shared" si="43"/>
        <v>45.6799247298121</v>
      </c>
      <c r="AH22" s="883">
        <f t="shared" si="43"/>
        <v>0</v>
      </c>
      <c r="AI22" s="883">
        <f t="shared" si="43"/>
        <v>0.85758190998498018</v>
      </c>
      <c r="AJ22" s="889">
        <f t="shared" si="7"/>
        <v>46.53750663979708</v>
      </c>
      <c r="AK22" s="885">
        <f t="shared" si="26"/>
        <v>0</v>
      </c>
      <c r="AL22" s="883">
        <f t="shared" si="21"/>
        <v>0</v>
      </c>
      <c r="AM22" s="883">
        <f t="shared" si="22"/>
        <v>0</v>
      </c>
      <c r="AN22" s="883">
        <f t="shared" si="23"/>
        <v>167.49305734264436</v>
      </c>
      <c r="AO22" s="883">
        <f t="shared" si="24"/>
        <v>0</v>
      </c>
      <c r="AP22" s="883">
        <f t="shared" si="25"/>
        <v>3.1444670032782605</v>
      </c>
      <c r="AQ22" s="890">
        <f t="shared" si="9"/>
        <v>170.63752434592263</v>
      </c>
    </row>
    <row r="23" spans="1:43">
      <c r="A23" s="817"/>
      <c r="B23" s="860" t="s">
        <v>1599</v>
      </c>
      <c r="C23" s="883">
        <f>HLOOKUP($B$2,'Consumption Input'!$E$5:$AQ$82,'Consumption Input'!$B10)</f>
        <v>8.3119999999999994</v>
      </c>
      <c r="D23" s="883">
        <f>HLOOKUP($B$2,'Consumption Input'!$E$5:$AQ$82,'Consumption Input'!$B16)</f>
        <v>1.27</v>
      </c>
      <c r="E23" s="883">
        <f>HLOOKUP($B$2,'Consumption Input'!$E$5:$AQ$82,'Consumption Input'!$B29)</f>
        <v>1.284</v>
      </c>
      <c r="F23" s="883"/>
      <c r="G23" s="883"/>
      <c r="H23" s="883">
        <f>HLOOKUP($B$2,'US Territories'!$D$28:$AO$38,'US Territories'!$B33)</f>
        <v>0.45625923903454363</v>
      </c>
      <c r="I23" s="883">
        <f t="shared" si="28"/>
        <v>11.322259239034544</v>
      </c>
      <c r="J23" s="884"/>
      <c r="K23" s="883"/>
      <c r="L23" s="883"/>
      <c r="M23" s="883"/>
      <c r="N23" s="885">
        <f t="shared" si="32"/>
        <v>8.3119999999999994</v>
      </c>
      <c r="O23" s="883">
        <f t="shared" si="32"/>
        <v>1.27</v>
      </c>
      <c r="P23" s="883">
        <f t="shared" si="33"/>
        <v>1.284</v>
      </c>
      <c r="Q23" s="883">
        <f t="shared" si="34"/>
        <v>0</v>
      </c>
      <c r="R23" s="883">
        <f t="shared" si="35"/>
        <v>0</v>
      </c>
      <c r="S23" s="886">
        <f t="shared" si="36"/>
        <v>0.45625923903454363</v>
      </c>
      <c r="T23" s="883">
        <f t="shared" si="4"/>
        <v>11.322259239034544</v>
      </c>
      <c r="U23" s="887">
        <f>Factors!D28</f>
        <v>19.964104564962931</v>
      </c>
      <c r="V23" s="885">
        <f t="shared" si="37"/>
        <v>0.16594163714397187</v>
      </c>
      <c r="W23" s="883">
        <f t="shared" si="38"/>
        <v>2.5354412797502921E-2</v>
      </c>
      <c r="X23" s="883">
        <f t="shared" si="39"/>
        <v>2.5633910261412405E-2</v>
      </c>
      <c r="Y23" s="883">
        <f t="shared" si="40"/>
        <v>0</v>
      </c>
      <c r="Z23" s="883">
        <f t="shared" si="41"/>
        <v>0</v>
      </c>
      <c r="AA23" s="883">
        <f t="shared" si="42"/>
        <v>9.1088071568160445E-3</v>
      </c>
      <c r="AB23" s="883">
        <f t="shared" si="19"/>
        <v>0.22603876735970324</v>
      </c>
      <c r="AC23" s="888">
        <f>Factors!E28</f>
        <v>1</v>
      </c>
      <c r="AD23" s="885">
        <f t="shared" si="43"/>
        <v>0.16594163714397187</v>
      </c>
      <c r="AE23" s="883">
        <f t="shared" si="43"/>
        <v>2.5354412797502921E-2</v>
      </c>
      <c r="AF23" s="883">
        <f t="shared" si="43"/>
        <v>2.5633910261412405E-2</v>
      </c>
      <c r="AG23" s="883">
        <f t="shared" si="43"/>
        <v>0</v>
      </c>
      <c r="AH23" s="883">
        <f t="shared" si="43"/>
        <v>0</v>
      </c>
      <c r="AI23" s="883">
        <f t="shared" si="43"/>
        <v>9.1088071568160445E-3</v>
      </c>
      <c r="AJ23" s="889">
        <f t="shared" si="7"/>
        <v>0.22603876735970324</v>
      </c>
      <c r="AK23" s="885">
        <f t="shared" si="26"/>
        <v>0.60845266952789678</v>
      </c>
      <c r="AL23" s="883">
        <f t="shared" si="21"/>
        <v>9.2966180257510703E-2</v>
      </c>
      <c r="AM23" s="883">
        <f t="shared" si="22"/>
        <v>9.3991004291845481E-2</v>
      </c>
      <c r="AN23" s="883">
        <f t="shared" si="23"/>
        <v>0</v>
      </c>
      <c r="AO23" s="883">
        <f t="shared" si="24"/>
        <v>0</v>
      </c>
      <c r="AP23" s="883">
        <f t="shared" si="25"/>
        <v>3.3398959574992164E-2</v>
      </c>
      <c r="AQ23" s="890">
        <f t="shared" si="9"/>
        <v>0.82880881365224512</v>
      </c>
    </row>
    <row r="24" spans="1:43">
      <c r="A24" s="817"/>
      <c r="B24" s="860" t="s">
        <v>1600</v>
      </c>
      <c r="C24" s="883">
        <f>HLOOKUP($B$2,'Consumption Input'!$E$5:$AQ$82,'Consumption Input'!$B11)</f>
        <v>486.952</v>
      </c>
      <c r="D24" s="883">
        <f>HLOOKUP($B$2,'Consumption Input'!$E$5:$AQ$82,'Consumption Input'!$B17)</f>
        <v>218.23599999999999</v>
      </c>
      <c r="E24"/>
      <c r="F24" s="883">
        <f>HLOOKUP($B$2,'Consumption Input'!$E$5:$AQ$82,'Consumption Input'!$B53)</f>
        <v>9.8190000000000008</v>
      </c>
      <c r="G24" s="883"/>
      <c r="H24"/>
      <c r="I24" s="883">
        <f t="shared" si="28"/>
        <v>715.00699999999995</v>
      </c>
      <c r="J24" s="884"/>
      <c r="K24"/>
      <c r="L24" s="883"/>
      <c r="M24" s="883"/>
      <c r="N24" s="885">
        <f>C24</f>
        <v>486.952</v>
      </c>
      <c r="O24" s="883">
        <f t="shared" si="32"/>
        <v>218.23599999999999</v>
      </c>
      <c r="P24"/>
      <c r="Q24" s="883">
        <f t="shared" si="34"/>
        <v>9.8190000000000008</v>
      </c>
      <c r="R24" s="883">
        <f t="shared" si="35"/>
        <v>0</v>
      </c>
      <c r="S24" s="1007"/>
      <c r="T24" s="883">
        <f t="shared" si="4"/>
        <v>715.00699999999995</v>
      </c>
      <c r="U24" s="1005">
        <f>HLOOKUP($B$2,Factors!$J$12:$BE$25,Factors!$H17,FALSE)</f>
        <v>17.146363636363635</v>
      </c>
      <c r="V24" s="885">
        <f>N24*$U24*TbtuToQBtu</f>
        <v>8.3494560654545449</v>
      </c>
      <c r="W24" s="883">
        <f>O24*$U24*TbtuToQBtu</f>
        <v>3.7419538145454538</v>
      </c>
      <c r="X24"/>
      <c r="Y24" s="883">
        <f>Q24*$U24*TbtuToQBtu</f>
        <v>0.16836014454545456</v>
      </c>
      <c r="Z24" s="883">
        <f t="shared" si="41"/>
        <v>0</v>
      </c>
      <c r="AA24"/>
      <c r="AB24" s="883">
        <f>SUM(V24:AA24)</f>
        <v>12.259770024545453</v>
      </c>
      <c r="AC24" s="888">
        <f>Factors!E30</f>
        <v>1</v>
      </c>
      <c r="AD24" s="885">
        <f>V24*$AC24</f>
        <v>8.3494560654545449</v>
      </c>
      <c r="AE24" s="883">
        <f t="shared" si="43"/>
        <v>3.7419538145454538</v>
      </c>
      <c r="AF24"/>
      <c r="AG24" s="883">
        <f t="shared" si="43"/>
        <v>0.16836014454545456</v>
      </c>
      <c r="AH24" s="883">
        <f t="shared" si="43"/>
        <v>0</v>
      </c>
      <c r="AI24"/>
      <c r="AJ24" s="889">
        <f t="shared" si="7"/>
        <v>12.259770024545453</v>
      </c>
      <c r="AK24" s="885">
        <f>AD24*CtoCO2</f>
        <v>30.614672239999997</v>
      </c>
      <c r="AL24" s="883">
        <f t="shared" si="21"/>
        <v>13.720497319999996</v>
      </c>
      <c r="AN24" s="883">
        <f t="shared" si="23"/>
        <v>0.61732052999999998</v>
      </c>
      <c r="AO24" s="883">
        <f t="shared" si="24"/>
        <v>0</v>
      </c>
      <c r="AQ24" s="890">
        <f t="shared" si="9"/>
        <v>44.952490089999998</v>
      </c>
    </row>
    <row r="25" spans="1:43">
      <c r="A25" s="817"/>
      <c r="B25" s="860" t="s">
        <v>1609</v>
      </c>
      <c r="C25" s="883"/>
      <c r="D25" s="883"/>
      <c r="E25" s="883">
        <f>HLOOKUP($B$2,'Consumption Input'!$E$5:$AQ$82,'Consumption Input'!$B30)</f>
        <v>3242.383802931</v>
      </c>
      <c r="F25" s="883"/>
      <c r="G25" s="883"/>
      <c r="H25" s="883">
        <f>HLOOKUP($B$2,'US Territories'!$D$28:$AO$38,'US Territories'!$B34)</f>
        <v>9.2030144042274085</v>
      </c>
      <c r="I25" s="883">
        <f t="shared" si="28"/>
        <v>3251.5868173352274</v>
      </c>
      <c r="J25" s="884"/>
      <c r="K25" s="883">
        <f>HLOOKUP($B$2,NEUConsumption,'Non-Energy Use'!$C$11)</f>
        <v>3251.2724321913706</v>
      </c>
      <c r="L25" s="883"/>
      <c r="M25" s="883"/>
      <c r="N25" s="885"/>
      <c r="O25" s="883"/>
      <c r="P25" s="1115">
        <f>IF(E25-K25&lt;0,0,E25-K25)</f>
        <v>0</v>
      </c>
      <c r="Q25" s="883"/>
      <c r="R25" s="883"/>
      <c r="S25" s="886">
        <f>H25-M25</f>
        <v>9.2030144042274085</v>
      </c>
      <c r="T25" s="883">
        <f t="shared" si="4"/>
        <v>9.2030144042274085</v>
      </c>
      <c r="U25" s="1005">
        <f>HLOOKUP($B$2,Factors!$J$12:$BE$25,Factors!$H18,FALSE)</f>
        <v>17.741669062118369</v>
      </c>
      <c r="V25" s="885"/>
      <c r="W25" s="883"/>
      <c r="X25" s="883">
        <f>P25*$U25*TbtuToQBtu</f>
        <v>0</v>
      </c>
      <c r="Y25" s="883"/>
      <c r="Z25" s="883"/>
      <c r="AA25" s="883">
        <f>S25*$U25*TbtuToQBtu</f>
        <v>0.16327683593371115</v>
      </c>
      <c r="AB25" s="883">
        <f>SUM(V25:AA25)</f>
        <v>0.16327683593371115</v>
      </c>
      <c r="AC25" s="888">
        <f>Factors!E31</f>
        <v>1</v>
      </c>
      <c r="AD25" s="885"/>
      <c r="AE25" s="883"/>
      <c r="AF25" s="883">
        <f>X25*$AC25</f>
        <v>0</v>
      </c>
      <c r="AG25" s="883"/>
      <c r="AH25" s="883"/>
      <c r="AI25" s="883">
        <f>AA25*$AC25</f>
        <v>0.16327683593371115</v>
      </c>
      <c r="AJ25" s="889">
        <f t="shared" si="7"/>
        <v>0.16327683593371115</v>
      </c>
      <c r="AK25" s="885"/>
      <c r="AL25" s="883"/>
      <c r="AM25" s="883">
        <f>AF25*CtoCO2</f>
        <v>0</v>
      </c>
      <c r="AN25" s="883"/>
      <c r="AO25" s="883"/>
      <c r="AP25" s="883">
        <f>AI25*CtoCO2</f>
        <v>0.59868173175694084</v>
      </c>
      <c r="AQ25" s="890">
        <f t="shared" si="9"/>
        <v>0.59868173175694084</v>
      </c>
    </row>
    <row r="26" spans="1:43">
      <c r="A26" s="817"/>
      <c r="B26" s="860" t="s">
        <v>1610</v>
      </c>
      <c r="C26" s="883"/>
      <c r="D26" s="883"/>
      <c r="E26" s="883">
        <f>HLOOKUP($B$2,'Consumption Input'!$E$5:$AQ$82,'Consumption Input'!$B31)</f>
        <v>119.544</v>
      </c>
      <c r="F26" s="883">
        <f>HLOOKUP($B$2,'Consumption Input'!$E$5:$AQ$82,'Consumption Input'!$B54)</f>
        <v>125.386</v>
      </c>
      <c r="G26" s="883"/>
      <c r="H26" s="883">
        <f>HLOOKUP($B$2,'US Territories'!$D$28:$AO$38,'US Territories'!$B35)</f>
        <v>1.0411633874999999</v>
      </c>
      <c r="I26" s="883">
        <f t="shared" si="2"/>
        <v>245.97116338750001</v>
      </c>
      <c r="J26" s="884"/>
      <c r="K26" s="883">
        <f>HLOOKUP($B$2,NEUConsumption,'Non-Energy Use'!$C$12)</f>
        <v>119.544</v>
      </c>
      <c r="L26" s="883">
        <f>HLOOKUP($B$2,NEUConsumption,'Non-Energy Use'!$C$24)</f>
        <v>125.386</v>
      </c>
      <c r="M26" s="883">
        <f>HLOOKUP($B$2,NEUConsumption,'Non-Energy Use'!$C$26)</f>
        <v>1.0411633874999999</v>
      </c>
      <c r="N26" s="885">
        <f t="shared" si="32"/>
        <v>0</v>
      </c>
      <c r="O26" s="883">
        <f t="shared" si="32"/>
        <v>0</v>
      </c>
      <c r="P26" s="883">
        <f t="shared" si="33"/>
        <v>0</v>
      </c>
      <c r="Q26" s="883">
        <f>F26-J26-L26</f>
        <v>0</v>
      </c>
      <c r="R26" s="883">
        <f>G26</f>
        <v>0</v>
      </c>
      <c r="S26" s="886">
        <f t="shared" si="36"/>
        <v>0</v>
      </c>
      <c r="T26" s="883">
        <f t="shared" si="4"/>
        <v>0</v>
      </c>
      <c r="U26" s="887">
        <f>Factors!D33</f>
        <v>20.199355467286214</v>
      </c>
      <c r="V26" s="885">
        <f t="shared" si="37"/>
        <v>0</v>
      </c>
      <c r="W26" s="883">
        <f t="shared" si="38"/>
        <v>0</v>
      </c>
      <c r="X26" s="883">
        <f t="shared" si="39"/>
        <v>0</v>
      </c>
      <c r="Y26" s="883">
        <f t="shared" si="40"/>
        <v>0</v>
      </c>
      <c r="Z26" s="883">
        <f t="shared" si="41"/>
        <v>0</v>
      </c>
      <c r="AA26" s="883">
        <f t="shared" si="42"/>
        <v>0</v>
      </c>
      <c r="AB26" s="883">
        <f t="shared" si="19"/>
        <v>0</v>
      </c>
      <c r="AC26" s="888">
        <f>Factors!E33</f>
        <v>1</v>
      </c>
      <c r="AD26" s="885">
        <f t="shared" si="43"/>
        <v>0</v>
      </c>
      <c r="AE26" s="883">
        <f t="shared" si="43"/>
        <v>0</v>
      </c>
      <c r="AF26" s="883">
        <f t="shared" si="43"/>
        <v>0</v>
      </c>
      <c r="AG26" s="883">
        <f>Y26*$AC26</f>
        <v>0</v>
      </c>
      <c r="AH26" s="883">
        <f t="shared" si="43"/>
        <v>0</v>
      </c>
      <c r="AI26" s="883">
        <f t="shared" si="43"/>
        <v>0</v>
      </c>
      <c r="AJ26" s="889">
        <f t="shared" si="7"/>
        <v>0</v>
      </c>
      <c r="AK26" s="885">
        <f t="shared" si="26"/>
        <v>0</v>
      </c>
      <c r="AL26" s="883">
        <f t="shared" si="21"/>
        <v>0</v>
      </c>
      <c r="AM26" s="883">
        <f t="shared" si="22"/>
        <v>0</v>
      </c>
      <c r="AN26" s="883">
        <f>AG26*CtoCO2</f>
        <v>0</v>
      </c>
      <c r="AO26" s="883">
        <f t="shared" si="24"/>
        <v>0</v>
      </c>
      <c r="AP26" s="883">
        <f t="shared" si="25"/>
        <v>0</v>
      </c>
      <c r="AQ26" s="890">
        <f t="shared" si="9"/>
        <v>0</v>
      </c>
    </row>
    <row r="27" spans="1:43">
      <c r="A27" s="817"/>
      <c r="B27" s="860" t="s">
        <v>1601</v>
      </c>
      <c r="C27" s="883"/>
      <c r="D27" s="883">
        <f>HLOOKUP($B$2,'Consumption Input'!$E$5:$AQ$82,'Consumption Input'!$B18)</f>
        <v>229.98565238476883</v>
      </c>
      <c r="E27" s="883">
        <f>HLOOKUP($B$2,'Consumption Input'!$E$5:$AQ$82,'Consumption Input'!$B32)</f>
        <v>162.25532059511201</v>
      </c>
      <c r="F27" s="883">
        <f>HLOOKUP($B$2,'Consumption Input'!$E$5:$AQ$82,'Consumption Input'!$B55)</f>
        <v>14680.707027020117</v>
      </c>
      <c r="G27" s="883"/>
      <c r="H27" s="883">
        <f>HLOOKUP($B$2,'US Territories'!$D$28:$AO$38,'US Territories'!$B36)</f>
        <v>75.569640942471878</v>
      </c>
      <c r="I27" s="883">
        <f t="shared" si="2"/>
        <v>15148.517640942469</v>
      </c>
      <c r="J27" s="884"/>
      <c r="K27" s="883"/>
      <c r="L27" s="883"/>
      <c r="M27" s="883"/>
      <c r="N27" s="885">
        <f t="shared" si="32"/>
        <v>0</v>
      </c>
      <c r="O27" s="883">
        <f t="shared" si="32"/>
        <v>229.98565238476883</v>
      </c>
      <c r="P27" s="883">
        <f t="shared" si="33"/>
        <v>162.25532059511201</v>
      </c>
      <c r="Q27" s="883">
        <f>F27-J27-L27</f>
        <v>14680.707027020117</v>
      </c>
      <c r="R27" s="883">
        <f t="shared" si="35"/>
        <v>0</v>
      </c>
      <c r="S27" s="886">
        <f t="shared" si="36"/>
        <v>75.569640942471878</v>
      </c>
      <c r="T27" s="883">
        <f t="shared" si="4"/>
        <v>15148.517640942469</v>
      </c>
      <c r="U27" s="887">
        <f>HLOOKUP($B$2,Factors!$J$12:$BE$25,Factors!$H20,FALSE)</f>
        <v>19.26959818755628</v>
      </c>
      <c r="V27" s="885">
        <f t="shared" si="37"/>
        <v>0</v>
      </c>
      <c r="W27" s="883">
        <f t="shared" si="38"/>
        <v>4.4317311103574903</v>
      </c>
      <c r="X27" s="883">
        <f t="shared" si="39"/>
        <v>3.1265948316609338</v>
      </c>
      <c r="Y27" s="883">
        <f>Q27*$U27*TbtuToQBtu</f>
        <v>282.89132551991162</v>
      </c>
      <c r="Z27" s="883">
        <f t="shared" si="41"/>
        <v>0</v>
      </c>
      <c r="AA27" s="883">
        <f t="shared" si="42"/>
        <v>1.4561966161393349</v>
      </c>
      <c r="AB27" s="883">
        <f t="shared" si="19"/>
        <v>291.90584807806937</v>
      </c>
      <c r="AC27" s="888">
        <f>Factors!E34</f>
        <v>1</v>
      </c>
      <c r="AD27" s="885">
        <f t="shared" si="43"/>
        <v>0</v>
      </c>
      <c r="AE27" s="883">
        <f t="shared" si="43"/>
        <v>4.4317311103574903</v>
      </c>
      <c r="AF27" s="883">
        <f t="shared" si="43"/>
        <v>3.1265948316609338</v>
      </c>
      <c r="AG27" s="883">
        <f>Y27*$AC44</f>
        <v>282.89132551991162</v>
      </c>
      <c r="AH27" s="883">
        <f t="shared" si="43"/>
        <v>0</v>
      </c>
      <c r="AI27" s="883">
        <f t="shared" si="43"/>
        <v>1.4561966161393349</v>
      </c>
      <c r="AJ27" s="889">
        <f t="shared" si="7"/>
        <v>291.90584807806937</v>
      </c>
      <c r="AK27" s="885">
        <f t="shared" si="26"/>
        <v>0</v>
      </c>
      <c r="AL27" s="883">
        <f t="shared" si="21"/>
        <v>16.249680737977464</v>
      </c>
      <c r="AM27" s="883">
        <f t="shared" si="22"/>
        <v>11.464181049423424</v>
      </c>
      <c r="AN27" s="883">
        <f t="shared" si="23"/>
        <v>1037.2681935730093</v>
      </c>
      <c r="AO27" s="883">
        <f t="shared" si="24"/>
        <v>0</v>
      </c>
      <c r="AP27" s="883">
        <f t="shared" si="25"/>
        <v>5.3393875925108949</v>
      </c>
      <c r="AQ27" s="890">
        <f t="shared" si="9"/>
        <v>1070.3214429529212</v>
      </c>
    </row>
    <row r="28" spans="1:43">
      <c r="A28" s="817"/>
      <c r="B28" s="860" t="s">
        <v>1602</v>
      </c>
      <c r="C28" s="883"/>
      <c r="D28" s="883">
        <f>HLOOKUP($B$2,'Consumption Input'!$E$5:$AQ$82,'Consumption Input'!$B19)</f>
        <v>3.242</v>
      </c>
      <c r="E28" s="883">
        <f>HLOOKUP($B$2,'Consumption Input'!$E$5:$AQ$82,'Consumption Input'!$B33)</f>
        <v>2.9649999999999963</v>
      </c>
      <c r="F28" s="883">
        <f>HLOOKUP($B$2,'Consumption Input'!$E$5:$AQ$82,'Consumption Input'!$B56)</f>
        <v>630.05200000000002</v>
      </c>
      <c r="G28" s="883">
        <f>HLOOKUP($B$2,'Consumption Input'!$E$5:$AQ$82,'Consumption Input'!$B61)</f>
        <v>75.635999999999996</v>
      </c>
      <c r="H28" s="883">
        <f>HLOOKUP($B$2,'US Territories'!$D$28:$AO$38,'US Territories'!$B37)</f>
        <v>55.544178673170457</v>
      </c>
      <c r="I28" s="883">
        <f t="shared" si="2"/>
        <v>767.43917867317043</v>
      </c>
      <c r="J28" s="884">
        <f>HLOOKUP($B$2,IBFConsumption,'International Bunker Fuels'!$B$9,FALSE)</f>
        <v>325.17659121999998</v>
      </c>
      <c r="K28" s="883"/>
      <c r="L28" s="883"/>
      <c r="M28" s="883"/>
      <c r="N28" s="885">
        <f t="shared" si="32"/>
        <v>0</v>
      </c>
      <c r="O28" s="883">
        <f t="shared" si="32"/>
        <v>3.242</v>
      </c>
      <c r="P28" s="883">
        <f t="shared" si="33"/>
        <v>2.9649999999999963</v>
      </c>
      <c r="Q28" s="883">
        <f t="shared" si="34"/>
        <v>304.87540878000004</v>
      </c>
      <c r="R28" s="883">
        <f t="shared" si="35"/>
        <v>75.635999999999996</v>
      </c>
      <c r="S28" s="886">
        <f t="shared" si="36"/>
        <v>55.544178673170457</v>
      </c>
      <c r="T28" s="883">
        <f t="shared" si="4"/>
        <v>442.26258745317045</v>
      </c>
      <c r="U28" s="887">
        <f>Factors!D36</f>
        <v>20.48</v>
      </c>
      <c r="V28" s="885">
        <f t="shared" si="37"/>
        <v>0</v>
      </c>
      <c r="W28" s="883">
        <f t="shared" si="38"/>
        <v>6.6396159999999996E-2</v>
      </c>
      <c r="X28" s="883">
        <f t="shared" si="39"/>
        <v>6.0723199999999929E-2</v>
      </c>
      <c r="Y28" s="883">
        <f t="shared" si="40"/>
        <v>6.2438483718144004</v>
      </c>
      <c r="Z28" s="883">
        <f t="shared" si="41"/>
        <v>1.5490252799999999</v>
      </c>
      <c r="AA28" s="883">
        <f t="shared" si="42"/>
        <v>1.1375447792265312</v>
      </c>
      <c r="AB28" s="883">
        <f>SUM(V28:AA28)</f>
        <v>9.0575377910409305</v>
      </c>
      <c r="AC28" s="888">
        <f>Factors!E36</f>
        <v>1</v>
      </c>
      <c r="AD28" s="885">
        <f t="shared" si="43"/>
        <v>0</v>
      </c>
      <c r="AE28" s="883">
        <f t="shared" si="43"/>
        <v>6.6396159999999996E-2</v>
      </c>
      <c r="AF28" s="883">
        <f t="shared" si="43"/>
        <v>6.0723199999999929E-2</v>
      </c>
      <c r="AG28" s="883">
        <f t="shared" si="43"/>
        <v>6.2438483718144004</v>
      </c>
      <c r="AH28" s="883">
        <f t="shared" si="43"/>
        <v>1.5490252799999999</v>
      </c>
      <c r="AI28" s="883">
        <f t="shared" si="43"/>
        <v>1.1375447792265312</v>
      </c>
      <c r="AJ28" s="889">
        <f t="shared" si="7"/>
        <v>9.0575377910409305</v>
      </c>
      <c r="AK28" s="885">
        <f t="shared" si="26"/>
        <v>0</v>
      </c>
      <c r="AL28" s="883">
        <f t="shared" si="21"/>
        <v>0.24345258666666664</v>
      </c>
      <c r="AM28" s="883">
        <f t="shared" si="22"/>
        <v>0.22265173333333307</v>
      </c>
      <c r="AN28" s="883">
        <f t="shared" si="23"/>
        <v>22.894110696652799</v>
      </c>
      <c r="AO28" s="883">
        <f t="shared" si="24"/>
        <v>5.6797593599999994</v>
      </c>
      <c r="AP28" s="883">
        <f t="shared" si="25"/>
        <v>4.1709975238306143</v>
      </c>
      <c r="AQ28" s="890">
        <f t="shared" si="9"/>
        <v>33.210971900483415</v>
      </c>
    </row>
    <row r="29" spans="1:43">
      <c r="A29" s="817"/>
      <c r="B29" s="860" t="s">
        <v>1603</v>
      </c>
      <c r="C29" s="883"/>
      <c r="D29" s="883"/>
      <c r="E29" s="883"/>
      <c r="F29" s="883"/>
      <c r="G29" s="883"/>
      <c r="H29" s="883"/>
      <c r="I29" s="883"/>
      <c r="J29" s="884"/>
      <c r="K29" s="883"/>
      <c r="L29" s="883"/>
      <c r="M29" s="883"/>
      <c r="N29" s="885">
        <f t="shared" si="32"/>
        <v>0</v>
      </c>
      <c r="O29" s="883">
        <f t="shared" si="32"/>
        <v>0</v>
      </c>
      <c r="P29" s="883">
        <f t="shared" si="33"/>
        <v>0</v>
      </c>
      <c r="Q29" s="883">
        <f t="shared" si="34"/>
        <v>0</v>
      </c>
      <c r="R29" s="883">
        <f t="shared" si="35"/>
        <v>0</v>
      </c>
      <c r="S29" s="886">
        <f t="shared" si="36"/>
        <v>0</v>
      </c>
      <c r="T29" s="883">
        <f t="shared" si="4"/>
        <v>0</v>
      </c>
      <c r="U29" s="887"/>
      <c r="V29" s="885">
        <f t="shared" si="37"/>
        <v>0</v>
      </c>
      <c r="W29" s="883">
        <f t="shared" si="38"/>
        <v>0</v>
      </c>
      <c r="X29" s="883">
        <f t="shared" si="39"/>
        <v>0</v>
      </c>
      <c r="Y29" s="883">
        <f t="shared" si="40"/>
        <v>0</v>
      </c>
      <c r="Z29" s="883">
        <f t="shared" si="41"/>
        <v>0</v>
      </c>
      <c r="AA29" s="883">
        <f t="shared" si="42"/>
        <v>0</v>
      </c>
      <c r="AB29" s="883">
        <f t="shared" si="19"/>
        <v>0</v>
      </c>
      <c r="AC29" s="888"/>
      <c r="AD29" s="885">
        <f t="shared" si="43"/>
        <v>0</v>
      </c>
      <c r="AE29" s="883">
        <f t="shared" si="43"/>
        <v>0</v>
      </c>
      <c r="AF29" s="883">
        <f t="shared" si="43"/>
        <v>0</v>
      </c>
      <c r="AG29" s="883">
        <f t="shared" si="43"/>
        <v>0</v>
      </c>
      <c r="AH29" s="883">
        <f t="shared" si="43"/>
        <v>0</v>
      </c>
      <c r="AI29" s="883">
        <f t="shared" si="43"/>
        <v>0</v>
      </c>
      <c r="AJ29" s="889">
        <f t="shared" si="7"/>
        <v>0</v>
      </c>
      <c r="AK29" s="885">
        <f t="shared" si="26"/>
        <v>0</v>
      </c>
      <c r="AL29" s="883">
        <f t="shared" si="21"/>
        <v>0</v>
      </c>
      <c r="AM29" s="883">
        <f t="shared" si="22"/>
        <v>0</v>
      </c>
      <c r="AN29" s="883">
        <f t="shared" si="23"/>
        <v>0</v>
      </c>
      <c r="AO29" s="883">
        <f t="shared" si="24"/>
        <v>0</v>
      </c>
      <c r="AP29" s="883">
        <f t="shared" si="25"/>
        <v>0</v>
      </c>
      <c r="AQ29" s="890">
        <f t="shared" si="9"/>
        <v>0</v>
      </c>
    </row>
    <row r="30" spans="1:43">
      <c r="A30" s="817"/>
      <c r="B30" s="865" t="s">
        <v>1611</v>
      </c>
      <c r="C30" s="883"/>
      <c r="D30" s="883"/>
      <c r="E30" s="883">
        <f>HLOOKUP($B$2,'Consumption Input'!$E$5:$AQ$82,'Consumption Input'!$B35)</f>
        <v>-0.66128799999999999</v>
      </c>
      <c r="F30" s="883"/>
      <c r="G30" s="883"/>
      <c r="H30" s="883"/>
      <c r="I30" s="883">
        <f t="shared" ref="I30:I41" si="44">SUM(C30:H30)</f>
        <v>-0.66128799999999999</v>
      </c>
      <c r="J30" s="884"/>
      <c r="K30" s="883"/>
      <c r="L30" s="883"/>
      <c r="M30" s="883"/>
      <c r="N30" s="885">
        <f t="shared" si="32"/>
        <v>0</v>
      </c>
      <c r="O30" s="883">
        <f t="shared" si="32"/>
        <v>0</v>
      </c>
      <c r="P30" s="883">
        <f t="shared" si="33"/>
        <v>-0.66128799999999999</v>
      </c>
      <c r="Q30" s="883">
        <f t="shared" si="34"/>
        <v>0</v>
      </c>
      <c r="R30" s="883">
        <f t="shared" si="35"/>
        <v>0</v>
      </c>
      <c r="S30" s="886">
        <f t="shared" si="36"/>
        <v>0</v>
      </c>
      <c r="T30" s="883">
        <f t="shared" si="4"/>
        <v>-0.66128799999999999</v>
      </c>
      <c r="U30" s="887">
        <f>Factors!D39</f>
        <v>18.87</v>
      </c>
      <c r="V30" s="885">
        <f t="shared" si="37"/>
        <v>0</v>
      </c>
      <c r="W30" s="883">
        <f t="shared" si="38"/>
        <v>0</v>
      </c>
      <c r="X30" s="883">
        <f t="shared" si="39"/>
        <v>-1.2478504560000001E-2</v>
      </c>
      <c r="Y30" s="883">
        <f t="shared" si="40"/>
        <v>0</v>
      </c>
      <c r="Z30" s="883">
        <f t="shared" si="41"/>
        <v>0</v>
      </c>
      <c r="AA30" s="883">
        <f t="shared" si="42"/>
        <v>0</v>
      </c>
      <c r="AB30" s="883">
        <f t="shared" si="19"/>
        <v>-1.2478504560000001E-2</v>
      </c>
      <c r="AC30" s="888">
        <f>Factors!E39</f>
        <v>1</v>
      </c>
      <c r="AD30" s="885">
        <f t="shared" si="43"/>
        <v>0</v>
      </c>
      <c r="AE30" s="883">
        <f t="shared" si="43"/>
        <v>0</v>
      </c>
      <c r="AF30" s="883">
        <f t="shared" si="43"/>
        <v>-1.2478504560000001E-2</v>
      </c>
      <c r="AG30" s="883">
        <f t="shared" si="43"/>
        <v>0</v>
      </c>
      <c r="AH30" s="883">
        <f t="shared" si="43"/>
        <v>0</v>
      </c>
      <c r="AI30" s="883">
        <f t="shared" si="43"/>
        <v>0</v>
      </c>
      <c r="AJ30" s="889">
        <f t="shared" si="7"/>
        <v>-1.2478504560000001E-2</v>
      </c>
      <c r="AK30" s="885">
        <f t="shared" si="26"/>
        <v>0</v>
      </c>
      <c r="AL30" s="883">
        <f t="shared" si="21"/>
        <v>0</v>
      </c>
      <c r="AM30" s="883">
        <f t="shared" si="22"/>
        <v>-4.5754516719999999E-2</v>
      </c>
      <c r="AN30" s="883">
        <f t="shared" si="23"/>
        <v>0</v>
      </c>
      <c r="AO30" s="883">
        <f t="shared" si="24"/>
        <v>0</v>
      </c>
      <c r="AP30" s="883">
        <f t="shared" si="25"/>
        <v>0</v>
      </c>
      <c r="AQ30" s="890">
        <f t="shared" si="9"/>
        <v>-4.5754516719999999E-2</v>
      </c>
    </row>
    <row r="31" spans="1:43">
      <c r="A31" s="817"/>
      <c r="B31" s="865" t="s">
        <v>1612</v>
      </c>
      <c r="C31" s="883"/>
      <c r="D31" s="883"/>
      <c r="E31" s="883">
        <f>HLOOKUP($B$2,'Consumption Input'!$E$5:$AQ$82,'Consumption Input'!$B36)</f>
        <v>0</v>
      </c>
      <c r="F31" s="883"/>
      <c r="G31" s="883"/>
      <c r="H31" s="883"/>
      <c r="I31" s="883">
        <f t="shared" si="44"/>
        <v>0</v>
      </c>
      <c r="J31" s="884"/>
      <c r="K31" s="883"/>
      <c r="L31" s="883"/>
      <c r="M31" s="883"/>
      <c r="N31" s="885">
        <f t="shared" si="32"/>
        <v>0</v>
      </c>
      <c r="O31" s="883">
        <f t="shared" si="32"/>
        <v>0</v>
      </c>
      <c r="P31" s="883">
        <f t="shared" si="33"/>
        <v>0</v>
      </c>
      <c r="Q31" s="883">
        <f t="shared" si="34"/>
        <v>0</v>
      </c>
      <c r="R31" s="883">
        <f t="shared" si="35"/>
        <v>0</v>
      </c>
      <c r="S31" s="886">
        <f t="shared" si="36"/>
        <v>0</v>
      </c>
      <c r="T31" s="883">
        <f t="shared" si="4"/>
        <v>0</v>
      </c>
      <c r="U31" s="887">
        <f>HLOOKUP($B$2,Factors!$J$12:$BE$25,Factors!$H25,FALSE)</f>
        <v>20.305515594827586</v>
      </c>
      <c r="V31" s="885">
        <f t="shared" si="37"/>
        <v>0</v>
      </c>
      <c r="W31" s="883">
        <f t="shared" si="38"/>
        <v>0</v>
      </c>
      <c r="X31" s="883">
        <f t="shared" si="39"/>
        <v>0</v>
      </c>
      <c r="Y31" s="883">
        <f t="shared" si="40"/>
        <v>0</v>
      </c>
      <c r="Z31" s="883">
        <f t="shared" si="41"/>
        <v>0</v>
      </c>
      <c r="AA31" s="883">
        <f t="shared" si="42"/>
        <v>0</v>
      </c>
      <c r="AB31" s="883">
        <f t="shared" si="19"/>
        <v>0</v>
      </c>
      <c r="AC31" s="888">
        <f>Factors!E40</f>
        <v>1</v>
      </c>
      <c r="AD31" s="885">
        <f t="shared" si="43"/>
        <v>0</v>
      </c>
      <c r="AE31" s="883">
        <f t="shared" si="43"/>
        <v>0</v>
      </c>
      <c r="AF31" s="883">
        <f t="shared" si="43"/>
        <v>0</v>
      </c>
      <c r="AG31" s="883">
        <f t="shared" si="43"/>
        <v>0</v>
      </c>
      <c r="AH31" s="883">
        <f t="shared" si="43"/>
        <v>0</v>
      </c>
      <c r="AI31" s="883">
        <f t="shared" si="43"/>
        <v>0</v>
      </c>
      <c r="AJ31" s="889">
        <f t="shared" si="7"/>
        <v>0</v>
      </c>
      <c r="AK31" s="885">
        <f t="shared" si="26"/>
        <v>0</v>
      </c>
      <c r="AL31" s="883">
        <f t="shared" si="21"/>
        <v>0</v>
      </c>
      <c r="AM31" s="883">
        <f t="shared" si="22"/>
        <v>0</v>
      </c>
      <c r="AN31" s="883">
        <f t="shared" si="23"/>
        <v>0</v>
      </c>
      <c r="AO31" s="883">
        <f t="shared" si="24"/>
        <v>0</v>
      </c>
      <c r="AP31" s="883">
        <f t="shared" si="25"/>
        <v>0</v>
      </c>
      <c r="AQ31" s="890">
        <f t="shared" si="9"/>
        <v>0</v>
      </c>
    </row>
    <row r="32" spans="1:43">
      <c r="A32" s="817"/>
      <c r="B32" s="865" t="s">
        <v>1613</v>
      </c>
      <c r="C32" s="883"/>
      <c r="D32" s="883"/>
      <c r="E32" s="883">
        <f>HLOOKUP($B$2,'Consumption Input'!$E$5:$AQ$82,'Consumption Input'!$B37)</f>
        <v>0</v>
      </c>
      <c r="F32" s="883"/>
      <c r="G32" s="883"/>
      <c r="H32" s="883"/>
      <c r="I32" s="883">
        <f t="shared" si="44"/>
        <v>0</v>
      </c>
      <c r="J32" s="884"/>
      <c r="K32" s="883"/>
      <c r="L32" s="883"/>
      <c r="M32" s="883"/>
      <c r="N32" s="885">
        <f t="shared" si="32"/>
        <v>0</v>
      </c>
      <c r="O32" s="883">
        <f t="shared" si="32"/>
        <v>0</v>
      </c>
      <c r="P32" s="883">
        <f t="shared" si="33"/>
        <v>0</v>
      </c>
      <c r="Q32" s="883">
        <f t="shared" si="34"/>
        <v>0</v>
      </c>
      <c r="R32" s="883">
        <f t="shared" si="35"/>
        <v>0</v>
      </c>
      <c r="S32" s="886">
        <f t="shared" si="36"/>
        <v>0</v>
      </c>
      <c r="T32" s="883">
        <f t="shared" si="4"/>
        <v>0</v>
      </c>
      <c r="U32" s="887">
        <f>HLOOKUP($B$2,Factors!$J$12:$BE$25,Factors!$H22,FALSE)</f>
        <v>19.456118437849259</v>
      </c>
      <c r="V32" s="885">
        <f t="shared" si="37"/>
        <v>0</v>
      </c>
      <c r="W32" s="883">
        <f t="shared" si="38"/>
        <v>0</v>
      </c>
      <c r="X32" s="883">
        <f t="shared" si="39"/>
        <v>0</v>
      </c>
      <c r="Y32" s="883">
        <f t="shared" si="40"/>
        <v>0</v>
      </c>
      <c r="Z32" s="883">
        <f t="shared" si="41"/>
        <v>0</v>
      </c>
      <c r="AA32" s="883">
        <f t="shared" si="42"/>
        <v>0</v>
      </c>
      <c r="AB32" s="883">
        <f t="shared" si="19"/>
        <v>0</v>
      </c>
      <c r="AC32" s="888">
        <f>Factors!E41</f>
        <v>1</v>
      </c>
      <c r="AD32" s="885">
        <f t="shared" si="43"/>
        <v>0</v>
      </c>
      <c r="AE32" s="883">
        <f t="shared" si="43"/>
        <v>0</v>
      </c>
      <c r="AF32" s="883">
        <f t="shared" si="43"/>
        <v>0</v>
      </c>
      <c r="AG32" s="883">
        <f t="shared" si="43"/>
        <v>0</v>
      </c>
      <c r="AH32" s="883">
        <f t="shared" si="43"/>
        <v>0</v>
      </c>
      <c r="AI32" s="883">
        <f t="shared" si="43"/>
        <v>0</v>
      </c>
      <c r="AJ32" s="889">
        <f t="shared" si="7"/>
        <v>0</v>
      </c>
      <c r="AK32" s="885">
        <f t="shared" si="26"/>
        <v>0</v>
      </c>
      <c r="AL32" s="883">
        <f t="shared" si="21"/>
        <v>0</v>
      </c>
      <c r="AM32" s="883">
        <f t="shared" si="22"/>
        <v>0</v>
      </c>
      <c r="AN32" s="883">
        <f t="shared" si="23"/>
        <v>0</v>
      </c>
      <c r="AO32" s="883">
        <f t="shared" si="24"/>
        <v>0</v>
      </c>
      <c r="AP32" s="883">
        <f t="shared" si="25"/>
        <v>0</v>
      </c>
      <c r="AQ32" s="890">
        <f t="shared" si="9"/>
        <v>0</v>
      </c>
    </row>
    <row r="33" spans="1:43">
      <c r="A33" s="817"/>
      <c r="B33" s="865" t="s">
        <v>1739</v>
      </c>
      <c r="C33" s="883"/>
      <c r="D33" s="883"/>
      <c r="E33" s="883">
        <f>HLOOKUP($B$2,'Consumption Input'!$E$5:$AQ$82,'Consumption Input'!$B38)</f>
        <v>183.38850028799999</v>
      </c>
      <c r="F33" s="883"/>
      <c r="G33" s="883"/>
      <c r="H33" s="883">
        <f>HLOOKUP($B$2,'US Territories'!$D$28:$AO$38,'US Territories'!$B38)</f>
        <v>4.1945309999999996E-3</v>
      </c>
      <c r="I33" s="883">
        <f t="shared" si="44"/>
        <v>183.39269481899998</v>
      </c>
      <c r="J33" s="884"/>
      <c r="K33" s="883">
        <f>HLOOKUP($B$2,NEUConsumption,'Non-Energy Use'!C22)</f>
        <v>183.38850028799999</v>
      </c>
      <c r="L33" s="883"/>
      <c r="M33" s="883">
        <f>HLOOKUP($B$2,NEUConsumption,'Non-Energy Use'!$C$27)</f>
        <v>4.1945309999999996E-3</v>
      </c>
      <c r="N33" s="885">
        <f t="shared" si="32"/>
        <v>0</v>
      </c>
      <c r="O33" s="883">
        <f t="shared" si="32"/>
        <v>0</v>
      </c>
      <c r="P33" s="883">
        <f t="shared" si="33"/>
        <v>0</v>
      </c>
      <c r="Q33" s="883">
        <f t="shared" si="34"/>
        <v>0</v>
      </c>
      <c r="R33" s="883">
        <f t="shared" si="35"/>
        <v>0</v>
      </c>
      <c r="S33" s="886">
        <f t="shared" si="36"/>
        <v>0</v>
      </c>
      <c r="T33" s="883">
        <f t="shared" si="4"/>
        <v>0</v>
      </c>
      <c r="U33" s="887">
        <f>HLOOKUP($B$2,Factors!$J$12:$BE$25,Factors!$H23,FALSE)</f>
        <v>0</v>
      </c>
      <c r="V33" s="885">
        <f t="shared" si="37"/>
        <v>0</v>
      </c>
      <c r="W33" s="883">
        <f t="shared" si="38"/>
        <v>0</v>
      </c>
      <c r="X33" s="883">
        <f t="shared" si="39"/>
        <v>0</v>
      </c>
      <c r="Y33" s="883">
        <f t="shared" si="40"/>
        <v>0</v>
      </c>
      <c r="Z33" s="883">
        <f t="shared" si="41"/>
        <v>0</v>
      </c>
      <c r="AA33" s="883">
        <f t="shared" si="42"/>
        <v>0</v>
      </c>
      <c r="AB33" s="883">
        <f t="shared" si="19"/>
        <v>0</v>
      </c>
      <c r="AC33" s="888">
        <f>Factors!E42</f>
        <v>1</v>
      </c>
      <c r="AD33" s="885">
        <f t="shared" si="43"/>
        <v>0</v>
      </c>
      <c r="AE33" s="883">
        <f t="shared" si="43"/>
        <v>0</v>
      </c>
      <c r="AF33" s="883">
        <f t="shared" si="43"/>
        <v>0</v>
      </c>
      <c r="AG33" s="883">
        <f t="shared" si="43"/>
        <v>0</v>
      </c>
      <c r="AH33" s="883">
        <f t="shared" si="43"/>
        <v>0</v>
      </c>
      <c r="AI33" s="883">
        <f t="shared" si="43"/>
        <v>0</v>
      </c>
      <c r="AJ33" s="889">
        <f t="shared" si="7"/>
        <v>0</v>
      </c>
      <c r="AK33" s="885">
        <f t="shared" si="26"/>
        <v>0</v>
      </c>
      <c r="AL33" s="883">
        <f t="shared" si="21"/>
        <v>0</v>
      </c>
      <c r="AM33" s="883">
        <f t="shared" si="22"/>
        <v>0</v>
      </c>
      <c r="AN33" s="883">
        <f t="shared" si="23"/>
        <v>0</v>
      </c>
      <c r="AO33" s="883">
        <f t="shared" si="24"/>
        <v>0</v>
      </c>
      <c r="AP33" s="883">
        <f t="shared" si="25"/>
        <v>0</v>
      </c>
      <c r="AQ33" s="890">
        <f t="shared" si="9"/>
        <v>0</v>
      </c>
    </row>
    <row r="34" spans="1:43">
      <c r="A34" s="817"/>
      <c r="B34" s="865" t="s">
        <v>1615</v>
      </c>
      <c r="C34" s="883"/>
      <c r="D34" s="883"/>
      <c r="E34" s="883">
        <f>HLOOKUP($B$2,'Consumption Input'!$E$5:$AQ$82,'Consumption Input'!$B39)</f>
        <v>265.51206400000001</v>
      </c>
      <c r="F34" s="883"/>
      <c r="G34" s="883"/>
      <c r="H34" s="883"/>
      <c r="I34" s="883">
        <f t="shared" si="44"/>
        <v>265.51206400000001</v>
      </c>
      <c r="J34" s="884"/>
      <c r="K34" s="883">
        <f>HLOOKUP($B$2,NEUConsumption,'Non-Energy Use'!C14)</f>
        <v>265.51206400000001</v>
      </c>
      <c r="L34" s="883"/>
      <c r="M34" s="883"/>
      <c r="N34" s="885">
        <f t="shared" si="32"/>
        <v>0</v>
      </c>
      <c r="O34" s="883">
        <f t="shared" si="32"/>
        <v>0</v>
      </c>
      <c r="P34" s="883">
        <f t="shared" si="33"/>
        <v>0</v>
      </c>
      <c r="Q34" s="883">
        <f t="shared" si="34"/>
        <v>0</v>
      </c>
      <c r="R34" s="883">
        <f t="shared" si="35"/>
        <v>0</v>
      </c>
      <c r="S34" s="886">
        <f t="shared" si="36"/>
        <v>0</v>
      </c>
      <c r="T34" s="883">
        <f t="shared" si="4"/>
        <v>0</v>
      </c>
      <c r="U34" s="887">
        <f>Factors!D44</f>
        <v>18.550649350649344</v>
      </c>
      <c r="V34" s="885">
        <f t="shared" si="37"/>
        <v>0</v>
      </c>
      <c r="W34" s="883">
        <f t="shared" si="38"/>
        <v>0</v>
      </c>
      <c r="X34" s="883">
        <f t="shared" si="39"/>
        <v>0</v>
      </c>
      <c r="Y34" s="883">
        <f t="shared" si="40"/>
        <v>0</v>
      </c>
      <c r="Z34" s="883">
        <f t="shared" si="41"/>
        <v>0</v>
      </c>
      <c r="AA34" s="883">
        <f t="shared" si="42"/>
        <v>0</v>
      </c>
      <c r="AB34" s="883">
        <f t="shared" si="19"/>
        <v>0</v>
      </c>
      <c r="AC34" s="888">
        <f>Factors!E44</f>
        <v>1</v>
      </c>
      <c r="AD34" s="885">
        <f t="shared" si="43"/>
        <v>0</v>
      </c>
      <c r="AE34" s="883">
        <f t="shared" si="43"/>
        <v>0</v>
      </c>
      <c r="AF34" s="883">
        <f t="shared" si="43"/>
        <v>0</v>
      </c>
      <c r="AG34" s="883">
        <f t="shared" si="43"/>
        <v>0</v>
      </c>
      <c r="AH34" s="883">
        <f t="shared" si="43"/>
        <v>0</v>
      </c>
      <c r="AI34" s="883">
        <f t="shared" si="43"/>
        <v>0</v>
      </c>
      <c r="AJ34" s="889">
        <f t="shared" si="7"/>
        <v>0</v>
      </c>
      <c r="AK34" s="885">
        <f t="shared" si="26"/>
        <v>0</v>
      </c>
      <c r="AL34" s="883">
        <f t="shared" si="21"/>
        <v>0</v>
      </c>
      <c r="AM34" s="883">
        <f t="shared" si="22"/>
        <v>0</v>
      </c>
      <c r="AN34" s="883">
        <f t="shared" si="23"/>
        <v>0</v>
      </c>
      <c r="AO34" s="883">
        <f t="shared" si="24"/>
        <v>0</v>
      </c>
      <c r="AP34" s="883">
        <f t="shared" si="25"/>
        <v>0</v>
      </c>
      <c r="AQ34" s="890">
        <f t="shared" si="9"/>
        <v>0</v>
      </c>
    </row>
    <row r="35" spans="1:43">
      <c r="A35" s="817"/>
      <c r="B35" s="865" t="s">
        <v>1616</v>
      </c>
      <c r="C35" s="883"/>
      <c r="D35" s="883"/>
      <c r="E35" s="883">
        <f>HLOOKUP($B$2,'Consumption Input'!$E$5:$AQ$82,'Consumption Input'!$B40)</f>
        <v>127.73396102500001</v>
      </c>
      <c r="F35" s="883"/>
      <c r="G35" s="883"/>
      <c r="H35" s="883"/>
      <c r="I35" s="883">
        <f t="shared" si="44"/>
        <v>127.73396102500001</v>
      </c>
      <c r="J35" s="884"/>
      <c r="K35" s="883">
        <f>HLOOKUP($B$2,NEUConsumption,'Non-Energy Use'!$C$15)</f>
        <v>127.73396102500001</v>
      </c>
      <c r="L35" s="883"/>
      <c r="M35" s="883"/>
      <c r="N35" s="885">
        <f t="shared" si="32"/>
        <v>0</v>
      </c>
      <c r="O35" s="883">
        <f t="shared" si="32"/>
        <v>0</v>
      </c>
      <c r="P35" s="883">
        <f t="shared" si="33"/>
        <v>0</v>
      </c>
      <c r="Q35" s="883">
        <f t="shared" si="34"/>
        <v>0</v>
      </c>
      <c r="R35" s="883">
        <f t="shared" si="35"/>
        <v>0</v>
      </c>
      <c r="S35" s="886">
        <f t="shared" si="36"/>
        <v>0</v>
      </c>
      <c r="T35" s="883">
        <f t="shared" si="4"/>
        <v>0</v>
      </c>
      <c r="U35" s="887">
        <f>Factors!D45</f>
        <v>20.170000000000002</v>
      </c>
      <c r="V35" s="885">
        <f t="shared" si="37"/>
        <v>0</v>
      </c>
      <c r="W35" s="883">
        <f t="shared" si="38"/>
        <v>0</v>
      </c>
      <c r="X35" s="883">
        <f t="shared" si="39"/>
        <v>0</v>
      </c>
      <c r="Y35" s="883">
        <f t="shared" si="40"/>
        <v>0</v>
      </c>
      <c r="Z35" s="883">
        <f t="shared" si="41"/>
        <v>0</v>
      </c>
      <c r="AA35" s="883">
        <f t="shared" si="42"/>
        <v>0</v>
      </c>
      <c r="AB35" s="883">
        <f t="shared" si="19"/>
        <v>0</v>
      </c>
      <c r="AC35" s="888">
        <f>Factors!E45</f>
        <v>1</v>
      </c>
      <c r="AD35" s="885">
        <f t="shared" si="43"/>
        <v>0</v>
      </c>
      <c r="AE35" s="883">
        <f t="shared" si="43"/>
        <v>0</v>
      </c>
      <c r="AF35" s="883">
        <f t="shared" si="43"/>
        <v>0</v>
      </c>
      <c r="AG35" s="883">
        <f t="shared" si="43"/>
        <v>0</v>
      </c>
      <c r="AH35" s="883">
        <f t="shared" si="43"/>
        <v>0</v>
      </c>
      <c r="AI35" s="883">
        <f t="shared" si="43"/>
        <v>0</v>
      </c>
      <c r="AJ35" s="889">
        <f t="shared" si="7"/>
        <v>0</v>
      </c>
      <c r="AK35" s="885">
        <f t="shared" si="26"/>
        <v>0</v>
      </c>
      <c r="AL35" s="883">
        <f t="shared" si="21"/>
        <v>0</v>
      </c>
      <c r="AM35" s="883">
        <f t="shared" si="22"/>
        <v>0</v>
      </c>
      <c r="AN35" s="883">
        <f t="shared" si="23"/>
        <v>0</v>
      </c>
      <c r="AO35" s="883">
        <f t="shared" si="24"/>
        <v>0</v>
      </c>
      <c r="AP35" s="883">
        <f t="shared" si="25"/>
        <v>0</v>
      </c>
      <c r="AQ35" s="890">
        <f t="shared" si="9"/>
        <v>0</v>
      </c>
    </row>
    <row r="36" spans="1:43">
      <c r="A36" s="817"/>
      <c r="B36" s="865" t="s">
        <v>1617</v>
      </c>
      <c r="C36" s="883"/>
      <c r="D36" s="883"/>
      <c r="E36" s="883">
        <f>HLOOKUP($B$2,'Consumption Input'!$E$5:$AQ$82,'Consumption Input'!$B41)</f>
        <v>0</v>
      </c>
      <c r="F36" s="883"/>
      <c r="G36" s="883"/>
      <c r="H36" s="883"/>
      <c r="I36" s="883">
        <f t="shared" si="44"/>
        <v>0</v>
      </c>
      <c r="J36" s="884"/>
      <c r="K36" s="883">
        <f>HLOOKUP($B$2,NEUConsumption,'Non-Energy Use'!$C$13)</f>
        <v>0</v>
      </c>
      <c r="L36" s="883"/>
      <c r="M36" s="883"/>
      <c r="N36" s="885">
        <f t="shared" si="32"/>
        <v>0</v>
      </c>
      <c r="O36" s="883">
        <f t="shared" si="32"/>
        <v>0</v>
      </c>
      <c r="P36" s="883">
        <f t="shared" si="33"/>
        <v>0</v>
      </c>
      <c r="Q36" s="883">
        <f t="shared" si="34"/>
        <v>0</v>
      </c>
      <c r="R36" s="883">
        <f t="shared" si="35"/>
        <v>0</v>
      </c>
      <c r="S36" s="886">
        <f t="shared" si="36"/>
        <v>0</v>
      </c>
      <c r="T36" s="883">
        <f t="shared" si="4"/>
        <v>0</v>
      </c>
      <c r="U36" s="887">
        <f>Factors!D46</f>
        <v>18.239999999999998</v>
      </c>
      <c r="V36" s="885">
        <f t="shared" si="37"/>
        <v>0</v>
      </c>
      <c r="W36" s="883">
        <f t="shared" si="38"/>
        <v>0</v>
      </c>
      <c r="X36" s="883">
        <f t="shared" si="39"/>
        <v>0</v>
      </c>
      <c r="Y36" s="883">
        <f t="shared" si="40"/>
        <v>0</v>
      </c>
      <c r="Z36" s="883">
        <f t="shared" si="41"/>
        <v>0</v>
      </c>
      <c r="AA36" s="883">
        <f t="shared" si="42"/>
        <v>0</v>
      </c>
      <c r="AB36" s="883">
        <f t="shared" si="19"/>
        <v>0</v>
      </c>
      <c r="AC36" s="888">
        <f>Factors!E46</f>
        <v>1</v>
      </c>
      <c r="AD36" s="885">
        <f t="shared" ref="AD36:AI42" si="45">V36*$AC36</f>
        <v>0</v>
      </c>
      <c r="AE36" s="883">
        <f t="shared" si="45"/>
        <v>0</v>
      </c>
      <c r="AF36" s="883">
        <f t="shared" si="45"/>
        <v>0</v>
      </c>
      <c r="AG36" s="883">
        <f t="shared" si="45"/>
        <v>0</v>
      </c>
      <c r="AH36" s="883">
        <f t="shared" si="45"/>
        <v>0</v>
      </c>
      <c r="AI36" s="883">
        <f t="shared" si="45"/>
        <v>0</v>
      </c>
      <c r="AJ36" s="889">
        <f t="shared" si="7"/>
        <v>0</v>
      </c>
      <c r="AK36" s="885">
        <f t="shared" si="26"/>
        <v>0</v>
      </c>
      <c r="AL36" s="883">
        <f t="shared" si="21"/>
        <v>0</v>
      </c>
      <c r="AM36" s="883">
        <f t="shared" si="22"/>
        <v>0</v>
      </c>
      <c r="AN36" s="883">
        <f t="shared" si="23"/>
        <v>0</v>
      </c>
      <c r="AO36" s="883">
        <f t="shared" si="24"/>
        <v>0</v>
      </c>
      <c r="AP36" s="883">
        <f t="shared" si="25"/>
        <v>0</v>
      </c>
      <c r="AQ36" s="890">
        <f t="shared" si="9"/>
        <v>0</v>
      </c>
    </row>
    <row r="37" spans="1:43">
      <c r="A37" s="817"/>
      <c r="B37" s="865" t="s">
        <v>1604</v>
      </c>
      <c r="C37" s="883"/>
      <c r="D37" s="883">
        <f>HLOOKUP($B$2,'Consumption Input'!$E$5:$AQ$82,'Consumption Input'!$B21)</f>
        <v>0.46700000000000003</v>
      </c>
      <c r="E37" s="883">
        <f>HLOOKUP($B$2,'Consumption Input'!$E$5:$AQ$82,'Consumption Input'!$B42)</f>
        <v>484.69799999999998</v>
      </c>
      <c r="F37" s="883"/>
      <c r="G37" s="883">
        <f>HLOOKUP($B$2,'Consumption Input'!$E$5:$AQ$82,'Consumption Input'!$B63)</f>
        <v>84.778000000000006</v>
      </c>
      <c r="H37" s="883"/>
      <c r="I37" s="883">
        <f t="shared" si="44"/>
        <v>569.94299999999998</v>
      </c>
      <c r="J37" s="884"/>
      <c r="K37" s="883">
        <f>HLOOKUP($B$2,NEUConsumption,'Non-Energy Use'!$C$17)</f>
        <v>44.971532344085873</v>
      </c>
      <c r="L37" s="883"/>
      <c r="M37" s="883"/>
      <c r="N37" s="885">
        <f t="shared" si="32"/>
        <v>0</v>
      </c>
      <c r="O37" s="883">
        <f t="shared" si="32"/>
        <v>0.46700000000000003</v>
      </c>
      <c r="P37" s="883">
        <f t="shared" si="33"/>
        <v>439.72646765591412</v>
      </c>
      <c r="Q37" s="883">
        <f t="shared" si="34"/>
        <v>0</v>
      </c>
      <c r="R37" s="883">
        <f t="shared" si="35"/>
        <v>84.778000000000006</v>
      </c>
      <c r="S37" s="886">
        <f t="shared" si="36"/>
        <v>0</v>
      </c>
      <c r="T37" s="883">
        <f t="shared" si="4"/>
        <v>524.97146765591413</v>
      </c>
      <c r="U37" s="887">
        <f>Factors!D48</f>
        <v>27.84770010865628</v>
      </c>
      <c r="V37" s="885">
        <f t="shared" si="37"/>
        <v>0</v>
      </c>
      <c r="W37" s="883">
        <f t="shared" si="38"/>
        <v>1.3004875950742484E-2</v>
      </c>
      <c r="X37" s="883">
        <f t="shared" si="39"/>
        <v>12.245370801120641</v>
      </c>
      <c r="Y37" s="883">
        <f t="shared" si="40"/>
        <v>0</v>
      </c>
      <c r="Z37" s="883">
        <f t="shared" si="41"/>
        <v>2.3608723198116621</v>
      </c>
      <c r="AA37" s="883">
        <f t="shared" si="42"/>
        <v>0</v>
      </c>
      <c r="AB37" s="883">
        <f t="shared" si="19"/>
        <v>14.619247996883045</v>
      </c>
      <c r="AC37" s="888">
        <f>Factors!E48</f>
        <v>1</v>
      </c>
      <c r="AD37" s="885">
        <f t="shared" si="45"/>
        <v>0</v>
      </c>
      <c r="AE37" s="883">
        <f t="shared" si="45"/>
        <v>1.3004875950742484E-2</v>
      </c>
      <c r="AF37" s="883">
        <f t="shared" si="45"/>
        <v>12.245370801120641</v>
      </c>
      <c r="AG37" s="883">
        <f t="shared" si="45"/>
        <v>0</v>
      </c>
      <c r="AH37" s="883">
        <f t="shared" si="45"/>
        <v>2.3608723198116621</v>
      </c>
      <c r="AI37" s="883">
        <f t="shared" si="45"/>
        <v>0</v>
      </c>
      <c r="AJ37" s="889">
        <f t="shared" si="7"/>
        <v>14.619247996883045</v>
      </c>
      <c r="AK37" s="885">
        <f t="shared" si="26"/>
        <v>0</v>
      </c>
      <c r="AL37" s="883">
        <f t="shared" si="21"/>
        <v>4.7684545152722441E-2</v>
      </c>
      <c r="AM37" s="883">
        <f t="shared" si="22"/>
        <v>44.899692937442346</v>
      </c>
      <c r="AN37" s="883">
        <f t="shared" si="23"/>
        <v>0</v>
      </c>
      <c r="AO37" s="883">
        <f t="shared" si="24"/>
        <v>8.6565318393094266</v>
      </c>
      <c r="AP37" s="883">
        <f t="shared" si="25"/>
        <v>0</v>
      </c>
      <c r="AQ37" s="890">
        <f t="shared" si="9"/>
        <v>53.603909321904496</v>
      </c>
    </row>
    <row r="38" spans="1:43">
      <c r="A38" s="817"/>
      <c r="B38" s="865" t="s">
        <v>1618</v>
      </c>
      <c r="C38" s="883"/>
      <c r="D38" s="883"/>
      <c r="E38" s="883">
        <f>HLOOKUP($B$2,'Consumption Input'!$E$5:$AQ$82,'Consumption Input'!$B43)</f>
        <v>1517.449181</v>
      </c>
      <c r="F38" s="883"/>
      <c r="G38" s="883"/>
      <c r="H38" s="883"/>
      <c r="I38" s="883">
        <f t="shared" si="44"/>
        <v>1517.449181</v>
      </c>
      <c r="J38" s="884"/>
      <c r="K38" s="883">
        <f>HLOOKUP($B$2,NEUConsumption,'Non-Energy Use'!$C$16)</f>
        <v>157.07933803502155</v>
      </c>
      <c r="L38" s="883"/>
      <c r="M38" s="883"/>
      <c r="N38" s="885">
        <f t="shared" si="32"/>
        <v>0</v>
      </c>
      <c r="O38" s="883">
        <f t="shared" si="32"/>
        <v>0</v>
      </c>
      <c r="P38" s="883">
        <f t="shared" si="33"/>
        <v>1360.3698429649785</v>
      </c>
      <c r="Q38" s="883">
        <f t="shared" si="34"/>
        <v>0</v>
      </c>
      <c r="R38" s="883">
        <f t="shared" si="35"/>
        <v>0</v>
      </c>
      <c r="S38" s="886">
        <f t="shared" si="36"/>
        <v>0</v>
      </c>
      <c r="T38" s="883">
        <f t="shared" si="4"/>
        <v>1360.3698429649785</v>
      </c>
      <c r="U38" s="887">
        <f>Factors!D51</f>
        <v>18.195454545454545</v>
      </c>
      <c r="V38" s="885">
        <f t="shared" si="37"/>
        <v>0</v>
      </c>
      <c r="W38" s="883">
        <f t="shared" si="38"/>
        <v>0</v>
      </c>
      <c r="X38" s="883">
        <f t="shared" si="39"/>
        <v>24.752547642676404</v>
      </c>
      <c r="Y38" s="883">
        <f t="shared" si="40"/>
        <v>0</v>
      </c>
      <c r="Z38" s="883">
        <f t="shared" si="41"/>
        <v>0</v>
      </c>
      <c r="AA38" s="883">
        <f t="shared" si="42"/>
        <v>0</v>
      </c>
      <c r="AB38" s="883">
        <f t="shared" si="19"/>
        <v>24.752547642676404</v>
      </c>
      <c r="AC38" s="888">
        <f>Factors!E51</f>
        <v>1</v>
      </c>
      <c r="AD38" s="885">
        <f t="shared" si="45"/>
        <v>0</v>
      </c>
      <c r="AE38" s="883">
        <f t="shared" si="45"/>
        <v>0</v>
      </c>
      <c r="AF38" s="883">
        <f t="shared" si="45"/>
        <v>24.752547642676404</v>
      </c>
      <c r="AG38" s="883">
        <f t="shared" si="45"/>
        <v>0</v>
      </c>
      <c r="AH38" s="883">
        <f t="shared" si="45"/>
        <v>0</v>
      </c>
      <c r="AI38" s="883">
        <f t="shared" si="45"/>
        <v>0</v>
      </c>
      <c r="AJ38" s="889">
        <f t="shared" si="7"/>
        <v>24.752547642676404</v>
      </c>
      <c r="AK38" s="885">
        <f t="shared" si="26"/>
        <v>0</v>
      </c>
      <c r="AL38" s="883">
        <f t="shared" si="21"/>
        <v>0</v>
      </c>
      <c r="AM38" s="883">
        <f t="shared" si="22"/>
        <v>90.759341356480149</v>
      </c>
      <c r="AN38" s="883">
        <f t="shared" si="23"/>
        <v>0</v>
      </c>
      <c r="AO38" s="883">
        <f t="shared" si="24"/>
        <v>0</v>
      </c>
      <c r="AP38" s="883">
        <f t="shared" si="25"/>
        <v>0</v>
      </c>
      <c r="AQ38" s="890">
        <f t="shared" si="9"/>
        <v>90.759341356480149</v>
      </c>
    </row>
    <row r="39" spans="1:43">
      <c r="A39" s="817"/>
      <c r="B39" s="865" t="s">
        <v>1619</v>
      </c>
      <c r="C39" s="883"/>
      <c r="D39" s="883"/>
      <c r="E39" s="883">
        <f>HLOOKUP($B$2,'Consumption Input'!$E$5:$AQ$82,'Consumption Input'!$B44)</f>
        <v>89.153024000000002</v>
      </c>
      <c r="F39" s="883"/>
      <c r="G39" s="883"/>
      <c r="H39" s="883"/>
      <c r="I39" s="883">
        <f t="shared" si="44"/>
        <v>89.153024000000002</v>
      </c>
      <c r="J39" s="884"/>
      <c r="K39" s="883">
        <f>HLOOKUP($B$2,NEUConsumption,'Non-Energy Use'!$C$18)</f>
        <v>89.153024000000002</v>
      </c>
      <c r="L39" s="883"/>
      <c r="M39" s="883"/>
      <c r="N39" s="885">
        <f t="shared" si="32"/>
        <v>0</v>
      </c>
      <c r="O39" s="883">
        <f t="shared" si="32"/>
        <v>0</v>
      </c>
      <c r="P39" s="883">
        <f t="shared" si="33"/>
        <v>0</v>
      </c>
      <c r="Q39" s="883">
        <f t="shared" si="34"/>
        <v>0</v>
      </c>
      <c r="R39" s="883">
        <f t="shared" si="35"/>
        <v>0</v>
      </c>
      <c r="S39" s="886">
        <f t="shared" si="36"/>
        <v>0</v>
      </c>
      <c r="T39" s="883">
        <f t="shared" si="4"/>
        <v>0</v>
      </c>
      <c r="U39" s="887">
        <f>Factors!D37</f>
        <v>19.737389135254986</v>
      </c>
      <c r="V39" s="885">
        <f t="shared" si="37"/>
        <v>0</v>
      </c>
      <c r="W39" s="883">
        <f t="shared" si="38"/>
        <v>0</v>
      </c>
      <c r="X39" s="883">
        <f t="shared" si="39"/>
        <v>0</v>
      </c>
      <c r="Y39" s="883">
        <f t="shared" si="40"/>
        <v>0</v>
      </c>
      <c r="Z39" s="883">
        <f t="shared" si="41"/>
        <v>0</v>
      </c>
      <c r="AA39" s="883">
        <f t="shared" si="42"/>
        <v>0</v>
      </c>
      <c r="AB39" s="883">
        <f t="shared" si="19"/>
        <v>0</v>
      </c>
      <c r="AC39" s="888">
        <f>Factors!E37</f>
        <v>1</v>
      </c>
      <c r="AD39" s="885">
        <f t="shared" si="45"/>
        <v>0</v>
      </c>
      <c r="AE39" s="883">
        <f t="shared" si="45"/>
        <v>0</v>
      </c>
      <c r="AF39" s="883">
        <f t="shared" si="45"/>
        <v>0</v>
      </c>
      <c r="AG39" s="883">
        <f t="shared" si="45"/>
        <v>0</v>
      </c>
      <c r="AH39" s="883">
        <f t="shared" si="45"/>
        <v>0</v>
      </c>
      <c r="AI39" s="883">
        <f t="shared" si="45"/>
        <v>0</v>
      </c>
      <c r="AJ39" s="889">
        <f t="shared" si="7"/>
        <v>0</v>
      </c>
      <c r="AK39" s="885">
        <f t="shared" si="26"/>
        <v>0</v>
      </c>
      <c r="AL39" s="883">
        <f t="shared" si="21"/>
        <v>0</v>
      </c>
      <c r="AM39" s="883">
        <f t="shared" si="22"/>
        <v>0</v>
      </c>
      <c r="AN39" s="883">
        <f t="shared" si="23"/>
        <v>0</v>
      </c>
      <c r="AO39" s="883">
        <f t="shared" si="24"/>
        <v>0</v>
      </c>
      <c r="AP39" s="883">
        <f t="shared" si="25"/>
        <v>0</v>
      </c>
      <c r="AQ39" s="890">
        <f t="shared" si="9"/>
        <v>0</v>
      </c>
    </row>
    <row r="40" spans="1:43">
      <c r="A40" s="817"/>
      <c r="B40" s="865" t="s">
        <v>1620</v>
      </c>
      <c r="C40" s="883"/>
      <c r="D40" s="883"/>
      <c r="E40" s="883">
        <f>HLOOKUP($B$2,'Consumption Input'!$E$5:$AQ$82,'Consumption Input'!$B45)</f>
        <v>0</v>
      </c>
      <c r="F40" s="883"/>
      <c r="G40" s="883"/>
      <c r="H40" s="883"/>
      <c r="I40" s="883">
        <f t="shared" si="44"/>
        <v>0</v>
      </c>
      <c r="J40" s="884"/>
      <c r="K40" s="883"/>
      <c r="L40" s="883"/>
      <c r="M40" s="883"/>
      <c r="N40" s="885">
        <f t="shared" si="32"/>
        <v>0</v>
      </c>
      <c r="O40" s="883">
        <f t="shared" si="32"/>
        <v>0</v>
      </c>
      <c r="P40" s="883">
        <f t="shared" si="33"/>
        <v>0</v>
      </c>
      <c r="Q40" s="883">
        <f t="shared" si="34"/>
        <v>0</v>
      </c>
      <c r="R40" s="883">
        <f t="shared" si="35"/>
        <v>0</v>
      </c>
      <c r="S40" s="886">
        <f t="shared" si="36"/>
        <v>0</v>
      </c>
      <c r="T40" s="883">
        <f t="shared" si="4"/>
        <v>0</v>
      </c>
      <c r="U40" s="887">
        <f>HLOOKUP($B$2,Factors!$J$12:$BE$25,Factors!$H24,FALSE)</f>
        <v>20.305515594827586</v>
      </c>
      <c r="V40" s="885">
        <f t="shared" si="37"/>
        <v>0</v>
      </c>
      <c r="W40" s="883">
        <f t="shared" si="38"/>
        <v>0</v>
      </c>
      <c r="X40" s="883">
        <f t="shared" si="39"/>
        <v>0</v>
      </c>
      <c r="Y40" s="883">
        <f t="shared" si="40"/>
        <v>0</v>
      </c>
      <c r="Z40" s="883">
        <f t="shared" si="41"/>
        <v>0</v>
      </c>
      <c r="AA40" s="883">
        <f t="shared" si="42"/>
        <v>0</v>
      </c>
      <c r="AB40" s="883">
        <f t="shared" si="19"/>
        <v>0</v>
      </c>
      <c r="AC40" s="888">
        <f>Factors!E53</f>
        <v>1</v>
      </c>
      <c r="AD40" s="885">
        <f t="shared" si="45"/>
        <v>0</v>
      </c>
      <c r="AE40" s="883">
        <f t="shared" si="45"/>
        <v>0</v>
      </c>
      <c r="AF40" s="883">
        <f t="shared" si="45"/>
        <v>0</v>
      </c>
      <c r="AG40" s="883">
        <f t="shared" si="45"/>
        <v>0</v>
      </c>
      <c r="AH40" s="883">
        <f t="shared" si="45"/>
        <v>0</v>
      </c>
      <c r="AI40" s="883">
        <f t="shared" si="45"/>
        <v>0</v>
      </c>
      <c r="AJ40" s="889">
        <f t="shared" si="7"/>
        <v>0</v>
      </c>
      <c r="AK40" s="885">
        <f t="shared" si="26"/>
        <v>0</v>
      </c>
      <c r="AL40" s="883">
        <f t="shared" si="21"/>
        <v>0</v>
      </c>
      <c r="AM40" s="883">
        <f t="shared" si="22"/>
        <v>0</v>
      </c>
      <c r="AN40" s="883">
        <f t="shared" si="23"/>
        <v>0</v>
      </c>
      <c r="AO40" s="883">
        <f t="shared" si="24"/>
        <v>0</v>
      </c>
      <c r="AP40" s="883">
        <f t="shared" si="25"/>
        <v>0</v>
      </c>
      <c r="AQ40" s="890">
        <f t="shared" si="9"/>
        <v>0</v>
      </c>
    </row>
    <row r="41" spans="1:43">
      <c r="A41" s="817"/>
      <c r="B41" s="865" t="s">
        <v>1621</v>
      </c>
      <c r="C41" s="883"/>
      <c r="D41" s="883"/>
      <c r="E41" s="883">
        <f>HLOOKUP($B$2,'Consumption Input'!$E$5:$AQ$82,'Consumption Input'!$B46)</f>
        <v>13.038350416</v>
      </c>
      <c r="F41" s="883"/>
      <c r="G41" s="883"/>
      <c r="H41" s="883"/>
      <c r="I41" s="883">
        <f t="shared" si="44"/>
        <v>13.038350416</v>
      </c>
      <c r="J41" s="884"/>
      <c r="K41" s="883">
        <f>HLOOKUP($B$2,NEUConsumption,'Non-Energy Use'!$C$21)</f>
        <v>13.038350416</v>
      </c>
      <c r="L41" s="883"/>
      <c r="M41" s="883"/>
      <c r="N41" s="885">
        <f t="shared" si="32"/>
        <v>0</v>
      </c>
      <c r="O41" s="883">
        <f t="shared" si="32"/>
        <v>0</v>
      </c>
      <c r="P41" s="883">
        <f t="shared" si="33"/>
        <v>0</v>
      </c>
      <c r="Q41" s="883">
        <f t="shared" si="34"/>
        <v>0</v>
      </c>
      <c r="R41" s="883">
        <f t="shared" si="35"/>
        <v>0</v>
      </c>
      <c r="S41" s="886">
        <f t="shared" si="36"/>
        <v>0</v>
      </c>
      <c r="T41" s="883">
        <f t="shared" si="4"/>
        <v>0</v>
      </c>
      <c r="U41" s="887">
        <f>Factors!D55</f>
        <v>19.795754182606267</v>
      </c>
      <c r="V41" s="899">
        <f t="shared" si="37"/>
        <v>0</v>
      </c>
      <c r="W41" s="900">
        <f t="shared" si="38"/>
        <v>0</v>
      </c>
      <c r="X41" s="900">
        <f t="shared" si="39"/>
        <v>0</v>
      </c>
      <c r="Y41" s="900">
        <f t="shared" si="40"/>
        <v>0</v>
      </c>
      <c r="Z41" s="900">
        <f t="shared" si="41"/>
        <v>0</v>
      </c>
      <c r="AA41" s="900">
        <f t="shared" si="42"/>
        <v>0</v>
      </c>
      <c r="AB41" s="883">
        <f t="shared" si="19"/>
        <v>0</v>
      </c>
      <c r="AC41" s="888">
        <f>Factors!E55</f>
        <v>1</v>
      </c>
      <c r="AD41" s="885">
        <f t="shared" si="45"/>
        <v>0</v>
      </c>
      <c r="AE41" s="883">
        <f t="shared" si="45"/>
        <v>0</v>
      </c>
      <c r="AF41" s="883">
        <f t="shared" si="45"/>
        <v>0</v>
      </c>
      <c r="AG41" s="883">
        <f t="shared" si="45"/>
        <v>0</v>
      </c>
      <c r="AH41" s="883">
        <f t="shared" si="45"/>
        <v>0</v>
      </c>
      <c r="AI41" s="883">
        <f t="shared" si="45"/>
        <v>0</v>
      </c>
      <c r="AJ41" s="889">
        <f t="shared" si="7"/>
        <v>0</v>
      </c>
      <c r="AK41" s="885">
        <f t="shared" si="26"/>
        <v>0</v>
      </c>
      <c r="AL41" s="883">
        <f t="shared" si="21"/>
        <v>0</v>
      </c>
      <c r="AM41" s="883">
        <f t="shared" si="22"/>
        <v>0</v>
      </c>
      <c r="AN41" s="883">
        <f t="shared" si="23"/>
        <v>0</v>
      </c>
      <c r="AO41" s="883">
        <f t="shared" si="24"/>
        <v>0</v>
      </c>
      <c r="AP41" s="883">
        <f t="shared" si="25"/>
        <v>0</v>
      </c>
      <c r="AQ41" s="890">
        <f t="shared" si="9"/>
        <v>0</v>
      </c>
    </row>
    <row r="42" spans="1:43" ht="11.1" thickBot="1">
      <c r="A42" s="817"/>
      <c r="B42" s="866" t="s">
        <v>82</v>
      </c>
      <c r="C42" s="917"/>
      <c r="D42" s="917"/>
      <c r="E42" s="917"/>
      <c r="F42" s="917"/>
      <c r="G42" s="917">
        <f>INDEX(Geothermal!$C$6:$AL$10,MATCH("Total",Geothermal!$C$6:$C$10,0),MATCH($B$2,Geothermal!$C$6:$AL$6,0))/Factors!$J$61*Factors!$J$55/BBtuToBtu*BBtuToTBtu</f>
        <v>54.888601747999999</v>
      </c>
      <c r="H42" s="917"/>
      <c r="I42" s="917">
        <f>G42</f>
        <v>54.888601747999999</v>
      </c>
      <c r="J42" s="918"/>
      <c r="K42" s="919"/>
      <c r="L42" s="917"/>
      <c r="M42" s="920"/>
      <c r="N42" s="917">
        <f t="shared" si="32"/>
        <v>0</v>
      </c>
      <c r="O42" s="917">
        <f t="shared" si="32"/>
        <v>0</v>
      </c>
      <c r="P42" s="917">
        <f>E42</f>
        <v>0</v>
      </c>
      <c r="Q42" s="917">
        <f>F42</f>
        <v>0</v>
      </c>
      <c r="R42" s="917">
        <f t="shared" si="35"/>
        <v>54.888601747999999</v>
      </c>
      <c r="S42" s="917">
        <f>H42</f>
        <v>0</v>
      </c>
      <c r="T42" s="917">
        <f t="shared" si="4"/>
        <v>54.888601747999999</v>
      </c>
      <c r="U42" s="921">
        <f>Factors!D56</f>
        <v>2.6974658424810825</v>
      </c>
      <c r="V42" s="917"/>
      <c r="W42" s="917"/>
      <c r="X42" s="917"/>
      <c r="Y42" s="917"/>
      <c r="Z42" s="917">
        <f>INDEX(Geothermal!$C$14:$AJ$18,MATCH("Total",Geothermal!$C$14:$C$18,0),MATCH($B$2,Geothermal!$C$14:$AJ$14,0))/CtoCO2</f>
        <v>0.10378830949491273</v>
      </c>
      <c r="AA42" s="917"/>
      <c r="AB42" s="917">
        <f t="shared" si="19"/>
        <v>0.10378830949491273</v>
      </c>
      <c r="AC42" s="921">
        <f>Factors!$E$56</f>
        <v>1</v>
      </c>
      <c r="AD42" s="917">
        <f t="shared" si="45"/>
        <v>0</v>
      </c>
      <c r="AE42" s="917">
        <f t="shared" si="45"/>
        <v>0</v>
      </c>
      <c r="AF42" s="917">
        <f t="shared" si="45"/>
        <v>0</v>
      </c>
      <c r="AG42" s="917">
        <f t="shared" si="45"/>
        <v>0</v>
      </c>
      <c r="AH42" s="917">
        <f>Z42*$AC42</f>
        <v>0.10378830949491273</v>
      </c>
      <c r="AI42" s="917">
        <f t="shared" si="45"/>
        <v>0</v>
      </c>
      <c r="AJ42" s="920">
        <f t="shared" si="7"/>
        <v>0.10378830949491273</v>
      </c>
      <c r="AK42" s="919">
        <f t="shared" si="26"/>
        <v>0</v>
      </c>
      <c r="AL42" s="917">
        <f t="shared" si="21"/>
        <v>0</v>
      </c>
      <c r="AM42" s="917">
        <f t="shared" si="22"/>
        <v>0</v>
      </c>
      <c r="AN42" s="917">
        <f t="shared" si="23"/>
        <v>0</v>
      </c>
      <c r="AO42" s="917">
        <f>AH42*CtoCO2</f>
        <v>0.38055713481468001</v>
      </c>
      <c r="AP42" s="917">
        <f>AI42*CtoCO2</f>
        <v>0</v>
      </c>
      <c r="AQ42" s="920">
        <f>SUM(AK42:AP42)</f>
        <v>0.38055713481468001</v>
      </c>
    </row>
    <row r="43" spans="1:43" ht="11.1" thickBot="1">
      <c r="A43" s="817"/>
      <c r="B43" s="867" t="s">
        <v>1740</v>
      </c>
      <c r="C43" s="922">
        <f>C8+C17+C18+C42</f>
        <v>6038.3386301349019</v>
      </c>
      <c r="D43" s="922">
        <f>D8+D17+D18+D42</f>
        <v>4380.2999640186235</v>
      </c>
      <c r="E43" s="922">
        <f>E8+E17+E18+E42</f>
        <v>19015.983945535238</v>
      </c>
      <c r="F43" s="922">
        <f>F8+F17+F18+F42</f>
        <v>26604.699580575718</v>
      </c>
      <c r="G43" s="922">
        <f>G8+G17+G18+G42</f>
        <v>21643.431601748001</v>
      </c>
      <c r="H43" s="922">
        <f>H16+H17+H18+H42</f>
        <v>340.29417225378836</v>
      </c>
      <c r="I43" s="922">
        <f>SUM(C43:H43)</f>
        <v>78023.047894266274</v>
      </c>
      <c r="J43" s="923">
        <f t="shared" ref="J43:S43" si="46">J8+J17+J18+J42</f>
        <v>1330.7510141728378</v>
      </c>
      <c r="K43" s="924">
        <f t="shared" si="46"/>
        <v>5945.1166566875845</v>
      </c>
      <c r="L43" s="922">
        <f t="shared" si="46"/>
        <v>125.386</v>
      </c>
      <c r="M43" s="925">
        <f t="shared" si="46"/>
        <v>1.0453579184999999</v>
      </c>
      <c r="N43" s="922">
        <f t="shared" si="46"/>
        <v>6038.3386301349019</v>
      </c>
      <c r="O43" s="922">
        <f t="shared" si="46"/>
        <v>4380.2999640186235</v>
      </c>
      <c r="P43" s="922">
        <f t="shared" si="46"/>
        <v>13079.755918108025</v>
      </c>
      <c r="Q43" s="922">
        <f t="shared" si="46"/>
        <v>25148.562566402878</v>
      </c>
      <c r="R43" s="922">
        <f t="shared" si="46"/>
        <v>21643.431601748001</v>
      </c>
      <c r="S43" s="922">
        <f t="shared" si="46"/>
        <v>339.24881433528833</v>
      </c>
      <c r="T43" s="922">
        <f t="shared" si="4"/>
        <v>70629.637494747716</v>
      </c>
      <c r="U43" s="926" t="s">
        <v>1731</v>
      </c>
      <c r="V43" s="922">
        <f t="shared" ref="V43:AA43" si="47">V8+V17+V18+V42</f>
        <v>90.84540829654884</v>
      </c>
      <c r="W43" s="922">
        <f t="shared" si="47"/>
        <v>66.740186404680358</v>
      </c>
      <c r="X43" s="922">
        <f t="shared" si="47"/>
        <v>211.59791825282059</v>
      </c>
      <c r="Y43" s="922">
        <f t="shared" si="47"/>
        <v>485.66268935687583</v>
      </c>
      <c r="Z43" s="922">
        <f t="shared" si="47"/>
        <v>417.7309302002659</v>
      </c>
      <c r="AA43" s="922">
        <f t="shared" si="47"/>
        <v>6.4818142686425908</v>
      </c>
      <c r="AB43" s="922">
        <f t="shared" si="19"/>
        <v>1279.0589467798341</v>
      </c>
      <c r="AC43" s="926" t="s">
        <v>1731</v>
      </c>
      <c r="AD43" s="922">
        <f t="shared" ref="AD43:AQ43" si="48">AD8+AD17+AD18+AD42</f>
        <v>90.84540829654884</v>
      </c>
      <c r="AE43" s="922">
        <f t="shared" si="48"/>
        <v>66.740186404680358</v>
      </c>
      <c r="AF43" s="922">
        <f t="shared" si="48"/>
        <v>211.59791825282059</v>
      </c>
      <c r="AG43" s="922">
        <f t="shared" si="48"/>
        <v>485.66268935687583</v>
      </c>
      <c r="AH43" s="922">
        <f t="shared" si="48"/>
        <v>417.7309302002659</v>
      </c>
      <c r="AI43" s="922">
        <f t="shared" si="48"/>
        <v>6.4818142686425908</v>
      </c>
      <c r="AJ43" s="925">
        <f t="shared" si="48"/>
        <v>1279.0589467798338</v>
      </c>
      <c r="AK43" s="922">
        <f t="shared" si="48"/>
        <v>333.09983042067904</v>
      </c>
      <c r="AL43" s="922">
        <f t="shared" si="48"/>
        <v>244.71401681716131</v>
      </c>
      <c r="AM43" s="922">
        <f t="shared" si="48"/>
        <v>775.85903359367535</v>
      </c>
      <c r="AN43" s="922">
        <f t="shared" si="48"/>
        <v>1780.7631943085448</v>
      </c>
      <c r="AO43" s="922">
        <f t="shared" si="48"/>
        <v>1531.6800774009748</v>
      </c>
      <c r="AP43" s="922">
        <f t="shared" si="48"/>
        <v>23.766652318356165</v>
      </c>
      <c r="AQ43" s="925">
        <f t="shared" si="48"/>
        <v>4689.8828048593923</v>
      </c>
    </row>
    <row r="44" spans="1:43">
      <c r="A44" s="817"/>
      <c r="B44" s="817"/>
      <c r="C44" s="817"/>
      <c r="D44" s="817"/>
      <c r="E44" s="817"/>
      <c r="F44" s="817"/>
      <c r="G44" s="817"/>
      <c r="H44" s="817"/>
      <c r="I44" s="817"/>
      <c r="J44" s="817"/>
      <c r="K44" s="817"/>
      <c r="L44" s="817"/>
      <c r="M44" s="817"/>
      <c r="N44" s="868"/>
      <c r="O44" s="868"/>
      <c r="P44" s="868"/>
      <c r="Q44" s="868"/>
      <c r="R44" s="868"/>
      <c r="S44" s="868"/>
      <c r="T44" s="817"/>
      <c r="U44" s="817"/>
      <c r="V44" s="869"/>
      <c r="W44" s="869"/>
      <c r="X44" s="869"/>
      <c r="Y44" s="869"/>
      <c r="Z44" s="869"/>
      <c r="AA44" s="869"/>
      <c r="AB44" s="870" t="s">
        <v>1741</v>
      </c>
      <c r="AC44" s="817">
        <f>Factors!$E$58</f>
        <v>1</v>
      </c>
      <c r="AD44" s="817"/>
      <c r="AE44" s="817"/>
      <c r="AF44" s="817"/>
      <c r="AG44" s="817"/>
      <c r="AH44" s="817"/>
      <c r="AI44" s="817"/>
      <c r="AJ44" s="817"/>
      <c r="AK44" s="817"/>
      <c r="AL44" s="817"/>
      <c r="AM44" s="817"/>
      <c r="AN44" s="817"/>
      <c r="AO44" s="817"/>
      <c r="AP44" s="817"/>
      <c r="AQ44" s="817"/>
    </row>
    <row r="45" spans="1:43" s="1061" customFormat="1" ht="9.9499999999999993">
      <c r="N45" s="1062"/>
      <c r="O45" s="1062"/>
      <c r="P45" s="1062"/>
      <c r="Q45" s="1062"/>
      <c r="R45" s="1062"/>
      <c r="S45" s="1062"/>
      <c r="V45" s="1063"/>
      <c r="W45" s="1063"/>
      <c r="X45" s="1063"/>
      <c r="Y45" s="1063"/>
      <c r="Z45" s="1063"/>
      <c r="AA45" s="1063"/>
      <c r="AB45" s="1063"/>
    </row>
    <row r="46" spans="1:43" s="1061" customFormat="1" ht="9.9499999999999993">
      <c r="N46" s="1062"/>
      <c r="O46" s="1062"/>
      <c r="P46" s="1062"/>
      <c r="Q46" s="1062"/>
      <c r="R46" s="1062"/>
      <c r="S46" s="1062"/>
      <c r="V46" s="1063"/>
      <c r="W46" s="1063"/>
      <c r="X46" s="1063"/>
      <c r="Y46" s="1063"/>
      <c r="Z46" s="1063"/>
      <c r="AA46" s="1063"/>
      <c r="AB46" s="1063"/>
    </row>
    <row r="47" spans="1:43" s="1061" customFormat="1" ht="9.9499999999999993">
      <c r="N47" s="1062"/>
      <c r="O47" s="1062"/>
      <c r="P47" s="1062"/>
      <c r="Q47" s="1062"/>
      <c r="R47" s="1062"/>
      <c r="S47" s="1062"/>
      <c r="V47" s="1063"/>
      <c r="W47" s="1063"/>
      <c r="X47" s="1063"/>
      <c r="Y47" s="1063"/>
      <c r="Z47" s="1063"/>
      <c r="AA47" s="1063"/>
      <c r="AB47" s="1063"/>
    </row>
    <row r="48" spans="1:43" s="1061" customFormat="1" ht="9.9499999999999993">
      <c r="N48" s="1062"/>
      <c r="O48" s="1062"/>
      <c r="P48" s="1062"/>
      <c r="Q48" s="1062"/>
      <c r="R48" s="1062"/>
      <c r="S48" s="1062"/>
      <c r="V48" s="1063"/>
      <c r="W48" s="1063"/>
      <c r="X48" s="1063"/>
      <c r="Y48" s="1063"/>
      <c r="Z48" s="1063"/>
      <c r="AA48" s="1063"/>
      <c r="AB48" s="1063"/>
    </row>
    <row r="49" spans="14:28" s="1061" customFormat="1" ht="9.9499999999999993">
      <c r="N49" s="1062"/>
      <c r="O49" s="1062"/>
      <c r="P49" s="1062"/>
      <c r="Q49" s="1062"/>
      <c r="R49" s="1062"/>
      <c r="S49" s="1062"/>
      <c r="V49" s="1063"/>
      <c r="W49" s="1063"/>
      <c r="X49" s="1063"/>
      <c r="Y49" s="1063"/>
      <c r="Z49" s="1063"/>
      <c r="AA49" s="1063"/>
      <c r="AB49" s="1063"/>
    </row>
    <row r="50" spans="14:28" s="1061" customFormat="1" ht="9.9499999999999993">
      <c r="V50" s="1063"/>
      <c r="W50" s="1063"/>
      <c r="X50" s="1063"/>
      <c r="Y50" s="1063"/>
      <c r="Z50" s="1063"/>
      <c r="AA50" s="1063"/>
      <c r="AB50" s="1063"/>
    </row>
    <row r="51" spans="14:28" s="1061" customFormat="1" ht="9.9499999999999993">
      <c r="V51" s="1063"/>
      <c r="W51" s="1063"/>
      <c r="X51" s="1063"/>
      <c r="Y51" s="1063"/>
      <c r="Z51" s="1063"/>
      <c r="AA51" s="1063"/>
      <c r="AB51" s="1063"/>
    </row>
    <row r="52" spans="14:28" s="1061" customFormat="1" ht="9.9499999999999993">
      <c r="V52" s="1063"/>
      <c r="W52" s="1063"/>
      <c r="X52" s="1063"/>
      <c r="Y52" s="1063"/>
      <c r="Z52" s="1063"/>
      <c r="AA52" s="1063"/>
      <c r="AB52" s="1063"/>
    </row>
    <row r="53" spans="14:28" s="1061" customFormat="1" ht="9.9499999999999993">
      <c r="V53" s="1063"/>
      <c r="W53" s="1063"/>
      <c r="X53" s="1063"/>
      <c r="Y53" s="1063"/>
      <c r="Z53" s="1063"/>
      <c r="AA53" s="1063"/>
      <c r="AB53" s="1063"/>
    </row>
    <row r="54" spans="14:28" s="1061" customFormat="1" ht="9.9499999999999993">
      <c r="V54" s="1063"/>
      <c r="W54" s="1063"/>
      <c r="X54" s="1063"/>
      <c r="Y54" s="1063"/>
      <c r="Z54" s="1063"/>
      <c r="AA54" s="1063"/>
      <c r="AB54" s="1063"/>
    </row>
    <row r="55" spans="14:28" customFormat="1" ht="9.9499999999999993">
      <c r="V55" s="207"/>
      <c r="W55" s="207"/>
      <c r="X55" s="207"/>
      <c r="Y55" s="207"/>
      <c r="Z55" s="207"/>
      <c r="AA55" s="207"/>
      <c r="AB55" s="207"/>
    </row>
    <row r="56" spans="14:28" customFormat="1" ht="9.9499999999999993">
      <c r="V56" s="207"/>
      <c r="W56" s="207"/>
      <c r="X56" s="207"/>
      <c r="Y56" s="207"/>
      <c r="Z56" s="207"/>
      <c r="AA56" s="207"/>
      <c r="AB56" s="207"/>
    </row>
    <row r="57" spans="14:28" customFormat="1" ht="9.9499999999999993">
      <c r="V57" s="207"/>
      <c r="W57" s="207"/>
      <c r="X57" s="207"/>
      <c r="Y57" s="207"/>
      <c r="Z57" s="207"/>
      <c r="AA57" s="207"/>
      <c r="AB57" s="207"/>
    </row>
    <row r="58" spans="14:28" customFormat="1" ht="9.9499999999999993">
      <c r="V58" s="207"/>
      <c r="W58" s="207"/>
      <c r="X58" s="207"/>
      <c r="Y58" s="207"/>
      <c r="Z58" s="207"/>
      <c r="AA58" s="207"/>
      <c r="AB58" s="207"/>
    </row>
    <row r="59" spans="14:28" customFormat="1" ht="9.9499999999999993">
      <c r="V59" s="207"/>
      <c r="W59" s="207"/>
      <c r="X59" s="207"/>
      <c r="Y59" s="207"/>
      <c r="Z59" s="207"/>
      <c r="AA59" s="207"/>
      <c r="AB59" s="207"/>
    </row>
    <row r="60" spans="14:28" customFormat="1" ht="9.9499999999999993">
      <c r="V60" s="207"/>
      <c r="W60" s="207"/>
      <c r="X60" s="207"/>
      <c r="Y60" s="207"/>
      <c r="Z60" s="207"/>
      <c r="AA60" s="207"/>
      <c r="AB60" s="207"/>
    </row>
    <row r="61" spans="14:28" customFormat="1" ht="9.9499999999999993">
      <c r="V61" s="207"/>
      <c r="W61" s="207"/>
      <c r="X61" s="207"/>
      <c r="Y61" s="207"/>
      <c r="Z61" s="207"/>
      <c r="AA61" s="207"/>
      <c r="AB61" s="207"/>
    </row>
    <row r="62" spans="14:28" customFormat="1" ht="9.9499999999999993">
      <c r="V62" s="207"/>
      <c r="W62" s="207"/>
      <c r="X62" s="207"/>
      <c r="Y62" s="207"/>
      <c r="Z62" s="207"/>
      <c r="AA62" s="207"/>
      <c r="AB62" s="207"/>
    </row>
    <row r="63" spans="14:28" customFormat="1" ht="9.9499999999999993">
      <c r="V63" s="207"/>
      <c r="W63" s="207"/>
      <c r="X63" s="207"/>
      <c r="Y63" s="207"/>
      <c r="Z63" s="207"/>
      <c r="AA63" s="207"/>
      <c r="AB63" s="207"/>
    </row>
    <row r="64" spans="14:28" customFormat="1" ht="9.9499999999999993">
      <c r="V64" s="207"/>
      <c r="W64" s="207"/>
      <c r="X64" s="207"/>
      <c r="Y64" s="207"/>
      <c r="Z64" s="207"/>
      <c r="AA64" s="207"/>
      <c r="AB64" s="207"/>
    </row>
    <row r="65" spans="22:28" customFormat="1" ht="9.9499999999999993">
      <c r="V65" s="207"/>
      <c r="W65" s="207"/>
      <c r="X65" s="207"/>
      <c r="Y65" s="207"/>
      <c r="Z65" s="207"/>
      <c r="AA65" s="207"/>
      <c r="AB65" s="207"/>
    </row>
    <row r="66" spans="22:28" customFormat="1" ht="9.9499999999999993">
      <c r="V66" s="207"/>
      <c r="W66" s="207"/>
      <c r="X66" s="207"/>
      <c r="Y66" s="207"/>
      <c r="Z66" s="207"/>
      <c r="AA66" s="207"/>
      <c r="AB66" s="207"/>
    </row>
    <row r="67" spans="22:28" customFormat="1" ht="9.9499999999999993">
      <c r="V67" s="207"/>
      <c r="W67" s="207"/>
      <c r="X67" s="207"/>
      <c r="Y67" s="207"/>
      <c r="Z67" s="207"/>
      <c r="AA67" s="207"/>
      <c r="AB67" s="207"/>
    </row>
    <row r="68" spans="22:28" customFormat="1" ht="9.9499999999999993">
      <c r="V68" s="207"/>
      <c r="W68" s="207"/>
      <c r="X68" s="207"/>
      <c r="Y68" s="207"/>
      <c r="Z68" s="207"/>
      <c r="AA68" s="207"/>
      <c r="AB68" s="207"/>
    </row>
    <row r="69" spans="22:28" customFormat="1" ht="9.9499999999999993">
      <c r="V69" s="207"/>
      <c r="W69" s="207"/>
      <c r="X69" s="207"/>
      <c r="Y69" s="207"/>
      <c r="Z69" s="207"/>
      <c r="AA69" s="207"/>
      <c r="AB69" s="207"/>
    </row>
    <row r="70" spans="22:28" customFormat="1" ht="9.9499999999999993">
      <c r="V70" s="207"/>
      <c r="W70" s="207"/>
      <c r="X70" s="207"/>
      <c r="Y70" s="207"/>
      <c r="Z70" s="207"/>
      <c r="AA70" s="207"/>
      <c r="AB70" s="207"/>
    </row>
    <row r="71" spans="22:28" customFormat="1" ht="9.9499999999999993">
      <c r="V71" s="207"/>
      <c r="W71" s="207"/>
      <c r="X71" s="207"/>
      <c r="Y71" s="207"/>
      <c r="Z71" s="207"/>
      <c r="AA71" s="207"/>
      <c r="AB71" s="207"/>
    </row>
    <row r="72" spans="22:28" customFormat="1" ht="9.9499999999999993">
      <c r="V72" s="207"/>
      <c r="W72" s="207"/>
      <c r="X72" s="207"/>
      <c r="Y72" s="207"/>
      <c r="Z72" s="207"/>
      <c r="AA72" s="207"/>
      <c r="AB72" s="207"/>
    </row>
    <row r="73" spans="22:28" customFormat="1" ht="9.9499999999999993">
      <c r="V73" s="207"/>
      <c r="W73" s="207"/>
      <c r="X73" s="207"/>
      <c r="Y73" s="207"/>
      <c r="Z73" s="207"/>
      <c r="AA73" s="207"/>
      <c r="AB73" s="207"/>
    </row>
    <row r="74" spans="22:28" customFormat="1" ht="9.9499999999999993">
      <c r="V74" s="207"/>
      <c r="W74" s="207"/>
      <c r="X74" s="207"/>
      <c r="Y74" s="207"/>
      <c r="Z74" s="207"/>
      <c r="AA74" s="207"/>
      <c r="AB74" s="207"/>
    </row>
    <row r="75" spans="22:28" customFormat="1" ht="9.9499999999999993">
      <c r="V75" s="207"/>
      <c r="W75" s="207"/>
      <c r="X75" s="207"/>
      <c r="Y75" s="207"/>
      <c r="Z75" s="207"/>
      <c r="AA75" s="207"/>
      <c r="AB75" s="207"/>
    </row>
    <row r="76" spans="22:28" customFormat="1" ht="9.9499999999999993">
      <c r="V76" s="207"/>
      <c r="W76" s="207"/>
      <c r="X76" s="207"/>
      <c r="Y76" s="207"/>
      <c r="Z76" s="207"/>
      <c r="AA76" s="207"/>
      <c r="AB76" s="207"/>
    </row>
    <row r="77" spans="22:28" customFormat="1" ht="9.9499999999999993">
      <c r="V77" s="207"/>
      <c r="W77" s="207"/>
      <c r="X77" s="207"/>
      <c r="Y77" s="207"/>
      <c r="Z77" s="207"/>
      <c r="AA77" s="207"/>
      <c r="AB77" s="207"/>
    </row>
    <row r="78" spans="22:28" customFormat="1" ht="9.9499999999999993">
      <c r="V78" s="207"/>
      <c r="W78" s="207"/>
      <c r="X78" s="207"/>
      <c r="Y78" s="207"/>
      <c r="Z78" s="207"/>
      <c r="AA78" s="207"/>
      <c r="AB78" s="207"/>
    </row>
    <row r="79" spans="22:28" customFormat="1" ht="9.9499999999999993">
      <c r="V79" s="207"/>
      <c r="W79" s="207"/>
      <c r="X79" s="207"/>
      <c r="Y79" s="207"/>
      <c r="Z79" s="207"/>
      <c r="AA79" s="207"/>
      <c r="AB79" s="207"/>
    </row>
    <row r="80" spans="22:28" customFormat="1" ht="9.9499999999999993">
      <c r="V80" s="207"/>
      <c r="W80" s="207"/>
      <c r="X80" s="207"/>
      <c r="Y80" s="207"/>
      <c r="Z80" s="207"/>
      <c r="AA80" s="207"/>
      <c r="AB80" s="207"/>
    </row>
    <row r="81" spans="22:28" customFormat="1" ht="9.9499999999999993">
      <c r="V81" s="207"/>
      <c r="W81" s="207"/>
      <c r="X81" s="207"/>
      <c r="Y81" s="207"/>
      <c r="Z81" s="207"/>
      <c r="AA81" s="207"/>
      <c r="AB81" s="207"/>
    </row>
    <row r="82" spans="22:28" customFormat="1" ht="9.9499999999999993">
      <c r="V82" s="207"/>
      <c r="W82" s="207"/>
      <c r="X82" s="207"/>
      <c r="Y82" s="207"/>
      <c r="Z82" s="207"/>
      <c r="AA82" s="207"/>
      <c r="AB82" s="207"/>
    </row>
    <row r="83" spans="22:28" customFormat="1" ht="9.9499999999999993">
      <c r="V83" s="207"/>
      <c r="W83" s="207"/>
      <c r="X83" s="207"/>
      <c r="Y83" s="207"/>
      <c r="Z83" s="207"/>
      <c r="AA83" s="207"/>
      <c r="AB83" s="207"/>
    </row>
    <row r="84" spans="22:28" customFormat="1" ht="9.9499999999999993">
      <c r="V84" s="207"/>
      <c r="W84" s="207"/>
      <c r="X84" s="207"/>
      <c r="Y84" s="207"/>
      <c r="Z84" s="207"/>
      <c r="AA84" s="207"/>
      <c r="AB84" s="207"/>
    </row>
    <row r="85" spans="22:28" customFormat="1" ht="9.9499999999999993">
      <c r="V85" s="207"/>
      <c r="W85" s="207"/>
      <c r="X85" s="207"/>
      <c r="Y85" s="207"/>
      <c r="Z85" s="207"/>
      <c r="AA85" s="207"/>
      <c r="AB85" s="207"/>
    </row>
    <row r="86" spans="22:28" customFormat="1" ht="9.9499999999999993">
      <c r="V86" s="207"/>
      <c r="W86" s="207"/>
      <c r="X86" s="207"/>
      <c r="Y86" s="207"/>
      <c r="Z86" s="207"/>
      <c r="AA86" s="207"/>
      <c r="AB86" s="207"/>
    </row>
    <row r="87" spans="22:28" customFormat="1" ht="9.9499999999999993">
      <c r="V87" s="207"/>
      <c r="W87" s="207"/>
      <c r="X87" s="207"/>
      <c r="Y87" s="207"/>
      <c r="Z87" s="207"/>
      <c r="AA87" s="207"/>
      <c r="AB87" s="207"/>
    </row>
    <row r="88" spans="22:28" customFormat="1" ht="9.9499999999999993">
      <c r="V88" s="207"/>
      <c r="W88" s="207"/>
      <c r="X88" s="207"/>
      <c r="Y88" s="207"/>
      <c r="Z88" s="207"/>
      <c r="AA88" s="207"/>
      <c r="AB88" s="207"/>
    </row>
    <row r="89" spans="22:28" customFormat="1" ht="9.9499999999999993">
      <c r="V89" s="207"/>
      <c r="W89" s="207"/>
      <c r="X89" s="207"/>
      <c r="Y89" s="207"/>
      <c r="Z89" s="207"/>
      <c r="AA89" s="207"/>
      <c r="AB89" s="207"/>
    </row>
    <row r="90" spans="22:28" customFormat="1" ht="9.9499999999999993">
      <c r="V90" s="207"/>
      <c r="W90" s="207"/>
      <c r="X90" s="207"/>
      <c r="Y90" s="207"/>
      <c r="Z90" s="207"/>
      <c r="AA90" s="207"/>
      <c r="AB90" s="207"/>
    </row>
    <row r="91" spans="22:28" customFormat="1" ht="9.9499999999999993">
      <c r="V91" s="207"/>
      <c r="W91" s="207"/>
      <c r="X91" s="207"/>
      <c r="Y91" s="207"/>
      <c r="Z91" s="207"/>
      <c r="AA91" s="207"/>
      <c r="AB91" s="207"/>
    </row>
    <row r="92" spans="22:28" customFormat="1" ht="9.9499999999999993">
      <c r="V92" s="207"/>
      <c r="W92" s="207"/>
      <c r="X92" s="207"/>
      <c r="Y92" s="207"/>
      <c r="Z92" s="207"/>
      <c r="AA92" s="207"/>
      <c r="AB92" s="207"/>
    </row>
    <row r="93" spans="22:28" customFormat="1" ht="9.9499999999999993">
      <c r="V93" s="207"/>
      <c r="W93" s="207"/>
      <c r="X93" s="207"/>
      <c r="Y93" s="207"/>
      <c r="Z93" s="207"/>
      <c r="AA93" s="207"/>
      <c r="AB93" s="207"/>
    </row>
    <row r="94" spans="22:28" customFormat="1" ht="9.9499999999999993">
      <c r="V94" s="207"/>
      <c r="W94" s="207"/>
      <c r="X94" s="207"/>
      <c r="Y94" s="207"/>
      <c r="Z94" s="207"/>
      <c r="AA94" s="207"/>
      <c r="AB94" s="207"/>
    </row>
    <row r="95" spans="22:28" customFormat="1" ht="9.9499999999999993">
      <c r="V95" s="207"/>
      <c r="W95" s="207"/>
      <c r="X95" s="207"/>
      <c r="Y95" s="207"/>
      <c r="Z95" s="207"/>
      <c r="AA95" s="207"/>
      <c r="AB95" s="207"/>
    </row>
    <row r="96" spans="22:28" customFormat="1" ht="9.9499999999999993">
      <c r="V96" s="207"/>
      <c r="W96" s="207"/>
      <c r="X96" s="207"/>
      <c r="Y96" s="207"/>
      <c r="Z96" s="207"/>
      <c r="AA96" s="207"/>
      <c r="AB96" s="207"/>
    </row>
    <row r="97" spans="22:28" customFormat="1" ht="9.9499999999999993">
      <c r="V97" s="207"/>
      <c r="W97" s="207"/>
      <c r="X97" s="207"/>
      <c r="Y97" s="207"/>
      <c r="Z97" s="207"/>
      <c r="AA97" s="207"/>
      <c r="AB97" s="207"/>
    </row>
    <row r="98" spans="22:28" customFormat="1" ht="9.9499999999999993">
      <c r="V98" s="207"/>
      <c r="W98" s="207"/>
      <c r="X98" s="207"/>
      <c r="Y98" s="207"/>
      <c r="Z98" s="207"/>
      <c r="AA98" s="207"/>
      <c r="AB98" s="207"/>
    </row>
    <row r="99" spans="22:28" customFormat="1" ht="9.9499999999999993">
      <c r="V99" s="207"/>
      <c r="W99" s="207"/>
      <c r="X99" s="207"/>
      <c r="Y99" s="207"/>
      <c r="Z99" s="207"/>
      <c r="AA99" s="207"/>
      <c r="AB99" s="207"/>
    </row>
    <row r="100" spans="22:28" customFormat="1" ht="9.9499999999999993">
      <c r="V100" s="207"/>
      <c r="W100" s="207"/>
      <c r="X100" s="207"/>
      <c r="Y100" s="207"/>
      <c r="Z100" s="207"/>
      <c r="AA100" s="207"/>
      <c r="AB100" s="207"/>
    </row>
    <row r="101" spans="22:28" customFormat="1" ht="9.9499999999999993">
      <c r="V101" s="207"/>
      <c r="W101" s="207"/>
      <c r="X101" s="207"/>
      <c r="Y101" s="207"/>
      <c r="Z101" s="207"/>
      <c r="AA101" s="207"/>
      <c r="AB101" s="207"/>
    </row>
    <row r="102" spans="22:28" customFormat="1" ht="9.9499999999999993">
      <c r="V102" s="207"/>
      <c r="W102" s="207"/>
      <c r="X102" s="207"/>
      <c r="Y102" s="207"/>
      <c r="Z102" s="207"/>
      <c r="AA102" s="207"/>
      <c r="AB102" s="207"/>
    </row>
    <row r="103" spans="22:28" customFormat="1" ht="9.9499999999999993">
      <c r="V103" s="207"/>
      <c r="W103" s="207"/>
      <c r="X103" s="207"/>
      <c r="Y103" s="207"/>
      <c r="Z103" s="207"/>
      <c r="AA103" s="207"/>
      <c r="AB103" s="207"/>
    </row>
    <row r="104" spans="22:28" customFormat="1" ht="9.9499999999999993">
      <c r="V104" s="207"/>
      <c r="W104" s="207"/>
      <c r="X104" s="207"/>
      <c r="Y104" s="207"/>
      <c r="Z104" s="207"/>
      <c r="AA104" s="207"/>
      <c r="AB104" s="207"/>
    </row>
    <row r="105" spans="22:28" customFormat="1" ht="9.9499999999999993">
      <c r="V105" s="207"/>
      <c r="W105" s="207"/>
      <c r="X105" s="207"/>
      <c r="Y105" s="207"/>
      <c r="Z105" s="207"/>
      <c r="AA105" s="207"/>
      <c r="AB105" s="207"/>
    </row>
    <row r="106" spans="22:28" customFormat="1" ht="9.9499999999999993">
      <c r="V106" s="207"/>
      <c r="W106" s="207"/>
      <c r="X106" s="207"/>
      <c r="Y106" s="207"/>
      <c r="Z106" s="207"/>
      <c r="AA106" s="207"/>
      <c r="AB106" s="207"/>
    </row>
    <row r="107" spans="22:28" customFormat="1" ht="9.9499999999999993">
      <c r="V107" s="207"/>
      <c r="W107" s="207"/>
      <c r="X107" s="207"/>
      <c r="Y107" s="207"/>
      <c r="Z107" s="207"/>
      <c r="AA107" s="207"/>
      <c r="AB107" s="207"/>
    </row>
    <row r="108" spans="22:28" customFormat="1" ht="9.9499999999999993">
      <c r="V108" s="207"/>
      <c r="W108" s="207"/>
      <c r="X108" s="207"/>
      <c r="Y108" s="207"/>
      <c r="Z108" s="207"/>
      <c r="AA108" s="207"/>
      <c r="AB108" s="207"/>
    </row>
    <row r="109" spans="22:28" customFormat="1" ht="9.9499999999999993">
      <c r="V109" s="207"/>
      <c r="W109" s="207"/>
      <c r="X109" s="207"/>
      <c r="Y109" s="207"/>
      <c r="Z109" s="207"/>
      <c r="AA109" s="207"/>
      <c r="AB109" s="207"/>
    </row>
    <row r="110" spans="22:28" customFormat="1" ht="9.9499999999999993">
      <c r="V110" s="207"/>
      <c r="W110" s="207"/>
      <c r="X110" s="207"/>
      <c r="Y110" s="207"/>
      <c r="Z110" s="207"/>
      <c r="AA110" s="207"/>
      <c r="AB110" s="207"/>
    </row>
    <row r="111" spans="22:28" customFormat="1" ht="9.9499999999999993">
      <c r="V111" s="207"/>
      <c r="W111" s="207"/>
      <c r="X111" s="207"/>
      <c r="Y111" s="207"/>
      <c r="Z111" s="207"/>
      <c r="AA111" s="207"/>
      <c r="AB111" s="207"/>
    </row>
    <row r="112" spans="22:28" customFormat="1" ht="9.9499999999999993">
      <c r="V112" s="207"/>
      <c r="W112" s="207"/>
      <c r="X112" s="207"/>
      <c r="Y112" s="207"/>
      <c r="Z112" s="207"/>
      <c r="AA112" s="207"/>
      <c r="AB112" s="207"/>
    </row>
    <row r="113" spans="22:28" customFormat="1" ht="9.9499999999999993">
      <c r="V113" s="207"/>
      <c r="W113" s="207"/>
      <c r="X113" s="207"/>
      <c r="Y113" s="207"/>
      <c r="Z113" s="207"/>
      <c r="AA113" s="207"/>
      <c r="AB113" s="207"/>
    </row>
    <row r="114" spans="22:28" customFormat="1" ht="9.9499999999999993">
      <c r="V114" s="207"/>
      <c r="W114" s="207"/>
      <c r="X114" s="207"/>
      <c r="Y114" s="207"/>
      <c r="Z114" s="207"/>
      <c r="AA114" s="207"/>
      <c r="AB114" s="207"/>
    </row>
    <row r="115" spans="22:28" customFormat="1" ht="9.9499999999999993">
      <c r="V115" s="207"/>
      <c r="W115" s="207"/>
      <c r="X115" s="207"/>
      <c r="Y115" s="207"/>
      <c r="Z115" s="207"/>
      <c r="AA115" s="207"/>
      <c r="AB115" s="207"/>
    </row>
    <row r="116" spans="22:28" customFormat="1" ht="9.9499999999999993">
      <c r="V116" s="207"/>
      <c r="W116" s="207"/>
      <c r="X116" s="207"/>
      <c r="Y116" s="207"/>
      <c r="Z116" s="207"/>
      <c r="AA116" s="207"/>
      <c r="AB116" s="207"/>
    </row>
    <row r="117" spans="22:28" customFormat="1" ht="9.9499999999999993">
      <c r="V117" s="207"/>
      <c r="W117" s="207"/>
      <c r="X117" s="207"/>
      <c r="Y117" s="207"/>
      <c r="Z117" s="207"/>
      <c r="AA117" s="207"/>
      <c r="AB117" s="207"/>
    </row>
    <row r="118" spans="22:28" customFormat="1" ht="9.9499999999999993">
      <c r="V118" s="207"/>
      <c r="W118" s="207"/>
      <c r="X118" s="207"/>
      <c r="Y118" s="207"/>
      <c r="Z118" s="207"/>
      <c r="AA118" s="207"/>
      <c r="AB118" s="207"/>
    </row>
    <row r="119" spans="22:28" customFormat="1" ht="9.9499999999999993">
      <c r="V119" s="207"/>
      <c r="W119" s="207"/>
      <c r="X119" s="207"/>
      <c r="Y119" s="207"/>
      <c r="Z119" s="207"/>
      <c r="AA119" s="207"/>
      <c r="AB119" s="207"/>
    </row>
    <row r="120" spans="22:28" customFormat="1" ht="9.9499999999999993">
      <c r="V120" s="207"/>
      <c r="W120" s="207"/>
      <c r="X120" s="207"/>
      <c r="Y120" s="207"/>
      <c r="Z120" s="207"/>
      <c r="AA120" s="207"/>
      <c r="AB120" s="207"/>
    </row>
    <row r="121" spans="22:28" customFormat="1" ht="9.9499999999999993">
      <c r="V121" s="207"/>
      <c r="W121" s="207"/>
      <c r="X121" s="207"/>
      <c r="Y121" s="207"/>
      <c r="Z121" s="207"/>
      <c r="AA121" s="207"/>
      <c r="AB121" s="207"/>
    </row>
    <row r="122" spans="22:28" customFormat="1" ht="9.9499999999999993">
      <c r="V122" s="207"/>
      <c r="W122" s="207"/>
      <c r="X122" s="207"/>
      <c r="Y122" s="207"/>
      <c r="Z122" s="207"/>
      <c r="AA122" s="207"/>
      <c r="AB122" s="207"/>
    </row>
    <row r="123" spans="22:28" customFormat="1" ht="9.9499999999999993">
      <c r="V123" s="207"/>
      <c r="W123" s="207"/>
      <c r="X123" s="207"/>
      <c r="Y123" s="207"/>
      <c r="Z123" s="207"/>
      <c r="AA123" s="207"/>
      <c r="AB123" s="207"/>
    </row>
    <row r="124" spans="22:28" customFormat="1" ht="9.9499999999999993">
      <c r="V124" s="207"/>
      <c r="W124" s="207"/>
      <c r="X124" s="207"/>
      <c r="Y124" s="207"/>
      <c r="Z124" s="207"/>
      <c r="AA124" s="207"/>
      <c r="AB124" s="207"/>
    </row>
    <row r="125" spans="22:28" customFormat="1" ht="9.9499999999999993">
      <c r="V125" s="207"/>
      <c r="W125" s="207"/>
      <c r="X125" s="207"/>
      <c r="Y125" s="207"/>
      <c r="Z125" s="207"/>
      <c r="AA125" s="207"/>
      <c r="AB125" s="207"/>
    </row>
    <row r="126" spans="22:28" customFormat="1" ht="9.9499999999999993">
      <c r="V126" s="207"/>
      <c r="W126" s="207"/>
      <c r="X126" s="207"/>
      <c r="Y126" s="207"/>
      <c r="Z126" s="207"/>
      <c r="AA126" s="207"/>
      <c r="AB126" s="207"/>
    </row>
    <row r="127" spans="22:28" customFormat="1" ht="9.9499999999999993">
      <c r="V127" s="207"/>
      <c r="W127" s="207"/>
      <c r="X127" s="207"/>
      <c r="Y127" s="207"/>
      <c r="Z127" s="207"/>
      <c r="AA127" s="207"/>
      <c r="AB127" s="207"/>
    </row>
    <row r="128" spans="22:28" customFormat="1" ht="9.9499999999999993">
      <c r="V128" s="207"/>
      <c r="W128" s="207"/>
      <c r="X128" s="207"/>
      <c r="Y128" s="207"/>
      <c r="Z128" s="207"/>
      <c r="AA128" s="207"/>
      <c r="AB128" s="207"/>
    </row>
    <row r="129" spans="22:28" customFormat="1" ht="9.9499999999999993">
      <c r="V129" s="207"/>
      <c r="W129" s="207"/>
      <c r="X129" s="207"/>
      <c r="Y129" s="207"/>
      <c r="Z129" s="207"/>
      <c r="AA129" s="207"/>
      <c r="AB129" s="207"/>
    </row>
    <row r="130" spans="22:28" customFormat="1" ht="9.9499999999999993">
      <c r="V130" s="207"/>
      <c r="W130" s="207"/>
      <c r="X130" s="207"/>
      <c r="Y130" s="207"/>
      <c r="Z130" s="207"/>
      <c r="AA130" s="207"/>
      <c r="AB130" s="207"/>
    </row>
    <row r="131" spans="22:28" customFormat="1" ht="9.9499999999999993">
      <c r="V131" s="207"/>
      <c r="W131" s="207"/>
      <c r="X131" s="207"/>
      <c r="Y131" s="207"/>
      <c r="Z131" s="207"/>
      <c r="AA131" s="207"/>
      <c r="AB131" s="207"/>
    </row>
    <row r="132" spans="22:28" customFormat="1" ht="9.9499999999999993">
      <c r="V132" s="207"/>
      <c r="W132" s="207"/>
      <c r="X132" s="207"/>
      <c r="Y132" s="207"/>
      <c r="Z132" s="207"/>
      <c r="AA132" s="207"/>
      <c r="AB132" s="207"/>
    </row>
    <row r="133" spans="22:28" customFormat="1" ht="9.9499999999999993">
      <c r="V133" s="207"/>
      <c r="W133" s="207"/>
      <c r="X133" s="207"/>
      <c r="Y133" s="207"/>
      <c r="Z133" s="207"/>
      <c r="AA133" s="207"/>
      <c r="AB133" s="207"/>
    </row>
    <row r="134" spans="22:28" customFormat="1" ht="9.9499999999999993">
      <c r="V134" s="207"/>
      <c r="W134" s="207"/>
      <c r="X134" s="207"/>
      <c r="Y134" s="207"/>
      <c r="Z134" s="207"/>
      <c r="AA134" s="207"/>
      <c r="AB134" s="207"/>
    </row>
    <row r="135" spans="22:28" customFormat="1" ht="9.9499999999999993">
      <c r="V135" s="207"/>
      <c r="W135" s="207"/>
      <c r="X135" s="207"/>
      <c r="Y135" s="207"/>
      <c r="Z135" s="207"/>
      <c r="AA135" s="207"/>
      <c r="AB135" s="207"/>
    </row>
    <row r="136" spans="22:28" customFormat="1" ht="9.9499999999999993">
      <c r="V136" s="207"/>
      <c r="W136" s="207"/>
      <c r="X136" s="207"/>
      <c r="Y136" s="207"/>
      <c r="Z136" s="207"/>
      <c r="AA136" s="207"/>
      <c r="AB136" s="207"/>
    </row>
    <row r="137" spans="22:28" customFormat="1" ht="9.9499999999999993">
      <c r="V137" s="207"/>
      <c r="W137" s="207"/>
      <c r="X137" s="207"/>
      <c r="Y137" s="207"/>
      <c r="Z137" s="207"/>
      <c r="AA137" s="207"/>
      <c r="AB137" s="207"/>
    </row>
    <row r="138" spans="22:28" customFormat="1" ht="9.9499999999999993">
      <c r="V138" s="207"/>
      <c r="W138" s="207"/>
      <c r="X138" s="207"/>
      <c r="Y138" s="207"/>
      <c r="Z138" s="207"/>
      <c r="AA138" s="207"/>
      <c r="AB138" s="207"/>
    </row>
    <row r="139" spans="22:28" customFormat="1" ht="9.9499999999999993">
      <c r="V139" s="207"/>
      <c r="W139" s="207"/>
      <c r="X139" s="207"/>
      <c r="Y139" s="207"/>
      <c r="Z139" s="207"/>
      <c r="AA139" s="207"/>
      <c r="AB139" s="207"/>
    </row>
    <row r="140" spans="22:28" customFormat="1" ht="9.9499999999999993">
      <c r="V140" s="207"/>
      <c r="W140" s="207"/>
      <c r="X140" s="207"/>
      <c r="Y140" s="207"/>
      <c r="Z140" s="207"/>
      <c r="AA140" s="207"/>
      <c r="AB140" s="207"/>
    </row>
    <row r="141" spans="22:28" customFormat="1" ht="9.9499999999999993">
      <c r="V141" s="207"/>
      <c r="W141" s="207"/>
      <c r="X141" s="207"/>
      <c r="Y141" s="207"/>
      <c r="Z141" s="207"/>
      <c r="AA141" s="207"/>
      <c r="AB141" s="207"/>
    </row>
    <row r="142" spans="22:28" customFormat="1" ht="9.9499999999999993">
      <c r="V142" s="207"/>
      <c r="W142" s="207"/>
      <c r="X142" s="207"/>
      <c r="Y142" s="207"/>
      <c r="Z142" s="207"/>
      <c r="AA142" s="207"/>
      <c r="AB142" s="207"/>
    </row>
    <row r="143" spans="22:28" customFormat="1" ht="9.9499999999999993">
      <c r="V143" s="207"/>
      <c r="W143" s="207"/>
      <c r="X143" s="207"/>
      <c r="Y143" s="207"/>
      <c r="Z143" s="207"/>
      <c r="AA143" s="207"/>
      <c r="AB143" s="207"/>
    </row>
    <row r="144" spans="22:28" customFormat="1" ht="9.9499999999999993">
      <c r="V144" s="207"/>
      <c r="W144" s="207"/>
      <c r="X144" s="207"/>
      <c r="Y144" s="207"/>
      <c r="Z144" s="207"/>
      <c r="AA144" s="207"/>
      <c r="AB144" s="207"/>
    </row>
    <row r="145" spans="22:28" customFormat="1" ht="9.9499999999999993">
      <c r="V145" s="207"/>
      <c r="W145" s="207"/>
      <c r="X145" s="207"/>
      <c r="Y145" s="207"/>
      <c r="Z145" s="207"/>
      <c r="AA145" s="207"/>
      <c r="AB145" s="207"/>
    </row>
    <row r="146" spans="22:28" customFormat="1" ht="9.9499999999999993">
      <c r="V146" s="207"/>
      <c r="W146" s="207"/>
      <c r="X146" s="207"/>
      <c r="Y146" s="207"/>
      <c r="Z146" s="207"/>
      <c r="AA146" s="207"/>
      <c r="AB146" s="207"/>
    </row>
    <row r="147" spans="22:28" customFormat="1" ht="9.9499999999999993">
      <c r="V147" s="207"/>
      <c r="W147" s="207"/>
      <c r="X147" s="207"/>
      <c r="Y147" s="207"/>
      <c r="Z147" s="207"/>
      <c r="AA147" s="207"/>
      <c r="AB147" s="207"/>
    </row>
    <row r="148" spans="22:28" customFormat="1" ht="9.9499999999999993">
      <c r="V148" s="207"/>
      <c r="W148" s="207"/>
      <c r="X148" s="207"/>
      <c r="Y148" s="207"/>
      <c r="Z148" s="207"/>
      <c r="AA148" s="207"/>
      <c r="AB148" s="207"/>
    </row>
    <row r="149" spans="22:28" customFormat="1" ht="9.9499999999999993">
      <c r="V149" s="207"/>
      <c r="W149" s="207"/>
      <c r="X149" s="207"/>
      <c r="Y149" s="207"/>
      <c r="Z149" s="207"/>
      <c r="AA149" s="207"/>
      <c r="AB149" s="207"/>
    </row>
    <row r="150" spans="22:28" customFormat="1" ht="9.9499999999999993">
      <c r="V150" s="207"/>
      <c r="W150" s="207"/>
      <c r="X150" s="207"/>
      <c r="Y150" s="207"/>
      <c r="Z150" s="207"/>
      <c r="AA150" s="207"/>
      <c r="AB150" s="207"/>
    </row>
    <row r="151" spans="22:28" customFormat="1" ht="9.9499999999999993">
      <c r="V151" s="207"/>
      <c r="W151" s="207"/>
      <c r="X151" s="207"/>
      <c r="Y151" s="207"/>
      <c r="Z151" s="207"/>
      <c r="AA151" s="207"/>
      <c r="AB151" s="207"/>
    </row>
    <row r="152" spans="22:28" customFormat="1" ht="9.9499999999999993">
      <c r="V152" s="207"/>
      <c r="W152" s="207"/>
      <c r="X152" s="207"/>
      <c r="Y152" s="207"/>
      <c r="Z152" s="207"/>
      <c r="AA152" s="207"/>
      <c r="AB152" s="207"/>
    </row>
    <row r="153" spans="22:28" customFormat="1" ht="9.9499999999999993">
      <c r="V153" s="207"/>
      <c r="W153" s="207"/>
      <c r="X153" s="207"/>
      <c r="Y153" s="207"/>
      <c r="Z153" s="207"/>
      <c r="AA153" s="207"/>
      <c r="AB153" s="207"/>
    </row>
    <row r="154" spans="22:28" customFormat="1" ht="9.9499999999999993">
      <c r="V154" s="207"/>
      <c r="W154" s="207"/>
      <c r="X154" s="207"/>
      <c r="Y154" s="207"/>
      <c r="Z154" s="207"/>
      <c r="AA154" s="207"/>
      <c r="AB154" s="207"/>
    </row>
    <row r="155" spans="22:28" customFormat="1" ht="9.9499999999999993">
      <c r="V155" s="207"/>
      <c r="W155" s="207"/>
      <c r="X155" s="207"/>
      <c r="Y155" s="207"/>
      <c r="Z155" s="207"/>
      <c r="AA155" s="207"/>
      <c r="AB155" s="207"/>
    </row>
    <row r="156" spans="22:28" customFormat="1" ht="9.9499999999999993">
      <c r="V156" s="207"/>
      <c r="W156" s="207"/>
      <c r="X156" s="207"/>
      <c r="Y156" s="207"/>
      <c r="Z156" s="207"/>
      <c r="AA156" s="207"/>
      <c r="AB156" s="207"/>
    </row>
    <row r="157" spans="22:28" customFormat="1" ht="9.9499999999999993">
      <c r="V157" s="207"/>
      <c r="W157" s="207"/>
      <c r="X157" s="207"/>
      <c r="Y157" s="207"/>
      <c r="Z157" s="207"/>
      <c r="AA157" s="207"/>
      <c r="AB157" s="207"/>
    </row>
    <row r="158" spans="22:28" customFormat="1" ht="9.9499999999999993">
      <c r="V158" s="207"/>
      <c r="W158" s="207"/>
      <c r="X158" s="207"/>
      <c r="Y158" s="207"/>
      <c r="Z158" s="207"/>
      <c r="AA158" s="207"/>
      <c r="AB158" s="207"/>
    </row>
    <row r="159" spans="22:28" customFormat="1" ht="9.9499999999999993">
      <c r="V159" s="207"/>
      <c r="W159" s="207"/>
      <c r="X159" s="207"/>
      <c r="Y159" s="207"/>
      <c r="Z159" s="207"/>
      <c r="AA159" s="207"/>
      <c r="AB159" s="207"/>
    </row>
    <row r="160" spans="22:28" customFormat="1" ht="9.9499999999999993">
      <c r="V160" s="207"/>
      <c r="W160" s="207"/>
      <c r="X160" s="207"/>
      <c r="Y160" s="207"/>
      <c r="Z160" s="207"/>
      <c r="AA160" s="207"/>
      <c r="AB160" s="207"/>
    </row>
    <row r="161" spans="22:28" customFormat="1" ht="9.9499999999999993">
      <c r="V161" s="207"/>
      <c r="W161" s="207"/>
      <c r="X161" s="207"/>
      <c r="Y161" s="207"/>
      <c r="Z161" s="207"/>
      <c r="AA161" s="207"/>
      <c r="AB161" s="207"/>
    </row>
    <row r="162" spans="22:28" customFormat="1" ht="9.9499999999999993">
      <c r="V162" s="207"/>
      <c r="W162" s="207"/>
      <c r="X162" s="207"/>
      <c r="Y162" s="207"/>
      <c r="Z162" s="207"/>
      <c r="AA162" s="207"/>
      <c r="AB162" s="207"/>
    </row>
    <row r="163" spans="22:28" customFormat="1" ht="9.9499999999999993">
      <c r="V163" s="207"/>
      <c r="W163" s="207"/>
      <c r="X163" s="207"/>
      <c r="Y163" s="207"/>
      <c r="Z163" s="207"/>
      <c r="AA163" s="207"/>
      <c r="AB163" s="207"/>
    </row>
    <row r="164" spans="22:28" customFormat="1" ht="9.9499999999999993">
      <c r="V164" s="207"/>
      <c r="W164" s="207"/>
      <c r="X164" s="207"/>
      <c r="Y164" s="207"/>
      <c r="Z164" s="207"/>
      <c r="AA164" s="207"/>
      <c r="AB164" s="207"/>
    </row>
    <row r="165" spans="22:28" customFormat="1" ht="9.9499999999999993">
      <c r="V165" s="207"/>
      <c r="W165" s="207"/>
      <c r="X165" s="207"/>
      <c r="Y165" s="207"/>
      <c r="Z165" s="207"/>
      <c r="AA165" s="207"/>
      <c r="AB165" s="207"/>
    </row>
    <row r="166" spans="22:28" customFormat="1" ht="9.9499999999999993">
      <c r="V166" s="207"/>
      <c r="W166" s="207"/>
      <c r="X166" s="207"/>
      <c r="Y166" s="207"/>
      <c r="Z166" s="207"/>
      <c r="AA166" s="207"/>
      <c r="AB166" s="207"/>
    </row>
    <row r="167" spans="22:28" customFormat="1" ht="9.9499999999999993">
      <c r="V167" s="207"/>
      <c r="W167" s="207"/>
      <c r="X167" s="207"/>
      <c r="Y167" s="207"/>
      <c r="Z167" s="207"/>
      <c r="AA167" s="207"/>
      <c r="AB167" s="207"/>
    </row>
    <row r="168" spans="22:28" customFormat="1" ht="9.9499999999999993">
      <c r="V168" s="207"/>
      <c r="W168" s="207"/>
      <c r="X168" s="207"/>
      <c r="Y168" s="207"/>
      <c r="Z168" s="207"/>
      <c r="AA168" s="207"/>
      <c r="AB168" s="207"/>
    </row>
    <row r="169" spans="22:28" customFormat="1" ht="9.9499999999999993">
      <c r="V169" s="207"/>
      <c r="W169" s="207"/>
      <c r="X169" s="207"/>
      <c r="Y169" s="207"/>
      <c r="Z169" s="207"/>
      <c r="AA169" s="207"/>
      <c r="AB169" s="207"/>
    </row>
    <row r="170" spans="22:28" customFormat="1" ht="9.9499999999999993">
      <c r="V170" s="207"/>
      <c r="W170" s="207"/>
      <c r="X170" s="207"/>
      <c r="Y170" s="207"/>
      <c r="Z170" s="207"/>
      <c r="AA170" s="207"/>
      <c r="AB170" s="207"/>
    </row>
    <row r="171" spans="22:28" customFormat="1" ht="9.9499999999999993">
      <c r="V171" s="207"/>
      <c r="W171" s="207"/>
      <c r="X171" s="207"/>
      <c r="Y171" s="207"/>
      <c r="Z171" s="207"/>
      <c r="AA171" s="207"/>
      <c r="AB171" s="207"/>
    </row>
    <row r="172" spans="22:28" customFormat="1" ht="9.9499999999999993">
      <c r="V172" s="207"/>
      <c r="W172" s="207"/>
      <c r="X172" s="207"/>
      <c r="Y172" s="207"/>
      <c r="Z172" s="207"/>
      <c r="AA172" s="207"/>
      <c r="AB172" s="207"/>
    </row>
    <row r="173" spans="22:28" customFormat="1" ht="9.9499999999999993">
      <c r="V173" s="207"/>
      <c r="W173" s="207"/>
      <c r="X173" s="207"/>
      <c r="Y173" s="207"/>
      <c r="Z173" s="207"/>
      <c r="AA173" s="207"/>
      <c r="AB173" s="207"/>
    </row>
    <row r="174" spans="22:28" customFormat="1" ht="9.9499999999999993">
      <c r="V174" s="207"/>
      <c r="W174" s="207"/>
      <c r="X174" s="207"/>
      <c r="Y174" s="207"/>
      <c r="Z174" s="207"/>
      <c r="AA174" s="207"/>
      <c r="AB174" s="207"/>
    </row>
    <row r="175" spans="22:28" customFormat="1" ht="9.9499999999999993">
      <c r="V175" s="207"/>
      <c r="W175" s="207"/>
      <c r="X175" s="207"/>
      <c r="Y175" s="207"/>
      <c r="Z175" s="207"/>
      <c r="AA175" s="207"/>
      <c r="AB175" s="207"/>
    </row>
    <row r="176" spans="22:28" customFormat="1" ht="9.9499999999999993">
      <c r="V176" s="207"/>
      <c r="W176" s="207"/>
      <c r="X176" s="207"/>
      <c r="Y176" s="207"/>
      <c r="Z176" s="207"/>
      <c r="AA176" s="207"/>
      <c r="AB176" s="207"/>
    </row>
    <row r="177" spans="22:28" customFormat="1" ht="9.9499999999999993">
      <c r="V177" s="207"/>
      <c r="W177" s="207"/>
      <c r="X177" s="207"/>
      <c r="Y177" s="207"/>
      <c r="Z177" s="207"/>
      <c r="AA177" s="207"/>
      <c r="AB177" s="207"/>
    </row>
    <row r="178" spans="22:28" customFormat="1" ht="9.9499999999999993">
      <c r="V178" s="207"/>
      <c r="W178" s="207"/>
      <c r="X178" s="207"/>
      <c r="Y178" s="207"/>
      <c r="Z178" s="207"/>
      <c r="AA178" s="207"/>
      <c r="AB178" s="207"/>
    </row>
    <row r="179" spans="22:28" customFormat="1" ht="9.9499999999999993">
      <c r="V179" s="207"/>
      <c r="W179" s="207"/>
      <c r="X179" s="207"/>
      <c r="Y179" s="207"/>
      <c r="Z179" s="207"/>
      <c r="AA179" s="207"/>
      <c r="AB179" s="207"/>
    </row>
    <row r="180" spans="22:28" customFormat="1" ht="9.9499999999999993">
      <c r="V180" s="207"/>
      <c r="W180" s="207"/>
      <c r="X180" s="207"/>
      <c r="Y180" s="207"/>
      <c r="Z180" s="207"/>
      <c r="AA180" s="207"/>
      <c r="AB180" s="207"/>
    </row>
    <row r="181" spans="22:28" customFormat="1" ht="9.9499999999999993">
      <c r="V181" s="207"/>
      <c r="W181" s="207"/>
      <c r="X181" s="207"/>
      <c r="Y181" s="207"/>
      <c r="Z181" s="207"/>
      <c r="AA181" s="207"/>
      <c r="AB181" s="207"/>
    </row>
    <row r="182" spans="22:28" customFormat="1" ht="9.9499999999999993">
      <c r="V182" s="207"/>
      <c r="W182" s="207"/>
      <c r="X182" s="207"/>
      <c r="Y182" s="207"/>
      <c r="Z182" s="207"/>
      <c r="AA182" s="207"/>
      <c r="AB182" s="207"/>
    </row>
    <row r="183" spans="22:28" customFormat="1" ht="9.9499999999999993">
      <c r="V183" s="207"/>
      <c r="W183" s="207"/>
      <c r="X183" s="207"/>
      <c r="Y183" s="207"/>
      <c r="Z183" s="207"/>
      <c r="AA183" s="207"/>
      <c r="AB183" s="207"/>
    </row>
    <row r="184" spans="22:28" customFormat="1" ht="9.9499999999999993">
      <c r="V184" s="207"/>
      <c r="W184" s="207"/>
      <c r="X184" s="207"/>
      <c r="Y184" s="207"/>
      <c r="Z184" s="207"/>
      <c r="AA184" s="207"/>
      <c r="AB184" s="207"/>
    </row>
    <row r="185" spans="22:28" customFormat="1" ht="9.9499999999999993">
      <c r="V185" s="207"/>
      <c r="W185" s="207"/>
      <c r="X185" s="207"/>
      <c r="Y185" s="207"/>
      <c r="Z185" s="207"/>
      <c r="AA185" s="207"/>
      <c r="AB185" s="207"/>
    </row>
    <row r="186" spans="22:28" customFormat="1" ht="9.9499999999999993">
      <c r="V186" s="207"/>
      <c r="W186" s="207"/>
      <c r="X186" s="207"/>
      <c r="Y186" s="207"/>
      <c r="Z186" s="207"/>
      <c r="AA186" s="207"/>
      <c r="AB186" s="207"/>
    </row>
    <row r="187" spans="22:28" customFormat="1" ht="9.9499999999999993">
      <c r="V187" s="207"/>
      <c r="W187" s="207"/>
      <c r="X187" s="207"/>
      <c r="Y187" s="207"/>
      <c r="Z187" s="207"/>
      <c r="AA187" s="207"/>
      <c r="AB187" s="207"/>
    </row>
    <row r="188" spans="22:28" customFormat="1" ht="9.9499999999999993">
      <c r="V188" s="207"/>
      <c r="W188" s="207"/>
      <c r="X188" s="207"/>
      <c r="Y188" s="207"/>
      <c r="Z188" s="207"/>
      <c r="AA188" s="207"/>
      <c r="AB188" s="207"/>
    </row>
    <row r="189" spans="22:28" customFormat="1" ht="9.9499999999999993">
      <c r="V189" s="207"/>
      <c r="W189" s="207"/>
      <c r="X189" s="207"/>
      <c r="Y189" s="207"/>
      <c r="Z189" s="207"/>
      <c r="AA189" s="207"/>
      <c r="AB189" s="207"/>
    </row>
    <row r="190" spans="22:28" customFormat="1" ht="9.9499999999999993">
      <c r="V190" s="207"/>
      <c r="W190" s="207"/>
      <c r="X190" s="207"/>
      <c r="Y190" s="207"/>
      <c r="Z190" s="207"/>
      <c r="AA190" s="207"/>
      <c r="AB190" s="207"/>
    </row>
    <row r="191" spans="22:28" customFormat="1" ht="9.9499999999999993">
      <c r="V191" s="207"/>
      <c r="W191" s="207"/>
      <c r="X191" s="207"/>
      <c r="Y191" s="207"/>
      <c r="Z191" s="207"/>
      <c r="AA191" s="207"/>
      <c r="AB191" s="207"/>
    </row>
    <row r="192" spans="22:28" customFormat="1" ht="9.9499999999999993">
      <c r="V192" s="207"/>
      <c r="W192" s="207"/>
      <c r="X192" s="207"/>
      <c r="Y192" s="207"/>
      <c r="Z192" s="207"/>
      <c r="AA192" s="207"/>
      <c r="AB192" s="207"/>
    </row>
    <row r="193" spans="22:28" customFormat="1" ht="9.9499999999999993">
      <c r="V193" s="207"/>
      <c r="W193" s="207"/>
      <c r="X193" s="207"/>
      <c r="Y193" s="207"/>
      <c r="Z193" s="207"/>
      <c r="AA193" s="207"/>
      <c r="AB193" s="207"/>
    </row>
    <row r="194" spans="22:28" cus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w r="196" spans="22:28" customFormat="1" ht="9.9499999999999993">
      <c r="V196" s="207"/>
      <c r="W196" s="207"/>
      <c r="X196" s="207"/>
      <c r="Y196" s="207"/>
      <c r="Z196" s="207"/>
      <c r="AA196" s="207"/>
      <c r="AB196" s="207"/>
    </row>
    <row r="197" spans="22:28" customFormat="1" ht="9.9499999999999993">
      <c r="V197" s="207"/>
      <c r="W197" s="207"/>
      <c r="X197" s="207"/>
      <c r="Y197" s="207"/>
      <c r="Z197" s="207"/>
      <c r="AA197" s="207"/>
      <c r="AB197" s="207"/>
    </row>
    <row r="198" spans="22:28" customFormat="1" ht="9.9499999999999993">
      <c r="V198" s="207"/>
      <c r="W198" s="207"/>
      <c r="X198" s="207"/>
      <c r="Y198" s="207"/>
      <c r="Z198" s="207"/>
      <c r="AA198" s="207"/>
      <c r="AB198" s="207"/>
    </row>
    <row r="199" spans="22:28" customFormat="1" ht="9.9499999999999993">
      <c r="V199" s="207"/>
      <c r="W199" s="207"/>
      <c r="X199" s="207"/>
      <c r="Y199" s="207"/>
      <c r="Z199" s="207"/>
      <c r="AA199" s="207"/>
      <c r="AB199" s="207"/>
    </row>
    <row r="200" spans="22:28" customFormat="1" ht="9.9499999999999993">
      <c r="V200" s="207"/>
      <c r="W200" s="207"/>
      <c r="X200" s="207"/>
      <c r="Y200" s="207"/>
      <c r="Z200" s="207"/>
      <c r="AA200" s="207"/>
      <c r="AB200" s="207"/>
    </row>
    <row r="201" spans="22:28" customFormat="1" ht="9.9499999999999993">
      <c r="V201" s="207"/>
      <c r="W201" s="207"/>
      <c r="X201" s="207"/>
      <c r="Y201" s="207"/>
      <c r="Z201" s="207"/>
      <c r="AA201" s="207"/>
      <c r="AB201" s="207"/>
    </row>
    <row r="202" spans="22:28" customFormat="1" ht="9.9499999999999993">
      <c r="V202" s="207"/>
      <c r="W202" s="207"/>
      <c r="X202" s="207"/>
      <c r="Y202" s="207"/>
      <c r="Z202" s="207"/>
      <c r="AA202" s="207"/>
      <c r="AB202" s="207"/>
    </row>
    <row r="203" spans="22:28" customFormat="1" ht="9.9499999999999993">
      <c r="V203" s="207"/>
      <c r="W203" s="207"/>
      <c r="X203" s="207"/>
      <c r="Y203" s="207"/>
      <c r="Z203" s="207"/>
      <c r="AA203" s="207"/>
      <c r="AB203" s="207"/>
    </row>
    <row r="204" spans="22:28" customFormat="1" ht="9.9499999999999993">
      <c r="V204" s="207"/>
      <c r="W204" s="207"/>
      <c r="X204" s="207"/>
      <c r="Y204" s="207"/>
      <c r="Z204" s="207"/>
      <c r="AA204" s="207"/>
      <c r="AB204" s="207"/>
    </row>
    <row r="205" spans="22:28" customFormat="1" ht="9.9499999999999993">
      <c r="V205" s="207"/>
      <c r="W205" s="207"/>
      <c r="X205" s="207"/>
      <c r="Y205" s="207"/>
      <c r="Z205" s="207"/>
      <c r="AA205" s="207"/>
      <c r="AB205" s="207"/>
    </row>
    <row r="206" spans="22:28" customFormat="1" ht="9.9499999999999993">
      <c r="V206" s="207"/>
      <c r="W206" s="207"/>
      <c r="X206" s="207"/>
      <c r="Y206" s="207"/>
      <c r="Z206" s="207"/>
      <c r="AA206" s="207"/>
      <c r="AB206" s="207"/>
    </row>
    <row r="207" spans="22:28" customFormat="1" ht="9.9499999999999993">
      <c r="V207" s="207"/>
      <c r="W207" s="207"/>
      <c r="X207" s="207"/>
      <c r="Y207" s="207"/>
      <c r="Z207" s="207"/>
      <c r="AA207" s="207"/>
      <c r="AB207" s="207"/>
    </row>
    <row r="208" spans="22:28" customFormat="1" ht="9.9499999999999993">
      <c r="V208" s="207"/>
      <c r="W208" s="207"/>
      <c r="X208" s="207"/>
      <c r="Y208" s="207"/>
      <c r="Z208" s="207"/>
      <c r="AA208" s="207"/>
      <c r="AB208" s="207"/>
    </row>
    <row r="209" spans="22:28" customFormat="1" ht="9.9499999999999993">
      <c r="V209" s="207"/>
      <c r="W209" s="207"/>
      <c r="X209" s="207"/>
      <c r="Y209" s="207"/>
      <c r="Z209" s="207"/>
      <c r="AA209" s="207"/>
      <c r="AB209" s="207"/>
    </row>
    <row r="210" spans="22:28" customFormat="1" ht="9.9499999999999993">
      <c r="V210" s="207"/>
      <c r="W210" s="207"/>
      <c r="X210" s="207"/>
      <c r="Y210" s="207"/>
      <c r="Z210" s="207"/>
      <c r="AA210" s="207"/>
      <c r="AB210" s="207"/>
    </row>
    <row r="211" spans="22:28" customFormat="1" ht="9.9499999999999993">
      <c r="V211" s="207"/>
      <c r="W211" s="207"/>
      <c r="X211" s="207"/>
      <c r="Y211" s="207"/>
      <c r="Z211" s="207"/>
      <c r="AA211" s="207"/>
      <c r="AB211" s="207"/>
    </row>
    <row r="212" spans="22:28" customFormat="1" ht="9.9499999999999993">
      <c r="V212" s="207"/>
      <c r="W212" s="207"/>
      <c r="X212" s="207"/>
      <c r="Y212" s="207"/>
      <c r="Z212" s="207"/>
      <c r="AA212" s="207"/>
      <c r="AB212" s="207"/>
    </row>
    <row r="213" spans="22:28" customFormat="1" ht="9.9499999999999993">
      <c r="V213" s="207"/>
      <c r="W213" s="207"/>
      <c r="X213" s="207"/>
      <c r="Y213" s="207"/>
      <c r="Z213" s="207"/>
      <c r="AA213" s="207"/>
      <c r="AB213" s="207"/>
    </row>
    <row r="214" spans="22:28" customFormat="1" ht="9.9499999999999993">
      <c r="V214" s="207"/>
      <c r="W214" s="207"/>
      <c r="X214" s="207"/>
      <c r="Y214" s="207"/>
      <c r="Z214" s="207"/>
      <c r="AA214" s="207"/>
      <c r="AB214" s="207"/>
    </row>
    <row r="215" spans="22:28" customFormat="1" ht="9.9499999999999993">
      <c r="V215" s="207"/>
      <c r="W215" s="207"/>
      <c r="X215" s="207"/>
      <c r="Y215" s="207"/>
      <c r="Z215" s="207"/>
      <c r="AA215" s="207"/>
      <c r="AB215" s="207"/>
    </row>
    <row r="216" spans="22:28" customFormat="1" ht="9.9499999999999993">
      <c r="V216" s="207"/>
      <c r="W216" s="207"/>
      <c r="X216" s="207"/>
      <c r="Y216" s="207"/>
      <c r="Z216" s="207"/>
      <c r="AA216" s="207"/>
      <c r="AB216" s="207"/>
    </row>
    <row r="217" spans="22:28" customFormat="1" ht="9.9499999999999993">
      <c r="V217" s="207"/>
      <c r="W217" s="207"/>
      <c r="X217" s="207"/>
      <c r="Y217" s="207"/>
      <c r="Z217" s="207"/>
      <c r="AA217" s="207"/>
      <c r="AB217" s="207"/>
    </row>
    <row r="218" spans="22:28" customFormat="1" ht="9.9499999999999993">
      <c r="V218" s="207"/>
      <c r="W218" s="207"/>
      <c r="X218" s="207"/>
      <c r="Y218" s="207"/>
      <c r="Z218" s="207"/>
      <c r="AA218" s="207"/>
      <c r="AB218" s="207"/>
    </row>
    <row r="219" spans="22:28" customFormat="1" ht="9.9499999999999993">
      <c r="V219" s="207"/>
      <c r="W219" s="207"/>
      <c r="X219" s="207"/>
      <c r="Y219" s="207"/>
      <c r="Z219" s="207"/>
      <c r="AA219" s="207"/>
      <c r="AB219" s="207"/>
    </row>
    <row r="220" spans="22:28" customFormat="1" ht="9.9499999999999993">
      <c r="V220" s="207"/>
      <c r="W220" s="207"/>
      <c r="X220" s="207"/>
      <c r="Y220" s="207"/>
      <c r="Z220" s="207"/>
      <c r="AA220" s="207"/>
      <c r="AB220" s="207"/>
    </row>
    <row r="221" spans="22:28" customFormat="1" ht="9.9499999999999993">
      <c r="V221" s="207"/>
      <c r="W221" s="207"/>
      <c r="X221" s="207"/>
      <c r="Y221" s="207"/>
      <c r="Z221" s="207"/>
      <c r="AA221" s="207"/>
      <c r="AB221" s="207"/>
    </row>
    <row r="222" spans="22:28" customFormat="1" ht="9.9499999999999993">
      <c r="V222" s="207"/>
      <c r="W222" s="207"/>
      <c r="X222" s="207"/>
      <c r="Y222" s="207"/>
      <c r="Z222" s="207"/>
      <c r="AA222" s="207"/>
      <c r="AB222" s="207"/>
    </row>
    <row r="223" spans="22:28" customFormat="1" ht="9.9499999999999993">
      <c r="V223" s="207"/>
      <c r="W223" s="207"/>
      <c r="X223" s="207"/>
      <c r="Y223" s="207"/>
      <c r="Z223" s="207"/>
      <c r="AA223" s="207"/>
      <c r="AB223" s="207"/>
    </row>
    <row r="224" spans="22:28" customFormat="1" ht="9.9499999999999993">
      <c r="V224" s="207"/>
      <c r="W224" s="207"/>
      <c r="X224" s="207"/>
      <c r="Y224" s="207"/>
      <c r="Z224" s="207"/>
      <c r="AA224" s="207"/>
      <c r="AB224" s="207"/>
    </row>
    <row r="225" spans="22:28" customFormat="1" ht="9.9499999999999993">
      <c r="V225" s="207"/>
      <c r="W225" s="207"/>
      <c r="X225" s="207"/>
      <c r="Y225" s="207"/>
      <c r="Z225" s="207"/>
      <c r="AA225" s="207"/>
      <c r="AB225" s="207"/>
    </row>
    <row r="226" spans="22:28" customFormat="1" ht="9.9499999999999993">
      <c r="V226" s="207"/>
      <c r="W226" s="207"/>
      <c r="X226" s="207"/>
      <c r="Y226" s="207"/>
      <c r="Z226" s="207"/>
      <c r="AA226" s="207"/>
      <c r="AB226" s="207"/>
    </row>
    <row r="227" spans="22:28" customFormat="1" ht="9.9499999999999993">
      <c r="V227" s="207"/>
      <c r="W227" s="207"/>
      <c r="X227" s="207"/>
      <c r="Y227" s="207"/>
      <c r="Z227" s="207"/>
      <c r="AA227" s="207"/>
      <c r="AB227" s="207"/>
    </row>
    <row r="228" spans="22:28" customFormat="1" ht="9.9499999999999993">
      <c r="V228" s="207"/>
      <c r="W228" s="207"/>
      <c r="X228" s="207"/>
      <c r="Y228" s="207"/>
      <c r="Z228" s="207"/>
      <c r="AA228" s="207"/>
      <c r="AB228" s="207"/>
    </row>
    <row r="229" spans="22:28" customFormat="1" ht="9.9499999999999993">
      <c r="V229" s="207"/>
      <c r="W229" s="207"/>
      <c r="X229" s="207"/>
      <c r="Y229" s="207"/>
      <c r="Z229" s="207"/>
      <c r="AA229" s="207"/>
      <c r="AB229" s="207"/>
    </row>
    <row r="230" spans="22:28" customFormat="1" ht="9.9499999999999993">
      <c r="V230" s="207"/>
      <c r="W230" s="207"/>
      <c r="X230" s="207"/>
      <c r="Y230" s="207"/>
      <c r="Z230" s="207"/>
      <c r="AA230" s="207"/>
      <c r="AB230" s="207"/>
    </row>
    <row r="231" spans="22:28" customFormat="1" ht="9.9499999999999993">
      <c r="V231" s="207"/>
      <c r="W231" s="207"/>
      <c r="X231" s="207"/>
      <c r="Y231" s="207"/>
      <c r="Z231" s="207"/>
      <c r="AA231" s="207"/>
      <c r="AB231" s="207"/>
    </row>
    <row r="232" spans="22:28" customFormat="1" ht="9.9499999999999993">
      <c r="V232" s="207"/>
      <c r="W232" s="207"/>
      <c r="X232" s="207"/>
      <c r="Y232" s="207"/>
      <c r="Z232" s="207"/>
      <c r="AA232" s="207"/>
      <c r="AB232" s="207"/>
    </row>
    <row r="233" spans="22:28" customFormat="1" ht="9.9499999999999993">
      <c r="V233" s="207"/>
      <c r="W233" s="207"/>
      <c r="X233" s="207"/>
      <c r="Y233" s="207"/>
      <c r="Z233" s="207"/>
      <c r="AA233" s="207"/>
      <c r="AB233" s="207"/>
    </row>
    <row r="234" spans="22:28" customFormat="1" ht="9.9499999999999993">
      <c r="V234" s="207"/>
      <c r="W234" s="207"/>
      <c r="X234" s="207"/>
      <c r="Y234" s="207"/>
      <c r="Z234" s="207"/>
      <c r="AA234" s="207"/>
      <c r="AB234" s="207"/>
    </row>
    <row r="235" spans="22:28" customFormat="1" ht="9.9499999999999993">
      <c r="V235" s="207"/>
      <c r="W235" s="207"/>
      <c r="X235" s="207"/>
      <c r="Y235" s="207"/>
      <c r="Z235" s="207"/>
      <c r="AA235" s="207"/>
      <c r="AB235" s="207"/>
    </row>
    <row r="236" spans="22:28" customFormat="1" ht="9.9499999999999993">
      <c r="V236" s="207"/>
      <c r="W236" s="207"/>
      <c r="X236" s="207"/>
      <c r="Y236" s="207"/>
      <c r="Z236" s="207"/>
      <c r="AA236" s="207"/>
      <c r="AB236" s="207"/>
    </row>
    <row r="237" spans="22:28" customFormat="1" ht="9.9499999999999993">
      <c r="V237" s="207"/>
      <c r="W237" s="207"/>
      <c r="X237" s="207"/>
      <c r="Y237" s="207"/>
      <c r="Z237" s="207"/>
      <c r="AA237" s="207"/>
      <c r="AB237" s="207"/>
    </row>
    <row r="238" spans="22:28" customFormat="1" ht="9.9499999999999993">
      <c r="V238" s="207"/>
      <c r="W238" s="207"/>
      <c r="X238" s="207"/>
      <c r="Y238" s="207"/>
      <c r="Z238" s="207"/>
      <c r="AA238" s="207"/>
      <c r="AB238" s="207"/>
    </row>
    <row r="239" spans="22:28" customFormat="1" ht="9.9499999999999993">
      <c r="V239" s="207"/>
      <c r="W239" s="207"/>
      <c r="X239" s="207"/>
      <c r="Y239" s="207"/>
      <c r="Z239" s="207"/>
      <c r="AA239" s="207"/>
      <c r="AB239" s="207"/>
    </row>
    <row r="240" spans="22:28" customFormat="1" ht="9.9499999999999993">
      <c r="V240" s="207"/>
      <c r="W240" s="207"/>
      <c r="X240" s="207"/>
      <c r="Y240" s="207"/>
      <c r="Z240" s="207"/>
      <c r="AA240" s="207"/>
      <c r="AB240" s="207"/>
    </row>
    <row r="241" spans="22:28" customFormat="1" ht="9.9499999999999993">
      <c r="V241" s="207"/>
      <c r="W241" s="207"/>
      <c r="X241" s="207"/>
      <c r="Y241" s="207"/>
      <c r="Z241" s="207"/>
      <c r="AA241" s="207"/>
      <c r="AB241" s="207"/>
    </row>
    <row r="242" spans="22:28" customFormat="1" ht="9.9499999999999993">
      <c r="V242" s="207"/>
      <c r="W242" s="207"/>
      <c r="X242" s="207"/>
      <c r="Y242" s="207"/>
      <c r="Z242" s="207"/>
      <c r="AA242" s="207"/>
      <c r="AB242" s="207"/>
    </row>
    <row r="243" spans="22:28" customFormat="1" ht="9.9499999999999993">
      <c r="V243" s="207"/>
      <c r="W243" s="207"/>
      <c r="X243" s="207"/>
      <c r="Y243" s="207"/>
      <c r="Z243" s="207"/>
      <c r="AA243" s="207"/>
      <c r="AB243" s="207"/>
    </row>
    <row r="244" spans="22:28" customFormat="1" ht="9.9499999999999993">
      <c r="V244" s="207"/>
      <c r="W244" s="207"/>
      <c r="X244" s="207"/>
      <c r="Y244" s="207"/>
      <c r="Z244" s="207"/>
      <c r="AA244" s="207"/>
      <c r="AB244" s="207"/>
    </row>
    <row r="245" spans="22:28" customFormat="1" ht="9.9499999999999993">
      <c r="V245" s="207"/>
      <c r="W245" s="207"/>
      <c r="X245" s="207"/>
      <c r="Y245" s="207"/>
      <c r="Z245" s="207"/>
      <c r="AA245" s="207"/>
      <c r="AB245" s="207"/>
    </row>
    <row r="246" spans="22:28" customFormat="1" ht="9.9499999999999993">
      <c r="V246" s="207"/>
      <c r="W246" s="207"/>
      <c r="X246" s="207"/>
      <c r="Y246" s="207"/>
      <c r="Z246" s="207"/>
      <c r="AA246" s="207"/>
      <c r="AB246" s="207"/>
    </row>
    <row r="247" spans="22:28" customFormat="1" ht="9.9499999999999993">
      <c r="V247" s="207"/>
      <c r="W247" s="207"/>
      <c r="X247" s="207"/>
      <c r="Y247" s="207"/>
      <c r="Z247" s="207"/>
      <c r="AA247" s="207"/>
      <c r="AB247" s="207"/>
    </row>
    <row r="248" spans="22:28" customFormat="1" ht="9.9499999999999993">
      <c r="V248" s="207"/>
      <c r="W248" s="207"/>
      <c r="X248" s="207"/>
      <c r="Y248" s="207"/>
      <c r="Z248" s="207"/>
      <c r="AA248" s="207"/>
      <c r="AB248" s="207"/>
    </row>
    <row r="249" spans="22:28" customFormat="1" ht="9.9499999999999993">
      <c r="V249" s="207"/>
      <c r="W249" s="207"/>
      <c r="X249" s="207"/>
      <c r="Y249" s="207"/>
      <c r="Z249" s="207"/>
      <c r="AA249" s="207"/>
      <c r="AB249" s="207"/>
    </row>
    <row r="250" spans="22:28" customFormat="1" ht="9.9499999999999993">
      <c r="V250" s="207"/>
      <c r="W250" s="207"/>
      <c r="X250" s="207"/>
      <c r="Y250" s="207"/>
      <c r="Z250" s="207"/>
      <c r="AA250" s="207"/>
      <c r="AB250" s="207"/>
    </row>
    <row r="251" spans="22:28" customFormat="1" ht="9.9499999999999993">
      <c r="V251" s="207"/>
      <c r="W251" s="207"/>
      <c r="X251" s="207"/>
      <c r="Y251" s="207"/>
      <c r="Z251" s="207"/>
      <c r="AA251" s="207"/>
      <c r="AB251" s="207"/>
    </row>
    <row r="252" spans="22:28" customFormat="1" ht="9.9499999999999993">
      <c r="V252" s="207"/>
      <c r="W252" s="207"/>
      <c r="X252" s="207"/>
      <c r="Y252" s="207"/>
      <c r="Z252" s="207"/>
      <c r="AA252" s="207"/>
      <c r="AB252" s="207"/>
    </row>
    <row r="253" spans="22:28" customFormat="1" ht="9.9499999999999993">
      <c r="V253" s="207"/>
      <c r="W253" s="207"/>
      <c r="X253" s="207"/>
      <c r="Y253" s="207"/>
      <c r="Z253" s="207"/>
      <c r="AA253" s="207"/>
      <c r="AB253" s="207"/>
    </row>
    <row r="254" spans="22:28" customFormat="1" ht="9.9499999999999993">
      <c r="V254" s="207"/>
      <c r="W254" s="207"/>
      <c r="X254" s="207"/>
      <c r="Y254" s="207"/>
      <c r="Z254" s="207"/>
      <c r="AA254" s="207"/>
      <c r="AB254" s="207"/>
    </row>
    <row r="255" spans="22:28" customFormat="1" ht="9.9499999999999993">
      <c r="V255" s="207"/>
      <c r="W255" s="207"/>
      <c r="X255" s="207"/>
      <c r="Y255" s="207"/>
      <c r="Z255" s="207"/>
      <c r="AA255" s="207"/>
      <c r="AB255" s="207"/>
    </row>
    <row r="256" spans="22:28" customFormat="1" ht="9.9499999999999993">
      <c r="V256" s="207"/>
      <c r="W256" s="207"/>
      <c r="X256" s="207"/>
      <c r="Y256" s="207"/>
      <c r="Z256" s="207"/>
      <c r="AA256" s="207"/>
      <c r="AB256" s="207"/>
    </row>
    <row r="257" spans="22:28" customFormat="1" ht="9.9499999999999993">
      <c r="V257" s="207"/>
      <c r="W257" s="207"/>
      <c r="X257" s="207"/>
      <c r="Y257" s="207"/>
      <c r="Z257" s="207"/>
      <c r="AA257" s="207"/>
      <c r="AB257" s="207"/>
    </row>
    <row r="258" spans="22:28" customFormat="1" ht="9.9499999999999993">
      <c r="V258" s="207"/>
      <c r="W258" s="207"/>
      <c r="X258" s="207"/>
      <c r="Y258" s="207"/>
      <c r="Z258" s="207"/>
      <c r="AA258" s="207"/>
      <c r="AB258" s="207"/>
    </row>
    <row r="259" spans="22:28" customFormat="1" ht="9.9499999999999993">
      <c r="V259" s="207"/>
      <c r="W259" s="207"/>
      <c r="X259" s="207"/>
      <c r="Y259" s="207"/>
      <c r="Z259" s="207"/>
      <c r="AA259" s="207"/>
      <c r="AB259" s="207"/>
    </row>
    <row r="260" spans="22:28" customFormat="1" ht="9.9499999999999993">
      <c r="V260" s="207"/>
      <c r="W260" s="207"/>
      <c r="X260" s="207"/>
      <c r="Y260" s="207"/>
      <c r="Z260" s="207"/>
      <c r="AA260" s="207"/>
      <c r="AB260" s="207"/>
    </row>
    <row r="261" spans="22:28" customFormat="1" ht="9.9499999999999993">
      <c r="V261" s="207"/>
      <c r="W261" s="207"/>
      <c r="X261" s="207"/>
      <c r="Y261" s="207"/>
      <c r="Z261" s="207"/>
      <c r="AA261" s="207"/>
      <c r="AB261" s="207"/>
    </row>
    <row r="262" spans="22:28" customFormat="1" ht="9.9499999999999993">
      <c r="V262" s="207"/>
      <c r="W262" s="207"/>
      <c r="X262" s="207"/>
      <c r="Y262" s="207"/>
      <c r="Z262" s="207"/>
      <c r="AA262" s="207"/>
      <c r="AB262" s="207"/>
    </row>
    <row r="263" spans="22:28" customFormat="1" ht="9.9499999999999993">
      <c r="V263" s="207"/>
      <c r="W263" s="207"/>
      <c r="X263" s="207"/>
      <c r="Y263" s="207"/>
      <c r="Z263" s="207"/>
      <c r="AA263" s="207"/>
      <c r="AB263" s="207"/>
    </row>
    <row r="264" spans="22:28" customFormat="1" ht="9.9499999999999993">
      <c r="V264" s="207"/>
      <c r="W264" s="207"/>
      <c r="X264" s="207"/>
      <c r="Y264" s="207"/>
      <c r="Z264" s="207"/>
      <c r="AA264" s="207"/>
      <c r="AB264" s="207"/>
    </row>
    <row r="265" spans="22:28" customFormat="1" ht="9.9499999999999993">
      <c r="V265" s="207"/>
      <c r="W265" s="207"/>
      <c r="X265" s="207"/>
      <c r="Y265" s="207"/>
      <c r="Z265" s="207"/>
      <c r="AA265" s="207"/>
      <c r="AB265" s="207"/>
    </row>
    <row r="266" spans="22:28" customFormat="1" ht="9.9499999999999993">
      <c r="V266" s="207"/>
      <c r="W266" s="207"/>
      <c r="X266" s="207"/>
      <c r="Y266" s="207"/>
      <c r="Z266" s="207"/>
      <c r="AA266" s="207"/>
      <c r="AB266" s="207"/>
    </row>
    <row r="267" spans="22:28" customFormat="1" ht="9.9499999999999993">
      <c r="V267" s="207"/>
      <c r="W267" s="207"/>
      <c r="X267" s="207"/>
      <c r="Y267" s="207"/>
      <c r="Z267" s="207"/>
      <c r="AA267" s="207"/>
      <c r="AB267" s="207"/>
    </row>
    <row r="268" spans="22:28" customFormat="1" ht="9.9499999999999993">
      <c r="V268" s="207"/>
      <c r="W268" s="207"/>
      <c r="X268" s="207"/>
      <c r="Y268" s="207"/>
      <c r="Z268" s="207"/>
      <c r="AA268" s="207"/>
      <c r="AB268" s="207"/>
    </row>
    <row r="269" spans="22:28" customFormat="1" ht="9.9499999999999993">
      <c r="V269" s="207"/>
      <c r="W269" s="207"/>
      <c r="X269" s="207"/>
      <c r="Y269" s="207"/>
      <c r="Z269" s="207"/>
      <c r="AA269" s="207"/>
      <c r="AB269" s="207"/>
    </row>
    <row r="270" spans="22:28" customFormat="1" ht="9.9499999999999993">
      <c r="V270" s="207"/>
      <c r="W270" s="207"/>
      <c r="X270" s="207"/>
      <c r="Y270" s="207"/>
      <c r="Z270" s="207"/>
      <c r="AA270" s="207"/>
      <c r="AB270" s="207"/>
    </row>
    <row r="271" spans="22:28" customFormat="1" ht="9.9499999999999993">
      <c r="V271" s="207"/>
      <c r="W271" s="207"/>
      <c r="X271" s="207"/>
      <c r="Y271" s="207"/>
      <c r="Z271" s="207"/>
      <c r="AA271" s="207"/>
      <c r="AB271" s="207"/>
    </row>
    <row r="272" spans="22:28" customFormat="1" ht="9.9499999999999993">
      <c r="V272" s="207"/>
      <c r="W272" s="207"/>
      <c r="X272" s="207"/>
      <c r="Y272" s="207"/>
      <c r="Z272" s="207"/>
      <c r="AA272" s="207"/>
      <c r="AB272" s="207"/>
    </row>
    <row r="273" spans="22:28" customFormat="1" ht="9.9499999999999993">
      <c r="V273" s="207"/>
      <c r="W273" s="207"/>
      <c r="X273" s="207"/>
      <c r="Y273" s="207"/>
      <c r="Z273" s="207"/>
      <c r="AA273" s="207"/>
      <c r="AB273" s="207"/>
    </row>
    <row r="274" spans="22:28" customFormat="1" ht="9.9499999999999993">
      <c r="V274" s="207"/>
      <c r="W274" s="207"/>
      <c r="X274" s="207"/>
      <c r="Y274" s="207"/>
      <c r="Z274" s="207"/>
      <c r="AA274" s="207"/>
      <c r="AB274" s="207"/>
    </row>
    <row r="275" spans="22:28" customFormat="1" ht="9.9499999999999993">
      <c r="V275" s="207"/>
      <c r="W275" s="207"/>
      <c r="X275" s="207"/>
      <c r="Y275" s="207"/>
      <c r="Z275" s="207"/>
      <c r="AA275" s="207"/>
      <c r="AB275" s="207"/>
    </row>
    <row r="276" spans="22:28" customFormat="1" ht="9.9499999999999993">
      <c r="V276" s="207"/>
      <c r="W276" s="207"/>
      <c r="X276" s="207"/>
      <c r="Y276" s="207"/>
      <c r="Z276" s="207"/>
      <c r="AA276" s="207"/>
      <c r="AB276" s="207"/>
    </row>
    <row r="277" spans="22:28" customFormat="1" ht="9.9499999999999993">
      <c r="V277" s="207"/>
      <c r="W277" s="207"/>
      <c r="X277" s="207"/>
      <c r="Y277" s="207"/>
      <c r="Z277" s="207"/>
      <c r="AA277" s="207"/>
      <c r="AB277" s="207"/>
    </row>
    <row r="278" spans="22:28" customFormat="1" ht="9.9499999999999993">
      <c r="V278" s="207"/>
      <c r="W278" s="207"/>
      <c r="X278" s="207"/>
      <c r="Y278" s="207"/>
      <c r="Z278" s="207"/>
      <c r="AA278" s="207"/>
      <c r="AB278" s="207"/>
    </row>
    <row r="279" spans="22:28" customFormat="1" ht="9.9499999999999993">
      <c r="V279" s="207"/>
      <c r="W279" s="207"/>
      <c r="X279" s="207"/>
      <c r="Y279" s="207"/>
      <c r="Z279" s="207"/>
      <c r="AA279" s="207"/>
      <c r="AB279" s="207"/>
    </row>
    <row r="280" spans="22:28" customFormat="1" ht="9.9499999999999993">
      <c r="V280" s="207"/>
      <c r="W280" s="207"/>
      <c r="X280" s="207"/>
      <c r="Y280" s="207"/>
      <c r="Z280" s="207"/>
      <c r="AA280" s="207"/>
      <c r="AB280" s="207"/>
    </row>
    <row r="281" spans="22:28" customFormat="1" ht="9.9499999999999993">
      <c r="V281" s="207"/>
      <c r="W281" s="207"/>
      <c r="X281" s="207"/>
      <c r="Y281" s="207"/>
      <c r="Z281" s="207"/>
      <c r="AA281" s="207"/>
      <c r="AB281" s="207"/>
    </row>
    <row r="282" spans="22:28" customFormat="1" ht="9.9499999999999993">
      <c r="V282" s="207"/>
      <c r="W282" s="207"/>
      <c r="X282" s="207"/>
      <c r="Y282" s="207"/>
      <c r="Z282" s="207"/>
      <c r="AA282" s="207"/>
      <c r="AB282" s="207"/>
    </row>
    <row r="283" spans="22:28" customFormat="1" ht="9.9499999999999993">
      <c r="V283" s="207"/>
      <c r="W283" s="207"/>
      <c r="X283" s="207"/>
      <c r="Y283" s="207"/>
      <c r="Z283" s="207"/>
      <c r="AA283" s="207"/>
      <c r="AB283" s="207"/>
    </row>
    <row r="284" spans="22:28" customFormat="1" ht="9.9499999999999993">
      <c r="V284" s="207"/>
      <c r="W284" s="207"/>
      <c r="X284" s="207"/>
      <c r="Y284" s="207"/>
      <c r="Z284" s="207"/>
      <c r="AA284" s="207"/>
      <c r="AB284" s="207"/>
    </row>
    <row r="285" spans="22:28" customFormat="1" ht="9.9499999999999993">
      <c r="V285" s="207"/>
      <c r="W285" s="207"/>
      <c r="X285" s="207"/>
      <c r="Y285" s="207"/>
      <c r="Z285" s="207"/>
      <c r="AA285" s="207"/>
      <c r="AB285" s="207"/>
    </row>
    <row r="286" spans="22:28" customFormat="1" ht="9.9499999999999993">
      <c r="V286" s="207"/>
      <c r="W286" s="207"/>
      <c r="X286" s="207"/>
      <c r="Y286" s="207"/>
      <c r="Z286" s="207"/>
      <c r="AA286" s="207"/>
      <c r="AB286" s="207"/>
    </row>
    <row r="287" spans="22:28" customFormat="1" ht="9.9499999999999993">
      <c r="V287" s="207"/>
      <c r="W287" s="207"/>
      <c r="X287" s="207"/>
      <c r="Y287" s="207"/>
      <c r="Z287" s="207"/>
      <c r="AA287" s="207"/>
      <c r="AB287" s="207"/>
    </row>
    <row r="288" spans="22:28" customFormat="1" ht="9.9499999999999993">
      <c r="V288" s="207"/>
      <c r="W288" s="207"/>
      <c r="X288" s="207"/>
      <c r="Y288" s="207"/>
      <c r="Z288" s="207"/>
      <c r="AA288" s="207"/>
      <c r="AB288" s="207"/>
    </row>
    <row r="289" spans="22:28" customFormat="1" ht="9.9499999999999993">
      <c r="V289" s="207"/>
      <c r="W289" s="207"/>
      <c r="X289" s="207"/>
      <c r="Y289" s="207"/>
      <c r="Z289" s="207"/>
      <c r="AA289" s="207"/>
      <c r="AB289" s="207"/>
    </row>
    <row r="290" spans="22:28" customFormat="1" ht="9.9499999999999993">
      <c r="V290" s="207"/>
      <c r="W290" s="207"/>
      <c r="X290" s="207"/>
      <c r="Y290" s="207"/>
      <c r="Z290" s="207"/>
      <c r="AA290" s="207"/>
      <c r="AB290" s="207"/>
    </row>
    <row r="291" spans="22:28" customFormat="1" ht="9.9499999999999993">
      <c r="V291" s="207"/>
      <c r="W291" s="207"/>
      <c r="X291" s="207"/>
      <c r="Y291" s="207"/>
      <c r="Z291" s="207"/>
      <c r="AA291" s="207"/>
      <c r="AB291" s="207"/>
    </row>
    <row r="292" spans="22:28" customFormat="1" ht="9.9499999999999993">
      <c r="V292" s="207"/>
      <c r="W292" s="207"/>
      <c r="X292" s="207"/>
      <c r="Y292" s="207"/>
      <c r="Z292" s="207"/>
      <c r="AA292" s="207"/>
      <c r="AB292" s="207"/>
    </row>
    <row r="293" spans="22:28" customFormat="1" ht="9.9499999999999993">
      <c r="V293" s="207"/>
      <c r="W293" s="207"/>
      <c r="X293" s="207"/>
      <c r="Y293" s="207"/>
      <c r="Z293" s="207"/>
      <c r="AA293" s="207"/>
      <c r="AB293" s="207"/>
    </row>
    <row r="294" spans="22:28" customFormat="1" ht="9.9499999999999993">
      <c r="V294" s="207"/>
      <c r="W294" s="207"/>
      <c r="X294" s="207"/>
      <c r="Y294" s="207"/>
      <c r="Z294" s="207"/>
      <c r="AA294" s="207"/>
      <c r="AB294" s="207"/>
    </row>
    <row r="295" spans="22:28" customFormat="1" ht="9.9499999999999993">
      <c r="V295" s="207"/>
      <c r="W295" s="207"/>
      <c r="X295" s="207"/>
      <c r="Y295" s="207"/>
      <c r="Z295" s="207"/>
      <c r="AA295" s="207"/>
      <c r="AB295" s="207"/>
    </row>
    <row r="296" spans="22:28" customFormat="1" ht="9.9499999999999993">
      <c r="V296" s="207"/>
      <c r="W296" s="207"/>
      <c r="X296" s="207"/>
      <c r="Y296" s="207"/>
      <c r="Z296" s="207"/>
      <c r="AA296" s="207"/>
      <c r="AB296" s="207"/>
    </row>
    <row r="297" spans="22:28" customFormat="1" ht="9.9499999999999993">
      <c r="V297" s="207"/>
      <c r="W297" s="207"/>
      <c r="X297" s="207"/>
      <c r="Y297" s="207"/>
      <c r="Z297" s="207"/>
      <c r="AA297" s="207"/>
      <c r="AB297" s="207"/>
    </row>
    <row r="298" spans="22:28" customFormat="1" ht="9.9499999999999993">
      <c r="V298" s="207"/>
      <c r="W298" s="207"/>
      <c r="X298" s="207"/>
      <c r="Y298" s="207"/>
      <c r="Z298" s="207"/>
      <c r="AA298" s="207"/>
      <c r="AB298" s="207"/>
    </row>
    <row r="299" spans="22:28" customFormat="1" ht="9.9499999999999993">
      <c r="V299" s="207"/>
      <c r="W299" s="207"/>
      <c r="X299" s="207"/>
      <c r="Y299" s="207"/>
      <c r="Z299" s="207"/>
      <c r="AA299" s="207"/>
      <c r="AB299" s="207"/>
    </row>
    <row r="300" spans="22:28" customFormat="1" ht="9.9499999999999993">
      <c r="V300" s="207"/>
      <c r="W300" s="207"/>
      <c r="X300" s="207"/>
      <c r="Y300" s="207"/>
      <c r="Z300" s="207"/>
      <c r="AA300" s="207"/>
      <c r="AB300" s="207"/>
    </row>
    <row r="301" spans="22:28" customFormat="1" ht="9.9499999999999993">
      <c r="V301" s="207"/>
      <c r="W301" s="207"/>
      <c r="X301" s="207"/>
      <c r="Y301" s="207"/>
      <c r="Z301" s="207"/>
      <c r="AA301" s="207"/>
      <c r="AB301" s="207"/>
    </row>
    <row r="302" spans="22:28" customFormat="1" ht="9.9499999999999993">
      <c r="V302" s="207"/>
      <c r="W302" s="207"/>
      <c r="X302" s="207"/>
      <c r="Y302" s="207"/>
      <c r="Z302" s="207"/>
      <c r="AA302" s="207"/>
      <c r="AB302" s="207"/>
    </row>
    <row r="303" spans="22:28" customFormat="1" ht="9.9499999999999993">
      <c r="V303" s="207"/>
      <c r="W303" s="207"/>
      <c r="X303" s="207"/>
      <c r="Y303" s="207"/>
      <c r="Z303" s="207"/>
      <c r="AA303" s="207"/>
      <c r="AB303" s="207"/>
    </row>
    <row r="304" spans="22:28" customFormat="1" ht="9.9499999999999993">
      <c r="V304" s="207"/>
      <c r="W304" s="207"/>
      <c r="X304" s="207"/>
      <c r="Y304" s="207"/>
      <c r="Z304" s="207"/>
      <c r="AA304" s="207"/>
      <c r="AB304" s="207"/>
    </row>
    <row r="305" spans="22:28" customFormat="1" ht="9.9499999999999993">
      <c r="V305" s="207"/>
      <c r="W305" s="207"/>
      <c r="X305" s="207"/>
      <c r="Y305" s="207"/>
      <c r="Z305" s="207"/>
      <c r="AA305" s="207"/>
      <c r="AB305" s="207"/>
    </row>
    <row r="306" spans="22:28" customFormat="1" ht="9.9499999999999993">
      <c r="V306" s="207"/>
      <c r="W306" s="207"/>
      <c r="X306" s="207"/>
      <c r="Y306" s="207"/>
      <c r="Z306" s="207"/>
      <c r="AA306" s="207"/>
      <c r="AB306" s="207"/>
    </row>
    <row r="307" spans="22:28" customFormat="1" ht="9.9499999999999993">
      <c r="V307" s="207"/>
      <c r="W307" s="207"/>
      <c r="X307" s="207"/>
      <c r="Y307" s="207"/>
      <c r="Z307" s="207"/>
      <c r="AA307" s="207"/>
      <c r="AB307" s="207"/>
    </row>
    <row r="308" spans="22:28" customFormat="1" ht="9.9499999999999993">
      <c r="V308" s="207"/>
      <c r="W308" s="207"/>
      <c r="X308" s="207"/>
      <c r="Y308" s="207"/>
      <c r="Z308" s="207"/>
      <c r="AA308" s="207"/>
      <c r="AB308" s="207"/>
    </row>
    <row r="309" spans="22:28" customFormat="1" ht="9.9499999999999993">
      <c r="V309" s="207"/>
      <c r="W309" s="207"/>
      <c r="X309" s="207"/>
      <c r="Y309" s="207"/>
      <c r="Z309" s="207"/>
      <c r="AA309" s="207"/>
      <c r="AB309" s="207"/>
    </row>
    <row r="310" spans="22:28" customFormat="1" ht="9.9499999999999993">
      <c r="V310" s="207"/>
      <c r="W310" s="207"/>
      <c r="X310" s="207"/>
      <c r="Y310" s="207"/>
      <c r="Z310" s="207"/>
      <c r="AA310" s="207"/>
      <c r="AB310" s="207"/>
    </row>
    <row r="311" spans="22:28" customFormat="1" ht="9.9499999999999993">
      <c r="V311" s="207"/>
      <c r="W311" s="207"/>
      <c r="X311" s="207"/>
      <c r="Y311" s="207"/>
      <c r="Z311" s="207"/>
      <c r="AA311" s="207"/>
      <c r="AB311" s="207"/>
    </row>
    <row r="312" spans="22:28" customFormat="1" ht="9.9499999999999993">
      <c r="V312" s="207"/>
      <c r="W312" s="207"/>
      <c r="X312" s="207"/>
      <c r="Y312" s="207"/>
      <c r="Z312" s="207"/>
      <c r="AA312" s="207"/>
      <c r="AB312" s="207"/>
    </row>
    <row r="313" spans="22:28" customFormat="1" ht="9.9499999999999993">
      <c r="V313" s="207"/>
      <c r="W313" s="207"/>
      <c r="X313" s="207"/>
      <c r="Y313" s="207"/>
      <c r="Z313" s="207"/>
      <c r="AA313" s="207"/>
      <c r="AB313" s="207"/>
    </row>
    <row r="314" spans="22:28" customFormat="1" ht="9.9499999999999993">
      <c r="V314" s="207"/>
      <c r="W314" s="207"/>
      <c r="X314" s="207"/>
      <c r="Y314" s="207"/>
      <c r="Z314" s="207"/>
      <c r="AA314" s="207"/>
      <c r="AB314" s="207"/>
    </row>
    <row r="315" spans="22:28" customFormat="1" ht="9.9499999999999993">
      <c r="V315" s="207"/>
      <c r="W315" s="207"/>
      <c r="X315" s="207"/>
      <c r="Y315" s="207"/>
      <c r="Z315" s="207"/>
      <c r="AA315" s="207"/>
      <c r="AB315" s="207"/>
    </row>
    <row r="316" spans="22:28" customFormat="1" ht="9.9499999999999993">
      <c r="V316" s="207"/>
      <c r="W316" s="207"/>
      <c r="X316" s="207"/>
      <c r="Y316" s="207"/>
      <c r="Z316" s="207"/>
      <c r="AA316" s="207"/>
      <c r="AB316" s="207"/>
    </row>
    <row r="317" spans="22:28" customFormat="1" ht="9.9499999999999993">
      <c r="V317" s="207"/>
      <c r="W317" s="207"/>
      <c r="X317" s="207"/>
      <c r="Y317" s="207"/>
      <c r="Z317" s="207"/>
      <c r="AA317" s="207"/>
      <c r="AB317" s="207"/>
    </row>
    <row r="318" spans="22:28" customFormat="1" ht="9.9499999999999993">
      <c r="V318" s="207"/>
      <c r="W318" s="207"/>
      <c r="X318" s="207"/>
      <c r="Y318" s="207"/>
      <c r="Z318" s="207"/>
      <c r="AA318" s="207"/>
      <c r="AB318" s="207"/>
    </row>
    <row r="319" spans="22:28" customFormat="1" ht="9.9499999999999993">
      <c r="V319" s="207"/>
      <c r="W319" s="207"/>
      <c r="X319" s="207"/>
      <c r="Y319" s="207"/>
      <c r="Z319" s="207"/>
      <c r="AA319" s="207"/>
      <c r="AB319" s="207"/>
    </row>
    <row r="320" spans="22:28" customFormat="1" ht="9.9499999999999993">
      <c r="V320" s="207"/>
      <c r="W320" s="207"/>
      <c r="X320" s="207"/>
      <c r="Y320" s="207"/>
      <c r="Z320" s="207"/>
      <c r="AA320" s="207"/>
      <c r="AB320" s="207"/>
    </row>
    <row r="321" spans="22:28" customFormat="1" ht="9.9499999999999993">
      <c r="V321" s="207"/>
      <c r="W321" s="207"/>
      <c r="X321" s="207"/>
      <c r="Y321" s="207"/>
      <c r="Z321" s="207"/>
      <c r="AA321" s="207"/>
      <c r="AB321" s="207"/>
    </row>
    <row r="322" spans="22:28" customFormat="1" ht="9.9499999999999993">
      <c r="V322" s="207"/>
      <c r="W322" s="207"/>
      <c r="X322" s="207"/>
      <c r="Y322" s="207"/>
      <c r="Z322" s="207"/>
      <c r="AA322" s="207"/>
      <c r="AB322" s="207"/>
    </row>
    <row r="323" spans="22:28" customFormat="1" ht="9.9499999999999993">
      <c r="V323" s="207"/>
      <c r="W323" s="207"/>
      <c r="X323" s="207"/>
      <c r="Y323" s="207"/>
      <c r="Z323" s="207"/>
      <c r="AA323" s="207"/>
      <c r="AB323" s="207"/>
    </row>
    <row r="324" spans="22:28" customFormat="1" ht="9.9499999999999993">
      <c r="V324" s="207"/>
      <c r="W324" s="207"/>
      <c r="X324" s="207"/>
      <c r="Y324" s="207"/>
      <c r="Z324" s="207"/>
      <c r="AA324" s="207"/>
      <c r="AB324" s="207"/>
    </row>
    <row r="325" spans="22:28" customFormat="1" ht="9.9499999999999993">
      <c r="V325" s="207"/>
      <c r="W325" s="207"/>
      <c r="X325" s="207"/>
      <c r="Y325" s="207"/>
      <c r="Z325" s="207"/>
      <c r="AA325" s="207"/>
      <c r="AB325" s="207"/>
    </row>
    <row r="326" spans="22:28" customFormat="1" ht="9.9499999999999993">
      <c r="V326" s="207"/>
      <c r="W326" s="207"/>
      <c r="X326" s="207"/>
      <c r="Y326" s="207"/>
      <c r="Z326" s="207"/>
      <c r="AA326" s="207"/>
      <c r="AB326" s="207"/>
    </row>
    <row r="327" spans="22:28" customFormat="1" ht="9.9499999999999993">
      <c r="V327" s="207"/>
      <c r="W327" s="207"/>
      <c r="X327" s="207"/>
      <c r="Y327" s="207"/>
      <c r="Z327" s="207"/>
      <c r="AA327" s="207"/>
      <c r="AB327" s="207"/>
    </row>
    <row r="328" spans="22:28" customFormat="1" ht="9.9499999999999993">
      <c r="V328" s="207"/>
      <c r="W328" s="207"/>
      <c r="X328" s="207"/>
      <c r="Y328" s="207"/>
      <c r="Z328" s="207"/>
      <c r="AA328" s="207"/>
      <c r="AB328" s="207"/>
    </row>
    <row r="329" spans="22:28" customFormat="1" ht="9.9499999999999993">
      <c r="V329" s="207"/>
      <c r="W329" s="207"/>
      <c r="X329" s="207"/>
      <c r="Y329" s="207"/>
      <c r="Z329" s="207"/>
      <c r="AA329" s="207"/>
      <c r="AB329" s="207"/>
    </row>
    <row r="330" spans="22:28" customFormat="1" ht="9.9499999999999993">
      <c r="V330" s="207"/>
      <c r="W330" s="207"/>
      <c r="X330" s="207"/>
      <c r="Y330" s="207"/>
      <c r="Z330" s="207"/>
      <c r="AA330" s="207"/>
      <c r="AB330" s="207"/>
    </row>
    <row r="331" spans="22:28" customFormat="1" ht="9.9499999999999993">
      <c r="V331" s="207"/>
      <c r="W331" s="207"/>
      <c r="X331" s="207"/>
      <c r="Y331" s="207"/>
      <c r="Z331" s="207"/>
      <c r="AA331" s="207"/>
      <c r="AB331" s="207"/>
    </row>
    <row r="332" spans="22:28" customFormat="1" ht="9.9499999999999993">
      <c r="V332" s="207"/>
      <c r="W332" s="207"/>
      <c r="X332" s="207"/>
      <c r="Y332" s="207"/>
      <c r="Z332" s="207"/>
      <c r="AA332" s="207"/>
      <c r="AB332" s="207"/>
    </row>
    <row r="333" spans="22:28" customFormat="1" ht="9.9499999999999993">
      <c r="V333" s="207"/>
      <c r="W333" s="207"/>
      <c r="X333" s="207"/>
      <c r="Y333" s="207"/>
      <c r="Z333" s="207"/>
      <c r="AA333" s="207"/>
      <c r="AB333" s="207"/>
    </row>
    <row r="334" spans="22:28" customFormat="1" ht="9.9499999999999993">
      <c r="V334" s="207"/>
      <c r="W334" s="207"/>
      <c r="X334" s="207"/>
      <c r="Y334" s="207"/>
      <c r="Z334" s="207"/>
      <c r="AA334" s="207"/>
      <c r="AB334" s="207"/>
    </row>
    <row r="335" spans="22:28" customFormat="1" ht="9.9499999999999993">
      <c r="V335" s="207"/>
      <c r="W335" s="207"/>
      <c r="X335" s="207"/>
      <c r="Y335" s="207"/>
      <c r="Z335" s="207"/>
      <c r="AA335" s="207"/>
      <c r="AB335" s="207"/>
    </row>
    <row r="336" spans="22:28" customFormat="1" ht="9.9499999999999993">
      <c r="V336" s="207"/>
      <c r="W336" s="207"/>
      <c r="X336" s="207"/>
      <c r="Y336" s="207"/>
      <c r="Z336" s="207"/>
      <c r="AA336" s="207"/>
      <c r="AB336" s="207"/>
    </row>
    <row r="337" spans="22:28" customFormat="1" ht="9.9499999999999993">
      <c r="V337" s="207"/>
      <c r="W337" s="207"/>
      <c r="X337" s="207"/>
      <c r="Y337" s="207"/>
      <c r="Z337" s="207"/>
      <c r="AA337" s="207"/>
      <c r="AB337" s="207"/>
    </row>
    <row r="338" spans="22:28" customFormat="1" ht="9.9499999999999993">
      <c r="V338" s="207"/>
      <c r="W338" s="207"/>
      <c r="X338" s="207"/>
      <c r="Y338" s="207"/>
      <c r="Z338" s="207"/>
      <c r="AA338" s="207"/>
      <c r="AB338" s="207"/>
    </row>
    <row r="339" spans="22:28" customFormat="1" ht="9.9499999999999993">
      <c r="V339" s="207"/>
      <c r="W339" s="207"/>
      <c r="X339" s="207"/>
      <c r="Y339" s="207"/>
      <c r="Z339" s="207"/>
      <c r="AA339" s="207"/>
      <c r="AB339" s="207"/>
    </row>
    <row r="340" spans="22:28" customFormat="1" ht="9.9499999999999993">
      <c r="V340" s="207"/>
      <c r="W340" s="207"/>
      <c r="X340" s="207"/>
      <c r="Y340" s="207"/>
      <c r="Z340" s="207"/>
      <c r="AA340" s="207"/>
      <c r="AB340" s="207"/>
    </row>
    <row r="341" spans="22:28" customFormat="1" ht="9.9499999999999993">
      <c r="V341" s="207"/>
      <c r="W341" s="207"/>
      <c r="X341" s="207"/>
      <c r="Y341" s="207"/>
      <c r="Z341" s="207"/>
      <c r="AA341" s="207"/>
      <c r="AB341" s="207"/>
    </row>
    <row r="342" spans="22:28" customFormat="1" ht="9.9499999999999993">
      <c r="V342" s="207"/>
      <c r="W342" s="207"/>
      <c r="X342" s="207"/>
      <c r="Y342" s="207"/>
      <c r="Z342" s="207"/>
      <c r="AA342" s="207"/>
      <c r="AB342" s="207"/>
    </row>
    <row r="343" spans="22:28" customFormat="1" ht="9.9499999999999993">
      <c r="V343" s="207"/>
      <c r="W343" s="207"/>
      <c r="X343" s="207"/>
      <c r="Y343" s="207"/>
      <c r="Z343" s="207"/>
      <c r="AA343" s="207"/>
      <c r="AB343" s="207"/>
    </row>
    <row r="344" spans="22:28" customFormat="1" ht="9.9499999999999993">
      <c r="V344" s="207"/>
      <c r="W344" s="207"/>
      <c r="X344" s="207"/>
      <c r="Y344" s="207"/>
      <c r="Z344" s="207"/>
      <c r="AA344" s="207"/>
      <c r="AB344" s="207"/>
    </row>
    <row r="345" spans="22:28" customFormat="1" ht="9.9499999999999993">
      <c r="V345" s="207"/>
      <c r="W345" s="207"/>
      <c r="X345" s="207"/>
      <c r="Y345" s="207"/>
      <c r="Z345" s="207"/>
      <c r="AA345" s="207"/>
      <c r="AB345" s="207"/>
    </row>
    <row r="346" spans="22:28" customFormat="1" ht="9.9499999999999993">
      <c r="V346" s="207"/>
      <c r="W346" s="207"/>
      <c r="X346" s="207"/>
      <c r="Y346" s="207"/>
      <c r="Z346" s="207"/>
      <c r="AA346" s="207"/>
      <c r="AB346" s="207"/>
    </row>
    <row r="347" spans="22:28" customFormat="1" ht="9.9499999999999993">
      <c r="V347" s="207"/>
      <c r="W347" s="207"/>
      <c r="X347" s="207"/>
      <c r="Y347" s="207"/>
      <c r="Z347" s="207"/>
      <c r="AA347" s="207"/>
      <c r="AB347" s="207"/>
    </row>
    <row r="348" spans="22:28" customFormat="1" ht="9.9499999999999993">
      <c r="V348" s="207"/>
      <c r="W348" s="207"/>
      <c r="X348" s="207"/>
      <c r="Y348" s="207"/>
      <c r="Z348" s="207"/>
      <c r="AA348" s="207"/>
      <c r="AB348" s="207"/>
    </row>
    <row r="349" spans="22:28" customFormat="1" ht="9.9499999999999993">
      <c r="V349" s="207"/>
      <c r="W349" s="207"/>
      <c r="X349" s="207"/>
      <c r="Y349" s="207"/>
      <c r="Z349" s="207"/>
      <c r="AA349" s="207"/>
      <c r="AB349" s="207"/>
    </row>
    <row r="350" spans="22:28" customFormat="1" ht="9.9499999999999993">
      <c r="V350" s="207"/>
      <c r="W350" s="207"/>
      <c r="X350" s="207"/>
      <c r="Y350" s="207"/>
      <c r="Z350" s="207"/>
      <c r="AA350" s="207"/>
      <c r="AB350" s="207"/>
    </row>
    <row r="351" spans="22:28" customFormat="1" ht="9.9499999999999993">
      <c r="V351" s="207"/>
      <c r="W351" s="207"/>
      <c r="X351" s="207"/>
      <c r="Y351" s="207"/>
      <c r="Z351" s="207"/>
      <c r="AA351" s="207"/>
      <c r="AB351" s="207"/>
    </row>
    <row r="352" spans="22:28" customFormat="1" ht="9.9499999999999993">
      <c r="V352" s="207"/>
      <c r="W352" s="207"/>
      <c r="X352" s="207"/>
      <c r="Y352" s="207"/>
      <c r="Z352" s="207"/>
      <c r="AA352" s="207"/>
      <c r="AB352" s="207"/>
    </row>
    <row r="353" spans="22:28" customFormat="1" ht="9.9499999999999993">
      <c r="V353" s="207"/>
      <c r="W353" s="207"/>
      <c r="X353" s="207"/>
      <c r="Y353" s="207"/>
      <c r="Z353" s="207"/>
      <c r="AA353" s="207"/>
      <c r="AB353" s="207"/>
    </row>
    <row r="354" spans="22:28" customFormat="1" ht="9.9499999999999993">
      <c r="V354" s="207"/>
      <c r="W354" s="207"/>
      <c r="X354" s="207"/>
      <c r="Y354" s="207"/>
      <c r="Z354" s="207"/>
      <c r="AA354" s="207"/>
      <c r="AB354" s="207"/>
    </row>
    <row r="355" spans="22:28" customFormat="1" ht="9.9499999999999993">
      <c r="V355" s="207"/>
      <c r="W355" s="207"/>
      <c r="X355" s="207"/>
      <c r="Y355" s="207"/>
      <c r="Z355" s="207"/>
      <c r="AA355" s="207"/>
      <c r="AB355" s="207"/>
    </row>
    <row r="356" spans="22:28" customFormat="1" ht="9.9499999999999993">
      <c r="V356" s="207"/>
      <c r="W356" s="207"/>
      <c r="X356" s="207"/>
      <c r="Y356" s="207"/>
      <c r="Z356" s="207"/>
      <c r="AA356" s="207"/>
      <c r="AB356" s="207"/>
    </row>
    <row r="357" spans="22:28" customFormat="1" ht="9.9499999999999993">
      <c r="V357" s="207"/>
      <c r="W357" s="207"/>
      <c r="X357" s="207"/>
      <c r="Y357" s="207"/>
      <c r="Z357" s="207"/>
      <c r="AA357" s="207"/>
      <c r="AB357" s="207"/>
    </row>
    <row r="358" spans="22:28" customFormat="1" ht="9.9499999999999993">
      <c r="V358" s="207"/>
      <c r="W358" s="207"/>
      <c r="X358" s="207"/>
      <c r="Y358" s="207"/>
      <c r="Z358" s="207"/>
      <c r="AA358" s="207"/>
      <c r="AB358" s="207"/>
    </row>
    <row r="359" spans="22:28" customFormat="1" ht="9.9499999999999993">
      <c r="V359" s="207"/>
      <c r="W359" s="207"/>
      <c r="X359" s="207"/>
      <c r="Y359" s="207"/>
      <c r="Z359" s="207"/>
      <c r="AA359" s="207"/>
      <c r="AB359" s="207"/>
    </row>
    <row r="360" spans="22:28" customFormat="1" ht="9.9499999999999993">
      <c r="V360" s="207"/>
      <c r="W360" s="207"/>
      <c r="X360" s="207"/>
      <c r="Y360" s="207"/>
      <c r="Z360" s="207"/>
      <c r="AA360" s="207"/>
      <c r="AB360" s="207"/>
    </row>
    <row r="361" spans="22:28" customFormat="1" ht="9.9499999999999993">
      <c r="V361" s="207"/>
      <c r="W361" s="207"/>
      <c r="X361" s="207"/>
      <c r="Y361" s="207"/>
      <c r="Z361" s="207"/>
      <c r="AA361" s="207"/>
      <c r="AB361" s="207"/>
    </row>
    <row r="362" spans="22:28" customFormat="1" ht="9.9499999999999993">
      <c r="V362" s="207"/>
      <c r="W362" s="207"/>
      <c r="X362" s="207"/>
      <c r="Y362" s="207"/>
      <c r="Z362" s="207"/>
      <c r="AA362" s="207"/>
      <c r="AB362" s="207"/>
    </row>
    <row r="363" spans="22:28" customFormat="1" ht="9.9499999999999993">
      <c r="V363" s="207"/>
      <c r="W363" s="207"/>
      <c r="X363" s="207"/>
      <c r="Y363" s="207"/>
      <c r="Z363" s="207"/>
      <c r="AA363" s="207"/>
      <c r="AB363" s="207"/>
    </row>
    <row r="364" spans="22:28" customFormat="1" ht="9.9499999999999993">
      <c r="V364" s="207"/>
      <c r="W364" s="207"/>
      <c r="X364" s="207"/>
      <c r="Y364" s="207"/>
      <c r="Z364" s="207"/>
      <c r="AA364" s="207"/>
      <c r="AB364" s="207"/>
    </row>
    <row r="365" spans="22:28" customFormat="1" ht="9.9499999999999993">
      <c r="V365" s="207"/>
      <c r="W365" s="207"/>
      <c r="X365" s="207"/>
      <c r="Y365" s="207"/>
      <c r="Z365" s="207"/>
      <c r="AA365" s="207"/>
      <c r="AB365" s="207"/>
    </row>
    <row r="366" spans="22:28" customFormat="1" ht="9.9499999999999993">
      <c r="V366" s="207"/>
      <c r="W366" s="207"/>
      <c r="X366" s="207"/>
      <c r="Y366" s="207"/>
      <c r="Z366" s="207"/>
      <c r="AA366" s="207"/>
      <c r="AB366" s="207"/>
    </row>
    <row r="367" spans="22:28" customFormat="1" ht="9.9499999999999993">
      <c r="V367" s="207"/>
      <c r="W367" s="207"/>
      <c r="X367" s="207"/>
      <c r="Y367" s="207"/>
      <c r="Z367" s="207"/>
      <c r="AA367" s="207"/>
      <c r="AB367" s="207"/>
    </row>
    <row r="368" spans="22:28" customFormat="1" ht="9.9499999999999993">
      <c r="V368" s="207"/>
      <c r="W368" s="207"/>
      <c r="X368" s="207"/>
      <c r="Y368" s="207"/>
      <c r="Z368" s="207"/>
      <c r="AA368" s="207"/>
      <c r="AB368" s="207"/>
    </row>
    <row r="369" spans="22:28" customFormat="1" ht="9.9499999999999993">
      <c r="V369" s="207"/>
      <c r="W369" s="207"/>
      <c r="X369" s="207"/>
      <c r="Y369" s="207"/>
      <c r="Z369" s="207"/>
      <c r="AA369" s="207"/>
      <c r="AB369" s="207"/>
    </row>
    <row r="370" spans="22:28" customFormat="1" ht="9.9499999999999993">
      <c r="V370" s="207"/>
      <c r="W370" s="207"/>
      <c r="X370" s="207"/>
      <c r="Y370" s="207"/>
      <c r="Z370" s="207"/>
      <c r="AA370" s="207"/>
      <c r="AB370" s="207"/>
    </row>
    <row r="371" spans="22:28" customFormat="1" ht="9.9499999999999993">
      <c r="V371" s="207"/>
      <c r="W371" s="207"/>
      <c r="X371" s="207"/>
      <c r="Y371" s="207"/>
      <c r="Z371" s="207"/>
      <c r="AA371" s="207"/>
      <c r="AB371" s="207"/>
    </row>
    <row r="372" spans="22:28" customFormat="1" ht="9.9499999999999993">
      <c r="V372" s="207"/>
      <c r="W372" s="207"/>
      <c r="X372" s="207"/>
      <c r="Y372" s="207"/>
      <c r="Z372" s="207"/>
      <c r="AA372" s="207"/>
      <c r="AB372" s="207"/>
    </row>
    <row r="373" spans="22:28" customFormat="1" ht="9.9499999999999993">
      <c r="V373" s="207"/>
      <c r="W373" s="207"/>
      <c r="X373" s="207"/>
      <c r="Y373" s="207"/>
      <c r="Z373" s="207"/>
      <c r="AA373" s="207"/>
      <c r="AB373" s="207"/>
    </row>
    <row r="374" spans="22:28" customFormat="1" ht="9.9499999999999993">
      <c r="V374" s="207"/>
      <c r="W374" s="207"/>
      <c r="X374" s="207"/>
      <c r="Y374" s="207"/>
      <c r="Z374" s="207"/>
      <c r="AA374" s="207"/>
      <c r="AB374" s="207"/>
    </row>
    <row r="375" spans="22:28" customFormat="1" ht="9.9499999999999993">
      <c r="V375" s="207"/>
      <c r="W375" s="207"/>
      <c r="X375" s="207"/>
      <c r="Y375" s="207"/>
      <c r="Z375" s="207"/>
      <c r="AA375" s="207"/>
      <c r="AB375" s="207"/>
    </row>
    <row r="376" spans="22:28" customFormat="1" ht="9.9499999999999993">
      <c r="V376" s="207"/>
      <c r="W376" s="207"/>
      <c r="X376" s="207"/>
      <c r="Y376" s="207"/>
      <c r="Z376" s="207"/>
      <c r="AA376" s="207"/>
      <c r="AB376" s="207"/>
    </row>
    <row r="377" spans="22:28" customFormat="1" ht="9.9499999999999993">
      <c r="V377" s="207"/>
      <c r="W377" s="207"/>
      <c r="X377" s="207"/>
      <c r="Y377" s="207"/>
      <c r="Z377" s="207"/>
      <c r="AA377" s="207"/>
      <c r="AB377" s="207"/>
    </row>
    <row r="378" spans="22:28" customFormat="1" ht="9.9499999999999993">
      <c r="V378" s="207"/>
      <c r="W378" s="207"/>
      <c r="X378" s="207"/>
      <c r="Y378" s="207"/>
      <c r="Z378" s="207"/>
      <c r="AA378" s="207"/>
      <c r="AB378" s="207"/>
    </row>
    <row r="379" spans="22:28" customFormat="1" ht="9.9499999999999993">
      <c r="V379" s="207"/>
      <c r="W379" s="207"/>
      <c r="X379" s="207"/>
      <c r="Y379" s="207"/>
      <c r="Z379" s="207"/>
      <c r="AA379" s="207"/>
      <c r="AB379" s="207"/>
    </row>
    <row r="380" spans="22:28" customFormat="1" ht="9.9499999999999993">
      <c r="V380" s="207"/>
      <c r="W380" s="207"/>
      <c r="X380" s="207"/>
      <c r="Y380" s="207"/>
      <c r="Z380" s="207"/>
      <c r="AA380" s="207"/>
      <c r="AB380" s="207"/>
    </row>
    <row r="381" spans="22:28" customFormat="1" ht="9.9499999999999993">
      <c r="V381" s="207"/>
      <c r="W381" s="207"/>
      <c r="X381" s="207"/>
      <c r="Y381" s="207"/>
      <c r="Z381" s="207"/>
      <c r="AA381" s="207"/>
      <c r="AB381" s="207"/>
    </row>
    <row r="382" spans="22:28" customFormat="1" ht="9.9499999999999993">
      <c r="V382" s="207"/>
      <c r="W382" s="207"/>
      <c r="X382" s="207"/>
      <c r="Y382" s="207"/>
      <c r="Z382" s="207"/>
      <c r="AA382" s="207"/>
      <c r="AB382" s="207"/>
    </row>
    <row r="383" spans="22:28" customFormat="1" ht="9.9499999999999993">
      <c r="V383" s="207"/>
      <c r="W383" s="207"/>
      <c r="X383" s="207"/>
      <c r="Y383" s="207"/>
      <c r="Z383" s="207"/>
      <c r="AA383" s="207"/>
      <c r="AB383" s="207"/>
    </row>
    <row r="384" spans="22:28" customFormat="1" ht="9.9499999999999993">
      <c r="V384" s="207"/>
      <c r="W384" s="207"/>
      <c r="X384" s="207"/>
      <c r="Y384" s="207"/>
      <c r="Z384" s="207"/>
      <c r="AA384" s="207"/>
      <c r="AB384" s="207"/>
    </row>
    <row r="385" spans="22:28" customFormat="1" ht="9.9499999999999993">
      <c r="V385" s="207"/>
      <c r="W385" s="207"/>
      <c r="X385" s="207"/>
      <c r="Y385" s="207"/>
      <c r="Z385" s="207"/>
      <c r="AA385" s="207"/>
      <c r="AB385" s="207"/>
    </row>
    <row r="386" spans="22:28" customFormat="1" ht="9.9499999999999993">
      <c r="V386" s="207"/>
      <c r="W386" s="207"/>
      <c r="X386" s="207"/>
      <c r="Y386" s="207"/>
      <c r="Z386" s="207"/>
      <c r="AA386" s="207"/>
      <c r="AB386" s="207"/>
    </row>
    <row r="387" spans="22:28" customFormat="1" ht="9.9499999999999993">
      <c r="V387" s="207"/>
      <c r="W387" s="207"/>
      <c r="X387" s="207"/>
      <c r="Y387" s="207"/>
      <c r="Z387" s="207"/>
      <c r="AA387" s="207"/>
      <c r="AB387" s="207"/>
    </row>
    <row r="388" spans="22:28" customFormat="1" ht="9.9499999999999993">
      <c r="V388" s="207"/>
      <c r="W388" s="207"/>
      <c r="X388" s="207"/>
      <c r="Y388" s="207"/>
      <c r="Z388" s="207"/>
      <c r="AA388" s="207"/>
      <c r="AB388" s="207"/>
    </row>
    <row r="389" spans="22:28" customFormat="1" ht="9.9499999999999993">
      <c r="V389" s="207"/>
      <c r="W389" s="207"/>
      <c r="X389" s="207"/>
      <c r="Y389" s="207"/>
      <c r="Z389" s="207"/>
      <c r="AA389" s="207"/>
      <c r="AB389" s="207"/>
    </row>
    <row r="390" spans="22:28" customFormat="1" ht="9.9499999999999993">
      <c r="V390" s="207"/>
      <c r="W390" s="207"/>
      <c r="X390" s="207"/>
      <c r="Y390" s="207"/>
      <c r="Z390" s="207"/>
      <c r="AA390" s="207"/>
      <c r="AB390" s="207"/>
    </row>
    <row r="391" spans="22:28" customFormat="1" ht="9.9499999999999993">
      <c r="V391" s="207"/>
      <c r="W391" s="207"/>
      <c r="X391" s="207"/>
      <c r="Y391" s="207"/>
      <c r="Z391" s="207"/>
      <c r="AA391" s="207"/>
      <c r="AB391" s="207"/>
    </row>
    <row r="392" spans="22:28" customFormat="1" ht="9.9499999999999993">
      <c r="V392" s="207"/>
      <c r="W392" s="207"/>
      <c r="X392" s="207"/>
      <c r="Y392" s="207"/>
      <c r="Z392" s="207"/>
      <c r="AA392" s="207"/>
      <c r="AB392" s="207"/>
    </row>
    <row r="393" spans="22:28" customFormat="1" ht="9.9499999999999993">
      <c r="V393" s="207"/>
      <c r="W393" s="207"/>
      <c r="X393" s="207"/>
      <c r="Y393" s="207"/>
      <c r="Z393" s="207"/>
      <c r="AA393" s="207"/>
      <c r="AB393" s="207"/>
    </row>
    <row r="394" spans="22:28" customFormat="1" ht="9.9499999999999993">
      <c r="V394" s="207"/>
      <c r="W394" s="207"/>
      <c r="X394" s="207"/>
      <c r="Y394" s="207"/>
      <c r="Z394" s="207"/>
      <c r="AA394" s="207"/>
      <c r="AB394" s="207"/>
    </row>
    <row r="395" spans="22:28" customFormat="1" ht="9.9499999999999993">
      <c r="V395" s="207"/>
      <c r="W395" s="207"/>
      <c r="X395" s="207"/>
      <c r="Y395" s="207"/>
      <c r="Z395" s="207"/>
      <c r="AA395" s="207"/>
      <c r="AB395" s="207"/>
    </row>
    <row r="396" spans="22:28" customFormat="1" ht="9.9499999999999993">
      <c r="V396" s="207"/>
      <c r="W396" s="207"/>
      <c r="X396" s="207"/>
      <c r="Y396" s="207"/>
      <c r="Z396" s="207"/>
      <c r="AA396" s="207"/>
      <c r="AB396" s="207"/>
    </row>
    <row r="397" spans="22:28" customFormat="1" ht="9.9499999999999993">
      <c r="V397" s="207"/>
      <c r="W397" s="207"/>
      <c r="X397" s="207"/>
      <c r="Y397" s="207"/>
      <c r="Z397" s="207"/>
      <c r="AA397" s="207"/>
      <c r="AB397" s="207"/>
    </row>
    <row r="398" spans="22:28" customFormat="1" ht="9.9499999999999993">
      <c r="V398" s="207"/>
      <c r="W398" s="207"/>
      <c r="X398" s="207"/>
      <c r="Y398" s="207"/>
      <c r="Z398" s="207"/>
      <c r="AA398" s="207"/>
      <c r="AB398" s="207"/>
    </row>
    <row r="399" spans="22:28" customFormat="1" ht="9.9499999999999993">
      <c r="V399" s="207"/>
      <c r="W399" s="207"/>
      <c r="X399" s="207"/>
      <c r="Y399" s="207"/>
      <c r="Z399" s="207"/>
      <c r="AA399" s="207"/>
      <c r="AB399" s="207"/>
    </row>
    <row r="400" spans="22:28" customFormat="1" ht="9.9499999999999993">
      <c r="V400" s="207"/>
      <c r="W400" s="207"/>
      <c r="X400" s="207"/>
      <c r="Y400" s="207"/>
      <c r="Z400" s="207"/>
      <c r="AA400" s="207"/>
      <c r="AB400" s="207"/>
    </row>
    <row r="401" spans="22:28" customFormat="1" ht="9.9499999999999993">
      <c r="V401" s="207"/>
      <c r="W401" s="207"/>
      <c r="X401" s="207"/>
      <c r="Y401" s="207"/>
      <c r="Z401" s="207"/>
      <c r="AA401" s="207"/>
      <c r="AB401" s="207"/>
    </row>
    <row r="402" spans="22:28" customFormat="1" ht="9.9499999999999993">
      <c r="V402" s="207"/>
      <c r="W402" s="207"/>
      <c r="X402" s="207"/>
      <c r="Y402" s="207"/>
      <c r="Z402" s="207"/>
      <c r="AA402" s="207"/>
      <c r="AB402" s="207"/>
    </row>
    <row r="403" spans="22:28" customFormat="1" ht="9.9499999999999993">
      <c r="V403" s="207"/>
      <c r="W403" s="207"/>
      <c r="X403" s="207"/>
      <c r="Y403" s="207"/>
      <c r="Z403" s="207"/>
      <c r="AA403" s="207"/>
      <c r="AB403" s="207"/>
    </row>
    <row r="404" spans="22:28" customFormat="1" ht="9.9499999999999993">
      <c r="V404" s="207"/>
      <c r="W404" s="207"/>
      <c r="X404" s="207"/>
      <c r="Y404" s="207"/>
      <c r="Z404" s="207"/>
      <c r="AA404" s="207"/>
      <c r="AB404" s="207"/>
    </row>
    <row r="405" spans="22:28" customFormat="1" ht="9.9499999999999993">
      <c r="V405" s="207"/>
      <c r="W405" s="207"/>
      <c r="X405" s="207"/>
      <c r="Y405" s="207"/>
      <c r="Z405" s="207"/>
      <c r="AA405" s="207"/>
      <c r="AB405" s="207"/>
    </row>
    <row r="406" spans="22:28" customFormat="1" ht="9.9499999999999993">
      <c r="V406" s="207"/>
      <c r="W406" s="207"/>
      <c r="X406" s="207"/>
      <c r="Y406" s="207"/>
      <c r="Z406" s="207"/>
      <c r="AA406" s="207"/>
      <c r="AB406" s="207"/>
    </row>
    <row r="407" spans="22:28" customFormat="1" ht="9.9499999999999993">
      <c r="V407" s="207"/>
      <c r="W407" s="207"/>
      <c r="X407" s="207"/>
      <c r="Y407" s="207"/>
      <c r="Z407" s="207"/>
      <c r="AA407" s="207"/>
      <c r="AB407" s="207"/>
    </row>
    <row r="408" spans="22:28" customFormat="1" ht="9.9499999999999993">
      <c r="V408" s="207"/>
      <c r="W408" s="207"/>
      <c r="X408" s="207"/>
      <c r="Y408" s="207"/>
      <c r="Z408" s="207"/>
      <c r="AA408" s="207"/>
      <c r="AB408" s="207"/>
    </row>
    <row r="409" spans="22:28" customFormat="1" ht="9.9499999999999993">
      <c r="V409" s="207"/>
      <c r="W409" s="207"/>
      <c r="X409" s="207"/>
      <c r="Y409" s="207"/>
      <c r="Z409" s="207"/>
      <c r="AA409" s="207"/>
      <c r="AB409" s="207"/>
    </row>
    <row r="410" spans="22:28" customFormat="1" ht="9.9499999999999993">
      <c r="V410" s="207"/>
      <c r="W410" s="207"/>
      <c r="X410" s="207"/>
      <c r="Y410" s="207"/>
      <c r="Z410" s="207"/>
      <c r="AA410" s="207"/>
      <c r="AB410" s="207"/>
    </row>
    <row r="411" spans="22:28" customFormat="1" ht="9.9499999999999993">
      <c r="V411" s="207"/>
      <c r="W411" s="207"/>
      <c r="X411" s="207"/>
      <c r="Y411" s="207"/>
      <c r="Z411" s="207"/>
      <c r="AA411" s="207"/>
      <c r="AB411" s="207"/>
    </row>
    <row r="412" spans="22:28" customFormat="1" ht="9.9499999999999993">
      <c r="V412" s="207"/>
      <c r="W412" s="207"/>
      <c r="X412" s="207"/>
      <c r="Y412" s="207"/>
      <c r="Z412" s="207"/>
      <c r="AA412" s="207"/>
      <c r="AB412" s="207"/>
    </row>
    <row r="413" spans="22:28" customFormat="1" ht="9.9499999999999993">
      <c r="V413" s="207"/>
      <c r="W413" s="207"/>
      <c r="X413" s="207"/>
      <c r="Y413" s="207"/>
      <c r="Z413" s="207"/>
      <c r="AA413" s="207"/>
      <c r="AB413" s="207"/>
    </row>
    <row r="414" spans="22:28" customFormat="1" ht="9.9499999999999993">
      <c r="V414" s="207"/>
      <c r="W414" s="207"/>
      <c r="X414" s="207"/>
      <c r="Y414" s="207"/>
      <c r="Z414" s="207"/>
      <c r="AA414" s="207"/>
      <c r="AB414" s="207"/>
    </row>
    <row r="415" spans="22:28" customFormat="1" ht="9.9499999999999993">
      <c r="V415" s="207"/>
      <c r="W415" s="207"/>
      <c r="X415" s="207"/>
      <c r="Y415" s="207"/>
      <c r="Z415" s="207"/>
      <c r="AA415" s="207"/>
      <c r="AB415" s="207"/>
    </row>
    <row r="416" spans="22:28" customFormat="1" ht="9.9499999999999993">
      <c r="V416" s="207"/>
      <c r="W416" s="207"/>
      <c r="X416" s="207"/>
      <c r="Y416" s="207"/>
      <c r="Z416" s="207"/>
      <c r="AA416" s="207"/>
      <c r="AB416" s="207"/>
    </row>
    <row r="417" spans="22:28" customFormat="1" ht="9.9499999999999993">
      <c r="V417" s="207"/>
      <c r="W417" s="207"/>
      <c r="X417" s="207"/>
      <c r="Y417" s="207"/>
      <c r="Z417" s="207"/>
      <c r="AA417" s="207"/>
      <c r="AB417" s="207"/>
    </row>
    <row r="418" spans="22:28" customFormat="1" ht="9.9499999999999993">
      <c r="V418" s="207"/>
      <c r="W418" s="207"/>
      <c r="X418" s="207"/>
      <c r="Y418" s="207"/>
      <c r="Z418" s="207"/>
      <c r="AA418" s="207"/>
      <c r="AB418" s="207"/>
    </row>
    <row r="419" spans="22:28" customFormat="1" ht="9.9499999999999993">
      <c r="V419" s="207"/>
      <c r="W419" s="207"/>
      <c r="X419" s="207"/>
      <c r="Y419" s="207"/>
      <c r="Z419" s="207"/>
      <c r="AA419" s="207"/>
      <c r="AB419" s="207"/>
    </row>
    <row r="420" spans="22:28" customFormat="1" ht="9.9499999999999993">
      <c r="V420" s="207"/>
      <c r="W420" s="207"/>
      <c r="X420" s="207"/>
      <c r="Y420" s="207"/>
      <c r="Z420" s="207"/>
      <c r="AA420" s="207"/>
      <c r="AB420" s="207"/>
    </row>
    <row r="421" spans="22:28" customFormat="1" ht="9.9499999999999993">
      <c r="V421" s="207"/>
      <c r="W421" s="207"/>
      <c r="X421" s="207"/>
      <c r="Y421" s="207"/>
      <c r="Z421" s="207"/>
      <c r="AA421" s="207"/>
      <c r="AB421" s="207"/>
    </row>
    <row r="422" spans="22:28" customFormat="1" ht="9.9499999999999993">
      <c r="V422" s="207"/>
      <c r="W422" s="207"/>
      <c r="X422" s="207"/>
      <c r="Y422" s="207"/>
      <c r="Z422" s="207"/>
      <c r="AA422" s="207"/>
      <c r="AB422" s="207"/>
    </row>
    <row r="423" spans="22:28" customFormat="1" ht="9.9499999999999993">
      <c r="V423" s="207"/>
      <c r="W423" s="207"/>
      <c r="X423" s="207"/>
      <c r="Y423" s="207"/>
      <c r="Z423" s="207"/>
      <c r="AA423" s="207"/>
      <c r="AB423" s="207"/>
    </row>
    <row r="424" spans="22:28" customFormat="1" ht="9.9499999999999993">
      <c r="V424" s="207"/>
      <c r="W424" s="207"/>
      <c r="X424" s="207"/>
      <c r="Y424" s="207"/>
      <c r="Z424" s="207"/>
      <c r="AA424" s="207"/>
      <c r="AB424" s="207"/>
    </row>
    <row r="425" spans="22:28" customFormat="1" ht="9.9499999999999993">
      <c r="V425" s="207"/>
      <c r="W425" s="207"/>
      <c r="X425" s="207"/>
      <c r="Y425" s="207"/>
      <c r="Z425" s="207"/>
      <c r="AA425" s="207"/>
      <c r="AB425" s="207"/>
    </row>
    <row r="426" spans="22:28" customFormat="1" ht="9.9499999999999993">
      <c r="V426" s="207"/>
      <c r="W426" s="207"/>
      <c r="X426" s="207"/>
      <c r="Y426" s="207"/>
      <c r="Z426" s="207"/>
      <c r="AA426" s="207"/>
      <c r="AB426" s="207"/>
    </row>
    <row r="427" spans="22:28" customFormat="1" ht="9.9499999999999993">
      <c r="V427" s="207"/>
      <c r="W427" s="207"/>
      <c r="X427" s="207"/>
      <c r="Y427" s="207"/>
      <c r="Z427" s="207"/>
      <c r="AA427" s="207"/>
      <c r="AB427" s="207"/>
    </row>
    <row r="428" spans="22:28" customFormat="1" ht="9.9499999999999993">
      <c r="V428" s="207"/>
      <c r="W428" s="207"/>
      <c r="X428" s="207"/>
      <c r="Y428" s="207"/>
      <c r="Z428" s="207"/>
      <c r="AA428" s="207"/>
      <c r="AB428" s="207"/>
    </row>
    <row r="429" spans="22:28" customFormat="1" ht="9.9499999999999993">
      <c r="V429" s="207"/>
      <c r="W429" s="207"/>
      <c r="X429" s="207"/>
      <c r="Y429" s="207"/>
      <c r="Z429" s="207"/>
      <c r="AA429" s="207"/>
      <c r="AB429" s="207"/>
    </row>
    <row r="430" spans="22:28" customFormat="1" ht="9.9499999999999993">
      <c r="V430" s="207"/>
      <c r="W430" s="207"/>
      <c r="X430" s="207"/>
      <c r="Y430" s="207"/>
      <c r="Z430" s="207"/>
      <c r="AA430" s="207"/>
      <c r="AB430" s="207"/>
    </row>
    <row r="431" spans="22:28" customFormat="1" ht="9.9499999999999993">
      <c r="V431" s="207"/>
      <c r="W431" s="207"/>
      <c r="X431" s="207"/>
      <c r="Y431" s="207"/>
      <c r="Z431" s="207"/>
      <c r="AA431" s="207"/>
      <c r="AB431" s="207"/>
    </row>
    <row r="432" spans="22:28" customFormat="1" ht="9.9499999999999993">
      <c r="V432" s="207"/>
      <c r="W432" s="207"/>
      <c r="X432" s="207"/>
      <c r="Y432" s="207"/>
      <c r="Z432" s="207"/>
      <c r="AA432" s="207"/>
      <c r="AB432" s="207"/>
    </row>
    <row r="433" spans="22:28" customFormat="1" ht="9.9499999999999993">
      <c r="V433" s="207"/>
      <c r="W433" s="207"/>
      <c r="X433" s="207"/>
      <c r="Y433" s="207"/>
      <c r="Z433" s="207"/>
      <c r="AA433" s="207"/>
      <c r="AB433" s="207"/>
    </row>
    <row r="434" spans="22:28" customFormat="1" ht="9.9499999999999993">
      <c r="V434" s="207"/>
      <c r="W434" s="207"/>
      <c r="X434" s="207"/>
      <c r="Y434" s="207"/>
      <c r="Z434" s="207"/>
      <c r="AA434" s="207"/>
      <c r="AB434" s="207"/>
    </row>
    <row r="435" spans="22:28" customFormat="1" ht="9.9499999999999993">
      <c r="V435" s="207"/>
      <c r="W435" s="207"/>
      <c r="X435" s="207"/>
      <c r="Y435" s="207"/>
      <c r="Z435" s="207"/>
      <c r="AA435" s="207"/>
      <c r="AB435" s="207"/>
    </row>
    <row r="436" spans="22:28" customFormat="1" ht="9.9499999999999993">
      <c r="V436" s="207"/>
      <c r="W436" s="207"/>
      <c r="X436" s="207"/>
      <c r="Y436" s="207"/>
      <c r="Z436" s="207"/>
      <c r="AA436" s="207"/>
      <c r="AB436" s="207"/>
    </row>
    <row r="437" spans="22:28" customFormat="1" ht="9.9499999999999993">
      <c r="V437" s="207"/>
      <c r="W437" s="207"/>
      <c r="X437" s="207"/>
      <c r="Y437" s="207"/>
      <c r="Z437" s="207"/>
      <c r="AA437" s="207"/>
      <c r="AB437" s="207"/>
    </row>
    <row r="438" spans="22:28" customFormat="1" ht="9.9499999999999993">
      <c r="V438" s="207"/>
      <c r="W438" s="207"/>
      <c r="X438" s="207"/>
      <c r="Y438" s="207"/>
      <c r="Z438" s="207"/>
      <c r="AA438" s="207"/>
      <c r="AB438" s="207"/>
    </row>
    <row r="439" spans="22:28" customFormat="1" ht="9.9499999999999993">
      <c r="V439" s="207"/>
      <c r="W439" s="207"/>
      <c r="X439" s="207"/>
      <c r="Y439" s="207"/>
      <c r="Z439" s="207"/>
      <c r="AA439" s="207"/>
      <c r="AB439" s="207"/>
    </row>
    <row r="440" spans="22:28" customFormat="1" ht="9.9499999999999993">
      <c r="V440" s="207"/>
      <c r="W440" s="207"/>
      <c r="X440" s="207"/>
      <c r="Y440" s="207"/>
      <c r="Z440" s="207"/>
      <c r="AA440" s="207"/>
      <c r="AB440" s="207"/>
    </row>
    <row r="441" spans="22:28" customFormat="1" ht="9.9499999999999993">
      <c r="V441" s="207"/>
      <c r="W441" s="207"/>
      <c r="X441" s="207"/>
      <c r="Y441" s="207"/>
      <c r="Z441" s="207"/>
      <c r="AA441" s="207"/>
      <c r="AB441" s="207"/>
    </row>
    <row r="442" spans="22:28" customFormat="1" ht="9.9499999999999993">
      <c r="V442" s="207"/>
      <c r="W442" s="207"/>
      <c r="X442" s="207"/>
      <c r="Y442" s="207"/>
      <c r="Z442" s="207"/>
      <c r="AA442" s="207"/>
      <c r="AB442" s="207"/>
    </row>
    <row r="443" spans="22:28" customFormat="1" ht="9.9499999999999993">
      <c r="V443" s="207"/>
      <c r="W443" s="207"/>
      <c r="X443" s="207"/>
      <c r="Y443" s="207"/>
      <c r="Z443" s="207"/>
      <c r="AA443" s="207"/>
      <c r="AB443" s="207"/>
    </row>
    <row r="444" spans="22:28" customFormat="1" ht="9.9499999999999993">
      <c r="V444" s="207"/>
      <c r="W444" s="207"/>
      <c r="X444" s="207"/>
      <c r="Y444" s="207"/>
      <c r="Z444" s="207"/>
      <c r="AA444" s="207"/>
      <c r="AB444" s="207"/>
    </row>
    <row r="445" spans="22:28" customFormat="1" ht="9.9499999999999993">
      <c r="V445" s="207"/>
      <c r="W445" s="207"/>
      <c r="X445" s="207"/>
      <c r="Y445" s="207"/>
      <c r="Z445" s="207"/>
      <c r="AA445" s="207"/>
      <c r="AB445" s="207"/>
    </row>
    <row r="446" spans="22:28" customFormat="1" ht="9.9499999999999993">
      <c r="V446" s="207"/>
      <c r="W446" s="207"/>
      <c r="X446" s="207"/>
      <c r="Y446" s="207"/>
      <c r="Z446" s="207"/>
      <c r="AA446" s="207"/>
      <c r="AB446" s="207"/>
    </row>
    <row r="447" spans="22:28" customFormat="1" ht="9.9499999999999993">
      <c r="V447" s="207"/>
      <c r="W447" s="207"/>
      <c r="X447" s="207"/>
      <c r="Y447" s="207"/>
      <c r="Z447" s="207"/>
      <c r="AA447" s="207"/>
      <c r="AB447" s="207"/>
    </row>
    <row r="448" spans="22:28" customFormat="1" ht="9.9499999999999993">
      <c r="V448" s="207"/>
      <c r="W448" s="207"/>
      <c r="X448" s="207"/>
      <c r="Y448" s="207"/>
      <c r="Z448" s="207"/>
      <c r="AA448" s="207"/>
      <c r="AB448" s="207"/>
    </row>
    <row r="449" spans="22:28" customFormat="1" ht="9.9499999999999993">
      <c r="V449" s="207"/>
      <c r="W449" s="207"/>
      <c r="X449" s="207"/>
      <c r="Y449" s="207"/>
      <c r="Z449" s="207"/>
      <c r="AA449" s="207"/>
      <c r="AB449" s="207"/>
    </row>
    <row r="450" spans="22:28" customFormat="1" ht="9.9499999999999993">
      <c r="V450" s="207"/>
      <c r="W450" s="207"/>
      <c r="X450" s="207"/>
      <c r="Y450" s="207"/>
      <c r="Z450" s="207"/>
      <c r="AA450" s="207"/>
      <c r="AB450" s="207"/>
    </row>
    <row r="451" spans="22:28" customFormat="1" ht="9.9499999999999993">
      <c r="V451" s="207"/>
      <c r="W451" s="207"/>
      <c r="X451" s="207"/>
      <c r="Y451" s="207"/>
      <c r="Z451" s="207"/>
      <c r="AA451" s="207"/>
      <c r="AB451" s="207"/>
    </row>
    <row r="452" spans="22:28" customFormat="1" ht="9.9499999999999993">
      <c r="V452" s="207"/>
      <c r="W452" s="207"/>
      <c r="X452" s="207"/>
      <c r="Y452" s="207"/>
      <c r="Z452" s="207"/>
      <c r="AA452" s="207"/>
      <c r="AB452" s="207"/>
    </row>
    <row r="453" spans="22:28" customFormat="1" ht="9.9499999999999993">
      <c r="V453" s="207"/>
      <c r="W453" s="207"/>
      <c r="X453" s="207"/>
      <c r="Y453" s="207"/>
      <c r="Z453" s="207"/>
      <c r="AA453" s="207"/>
      <c r="AB453" s="207"/>
    </row>
    <row r="454" spans="22:28" customFormat="1" ht="9.9499999999999993">
      <c r="V454" s="207"/>
      <c r="W454" s="207"/>
      <c r="X454" s="207"/>
      <c r="Y454" s="207"/>
      <c r="Z454" s="207"/>
      <c r="AA454" s="207"/>
      <c r="AB454" s="207"/>
    </row>
    <row r="455" spans="22:28" customFormat="1" ht="9.9499999999999993">
      <c r="V455" s="207"/>
      <c r="W455" s="207"/>
      <c r="X455" s="207"/>
      <c r="Y455" s="207"/>
      <c r="Z455" s="207"/>
      <c r="AA455" s="207"/>
      <c r="AB455" s="207"/>
    </row>
    <row r="456" spans="22:28" customFormat="1" ht="9.9499999999999993">
      <c r="V456" s="207"/>
      <c r="W456" s="207"/>
      <c r="X456" s="207"/>
      <c r="Y456" s="207"/>
      <c r="Z456" s="207"/>
      <c r="AA456" s="207"/>
      <c r="AB456" s="207"/>
    </row>
    <row r="457" spans="22:28" customFormat="1" ht="9.9499999999999993">
      <c r="V457" s="207"/>
      <c r="W457" s="207"/>
      <c r="X457" s="207"/>
      <c r="Y457" s="207"/>
      <c r="Z457" s="207"/>
      <c r="AA457" s="207"/>
      <c r="AB457" s="207"/>
    </row>
    <row r="458" spans="22:28" customFormat="1" ht="9.9499999999999993">
      <c r="V458" s="207"/>
      <c r="W458" s="207"/>
      <c r="X458" s="207"/>
      <c r="Y458" s="207"/>
      <c r="Z458" s="207"/>
      <c r="AA458" s="207"/>
      <c r="AB458" s="207"/>
    </row>
    <row r="459" spans="22:28" customFormat="1" ht="9.9499999999999993">
      <c r="V459" s="207"/>
      <c r="W459" s="207"/>
      <c r="X459" s="207"/>
      <c r="Y459" s="207"/>
      <c r="Z459" s="207"/>
      <c r="AA459" s="207"/>
      <c r="AB459" s="207"/>
    </row>
    <row r="460" spans="22:28" customFormat="1" ht="9.9499999999999993">
      <c r="V460" s="207"/>
      <c r="W460" s="207"/>
      <c r="X460" s="207"/>
      <c r="Y460" s="207"/>
      <c r="Z460" s="207"/>
      <c r="AA460" s="207"/>
      <c r="AB460" s="207"/>
    </row>
    <row r="461" spans="22:28" customFormat="1" ht="9.9499999999999993">
      <c r="V461" s="207"/>
      <c r="W461" s="207"/>
      <c r="X461" s="207"/>
      <c r="Y461" s="207"/>
      <c r="Z461" s="207"/>
      <c r="AA461" s="207"/>
      <c r="AB461" s="207"/>
    </row>
    <row r="462" spans="22:28" customFormat="1" ht="9.9499999999999993">
      <c r="V462" s="207"/>
      <c r="W462" s="207"/>
      <c r="X462" s="207"/>
      <c r="Y462" s="207"/>
      <c r="Z462" s="207"/>
      <c r="AA462" s="207"/>
      <c r="AB462" s="207"/>
    </row>
    <row r="463" spans="22:28" customFormat="1" ht="9.9499999999999993">
      <c r="V463" s="207"/>
      <c r="W463" s="207"/>
      <c r="X463" s="207"/>
      <c r="Y463" s="207"/>
      <c r="Z463" s="207"/>
      <c r="AA463" s="207"/>
      <c r="AB463" s="207"/>
    </row>
    <row r="464" spans="22:28" customFormat="1" ht="9.9499999999999993">
      <c r="V464" s="207"/>
      <c r="W464" s="207"/>
      <c r="X464" s="207"/>
      <c r="Y464" s="207"/>
      <c r="Z464" s="207"/>
      <c r="AA464" s="207"/>
      <c r="AB464" s="207"/>
    </row>
    <row r="465" spans="22:28" customFormat="1" ht="9.9499999999999993">
      <c r="V465" s="207"/>
      <c r="W465" s="207"/>
      <c r="X465" s="207"/>
      <c r="Y465" s="207"/>
      <c r="Z465" s="207"/>
      <c r="AA465" s="207"/>
      <c r="AB465" s="207"/>
    </row>
    <row r="466" spans="22:28" customFormat="1" ht="9.9499999999999993">
      <c r="V466" s="207"/>
      <c r="W466" s="207"/>
      <c r="X466" s="207"/>
      <c r="Y466" s="207"/>
      <c r="Z466" s="207"/>
      <c r="AA466" s="207"/>
      <c r="AB466" s="207"/>
    </row>
    <row r="467" spans="22:28" customFormat="1" ht="9.9499999999999993">
      <c r="V467" s="207"/>
      <c r="W467" s="207"/>
      <c r="X467" s="207"/>
      <c r="Y467" s="207"/>
      <c r="Z467" s="207"/>
      <c r="AA467" s="207"/>
      <c r="AB467" s="207"/>
    </row>
    <row r="468" spans="22:28" customFormat="1" ht="9.9499999999999993">
      <c r="V468" s="207"/>
      <c r="W468" s="207"/>
      <c r="X468" s="207"/>
      <c r="Y468" s="207"/>
      <c r="Z468" s="207"/>
      <c r="AA468" s="207"/>
      <c r="AB468" s="207"/>
    </row>
    <row r="469" spans="22:28" customFormat="1" ht="9.9499999999999993">
      <c r="V469" s="207"/>
      <c r="W469" s="207"/>
      <c r="X469" s="207"/>
      <c r="Y469" s="207"/>
      <c r="Z469" s="207"/>
      <c r="AA469" s="207"/>
      <c r="AB469" s="207"/>
    </row>
    <row r="470" spans="22:28" customFormat="1" ht="9.9499999999999993">
      <c r="V470" s="207"/>
      <c r="W470" s="207"/>
      <c r="X470" s="207"/>
      <c r="Y470" s="207"/>
      <c r="Z470" s="207"/>
      <c r="AA470" s="207"/>
      <c r="AB470" s="207"/>
    </row>
    <row r="471" spans="22:28" customFormat="1" ht="9.9499999999999993">
      <c r="V471" s="207"/>
      <c r="W471" s="207"/>
      <c r="X471" s="207"/>
      <c r="Y471" s="207"/>
      <c r="Z471" s="207"/>
      <c r="AA471" s="207"/>
      <c r="AB471" s="207"/>
    </row>
    <row r="472" spans="22:28" customFormat="1" ht="9.9499999999999993">
      <c r="V472" s="207"/>
      <c r="W472" s="207"/>
      <c r="X472" s="207"/>
      <c r="Y472" s="207"/>
      <c r="Z472" s="207"/>
      <c r="AA472" s="207"/>
      <c r="AB472" s="207"/>
    </row>
    <row r="473" spans="22:28" customFormat="1" ht="9.9499999999999993">
      <c r="V473" s="207"/>
      <c r="W473" s="207"/>
      <c r="X473" s="207"/>
      <c r="Y473" s="207"/>
      <c r="Z473" s="207"/>
      <c r="AA473" s="207"/>
      <c r="AB473" s="207"/>
    </row>
    <row r="474" spans="22:28" customFormat="1" ht="9.9499999999999993">
      <c r="V474" s="207"/>
      <c r="W474" s="207"/>
      <c r="X474" s="207"/>
      <c r="Y474" s="207"/>
      <c r="Z474" s="207"/>
      <c r="AA474" s="207"/>
      <c r="AB474" s="207"/>
    </row>
    <row r="475" spans="22:28" customFormat="1" ht="9.9499999999999993">
      <c r="V475" s="207"/>
      <c r="W475" s="207"/>
      <c r="X475" s="207"/>
      <c r="Y475" s="207"/>
      <c r="Z475" s="207"/>
      <c r="AA475" s="207"/>
      <c r="AB475" s="207"/>
    </row>
    <row r="476" spans="22:28" customFormat="1" ht="9.9499999999999993">
      <c r="V476" s="207"/>
      <c r="W476" s="207"/>
      <c r="X476" s="207"/>
      <c r="Y476" s="207"/>
      <c r="Z476" s="207"/>
      <c r="AA476" s="207"/>
      <c r="AB476" s="207"/>
    </row>
    <row r="477" spans="22:28" customFormat="1" ht="9.9499999999999993">
      <c r="V477" s="207"/>
      <c r="W477" s="207"/>
      <c r="X477" s="207"/>
      <c r="Y477" s="207"/>
      <c r="Z477" s="207"/>
      <c r="AA477" s="207"/>
      <c r="AB477" s="207"/>
    </row>
    <row r="478" spans="22:28" customFormat="1" ht="9.9499999999999993">
      <c r="V478" s="207"/>
      <c r="W478" s="207"/>
      <c r="X478" s="207"/>
      <c r="Y478" s="207"/>
      <c r="Z478" s="207"/>
      <c r="AA478" s="207"/>
      <c r="AB478" s="207"/>
    </row>
    <row r="479" spans="22:28" customFormat="1" ht="9.9499999999999993">
      <c r="V479" s="207"/>
      <c r="W479" s="207"/>
      <c r="X479" s="207"/>
      <c r="Y479" s="207"/>
      <c r="Z479" s="207"/>
      <c r="AA479" s="207"/>
      <c r="AB479" s="207"/>
    </row>
    <row r="480" spans="22:28" customFormat="1" ht="9.9499999999999993">
      <c r="V480" s="207"/>
      <c r="W480" s="207"/>
      <c r="X480" s="207"/>
      <c r="Y480" s="207"/>
      <c r="Z480" s="207"/>
      <c r="AA480" s="207"/>
      <c r="AB480" s="207"/>
    </row>
    <row r="481" spans="22:28" customFormat="1" ht="9.9499999999999993">
      <c r="V481" s="207"/>
      <c r="W481" s="207"/>
      <c r="X481" s="207"/>
      <c r="Y481" s="207"/>
      <c r="Z481" s="207"/>
      <c r="AA481" s="207"/>
      <c r="AB481" s="207"/>
    </row>
    <row r="482" spans="22:28" customFormat="1" ht="9.9499999999999993">
      <c r="V482" s="207"/>
      <c r="W482" s="207"/>
      <c r="X482" s="207"/>
      <c r="Y482" s="207"/>
      <c r="Z482" s="207"/>
      <c r="AA482" s="207"/>
      <c r="AB482" s="207"/>
    </row>
    <row r="483" spans="22:28" customFormat="1" ht="9.9499999999999993">
      <c r="V483" s="207"/>
      <c r="W483" s="207"/>
      <c r="X483" s="207"/>
      <c r="Y483" s="207"/>
      <c r="Z483" s="207"/>
      <c r="AA483" s="207"/>
      <c r="AB483" s="207"/>
    </row>
    <row r="484" spans="22:28" customFormat="1" ht="9.9499999999999993">
      <c r="V484" s="207"/>
      <c r="W484" s="207"/>
      <c r="X484" s="207"/>
      <c r="Y484" s="207"/>
      <c r="Z484" s="207"/>
      <c r="AA484" s="207"/>
      <c r="AB484" s="207"/>
    </row>
    <row r="485" spans="22:28" customFormat="1" ht="9.9499999999999993">
      <c r="V485" s="207"/>
      <c r="W485" s="207"/>
      <c r="X485" s="207"/>
      <c r="Y485" s="207"/>
      <c r="Z485" s="207"/>
      <c r="AA485" s="207"/>
      <c r="AB485" s="207"/>
    </row>
    <row r="486" spans="22:28" customFormat="1" ht="9.9499999999999993">
      <c r="V486" s="207"/>
      <c r="W486" s="207"/>
      <c r="X486" s="207"/>
      <c r="Y486" s="207"/>
      <c r="Z486" s="207"/>
      <c r="AA486" s="207"/>
      <c r="AB486" s="207"/>
    </row>
    <row r="487" spans="22:28" customFormat="1" ht="9.9499999999999993">
      <c r="V487" s="207"/>
      <c r="W487" s="207"/>
      <c r="X487" s="207"/>
      <c r="Y487" s="207"/>
      <c r="Z487" s="207"/>
      <c r="AA487" s="207"/>
      <c r="AB487" s="207"/>
    </row>
    <row r="488" spans="22:28" customFormat="1" ht="9.9499999999999993">
      <c r="V488" s="207"/>
      <c r="W488" s="207"/>
      <c r="X488" s="207"/>
      <c r="Y488" s="207"/>
      <c r="Z488" s="207"/>
      <c r="AA488" s="207"/>
      <c r="AB488" s="207"/>
    </row>
    <row r="489" spans="22:28" customFormat="1" ht="9.9499999999999993">
      <c r="V489" s="207"/>
      <c r="W489" s="207"/>
      <c r="X489" s="207"/>
      <c r="Y489" s="207"/>
      <c r="Z489" s="207"/>
      <c r="AA489" s="207"/>
      <c r="AB489" s="207"/>
    </row>
    <row r="490" spans="22:28" customFormat="1" ht="9.9499999999999993">
      <c r="V490" s="207"/>
      <c r="W490" s="207"/>
      <c r="X490" s="207"/>
      <c r="Y490" s="207"/>
      <c r="Z490" s="207"/>
      <c r="AA490" s="207"/>
      <c r="AB490" s="207"/>
    </row>
    <row r="491" spans="22:28" customFormat="1" ht="9.9499999999999993">
      <c r="V491" s="207"/>
      <c r="W491" s="207"/>
      <c r="X491" s="207"/>
      <c r="Y491" s="207"/>
      <c r="Z491" s="207"/>
      <c r="AA491" s="207"/>
      <c r="AB491" s="207"/>
    </row>
    <row r="492" spans="22:28" customFormat="1" ht="9.9499999999999993">
      <c r="V492" s="207"/>
      <c r="W492" s="207"/>
      <c r="X492" s="207"/>
      <c r="Y492" s="207"/>
      <c r="Z492" s="207"/>
      <c r="AA492" s="207"/>
      <c r="AB492" s="207"/>
    </row>
    <row r="493" spans="22:28" customFormat="1" ht="9.9499999999999993">
      <c r="V493" s="207"/>
      <c r="W493" s="207"/>
      <c r="X493" s="207"/>
      <c r="Y493" s="207"/>
      <c r="Z493" s="207"/>
      <c r="AA493" s="207"/>
      <c r="AB493" s="207"/>
    </row>
    <row r="494" spans="22:28" customFormat="1" ht="9.9499999999999993">
      <c r="V494" s="207"/>
      <c r="W494" s="207"/>
      <c r="X494" s="207"/>
      <c r="Y494" s="207"/>
      <c r="Z494" s="207"/>
      <c r="AA494" s="207"/>
      <c r="AB494" s="207"/>
    </row>
    <row r="495" spans="22:28" customFormat="1" ht="9.9499999999999993">
      <c r="V495" s="207"/>
      <c r="W495" s="207"/>
      <c r="X495" s="207"/>
      <c r="Y495" s="207"/>
      <c r="Z495" s="207"/>
      <c r="AA495" s="207"/>
      <c r="AB495" s="207"/>
    </row>
    <row r="496" spans="22:28" customFormat="1" ht="9.9499999999999993">
      <c r="V496" s="207"/>
      <c r="W496" s="207"/>
      <c r="X496" s="207"/>
      <c r="Y496" s="207"/>
      <c r="Z496" s="207"/>
      <c r="AA496" s="207"/>
      <c r="AB496" s="207"/>
    </row>
    <row r="497" spans="22:28" customFormat="1" ht="9.9499999999999993">
      <c r="V497" s="207"/>
      <c r="W497" s="207"/>
      <c r="X497" s="207"/>
      <c r="Y497" s="207"/>
      <c r="Z497" s="207"/>
      <c r="AA497" s="207"/>
      <c r="AB497" s="207"/>
    </row>
    <row r="498" spans="22:28" customFormat="1" ht="9.9499999999999993">
      <c r="V498" s="207"/>
      <c r="W498" s="207"/>
      <c r="X498" s="207"/>
      <c r="Y498" s="207"/>
      <c r="Z498" s="207"/>
      <c r="AA498" s="207"/>
      <c r="AB498" s="207"/>
    </row>
    <row r="499" spans="22:28" customFormat="1" ht="9.9499999999999993">
      <c r="V499" s="207"/>
      <c r="W499" s="207"/>
      <c r="X499" s="207"/>
      <c r="Y499" s="207"/>
      <c r="Z499" s="207"/>
      <c r="AA499" s="207"/>
      <c r="AB499" s="207"/>
    </row>
    <row r="500" spans="22:28" customFormat="1" ht="9.9499999999999993">
      <c r="V500" s="207"/>
      <c r="W500" s="207"/>
      <c r="X500" s="207"/>
      <c r="Y500" s="207"/>
      <c r="Z500" s="207"/>
      <c r="AA500" s="207"/>
      <c r="AB500" s="207"/>
    </row>
    <row r="501" spans="22:28" customFormat="1" ht="9.9499999999999993">
      <c r="V501" s="207"/>
      <c r="W501" s="207"/>
      <c r="X501" s="207"/>
      <c r="Y501" s="207"/>
      <c r="Z501" s="207"/>
      <c r="AA501" s="207"/>
      <c r="AB501" s="207"/>
    </row>
    <row r="502" spans="22:28" customFormat="1" ht="9.9499999999999993">
      <c r="V502" s="207"/>
      <c r="W502" s="207"/>
      <c r="X502" s="207"/>
      <c r="Y502" s="207"/>
      <c r="Z502" s="207"/>
      <c r="AA502" s="207"/>
      <c r="AB502" s="207"/>
    </row>
    <row r="503" spans="22:28" customFormat="1" ht="9.9499999999999993">
      <c r="V503" s="207"/>
      <c r="W503" s="207"/>
      <c r="X503" s="207"/>
      <c r="Y503" s="207"/>
      <c r="Z503" s="207"/>
      <c r="AA503" s="207"/>
      <c r="AB503" s="207"/>
    </row>
    <row r="504" spans="22:28" customFormat="1" ht="9.9499999999999993">
      <c r="V504" s="207"/>
      <c r="W504" s="207"/>
      <c r="X504" s="207"/>
      <c r="Y504" s="207"/>
      <c r="Z504" s="207"/>
      <c r="AA504" s="207"/>
      <c r="AB504" s="207"/>
    </row>
    <row r="505" spans="22:28" customFormat="1" ht="9.9499999999999993">
      <c r="V505" s="207"/>
      <c r="W505" s="207"/>
      <c r="X505" s="207"/>
      <c r="Y505" s="207"/>
      <c r="Z505" s="207"/>
      <c r="AA505" s="207"/>
      <c r="AB505" s="207"/>
    </row>
    <row r="506" spans="22:28" customFormat="1" ht="9.9499999999999993">
      <c r="V506" s="207"/>
      <c r="W506" s="207"/>
      <c r="X506" s="207"/>
      <c r="Y506" s="207"/>
      <c r="Z506" s="207"/>
      <c r="AA506" s="207"/>
      <c r="AB506" s="207"/>
    </row>
    <row r="507" spans="22:28" customFormat="1" ht="9.9499999999999993">
      <c r="V507" s="207"/>
      <c r="W507" s="207"/>
      <c r="X507" s="207"/>
      <c r="Y507" s="207"/>
      <c r="Z507" s="207"/>
      <c r="AA507" s="207"/>
      <c r="AB507" s="207"/>
    </row>
    <row r="508" spans="22:28" customFormat="1" ht="9.9499999999999993">
      <c r="V508" s="207"/>
      <c r="W508" s="207"/>
      <c r="X508" s="207"/>
      <c r="Y508" s="207"/>
      <c r="Z508" s="207"/>
      <c r="AA508" s="207"/>
      <c r="AB508" s="207"/>
    </row>
    <row r="509" spans="22:28" customFormat="1" ht="9.9499999999999993">
      <c r="V509" s="207"/>
      <c r="W509" s="207"/>
      <c r="X509" s="207"/>
      <c r="Y509" s="207"/>
      <c r="Z509" s="207"/>
      <c r="AA509" s="207"/>
      <c r="AB509" s="207"/>
    </row>
    <row r="510" spans="22:28" customFormat="1" ht="9.9499999999999993">
      <c r="V510" s="207"/>
      <c r="W510" s="207"/>
      <c r="X510" s="207"/>
      <c r="Y510" s="207"/>
      <c r="Z510" s="207"/>
      <c r="AA510" s="207"/>
      <c r="AB510" s="207"/>
    </row>
    <row r="511" spans="22:28" customFormat="1" ht="9.9499999999999993">
      <c r="V511" s="207"/>
      <c r="W511" s="207"/>
      <c r="X511" s="207"/>
      <c r="Y511" s="207"/>
      <c r="Z511" s="207"/>
      <c r="AA511" s="207"/>
      <c r="AB511" s="207"/>
    </row>
    <row r="512" spans="22:28" customFormat="1" ht="9.9499999999999993">
      <c r="V512" s="207"/>
      <c r="W512" s="207"/>
      <c r="X512" s="207"/>
      <c r="Y512" s="207"/>
      <c r="Z512" s="207"/>
      <c r="AA512" s="207"/>
      <c r="AB512" s="207"/>
    </row>
    <row r="513" spans="22:28" customFormat="1" ht="9.9499999999999993">
      <c r="V513" s="207"/>
      <c r="W513" s="207"/>
      <c r="X513" s="207"/>
      <c r="Y513" s="207"/>
      <c r="Z513" s="207"/>
      <c r="AA513" s="207"/>
      <c r="AB513" s="207"/>
    </row>
    <row r="514" spans="22:28" customFormat="1" ht="9.9499999999999993">
      <c r="V514" s="207"/>
      <c r="W514" s="207"/>
      <c r="X514" s="207"/>
      <c r="Y514" s="207"/>
      <c r="Z514" s="207"/>
      <c r="AA514" s="207"/>
      <c r="AB514" s="207"/>
    </row>
    <row r="515" spans="22:28" customFormat="1" ht="9.9499999999999993">
      <c r="V515" s="207"/>
      <c r="W515" s="207"/>
      <c r="X515" s="207"/>
      <c r="Y515" s="207"/>
      <c r="Z515" s="207"/>
      <c r="AA515" s="207"/>
      <c r="AB515" s="207"/>
    </row>
    <row r="516" spans="22:28" customFormat="1" ht="9.9499999999999993">
      <c r="V516" s="207"/>
      <c r="W516" s="207"/>
      <c r="X516" s="207"/>
      <c r="Y516" s="207"/>
      <c r="Z516" s="207"/>
      <c r="AA516" s="207"/>
      <c r="AB516" s="207"/>
    </row>
    <row r="517" spans="22:28" customFormat="1" ht="9.9499999999999993">
      <c r="V517" s="207"/>
      <c r="W517" s="207"/>
      <c r="X517" s="207"/>
      <c r="Y517" s="207"/>
      <c r="Z517" s="207"/>
      <c r="AA517" s="207"/>
      <c r="AB517" s="207"/>
    </row>
    <row r="518" spans="22:28" customFormat="1" ht="9.9499999999999993">
      <c r="V518" s="207"/>
      <c r="W518" s="207"/>
      <c r="X518" s="207"/>
      <c r="Y518" s="207"/>
      <c r="Z518" s="207"/>
      <c r="AA518" s="207"/>
      <c r="AB518" s="207"/>
    </row>
    <row r="519" spans="22:28" customFormat="1" ht="9.9499999999999993">
      <c r="V519" s="207"/>
      <c r="W519" s="207"/>
      <c r="X519" s="207"/>
      <c r="Y519" s="207"/>
      <c r="Z519" s="207"/>
      <c r="AA519" s="207"/>
      <c r="AB519" s="207"/>
    </row>
    <row r="520" spans="22:28" customFormat="1" ht="9.9499999999999993">
      <c r="V520" s="207"/>
      <c r="W520" s="207"/>
      <c r="X520" s="207"/>
      <c r="Y520" s="207"/>
      <c r="Z520" s="207"/>
      <c r="AA520" s="207"/>
      <c r="AB520" s="207"/>
    </row>
    <row r="521" spans="22:28" customFormat="1" ht="9.9499999999999993">
      <c r="V521" s="207"/>
      <c r="W521" s="207"/>
      <c r="X521" s="207"/>
      <c r="Y521" s="207"/>
      <c r="Z521" s="207"/>
      <c r="AA521" s="207"/>
      <c r="AB521" s="207"/>
    </row>
    <row r="522" spans="22:28" customFormat="1" ht="9.9499999999999993">
      <c r="V522" s="207"/>
      <c r="W522" s="207"/>
      <c r="X522" s="207"/>
      <c r="Y522" s="207"/>
      <c r="Z522" s="207"/>
      <c r="AA522" s="207"/>
      <c r="AB522" s="207"/>
    </row>
    <row r="523" spans="22:28" customFormat="1" ht="9.9499999999999993">
      <c r="V523" s="207"/>
      <c r="W523" s="207"/>
      <c r="X523" s="207"/>
      <c r="Y523" s="207"/>
      <c r="Z523" s="207"/>
      <c r="AA523" s="207"/>
      <c r="AB523" s="207"/>
    </row>
    <row r="524" spans="22:28" customFormat="1" ht="9.9499999999999993">
      <c r="V524" s="207"/>
      <c r="W524" s="207"/>
      <c r="X524" s="207"/>
      <c r="Y524" s="207"/>
      <c r="Z524" s="207"/>
      <c r="AA524" s="207"/>
      <c r="AB524" s="207"/>
    </row>
    <row r="525" spans="22:28" customFormat="1" ht="9.9499999999999993">
      <c r="V525" s="207"/>
      <c r="W525" s="207"/>
      <c r="X525" s="207"/>
      <c r="Y525" s="207"/>
      <c r="Z525" s="207"/>
      <c r="AA525" s="207"/>
      <c r="AB525" s="207"/>
    </row>
    <row r="526" spans="22:28" customFormat="1" ht="9.9499999999999993">
      <c r="V526" s="207"/>
      <c r="W526" s="207"/>
      <c r="X526" s="207"/>
      <c r="Y526" s="207"/>
      <c r="Z526" s="207"/>
      <c r="AA526" s="207"/>
      <c r="AB526" s="207"/>
    </row>
    <row r="527" spans="22:28" customFormat="1" ht="9.9499999999999993">
      <c r="V527" s="207"/>
      <c r="W527" s="207"/>
      <c r="X527" s="207"/>
      <c r="Y527" s="207"/>
      <c r="Z527" s="207"/>
      <c r="AA527" s="207"/>
      <c r="AB527" s="207"/>
    </row>
    <row r="528" spans="22:28" customFormat="1" ht="9.9499999999999993">
      <c r="V528" s="207"/>
      <c r="W528" s="207"/>
      <c r="X528" s="207"/>
      <c r="Y528" s="207"/>
      <c r="Z528" s="207"/>
      <c r="AA528" s="207"/>
      <c r="AB528" s="207"/>
    </row>
    <row r="529" spans="22:28" customFormat="1" ht="9.9499999999999993">
      <c r="V529" s="207"/>
      <c r="W529" s="207"/>
      <c r="X529" s="207"/>
      <c r="Y529" s="207"/>
      <c r="Z529" s="207"/>
      <c r="AA529" s="207"/>
      <c r="AB529" s="207"/>
    </row>
    <row r="530" spans="22:28" customFormat="1" ht="9.9499999999999993">
      <c r="V530" s="207"/>
      <c r="W530" s="207"/>
      <c r="X530" s="207"/>
      <c r="Y530" s="207"/>
      <c r="Z530" s="207"/>
      <c r="AA530" s="207"/>
      <c r="AB530" s="207"/>
    </row>
    <row r="531" spans="22:28" customFormat="1" ht="9.9499999999999993">
      <c r="V531" s="207"/>
      <c r="W531" s="207"/>
      <c r="X531" s="207"/>
      <c r="Y531" s="207"/>
      <c r="Z531" s="207"/>
      <c r="AA531" s="207"/>
      <c r="AB531" s="207"/>
    </row>
    <row r="532" spans="22:28" customFormat="1" ht="9.9499999999999993">
      <c r="V532" s="207"/>
      <c r="W532" s="207"/>
      <c r="X532" s="207"/>
      <c r="Y532" s="207"/>
      <c r="Z532" s="207"/>
      <c r="AA532" s="207"/>
      <c r="AB532" s="207"/>
    </row>
    <row r="533" spans="22:28" customFormat="1" ht="9.9499999999999993">
      <c r="V533" s="207"/>
      <c r="W533" s="207"/>
      <c r="X533" s="207"/>
      <c r="Y533" s="207"/>
      <c r="Z533" s="207"/>
      <c r="AA533" s="207"/>
      <c r="AB533" s="207"/>
    </row>
    <row r="534" spans="22:28" customFormat="1" ht="9.9499999999999993">
      <c r="V534" s="207"/>
      <c r="W534" s="207"/>
      <c r="X534" s="207"/>
      <c r="Y534" s="207"/>
      <c r="Z534" s="207"/>
      <c r="AA534" s="207"/>
      <c r="AB534" s="207"/>
    </row>
    <row r="535" spans="22:28" customFormat="1" ht="9.9499999999999993">
      <c r="V535" s="207"/>
      <c r="W535" s="207"/>
      <c r="X535" s="207"/>
      <c r="Y535" s="207"/>
      <c r="Z535" s="207"/>
      <c r="AA535" s="207"/>
      <c r="AB535" s="207"/>
    </row>
    <row r="536" spans="22:28" customFormat="1" ht="9.9499999999999993">
      <c r="V536" s="207"/>
      <c r="W536" s="207"/>
      <c r="X536" s="207"/>
      <c r="Y536" s="207"/>
      <c r="Z536" s="207"/>
      <c r="AA536" s="207"/>
      <c r="AB536" s="207"/>
    </row>
    <row r="537" spans="22:28" customFormat="1" ht="9.9499999999999993">
      <c r="V537" s="207"/>
      <c r="W537" s="207"/>
      <c r="X537" s="207"/>
      <c r="Y537" s="207"/>
      <c r="Z537" s="207"/>
      <c r="AA537" s="207"/>
      <c r="AB537" s="207"/>
    </row>
    <row r="538" spans="22:28" customFormat="1" ht="9.9499999999999993">
      <c r="V538" s="207"/>
      <c r="W538" s="207"/>
      <c r="X538" s="207"/>
      <c r="Y538" s="207"/>
      <c r="Z538" s="207"/>
      <c r="AA538" s="207"/>
      <c r="AB538" s="207"/>
    </row>
    <row r="539" spans="22:28" customFormat="1" ht="9.9499999999999993">
      <c r="V539" s="207"/>
      <c r="W539" s="207"/>
      <c r="X539" s="207"/>
      <c r="Y539" s="207"/>
      <c r="Z539" s="207"/>
      <c r="AA539" s="207"/>
      <c r="AB539" s="207"/>
    </row>
    <row r="540" spans="22:28" customFormat="1" ht="9.9499999999999993">
      <c r="V540" s="207"/>
      <c r="W540" s="207"/>
      <c r="X540" s="207"/>
      <c r="Y540" s="207"/>
      <c r="Z540" s="207"/>
      <c r="AA540" s="207"/>
      <c r="AB540" s="207"/>
    </row>
    <row r="541" spans="22:28" customFormat="1" ht="9.9499999999999993">
      <c r="V541" s="207"/>
      <c r="W541" s="207"/>
      <c r="X541" s="207"/>
      <c r="Y541" s="207"/>
      <c r="Z541" s="207"/>
      <c r="AA541" s="207"/>
      <c r="AB541" s="207"/>
    </row>
    <row r="542" spans="22:28" customFormat="1" ht="9.9499999999999993">
      <c r="V542" s="207"/>
      <c r="W542" s="207"/>
      <c r="X542" s="207"/>
      <c r="Y542" s="207"/>
      <c r="Z542" s="207"/>
      <c r="AA542" s="207"/>
      <c r="AB542" s="207"/>
    </row>
    <row r="543" spans="22:28" customFormat="1" ht="9.9499999999999993">
      <c r="V543" s="207"/>
      <c r="W543" s="207"/>
      <c r="X543" s="207"/>
      <c r="Y543" s="207"/>
      <c r="Z543" s="207"/>
      <c r="AA543" s="207"/>
      <c r="AB543" s="207"/>
    </row>
    <row r="544" spans="22:28" customFormat="1" ht="9.9499999999999993">
      <c r="V544" s="207"/>
      <c r="W544" s="207"/>
      <c r="X544" s="207"/>
      <c r="Y544" s="207"/>
      <c r="Z544" s="207"/>
      <c r="AA544" s="207"/>
      <c r="AB544" s="207"/>
    </row>
    <row r="545" spans="22:28" customFormat="1" ht="9.9499999999999993">
      <c r="V545" s="207"/>
      <c r="W545" s="207"/>
      <c r="X545" s="207"/>
      <c r="Y545" s="207"/>
      <c r="Z545" s="207"/>
      <c r="AA545" s="207"/>
      <c r="AB545" s="207"/>
    </row>
    <row r="546" spans="22:28" customFormat="1" ht="9.9499999999999993">
      <c r="V546" s="207"/>
      <c r="W546" s="207"/>
      <c r="X546" s="207"/>
      <c r="Y546" s="207"/>
      <c r="Z546" s="207"/>
      <c r="AA546" s="207"/>
      <c r="AB546" s="207"/>
    </row>
    <row r="547" spans="22:28" customFormat="1" ht="9.9499999999999993">
      <c r="V547" s="207"/>
      <c r="W547" s="207"/>
      <c r="X547" s="207"/>
      <c r="Y547" s="207"/>
      <c r="Z547" s="207"/>
      <c r="AA547" s="207"/>
      <c r="AB547" s="207"/>
    </row>
    <row r="548" spans="22:28" customFormat="1" ht="9.9499999999999993">
      <c r="V548" s="207"/>
      <c r="W548" s="207"/>
      <c r="X548" s="207"/>
      <c r="Y548" s="207"/>
      <c r="Z548" s="207"/>
      <c r="AA548" s="207"/>
      <c r="AB548" s="207"/>
    </row>
    <row r="549" spans="22:28" customFormat="1" ht="9.9499999999999993">
      <c r="V549" s="207"/>
      <c r="W549" s="207"/>
      <c r="X549" s="207"/>
      <c r="Y549" s="207"/>
      <c r="Z549" s="207"/>
      <c r="AA549" s="207"/>
      <c r="AB549" s="207"/>
    </row>
    <row r="550" spans="22:28" customFormat="1" ht="9.9499999999999993">
      <c r="V550" s="207"/>
      <c r="W550" s="207"/>
      <c r="X550" s="207"/>
      <c r="Y550" s="207"/>
      <c r="Z550" s="207"/>
      <c r="AA550" s="207"/>
      <c r="AB550" s="207"/>
    </row>
    <row r="551" spans="22:28" customFormat="1" ht="9.9499999999999993">
      <c r="V551" s="207"/>
      <c r="W551" s="207"/>
      <c r="X551" s="207"/>
      <c r="Y551" s="207"/>
      <c r="Z551" s="207"/>
      <c r="AA551" s="207"/>
      <c r="AB551" s="207"/>
    </row>
    <row r="552" spans="22:28" customFormat="1" ht="9.9499999999999993">
      <c r="V552" s="207"/>
      <c r="W552" s="207"/>
      <c r="X552" s="207"/>
      <c r="Y552" s="207"/>
      <c r="Z552" s="207"/>
      <c r="AA552" s="207"/>
      <c r="AB552" s="207"/>
    </row>
    <row r="553" spans="22:28" customFormat="1" ht="9.9499999999999993">
      <c r="V553" s="207"/>
      <c r="W553" s="207"/>
      <c r="X553" s="207"/>
      <c r="Y553" s="207"/>
      <c r="Z553" s="207"/>
      <c r="AA553" s="207"/>
      <c r="AB553" s="207"/>
    </row>
    <row r="554" spans="22:28" customFormat="1" ht="9.9499999999999993">
      <c r="V554" s="207"/>
      <c r="W554" s="207"/>
      <c r="X554" s="207"/>
      <c r="Y554" s="207"/>
      <c r="Z554" s="207"/>
      <c r="AA554" s="207"/>
      <c r="AB554" s="207"/>
    </row>
    <row r="555" spans="22:28" customFormat="1" ht="9.9499999999999993">
      <c r="V555" s="207"/>
      <c r="W555" s="207"/>
      <c r="X555" s="207"/>
      <c r="Y555" s="207"/>
      <c r="Z555" s="207"/>
      <c r="AA555" s="207"/>
      <c r="AB555" s="207"/>
    </row>
    <row r="556" spans="22:28" customFormat="1" ht="9.9499999999999993">
      <c r="V556" s="207"/>
      <c r="W556" s="207"/>
      <c r="X556" s="207"/>
      <c r="Y556" s="207"/>
      <c r="Z556" s="207"/>
      <c r="AA556" s="207"/>
      <c r="AB556" s="207"/>
    </row>
    <row r="557" spans="22:28" customFormat="1" ht="9.9499999999999993">
      <c r="V557" s="207"/>
      <c r="W557" s="207"/>
      <c r="X557" s="207"/>
      <c r="Y557" s="207"/>
      <c r="Z557" s="207"/>
      <c r="AA557" s="207"/>
      <c r="AB557" s="207"/>
    </row>
    <row r="558" spans="22:28" customFormat="1" ht="9.9499999999999993">
      <c r="V558" s="207"/>
      <c r="W558" s="207"/>
      <c r="X558" s="207"/>
      <c r="Y558" s="207"/>
      <c r="Z558" s="207"/>
      <c r="AA558" s="207"/>
      <c r="AB558" s="207"/>
    </row>
    <row r="559" spans="22:28" customFormat="1" ht="9.9499999999999993">
      <c r="V559" s="207"/>
      <c r="W559" s="207"/>
      <c r="X559" s="207"/>
      <c r="Y559" s="207"/>
      <c r="Z559" s="207"/>
      <c r="AA559" s="207"/>
      <c r="AB559" s="207"/>
    </row>
    <row r="560" spans="22:28" customFormat="1" ht="9.9499999999999993">
      <c r="V560" s="207"/>
      <c r="W560" s="207"/>
      <c r="X560" s="207"/>
      <c r="Y560" s="207"/>
      <c r="Z560" s="207"/>
      <c r="AA560" s="207"/>
      <c r="AB560" s="207"/>
    </row>
    <row r="561" spans="22:28" customFormat="1" ht="9.9499999999999993">
      <c r="V561" s="207"/>
      <c r="W561" s="207"/>
      <c r="X561" s="207"/>
      <c r="Y561" s="207"/>
      <c r="Z561" s="207"/>
      <c r="AA561" s="207"/>
      <c r="AB561" s="207"/>
    </row>
    <row r="562" spans="22:28" customFormat="1" ht="9.9499999999999993">
      <c r="V562" s="207"/>
      <c r="W562" s="207"/>
      <c r="X562" s="207"/>
      <c r="Y562" s="207"/>
      <c r="Z562" s="207"/>
      <c r="AA562" s="207"/>
      <c r="AB562" s="207"/>
    </row>
    <row r="563" spans="22:28" customFormat="1" ht="9.9499999999999993">
      <c r="V563" s="207"/>
      <c r="W563" s="207"/>
      <c r="X563" s="207"/>
      <c r="Y563" s="207"/>
      <c r="Z563" s="207"/>
      <c r="AA563" s="207"/>
      <c r="AB563" s="207"/>
    </row>
    <row r="564" spans="22:28" customFormat="1" ht="9.9499999999999993">
      <c r="V564" s="207"/>
      <c r="W564" s="207"/>
      <c r="X564" s="207"/>
      <c r="Y564" s="207"/>
      <c r="Z564" s="207"/>
      <c r="AA564" s="207"/>
      <c r="AB564" s="207"/>
    </row>
    <row r="565" spans="22:28" customFormat="1" ht="9.9499999999999993">
      <c r="V565" s="207"/>
      <c r="W565" s="207"/>
      <c r="X565" s="207"/>
      <c r="Y565" s="207"/>
      <c r="Z565" s="207"/>
      <c r="AA565" s="207"/>
      <c r="AB565" s="207"/>
    </row>
    <row r="566" spans="22:28" customFormat="1" ht="9.9499999999999993">
      <c r="V566" s="207"/>
      <c r="W566" s="207"/>
      <c r="X566" s="207"/>
      <c r="Y566" s="207"/>
      <c r="Z566" s="207"/>
      <c r="AA566" s="207"/>
      <c r="AB566" s="207"/>
    </row>
    <row r="567" spans="22:28" customFormat="1" ht="9.9499999999999993">
      <c r="V567" s="207"/>
      <c r="W567" s="207"/>
      <c r="X567" s="207"/>
      <c r="Y567" s="207"/>
      <c r="Z567" s="207"/>
      <c r="AA567" s="207"/>
      <c r="AB567" s="207"/>
    </row>
    <row r="568" spans="22:28" customFormat="1" ht="9.9499999999999993">
      <c r="V568" s="207"/>
      <c r="W568" s="207"/>
      <c r="X568" s="207"/>
      <c r="Y568" s="207"/>
      <c r="Z568" s="207"/>
      <c r="AA568" s="207"/>
      <c r="AB568" s="207"/>
    </row>
    <row r="569" spans="22:28" customFormat="1" ht="9.9499999999999993">
      <c r="V569" s="207"/>
      <c r="W569" s="207"/>
      <c r="X569" s="207"/>
      <c r="Y569" s="207"/>
      <c r="Z569" s="207"/>
      <c r="AA569" s="207"/>
      <c r="AB569" s="207"/>
    </row>
    <row r="570" spans="22:28" customFormat="1" ht="9.9499999999999993">
      <c r="V570" s="207"/>
      <c r="W570" s="207"/>
      <c r="X570" s="207"/>
      <c r="Y570" s="207"/>
      <c r="Z570" s="207"/>
      <c r="AA570" s="207"/>
      <c r="AB570" s="207"/>
    </row>
    <row r="571" spans="22:28" customFormat="1" ht="9.9499999999999993">
      <c r="V571" s="207"/>
      <c r="W571" s="207"/>
      <c r="X571" s="207"/>
      <c r="Y571" s="207"/>
      <c r="Z571" s="207"/>
      <c r="AA571" s="207"/>
      <c r="AB571" s="207"/>
    </row>
    <row r="572" spans="22:28" customFormat="1" ht="9.9499999999999993">
      <c r="V572" s="207"/>
      <c r="W572" s="207"/>
      <c r="X572" s="207"/>
      <c r="Y572" s="207"/>
      <c r="Z572" s="207"/>
      <c r="AA572" s="207"/>
      <c r="AB572" s="207"/>
    </row>
    <row r="573" spans="22:28" customFormat="1" ht="9.9499999999999993">
      <c r="V573" s="207"/>
      <c r="W573" s="207"/>
      <c r="X573" s="207"/>
      <c r="Y573" s="207"/>
      <c r="Z573" s="207"/>
      <c r="AA573" s="207"/>
      <c r="AB573" s="207"/>
    </row>
    <row r="574" spans="22:28" customFormat="1" ht="9.9499999999999993">
      <c r="V574" s="207"/>
      <c r="W574" s="207"/>
      <c r="X574" s="207"/>
      <c r="Y574" s="207"/>
      <c r="Z574" s="207"/>
      <c r="AA574" s="207"/>
      <c r="AB574" s="207"/>
    </row>
    <row r="575" spans="22:28" customFormat="1" ht="9.9499999999999993">
      <c r="V575" s="207"/>
      <c r="W575" s="207"/>
      <c r="X575" s="207"/>
      <c r="Y575" s="207"/>
      <c r="Z575" s="207"/>
      <c r="AA575" s="207"/>
      <c r="AB575" s="207"/>
    </row>
    <row r="576" spans="22:28" customFormat="1" ht="9.9499999999999993">
      <c r="V576" s="207"/>
      <c r="W576" s="207"/>
      <c r="X576" s="207"/>
      <c r="Y576" s="207"/>
      <c r="Z576" s="207"/>
      <c r="AA576" s="207"/>
      <c r="AB576" s="207"/>
    </row>
    <row r="577" spans="22:28" customFormat="1" ht="9.9499999999999993">
      <c r="V577" s="207"/>
      <c r="W577" s="207"/>
      <c r="X577" s="207"/>
      <c r="Y577" s="207"/>
      <c r="Z577" s="207"/>
      <c r="AA577" s="207"/>
      <c r="AB577" s="207"/>
    </row>
    <row r="578" spans="22:28" customFormat="1" ht="9.9499999999999993">
      <c r="V578" s="207"/>
      <c r="W578" s="207"/>
      <c r="X578" s="207"/>
      <c r="Y578" s="207"/>
      <c r="Z578" s="207"/>
      <c r="AA578" s="207"/>
      <c r="AB578" s="207"/>
    </row>
    <row r="579" spans="22:28" customFormat="1" ht="9.9499999999999993">
      <c r="V579" s="207"/>
      <c r="W579" s="207"/>
      <c r="X579" s="207"/>
      <c r="Y579" s="207"/>
      <c r="Z579" s="207"/>
      <c r="AA579" s="207"/>
      <c r="AB579" s="207"/>
    </row>
    <row r="580" spans="22:28" customFormat="1" ht="9.9499999999999993">
      <c r="V580" s="207"/>
      <c r="W580" s="207"/>
      <c r="X580" s="207"/>
      <c r="Y580" s="207"/>
      <c r="Z580" s="207"/>
      <c r="AA580" s="207"/>
      <c r="AB580" s="207"/>
    </row>
    <row r="581" spans="22:28" customFormat="1" ht="9.9499999999999993">
      <c r="V581" s="207"/>
      <c r="W581" s="207"/>
      <c r="X581" s="207"/>
      <c r="Y581" s="207"/>
      <c r="Z581" s="207"/>
      <c r="AA581" s="207"/>
      <c r="AB581" s="207"/>
    </row>
    <row r="582" spans="22:28" customFormat="1" ht="9.9499999999999993">
      <c r="V582" s="207"/>
      <c r="W582" s="207"/>
      <c r="X582" s="207"/>
      <c r="Y582" s="207"/>
      <c r="Z582" s="207"/>
      <c r="AA582" s="207"/>
      <c r="AB582" s="207"/>
    </row>
    <row r="583" spans="22:28" customFormat="1" ht="9.9499999999999993">
      <c r="V583" s="207"/>
      <c r="W583" s="207"/>
      <c r="X583" s="207"/>
      <c r="Y583" s="207"/>
      <c r="Z583" s="207"/>
      <c r="AA583" s="207"/>
      <c r="AB583" s="207"/>
    </row>
    <row r="584" spans="22:28" customFormat="1" ht="9.9499999999999993">
      <c r="V584" s="207"/>
      <c r="W584" s="207"/>
      <c r="X584" s="207"/>
      <c r="Y584" s="207"/>
      <c r="Z584" s="207"/>
      <c r="AA584" s="207"/>
      <c r="AB584" s="207"/>
    </row>
    <row r="585" spans="22:28" customFormat="1" ht="9.9499999999999993">
      <c r="V585" s="207"/>
      <c r="W585" s="207"/>
      <c r="X585" s="207"/>
      <c r="Y585" s="207"/>
      <c r="Z585" s="207"/>
      <c r="AA585" s="207"/>
      <c r="AB585" s="207"/>
    </row>
    <row r="586" spans="22:28" customFormat="1" ht="9.9499999999999993">
      <c r="V586" s="207"/>
      <c r="W586" s="207"/>
      <c r="X586" s="207"/>
      <c r="Y586" s="207"/>
      <c r="Z586" s="207"/>
      <c r="AA586" s="207"/>
      <c r="AB586" s="207"/>
    </row>
    <row r="587" spans="22:28" customFormat="1" ht="9.9499999999999993">
      <c r="V587" s="207"/>
      <c r="W587" s="207"/>
      <c r="X587" s="207"/>
      <c r="Y587" s="207"/>
      <c r="Z587" s="207"/>
      <c r="AA587" s="207"/>
      <c r="AB587" s="207"/>
    </row>
    <row r="588" spans="22:28" customFormat="1" ht="9.9499999999999993">
      <c r="V588" s="207"/>
      <c r="W588" s="207"/>
      <c r="X588" s="207"/>
      <c r="Y588" s="207"/>
      <c r="Z588" s="207"/>
      <c r="AA588" s="207"/>
      <c r="AB588" s="207"/>
    </row>
    <row r="589" spans="22:28" customFormat="1" ht="9.9499999999999993">
      <c r="V589" s="207"/>
      <c r="W589" s="207"/>
      <c r="X589" s="207"/>
      <c r="Y589" s="207"/>
      <c r="Z589" s="207"/>
      <c r="AA589" s="207"/>
      <c r="AB589" s="207"/>
    </row>
    <row r="590" spans="22:28" customFormat="1" ht="9.9499999999999993">
      <c r="V590" s="207"/>
      <c r="W590" s="207"/>
      <c r="X590" s="207"/>
      <c r="Y590" s="207"/>
      <c r="Z590" s="207"/>
      <c r="AA590" s="207"/>
      <c r="AB590" s="207"/>
    </row>
    <row r="591" spans="22:28" customFormat="1" ht="9.9499999999999993">
      <c r="V591" s="207"/>
      <c r="W591" s="207"/>
      <c r="X591" s="207"/>
      <c r="Y591" s="207"/>
      <c r="Z591" s="207"/>
      <c r="AA591" s="207"/>
      <c r="AB591" s="207"/>
    </row>
    <row r="592" spans="22:28" customFormat="1" ht="9.9499999999999993">
      <c r="V592" s="207"/>
      <c r="W592" s="207"/>
      <c r="X592" s="207"/>
      <c r="Y592" s="207"/>
      <c r="Z592" s="207"/>
      <c r="AA592" s="207"/>
      <c r="AB592" s="207"/>
    </row>
    <row r="593" spans="22:28" customFormat="1" ht="9.9499999999999993">
      <c r="V593" s="207"/>
      <c r="W593" s="207"/>
      <c r="X593" s="207"/>
      <c r="Y593" s="207"/>
      <c r="Z593" s="207"/>
      <c r="AA593" s="207"/>
      <c r="AB593" s="207"/>
    </row>
    <row r="594" spans="22:28" customFormat="1" ht="9.9499999999999993">
      <c r="V594" s="207"/>
      <c r="W594" s="207"/>
      <c r="X594" s="207"/>
      <c r="Y594" s="207"/>
      <c r="Z594" s="207"/>
      <c r="AA594" s="207"/>
      <c r="AB594" s="207"/>
    </row>
    <row r="595" spans="22:28" customFormat="1" ht="9.9499999999999993">
      <c r="V595" s="207"/>
      <c r="W595" s="207"/>
      <c r="X595" s="207"/>
      <c r="Y595" s="207"/>
      <c r="Z595" s="207"/>
      <c r="AA595" s="207"/>
      <c r="AB595" s="207"/>
    </row>
    <row r="596" spans="22:28" customFormat="1" ht="9.9499999999999993">
      <c r="V596" s="207"/>
      <c r="W596" s="207"/>
      <c r="X596" s="207"/>
      <c r="Y596" s="207"/>
      <c r="Z596" s="207"/>
      <c r="AA596" s="207"/>
      <c r="AB596" s="207"/>
    </row>
    <row r="597" spans="22:28" customFormat="1" ht="9.9499999999999993">
      <c r="V597" s="207"/>
      <c r="W597" s="207"/>
      <c r="X597" s="207"/>
      <c r="Y597" s="207"/>
      <c r="Z597" s="207"/>
      <c r="AA597" s="207"/>
      <c r="AB597" s="207"/>
    </row>
    <row r="598" spans="22:28" customFormat="1" ht="9.9499999999999993">
      <c r="V598" s="207"/>
      <c r="W598" s="207"/>
      <c r="X598" s="207"/>
      <c r="Y598" s="207"/>
      <c r="Z598" s="207"/>
      <c r="AA598" s="207"/>
      <c r="AB598" s="207"/>
    </row>
    <row r="599" spans="22:28" customFormat="1" ht="9.9499999999999993">
      <c r="V599" s="207"/>
      <c r="W599" s="207"/>
      <c r="X599" s="207"/>
      <c r="Y599" s="207"/>
      <c r="Z599" s="207"/>
      <c r="AA599" s="207"/>
      <c r="AB599" s="207"/>
    </row>
    <row r="600" spans="22:28" customFormat="1" ht="9.9499999999999993">
      <c r="V600" s="207"/>
      <c r="W600" s="207"/>
      <c r="X600" s="207"/>
      <c r="Y600" s="207"/>
      <c r="Z600" s="207"/>
      <c r="AA600" s="207"/>
      <c r="AB600" s="207"/>
    </row>
    <row r="601" spans="22:28" customFormat="1" ht="9.9499999999999993">
      <c r="V601" s="207"/>
      <c r="W601" s="207"/>
      <c r="X601" s="207"/>
      <c r="Y601" s="207"/>
      <c r="Z601" s="207"/>
      <c r="AA601" s="207"/>
      <c r="AB601" s="207"/>
    </row>
    <row r="602" spans="22:28" customFormat="1" ht="9.9499999999999993">
      <c r="V602" s="207"/>
      <c r="W602" s="207"/>
      <c r="X602" s="207"/>
      <c r="Y602" s="207"/>
      <c r="Z602" s="207"/>
      <c r="AA602" s="207"/>
      <c r="AB602" s="207"/>
    </row>
    <row r="603" spans="22:28" customFormat="1" ht="9.9499999999999993">
      <c r="V603" s="207"/>
      <c r="W603" s="207"/>
      <c r="X603" s="207"/>
      <c r="Y603" s="207"/>
      <c r="Z603" s="207"/>
      <c r="AA603" s="207"/>
      <c r="AB603" s="207"/>
    </row>
    <row r="604" spans="22:28" customFormat="1" ht="9.9499999999999993">
      <c r="V604" s="207"/>
      <c r="W604" s="207"/>
      <c r="X604" s="207"/>
      <c r="Y604" s="207"/>
      <c r="Z604" s="207"/>
      <c r="AA604" s="207"/>
      <c r="AB604" s="207"/>
    </row>
    <row r="605" spans="22:28" customFormat="1" ht="9.9499999999999993">
      <c r="V605" s="207"/>
      <c r="W605" s="207"/>
      <c r="X605" s="207"/>
      <c r="Y605" s="207"/>
      <c r="Z605" s="207"/>
      <c r="AA605" s="207"/>
      <c r="AB605" s="207"/>
    </row>
    <row r="606" spans="22:28" customFormat="1" ht="9.9499999999999993">
      <c r="V606" s="207"/>
      <c r="W606" s="207"/>
      <c r="X606" s="207"/>
      <c r="Y606" s="207"/>
      <c r="Z606" s="207"/>
      <c r="AA606" s="207"/>
      <c r="AB606" s="207"/>
    </row>
    <row r="607" spans="22:28" customFormat="1" ht="9.9499999999999993">
      <c r="V607" s="207"/>
      <c r="W607" s="207"/>
      <c r="X607" s="207"/>
      <c r="Y607" s="207"/>
      <c r="Z607" s="207"/>
      <c r="AA607" s="207"/>
      <c r="AB607" s="207"/>
    </row>
    <row r="608" spans="22:28" customFormat="1" ht="9.9499999999999993">
      <c r="V608" s="207"/>
      <c r="W608" s="207"/>
      <c r="X608" s="207"/>
      <c r="Y608" s="207"/>
      <c r="Z608" s="207"/>
      <c r="AA608" s="207"/>
      <c r="AB608" s="207"/>
    </row>
    <row r="609" spans="22:28" customFormat="1" ht="9.9499999999999993">
      <c r="V609" s="207"/>
      <c r="W609" s="207"/>
      <c r="X609" s="207"/>
      <c r="Y609" s="207"/>
      <c r="Z609" s="207"/>
      <c r="AA609" s="207"/>
      <c r="AB609" s="207"/>
    </row>
    <row r="610" spans="22:28" customFormat="1" ht="9.9499999999999993">
      <c r="V610" s="207"/>
      <c r="W610" s="207"/>
      <c r="X610" s="207"/>
      <c r="Y610" s="207"/>
      <c r="Z610" s="207"/>
      <c r="AA610" s="207"/>
      <c r="AB610" s="207"/>
    </row>
    <row r="611" spans="22:28" customFormat="1" ht="9.9499999999999993">
      <c r="V611" s="207"/>
      <c r="W611" s="207"/>
      <c r="X611" s="207"/>
      <c r="Y611" s="207"/>
      <c r="Z611" s="207"/>
      <c r="AA611" s="207"/>
      <c r="AB611" s="207"/>
    </row>
    <row r="612" spans="22:28" customFormat="1" ht="9.9499999999999993">
      <c r="V612" s="207"/>
      <c r="W612" s="207"/>
      <c r="X612" s="207"/>
      <c r="Y612" s="207"/>
      <c r="Z612" s="207"/>
      <c r="AA612" s="207"/>
      <c r="AB612" s="207"/>
    </row>
    <row r="613" spans="22:28" customFormat="1" ht="9.9499999999999993">
      <c r="V613" s="207"/>
      <c r="W613" s="207"/>
      <c r="X613" s="207"/>
      <c r="Y613" s="207"/>
      <c r="Z613" s="207"/>
      <c r="AA613" s="207"/>
      <c r="AB613" s="207"/>
    </row>
    <row r="614" spans="22:28" customFormat="1" ht="9.9499999999999993">
      <c r="V614" s="207"/>
      <c r="W614" s="207"/>
      <c r="X614" s="207"/>
      <c r="Y614" s="207"/>
      <c r="Z614" s="207"/>
      <c r="AA614" s="207"/>
      <c r="AB614" s="207"/>
    </row>
    <row r="615" spans="22:28" customFormat="1" ht="9.9499999999999993">
      <c r="V615" s="207"/>
      <c r="W615" s="207"/>
      <c r="X615" s="207"/>
      <c r="Y615" s="207"/>
      <c r="Z615" s="207"/>
      <c r="AA615" s="207"/>
      <c r="AB615" s="207"/>
    </row>
    <row r="616" spans="22:28" customFormat="1" ht="9.9499999999999993">
      <c r="V616" s="207"/>
      <c r="W616" s="207"/>
      <c r="X616" s="207"/>
      <c r="Y616" s="207"/>
      <c r="Z616" s="207"/>
      <c r="AA616" s="207"/>
      <c r="AB616" s="207"/>
    </row>
    <row r="617" spans="22:28" customFormat="1" ht="9.9499999999999993">
      <c r="V617" s="207"/>
      <c r="W617" s="207"/>
      <c r="X617" s="207"/>
      <c r="Y617" s="207"/>
      <c r="Z617" s="207"/>
      <c r="AA617" s="207"/>
      <c r="AB617" s="207"/>
    </row>
    <row r="618" spans="22:28" customFormat="1" ht="9.9499999999999993">
      <c r="V618" s="207"/>
      <c r="W618" s="207"/>
      <c r="X618" s="207"/>
      <c r="Y618" s="207"/>
      <c r="Z618" s="207"/>
      <c r="AA618" s="207"/>
      <c r="AB618" s="207"/>
    </row>
    <row r="619" spans="22:28" customFormat="1" ht="9.9499999999999993">
      <c r="V619" s="207"/>
      <c r="W619" s="207"/>
      <c r="X619" s="207"/>
      <c r="Y619" s="207"/>
      <c r="Z619" s="207"/>
      <c r="AA619" s="207"/>
      <c r="AB619" s="207"/>
    </row>
    <row r="620" spans="22:28" customFormat="1" ht="9.9499999999999993">
      <c r="V620" s="207"/>
      <c r="W620" s="207"/>
      <c r="X620" s="207"/>
      <c r="Y620" s="207"/>
      <c r="Z620" s="207"/>
      <c r="AA620" s="207"/>
      <c r="AB620" s="207"/>
    </row>
    <row r="621" spans="22:28" customFormat="1" ht="9.9499999999999993">
      <c r="V621" s="207"/>
      <c r="W621" s="207"/>
      <c r="X621" s="207"/>
      <c r="Y621" s="207"/>
      <c r="Z621" s="207"/>
      <c r="AA621" s="207"/>
      <c r="AB621" s="207"/>
    </row>
    <row r="622" spans="22:28" customFormat="1" ht="9.9499999999999993">
      <c r="V622" s="207"/>
      <c r="W622" s="207"/>
      <c r="X622" s="207"/>
      <c r="Y622" s="207"/>
      <c r="Z622" s="207"/>
      <c r="AA622" s="207"/>
      <c r="AB622" s="207"/>
    </row>
    <row r="623" spans="22:28" customFormat="1" ht="9.9499999999999993">
      <c r="V623" s="207"/>
      <c r="W623" s="207"/>
      <c r="X623" s="207"/>
      <c r="Y623" s="207"/>
      <c r="Z623" s="207"/>
      <c r="AA623" s="207"/>
      <c r="AB623" s="207"/>
    </row>
    <row r="624" spans="22:28" customFormat="1" ht="9.9499999999999993">
      <c r="V624" s="207"/>
      <c r="W624" s="207"/>
      <c r="X624" s="207"/>
      <c r="Y624" s="207"/>
      <c r="Z624" s="207"/>
      <c r="AA624" s="207"/>
      <c r="AB624" s="207"/>
    </row>
    <row r="625" spans="22:28" customFormat="1" ht="9.9499999999999993">
      <c r="V625" s="207"/>
      <c r="W625" s="207"/>
      <c r="X625" s="207"/>
      <c r="Y625" s="207"/>
      <c r="Z625" s="207"/>
      <c r="AA625" s="207"/>
      <c r="AB625" s="207"/>
    </row>
    <row r="626" spans="22:28" customFormat="1" ht="9.9499999999999993">
      <c r="V626" s="207"/>
      <c r="W626" s="207"/>
      <c r="X626" s="207"/>
      <c r="Y626" s="207"/>
      <c r="Z626" s="207"/>
      <c r="AA626" s="207"/>
      <c r="AB626" s="207"/>
    </row>
    <row r="627" spans="22:28" customFormat="1" ht="9.9499999999999993">
      <c r="V627" s="207"/>
      <c r="W627" s="207"/>
      <c r="X627" s="207"/>
      <c r="Y627" s="207"/>
      <c r="Z627" s="207"/>
      <c r="AA627" s="207"/>
      <c r="AB627" s="207"/>
    </row>
    <row r="628" spans="22:28" customFormat="1" ht="9.9499999999999993">
      <c r="V628" s="207"/>
      <c r="W628" s="207"/>
      <c r="X628" s="207"/>
      <c r="Y628" s="207"/>
      <c r="Z628" s="207"/>
      <c r="AA628" s="207"/>
      <c r="AB628" s="207"/>
    </row>
    <row r="629" spans="22:28" customFormat="1" ht="9.9499999999999993">
      <c r="V629" s="207"/>
      <c r="W629" s="207"/>
      <c r="X629" s="207"/>
      <c r="Y629" s="207"/>
      <c r="Z629" s="207"/>
      <c r="AA629" s="207"/>
      <c r="AB629" s="207"/>
    </row>
    <row r="630" spans="22:28" customFormat="1" ht="9.9499999999999993">
      <c r="V630" s="207"/>
      <c r="W630" s="207"/>
      <c r="X630" s="207"/>
      <c r="Y630" s="207"/>
      <c r="Z630" s="207"/>
      <c r="AA630" s="207"/>
      <c r="AB630" s="207"/>
    </row>
    <row r="631" spans="22:28" customFormat="1" ht="9.9499999999999993">
      <c r="V631" s="207"/>
      <c r="W631" s="207"/>
      <c r="X631" s="207"/>
      <c r="Y631" s="207"/>
      <c r="Z631" s="207"/>
      <c r="AA631" s="207"/>
      <c r="AB631" s="207"/>
    </row>
    <row r="632" spans="22:28" customFormat="1" ht="9.9499999999999993">
      <c r="V632" s="207"/>
      <c r="W632" s="207"/>
      <c r="X632" s="207"/>
      <c r="Y632" s="207"/>
      <c r="Z632" s="207"/>
      <c r="AA632" s="207"/>
      <c r="AB632" s="207"/>
    </row>
    <row r="633" spans="22:28" customFormat="1" ht="9.9499999999999993">
      <c r="V633" s="207"/>
      <c r="W633" s="207"/>
      <c r="X633" s="207"/>
      <c r="Y633" s="207"/>
      <c r="Z633" s="207"/>
      <c r="AA633" s="207"/>
      <c r="AB633" s="207"/>
    </row>
    <row r="634" spans="22:28" customFormat="1" ht="9.9499999999999993">
      <c r="V634" s="207"/>
      <c r="W634" s="207"/>
      <c r="X634" s="207"/>
      <c r="Y634" s="207"/>
      <c r="Z634" s="207"/>
      <c r="AA634" s="207"/>
      <c r="AB634" s="207"/>
    </row>
    <row r="635" spans="22:28" customFormat="1" ht="9.9499999999999993">
      <c r="V635" s="207"/>
      <c r="W635" s="207"/>
      <c r="X635" s="207"/>
      <c r="Y635" s="207"/>
      <c r="Z635" s="207"/>
      <c r="AA635" s="207"/>
      <c r="AB635" s="207"/>
    </row>
    <row r="636" spans="22:28" customFormat="1" ht="9.9499999999999993">
      <c r="V636" s="207"/>
      <c r="W636" s="207"/>
      <c r="X636" s="207"/>
      <c r="Y636" s="207"/>
      <c r="Z636" s="207"/>
      <c r="AA636" s="207"/>
      <c r="AB636" s="207"/>
    </row>
    <row r="637" spans="22:28" customFormat="1" ht="9.9499999999999993">
      <c r="V637" s="207"/>
      <c r="W637" s="207"/>
      <c r="X637" s="207"/>
      <c r="Y637" s="207"/>
      <c r="Z637" s="207"/>
      <c r="AA637" s="207"/>
      <c r="AB637" s="207"/>
    </row>
    <row r="638" spans="22:28" customFormat="1" ht="9.9499999999999993">
      <c r="V638" s="207"/>
      <c r="W638" s="207"/>
      <c r="X638" s="207"/>
      <c r="Y638" s="207"/>
      <c r="Z638" s="207"/>
      <c r="AA638" s="207"/>
      <c r="AB638" s="207"/>
    </row>
    <row r="639" spans="22:28" customFormat="1" ht="9.9499999999999993">
      <c r="V639" s="207"/>
      <c r="W639" s="207"/>
      <c r="X639" s="207"/>
      <c r="Y639" s="207"/>
      <c r="Z639" s="207"/>
      <c r="AA639" s="207"/>
      <c r="AB639" s="207"/>
    </row>
    <row r="640" spans="22:28" customFormat="1" ht="9.9499999999999993">
      <c r="V640" s="207"/>
      <c r="W640" s="207"/>
      <c r="X640" s="207"/>
      <c r="Y640" s="207"/>
      <c r="Z640" s="207"/>
      <c r="AA640" s="207"/>
      <c r="AB640" s="207"/>
    </row>
    <row r="641" spans="22:28" customFormat="1" ht="9.9499999999999993">
      <c r="V641" s="207"/>
      <c r="W641" s="207"/>
      <c r="X641" s="207"/>
      <c r="Y641" s="207"/>
      <c r="Z641" s="207"/>
      <c r="AA641" s="207"/>
      <c r="AB641" s="207"/>
    </row>
    <row r="642" spans="22:28" customFormat="1" ht="9.9499999999999993">
      <c r="V642" s="207"/>
      <c r="W642" s="207"/>
      <c r="X642" s="207"/>
      <c r="Y642" s="207"/>
      <c r="Z642" s="207"/>
      <c r="AA642" s="207"/>
      <c r="AB642" s="207"/>
    </row>
    <row r="643" spans="22:28" customFormat="1" ht="9.9499999999999993">
      <c r="V643" s="207"/>
      <c r="W643" s="207"/>
      <c r="X643" s="207"/>
      <c r="Y643" s="207"/>
      <c r="Z643" s="207"/>
      <c r="AA643" s="207"/>
      <c r="AB643" s="207"/>
    </row>
    <row r="644" spans="22:28" customFormat="1" ht="9.9499999999999993">
      <c r="V644" s="207"/>
      <c r="W644" s="207"/>
      <c r="X644" s="207"/>
      <c r="Y644" s="207"/>
      <c r="Z644" s="207"/>
      <c r="AA644" s="207"/>
      <c r="AB644" s="207"/>
    </row>
    <row r="645" spans="22:28" customFormat="1" ht="9.9499999999999993">
      <c r="V645" s="207"/>
      <c r="W645" s="207"/>
      <c r="X645" s="207"/>
      <c r="Y645" s="207"/>
      <c r="Z645" s="207"/>
      <c r="AA645" s="207"/>
      <c r="AB645" s="207"/>
    </row>
    <row r="646" spans="22:28" customFormat="1" ht="9.9499999999999993">
      <c r="V646" s="207"/>
      <c r="W646" s="207"/>
      <c r="X646" s="207"/>
      <c r="Y646" s="207"/>
      <c r="Z646" s="207"/>
      <c r="AA646" s="207"/>
      <c r="AB646" s="207"/>
    </row>
    <row r="647" spans="22:28" customFormat="1" ht="9.9499999999999993">
      <c r="V647" s="207"/>
      <c r="W647" s="207"/>
      <c r="X647" s="207"/>
      <c r="Y647" s="207"/>
      <c r="Z647" s="207"/>
      <c r="AA647" s="207"/>
      <c r="AB647" s="207"/>
    </row>
    <row r="648" spans="22:28" customFormat="1" ht="9.9499999999999993">
      <c r="V648" s="207"/>
      <c r="W648" s="207"/>
      <c r="X648" s="207"/>
      <c r="Y648" s="207"/>
      <c r="Z648" s="207"/>
      <c r="AA648" s="207"/>
      <c r="AB648" s="207"/>
    </row>
    <row r="649" spans="22:28" customFormat="1" ht="9.9499999999999993">
      <c r="V649" s="207"/>
      <c r="W649" s="207"/>
      <c r="X649" s="207"/>
      <c r="Y649" s="207"/>
      <c r="Z649" s="207"/>
      <c r="AA649" s="207"/>
      <c r="AB649" s="207"/>
    </row>
    <row r="650" spans="22:28" customFormat="1" ht="9.9499999999999993">
      <c r="V650" s="207"/>
      <c r="W650" s="207"/>
      <c r="X650" s="207"/>
      <c r="Y650" s="207"/>
      <c r="Z650" s="207"/>
      <c r="AA650" s="207"/>
      <c r="AB650" s="207"/>
    </row>
    <row r="651" spans="22:28" customFormat="1" ht="9.9499999999999993">
      <c r="V651" s="207"/>
      <c r="W651" s="207"/>
      <c r="X651" s="207"/>
      <c r="Y651" s="207"/>
      <c r="Z651" s="207"/>
      <c r="AA651" s="207"/>
      <c r="AB651" s="207"/>
    </row>
    <row r="652" spans="22:28" customFormat="1" ht="9.9499999999999993">
      <c r="V652" s="207"/>
      <c r="W652" s="207"/>
      <c r="X652" s="207"/>
      <c r="Y652" s="207"/>
      <c r="Z652" s="207"/>
      <c r="AA652" s="207"/>
      <c r="AB652" s="207"/>
    </row>
    <row r="653" spans="22:28" customFormat="1" ht="9.9499999999999993">
      <c r="V653" s="207"/>
      <c r="W653" s="207"/>
      <c r="X653" s="207"/>
      <c r="Y653" s="207"/>
      <c r="Z653" s="207"/>
      <c r="AA653" s="207"/>
      <c r="AB653" s="207"/>
    </row>
    <row r="654" spans="22:28" customFormat="1" ht="9.9499999999999993">
      <c r="V654" s="207"/>
      <c r="W654" s="207"/>
      <c r="X654" s="207"/>
      <c r="Y654" s="207"/>
      <c r="Z654" s="207"/>
      <c r="AA654" s="207"/>
      <c r="AB654" s="207"/>
    </row>
    <row r="655" spans="22:28" customFormat="1" ht="9.9499999999999993">
      <c r="V655" s="207"/>
      <c r="W655" s="207"/>
      <c r="X655" s="207"/>
      <c r="Y655" s="207"/>
      <c r="Z655" s="207"/>
      <c r="AA655" s="207"/>
      <c r="AB655" s="207"/>
    </row>
    <row r="656" spans="22:28" customFormat="1" ht="9.9499999999999993">
      <c r="V656" s="207"/>
      <c r="W656" s="207"/>
      <c r="X656" s="207"/>
      <c r="Y656" s="207"/>
      <c r="Z656" s="207"/>
      <c r="AA656" s="207"/>
      <c r="AB656" s="207"/>
    </row>
    <row r="657" spans="22:28" customFormat="1" ht="9.9499999999999993">
      <c r="V657" s="207"/>
      <c r="W657" s="207"/>
      <c r="X657" s="207"/>
      <c r="Y657" s="207"/>
      <c r="Z657" s="207"/>
      <c r="AA657" s="207"/>
      <c r="AB657" s="207"/>
    </row>
    <row r="658" spans="22:28" customFormat="1" ht="9.9499999999999993">
      <c r="V658" s="207"/>
      <c r="W658" s="207"/>
      <c r="X658" s="207"/>
      <c r="Y658" s="207"/>
      <c r="Z658" s="207"/>
      <c r="AA658" s="207"/>
      <c r="AB658" s="207"/>
    </row>
    <row r="659" spans="22:28" customFormat="1" ht="9.9499999999999993">
      <c r="V659" s="207"/>
      <c r="W659" s="207"/>
      <c r="X659" s="207"/>
      <c r="Y659" s="207"/>
      <c r="Z659" s="207"/>
      <c r="AA659" s="207"/>
      <c r="AB659" s="207"/>
    </row>
    <row r="660" spans="22:28" customFormat="1" ht="9.9499999999999993">
      <c r="V660" s="207"/>
      <c r="W660" s="207"/>
      <c r="X660" s="207"/>
      <c r="Y660" s="207"/>
      <c r="Z660" s="207"/>
      <c r="AA660" s="207"/>
      <c r="AB660" s="207"/>
    </row>
    <row r="661" spans="22:28" customFormat="1" ht="9.9499999999999993">
      <c r="V661" s="207"/>
      <c r="W661" s="207"/>
      <c r="X661" s="207"/>
      <c r="Y661" s="207"/>
      <c r="Z661" s="207"/>
      <c r="AA661" s="207"/>
      <c r="AB661" s="207"/>
    </row>
    <row r="662" spans="22:28" customFormat="1" ht="9.9499999999999993">
      <c r="V662" s="207"/>
      <c r="W662" s="207"/>
      <c r="X662" s="207"/>
      <c r="Y662" s="207"/>
      <c r="Z662" s="207"/>
      <c r="AA662" s="207"/>
      <c r="AB662" s="207"/>
    </row>
    <row r="663" spans="22:28" customFormat="1" ht="9.9499999999999993">
      <c r="V663" s="207"/>
      <c r="W663" s="207"/>
      <c r="X663" s="207"/>
      <c r="Y663" s="207"/>
      <c r="Z663" s="207"/>
      <c r="AA663" s="207"/>
      <c r="AB663" s="207"/>
    </row>
    <row r="664" spans="22:28" customFormat="1" ht="9.9499999999999993">
      <c r="V664" s="207"/>
      <c r="W664" s="207"/>
      <c r="X664" s="207"/>
      <c r="Y664" s="207"/>
      <c r="Z664" s="207"/>
      <c r="AA664" s="207"/>
      <c r="AB664" s="207"/>
    </row>
    <row r="665" spans="22:28" customFormat="1" ht="9.9499999999999993">
      <c r="V665" s="207"/>
      <c r="W665" s="207"/>
      <c r="X665" s="207"/>
      <c r="Y665" s="207"/>
      <c r="Z665" s="207"/>
      <c r="AA665" s="207"/>
      <c r="AB665" s="207"/>
    </row>
    <row r="666" spans="22:28" customFormat="1" ht="9.9499999999999993">
      <c r="V666" s="207"/>
      <c r="W666" s="207"/>
      <c r="X666" s="207"/>
      <c r="Y666" s="207"/>
      <c r="Z666" s="207"/>
      <c r="AA666" s="207"/>
      <c r="AB666" s="207"/>
    </row>
    <row r="667" spans="22:28" customFormat="1" ht="9.9499999999999993">
      <c r="V667" s="207"/>
      <c r="W667" s="207"/>
      <c r="X667" s="207"/>
      <c r="Y667" s="207"/>
      <c r="Z667" s="207"/>
      <c r="AA667" s="207"/>
      <c r="AB667" s="207"/>
    </row>
    <row r="668" spans="22:28" customFormat="1" ht="9.9499999999999993">
      <c r="V668" s="207"/>
      <c r="W668" s="207"/>
      <c r="X668" s="207"/>
      <c r="Y668" s="207"/>
      <c r="Z668" s="207"/>
      <c r="AA668" s="207"/>
      <c r="AB668" s="207"/>
    </row>
    <row r="669" spans="22:28" customFormat="1" ht="9.9499999999999993">
      <c r="V669" s="207"/>
      <c r="W669" s="207"/>
      <c r="X669" s="207"/>
      <c r="Y669" s="207"/>
      <c r="Z669" s="207"/>
      <c r="AA669" s="207"/>
      <c r="AB669" s="207"/>
    </row>
    <row r="670" spans="22:28" customFormat="1" ht="9.9499999999999993">
      <c r="V670" s="207"/>
      <c r="W670" s="207"/>
      <c r="X670" s="207"/>
      <c r="Y670" s="207"/>
      <c r="Z670" s="207"/>
      <c r="AA670" s="207"/>
      <c r="AB670" s="207"/>
    </row>
    <row r="671" spans="22:28" customFormat="1" ht="9.9499999999999993">
      <c r="V671" s="207"/>
      <c r="W671" s="207"/>
      <c r="X671" s="207"/>
      <c r="Y671" s="207"/>
      <c r="Z671" s="207"/>
      <c r="AA671" s="207"/>
      <c r="AB671" s="207"/>
    </row>
    <row r="672" spans="22:28" customFormat="1" ht="9.9499999999999993">
      <c r="V672" s="207"/>
      <c r="W672" s="207"/>
      <c r="X672" s="207"/>
      <c r="Y672" s="207"/>
      <c r="Z672" s="207"/>
      <c r="AA672" s="207"/>
      <c r="AB672" s="207"/>
    </row>
    <row r="673" spans="22:28" customFormat="1" ht="9.9499999999999993">
      <c r="V673" s="207"/>
      <c r="W673" s="207"/>
      <c r="X673" s="207"/>
      <c r="Y673" s="207"/>
      <c r="Z673" s="207"/>
      <c r="AA673" s="207"/>
      <c r="AB673" s="207"/>
    </row>
    <row r="674" spans="22:28" customFormat="1" ht="9.9499999999999993">
      <c r="V674" s="207"/>
      <c r="W674" s="207"/>
      <c r="X674" s="207"/>
      <c r="Y674" s="207"/>
      <c r="Z674" s="207"/>
      <c r="AA674" s="207"/>
      <c r="AB674" s="207"/>
    </row>
    <row r="675" spans="22:28" customFormat="1" ht="9.9499999999999993">
      <c r="V675" s="207"/>
      <c r="W675" s="207"/>
      <c r="X675" s="207"/>
      <c r="Y675" s="207"/>
      <c r="Z675" s="207"/>
      <c r="AA675" s="207"/>
      <c r="AB675" s="207"/>
    </row>
    <row r="676" spans="22:28" customFormat="1" ht="9.9499999999999993">
      <c r="V676" s="207"/>
      <c r="W676" s="207"/>
      <c r="X676" s="207"/>
      <c r="Y676" s="207"/>
      <c r="Z676" s="207"/>
      <c r="AA676" s="207"/>
      <c r="AB676" s="207"/>
    </row>
    <row r="677" spans="22:28" customFormat="1" ht="9.9499999999999993">
      <c r="V677" s="207"/>
      <c r="W677" s="207"/>
      <c r="X677" s="207"/>
      <c r="Y677" s="207"/>
      <c r="Z677" s="207"/>
      <c r="AA677" s="207"/>
      <c r="AB677" s="207"/>
    </row>
    <row r="678" spans="22:28" customFormat="1" ht="9.9499999999999993">
      <c r="V678" s="207"/>
      <c r="W678" s="207"/>
      <c r="X678" s="207"/>
      <c r="Y678" s="207"/>
      <c r="Z678" s="207"/>
      <c r="AA678" s="207"/>
      <c r="AB678" s="207"/>
    </row>
    <row r="679" spans="22:28" customFormat="1" ht="9.9499999999999993">
      <c r="V679" s="207"/>
      <c r="W679" s="207"/>
      <c r="X679" s="207"/>
      <c r="Y679" s="207"/>
      <c r="Z679" s="207"/>
      <c r="AA679" s="207"/>
      <c r="AB679" s="207"/>
    </row>
    <row r="680" spans="22:28" customFormat="1" ht="9.9499999999999993">
      <c r="V680" s="207"/>
      <c r="W680" s="207"/>
      <c r="X680" s="207"/>
      <c r="Y680" s="207"/>
      <c r="Z680" s="207"/>
      <c r="AA680" s="207"/>
      <c r="AB680" s="207"/>
    </row>
    <row r="681" spans="22:28" customFormat="1" ht="9.9499999999999993">
      <c r="V681" s="207"/>
      <c r="W681" s="207"/>
      <c r="X681" s="207"/>
      <c r="Y681" s="207"/>
      <c r="Z681" s="207"/>
      <c r="AA681" s="207"/>
      <c r="AB681" s="207"/>
    </row>
    <row r="682" spans="22:28" customFormat="1" ht="9.9499999999999993">
      <c r="V682" s="207"/>
      <c r="W682" s="207"/>
      <c r="X682" s="207"/>
      <c r="Y682" s="207"/>
      <c r="Z682" s="207"/>
      <c r="AA682" s="207"/>
      <c r="AB682" s="207"/>
    </row>
    <row r="683" spans="22:28" customFormat="1" ht="9.9499999999999993">
      <c r="V683" s="207"/>
      <c r="W683" s="207"/>
      <c r="X683" s="207"/>
      <c r="Y683" s="207"/>
      <c r="Z683" s="207"/>
      <c r="AA683" s="207"/>
      <c r="AB683" s="207"/>
    </row>
    <row r="684" spans="22:28" customFormat="1" ht="9.9499999999999993">
      <c r="V684" s="207"/>
      <c r="W684" s="207"/>
      <c r="X684" s="207"/>
      <c r="Y684" s="207"/>
      <c r="Z684" s="207"/>
      <c r="AA684" s="207"/>
      <c r="AB684" s="207"/>
    </row>
    <row r="685" spans="22:28" customFormat="1" ht="9.9499999999999993">
      <c r="V685" s="207"/>
      <c r="W685" s="207"/>
      <c r="X685" s="207"/>
      <c r="Y685" s="207"/>
      <c r="Z685" s="207"/>
      <c r="AA685" s="207"/>
      <c r="AB685" s="207"/>
    </row>
    <row r="686" spans="22:28" customFormat="1" ht="9.9499999999999993">
      <c r="V686" s="207"/>
      <c r="W686" s="207"/>
      <c r="X686" s="207"/>
      <c r="Y686" s="207"/>
      <c r="Z686" s="207"/>
      <c r="AA686" s="207"/>
      <c r="AB686" s="207"/>
    </row>
    <row r="687" spans="22:28" customFormat="1" ht="9.9499999999999993">
      <c r="V687" s="207"/>
      <c r="W687" s="207"/>
      <c r="X687" s="207"/>
      <c r="Y687" s="207"/>
      <c r="Z687" s="207"/>
      <c r="AA687" s="207"/>
      <c r="AB687" s="207"/>
    </row>
    <row r="688" spans="22:28" customFormat="1" ht="9.9499999999999993">
      <c r="V688" s="207"/>
      <c r="W688" s="207"/>
      <c r="X688" s="207"/>
      <c r="Y688" s="207"/>
      <c r="Z688" s="207"/>
      <c r="AA688" s="207"/>
      <c r="AB688" s="207"/>
    </row>
    <row r="689" spans="22:28" customFormat="1" ht="9.9499999999999993">
      <c r="V689" s="207"/>
      <c r="W689" s="207"/>
      <c r="X689" s="207"/>
      <c r="Y689" s="207"/>
      <c r="Z689" s="207"/>
      <c r="AA689" s="207"/>
      <c r="AB689" s="207"/>
    </row>
    <row r="690" spans="22:28" customFormat="1" ht="9.9499999999999993">
      <c r="V690" s="207"/>
      <c r="W690" s="207"/>
      <c r="X690" s="207"/>
      <c r="Y690" s="207"/>
      <c r="Z690" s="207"/>
      <c r="AA690" s="207"/>
      <c r="AB690" s="207"/>
    </row>
    <row r="691" spans="22:28" customFormat="1" ht="9.9499999999999993">
      <c r="V691" s="207"/>
      <c r="W691" s="207"/>
      <c r="X691" s="207"/>
      <c r="Y691" s="207"/>
      <c r="Z691" s="207"/>
      <c r="AA691" s="207"/>
      <c r="AB691" s="207"/>
    </row>
    <row r="692" spans="22:28" customFormat="1" ht="9.9499999999999993">
      <c r="V692" s="207"/>
      <c r="W692" s="207"/>
      <c r="X692" s="207"/>
      <c r="Y692" s="207"/>
      <c r="Z692" s="207"/>
      <c r="AA692" s="207"/>
      <c r="AB692" s="207"/>
    </row>
    <row r="693" spans="22:28" customFormat="1" ht="9.9499999999999993">
      <c r="V693" s="207"/>
      <c r="W693" s="207"/>
      <c r="X693" s="207"/>
      <c r="Y693" s="207"/>
      <c r="Z693" s="207"/>
      <c r="AA693" s="207"/>
      <c r="AB693" s="207"/>
    </row>
    <row r="694" spans="22:28" customFormat="1" ht="9.9499999999999993">
      <c r="V694" s="207"/>
      <c r="W694" s="207"/>
      <c r="X694" s="207"/>
      <c r="Y694" s="207"/>
      <c r="Z694" s="207"/>
      <c r="AA694" s="207"/>
      <c r="AB694" s="207"/>
    </row>
    <row r="695" spans="22:28" customFormat="1" ht="9.9499999999999993">
      <c r="V695" s="207"/>
      <c r="W695" s="207"/>
      <c r="X695" s="207"/>
      <c r="Y695" s="207"/>
      <c r="Z695" s="207"/>
      <c r="AA695" s="207"/>
      <c r="AB695" s="207"/>
    </row>
    <row r="696" spans="22:28" customFormat="1" ht="9.9499999999999993">
      <c r="V696" s="207"/>
      <c r="W696" s="207"/>
      <c r="X696" s="207"/>
      <c r="Y696" s="207"/>
      <c r="Z696" s="207"/>
      <c r="AA696" s="207"/>
      <c r="AB696" s="207"/>
    </row>
    <row r="697" spans="22:28" customFormat="1" ht="9.9499999999999993">
      <c r="V697" s="207"/>
      <c r="W697" s="207"/>
      <c r="X697" s="207"/>
      <c r="Y697" s="207"/>
      <c r="Z697" s="207"/>
      <c r="AA697" s="207"/>
      <c r="AB697" s="207"/>
    </row>
    <row r="698" spans="22:28" customFormat="1" ht="9.9499999999999993">
      <c r="V698" s="207"/>
      <c r="W698" s="207"/>
      <c r="X698" s="207"/>
      <c r="Y698" s="207"/>
      <c r="Z698" s="207"/>
      <c r="AA698" s="207"/>
      <c r="AB698" s="207"/>
    </row>
    <row r="699" spans="22:28" customFormat="1" ht="9.9499999999999993">
      <c r="V699" s="207"/>
      <c r="W699" s="207"/>
      <c r="X699" s="207"/>
      <c r="Y699" s="207"/>
      <c r="Z699" s="207"/>
      <c r="AA699" s="207"/>
      <c r="AB699" s="207"/>
    </row>
    <row r="700" spans="22:28" customFormat="1" ht="9.9499999999999993">
      <c r="V700" s="207"/>
      <c r="W700" s="207"/>
      <c r="X700" s="207"/>
      <c r="Y700" s="207"/>
      <c r="Z700" s="207"/>
      <c r="AA700" s="207"/>
      <c r="AB700" s="207"/>
    </row>
    <row r="701" spans="22:28" customFormat="1" ht="9.9499999999999993">
      <c r="V701" s="207"/>
      <c r="W701" s="207"/>
      <c r="X701" s="207"/>
      <c r="Y701" s="207"/>
      <c r="Z701" s="207"/>
      <c r="AA701" s="207"/>
      <c r="AB701" s="207"/>
    </row>
    <row r="702" spans="22:28" customFormat="1" ht="9.9499999999999993">
      <c r="V702" s="207"/>
      <c r="W702" s="207"/>
      <c r="X702" s="207"/>
      <c r="Y702" s="207"/>
      <c r="Z702" s="207"/>
      <c r="AA702" s="207"/>
      <c r="AB702" s="207"/>
    </row>
    <row r="703" spans="22:28" customFormat="1" ht="9.9499999999999993">
      <c r="V703" s="207"/>
      <c r="W703" s="207"/>
      <c r="X703" s="207"/>
      <c r="Y703" s="207"/>
      <c r="Z703" s="207"/>
      <c r="AA703" s="207"/>
      <c r="AB703" s="207"/>
    </row>
    <row r="704" spans="22:28" customFormat="1" ht="9.9499999999999993">
      <c r="V704" s="207"/>
      <c r="W704" s="207"/>
      <c r="X704" s="207"/>
      <c r="Y704" s="207"/>
      <c r="Z704" s="207"/>
      <c r="AA704" s="207"/>
      <c r="AB704" s="207"/>
    </row>
    <row r="705" spans="22:28" customFormat="1" ht="9.9499999999999993">
      <c r="V705" s="207"/>
      <c r="W705" s="207"/>
      <c r="X705" s="207"/>
      <c r="Y705" s="207"/>
      <c r="Z705" s="207"/>
      <c r="AA705" s="207"/>
      <c r="AB705" s="207"/>
    </row>
    <row r="706" spans="22:28" customFormat="1" ht="9.9499999999999993">
      <c r="V706" s="207"/>
      <c r="W706" s="207"/>
      <c r="X706" s="207"/>
      <c r="Y706" s="207"/>
      <c r="Z706" s="207"/>
      <c r="AA706" s="207"/>
      <c r="AB706" s="207"/>
    </row>
    <row r="707" spans="22:28" customFormat="1" ht="9.9499999999999993">
      <c r="V707" s="207"/>
      <c r="W707" s="207"/>
      <c r="X707" s="207"/>
      <c r="Y707" s="207"/>
      <c r="Z707" s="207"/>
      <c r="AA707" s="207"/>
      <c r="AB707" s="207"/>
    </row>
    <row r="708" spans="22:28" customFormat="1" ht="9.9499999999999993">
      <c r="V708" s="207"/>
      <c r="W708" s="207"/>
      <c r="X708" s="207"/>
      <c r="Y708" s="207"/>
      <c r="Z708" s="207"/>
      <c r="AA708" s="207"/>
      <c r="AB708" s="207"/>
    </row>
    <row r="709" spans="22:28" customFormat="1" ht="9.9499999999999993">
      <c r="V709" s="207"/>
      <c r="W709" s="207"/>
      <c r="X709" s="207"/>
      <c r="Y709" s="207"/>
      <c r="Z709" s="207"/>
      <c r="AA709" s="207"/>
      <c r="AB709" s="207"/>
    </row>
    <row r="710" spans="22:28" customFormat="1" ht="9.9499999999999993">
      <c r="V710" s="207"/>
      <c r="W710" s="207"/>
      <c r="X710" s="207"/>
      <c r="Y710" s="207"/>
      <c r="Z710" s="207"/>
      <c r="AA710" s="207"/>
      <c r="AB710" s="207"/>
    </row>
    <row r="711" spans="22:28" customFormat="1" ht="9.9499999999999993">
      <c r="V711" s="207"/>
      <c r="W711" s="207"/>
      <c r="X711" s="207"/>
      <c r="Y711" s="207"/>
      <c r="Z711" s="207"/>
      <c r="AA711" s="207"/>
      <c r="AB711" s="207"/>
    </row>
    <row r="712" spans="22:28" customFormat="1" ht="9.9499999999999993">
      <c r="V712" s="207"/>
      <c r="W712" s="207"/>
      <c r="X712" s="207"/>
      <c r="Y712" s="207"/>
      <c r="Z712" s="207"/>
      <c r="AA712" s="207"/>
      <c r="AB712" s="207"/>
    </row>
    <row r="713" spans="22:28" customFormat="1" ht="9.9499999999999993">
      <c r="V713" s="207"/>
      <c r="W713" s="207"/>
      <c r="X713" s="207"/>
      <c r="Y713" s="207"/>
      <c r="Z713" s="207"/>
      <c r="AA713" s="207"/>
      <c r="AB713" s="207"/>
    </row>
    <row r="714" spans="22:28" customFormat="1" ht="9.9499999999999993">
      <c r="V714" s="207"/>
      <c r="W714" s="207"/>
      <c r="X714" s="207"/>
      <c r="Y714" s="207"/>
      <c r="Z714" s="207"/>
      <c r="AA714" s="207"/>
      <c r="AB714" s="207"/>
    </row>
    <row r="715" spans="22:28" customFormat="1" ht="9.9499999999999993">
      <c r="V715" s="207"/>
      <c r="W715" s="207"/>
      <c r="X715" s="207"/>
      <c r="Y715" s="207"/>
      <c r="Z715" s="207"/>
      <c r="AA715" s="207"/>
      <c r="AB715" s="207"/>
    </row>
    <row r="716" spans="22:28" customFormat="1" ht="9.9499999999999993">
      <c r="V716" s="207"/>
      <c r="W716" s="207"/>
      <c r="X716" s="207"/>
      <c r="Y716" s="207"/>
      <c r="Z716" s="207"/>
      <c r="AA716" s="207"/>
      <c r="AB716" s="207"/>
    </row>
    <row r="717" spans="22:28" customFormat="1" ht="9.9499999999999993">
      <c r="V717" s="207"/>
      <c r="W717" s="207"/>
      <c r="X717" s="207"/>
      <c r="Y717" s="207"/>
      <c r="Z717" s="207"/>
      <c r="AA717" s="207"/>
      <c r="AB717" s="207"/>
    </row>
    <row r="718" spans="22:28" customFormat="1" ht="9.9499999999999993">
      <c r="V718" s="207"/>
      <c r="W718" s="207"/>
      <c r="X718" s="207"/>
      <c r="Y718" s="207"/>
      <c r="Z718" s="207"/>
      <c r="AA718" s="207"/>
      <c r="AB718" s="207"/>
    </row>
    <row r="719" spans="22:28" customFormat="1" ht="9.9499999999999993">
      <c r="V719" s="207"/>
      <c r="W719" s="207"/>
      <c r="X719" s="207"/>
      <c r="Y719" s="207"/>
      <c r="Z719" s="207"/>
      <c r="AA719" s="207"/>
      <c r="AB719" s="207"/>
    </row>
    <row r="720" spans="22:28" customFormat="1" ht="9.9499999999999993">
      <c r="V720" s="207"/>
      <c r="W720" s="207"/>
      <c r="X720" s="207"/>
      <c r="Y720" s="207"/>
      <c r="Z720" s="207"/>
      <c r="AA720" s="207"/>
      <c r="AB720" s="207"/>
    </row>
    <row r="721" spans="22:28" customFormat="1" ht="9.9499999999999993">
      <c r="V721" s="207"/>
      <c r="W721" s="207"/>
      <c r="X721" s="207"/>
      <c r="Y721" s="207"/>
      <c r="Z721" s="207"/>
      <c r="AA721" s="207"/>
      <c r="AB721" s="207"/>
    </row>
    <row r="722" spans="22:28" customFormat="1" ht="9.9499999999999993">
      <c r="V722" s="207"/>
      <c r="W722" s="207"/>
      <c r="X722" s="207"/>
      <c r="Y722" s="207"/>
      <c r="Z722" s="207"/>
      <c r="AA722" s="207"/>
      <c r="AB722" s="207"/>
    </row>
    <row r="723" spans="22:28" customFormat="1" ht="9.9499999999999993">
      <c r="V723" s="207"/>
      <c r="W723" s="207"/>
      <c r="X723" s="207"/>
      <c r="Y723" s="207"/>
      <c r="Z723" s="207"/>
      <c r="AA723" s="207"/>
      <c r="AB723" s="207"/>
    </row>
    <row r="724" spans="22:28" customFormat="1" ht="9.9499999999999993">
      <c r="V724" s="207"/>
      <c r="W724" s="207"/>
      <c r="X724" s="207"/>
      <c r="Y724" s="207"/>
      <c r="Z724" s="207"/>
      <c r="AA724" s="207"/>
      <c r="AB724" s="207"/>
    </row>
    <row r="725" spans="22:28" customFormat="1" ht="9.9499999999999993">
      <c r="V725" s="207"/>
      <c r="W725" s="207"/>
      <c r="X725" s="207"/>
      <c r="Y725" s="207"/>
      <c r="Z725" s="207"/>
      <c r="AA725" s="207"/>
      <c r="AB725" s="207"/>
    </row>
    <row r="726" spans="22:28" customFormat="1" ht="9.9499999999999993">
      <c r="V726" s="207"/>
      <c r="W726" s="207"/>
      <c r="X726" s="207"/>
      <c r="Y726" s="207"/>
      <c r="Z726" s="207"/>
      <c r="AA726" s="207"/>
      <c r="AB726" s="207"/>
    </row>
    <row r="727" spans="22:28" customFormat="1" ht="9.9499999999999993">
      <c r="V727" s="207"/>
      <c r="W727" s="207"/>
      <c r="X727" s="207"/>
      <c r="Y727" s="207"/>
      <c r="Z727" s="207"/>
      <c r="AA727" s="207"/>
      <c r="AB727" s="207"/>
    </row>
    <row r="728" spans="22:28" customFormat="1" ht="9.9499999999999993">
      <c r="V728" s="207"/>
      <c r="W728" s="207"/>
      <c r="X728" s="207"/>
      <c r="Y728" s="207"/>
      <c r="Z728" s="207"/>
      <c r="AA728" s="207"/>
      <c r="AB728" s="207"/>
    </row>
    <row r="729" spans="22:28" customFormat="1" ht="9.9499999999999993">
      <c r="V729" s="207"/>
      <c r="W729" s="207"/>
      <c r="X729" s="207"/>
      <c r="Y729" s="207"/>
      <c r="Z729" s="207"/>
      <c r="AA729" s="207"/>
      <c r="AB729" s="207"/>
    </row>
    <row r="730" spans="22:28" customFormat="1" ht="9.9499999999999993">
      <c r="V730" s="207"/>
      <c r="W730" s="207"/>
      <c r="X730" s="207"/>
      <c r="Y730" s="207"/>
      <c r="Z730" s="207"/>
      <c r="AA730" s="207"/>
      <c r="AB730" s="207"/>
    </row>
    <row r="731" spans="22:28" customFormat="1" ht="9.9499999999999993">
      <c r="V731" s="207"/>
      <c r="W731" s="207"/>
      <c r="X731" s="207"/>
      <c r="Y731" s="207"/>
      <c r="Z731" s="207"/>
      <c r="AA731" s="207"/>
      <c r="AB731" s="207"/>
    </row>
    <row r="732" spans="22:28" customFormat="1" ht="9.9499999999999993">
      <c r="V732" s="207"/>
      <c r="W732" s="207"/>
      <c r="X732" s="207"/>
      <c r="Y732" s="207"/>
      <c r="Z732" s="207"/>
      <c r="AA732" s="207"/>
      <c r="AB732" s="207"/>
    </row>
    <row r="733" spans="22:28" customFormat="1" ht="9.9499999999999993">
      <c r="V733" s="207"/>
      <c r="W733" s="207"/>
      <c r="X733" s="207"/>
      <c r="Y733" s="207"/>
      <c r="Z733" s="207"/>
      <c r="AA733" s="207"/>
      <c r="AB733" s="207"/>
    </row>
    <row r="734" spans="22:28" customFormat="1" ht="9.9499999999999993">
      <c r="V734" s="207"/>
      <c r="W734" s="207"/>
      <c r="X734" s="207"/>
      <c r="Y734" s="207"/>
      <c r="Z734" s="207"/>
      <c r="AA734" s="207"/>
      <c r="AB734" s="207"/>
    </row>
    <row r="735" spans="22:28" customFormat="1" ht="9.9499999999999993">
      <c r="V735" s="207"/>
      <c r="W735" s="207"/>
      <c r="X735" s="207"/>
      <c r="Y735" s="207"/>
      <c r="Z735" s="207"/>
      <c r="AA735" s="207"/>
      <c r="AB735" s="207"/>
    </row>
    <row r="736" spans="22:28" customFormat="1" ht="9.9499999999999993">
      <c r="V736" s="207"/>
      <c r="W736" s="207"/>
      <c r="X736" s="207"/>
      <c r="Y736" s="207"/>
      <c r="Z736" s="207"/>
      <c r="AA736" s="207"/>
      <c r="AB736" s="207"/>
    </row>
    <row r="737" spans="22:28" customFormat="1" ht="9.9499999999999993">
      <c r="V737" s="207"/>
      <c r="W737" s="207"/>
      <c r="X737" s="207"/>
      <c r="Y737" s="207"/>
      <c r="Z737" s="207"/>
      <c r="AA737" s="207"/>
      <c r="AB737" s="207"/>
    </row>
    <row r="738" spans="22:28" customFormat="1" ht="9.9499999999999993">
      <c r="V738" s="207"/>
      <c r="W738" s="207"/>
      <c r="X738" s="207"/>
      <c r="Y738" s="207"/>
      <c r="Z738" s="207"/>
      <c r="AA738" s="207"/>
      <c r="AB738" s="207"/>
    </row>
    <row r="739" spans="22:28" customFormat="1" ht="9.9499999999999993">
      <c r="V739" s="207"/>
      <c r="W739" s="207"/>
      <c r="X739" s="207"/>
      <c r="Y739" s="207"/>
      <c r="Z739" s="207"/>
      <c r="AA739" s="207"/>
      <c r="AB739" s="207"/>
    </row>
    <row r="740" spans="22:28" customFormat="1" ht="9.9499999999999993">
      <c r="V740" s="207"/>
      <c r="W740" s="207"/>
      <c r="X740" s="207"/>
      <c r="Y740" s="207"/>
      <c r="Z740" s="207"/>
      <c r="AA740" s="207"/>
      <c r="AB740" s="207"/>
    </row>
    <row r="741" spans="22:28" customFormat="1" ht="9.9499999999999993">
      <c r="V741" s="207"/>
      <c r="W741" s="207"/>
      <c r="X741" s="207"/>
      <c r="Y741" s="207"/>
      <c r="Z741" s="207"/>
      <c r="AA741" s="207"/>
      <c r="AB741" s="207"/>
    </row>
    <row r="742" spans="22:28" customFormat="1" ht="9.9499999999999993">
      <c r="V742" s="207"/>
      <c r="W742" s="207"/>
      <c r="X742" s="207"/>
      <c r="Y742" s="207"/>
      <c r="Z742" s="207"/>
      <c r="AA742" s="207"/>
      <c r="AB742" s="207"/>
    </row>
    <row r="743" spans="22:28" customFormat="1" ht="9.9499999999999993">
      <c r="V743" s="207"/>
      <c r="W743" s="207"/>
      <c r="X743" s="207"/>
      <c r="Y743" s="207"/>
      <c r="Z743" s="207"/>
      <c r="AA743" s="207"/>
      <c r="AB743" s="207"/>
    </row>
    <row r="744" spans="22:28" customFormat="1" ht="9.9499999999999993">
      <c r="V744" s="207"/>
      <c r="W744" s="207"/>
      <c r="X744" s="207"/>
      <c r="Y744" s="207"/>
      <c r="Z744" s="207"/>
      <c r="AA744" s="207"/>
      <c r="AB744" s="207"/>
    </row>
    <row r="745" spans="22:28" customFormat="1" ht="9.9499999999999993">
      <c r="V745" s="207"/>
      <c r="W745" s="207"/>
      <c r="X745" s="207"/>
      <c r="Y745" s="207"/>
      <c r="Z745" s="207"/>
      <c r="AA745" s="207"/>
      <c r="AB745" s="207"/>
    </row>
    <row r="746" spans="22:28" customFormat="1" ht="9.9499999999999993">
      <c r="V746" s="207"/>
      <c r="W746" s="207"/>
      <c r="X746" s="207"/>
      <c r="Y746" s="207"/>
      <c r="Z746" s="207"/>
      <c r="AA746" s="207"/>
      <c r="AB746" s="207"/>
    </row>
    <row r="747" spans="22:28" customFormat="1" ht="9.9499999999999993">
      <c r="V747" s="207"/>
      <c r="W747" s="207"/>
      <c r="X747" s="207"/>
      <c r="Y747" s="207"/>
      <c r="Z747" s="207"/>
      <c r="AA747" s="207"/>
      <c r="AB747" s="207"/>
    </row>
    <row r="748" spans="22:28" customFormat="1" ht="9.9499999999999993">
      <c r="V748" s="207"/>
      <c r="W748" s="207"/>
      <c r="X748" s="207"/>
      <c r="Y748" s="207"/>
      <c r="Z748" s="207"/>
      <c r="AA748" s="207"/>
      <c r="AB748" s="207"/>
    </row>
    <row r="749" spans="22:28" customFormat="1" ht="9.9499999999999993">
      <c r="V749" s="207"/>
      <c r="W749" s="207"/>
      <c r="X749" s="207"/>
      <c r="Y749" s="207"/>
      <c r="Z749" s="207"/>
      <c r="AA749" s="207"/>
      <c r="AB749" s="207"/>
    </row>
    <row r="750" spans="22:28" customFormat="1" ht="9.9499999999999993">
      <c r="V750" s="207"/>
      <c r="W750" s="207"/>
      <c r="X750" s="207"/>
      <c r="Y750" s="207"/>
      <c r="Z750" s="207"/>
      <c r="AA750" s="207"/>
      <c r="AB750" s="207"/>
    </row>
    <row r="751" spans="22:28" customFormat="1" ht="9.9499999999999993">
      <c r="V751" s="207"/>
      <c r="W751" s="207"/>
      <c r="X751" s="207"/>
      <c r="Y751" s="207"/>
      <c r="Z751" s="207"/>
      <c r="AA751" s="207"/>
      <c r="AB751" s="207"/>
    </row>
    <row r="752" spans="22:28" customFormat="1" ht="9.9499999999999993">
      <c r="V752" s="207"/>
      <c r="W752" s="207"/>
      <c r="X752" s="207"/>
      <c r="Y752" s="207"/>
      <c r="Z752" s="207"/>
      <c r="AA752" s="207"/>
      <c r="AB752" s="207"/>
    </row>
    <row r="753" spans="22:28" customFormat="1" ht="9.9499999999999993">
      <c r="V753" s="207"/>
      <c r="W753" s="207"/>
      <c r="X753" s="207"/>
      <c r="Y753" s="207"/>
      <c r="Z753" s="207"/>
      <c r="AA753" s="207"/>
      <c r="AB753" s="207"/>
    </row>
    <row r="754" spans="22:28" customFormat="1" ht="9.9499999999999993">
      <c r="V754" s="207"/>
      <c r="W754" s="207"/>
      <c r="X754" s="207"/>
      <c r="Y754" s="207"/>
      <c r="Z754" s="207"/>
      <c r="AA754" s="207"/>
      <c r="AB754" s="207"/>
    </row>
    <row r="755" spans="22:28" customFormat="1" ht="9.9499999999999993">
      <c r="V755" s="207"/>
      <c r="W755" s="207"/>
      <c r="X755" s="207"/>
      <c r="Y755" s="207"/>
      <c r="Z755" s="207"/>
      <c r="AA755" s="207"/>
      <c r="AB755" s="207"/>
    </row>
    <row r="756" spans="22:28" customFormat="1" ht="9.9499999999999993">
      <c r="V756" s="207"/>
      <c r="W756" s="207"/>
      <c r="X756" s="207"/>
      <c r="Y756" s="207"/>
      <c r="Z756" s="207"/>
      <c r="AA756" s="207"/>
      <c r="AB756" s="207"/>
    </row>
    <row r="757" spans="22:28" customFormat="1" ht="9.9499999999999993">
      <c r="V757" s="207"/>
      <c r="W757" s="207"/>
      <c r="X757" s="207"/>
      <c r="Y757" s="207"/>
      <c r="Z757" s="207"/>
      <c r="AA757" s="207"/>
      <c r="AB757" s="207"/>
    </row>
    <row r="758" spans="22:28" customFormat="1" ht="9.9499999999999993">
      <c r="V758" s="207"/>
      <c r="W758" s="207"/>
      <c r="X758" s="207"/>
      <c r="Y758" s="207"/>
      <c r="Z758" s="207"/>
      <c r="AA758" s="207"/>
      <c r="AB758" s="207"/>
    </row>
    <row r="759" spans="22:28" customFormat="1" ht="9.9499999999999993">
      <c r="V759" s="207"/>
      <c r="W759" s="207"/>
      <c r="X759" s="207"/>
      <c r="Y759" s="207"/>
      <c r="Z759" s="207"/>
      <c r="AA759" s="207"/>
      <c r="AB759" s="207"/>
    </row>
    <row r="760" spans="22:28" customFormat="1" ht="9.9499999999999993">
      <c r="V760" s="207"/>
      <c r="W760" s="207"/>
      <c r="X760" s="207"/>
      <c r="Y760" s="207"/>
      <c r="Z760" s="207"/>
      <c r="AA760" s="207"/>
      <c r="AB760" s="207"/>
    </row>
    <row r="761" spans="22:28" customFormat="1" ht="9.9499999999999993">
      <c r="V761" s="207"/>
      <c r="W761" s="207"/>
      <c r="X761" s="207"/>
      <c r="Y761" s="207"/>
      <c r="Z761" s="207"/>
      <c r="AA761" s="207"/>
      <c r="AB761" s="207"/>
    </row>
    <row r="762" spans="22:28" customFormat="1" ht="9.9499999999999993">
      <c r="V762" s="207"/>
      <c r="W762" s="207"/>
      <c r="X762" s="207"/>
      <c r="Y762" s="207"/>
      <c r="Z762" s="207"/>
      <c r="AA762" s="207"/>
      <c r="AB762" s="207"/>
    </row>
    <row r="763" spans="22:28" customFormat="1" ht="9.9499999999999993">
      <c r="V763" s="207"/>
      <c r="W763" s="207"/>
      <c r="X763" s="207"/>
      <c r="Y763" s="207"/>
      <c r="Z763" s="207"/>
      <c r="AA763" s="207"/>
      <c r="AB763" s="207"/>
    </row>
    <row r="764" spans="22:28" customFormat="1" ht="9.9499999999999993">
      <c r="V764" s="207"/>
      <c r="W764" s="207"/>
      <c r="X764" s="207"/>
      <c r="Y764" s="207"/>
      <c r="Z764" s="207"/>
      <c r="AA764" s="207"/>
      <c r="AB764" s="207"/>
    </row>
    <row r="765" spans="22:28" customFormat="1" ht="9.9499999999999993">
      <c r="V765" s="207"/>
      <c r="W765" s="207"/>
      <c r="X765" s="207"/>
      <c r="Y765" s="207"/>
      <c r="Z765" s="207"/>
      <c r="AA765" s="207"/>
      <c r="AB765" s="207"/>
    </row>
    <row r="766" spans="22:28" customFormat="1" ht="9.9499999999999993">
      <c r="V766" s="207"/>
      <c r="W766" s="207"/>
      <c r="X766" s="207"/>
      <c r="Y766" s="207"/>
      <c r="Z766" s="207"/>
      <c r="AA766" s="207"/>
      <c r="AB766" s="207"/>
    </row>
    <row r="767" spans="22:28" customFormat="1" ht="9.9499999999999993">
      <c r="V767" s="207"/>
      <c r="W767" s="207"/>
      <c r="X767" s="207"/>
      <c r="Y767" s="207"/>
      <c r="Z767" s="207"/>
      <c r="AA767" s="207"/>
      <c r="AB767" s="207"/>
    </row>
    <row r="768" spans="22:28" customFormat="1" ht="9.9499999999999993">
      <c r="V768" s="207"/>
      <c r="W768" s="207"/>
      <c r="X768" s="207"/>
      <c r="Y768" s="207"/>
      <c r="Z768" s="207"/>
      <c r="AA768" s="207"/>
      <c r="AB768" s="207"/>
    </row>
    <row r="769" spans="22:28" customFormat="1" ht="9.9499999999999993">
      <c r="V769" s="207"/>
      <c r="W769" s="207"/>
      <c r="X769" s="207"/>
      <c r="Y769" s="207"/>
      <c r="Z769" s="207"/>
      <c r="AA769" s="207"/>
      <c r="AB769" s="207"/>
    </row>
    <row r="770" spans="22:28" customFormat="1" ht="9.9499999999999993">
      <c r="V770" s="207"/>
      <c r="W770" s="207"/>
      <c r="X770" s="207"/>
      <c r="Y770" s="207"/>
      <c r="Z770" s="207"/>
      <c r="AA770" s="207"/>
      <c r="AB770" s="207"/>
    </row>
    <row r="771" spans="22:28" customFormat="1" ht="9.9499999999999993">
      <c r="V771" s="207"/>
      <c r="W771" s="207"/>
      <c r="X771" s="207"/>
      <c r="Y771" s="207"/>
      <c r="Z771" s="207"/>
      <c r="AA771" s="207"/>
      <c r="AB771" s="207"/>
    </row>
    <row r="772" spans="22:28" customFormat="1" ht="9.9499999999999993">
      <c r="V772" s="207"/>
      <c r="W772" s="207"/>
      <c r="X772" s="207"/>
      <c r="Y772" s="207"/>
      <c r="Z772" s="207"/>
      <c r="AA772" s="207"/>
      <c r="AB772" s="207"/>
    </row>
    <row r="773" spans="22:28" customFormat="1" ht="9.9499999999999993">
      <c r="V773" s="207"/>
      <c r="W773" s="207"/>
      <c r="X773" s="207"/>
      <c r="Y773" s="207"/>
      <c r="Z773" s="207"/>
      <c r="AA773" s="207"/>
      <c r="AB773" s="207"/>
    </row>
    <row r="774" spans="22:28" customFormat="1" ht="9.9499999999999993">
      <c r="V774" s="207"/>
      <c r="W774" s="207"/>
      <c r="X774" s="207"/>
      <c r="Y774" s="207"/>
      <c r="Z774" s="207"/>
      <c r="AA774" s="207"/>
      <c r="AB774" s="207"/>
    </row>
    <row r="775" spans="22:28" customFormat="1" ht="9.9499999999999993">
      <c r="V775" s="207"/>
      <c r="W775" s="207"/>
      <c r="X775" s="207"/>
      <c r="Y775" s="207"/>
      <c r="Z775" s="207"/>
      <c r="AA775" s="207"/>
      <c r="AB775" s="207"/>
    </row>
    <row r="776" spans="22:28" customFormat="1" ht="9.9499999999999993">
      <c r="V776" s="207"/>
      <c r="W776" s="207"/>
      <c r="X776" s="207"/>
      <c r="Y776" s="207"/>
      <c r="Z776" s="207"/>
      <c r="AA776" s="207"/>
      <c r="AB776" s="207"/>
    </row>
    <row r="777" spans="22:28" customFormat="1" ht="9.9499999999999993">
      <c r="V777" s="207"/>
      <c r="W777" s="207"/>
      <c r="X777" s="207"/>
      <c r="Y777" s="207"/>
      <c r="Z777" s="207"/>
      <c r="AA777" s="207"/>
      <c r="AB777" s="207"/>
    </row>
    <row r="778" spans="22:28" customFormat="1" ht="9.9499999999999993">
      <c r="V778" s="207"/>
      <c r="W778" s="207"/>
      <c r="X778" s="207"/>
      <c r="Y778" s="207"/>
      <c r="Z778" s="207"/>
      <c r="AA778" s="207"/>
      <c r="AB778" s="207"/>
    </row>
    <row r="779" spans="22:28" customFormat="1" ht="9.9499999999999993">
      <c r="V779" s="207"/>
      <c r="W779" s="207"/>
      <c r="X779" s="207"/>
      <c r="Y779" s="207"/>
      <c r="Z779" s="207"/>
      <c r="AA779" s="207"/>
      <c r="AB779" s="207"/>
    </row>
    <row r="780" spans="22:28" customFormat="1" ht="9.9499999999999993">
      <c r="V780" s="207"/>
      <c r="W780" s="207"/>
      <c r="X780" s="207"/>
      <c r="Y780" s="207"/>
      <c r="Z780" s="207"/>
      <c r="AA780" s="207"/>
      <c r="AB780" s="207"/>
    </row>
    <row r="781" spans="22:28" customFormat="1" ht="9.9499999999999993">
      <c r="V781" s="207"/>
      <c r="W781" s="207"/>
      <c r="X781" s="207"/>
      <c r="Y781" s="207"/>
      <c r="Z781" s="207"/>
      <c r="AA781" s="207"/>
      <c r="AB781" s="207"/>
    </row>
    <row r="782" spans="22:28" customFormat="1" ht="9.9499999999999993">
      <c r="V782" s="207"/>
      <c r="W782" s="207"/>
      <c r="X782" s="207"/>
      <c r="Y782" s="207"/>
      <c r="Z782" s="207"/>
      <c r="AA782" s="207"/>
      <c r="AB782" s="207"/>
    </row>
    <row r="783" spans="22:28" customFormat="1" ht="9.9499999999999993">
      <c r="V783" s="207"/>
      <c r="W783" s="207"/>
      <c r="X783" s="207"/>
      <c r="Y783" s="207"/>
      <c r="Z783" s="207"/>
      <c r="AA783" s="207"/>
      <c r="AB783" s="207"/>
    </row>
    <row r="784" spans="22:28" customFormat="1" ht="9.9499999999999993">
      <c r="V784" s="207"/>
      <c r="W784" s="207"/>
      <c r="X784" s="207"/>
      <c r="Y784" s="207"/>
      <c r="Z784" s="207"/>
      <c r="AA784" s="207"/>
      <c r="AB784" s="207"/>
    </row>
    <row r="785" spans="22:28" customFormat="1" ht="9.9499999999999993">
      <c r="V785" s="207"/>
      <c r="W785" s="207"/>
      <c r="X785" s="207"/>
      <c r="Y785" s="207"/>
      <c r="Z785" s="207"/>
      <c r="AA785" s="207"/>
      <c r="AB785" s="207"/>
    </row>
    <row r="786" spans="22:28" customFormat="1" ht="9.9499999999999993">
      <c r="V786" s="207"/>
      <c r="W786" s="207"/>
      <c r="X786" s="207"/>
      <c r="Y786" s="207"/>
      <c r="Z786" s="207"/>
      <c r="AA786" s="207"/>
      <c r="AB786" s="207"/>
    </row>
    <row r="787" spans="22:28" customFormat="1" ht="9.9499999999999993">
      <c r="V787" s="207"/>
      <c r="W787" s="207"/>
      <c r="X787" s="207"/>
      <c r="Y787" s="207"/>
      <c r="Z787" s="207"/>
      <c r="AA787" s="207"/>
      <c r="AB787" s="207"/>
    </row>
    <row r="788" spans="22:28" customFormat="1" ht="9.9499999999999993">
      <c r="V788" s="207"/>
      <c r="W788" s="207"/>
      <c r="X788" s="207"/>
      <c r="Y788" s="207"/>
      <c r="Z788" s="207"/>
      <c r="AA788" s="207"/>
      <c r="AB788" s="207"/>
    </row>
    <row r="789" spans="22:28" customFormat="1" ht="9.9499999999999993">
      <c r="V789" s="207"/>
      <c r="W789" s="207"/>
      <c r="X789" s="207"/>
      <c r="Y789" s="207"/>
      <c r="Z789" s="207"/>
      <c r="AA789" s="207"/>
      <c r="AB789" s="207"/>
    </row>
    <row r="790" spans="22:28" customFormat="1" ht="9.9499999999999993">
      <c r="V790" s="207"/>
      <c r="W790" s="207"/>
      <c r="X790" s="207"/>
      <c r="Y790" s="207"/>
      <c r="Z790" s="207"/>
      <c r="AA790" s="207"/>
      <c r="AB790" s="207"/>
    </row>
    <row r="791" spans="22:28" customFormat="1" ht="9.9499999999999993">
      <c r="V791" s="207"/>
      <c r="W791" s="207"/>
      <c r="X791" s="207"/>
      <c r="Y791" s="207"/>
      <c r="Z791" s="207"/>
      <c r="AA791" s="207"/>
      <c r="AB791" s="207"/>
    </row>
    <row r="792" spans="22:28" customFormat="1" ht="9.9499999999999993">
      <c r="V792" s="207"/>
      <c r="W792" s="207"/>
      <c r="X792" s="207"/>
      <c r="Y792" s="207"/>
      <c r="Z792" s="207"/>
      <c r="AA792" s="207"/>
      <c r="AB792" s="207"/>
    </row>
    <row r="793" spans="22:28" customFormat="1" ht="9.9499999999999993">
      <c r="V793" s="207"/>
      <c r="W793" s="207"/>
      <c r="X793" s="207"/>
      <c r="Y793" s="207"/>
      <c r="Z793" s="207"/>
      <c r="AA793" s="207"/>
      <c r="AB793" s="207"/>
    </row>
    <row r="794" spans="22:28" customFormat="1" ht="9.9499999999999993">
      <c r="V794" s="207"/>
      <c r="W794" s="207"/>
      <c r="X794" s="207"/>
      <c r="Y794" s="207"/>
      <c r="Z794" s="207"/>
      <c r="AA794" s="207"/>
      <c r="AB794" s="207"/>
    </row>
    <row r="795" spans="22:28" customFormat="1" ht="9.9499999999999993">
      <c r="V795" s="207"/>
      <c r="W795" s="207"/>
      <c r="X795" s="207"/>
      <c r="Y795" s="207"/>
      <c r="Z795" s="207"/>
      <c r="AA795" s="207"/>
      <c r="AB795" s="207"/>
    </row>
    <row r="796" spans="22:28" customFormat="1" ht="9.9499999999999993">
      <c r="V796" s="207"/>
      <c r="W796" s="207"/>
      <c r="X796" s="207"/>
      <c r="Y796" s="207"/>
      <c r="Z796" s="207"/>
      <c r="AA796" s="207"/>
      <c r="AB796" s="207"/>
    </row>
    <row r="797" spans="22:28" customFormat="1" ht="9.9499999999999993">
      <c r="V797" s="207"/>
      <c r="W797" s="207"/>
      <c r="X797" s="207"/>
      <c r="Y797" s="207"/>
      <c r="Z797" s="207"/>
      <c r="AA797" s="207"/>
      <c r="AB797" s="207"/>
    </row>
    <row r="798" spans="22:28" customFormat="1" ht="9.9499999999999993">
      <c r="V798" s="207"/>
      <c r="W798" s="207"/>
      <c r="X798" s="207"/>
      <c r="Y798" s="207"/>
      <c r="Z798" s="207"/>
      <c r="AA798" s="207"/>
      <c r="AB798" s="207"/>
    </row>
    <row r="799" spans="22:28" customFormat="1" ht="9.9499999999999993">
      <c r="V799" s="207"/>
      <c r="W799" s="207"/>
      <c r="X799" s="207"/>
      <c r="Y799" s="207"/>
      <c r="Z799" s="207"/>
      <c r="AA799" s="207"/>
      <c r="AB799" s="207"/>
    </row>
    <row r="800" spans="22:28" customFormat="1" ht="9.9499999999999993">
      <c r="V800" s="207"/>
      <c r="W800" s="207"/>
      <c r="X800" s="207"/>
      <c r="Y800" s="207"/>
      <c r="Z800" s="207"/>
      <c r="AA800" s="207"/>
      <c r="AB800" s="207"/>
    </row>
    <row r="801" spans="22:28" customFormat="1" ht="9.9499999999999993">
      <c r="V801" s="207"/>
      <c r="W801" s="207"/>
      <c r="X801" s="207"/>
      <c r="Y801" s="207"/>
      <c r="Z801" s="207"/>
      <c r="AA801" s="207"/>
      <c r="AB801" s="207"/>
    </row>
    <row r="802" spans="22:28" customFormat="1" ht="9.9499999999999993">
      <c r="V802" s="207"/>
      <c r="W802" s="207"/>
      <c r="X802" s="207"/>
      <c r="Y802" s="207"/>
      <c r="Z802" s="207"/>
      <c r="AA802" s="207"/>
      <c r="AB802" s="207"/>
    </row>
    <row r="803" spans="22:28" customFormat="1" ht="9.9499999999999993">
      <c r="V803" s="207"/>
      <c r="W803" s="207"/>
      <c r="X803" s="207"/>
      <c r="Y803" s="207"/>
      <c r="Z803" s="207"/>
      <c r="AA803" s="207"/>
      <c r="AB803" s="207"/>
    </row>
    <row r="804" spans="22:28" customFormat="1" ht="9.9499999999999993">
      <c r="V804" s="207"/>
      <c r="W804" s="207"/>
      <c r="X804" s="207"/>
      <c r="Y804" s="207"/>
      <c r="Z804" s="207"/>
      <c r="AA804" s="207"/>
      <c r="AB804" s="207"/>
    </row>
    <row r="805" spans="22:28" customFormat="1" ht="9.9499999999999993">
      <c r="V805" s="207"/>
      <c r="W805" s="207"/>
      <c r="X805" s="207"/>
      <c r="Y805" s="207"/>
      <c r="Z805" s="207"/>
      <c r="AA805" s="207"/>
      <c r="AB805" s="207"/>
    </row>
    <row r="806" spans="22:28" customFormat="1" ht="9.9499999999999993">
      <c r="V806" s="207"/>
      <c r="W806" s="207"/>
      <c r="X806" s="207"/>
      <c r="Y806" s="207"/>
      <c r="Z806" s="207"/>
      <c r="AA806" s="207"/>
      <c r="AB806" s="207"/>
    </row>
    <row r="807" spans="22:28" customFormat="1" ht="9.9499999999999993">
      <c r="V807" s="207"/>
      <c r="W807" s="207"/>
      <c r="X807" s="207"/>
      <c r="Y807" s="207"/>
      <c r="Z807" s="207"/>
      <c r="AA807" s="207"/>
      <c r="AB807" s="207"/>
    </row>
    <row r="808" spans="22:28" customFormat="1" ht="9.9499999999999993">
      <c r="V808" s="207"/>
      <c r="W808" s="207"/>
      <c r="X808" s="207"/>
      <c r="Y808" s="207"/>
      <c r="Z808" s="207"/>
      <c r="AA808" s="207"/>
      <c r="AB808" s="207"/>
    </row>
    <row r="809" spans="22:28" customFormat="1" ht="9.9499999999999993">
      <c r="V809" s="207"/>
      <c r="W809" s="207"/>
      <c r="X809" s="207"/>
      <c r="Y809" s="207"/>
      <c r="Z809" s="207"/>
      <c r="AA809" s="207"/>
      <c r="AB809" s="207"/>
    </row>
    <row r="810" spans="22:28" customFormat="1" ht="9.9499999999999993">
      <c r="V810" s="207"/>
      <c r="W810" s="207"/>
      <c r="X810" s="207"/>
      <c r="Y810" s="207"/>
      <c r="Z810" s="207"/>
      <c r="AA810" s="207"/>
      <c r="AB810" s="207"/>
    </row>
    <row r="811" spans="22:28" customFormat="1" ht="9.9499999999999993">
      <c r="V811" s="207"/>
      <c r="W811" s="207"/>
      <c r="X811" s="207"/>
      <c r="Y811" s="207"/>
      <c r="Z811" s="207"/>
      <c r="AA811" s="207"/>
      <c r="AB811" s="207"/>
    </row>
    <row r="812" spans="22:28" customFormat="1" ht="9.9499999999999993">
      <c r="V812" s="207"/>
      <c r="W812" s="207"/>
      <c r="X812" s="207"/>
      <c r="Y812" s="207"/>
      <c r="Z812" s="207"/>
      <c r="AA812" s="207"/>
      <c r="AB812" s="207"/>
    </row>
    <row r="813" spans="22:28" customFormat="1" ht="9.9499999999999993">
      <c r="V813" s="207"/>
      <c r="W813" s="207"/>
      <c r="X813" s="207"/>
      <c r="Y813" s="207"/>
      <c r="Z813" s="207"/>
      <c r="AA813" s="207"/>
      <c r="AB813" s="207"/>
    </row>
    <row r="814" spans="22:28" customFormat="1" ht="9.9499999999999993">
      <c r="V814" s="207"/>
      <c r="W814" s="207"/>
      <c r="X814" s="207"/>
      <c r="Y814" s="207"/>
      <c r="Z814" s="207"/>
      <c r="AA814" s="207"/>
      <c r="AB814" s="207"/>
    </row>
    <row r="815" spans="22:28" customFormat="1" ht="9.9499999999999993">
      <c r="V815" s="207"/>
      <c r="W815" s="207"/>
      <c r="X815" s="207"/>
      <c r="Y815" s="207"/>
      <c r="Z815" s="207"/>
      <c r="AA815" s="207"/>
      <c r="AB815" s="207"/>
    </row>
    <row r="816" spans="22:28" customFormat="1" ht="9.9499999999999993">
      <c r="V816" s="207"/>
      <c r="W816" s="207"/>
      <c r="X816" s="207"/>
      <c r="Y816" s="207"/>
      <c r="Z816" s="207"/>
      <c r="AA816" s="207"/>
      <c r="AB816" s="207"/>
    </row>
    <row r="817" spans="22:28" customFormat="1" ht="9.9499999999999993">
      <c r="V817" s="207"/>
      <c r="W817" s="207"/>
      <c r="X817" s="207"/>
      <c r="Y817" s="207"/>
      <c r="Z817" s="207"/>
      <c r="AA817" s="207"/>
      <c r="AB817" s="207"/>
    </row>
    <row r="818" spans="22:28" customFormat="1" ht="9.9499999999999993">
      <c r="V818" s="207"/>
      <c r="W818" s="207"/>
      <c r="X818" s="207"/>
      <c r="Y818" s="207"/>
      <c r="Z818" s="207"/>
      <c r="AA818" s="207"/>
      <c r="AB818" s="207"/>
    </row>
    <row r="819" spans="22:28" customFormat="1" ht="9.9499999999999993">
      <c r="V819" s="207"/>
      <c r="W819" s="207"/>
      <c r="X819" s="207"/>
      <c r="Y819" s="207"/>
      <c r="Z819" s="207"/>
      <c r="AA819" s="207"/>
      <c r="AB819" s="207"/>
    </row>
    <row r="820" spans="22:28" customFormat="1" ht="9.9499999999999993">
      <c r="V820" s="207"/>
      <c r="W820" s="207"/>
      <c r="X820" s="207"/>
      <c r="Y820" s="207"/>
      <c r="Z820" s="207"/>
      <c r="AA820" s="207"/>
      <c r="AB820" s="207"/>
    </row>
    <row r="821" spans="22:28" customFormat="1" ht="9.9499999999999993">
      <c r="V821" s="207"/>
      <c r="W821" s="207"/>
      <c r="X821" s="207"/>
      <c r="Y821" s="207"/>
      <c r="Z821" s="207"/>
      <c r="AA821" s="207"/>
      <c r="AB821" s="207"/>
    </row>
    <row r="822" spans="22:28" customFormat="1" ht="9.9499999999999993">
      <c r="V822" s="207"/>
      <c r="W822" s="207"/>
      <c r="X822" s="207"/>
      <c r="Y822" s="207"/>
      <c r="Z822" s="207"/>
      <c r="AA822" s="207"/>
      <c r="AB822" s="207"/>
    </row>
    <row r="823" spans="22:28" customFormat="1" ht="9.9499999999999993">
      <c r="V823" s="207"/>
      <c r="W823" s="207"/>
      <c r="X823" s="207"/>
      <c r="Y823" s="207"/>
      <c r="Z823" s="207"/>
      <c r="AA823" s="207"/>
      <c r="AB823" s="207"/>
    </row>
    <row r="824" spans="22:28" customFormat="1" ht="9.9499999999999993">
      <c r="V824" s="207"/>
      <c r="W824" s="207"/>
      <c r="X824" s="207"/>
      <c r="Y824" s="207"/>
      <c r="Z824" s="207"/>
      <c r="AA824" s="207"/>
      <c r="AB824" s="207"/>
    </row>
    <row r="825" spans="22:28" customFormat="1" ht="9.9499999999999993">
      <c r="V825" s="207"/>
      <c r="W825" s="207"/>
      <c r="X825" s="207"/>
      <c r="Y825" s="207"/>
      <c r="Z825" s="207"/>
      <c r="AA825" s="207"/>
      <c r="AB825" s="207"/>
    </row>
    <row r="826" spans="22:28" customFormat="1" ht="9.9499999999999993">
      <c r="V826" s="207"/>
      <c r="W826" s="207"/>
      <c r="X826" s="207"/>
      <c r="Y826" s="207"/>
      <c r="Z826" s="207"/>
      <c r="AA826" s="207"/>
      <c r="AB826" s="207"/>
    </row>
    <row r="827" spans="22:28" customFormat="1" ht="9.9499999999999993">
      <c r="V827" s="207"/>
      <c r="W827" s="207"/>
      <c r="X827" s="207"/>
      <c r="Y827" s="207"/>
      <c r="Z827" s="207"/>
      <c r="AA827" s="207"/>
      <c r="AB827" s="207"/>
    </row>
    <row r="828" spans="22:28" customFormat="1" ht="9.9499999999999993">
      <c r="V828" s="207"/>
      <c r="W828" s="207"/>
      <c r="X828" s="207"/>
      <c r="Y828" s="207"/>
      <c r="Z828" s="207"/>
      <c r="AA828" s="207"/>
      <c r="AB828" s="207"/>
    </row>
    <row r="829" spans="22:28" customFormat="1" ht="9.9499999999999993">
      <c r="V829" s="207"/>
      <c r="W829" s="207"/>
      <c r="X829" s="207"/>
      <c r="Y829" s="207"/>
      <c r="Z829" s="207"/>
      <c r="AA829" s="207"/>
      <c r="AB829" s="207"/>
    </row>
    <row r="830" spans="22:28" customFormat="1" ht="9.9499999999999993">
      <c r="V830" s="207"/>
      <c r="W830" s="207"/>
      <c r="X830" s="207"/>
      <c r="Y830" s="207"/>
      <c r="Z830" s="207"/>
      <c r="AA830" s="207"/>
      <c r="AB830" s="207"/>
    </row>
    <row r="831" spans="22:28" customFormat="1" ht="9.9499999999999993">
      <c r="V831" s="207"/>
      <c r="W831" s="207"/>
      <c r="X831" s="207"/>
      <c r="Y831" s="207"/>
      <c r="Z831" s="207"/>
      <c r="AA831" s="207"/>
      <c r="AB831" s="207"/>
    </row>
    <row r="832" spans="22:28" customFormat="1" ht="9.9499999999999993">
      <c r="V832" s="207"/>
      <c r="W832" s="207"/>
      <c r="X832" s="207"/>
      <c r="Y832" s="207"/>
      <c r="Z832" s="207"/>
      <c r="AA832" s="207"/>
      <c r="AB832" s="207"/>
    </row>
    <row r="833" spans="22:28" customFormat="1" ht="9.9499999999999993">
      <c r="V833" s="207"/>
      <c r="W833" s="207"/>
      <c r="X833" s="207"/>
      <c r="Y833" s="207"/>
      <c r="Z833" s="207"/>
      <c r="AA833" s="207"/>
      <c r="AB833" s="207"/>
    </row>
    <row r="834" spans="22:28" customFormat="1" ht="9.9499999999999993">
      <c r="V834" s="207"/>
      <c r="W834" s="207"/>
      <c r="X834" s="207"/>
      <c r="Y834" s="207"/>
      <c r="Z834" s="207"/>
      <c r="AA834" s="207"/>
      <c r="AB834" s="207"/>
    </row>
    <row r="835" spans="22:28" customFormat="1" ht="9.9499999999999993">
      <c r="V835" s="207"/>
      <c r="W835" s="207"/>
      <c r="X835" s="207"/>
      <c r="Y835" s="207"/>
      <c r="Z835" s="207"/>
      <c r="AA835" s="207"/>
      <c r="AB835" s="207"/>
    </row>
    <row r="836" spans="22:28" customFormat="1" ht="9.9499999999999993">
      <c r="V836" s="207"/>
      <c r="W836" s="207"/>
      <c r="X836" s="207"/>
      <c r="Y836" s="207"/>
      <c r="Z836" s="207"/>
      <c r="AA836" s="207"/>
      <c r="AB836" s="207"/>
    </row>
    <row r="837" spans="22:28" customFormat="1" ht="9.9499999999999993">
      <c r="V837" s="207"/>
      <c r="W837" s="207"/>
      <c r="X837" s="207"/>
      <c r="Y837" s="207"/>
      <c r="Z837" s="207"/>
      <c r="AA837" s="207"/>
      <c r="AB837" s="207"/>
    </row>
    <row r="838" spans="22:28" customFormat="1" ht="9.9499999999999993">
      <c r="V838" s="207"/>
      <c r="W838" s="207"/>
      <c r="X838" s="207"/>
      <c r="Y838" s="207"/>
      <c r="Z838" s="207"/>
      <c r="AA838" s="207"/>
      <c r="AB838" s="207"/>
    </row>
    <row r="839" spans="22:28" customFormat="1" ht="9.9499999999999993">
      <c r="V839" s="207"/>
      <c r="W839" s="207"/>
      <c r="X839" s="207"/>
      <c r="Y839" s="207"/>
      <c r="Z839" s="207"/>
      <c r="AA839" s="207"/>
      <c r="AB839" s="207"/>
    </row>
    <row r="840" spans="22:28" customFormat="1" ht="9.9499999999999993">
      <c r="V840" s="207"/>
      <c r="W840" s="207"/>
      <c r="X840" s="207"/>
      <c r="Y840" s="207"/>
      <c r="Z840" s="207"/>
      <c r="AA840" s="207"/>
      <c r="AB840" s="207"/>
    </row>
    <row r="841" spans="22:28" customFormat="1" ht="9.9499999999999993">
      <c r="V841" s="207"/>
      <c r="W841" s="207"/>
      <c r="X841" s="207"/>
      <c r="Y841" s="207"/>
      <c r="Z841" s="207"/>
      <c r="AA841" s="207"/>
      <c r="AB841" s="207"/>
    </row>
    <row r="842" spans="22:28" customFormat="1" ht="9.9499999999999993">
      <c r="V842" s="207"/>
      <c r="W842" s="207"/>
      <c r="X842" s="207"/>
      <c r="Y842" s="207"/>
      <c r="Z842" s="207"/>
      <c r="AA842" s="207"/>
      <c r="AB842" s="207"/>
    </row>
    <row r="843" spans="22:28" customFormat="1" ht="9.9499999999999993">
      <c r="V843" s="207"/>
      <c r="W843" s="207"/>
      <c r="X843" s="207"/>
      <c r="Y843" s="207"/>
      <c r="Z843" s="207"/>
      <c r="AA843" s="207"/>
      <c r="AB843" s="207"/>
    </row>
    <row r="844" spans="22:28" customFormat="1" ht="9.9499999999999993">
      <c r="V844" s="207"/>
      <c r="W844" s="207"/>
      <c r="X844" s="207"/>
      <c r="Y844" s="207"/>
      <c r="Z844" s="207"/>
      <c r="AA844" s="207"/>
      <c r="AB844" s="207"/>
    </row>
    <row r="845" spans="22:28" customFormat="1" ht="9.9499999999999993">
      <c r="V845" s="207"/>
      <c r="W845" s="207"/>
      <c r="X845" s="207"/>
      <c r="Y845" s="207"/>
      <c r="Z845" s="207"/>
      <c r="AA845" s="207"/>
      <c r="AB845" s="207"/>
    </row>
    <row r="846" spans="22:28" customFormat="1" ht="9.9499999999999993">
      <c r="V846" s="207"/>
      <c r="W846" s="207"/>
      <c r="X846" s="207"/>
      <c r="Y846" s="207"/>
      <c r="Z846" s="207"/>
      <c r="AA846" s="207"/>
      <c r="AB846" s="207"/>
    </row>
    <row r="847" spans="22:28" customFormat="1" ht="9.9499999999999993">
      <c r="V847" s="207"/>
      <c r="W847" s="207"/>
      <c r="X847" s="207"/>
      <c r="Y847" s="207"/>
      <c r="Z847" s="207"/>
      <c r="AA847" s="207"/>
      <c r="AB847" s="207"/>
    </row>
    <row r="848" spans="22:28" customFormat="1" ht="9.9499999999999993">
      <c r="V848" s="207"/>
      <c r="W848" s="207"/>
      <c r="X848" s="207"/>
      <c r="Y848" s="207"/>
      <c r="Z848" s="207"/>
      <c r="AA848" s="207"/>
      <c r="AB848" s="207"/>
    </row>
    <row r="849" spans="22:28" customFormat="1" ht="9.9499999999999993">
      <c r="V849" s="207"/>
      <c r="W849" s="207"/>
      <c r="X849" s="207"/>
      <c r="Y849" s="207"/>
      <c r="Z849" s="207"/>
      <c r="AA849" s="207"/>
      <c r="AB849" s="207"/>
    </row>
    <row r="850" spans="22:28" customFormat="1" ht="9.9499999999999993">
      <c r="V850" s="207"/>
      <c r="W850" s="207"/>
      <c r="X850" s="207"/>
      <c r="Y850" s="207"/>
      <c r="Z850" s="207"/>
      <c r="AA850" s="207"/>
      <c r="AB850" s="207"/>
    </row>
    <row r="851" spans="22:28" customFormat="1" ht="9.9499999999999993">
      <c r="V851" s="207"/>
      <c r="W851" s="207"/>
      <c r="X851" s="207"/>
      <c r="Y851" s="207"/>
      <c r="Z851" s="207"/>
      <c r="AA851" s="207"/>
      <c r="AB851" s="207"/>
    </row>
    <row r="852" spans="22:28" customFormat="1" ht="9.9499999999999993">
      <c r="V852" s="207"/>
      <c r="W852" s="207"/>
      <c r="X852" s="207"/>
      <c r="Y852" s="207"/>
      <c r="Z852" s="207"/>
      <c r="AA852" s="207"/>
      <c r="AB852" s="207"/>
    </row>
    <row r="853" spans="22:28" customFormat="1" ht="9.9499999999999993">
      <c r="V853" s="207"/>
      <c r="W853" s="207"/>
      <c r="X853" s="207"/>
      <c r="Y853" s="207"/>
      <c r="Z853" s="207"/>
      <c r="AA853" s="207"/>
      <c r="AB853" s="207"/>
    </row>
    <row r="854" spans="22:28" customFormat="1" ht="9.9499999999999993">
      <c r="V854" s="207"/>
      <c r="W854" s="207"/>
      <c r="X854" s="207"/>
      <c r="Y854" s="207"/>
      <c r="Z854" s="207"/>
      <c r="AA854" s="207"/>
      <c r="AB854" s="207"/>
    </row>
    <row r="855" spans="22:28" customFormat="1" ht="9.9499999999999993">
      <c r="V855" s="207"/>
      <c r="W855" s="207"/>
      <c r="X855" s="207"/>
      <c r="Y855" s="207"/>
      <c r="Z855" s="207"/>
      <c r="AA855" s="207"/>
      <c r="AB855" s="207"/>
    </row>
    <row r="856" spans="22:28" customFormat="1" ht="9.9499999999999993">
      <c r="V856" s="207"/>
      <c r="W856" s="207"/>
      <c r="X856" s="207"/>
      <c r="Y856" s="207"/>
      <c r="Z856" s="207"/>
      <c r="AA856" s="207"/>
      <c r="AB856" s="207"/>
    </row>
    <row r="857" spans="22:28" customFormat="1" ht="9.9499999999999993">
      <c r="V857" s="207"/>
      <c r="W857" s="207"/>
      <c r="X857" s="207"/>
      <c r="Y857" s="207"/>
      <c r="Z857" s="207"/>
      <c r="AA857" s="207"/>
      <c r="AB857" s="207"/>
    </row>
    <row r="858" spans="22:28" customFormat="1" ht="9.9499999999999993">
      <c r="V858" s="207"/>
      <c r="W858" s="207"/>
      <c r="X858" s="207"/>
      <c r="Y858" s="207"/>
      <c r="Z858" s="207"/>
      <c r="AA858" s="207"/>
      <c r="AB858" s="207"/>
    </row>
    <row r="859" spans="22:28" customFormat="1" ht="9.9499999999999993">
      <c r="V859" s="207"/>
      <c r="W859" s="207"/>
      <c r="X859" s="207"/>
      <c r="Y859" s="207"/>
      <c r="Z859" s="207"/>
      <c r="AA859" s="207"/>
      <c r="AB859" s="207"/>
    </row>
    <row r="860" spans="22:28" customFormat="1" ht="9.9499999999999993">
      <c r="V860" s="207"/>
      <c r="W860" s="207"/>
      <c r="X860" s="207"/>
      <c r="Y860" s="207"/>
      <c r="Z860" s="207"/>
      <c r="AA860" s="207"/>
      <c r="AB860" s="207"/>
    </row>
    <row r="861" spans="22:28" customFormat="1" ht="9.9499999999999993">
      <c r="V861" s="207"/>
      <c r="W861" s="207"/>
      <c r="X861" s="207"/>
      <c r="Y861" s="207"/>
      <c r="Z861" s="207"/>
      <c r="AA861" s="207"/>
      <c r="AB861" s="207"/>
    </row>
    <row r="862" spans="22:28" customFormat="1" ht="9.9499999999999993">
      <c r="V862" s="207"/>
      <c r="W862" s="207"/>
      <c r="X862" s="207"/>
      <c r="Y862" s="207"/>
      <c r="Z862" s="207"/>
      <c r="AA862" s="207"/>
      <c r="AB862" s="207"/>
    </row>
    <row r="863" spans="22:28" customFormat="1" ht="9.9499999999999993">
      <c r="V863" s="207"/>
      <c r="W863" s="207"/>
      <c r="X863" s="207"/>
      <c r="Y863" s="207"/>
      <c r="Z863" s="207"/>
      <c r="AA863" s="207"/>
      <c r="AB863" s="207"/>
    </row>
    <row r="864" spans="22:28" customFormat="1" ht="9.9499999999999993">
      <c r="V864" s="207"/>
      <c r="W864" s="207"/>
      <c r="X864" s="207"/>
      <c r="Y864" s="207"/>
      <c r="Z864" s="207"/>
      <c r="AA864" s="207"/>
      <c r="AB864" s="207"/>
    </row>
    <row r="865" spans="22:28" customFormat="1" ht="9.9499999999999993">
      <c r="V865" s="207"/>
      <c r="W865" s="207"/>
      <c r="X865" s="207"/>
      <c r="Y865" s="207"/>
      <c r="Z865" s="207"/>
      <c r="AA865" s="207"/>
      <c r="AB865" s="207"/>
    </row>
    <row r="866" spans="22:28" customFormat="1" ht="9.9499999999999993">
      <c r="V866" s="207"/>
      <c r="W866" s="207"/>
      <c r="X866" s="207"/>
      <c r="Y866" s="207"/>
      <c r="Z866" s="207"/>
      <c r="AA866" s="207"/>
      <c r="AB866" s="207"/>
    </row>
    <row r="867" spans="22:28" customFormat="1" ht="9.9499999999999993">
      <c r="V867" s="207"/>
      <c r="W867" s="207"/>
      <c r="X867" s="207"/>
      <c r="Y867" s="207"/>
      <c r="Z867" s="207"/>
      <c r="AA867" s="207"/>
      <c r="AB867" s="207"/>
    </row>
    <row r="868" spans="22:28" customFormat="1" ht="9.9499999999999993">
      <c r="V868" s="207"/>
      <c r="W868" s="207"/>
      <c r="X868" s="207"/>
      <c r="Y868" s="207"/>
      <c r="Z868" s="207"/>
      <c r="AA868" s="207"/>
      <c r="AB868" s="207"/>
    </row>
    <row r="869" spans="22:28" customFormat="1" ht="9.9499999999999993">
      <c r="V869" s="207"/>
      <c r="W869" s="207"/>
      <c r="X869" s="207"/>
      <c r="Y869" s="207"/>
      <c r="Z869" s="207"/>
      <c r="AA869" s="207"/>
      <c r="AB869" s="207"/>
    </row>
    <row r="870" spans="22:28" customFormat="1" ht="9.9499999999999993">
      <c r="V870" s="207"/>
      <c r="W870" s="207"/>
      <c r="X870" s="207"/>
      <c r="Y870" s="207"/>
      <c r="Z870" s="207"/>
      <c r="AA870" s="207"/>
      <c r="AB870" s="207"/>
    </row>
    <row r="871" spans="22:28" customFormat="1" ht="9.9499999999999993">
      <c r="V871" s="207"/>
      <c r="W871" s="207"/>
      <c r="X871" s="207"/>
      <c r="Y871" s="207"/>
      <c r="Z871" s="207"/>
      <c r="AA871" s="207"/>
      <c r="AB871" s="207"/>
    </row>
    <row r="872" spans="22:28" customFormat="1" ht="9.9499999999999993">
      <c r="V872" s="207"/>
      <c r="W872" s="207"/>
      <c r="X872" s="207"/>
      <c r="Y872" s="207"/>
      <c r="Z872" s="207"/>
      <c r="AA872" s="207"/>
      <c r="AB872" s="207"/>
    </row>
    <row r="873" spans="22:28" customFormat="1" ht="9.9499999999999993">
      <c r="V873" s="207"/>
      <c r="W873" s="207"/>
      <c r="X873" s="207"/>
      <c r="Y873" s="207"/>
      <c r="Z873" s="207"/>
      <c r="AA873" s="207"/>
      <c r="AB873" s="207"/>
    </row>
    <row r="874" spans="22:28" customFormat="1" ht="9.9499999999999993">
      <c r="V874" s="207"/>
      <c r="W874" s="207"/>
      <c r="X874" s="207"/>
      <c r="Y874" s="207"/>
      <c r="Z874" s="207"/>
      <c r="AA874" s="207"/>
      <c r="AB874" s="207"/>
    </row>
    <row r="875" spans="22:28" customFormat="1" ht="9.9499999999999993">
      <c r="V875" s="207"/>
      <c r="W875" s="207"/>
      <c r="X875" s="207"/>
      <c r="Y875" s="207"/>
      <c r="Z875" s="207"/>
      <c r="AA875" s="207"/>
      <c r="AB875" s="207"/>
    </row>
    <row r="876" spans="22:28" customFormat="1" ht="9.9499999999999993">
      <c r="V876" s="207"/>
      <c r="W876" s="207"/>
      <c r="X876" s="207"/>
      <c r="Y876" s="207"/>
      <c r="Z876" s="207"/>
      <c r="AA876" s="207"/>
      <c r="AB876" s="207"/>
    </row>
    <row r="877" spans="22:28" customFormat="1" ht="9.9499999999999993">
      <c r="V877" s="207"/>
      <c r="W877" s="207"/>
      <c r="X877" s="207"/>
      <c r="Y877" s="207"/>
      <c r="Z877" s="207"/>
      <c r="AA877" s="207"/>
      <c r="AB877" s="207"/>
    </row>
    <row r="878" spans="22:28" customFormat="1" ht="9.9499999999999993">
      <c r="V878" s="207"/>
      <c r="W878" s="207"/>
      <c r="X878" s="207"/>
      <c r="Y878" s="207"/>
      <c r="Z878" s="207"/>
      <c r="AA878" s="207"/>
      <c r="AB878" s="207"/>
    </row>
    <row r="879" spans="22:28" customFormat="1" ht="9.9499999999999993">
      <c r="V879" s="207"/>
      <c r="W879" s="207"/>
      <c r="X879" s="207"/>
      <c r="Y879" s="207"/>
      <c r="Z879" s="207"/>
      <c r="AA879" s="207"/>
      <c r="AB879" s="207"/>
    </row>
    <row r="880" spans="22:28" customFormat="1" ht="9.9499999999999993">
      <c r="V880" s="207"/>
      <c r="W880" s="207"/>
      <c r="X880" s="207"/>
      <c r="Y880" s="207"/>
      <c r="Z880" s="207"/>
      <c r="AA880" s="207"/>
      <c r="AB880" s="207"/>
    </row>
    <row r="881" spans="22:28" customFormat="1" ht="9.9499999999999993">
      <c r="V881" s="207"/>
      <c r="W881" s="207"/>
      <c r="X881" s="207"/>
      <c r="Y881" s="207"/>
      <c r="Z881" s="207"/>
      <c r="AA881" s="207"/>
      <c r="AB881" s="207"/>
    </row>
    <row r="882" spans="22:28" customFormat="1" ht="9.9499999999999993">
      <c r="V882" s="207"/>
      <c r="W882" s="207"/>
      <c r="X882" s="207"/>
      <c r="Y882" s="207"/>
      <c r="Z882" s="207"/>
      <c r="AA882" s="207"/>
      <c r="AB882" s="207"/>
    </row>
    <row r="883" spans="22:28" customFormat="1" ht="9.9499999999999993">
      <c r="V883" s="207"/>
      <c r="W883" s="207"/>
      <c r="X883" s="207"/>
      <c r="Y883" s="207"/>
      <c r="Z883" s="207"/>
      <c r="AA883" s="207"/>
      <c r="AB883" s="207"/>
    </row>
    <row r="884" spans="22:28" customFormat="1" ht="9.9499999999999993">
      <c r="V884" s="207"/>
      <c r="W884" s="207"/>
      <c r="X884" s="207"/>
      <c r="Y884" s="207"/>
      <c r="Z884" s="207"/>
      <c r="AA884" s="207"/>
      <c r="AB884" s="207"/>
    </row>
    <row r="885" spans="22:28" customFormat="1" ht="9.9499999999999993">
      <c r="V885" s="207"/>
      <c r="W885" s="207"/>
      <c r="X885" s="207"/>
      <c r="Y885" s="207"/>
      <c r="Z885" s="207"/>
      <c r="AA885" s="207"/>
      <c r="AB885" s="207"/>
    </row>
    <row r="886" spans="22:28" customFormat="1" ht="9.9499999999999993">
      <c r="V886" s="207"/>
      <c r="W886" s="207"/>
      <c r="X886" s="207"/>
      <c r="Y886" s="207"/>
      <c r="Z886" s="207"/>
      <c r="AA886" s="207"/>
      <c r="AB886" s="207"/>
    </row>
    <row r="887" spans="22:28" customFormat="1" ht="9.9499999999999993">
      <c r="V887" s="207"/>
      <c r="W887" s="207"/>
      <c r="X887" s="207"/>
      <c r="Y887" s="207"/>
      <c r="Z887" s="207"/>
      <c r="AA887" s="207"/>
      <c r="AB887" s="207"/>
    </row>
    <row r="888" spans="22:28" customFormat="1" ht="9.9499999999999993">
      <c r="V888" s="207"/>
      <c r="W888" s="207"/>
      <c r="X888" s="207"/>
      <c r="Y888" s="207"/>
      <c r="Z888" s="207"/>
      <c r="AA888" s="207"/>
      <c r="AB888" s="207"/>
    </row>
    <row r="889" spans="22:28" customFormat="1" ht="9.9499999999999993">
      <c r="V889" s="207"/>
      <c r="W889" s="207"/>
      <c r="X889" s="207"/>
      <c r="Y889" s="207"/>
      <c r="Z889" s="207"/>
      <c r="AA889" s="207"/>
      <c r="AB889" s="207"/>
    </row>
    <row r="890" spans="22:28" customFormat="1" ht="9.9499999999999993">
      <c r="V890" s="207"/>
      <c r="W890" s="207"/>
      <c r="X890" s="207"/>
      <c r="Y890" s="207"/>
      <c r="Z890" s="207"/>
      <c r="AA890" s="207"/>
      <c r="AB890" s="207"/>
    </row>
    <row r="891" spans="22:28" customFormat="1" ht="9.9499999999999993">
      <c r="V891" s="207"/>
      <c r="W891" s="207"/>
      <c r="X891" s="207"/>
      <c r="Y891" s="207"/>
      <c r="Z891" s="207"/>
      <c r="AA891" s="207"/>
      <c r="AB891" s="207"/>
    </row>
    <row r="892" spans="22:28" customFormat="1" ht="9.9499999999999993">
      <c r="V892" s="207"/>
      <c r="W892" s="207"/>
      <c r="X892" s="207"/>
      <c r="Y892" s="207"/>
      <c r="Z892" s="207"/>
      <c r="AA892" s="207"/>
      <c r="AB892" s="207"/>
    </row>
    <row r="893" spans="22:28" customFormat="1" ht="9.9499999999999993">
      <c r="V893" s="207"/>
      <c r="W893" s="207"/>
      <c r="X893" s="207"/>
      <c r="Y893" s="207"/>
      <c r="Z893" s="207"/>
      <c r="AA893" s="207"/>
      <c r="AB893" s="207"/>
    </row>
    <row r="894" spans="22:28" customFormat="1" ht="9.9499999999999993">
      <c r="V894" s="207"/>
      <c r="W894" s="207"/>
      <c r="X894" s="207"/>
      <c r="Y894" s="207"/>
      <c r="Z894" s="207"/>
      <c r="AA894" s="207"/>
      <c r="AB894" s="207"/>
    </row>
    <row r="895" spans="22:28" customFormat="1" ht="9.9499999999999993">
      <c r="V895" s="207"/>
      <c r="W895" s="207"/>
      <c r="X895" s="207"/>
      <c r="Y895" s="207"/>
      <c r="Z895" s="207"/>
      <c r="AA895" s="207"/>
      <c r="AB895" s="207"/>
    </row>
    <row r="896" spans="22:28" customFormat="1" ht="9.9499999999999993">
      <c r="V896" s="207"/>
      <c r="W896" s="207"/>
      <c r="X896" s="207"/>
      <c r="Y896" s="207"/>
      <c r="Z896" s="207"/>
      <c r="AA896" s="207"/>
      <c r="AB896" s="207"/>
    </row>
    <row r="897" spans="22:28" customFormat="1" ht="9.9499999999999993">
      <c r="V897" s="207"/>
      <c r="W897" s="207"/>
      <c r="X897" s="207"/>
      <c r="Y897" s="207"/>
      <c r="Z897" s="207"/>
      <c r="AA897" s="207"/>
      <c r="AB897" s="207"/>
    </row>
    <row r="898" spans="22:28" customFormat="1" ht="9.9499999999999993">
      <c r="V898" s="207"/>
      <c r="W898" s="207"/>
      <c r="X898" s="207"/>
      <c r="Y898" s="207"/>
      <c r="Z898" s="207"/>
      <c r="AA898" s="207"/>
      <c r="AB898" s="207"/>
    </row>
    <row r="899" spans="22:28" customFormat="1" ht="9.9499999999999993">
      <c r="V899" s="207"/>
      <c r="W899" s="207"/>
      <c r="X899" s="207"/>
      <c r="Y899" s="207"/>
      <c r="Z899" s="207"/>
      <c r="AA899" s="207"/>
      <c r="AB899" s="207"/>
    </row>
    <row r="900" spans="22:28" customFormat="1" ht="9.9499999999999993">
      <c r="V900" s="207"/>
      <c r="W900" s="207"/>
      <c r="X900" s="207"/>
      <c r="Y900" s="207"/>
      <c r="Z900" s="207"/>
      <c r="AA900" s="207"/>
      <c r="AB900" s="207"/>
    </row>
    <row r="901" spans="22:28" customFormat="1" ht="9.9499999999999993">
      <c r="V901" s="207"/>
      <c r="W901" s="207"/>
      <c r="X901" s="207"/>
      <c r="Y901" s="207"/>
      <c r="Z901" s="207"/>
      <c r="AA901" s="207"/>
      <c r="AB901" s="207"/>
    </row>
    <row r="902" spans="22:28" customFormat="1" ht="9.9499999999999993">
      <c r="V902" s="207"/>
      <c r="W902" s="207"/>
      <c r="X902" s="207"/>
      <c r="Y902" s="207"/>
      <c r="Z902" s="207"/>
      <c r="AA902" s="207"/>
      <c r="AB902" s="207"/>
    </row>
    <row r="903" spans="22:28" customFormat="1" ht="9.9499999999999993">
      <c r="V903" s="207"/>
      <c r="W903" s="207"/>
      <c r="X903" s="207"/>
      <c r="Y903" s="207"/>
      <c r="Z903" s="207"/>
      <c r="AA903" s="207"/>
      <c r="AB903" s="207"/>
    </row>
    <row r="904" spans="22:28" customFormat="1" ht="9.9499999999999993">
      <c r="V904" s="207"/>
      <c r="W904" s="207"/>
      <c r="X904" s="207"/>
      <c r="Y904" s="207"/>
      <c r="Z904" s="207"/>
      <c r="AA904" s="207"/>
      <c r="AB904" s="207"/>
    </row>
    <row r="905" spans="22:28" customFormat="1" ht="9.9499999999999993">
      <c r="V905" s="207"/>
      <c r="W905" s="207"/>
      <c r="X905" s="207"/>
      <c r="Y905" s="207"/>
      <c r="Z905" s="207"/>
      <c r="AA905" s="207"/>
      <c r="AB905" s="207"/>
    </row>
    <row r="906" spans="22:28" customFormat="1" ht="9.9499999999999993">
      <c r="V906" s="207"/>
      <c r="W906" s="207"/>
      <c r="X906" s="207"/>
      <c r="Y906" s="207"/>
      <c r="Z906" s="207"/>
      <c r="AA906" s="207"/>
      <c r="AB906" s="207"/>
    </row>
    <row r="907" spans="22:28" customFormat="1" ht="9.9499999999999993">
      <c r="V907" s="207"/>
      <c r="W907" s="207"/>
      <c r="X907" s="207"/>
      <c r="Y907" s="207"/>
      <c r="Z907" s="207"/>
      <c r="AA907" s="207"/>
      <c r="AB907" s="207"/>
    </row>
    <row r="908" spans="22:28" customFormat="1" ht="9.9499999999999993">
      <c r="V908" s="207"/>
      <c r="W908" s="207"/>
      <c r="X908" s="207"/>
      <c r="Y908" s="207"/>
      <c r="Z908" s="207"/>
      <c r="AA908" s="207"/>
      <c r="AB908" s="207"/>
    </row>
    <row r="909" spans="22:28" customFormat="1" ht="9.9499999999999993">
      <c r="V909" s="207"/>
      <c r="W909" s="207"/>
      <c r="X909" s="207"/>
      <c r="Y909" s="207"/>
      <c r="Z909" s="207"/>
      <c r="AA909" s="207"/>
      <c r="AB909" s="207"/>
    </row>
    <row r="910" spans="22:28" customFormat="1" ht="9.9499999999999993">
      <c r="V910" s="207"/>
      <c r="W910" s="207"/>
      <c r="X910" s="207"/>
      <c r="Y910" s="207"/>
      <c r="Z910" s="207"/>
      <c r="AA910" s="207"/>
      <c r="AB910" s="207"/>
    </row>
    <row r="911" spans="22:28" customFormat="1" ht="9.9499999999999993">
      <c r="V911" s="207"/>
      <c r="W911" s="207"/>
      <c r="X911" s="207"/>
      <c r="Y911" s="207"/>
      <c r="Z911" s="207"/>
      <c r="AA911" s="207"/>
      <c r="AB911" s="207"/>
    </row>
    <row r="912" spans="22:28" customFormat="1" ht="9.9499999999999993">
      <c r="V912" s="207"/>
      <c r="W912" s="207"/>
      <c r="X912" s="207"/>
      <c r="Y912" s="207"/>
      <c r="Z912" s="207"/>
      <c r="AA912" s="207"/>
      <c r="AB912" s="207"/>
    </row>
    <row r="913" spans="22:28" customFormat="1" ht="9.9499999999999993">
      <c r="V913" s="207"/>
      <c r="W913" s="207"/>
      <c r="X913" s="207"/>
      <c r="Y913" s="207"/>
      <c r="Z913" s="207"/>
      <c r="AA913" s="207"/>
      <c r="AB913" s="207"/>
    </row>
    <row r="914" spans="22:28" customFormat="1" ht="9.9499999999999993">
      <c r="V914" s="207"/>
      <c r="W914" s="207"/>
      <c r="X914" s="207"/>
      <c r="Y914" s="207"/>
      <c r="Z914" s="207"/>
      <c r="AA914" s="207"/>
      <c r="AB914" s="207"/>
    </row>
    <row r="915" spans="22:28" customFormat="1" ht="9.9499999999999993">
      <c r="V915" s="207"/>
      <c r="W915" s="207"/>
      <c r="X915" s="207"/>
      <c r="Y915" s="207"/>
      <c r="Z915" s="207"/>
      <c r="AA915" s="207"/>
      <c r="AB915" s="207"/>
    </row>
    <row r="916" spans="22:28" customFormat="1" ht="9.9499999999999993">
      <c r="V916" s="207"/>
      <c r="W916" s="207"/>
      <c r="X916" s="207"/>
      <c r="Y916" s="207"/>
      <c r="Z916" s="207"/>
      <c r="AA916" s="207"/>
      <c r="AB916" s="207"/>
    </row>
    <row r="917" spans="22:28" customFormat="1" ht="9.9499999999999993">
      <c r="V917" s="207"/>
      <c r="W917" s="207"/>
      <c r="X917" s="207"/>
      <c r="Y917" s="207"/>
      <c r="Z917" s="207"/>
      <c r="AA917" s="207"/>
      <c r="AB917" s="207"/>
    </row>
    <row r="918" spans="22:28" customFormat="1" ht="9.9499999999999993">
      <c r="V918" s="207"/>
      <c r="W918" s="207"/>
      <c r="X918" s="207"/>
      <c r="Y918" s="207"/>
      <c r="Z918" s="207"/>
      <c r="AA918" s="207"/>
      <c r="AB918" s="207"/>
    </row>
    <row r="919" spans="22:28" customFormat="1" ht="9.9499999999999993">
      <c r="V919" s="207"/>
      <c r="W919" s="207"/>
      <c r="X919" s="207"/>
      <c r="Y919" s="207"/>
      <c r="Z919" s="207"/>
      <c r="AA919" s="207"/>
      <c r="AB919" s="207"/>
    </row>
    <row r="920" spans="22:28" customFormat="1" ht="9.9499999999999993">
      <c r="V920" s="207"/>
      <c r="W920" s="207"/>
      <c r="X920" s="207"/>
      <c r="Y920" s="207"/>
      <c r="Z920" s="207"/>
      <c r="AA920" s="207"/>
      <c r="AB920" s="207"/>
    </row>
    <row r="921" spans="22:28" customFormat="1" ht="9.9499999999999993">
      <c r="V921" s="207"/>
      <c r="W921" s="207"/>
      <c r="X921" s="207"/>
      <c r="Y921" s="207"/>
      <c r="Z921" s="207"/>
      <c r="AA921" s="207"/>
      <c r="AB921" s="207"/>
    </row>
    <row r="922" spans="22:28" customFormat="1" ht="9.9499999999999993">
      <c r="V922" s="207"/>
      <c r="W922" s="207"/>
      <c r="X922" s="207"/>
      <c r="Y922" s="207"/>
      <c r="Z922" s="207"/>
      <c r="AA922" s="207"/>
      <c r="AB922" s="207"/>
    </row>
    <row r="923" spans="22:28" customFormat="1" ht="9.9499999999999993">
      <c r="V923" s="207"/>
      <c r="W923" s="207"/>
      <c r="X923" s="207"/>
      <c r="Y923" s="207"/>
      <c r="Z923" s="207"/>
      <c r="AA923" s="207"/>
      <c r="AB923" s="207"/>
    </row>
    <row r="924" spans="22:28" customFormat="1" ht="9.9499999999999993">
      <c r="V924" s="207"/>
      <c r="W924" s="207"/>
      <c r="X924" s="207"/>
      <c r="Y924" s="207"/>
      <c r="Z924" s="207"/>
      <c r="AA924" s="207"/>
      <c r="AB924" s="207"/>
    </row>
    <row r="925" spans="22:28" customFormat="1" ht="9.9499999999999993">
      <c r="V925" s="207"/>
      <c r="W925" s="207"/>
      <c r="X925" s="207"/>
      <c r="Y925" s="207"/>
      <c r="Z925" s="207"/>
      <c r="AA925" s="207"/>
      <c r="AB925" s="207"/>
    </row>
    <row r="926" spans="22:28" customFormat="1" ht="9.9499999999999993">
      <c r="V926" s="207"/>
      <c r="W926" s="207"/>
      <c r="X926" s="207"/>
      <c r="Y926" s="207"/>
      <c r="Z926" s="207"/>
      <c r="AA926" s="207"/>
      <c r="AB926" s="207"/>
    </row>
    <row r="927" spans="22:28" customFormat="1" ht="9.9499999999999993">
      <c r="V927" s="207"/>
      <c r="W927" s="207"/>
      <c r="X927" s="207"/>
      <c r="Y927" s="207"/>
      <c r="Z927" s="207"/>
      <c r="AA927" s="207"/>
      <c r="AB927" s="207"/>
    </row>
    <row r="928" spans="22:28" customFormat="1" ht="9.9499999999999993">
      <c r="V928" s="207"/>
      <c r="W928" s="207"/>
      <c r="X928" s="207"/>
      <c r="Y928" s="207"/>
      <c r="Z928" s="207"/>
      <c r="AA928" s="207"/>
      <c r="AB928" s="207"/>
    </row>
    <row r="929" spans="22:28" customFormat="1" ht="9.9499999999999993">
      <c r="V929" s="207"/>
      <c r="W929" s="207"/>
      <c r="X929" s="207"/>
      <c r="Y929" s="207"/>
      <c r="Z929" s="207"/>
      <c r="AA929" s="207"/>
      <c r="AB929" s="207"/>
    </row>
    <row r="930" spans="22:28" customFormat="1" ht="9.9499999999999993">
      <c r="V930" s="207"/>
      <c r="W930" s="207"/>
      <c r="X930" s="207"/>
      <c r="Y930" s="207"/>
      <c r="Z930" s="207"/>
      <c r="AA930" s="207"/>
      <c r="AB930" s="207"/>
    </row>
    <row r="931" spans="22:28" customFormat="1" ht="9.9499999999999993">
      <c r="V931" s="207"/>
      <c r="W931" s="207"/>
      <c r="X931" s="207"/>
      <c r="Y931" s="207"/>
      <c r="Z931" s="207"/>
      <c r="AA931" s="207"/>
      <c r="AB931" s="207"/>
    </row>
    <row r="932" spans="22:28" customFormat="1" ht="9.9499999999999993">
      <c r="V932" s="207"/>
      <c r="W932" s="207"/>
      <c r="X932" s="207"/>
      <c r="Y932" s="207"/>
      <c r="Z932" s="207"/>
      <c r="AA932" s="207"/>
      <c r="AB932" s="207"/>
    </row>
    <row r="933" spans="22:28" customFormat="1" ht="9.9499999999999993">
      <c r="V933" s="207"/>
      <c r="W933" s="207"/>
      <c r="X933" s="207"/>
      <c r="Y933" s="207"/>
      <c r="Z933" s="207"/>
      <c r="AA933" s="207"/>
      <c r="AB933" s="207"/>
    </row>
    <row r="934" spans="22:28" customFormat="1" ht="9.9499999999999993">
      <c r="V934" s="207"/>
      <c r="W934" s="207"/>
      <c r="X934" s="207"/>
      <c r="Y934" s="207"/>
      <c r="Z934" s="207"/>
      <c r="AA934" s="207"/>
      <c r="AB934" s="207"/>
    </row>
    <row r="935" spans="22:28" customFormat="1" ht="9.9499999999999993">
      <c r="V935" s="207"/>
      <c r="W935" s="207"/>
      <c r="X935" s="207"/>
      <c r="Y935" s="207"/>
      <c r="Z935" s="207"/>
      <c r="AA935" s="207"/>
      <c r="AB935" s="207"/>
    </row>
    <row r="936" spans="22:28" customFormat="1" ht="9.9499999999999993">
      <c r="V936" s="207"/>
      <c r="W936" s="207"/>
      <c r="X936" s="207"/>
      <c r="Y936" s="207"/>
      <c r="Z936" s="207"/>
      <c r="AA936" s="207"/>
      <c r="AB936" s="207"/>
    </row>
    <row r="937" spans="22:28" customFormat="1" ht="9.9499999999999993">
      <c r="V937" s="207"/>
      <c r="W937" s="207"/>
      <c r="X937" s="207"/>
      <c r="Y937" s="207"/>
      <c r="Z937" s="207"/>
      <c r="AA937" s="207"/>
      <c r="AB937" s="207"/>
    </row>
    <row r="938" spans="22:28" customFormat="1" ht="9.9499999999999993">
      <c r="V938" s="207"/>
      <c r="W938" s="207"/>
      <c r="X938" s="207"/>
      <c r="Y938" s="207"/>
      <c r="Z938" s="207"/>
      <c r="AA938" s="207"/>
      <c r="AB938" s="207"/>
    </row>
    <row r="939" spans="22:28" customFormat="1" ht="9.9499999999999993">
      <c r="V939" s="207"/>
      <c r="W939" s="207"/>
      <c r="X939" s="207"/>
      <c r="Y939" s="207"/>
      <c r="Z939" s="207"/>
      <c r="AA939" s="207"/>
      <c r="AB939" s="207"/>
    </row>
    <row r="940" spans="22:28" customFormat="1" ht="9.9499999999999993">
      <c r="V940" s="207"/>
      <c r="W940" s="207"/>
      <c r="X940" s="207"/>
      <c r="Y940" s="207"/>
      <c r="Z940" s="207"/>
      <c r="AA940" s="207"/>
      <c r="AB940" s="207"/>
    </row>
    <row r="941" spans="22:28" customFormat="1" ht="9.9499999999999993">
      <c r="V941" s="207"/>
      <c r="W941" s="207"/>
      <c r="X941" s="207"/>
      <c r="Y941" s="207"/>
      <c r="Z941" s="207"/>
      <c r="AA941" s="207"/>
      <c r="AB941" s="207"/>
    </row>
    <row r="942" spans="22:28" customFormat="1" ht="9.9499999999999993">
      <c r="V942" s="207"/>
      <c r="W942" s="207"/>
      <c r="X942" s="207"/>
      <c r="Y942" s="207"/>
      <c r="Z942" s="207"/>
      <c r="AA942" s="207"/>
      <c r="AB942" s="207"/>
    </row>
    <row r="943" spans="22:28" customFormat="1" ht="9.9499999999999993">
      <c r="V943" s="207"/>
      <c r="W943" s="207"/>
      <c r="X943" s="207"/>
      <c r="Y943" s="207"/>
      <c r="Z943" s="207"/>
      <c r="AA943" s="207"/>
      <c r="AB943" s="207"/>
    </row>
    <row r="944" spans="22:28" customFormat="1" ht="9.9499999999999993">
      <c r="V944" s="207"/>
      <c r="W944" s="207"/>
      <c r="X944" s="207"/>
      <c r="Y944" s="207"/>
      <c r="Z944" s="207"/>
      <c r="AA944" s="207"/>
      <c r="AB944" s="207"/>
    </row>
    <row r="945" spans="22:28" customFormat="1" ht="9.9499999999999993">
      <c r="V945" s="207"/>
      <c r="W945" s="207"/>
      <c r="X945" s="207"/>
      <c r="Y945" s="207"/>
      <c r="Z945" s="207"/>
      <c r="AA945" s="207"/>
      <c r="AB945" s="207"/>
    </row>
    <row r="946" spans="22:28" customFormat="1" ht="9.9499999999999993">
      <c r="V946" s="207"/>
      <c r="W946" s="207"/>
      <c r="X946" s="207"/>
      <c r="Y946" s="207"/>
      <c r="Z946" s="207"/>
      <c r="AA946" s="207"/>
      <c r="AB946" s="207"/>
    </row>
    <row r="947" spans="22:28" customFormat="1" ht="9.9499999999999993">
      <c r="V947" s="207"/>
      <c r="W947" s="207"/>
      <c r="X947" s="207"/>
      <c r="Y947" s="207"/>
      <c r="Z947" s="207"/>
      <c r="AA947" s="207"/>
      <c r="AB947" s="207"/>
    </row>
    <row r="948" spans="22:28" customFormat="1" ht="9.9499999999999993">
      <c r="V948" s="207"/>
      <c r="W948" s="207"/>
      <c r="X948" s="207"/>
      <c r="Y948" s="207"/>
      <c r="Z948" s="207"/>
      <c r="AA948" s="207"/>
      <c r="AB948" s="207"/>
    </row>
    <row r="949" spans="22:28" customFormat="1" ht="9.9499999999999993">
      <c r="V949" s="207"/>
      <c r="W949" s="207"/>
      <c r="X949" s="207"/>
      <c r="Y949" s="207"/>
      <c r="Z949" s="207"/>
      <c r="AA949" s="207"/>
      <c r="AB949" s="207"/>
    </row>
    <row r="950" spans="22:28" customFormat="1" ht="9.9499999999999993">
      <c r="V950" s="207"/>
      <c r="W950" s="207"/>
      <c r="X950" s="207"/>
      <c r="Y950" s="207"/>
      <c r="Z950" s="207"/>
      <c r="AA950" s="207"/>
      <c r="AB950" s="207"/>
    </row>
    <row r="951" spans="22:28" customFormat="1" ht="9.9499999999999993">
      <c r="V951" s="207"/>
      <c r="W951" s="207"/>
      <c r="X951" s="207"/>
      <c r="Y951" s="207"/>
      <c r="Z951" s="207"/>
      <c r="AA951" s="207"/>
      <c r="AB951" s="207"/>
    </row>
    <row r="952" spans="22:28" customFormat="1" ht="9.9499999999999993">
      <c r="V952" s="207"/>
      <c r="W952" s="207"/>
      <c r="X952" s="207"/>
      <c r="Y952" s="207"/>
      <c r="Z952" s="207"/>
      <c r="AA952" s="207"/>
      <c r="AB952" s="207"/>
    </row>
    <row r="953" spans="22:28" customFormat="1" ht="9.9499999999999993">
      <c r="V953" s="207"/>
      <c r="W953" s="207"/>
      <c r="X953" s="207"/>
      <c r="Y953" s="207"/>
      <c r="Z953" s="207"/>
      <c r="AA953" s="207"/>
      <c r="AB953" s="207"/>
    </row>
    <row r="954" spans="22:28" customFormat="1" ht="9.9499999999999993">
      <c r="V954" s="207"/>
      <c r="W954" s="207"/>
      <c r="X954" s="207"/>
      <c r="Y954" s="207"/>
      <c r="Z954" s="207"/>
      <c r="AA954" s="207"/>
      <c r="AB954" s="207"/>
    </row>
    <row r="955" spans="22:28" customFormat="1" ht="9.9499999999999993">
      <c r="V955" s="207"/>
      <c r="W955" s="207"/>
      <c r="X955" s="207"/>
      <c r="Y955" s="207"/>
      <c r="Z955" s="207"/>
      <c r="AA955" s="207"/>
      <c r="AB955" s="207"/>
    </row>
    <row r="956" spans="22:28" customFormat="1" ht="9.9499999999999993">
      <c r="V956" s="207"/>
      <c r="W956" s="207"/>
      <c r="X956" s="207"/>
      <c r="Y956" s="207"/>
      <c r="Z956" s="207"/>
      <c r="AA956" s="207"/>
      <c r="AB956" s="207"/>
    </row>
    <row r="957" spans="22:28" customFormat="1" ht="9.9499999999999993">
      <c r="V957" s="207"/>
      <c r="W957" s="207"/>
      <c r="X957" s="207"/>
      <c r="Y957" s="207"/>
      <c r="Z957" s="207"/>
      <c r="AA957" s="207"/>
      <c r="AB957" s="207"/>
    </row>
    <row r="958" spans="22:28" customFormat="1" ht="9.9499999999999993">
      <c r="V958" s="207"/>
      <c r="W958" s="207"/>
      <c r="X958" s="207"/>
      <c r="Y958" s="207"/>
      <c r="Z958" s="207"/>
      <c r="AA958" s="207"/>
      <c r="AB958" s="207"/>
    </row>
    <row r="959" spans="22:28" customFormat="1" ht="9.9499999999999993">
      <c r="V959" s="207"/>
      <c r="W959" s="207"/>
      <c r="X959" s="207"/>
      <c r="Y959" s="207"/>
      <c r="Z959" s="207"/>
      <c r="AA959" s="207"/>
      <c r="AB959" s="207"/>
    </row>
    <row r="960" spans="22:28" customFormat="1" ht="9.9499999999999993">
      <c r="V960" s="207"/>
      <c r="W960" s="207"/>
      <c r="X960" s="207"/>
      <c r="Y960" s="207"/>
      <c r="Z960" s="207"/>
      <c r="AA960" s="207"/>
      <c r="AB960" s="207"/>
    </row>
    <row r="961" spans="22:28" customFormat="1" ht="9.9499999999999993">
      <c r="V961" s="207"/>
      <c r="W961" s="207"/>
      <c r="X961" s="207"/>
      <c r="Y961" s="207"/>
      <c r="Z961" s="207"/>
      <c r="AA961" s="207"/>
      <c r="AB961" s="207"/>
    </row>
    <row r="962" spans="22:28" customFormat="1" ht="9.9499999999999993">
      <c r="V962" s="207"/>
      <c r="W962" s="207"/>
      <c r="X962" s="207"/>
      <c r="Y962" s="207"/>
      <c r="Z962" s="207"/>
      <c r="AA962" s="207"/>
      <c r="AB962" s="207"/>
    </row>
    <row r="963" spans="22:28" customFormat="1" ht="9.9499999999999993">
      <c r="V963" s="207"/>
      <c r="W963" s="207"/>
      <c r="X963" s="207"/>
      <c r="Y963" s="207"/>
      <c r="Z963" s="207"/>
      <c r="AA963" s="207"/>
      <c r="AB963" s="207"/>
    </row>
    <row r="964" spans="22:28" customFormat="1" ht="9.9499999999999993">
      <c r="V964" s="207"/>
      <c r="W964" s="207"/>
      <c r="X964" s="207"/>
      <c r="Y964" s="207"/>
      <c r="Z964" s="207"/>
      <c r="AA964" s="207"/>
      <c r="AB964" s="207"/>
    </row>
    <row r="965" spans="22:28" customFormat="1" ht="9.9499999999999993">
      <c r="V965" s="207"/>
      <c r="W965" s="207"/>
      <c r="X965" s="207"/>
      <c r="Y965" s="207"/>
      <c r="Z965" s="207"/>
      <c r="AA965" s="207"/>
      <c r="AB965" s="207"/>
    </row>
    <row r="966" spans="22:28" customFormat="1" ht="9.9499999999999993">
      <c r="V966" s="207"/>
      <c r="W966" s="207"/>
      <c r="X966" s="207"/>
      <c r="Y966" s="207"/>
      <c r="Z966" s="207"/>
      <c r="AA966" s="207"/>
      <c r="AB966" s="207"/>
    </row>
    <row r="967" spans="22:28" customFormat="1" ht="9.9499999999999993">
      <c r="V967" s="207"/>
      <c r="W967" s="207"/>
      <c r="X967" s="207"/>
      <c r="Y967" s="207"/>
      <c r="Z967" s="207"/>
      <c r="AA967" s="207"/>
      <c r="AB967" s="207"/>
    </row>
    <row r="968" spans="22:28" customFormat="1" ht="9.9499999999999993">
      <c r="V968" s="207"/>
      <c r="W968" s="207"/>
      <c r="X968" s="207"/>
      <c r="Y968" s="207"/>
      <c r="Z968" s="207"/>
      <c r="AA968" s="207"/>
      <c r="AB968" s="207"/>
    </row>
    <row r="969" spans="22:28" customFormat="1" ht="9.9499999999999993">
      <c r="V969" s="207"/>
      <c r="W969" s="207"/>
      <c r="X969" s="207"/>
      <c r="Y969" s="207"/>
      <c r="Z969" s="207"/>
      <c r="AA969" s="207"/>
      <c r="AB969" s="207"/>
    </row>
    <row r="970" spans="22:28" customFormat="1" ht="9.9499999999999993">
      <c r="V970" s="207"/>
      <c r="W970" s="207"/>
      <c r="X970" s="207"/>
      <c r="Y970" s="207"/>
      <c r="Z970" s="207"/>
      <c r="AA970" s="207"/>
      <c r="AB970" s="207"/>
    </row>
    <row r="971" spans="22:28" customFormat="1" ht="9.9499999999999993">
      <c r="V971" s="207"/>
      <c r="W971" s="207"/>
      <c r="X971" s="207"/>
      <c r="Y971" s="207"/>
      <c r="Z971" s="207"/>
      <c r="AA971" s="207"/>
      <c r="AB971" s="207"/>
    </row>
    <row r="972" spans="22:28" customFormat="1" ht="9.9499999999999993">
      <c r="V972" s="207"/>
      <c r="W972" s="207"/>
      <c r="X972" s="207"/>
      <c r="Y972" s="207"/>
      <c r="Z972" s="207"/>
      <c r="AA972" s="207"/>
      <c r="AB972" s="207"/>
    </row>
    <row r="973" spans="22:28" customFormat="1" ht="9.9499999999999993">
      <c r="V973" s="207"/>
      <c r="W973" s="207"/>
      <c r="X973" s="207"/>
      <c r="Y973" s="207"/>
      <c r="Z973" s="207"/>
      <c r="AA973" s="207"/>
      <c r="AB973" s="207"/>
    </row>
    <row r="974" spans="22:28" customFormat="1" ht="9.9499999999999993">
      <c r="V974" s="207"/>
      <c r="W974" s="207"/>
      <c r="X974" s="207"/>
      <c r="Y974" s="207"/>
      <c r="Z974" s="207"/>
      <c r="AA974" s="207"/>
      <c r="AB974" s="207"/>
    </row>
    <row r="975" spans="22:28" customFormat="1" ht="9.9499999999999993">
      <c r="V975" s="207"/>
      <c r="W975" s="207"/>
      <c r="X975" s="207"/>
      <c r="Y975" s="207"/>
      <c r="Z975" s="207"/>
      <c r="AA975" s="207"/>
      <c r="AB975" s="207"/>
    </row>
    <row r="976" spans="22:28" customFormat="1" ht="9.9499999999999993">
      <c r="V976" s="207"/>
      <c r="W976" s="207"/>
      <c r="X976" s="207"/>
      <c r="Y976" s="207"/>
      <c r="Z976" s="207"/>
      <c r="AA976" s="207"/>
      <c r="AB976" s="207"/>
    </row>
    <row r="977" spans="22:28" customFormat="1" ht="9.9499999999999993">
      <c r="V977" s="207"/>
      <c r="W977" s="207"/>
      <c r="X977" s="207"/>
      <c r="Y977" s="207"/>
      <c r="Z977" s="207"/>
      <c r="AA977" s="207"/>
      <c r="AB977" s="207"/>
    </row>
    <row r="978" spans="22:28" customFormat="1" ht="9.9499999999999993">
      <c r="V978" s="207"/>
      <c r="W978" s="207"/>
      <c r="X978" s="207"/>
      <c r="Y978" s="207"/>
      <c r="Z978" s="207"/>
      <c r="AA978" s="207"/>
      <c r="AB978" s="207"/>
    </row>
    <row r="979" spans="22:28" customFormat="1" ht="9.9499999999999993">
      <c r="V979" s="207"/>
      <c r="W979" s="207"/>
      <c r="X979" s="207"/>
      <c r="Y979" s="207"/>
      <c r="Z979" s="207"/>
      <c r="AA979" s="207"/>
      <c r="AB979" s="207"/>
    </row>
    <row r="980" spans="22:28" customFormat="1" ht="9.9499999999999993">
      <c r="V980" s="207"/>
      <c r="W980" s="207"/>
      <c r="X980" s="207"/>
      <c r="Y980" s="207"/>
      <c r="Z980" s="207"/>
      <c r="AA980" s="207"/>
      <c r="AB980" s="207"/>
    </row>
    <row r="981" spans="22:28" customFormat="1" ht="9.9499999999999993">
      <c r="V981" s="207"/>
      <c r="W981" s="207"/>
      <c r="X981" s="207"/>
      <c r="Y981" s="207"/>
      <c r="Z981" s="207"/>
      <c r="AA981" s="207"/>
      <c r="AB981" s="207"/>
    </row>
    <row r="982" spans="22:28" customFormat="1" ht="9.9499999999999993">
      <c r="V982" s="207"/>
      <c r="W982" s="207"/>
      <c r="X982" s="207"/>
      <c r="Y982" s="207"/>
      <c r="Z982" s="207"/>
      <c r="AA982" s="207"/>
      <c r="AB982" s="207"/>
    </row>
    <row r="983" spans="22:28" customFormat="1" ht="9.9499999999999993">
      <c r="V983" s="207"/>
      <c r="W983" s="207"/>
      <c r="X983" s="207"/>
      <c r="Y983" s="207"/>
      <c r="Z983" s="207"/>
      <c r="AA983" s="207"/>
      <c r="AB983" s="207"/>
    </row>
    <row r="984" spans="22:28" customFormat="1" ht="9.9499999999999993">
      <c r="V984" s="207"/>
      <c r="W984" s="207"/>
      <c r="X984" s="207"/>
      <c r="Y984" s="207"/>
      <c r="Z984" s="207"/>
      <c r="AA984" s="207"/>
      <c r="AB984" s="207"/>
    </row>
    <row r="985" spans="22:28" customFormat="1" ht="9.9499999999999993">
      <c r="V985" s="207"/>
      <c r="W985" s="207"/>
      <c r="X985" s="207"/>
      <c r="Y985" s="207"/>
      <c r="Z985" s="207"/>
      <c r="AA985" s="207"/>
      <c r="AB985" s="207"/>
    </row>
    <row r="986" spans="22:28" customFormat="1" ht="9.9499999999999993">
      <c r="V986" s="207"/>
      <c r="W986" s="207"/>
      <c r="X986" s="207"/>
      <c r="Y986" s="207"/>
      <c r="Z986" s="207"/>
      <c r="AA986" s="207"/>
      <c r="AB986" s="207"/>
    </row>
    <row r="987" spans="22:28" customFormat="1" ht="9.9499999999999993">
      <c r="V987" s="207"/>
      <c r="W987" s="207"/>
      <c r="X987" s="207"/>
      <c r="Y987" s="207"/>
      <c r="Z987" s="207"/>
      <c r="AA987" s="207"/>
      <c r="AB987" s="207"/>
    </row>
    <row r="988" spans="22:28" customFormat="1" ht="9.9499999999999993">
      <c r="V988" s="207"/>
      <c r="W988" s="207"/>
      <c r="X988" s="207"/>
      <c r="Y988" s="207"/>
      <c r="Z988" s="207"/>
      <c r="AA988" s="207"/>
      <c r="AB988" s="207"/>
    </row>
    <row r="989" spans="22:28" customFormat="1" ht="9.9499999999999993">
      <c r="V989" s="207"/>
      <c r="W989" s="207"/>
      <c r="X989" s="207"/>
      <c r="Y989" s="207"/>
      <c r="Z989" s="207"/>
      <c r="AA989" s="207"/>
      <c r="AB989" s="207"/>
    </row>
    <row r="990" spans="22:28" customFormat="1" ht="9.9499999999999993">
      <c r="V990" s="207"/>
      <c r="W990" s="207"/>
      <c r="X990" s="207"/>
      <c r="Y990" s="207"/>
      <c r="Z990" s="207"/>
      <c r="AA990" s="207"/>
      <c r="AB990" s="207"/>
    </row>
    <row r="991" spans="22:28" customFormat="1" ht="9.9499999999999993">
      <c r="V991" s="207"/>
      <c r="W991" s="207"/>
      <c r="X991" s="207"/>
      <c r="Y991" s="207"/>
      <c r="Z991" s="207"/>
      <c r="AA991" s="207"/>
      <c r="AB991" s="207"/>
    </row>
    <row r="992" spans="22:28" customFormat="1" ht="9.9499999999999993">
      <c r="V992" s="207"/>
      <c r="W992" s="207"/>
      <c r="X992" s="207"/>
      <c r="Y992" s="207"/>
      <c r="Z992" s="207"/>
      <c r="AA992" s="207"/>
      <c r="AB992" s="207"/>
    </row>
    <row r="993" spans="22:28" customFormat="1" ht="9.9499999999999993">
      <c r="V993" s="207"/>
      <c r="W993" s="207"/>
      <c r="X993" s="207"/>
      <c r="Y993" s="207"/>
      <c r="Z993" s="207"/>
      <c r="AA993" s="207"/>
      <c r="AB993" s="207"/>
    </row>
    <row r="994" spans="22:28" customFormat="1" ht="9.9499999999999993">
      <c r="V994" s="207"/>
      <c r="W994" s="207"/>
      <c r="X994" s="207"/>
      <c r="Y994" s="207"/>
      <c r="Z994" s="207"/>
      <c r="AA994" s="207"/>
      <c r="AB994" s="207"/>
    </row>
    <row r="995" spans="22:28" customFormat="1" ht="9.9499999999999993">
      <c r="V995" s="207"/>
      <c r="W995" s="207"/>
      <c r="X995" s="207"/>
      <c r="Y995" s="207"/>
      <c r="Z995" s="207"/>
      <c r="AA995" s="207"/>
      <c r="AB995" s="207"/>
    </row>
    <row r="996" spans="22:28" customFormat="1" ht="9.9499999999999993">
      <c r="V996" s="207"/>
      <c r="W996" s="207"/>
      <c r="X996" s="207"/>
      <c r="Y996" s="207"/>
      <c r="Z996" s="207"/>
      <c r="AA996" s="207"/>
      <c r="AB996" s="207"/>
    </row>
    <row r="997" spans="22:28" customFormat="1" ht="9.9499999999999993">
      <c r="V997" s="207"/>
      <c r="W997" s="207"/>
      <c r="X997" s="207"/>
      <c r="Y997" s="207"/>
      <c r="Z997" s="207"/>
      <c r="AA997" s="207"/>
      <c r="AB997" s="207"/>
    </row>
    <row r="998" spans="22:28" customFormat="1" ht="9.9499999999999993">
      <c r="V998" s="207"/>
      <c r="W998" s="207"/>
      <c r="X998" s="207"/>
      <c r="Y998" s="207"/>
      <c r="Z998" s="207"/>
      <c r="AA998" s="207"/>
      <c r="AB998" s="207"/>
    </row>
    <row r="999" spans="22:28" customFormat="1" ht="9.9499999999999993">
      <c r="V999" s="207"/>
      <c r="W999" s="207"/>
      <c r="X999" s="207"/>
      <c r="Y999" s="207"/>
      <c r="Z999" s="207"/>
      <c r="AA999" s="207"/>
      <c r="AB999" s="207"/>
    </row>
    <row r="1000" spans="22:28" customFormat="1" ht="9.9499999999999993">
      <c r="V1000" s="207"/>
      <c r="W1000" s="207"/>
      <c r="X1000" s="207"/>
      <c r="Y1000" s="207"/>
      <c r="Z1000" s="207"/>
      <c r="AA1000" s="207"/>
      <c r="AB1000" s="207"/>
    </row>
    <row r="1001" spans="22:28" customFormat="1" ht="9.9499999999999993">
      <c r="V1001" s="207"/>
      <c r="W1001" s="207"/>
      <c r="X1001" s="207"/>
      <c r="Y1001" s="207"/>
      <c r="Z1001" s="207"/>
      <c r="AA1001" s="207"/>
      <c r="AB1001" s="207"/>
    </row>
    <row r="1002" spans="22:28" customFormat="1" ht="9.9499999999999993">
      <c r="V1002" s="207"/>
      <c r="W1002" s="207"/>
      <c r="X1002" s="207"/>
      <c r="Y1002" s="207"/>
      <c r="Z1002" s="207"/>
      <c r="AA1002" s="207"/>
      <c r="AB1002" s="207"/>
    </row>
    <row r="1003" spans="22:28" customFormat="1" ht="9.9499999999999993">
      <c r="V1003" s="207"/>
      <c r="W1003" s="207"/>
      <c r="X1003" s="207"/>
      <c r="Y1003" s="207"/>
      <c r="Z1003" s="207"/>
      <c r="AA1003" s="207"/>
      <c r="AB1003" s="207"/>
    </row>
    <row r="1004" spans="22:28" customFormat="1" ht="9.9499999999999993">
      <c r="V1004" s="207"/>
      <c r="W1004" s="207"/>
      <c r="X1004" s="207"/>
      <c r="Y1004" s="207"/>
      <c r="Z1004" s="207"/>
      <c r="AA1004" s="207"/>
      <c r="AB1004" s="207"/>
    </row>
    <row r="1005" spans="22:28" customFormat="1" ht="9.9499999999999993">
      <c r="V1005" s="207"/>
      <c r="W1005" s="207"/>
      <c r="X1005" s="207"/>
      <c r="Y1005" s="207"/>
      <c r="Z1005" s="207"/>
      <c r="AA1005" s="207"/>
      <c r="AB1005" s="207"/>
    </row>
    <row r="1006" spans="22:28" customFormat="1" ht="9.9499999999999993">
      <c r="V1006" s="207"/>
      <c r="W1006" s="207"/>
      <c r="X1006" s="207"/>
      <c r="Y1006" s="207"/>
      <c r="Z1006" s="207"/>
      <c r="AA1006" s="207"/>
      <c r="AB1006" s="207"/>
    </row>
    <row r="1007" spans="22:28" customFormat="1" ht="9.9499999999999993">
      <c r="V1007" s="207"/>
      <c r="W1007" s="207"/>
      <c r="X1007" s="207"/>
      <c r="Y1007" s="207"/>
      <c r="Z1007" s="207"/>
      <c r="AA1007" s="207"/>
      <c r="AB1007" s="207"/>
    </row>
    <row r="1008" spans="22:28" customFormat="1" ht="9.9499999999999993">
      <c r="V1008" s="207"/>
      <c r="W1008" s="207"/>
      <c r="X1008" s="207"/>
      <c r="Y1008" s="207"/>
      <c r="Z1008" s="207"/>
      <c r="AA1008" s="207"/>
      <c r="AB1008" s="207"/>
    </row>
    <row r="1009" spans="22:28" customFormat="1" ht="9.9499999999999993">
      <c r="V1009" s="207"/>
      <c r="W1009" s="207"/>
      <c r="X1009" s="207"/>
      <c r="Y1009" s="207"/>
      <c r="Z1009" s="207"/>
      <c r="AA1009" s="207"/>
      <c r="AB1009" s="207"/>
    </row>
    <row r="1010" spans="22:28" customFormat="1" ht="9.9499999999999993">
      <c r="V1010" s="207"/>
      <c r="W1010" s="207"/>
      <c r="X1010" s="207"/>
      <c r="Y1010" s="207"/>
      <c r="Z1010" s="207"/>
      <c r="AA1010" s="207"/>
      <c r="AB1010" s="207"/>
    </row>
    <row r="1011" spans="22:28" customFormat="1" ht="9.9499999999999993">
      <c r="V1011" s="207"/>
      <c r="W1011" s="207"/>
      <c r="X1011" s="207"/>
      <c r="Y1011" s="207"/>
      <c r="Z1011" s="207"/>
      <c r="AA1011" s="207"/>
      <c r="AB1011" s="207"/>
    </row>
    <row r="1012" spans="22:28" customFormat="1" ht="9.9499999999999993">
      <c r="V1012" s="207"/>
      <c r="W1012" s="207"/>
      <c r="X1012" s="207"/>
      <c r="Y1012" s="207"/>
      <c r="Z1012" s="207"/>
      <c r="AA1012" s="207"/>
      <c r="AB1012" s="207"/>
    </row>
    <row r="1013" spans="22:28" customFormat="1" ht="9.9499999999999993">
      <c r="V1013" s="207"/>
      <c r="W1013" s="207"/>
      <c r="X1013" s="207"/>
      <c r="Y1013" s="207"/>
      <c r="Z1013" s="207"/>
      <c r="AA1013" s="207"/>
      <c r="AB1013" s="207"/>
    </row>
    <row r="1014" spans="22:28" customFormat="1" ht="9.9499999999999993">
      <c r="V1014" s="207"/>
      <c r="W1014" s="207"/>
      <c r="X1014" s="207"/>
      <c r="Y1014" s="207"/>
      <c r="Z1014" s="207"/>
      <c r="AA1014" s="207"/>
      <c r="AB1014" s="207"/>
    </row>
    <row r="1015" spans="22:28" customFormat="1" ht="9.9499999999999993">
      <c r="V1015" s="207"/>
      <c r="W1015" s="207"/>
      <c r="X1015" s="207"/>
      <c r="Y1015" s="207"/>
      <c r="Z1015" s="207"/>
      <c r="AA1015" s="207"/>
      <c r="AB1015" s="207"/>
    </row>
    <row r="1016" spans="22:28" customFormat="1" ht="9.9499999999999993">
      <c r="V1016" s="207"/>
      <c r="W1016" s="207"/>
      <c r="X1016" s="207"/>
      <c r="Y1016" s="207"/>
      <c r="Z1016" s="207"/>
      <c r="AA1016" s="207"/>
      <c r="AB1016" s="207"/>
    </row>
    <row r="1017" spans="22:28" customFormat="1" ht="9.9499999999999993">
      <c r="V1017" s="207"/>
      <c r="W1017" s="207"/>
      <c r="X1017" s="207"/>
      <c r="Y1017" s="207"/>
      <c r="Z1017" s="207"/>
      <c r="AA1017" s="207"/>
      <c r="AB1017" s="207"/>
    </row>
    <row r="1018" spans="22:28" customFormat="1" ht="9.9499999999999993">
      <c r="V1018" s="207"/>
      <c r="W1018" s="207"/>
      <c r="X1018" s="207"/>
      <c r="Y1018" s="207"/>
      <c r="Z1018" s="207"/>
      <c r="AA1018" s="207"/>
      <c r="AB1018" s="207"/>
    </row>
    <row r="1019" spans="22:28" customFormat="1" ht="9.9499999999999993">
      <c r="V1019" s="207"/>
      <c r="W1019" s="207"/>
      <c r="X1019" s="207"/>
      <c r="Y1019" s="207"/>
      <c r="Z1019" s="207"/>
      <c r="AA1019" s="207"/>
      <c r="AB1019" s="207"/>
    </row>
    <row r="1020" spans="22:28" customFormat="1" ht="9.9499999999999993">
      <c r="V1020" s="207"/>
      <c r="W1020" s="207"/>
      <c r="X1020" s="207"/>
      <c r="Y1020" s="207"/>
      <c r="Z1020" s="207"/>
      <c r="AA1020" s="207"/>
      <c r="AB1020" s="207"/>
    </row>
    <row r="1021" spans="22:28" customFormat="1" ht="9.9499999999999993">
      <c r="V1021" s="207"/>
      <c r="W1021" s="207"/>
      <c r="X1021" s="207"/>
      <c r="Y1021" s="207"/>
      <c r="Z1021" s="207"/>
      <c r="AA1021" s="207"/>
      <c r="AB1021" s="207"/>
    </row>
    <row r="1022" spans="22:28" customFormat="1" ht="9.9499999999999993">
      <c r="V1022" s="207"/>
      <c r="W1022" s="207"/>
      <c r="X1022" s="207"/>
      <c r="Y1022" s="207"/>
      <c r="Z1022" s="207"/>
      <c r="AA1022" s="207"/>
      <c r="AB1022" s="207"/>
    </row>
    <row r="1023" spans="22:28" customFormat="1" ht="9.9499999999999993">
      <c r="V1023" s="207"/>
      <c r="W1023" s="207"/>
      <c r="X1023" s="207"/>
      <c r="Y1023" s="207"/>
      <c r="Z1023" s="207"/>
      <c r="AA1023" s="207"/>
      <c r="AB1023" s="207"/>
    </row>
    <row r="1024" spans="22:28" customFormat="1" ht="9.9499999999999993">
      <c r="V1024" s="207"/>
      <c r="W1024" s="207"/>
      <c r="X1024" s="207"/>
      <c r="Y1024" s="207"/>
      <c r="Z1024" s="207"/>
      <c r="AA1024" s="207"/>
      <c r="AB1024" s="207"/>
    </row>
    <row r="1025" spans="22:28" customFormat="1" ht="9.9499999999999993">
      <c r="V1025" s="207"/>
      <c r="W1025" s="207"/>
      <c r="X1025" s="207"/>
      <c r="Y1025" s="207"/>
      <c r="Z1025" s="207"/>
      <c r="AA1025" s="207"/>
      <c r="AB1025" s="207"/>
    </row>
    <row r="1026" spans="22:28" customFormat="1" ht="9.9499999999999993">
      <c r="V1026" s="207"/>
      <c r="W1026" s="207"/>
      <c r="X1026" s="207"/>
      <c r="Y1026" s="207"/>
      <c r="Z1026" s="207"/>
      <c r="AA1026" s="207"/>
      <c r="AB1026" s="207"/>
    </row>
    <row r="1027" spans="22:28" customFormat="1" ht="9.9499999999999993">
      <c r="V1027" s="207"/>
      <c r="W1027" s="207"/>
      <c r="X1027" s="207"/>
      <c r="Y1027" s="207"/>
      <c r="Z1027" s="207"/>
      <c r="AA1027" s="207"/>
      <c r="AB1027" s="207"/>
    </row>
    <row r="1028" spans="22:28" customFormat="1" ht="9.9499999999999993">
      <c r="V1028" s="207"/>
      <c r="W1028" s="207"/>
      <c r="X1028" s="207"/>
      <c r="Y1028" s="207"/>
      <c r="Z1028" s="207"/>
      <c r="AA1028" s="207"/>
      <c r="AB1028" s="207"/>
    </row>
    <row r="1029" spans="22:28" customFormat="1" ht="9.9499999999999993">
      <c r="V1029" s="207"/>
      <c r="W1029" s="207"/>
      <c r="X1029" s="207"/>
      <c r="Y1029" s="207"/>
      <c r="Z1029" s="207"/>
      <c r="AA1029" s="207"/>
      <c r="AB1029" s="207"/>
    </row>
    <row r="1030" spans="22:28" customFormat="1" ht="9.9499999999999993">
      <c r="V1030" s="207"/>
      <c r="W1030" s="207"/>
      <c r="X1030" s="207"/>
      <c r="Y1030" s="207"/>
      <c r="Z1030" s="207"/>
      <c r="AA1030" s="207"/>
      <c r="AB1030" s="207"/>
    </row>
    <row r="1031" spans="22:28" customFormat="1" ht="9.9499999999999993">
      <c r="V1031" s="207"/>
      <c r="W1031" s="207"/>
      <c r="X1031" s="207"/>
      <c r="Y1031" s="207"/>
      <c r="Z1031" s="207"/>
      <c r="AA1031" s="207"/>
      <c r="AB1031" s="207"/>
    </row>
    <row r="1032" spans="22:28" customFormat="1" ht="9.9499999999999993">
      <c r="V1032" s="207"/>
      <c r="W1032" s="207"/>
      <c r="X1032" s="207"/>
      <c r="Y1032" s="207"/>
      <c r="Z1032" s="207"/>
      <c r="AA1032" s="207"/>
      <c r="AB1032" s="207"/>
    </row>
    <row r="1033" spans="22:28" customFormat="1" ht="9.9499999999999993">
      <c r="V1033" s="207"/>
      <c r="W1033" s="207"/>
      <c r="X1033" s="207"/>
      <c r="Y1033" s="207"/>
      <c r="Z1033" s="207"/>
      <c r="AA1033" s="207"/>
      <c r="AB1033" s="207"/>
    </row>
    <row r="1034" spans="22:28" customFormat="1" ht="9.9499999999999993">
      <c r="V1034" s="207"/>
      <c r="W1034" s="207"/>
      <c r="X1034" s="207"/>
      <c r="Y1034" s="207"/>
      <c r="Z1034" s="207"/>
      <c r="AA1034" s="207"/>
      <c r="AB1034" s="207"/>
    </row>
    <row r="1035" spans="22:28" customFormat="1" ht="9.9499999999999993">
      <c r="V1035" s="207"/>
      <c r="W1035" s="207"/>
      <c r="X1035" s="207"/>
      <c r="Y1035" s="207"/>
      <c r="Z1035" s="207"/>
      <c r="AA1035" s="207"/>
      <c r="AB1035" s="207"/>
    </row>
    <row r="1036" spans="22:28" customFormat="1" ht="9.9499999999999993">
      <c r="V1036" s="207"/>
      <c r="W1036" s="207"/>
      <c r="X1036" s="207"/>
      <c r="Y1036" s="207"/>
      <c r="Z1036" s="207"/>
      <c r="AA1036" s="207"/>
      <c r="AB1036" s="207"/>
    </row>
    <row r="1037" spans="22:28" customFormat="1" ht="9.9499999999999993">
      <c r="V1037" s="207"/>
      <c r="W1037" s="207"/>
      <c r="X1037" s="207"/>
      <c r="Y1037" s="207"/>
      <c r="Z1037" s="207"/>
      <c r="AA1037" s="207"/>
      <c r="AB1037" s="207"/>
    </row>
    <row r="1038" spans="22:28" customFormat="1" ht="9.9499999999999993">
      <c r="V1038" s="207"/>
      <c r="W1038" s="207"/>
      <c r="X1038" s="207"/>
      <c r="Y1038" s="207"/>
      <c r="Z1038" s="207"/>
      <c r="AA1038" s="207"/>
      <c r="AB1038" s="207"/>
    </row>
    <row r="1039" spans="22:28" customFormat="1" ht="9.9499999999999993">
      <c r="V1039" s="207"/>
      <c r="W1039" s="207"/>
      <c r="X1039" s="207"/>
      <c r="Y1039" s="207"/>
      <c r="Z1039" s="207"/>
      <c r="AA1039" s="207"/>
      <c r="AB1039" s="207"/>
    </row>
    <row r="1040" spans="22:28" customFormat="1" ht="9.9499999999999993">
      <c r="V1040" s="207"/>
      <c r="W1040" s="207"/>
      <c r="X1040" s="207"/>
      <c r="Y1040" s="207"/>
      <c r="Z1040" s="207"/>
      <c r="AA1040" s="207"/>
      <c r="AB1040" s="207"/>
    </row>
    <row r="1041" spans="22:28" customFormat="1" ht="9.9499999999999993">
      <c r="V1041" s="207"/>
      <c r="W1041" s="207"/>
      <c r="X1041" s="207"/>
      <c r="Y1041" s="207"/>
      <c r="Z1041" s="207"/>
      <c r="AA1041" s="207"/>
      <c r="AB1041" s="207"/>
    </row>
    <row r="1042" spans="22:28" customFormat="1" ht="9.9499999999999993">
      <c r="V1042" s="207"/>
      <c r="W1042" s="207"/>
      <c r="X1042" s="207"/>
      <c r="Y1042" s="207"/>
      <c r="Z1042" s="207"/>
      <c r="AA1042" s="207"/>
      <c r="AB1042" s="207"/>
    </row>
    <row r="1043" spans="22:28" customFormat="1" ht="9.9499999999999993">
      <c r="V1043" s="207"/>
      <c r="W1043" s="207"/>
      <c r="X1043" s="207"/>
      <c r="Y1043" s="207"/>
      <c r="Z1043" s="207"/>
      <c r="AA1043" s="207"/>
      <c r="AB1043" s="207"/>
    </row>
    <row r="1044" spans="22:28" customFormat="1" ht="9.9499999999999993">
      <c r="V1044" s="207"/>
      <c r="W1044" s="207"/>
      <c r="X1044" s="207"/>
      <c r="Y1044" s="207"/>
      <c r="Z1044" s="207"/>
      <c r="AA1044" s="207"/>
      <c r="AB1044" s="207"/>
    </row>
    <row r="1045" spans="22:28" customFormat="1" ht="9.9499999999999993">
      <c r="V1045" s="207"/>
      <c r="W1045" s="207"/>
      <c r="X1045" s="207"/>
      <c r="Y1045" s="207"/>
      <c r="Z1045" s="207"/>
      <c r="AA1045" s="207"/>
      <c r="AB1045" s="207"/>
    </row>
    <row r="1046" spans="22:28" customFormat="1" ht="9.9499999999999993">
      <c r="V1046" s="207"/>
      <c r="W1046" s="207"/>
      <c r="X1046" s="207"/>
      <c r="Y1046" s="207"/>
      <c r="Z1046" s="207"/>
      <c r="AA1046" s="207"/>
      <c r="AB1046" s="207"/>
    </row>
    <row r="1047" spans="22:28" customFormat="1" ht="9.9499999999999993">
      <c r="V1047" s="207"/>
      <c r="W1047" s="207"/>
      <c r="X1047" s="207"/>
      <c r="Y1047" s="207"/>
      <c r="Z1047" s="207"/>
      <c r="AA1047" s="207"/>
      <c r="AB1047" s="207"/>
    </row>
    <row r="1048" spans="22:28" customFormat="1" ht="9.9499999999999993">
      <c r="V1048" s="207"/>
      <c r="W1048" s="207"/>
      <c r="X1048" s="207"/>
      <c r="Y1048" s="207"/>
      <c r="Z1048" s="207"/>
      <c r="AA1048" s="207"/>
      <c r="AB1048" s="207"/>
    </row>
    <row r="1049" spans="22:28" customFormat="1" ht="9.9499999999999993">
      <c r="V1049" s="207"/>
      <c r="W1049" s="207"/>
      <c r="X1049" s="207"/>
      <c r="Y1049" s="207"/>
      <c r="Z1049" s="207"/>
      <c r="AA1049" s="207"/>
      <c r="AB1049" s="207"/>
    </row>
    <row r="1050" spans="22:28" customFormat="1" ht="9.9499999999999993">
      <c r="V1050" s="207"/>
      <c r="W1050" s="207"/>
      <c r="X1050" s="207"/>
      <c r="Y1050" s="207"/>
      <c r="Z1050" s="207"/>
      <c r="AA1050" s="207"/>
      <c r="AB1050" s="207"/>
    </row>
    <row r="1051" spans="22:28" customFormat="1" ht="9.9499999999999993">
      <c r="V1051" s="207"/>
      <c r="W1051" s="207"/>
      <c r="X1051" s="207"/>
      <c r="Y1051" s="207"/>
      <c r="Z1051" s="207"/>
      <c r="AA1051" s="207"/>
      <c r="AB1051" s="207"/>
    </row>
    <row r="1052" spans="22:28" customFormat="1" ht="9.9499999999999993">
      <c r="V1052" s="207"/>
      <c r="W1052" s="207"/>
      <c r="X1052" s="207"/>
      <c r="Y1052" s="207"/>
      <c r="Z1052" s="207"/>
      <c r="AA1052" s="207"/>
      <c r="AB1052" s="207"/>
    </row>
    <row r="1053" spans="22:28" customFormat="1" ht="9.9499999999999993">
      <c r="V1053" s="207"/>
      <c r="W1053" s="207"/>
      <c r="X1053" s="207"/>
      <c r="Y1053" s="207"/>
      <c r="Z1053" s="207"/>
      <c r="AA1053" s="207"/>
      <c r="AB1053" s="207"/>
    </row>
    <row r="1054" spans="22:28" customFormat="1" ht="9.9499999999999993">
      <c r="V1054" s="207"/>
      <c r="W1054" s="207"/>
      <c r="X1054" s="207"/>
      <c r="Y1054" s="207"/>
      <c r="Z1054" s="207"/>
      <c r="AA1054" s="207"/>
      <c r="AB1054" s="207"/>
    </row>
    <row r="1055" spans="22:28" customFormat="1" ht="9.9499999999999993">
      <c r="V1055" s="207"/>
      <c r="W1055" s="207"/>
      <c r="X1055" s="207"/>
      <c r="Y1055" s="207"/>
      <c r="Z1055" s="207"/>
      <c r="AA1055" s="207"/>
      <c r="AB1055" s="207"/>
    </row>
    <row r="1056" spans="22:28" customFormat="1" ht="9.9499999999999993">
      <c r="V1056" s="207"/>
      <c r="W1056" s="207"/>
      <c r="X1056" s="207"/>
      <c r="Y1056" s="207"/>
      <c r="Z1056" s="207"/>
      <c r="AA1056" s="207"/>
      <c r="AB1056" s="207"/>
    </row>
    <row r="1057" spans="22:28" customFormat="1" ht="9.9499999999999993">
      <c r="V1057" s="207"/>
      <c r="W1057" s="207"/>
      <c r="X1057" s="207"/>
      <c r="Y1057" s="207"/>
      <c r="Z1057" s="207"/>
      <c r="AA1057" s="207"/>
      <c r="AB1057" s="207"/>
    </row>
    <row r="1058" spans="22:28" customFormat="1" ht="9.9499999999999993">
      <c r="V1058" s="207"/>
      <c r="W1058" s="207"/>
      <c r="X1058" s="207"/>
      <c r="Y1058" s="207"/>
      <c r="Z1058" s="207"/>
      <c r="AA1058" s="207"/>
      <c r="AB1058" s="207"/>
    </row>
    <row r="1059" spans="22:28" customFormat="1" ht="9.9499999999999993">
      <c r="V1059" s="207"/>
      <c r="W1059" s="207"/>
      <c r="X1059" s="207"/>
      <c r="Y1059" s="207"/>
      <c r="Z1059" s="207"/>
      <c r="AA1059" s="207"/>
      <c r="AB1059" s="207"/>
    </row>
    <row r="1060" spans="22:28" customFormat="1" ht="9.9499999999999993">
      <c r="V1060" s="207"/>
      <c r="W1060" s="207"/>
      <c r="X1060" s="207"/>
      <c r="Y1060" s="207"/>
      <c r="Z1060" s="207"/>
      <c r="AA1060" s="207"/>
      <c r="AB1060" s="207"/>
    </row>
    <row r="1061" spans="22:28" customFormat="1" ht="9.9499999999999993">
      <c r="V1061" s="207"/>
      <c r="W1061" s="207"/>
      <c r="X1061" s="207"/>
      <c r="Y1061" s="207"/>
      <c r="Z1061" s="207"/>
      <c r="AA1061" s="207"/>
      <c r="AB1061" s="207"/>
    </row>
    <row r="1062" spans="22:28" customFormat="1" ht="9.9499999999999993">
      <c r="V1062" s="207"/>
      <c r="W1062" s="207"/>
      <c r="X1062" s="207"/>
      <c r="Y1062" s="207"/>
      <c r="Z1062" s="207"/>
      <c r="AA1062" s="207"/>
      <c r="AB1062" s="207"/>
    </row>
    <row r="1063" spans="22:28" customFormat="1" ht="9.9499999999999993">
      <c r="V1063" s="207"/>
      <c r="W1063" s="207"/>
      <c r="X1063" s="207"/>
      <c r="Y1063" s="207"/>
      <c r="Z1063" s="207"/>
      <c r="AA1063" s="207"/>
      <c r="AB1063" s="207"/>
    </row>
    <row r="1064" spans="22:28" customFormat="1" ht="9.9499999999999993">
      <c r="V1064" s="207"/>
      <c r="W1064" s="207"/>
      <c r="X1064" s="207"/>
      <c r="Y1064" s="207"/>
      <c r="Z1064" s="207"/>
      <c r="AA1064" s="207"/>
      <c r="AB1064" s="207"/>
    </row>
    <row r="1065" spans="22:28" customFormat="1" ht="9.9499999999999993">
      <c r="V1065" s="207"/>
      <c r="W1065" s="207"/>
      <c r="X1065" s="207"/>
      <c r="Y1065" s="207"/>
      <c r="Z1065" s="207"/>
      <c r="AA1065" s="207"/>
      <c r="AB1065" s="207"/>
    </row>
    <row r="1066" spans="22:28" customFormat="1" ht="9.9499999999999993">
      <c r="V1066" s="207"/>
      <c r="W1066" s="207"/>
      <c r="X1066" s="207"/>
      <c r="Y1066" s="207"/>
      <c r="Z1066" s="207"/>
      <c r="AA1066" s="207"/>
      <c r="AB1066" s="207"/>
    </row>
    <row r="1067" spans="22:28" customFormat="1" ht="9.9499999999999993">
      <c r="V1067" s="207"/>
      <c r="W1067" s="207"/>
      <c r="X1067" s="207"/>
      <c r="Y1067" s="207"/>
      <c r="Z1067" s="207"/>
      <c r="AA1067" s="207"/>
      <c r="AB1067" s="207"/>
    </row>
    <row r="1068" spans="22:28" customFormat="1" ht="9.9499999999999993">
      <c r="V1068" s="207"/>
      <c r="W1068" s="207"/>
      <c r="X1068" s="207"/>
      <c r="Y1068" s="207"/>
      <c r="Z1068" s="207"/>
      <c r="AA1068" s="207"/>
      <c r="AB1068" s="207"/>
    </row>
    <row r="1069" spans="22:28" customFormat="1" ht="9.9499999999999993">
      <c r="V1069" s="207"/>
      <c r="W1069" s="207"/>
      <c r="X1069" s="207"/>
      <c r="Y1069" s="207"/>
      <c r="Z1069" s="207"/>
      <c r="AA1069" s="207"/>
      <c r="AB1069" s="207"/>
    </row>
    <row r="1070" spans="22:28" customFormat="1" ht="9.9499999999999993">
      <c r="V1070" s="207"/>
      <c r="W1070" s="207"/>
      <c r="X1070" s="207"/>
      <c r="Y1070" s="207"/>
      <c r="Z1070" s="207"/>
      <c r="AA1070" s="207"/>
      <c r="AB1070" s="207"/>
    </row>
    <row r="1071" spans="22:28" customFormat="1" ht="9.9499999999999993">
      <c r="V1071" s="207"/>
      <c r="W1071" s="207"/>
      <c r="X1071" s="207"/>
      <c r="Y1071" s="207"/>
      <c r="Z1071" s="207"/>
      <c r="AA1071" s="207"/>
      <c r="AB1071" s="207"/>
    </row>
    <row r="1072" spans="22:28" customFormat="1" ht="9.9499999999999993">
      <c r="V1072" s="207"/>
      <c r="W1072" s="207"/>
      <c r="X1072" s="207"/>
      <c r="Y1072" s="207"/>
      <c r="Z1072" s="207"/>
      <c r="AA1072" s="207"/>
      <c r="AB1072" s="207"/>
    </row>
    <row r="1073" spans="22:28" customFormat="1" ht="9.9499999999999993">
      <c r="V1073" s="207"/>
      <c r="W1073" s="207"/>
      <c r="X1073" s="207"/>
      <c r="Y1073" s="207"/>
      <c r="Z1073" s="207"/>
      <c r="AA1073" s="207"/>
      <c r="AB1073" s="207"/>
    </row>
    <row r="1074" spans="22:28" customFormat="1" ht="9.9499999999999993">
      <c r="V1074" s="207"/>
      <c r="W1074" s="207"/>
      <c r="X1074" s="207"/>
      <c r="Y1074" s="207"/>
      <c r="Z1074" s="207"/>
      <c r="AA1074" s="207"/>
      <c r="AB1074" s="207"/>
    </row>
    <row r="1075" spans="22:28" customFormat="1" ht="9.9499999999999993">
      <c r="V1075" s="207"/>
      <c r="W1075" s="207"/>
      <c r="X1075" s="207"/>
      <c r="Y1075" s="207"/>
      <c r="Z1075" s="207"/>
      <c r="AA1075" s="207"/>
      <c r="AB1075" s="207"/>
    </row>
    <row r="1076" spans="22:28" customFormat="1" ht="9.9499999999999993">
      <c r="V1076" s="207"/>
      <c r="W1076" s="207"/>
      <c r="X1076" s="207"/>
      <c r="Y1076" s="207"/>
      <c r="Z1076" s="207"/>
      <c r="AA1076" s="207"/>
      <c r="AB1076" s="207"/>
    </row>
    <row r="1077" spans="22:28" customFormat="1" ht="9.9499999999999993">
      <c r="V1077" s="207"/>
      <c r="W1077" s="207"/>
      <c r="X1077" s="207"/>
      <c r="Y1077" s="207"/>
      <c r="Z1077" s="207"/>
      <c r="AA1077" s="207"/>
      <c r="AB1077" s="207"/>
    </row>
    <row r="1078" spans="22:28" customFormat="1" ht="9.9499999999999993">
      <c r="V1078" s="207"/>
      <c r="W1078" s="207"/>
      <c r="X1078" s="207"/>
      <c r="Y1078" s="207"/>
      <c r="Z1078" s="207"/>
      <c r="AA1078" s="207"/>
      <c r="AB1078" s="207"/>
    </row>
    <row r="1079" spans="22:28" customFormat="1" ht="9.9499999999999993">
      <c r="V1079" s="207"/>
      <c r="W1079" s="207"/>
      <c r="X1079" s="207"/>
      <c r="Y1079" s="207"/>
      <c r="Z1079" s="207"/>
      <c r="AA1079" s="207"/>
      <c r="AB1079" s="207"/>
    </row>
    <row r="1080" spans="22:28" customFormat="1" ht="9.9499999999999993">
      <c r="V1080" s="207"/>
      <c r="W1080" s="207"/>
      <c r="X1080" s="207"/>
      <c r="Y1080" s="207"/>
      <c r="Z1080" s="207"/>
      <c r="AA1080" s="207"/>
      <c r="AB1080" s="207"/>
    </row>
    <row r="1081" spans="22:28" customFormat="1" ht="9.9499999999999993">
      <c r="V1081" s="207"/>
      <c r="W1081" s="207"/>
      <c r="X1081" s="207"/>
      <c r="Y1081" s="207"/>
      <c r="Z1081" s="207"/>
      <c r="AA1081" s="207"/>
      <c r="AB1081" s="207"/>
    </row>
    <row r="1082" spans="22:28" customFormat="1" ht="9.9499999999999993">
      <c r="V1082" s="207"/>
      <c r="W1082" s="207"/>
      <c r="X1082" s="207"/>
      <c r="Y1082" s="207"/>
      <c r="Z1082" s="207"/>
      <c r="AA1082" s="207"/>
      <c r="AB1082" s="207"/>
    </row>
    <row r="1083" spans="22:28" customFormat="1" ht="9.9499999999999993">
      <c r="V1083" s="207"/>
      <c r="W1083" s="207"/>
      <c r="X1083" s="207"/>
      <c r="Y1083" s="207"/>
      <c r="Z1083" s="207"/>
      <c r="AA1083" s="207"/>
      <c r="AB1083" s="207"/>
    </row>
    <row r="1084" spans="22:28" customFormat="1" ht="9.9499999999999993">
      <c r="V1084" s="207"/>
      <c r="W1084" s="207"/>
      <c r="X1084" s="207"/>
      <c r="Y1084" s="207"/>
      <c r="Z1084" s="207"/>
      <c r="AA1084" s="207"/>
      <c r="AB1084" s="207"/>
    </row>
    <row r="1085" spans="22:28" customFormat="1" ht="9.9499999999999993">
      <c r="V1085" s="207"/>
      <c r="W1085" s="207"/>
      <c r="X1085" s="207"/>
      <c r="Y1085" s="207"/>
      <c r="Z1085" s="207"/>
      <c r="AA1085" s="207"/>
      <c r="AB1085" s="207"/>
    </row>
    <row r="1086" spans="22:28" customFormat="1" ht="9.9499999999999993">
      <c r="V1086" s="207"/>
      <c r="W1086" s="207"/>
      <c r="X1086" s="207"/>
      <c r="Y1086" s="207"/>
      <c r="Z1086" s="207"/>
      <c r="AA1086" s="207"/>
      <c r="AB1086" s="207"/>
    </row>
    <row r="1087" spans="22:28" customFormat="1" ht="9.9499999999999993">
      <c r="V1087" s="207"/>
      <c r="W1087" s="207"/>
      <c r="X1087" s="207"/>
      <c r="Y1087" s="207"/>
      <c r="Z1087" s="207"/>
      <c r="AA1087" s="207"/>
      <c r="AB1087" s="207"/>
    </row>
    <row r="1088" spans="22:28" customFormat="1" ht="9.9499999999999993">
      <c r="V1088" s="207"/>
      <c r="W1088" s="207"/>
      <c r="X1088" s="207"/>
      <c r="Y1088" s="207"/>
      <c r="Z1088" s="207"/>
      <c r="AA1088" s="207"/>
      <c r="AB1088" s="207"/>
    </row>
    <row r="1089" spans="22:28" customFormat="1" ht="9.9499999999999993">
      <c r="V1089" s="207"/>
      <c r="W1089" s="207"/>
      <c r="X1089" s="207"/>
      <c r="Y1089" s="207"/>
      <c r="Z1089" s="207"/>
      <c r="AA1089" s="207"/>
      <c r="AB1089" s="207"/>
    </row>
    <row r="1090" spans="22:28" customFormat="1" ht="9.9499999999999993">
      <c r="V1090" s="207"/>
      <c r="W1090" s="207"/>
      <c r="X1090" s="207"/>
      <c r="Y1090" s="207"/>
      <c r="Z1090" s="207"/>
      <c r="AA1090" s="207"/>
      <c r="AB1090" s="207"/>
    </row>
    <row r="1091" spans="22:28" customFormat="1" ht="9.9499999999999993">
      <c r="V1091" s="207"/>
      <c r="W1091" s="207"/>
      <c r="X1091" s="207"/>
      <c r="Y1091" s="207"/>
      <c r="Z1091" s="207"/>
      <c r="AA1091" s="207"/>
      <c r="AB1091" s="207"/>
    </row>
    <row r="1092" spans="22:28" customFormat="1" ht="9.9499999999999993">
      <c r="V1092" s="207"/>
      <c r="W1092" s="207"/>
      <c r="X1092" s="207"/>
      <c r="Y1092" s="207"/>
      <c r="Z1092" s="207"/>
      <c r="AA1092" s="207"/>
      <c r="AB1092" s="207"/>
    </row>
    <row r="1093" spans="22:28" customFormat="1" ht="9.9499999999999993">
      <c r="V1093" s="207"/>
      <c r="W1093" s="207"/>
      <c r="X1093" s="207"/>
      <c r="Y1093" s="207"/>
      <c r="Z1093" s="207"/>
      <c r="AA1093" s="207"/>
      <c r="AB1093" s="207"/>
    </row>
    <row r="1094" spans="22:28" customFormat="1" ht="9.9499999999999993">
      <c r="V1094" s="207"/>
      <c r="W1094" s="207"/>
      <c r="X1094" s="207"/>
      <c r="Y1094" s="207"/>
      <c r="Z1094" s="207"/>
      <c r="AA1094" s="207"/>
      <c r="AB1094" s="207"/>
    </row>
    <row r="1095" spans="22:28" customFormat="1" ht="9.9499999999999993">
      <c r="V1095" s="207"/>
      <c r="W1095" s="207"/>
      <c r="X1095" s="207"/>
      <c r="Y1095" s="207"/>
      <c r="Z1095" s="207"/>
      <c r="AA1095" s="207"/>
      <c r="AB1095" s="207"/>
    </row>
    <row r="1096" spans="22:28" customFormat="1" ht="9.9499999999999993">
      <c r="V1096" s="207"/>
      <c r="W1096" s="207"/>
      <c r="X1096" s="207"/>
      <c r="Y1096" s="207"/>
      <c r="Z1096" s="207"/>
      <c r="AA1096" s="207"/>
      <c r="AB1096" s="207"/>
    </row>
    <row r="1097" spans="22:28" customFormat="1" ht="9.9499999999999993">
      <c r="V1097" s="207"/>
      <c r="W1097" s="207"/>
      <c r="X1097" s="207"/>
      <c r="Y1097" s="207"/>
      <c r="Z1097" s="207"/>
      <c r="AA1097" s="207"/>
      <c r="AB1097" s="207"/>
    </row>
    <row r="1098" spans="22:28" customFormat="1" ht="9.9499999999999993">
      <c r="V1098" s="207"/>
      <c r="W1098" s="207"/>
      <c r="X1098" s="207"/>
      <c r="Y1098" s="207"/>
      <c r="Z1098" s="207"/>
      <c r="AA1098" s="207"/>
      <c r="AB1098" s="207"/>
    </row>
    <row r="1099" spans="22:28" customFormat="1" ht="9.9499999999999993">
      <c r="V1099" s="207"/>
      <c r="W1099" s="207"/>
      <c r="X1099" s="207"/>
      <c r="Y1099" s="207"/>
      <c r="Z1099" s="207"/>
      <c r="AA1099" s="207"/>
      <c r="AB1099" s="207"/>
    </row>
    <row r="1100" spans="22:28" customFormat="1" ht="9.9499999999999993">
      <c r="V1100" s="207"/>
      <c r="W1100" s="207"/>
      <c r="X1100" s="207"/>
      <c r="Y1100" s="207"/>
      <c r="Z1100" s="207"/>
      <c r="AA1100" s="207"/>
      <c r="AB1100" s="207"/>
    </row>
    <row r="1101" spans="22:28" customFormat="1" ht="9.9499999999999993">
      <c r="V1101" s="207"/>
      <c r="W1101" s="207"/>
      <c r="X1101" s="207"/>
      <c r="Y1101" s="207"/>
      <c r="Z1101" s="207"/>
      <c r="AA1101" s="207"/>
      <c r="AB1101" s="207"/>
    </row>
    <row r="1102" spans="22:28" customFormat="1" ht="9.9499999999999993">
      <c r="V1102" s="207"/>
      <c r="W1102" s="207"/>
      <c r="X1102" s="207"/>
      <c r="Y1102" s="207"/>
      <c r="Z1102" s="207"/>
      <c r="AA1102" s="207"/>
      <c r="AB1102" s="207"/>
    </row>
    <row r="1103" spans="22:28" customFormat="1" ht="9.9499999999999993">
      <c r="V1103" s="207"/>
      <c r="W1103" s="207"/>
      <c r="X1103" s="207"/>
      <c r="Y1103" s="207"/>
      <c r="Z1103" s="207"/>
      <c r="AA1103" s="207"/>
      <c r="AB1103" s="207"/>
    </row>
    <row r="1104" spans="22:28" customFormat="1" ht="9.9499999999999993">
      <c r="V1104" s="207"/>
      <c r="W1104" s="207"/>
      <c r="X1104" s="207"/>
      <c r="Y1104" s="207"/>
      <c r="Z1104" s="207"/>
      <c r="AA1104" s="207"/>
      <c r="AB1104" s="207"/>
    </row>
    <row r="1105" spans="22:28" customFormat="1" ht="9.9499999999999993">
      <c r="V1105" s="207"/>
      <c r="W1105" s="207"/>
      <c r="X1105" s="207"/>
      <c r="Y1105" s="207"/>
      <c r="Z1105" s="207"/>
      <c r="AA1105" s="207"/>
      <c r="AB1105" s="207"/>
    </row>
    <row r="1106" spans="22:28" customFormat="1" ht="9.9499999999999993">
      <c r="V1106" s="207"/>
      <c r="W1106" s="207"/>
      <c r="X1106" s="207"/>
      <c r="Y1106" s="207"/>
      <c r="Z1106" s="207"/>
      <c r="AA1106" s="207"/>
      <c r="AB1106" s="207"/>
    </row>
    <row r="1107" spans="22:28" customFormat="1" ht="9.9499999999999993">
      <c r="V1107" s="207"/>
      <c r="W1107" s="207"/>
      <c r="X1107" s="207"/>
      <c r="Y1107" s="207"/>
      <c r="Z1107" s="207"/>
      <c r="AA1107" s="207"/>
      <c r="AB1107" s="207"/>
    </row>
    <row r="1108" spans="22:28" customFormat="1" ht="9.9499999999999993">
      <c r="V1108" s="207"/>
      <c r="W1108" s="207"/>
      <c r="X1108" s="207"/>
      <c r="Y1108" s="207"/>
      <c r="Z1108" s="207"/>
      <c r="AA1108" s="207"/>
      <c r="AB1108" s="207"/>
    </row>
    <row r="1109" spans="22:28" customFormat="1" ht="9.9499999999999993">
      <c r="V1109" s="207"/>
      <c r="W1109" s="207"/>
      <c r="X1109" s="207"/>
      <c r="Y1109" s="207"/>
      <c r="Z1109" s="207"/>
      <c r="AA1109" s="207"/>
      <c r="AB1109" s="207"/>
    </row>
    <row r="1110" spans="22:28" customFormat="1" ht="9.9499999999999993">
      <c r="V1110" s="207"/>
      <c r="W1110" s="207"/>
      <c r="X1110" s="207"/>
      <c r="Y1110" s="207"/>
      <c r="Z1110" s="207"/>
      <c r="AA1110" s="207"/>
      <c r="AB1110" s="207"/>
    </row>
    <row r="1111" spans="22:28" customFormat="1" ht="9.9499999999999993">
      <c r="V1111" s="207"/>
      <c r="W1111" s="207"/>
      <c r="X1111" s="207"/>
      <c r="Y1111" s="207"/>
      <c r="Z1111" s="207"/>
      <c r="AA1111" s="207"/>
      <c r="AB1111" s="207"/>
    </row>
    <row r="1112" spans="22:28" customFormat="1" ht="9.9499999999999993">
      <c r="V1112" s="207"/>
      <c r="W1112" s="207"/>
      <c r="X1112" s="207"/>
      <c r="Y1112" s="207"/>
      <c r="Z1112" s="207"/>
      <c r="AA1112" s="207"/>
      <c r="AB1112" s="207"/>
    </row>
    <row r="1113" spans="22:28" customFormat="1" ht="9.9499999999999993">
      <c r="V1113" s="207"/>
      <c r="W1113" s="207"/>
      <c r="X1113" s="207"/>
      <c r="Y1113" s="207"/>
      <c r="Z1113" s="207"/>
      <c r="AA1113" s="207"/>
      <c r="AB1113" s="207"/>
    </row>
    <row r="1114" spans="22:28" customFormat="1" ht="9.9499999999999993">
      <c r="V1114" s="207"/>
      <c r="W1114" s="207"/>
      <c r="X1114" s="207"/>
      <c r="Y1114" s="207"/>
      <c r="Z1114" s="207"/>
      <c r="AA1114" s="207"/>
      <c r="AB1114" s="207"/>
    </row>
    <row r="1115" spans="22:28" customFormat="1" ht="9.9499999999999993">
      <c r="V1115" s="207"/>
      <c r="W1115" s="207"/>
      <c r="X1115" s="207"/>
      <c r="Y1115" s="207"/>
      <c r="Z1115" s="207"/>
      <c r="AA1115" s="207"/>
      <c r="AB1115" s="207"/>
    </row>
    <row r="1116" spans="22:28" customFormat="1" ht="9.9499999999999993">
      <c r="V1116" s="207"/>
      <c r="W1116" s="207"/>
      <c r="X1116" s="207"/>
      <c r="Y1116" s="207"/>
      <c r="Z1116" s="207"/>
      <c r="AA1116" s="207"/>
      <c r="AB1116" s="207"/>
    </row>
    <row r="1117" spans="22:28" customFormat="1" ht="9.9499999999999993">
      <c r="V1117" s="207"/>
      <c r="W1117" s="207"/>
      <c r="X1117" s="207"/>
      <c r="Y1117" s="207"/>
      <c r="Z1117" s="207"/>
      <c r="AA1117" s="207"/>
      <c r="AB1117" s="207"/>
    </row>
    <row r="1118" spans="22:28" customFormat="1" ht="9.9499999999999993">
      <c r="V1118" s="207"/>
      <c r="W1118" s="207"/>
      <c r="X1118" s="207"/>
      <c r="Y1118" s="207"/>
      <c r="Z1118" s="207"/>
      <c r="AA1118" s="207"/>
      <c r="AB1118" s="207"/>
    </row>
    <row r="1119" spans="22:28" customFormat="1" ht="9.9499999999999993">
      <c r="V1119" s="207"/>
      <c r="W1119" s="207"/>
      <c r="X1119" s="207"/>
      <c r="Y1119" s="207"/>
      <c r="Z1119" s="207"/>
      <c r="AA1119" s="207"/>
      <c r="AB1119" s="207"/>
    </row>
    <row r="1120" spans="22:28" customFormat="1" ht="9.9499999999999993">
      <c r="V1120" s="207"/>
      <c r="W1120" s="207"/>
      <c r="X1120" s="207"/>
      <c r="Y1120" s="207"/>
      <c r="Z1120" s="207"/>
      <c r="AA1120" s="207"/>
      <c r="AB1120" s="207"/>
    </row>
    <row r="1121" spans="22:28" customFormat="1" ht="9.9499999999999993">
      <c r="V1121" s="207"/>
      <c r="W1121" s="207"/>
      <c r="X1121" s="207"/>
      <c r="Y1121" s="207"/>
      <c r="Z1121" s="207"/>
      <c r="AA1121" s="207"/>
      <c r="AB1121" s="207"/>
    </row>
    <row r="1122" spans="22:28" customFormat="1" ht="9.9499999999999993">
      <c r="V1122" s="207"/>
      <c r="W1122" s="207"/>
      <c r="X1122" s="207"/>
      <c r="Y1122" s="207"/>
      <c r="Z1122" s="207"/>
      <c r="AA1122" s="207"/>
      <c r="AB1122" s="207"/>
    </row>
    <row r="1123" spans="22:28" customFormat="1" ht="9.9499999999999993">
      <c r="V1123" s="207"/>
      <c r="W1123" s="207"/>
      <c r="X1123" s="207"/>
      <c r="Y1123" s="207"/>
      <c r="Z1123" s="207"/>
      <c r="AA1123" s="207"/>
      <c r="AB1123" s="207"/>
    </row>
    <row r="1124" spans="22:28" customFormat="1" ht="9.9499999999999993">
      <c r="V1124" s="207"/>
      <c r="W1124" s="207"/>
      <c r="X1124" s="207"/>
      <c r="Y1124" s="207"/>
      <c r="Z1124" s="207"/>
      <c r="AA1124" s="207"/>
      <c r="AB1124" s="207"/>
    </row>
    <row r="1125" spans="22:28" customFormat="1" ht="9.9499999999999993">
      <c r="V1125" s="207"/>
      <c r="W1125" s="207"/>
      <c r="X1125" s="207"/>
      <c r="Y1125" s="207"/>
      <c r="Z1125" s="207"/>
      <c r="AA1125" s="207"/>
      <c r="AB1125" s="207"/>
    </row>
    <row r="1126" spans="22:28" customFormat="1" ht="9.9499999999999993">
      <c r="V1126" s="207"/>
      <c r="W1126" s="207"/>
      <c r="X1126" s="207"/>
      <c r="Y1126" s="207"/>
      <c r="Z1126" s="207"/>
      <c r="AA1126" s="207"/>
      <c r="AB1126" s="207"/>
    </row>
    <row r="1127" spans="22:28" customFormat="1" ht="9.9499999999999993">
      <c r="V1127" s="207"/>
      <c r="W1127" s="207"/>
      <c r="X1127" s="207"/>
      <c r="Y1127" s="207"/>
      <c r="Z1127" s="207"/>
      <c r="AA1127" s="207"/>
      <c r="AB1127" s="207"/>
    </row>
    <row r="1128" spans="22:28" customFormat="1" ht="9.9499999999999993">
      <c r="V1128" s="207"/>
      <c r="W1128" s="207"/>
      <c r="X1128" s="207"/>
      <c r="Y1128" s="207"/>
      <c r="Z1128" s="207"/>
      <c r="AA1128" s="207"/>
      <c r="AB1128" s="207"/>
    </row>
    <row r="1129" spans="22:28" customFormat="1" ht="9.9499999999999993">
      <c r="V1129" s="207"/>
      <c r="W1129" s="207"/>
      <c r="X1129" s="207"/>
      <c r="Y1129" s="207"/>
      <c r="Z1129" s="207"/>
      <c r="AA1129" s="207"/>
      <c r="AB1129" s="207"/>
    </row>
    <row r="1130" spans="22:28" customFormat="1" ht="9.9499999999999993">
      <c r="V1130" s="207"/>
      <c r="W1130" s="207"/>
      <c r="X1130" s="207"/>
      <c r="Y1130" s="207"/>
      <c r="Z1130" s="207"/>
      <c r="AA1130" s="207"/>
      <c r="AB1130" s="207"/>
    </row>
    <row r="1131" spans="22:28" customFormat="1" ht="9.9499999999999993">
      <c r="V1131" s="207"/>
      <c r="W1131" s="207"/>
      <c r="X1131" s="207"/>
      <c r="Y1131" s="207"/>
      <c r="Z1131" s="207"/>
      <c r="AA1131" s="207"/>
      <c r="AB1131" s="207"/>
    </row>
    <row r="1132" spans="22:28" customFormat="1" ht="9.9499999999999993">
      <c r="V1132" s="207"/>
      <c r="W1132" s="207"/>
      <c r="X1132" s="207"/>
      <c r="Y1132" s="207"/>
      <c r="Z1132" s="207"/>
      <c r="AA1132" s="207"/>
      <c r="AB1132" s="207"/>
    </row>
    <row r="1133" spans="22:28" customFormat="1" ht="9.9499999999999993">
      <c r="V1133" s="207"/>
      <c r="W1133" s="207"/>
      <c r="X1133" s="207"/>
      <c r="Y1133" s="207"/>
      <c r="Z1133" s="207"/>
      <c r="AA1133" s="207"/>
      <c r="AB1133" s="207"/>
    </row>
    <row r="1134" spans="22:28" customFormat="1" ht="9.9499999999999993">
      <c r="V1134" s="207"/>
      <c r="W1134" s="207"/>
      <c r="X1134" s="207"/>
      <c r="Y1134" s="207"/>
      <c r="Z1134" s="207"/>
      <c r="AA1134" s="207"/>
      <c r="AB1134" s="207"/>
    </row>
    <row r="1135" spans="22:28" customFormat="1" ht="9.9499999999999993">
      <c r="V1135" s="207"/>
      <c r="W1135" s="207"/>
      <c r="X1135" s="207"/>
      <c r="Y1135" s="207"/>
      <c r="Z1135" s="207"/>
      <c r="AA1135" s="207"/>
      <c r="AB1135" s="207"/>
    </row>
    <row r="1136" spans="22:28" customFormat="1" ht="9.9499999999999993">
      <c r="V1136" s="207"/>
      <c r="W1136" s="207"/>
      <c r="X1136" s="207"/>
      <c r="Y1136" s="207"/>
      <c r="Z1136" s="207"/>
      <c r="AA1136" s="207"/>
      <c r="AB1136" s="207"/>
    </row>
    <row r="1137" spans="22:28" customFormat="1" ht="9.9499999999999993">
      <c r="V1137" s="207"/>
      <c r="W1137" s="207"/>
      <c r="X1137" s="207"/>
      <c r="Y1137" s="207"/>
      <c r="Z1137" s="207"/>
      <c r="AA1137" s="207"/>
      <c r="AB1137" s="207"/>
    </row>
    <row r="1138" spans="22:28" customFormat="1" ht="9.9499999999999993">
      <c r="V1138" s="207"/>
      <c r="W1138" s="207"/>
      <c r="X1138" s="207"/>
      <c r="Y1138" s="207"/>
      <c r="Z1138" s="207"/>
      <c r="AA1138" s="207"/>
      <c r="AB1138" s="207"/>
    </row>
    <row r="1139" spans="22:28" customFormat="1" ht="9.9499999999999993">
      <c r="V1139" s="207"/>
      <c r="W1139" s="207"/>
      <c r="X1139" s="207"/>
      <c r="Y1139" s="207"/>
      <c r="Z1139" s="207"/>
      <c r="AA1139" s="207"/>
      <c r="AB1139" s="207"/>
    </row>
    <row r="1140" spans="22:28" customFormat="1" ht="9.9499999999999993">
      <c r="V1140" s="207"/>
      <c r="W1140" s="207"/>
      <c r="X1140" s="207"/>
      <c r="Y1140" s="207"/>
      <c r="Z1140" s="207"/>
      <c r="AA1140" s="207"/>
      <c r="AB1140" s="207"/>
    </row>
    <row r="1141" spans="22:28" customFormat="1" ht="9.9499999999999993">
      <c r="V1141" s="207"/>
      <c r="W1141" s="207"/>
      <c r="X1141" s="207"/>
      <c r="Y1141" s="207"/>
      <c r="Z1141" s="207"/>
      <c r="AA1141" s="207"/>
      <c r="AB1141" s="207"/>
    </row>
    <row r="1142" spans="22:28" customFormat="1" ht="9.9499999999999993">
      <c r="V1142" s="207"/>
      <c r="W1142" s="207"/>
      <c r="X1142" s="207"/>
      <c r="Y1142" s="207"/>
      <c r="Z1142" s="207"/>
      <c r="AA1142" s="207"/>
      <c r="AB1142" s="207"/>
    </row>
    <row r="1143" spans="22:28" customFormat="1" ht="9.9499999999999993">
      <c r="V1143" s="207"/>
      <c r="W1143" s="207"/>
      <c r="X1143" s="207"/>
      <c r="Y1143" s="207"/>
      <c r="Z1143" s="207"/>
      <c r="AA1143" s="207"/>
      <c r="AB1143" s="207"/>
    </row>
    <row r="1144" spans="22:28" customFormat="1" ht="9.9499999999999993">
      <c r="V1144" s="207"/>
      <c r="W1144" s="207"/>
      <c r="X1144" s="207"/>
      <c r="Y1144" s="207"/>
      <c r="Z1144" s="207"/>
      <c r="AA1144" s="207"/>
      <c r="AB1144" s="207"/>
    </row>
    <row r="1145" spans="22:28" customFormat="1" ht="9.9499999999999993">
      <c r="V1145" s="207"/>
      <c r="W1145" s="207"/>
      <c r="X1145" s="207"/>
      <c r="Y1145" s="207"/>
      <c r="Z1145" s="207"/>
      <c r="AA1145" s="207"/>
      <c r="AB1145" s="207"/>
    </row>
    <row r="1146" spans="22:28" customFormat="1" ht="9.9499999999999993">
      <c r="V1146" s="207"/>
      <c r="W1146" s="207"/>
      <c r="X1146" s="207"/>
      <c r="Y1146" s="207"/>
      <c r="Z1146" s="207"/>
      <c r="AA1146" s="207"/>
      <c r="AB1146" s="207"/>
    </row>
    <row r="1147" spans="22:28" customFormat="1" ht="9.9499999999999993">
      <c r="V1147" s="207"/>
      <c r="W1147" s="207"/>
      <c r="X1147" s="207"/>
      <c r="Y1147" s="207"/>
      <c r="Z1147" s="207"/>
      <c r="AA1147" s="207"/>
      <c r="AB1147" s="207"/>
    </row>
    <row r="1148" spans="22:28" customFormat="1" ht="9.9499999999999993">
      <c r="V1148" s="207"/>
      <c r="W1148" s="207"/>
      <c r="X1148" s="207"/>
      <c r="Y1148" s="207"/>
      <c r="Z1148" s="207"/>
      <c r="AA1148" s="207"/>
      <c r="AB1148" s="207"/>
    </row>
    <row r="1149" spans="22:28" customFormat="1" ht="9.9499999999999993">
      <c r="V1149" s="207"/>
      <c r="W1149" s="207"/>
      <c r="X1149" s="207"/>
      <c r="Y1149" s="207"/>
      <c r="Z1149" s="207"/>
      <c r="AA1149" s="207"/>
      <c r="AB1149" s="207"/>
    </row>
    <row r="1150" spans="22:28" customFormat="1" ht="9.9499999999999993">
      <c r="V1150" s="207"/>
      <c r="W1150" s="207"/>
      <c r="X1150" s="207"/>
      <c r="Y1150" s="207"/>
      <c r="Z1150" s="207"/>
      <c r="AA1150" s="207"/>
      <c r="AB1150" s="207"/>
    </row>
    <row r="1151" spans="22:28" customFormat="1" ht="9.9499999999999993">
      <c r="V1151" s="207"/>
      <c r="W1151" s="207"/>
      <c r="X1151" s="207"/>
      <c r="Y1151" s="207"/>
      <c r="Z1151" s="207"/>
      <c r="AA1151" s="207"/>
      <c r="AB1151" s="207"/>
    </row>
    <row r="1152" spans="22:28" customFormat="1" ht="9.9499999999999993">
      <c r="V1152" s="207"/>
      <c r="W1152" s="207"/>
      <c r="X1152" s="207"/>
      <c r="Y1152" s="207"/>
      <c r="Z1152" s="207"/>
      <c r="AA1152" s="207"/>
      <c r="AB1152" s="207"/>
    </row>
    <row r="1153" spans="22:28" customFormat="1" ht="9.9499999999999993">
      <c r="V1153" s="207"/>
      <c r="W1153" s="207"/>
      <c r="X1153" s="207"/>
      <c r="Y1153" s="207"/>
      <c r="Z1153" s="207"/>
      <c r="AA1153" s="207"/>
      <c r="AB1153" s="207"/>
    </row>
    <row r="1154" spans="22:28" customFormat="1" ht="9.9499999999999993">
      <c r="V1154" s="207"/>
      <c r="W1154" s="207"/>
      <c r="X1154" s="207"/>
      <c r="Y1154" s="207"/>
      <c r="Z1154" s="207"/>
      <c r="AA1154" s="207"/>
      <c r="AB1154" s="207"/>
    </row>
    <row r="1155" spans="22:28" customFormat="1" ht="9.9499999999999993">
      <c r="V1155" s="207"/>
      <c r="W1155" s="207"/>
      <c r="X1155" s="207"/>
      <c r="Y1155" s="207"/>
      <c r="Z1155" s="207"/>
      <c r="AA1155" s="207"/>
      <c r="AB1155" s="207"/>
    </row>
    <row r="1156" spans="22:28" customFormat="1" ht="9.9499999999999993">
      <c r="V1156" s="207"/>
      <c r="W1156" s="207"/>
      <c r="X1156" s="207"/>
      <c r="Y1156" s="207"/>
      <c r="Z1156" s="207"/>
      <c r="AA1156" s="207"/>
      <c r="AB1156" s="207"/>
    </row>
    <row r="1157" spans="22:28" customFormat="1" ht="9.9499999999999993">
      <c r="V1157" s="207"/>
      <c r="W1157" s="207"/>
      <c r="X1157" s="207"/>
      <c r="Y1157" s="207"/>
      <c r="Z1157" s="207"/>
      <c r="AA1157" s="207"/>
      <c r="AB1157" s="207"/>
    </row>
    <row r="1158" spans="22:28" customFormat="1" ht="9.9499999999999993">
      <c r="V1158" s="207"/>
      <c r="W1158" s="207"/>
      <c r="X1158" s="207"/>
      <c r="Y1158" s="207"/>
      <c r="Z1158" s="207"/>
      <c r="AA1158" s="207"/>
      <c r="AB1158" s="207"/>
    </row>
    <row r="1159" spans="22:28" customFormat="1" ht="9.9499999999999993">
      <c r="V1159" s="207"/>
      <c r="W1159" s="207"/>
      <c r="X1159" s="207"/>
      <c r="Y1159" s="207"/>
      <c r="Z1159" s="207"/>
      <c r="AA1159" s="207"/>
      <c r="AB1159" s="207"/>
    </row>
    <row r="1160" spans="22:28" customFormat="1" ht="9.9499999999999993">
      <c r="V1160" s="207"/>
      <c r="W1160" s="207"/>
      <c r="X1160" s="207"/>
      <c r="Y1160" s="207"/>
      <c r="Z1160" s="207"/>
      <c r="AA1160" s="207"/>
      <c r="AB1160" s="207"/>
    </row>
    <row r="1161" spans="22:28" customFormat="1" ht="9.9499999999999993">
      <c r="V1161" s="207"/>
      <c r="W1161" s="207"/>
      <c r="X1161" s="207"/>
      <c r="Y1161" s="207"/>
      <c r="Z1161" s="207"/>
      <c r="AA1161" s="207"/>
      <c r="AB1161" s="207"/>
    </row>
    <row r="1162" spans="22:28" customFormat="1" ht="9.9499999999999993">
      <c r="V1162" s="207"/>
      <c r="W1162" s="207"/>
      <c r="X1162" s="207"/>
      <c r="Y1162" s="207"/>
      <c r="Z1162" s="207"/>
      <c r="AA1162" s="207"/>
      <c r="AB1162" s="207"/>
    </row>
    <row r="1163" spans="22:28" customFormat="1" ht="9.9499999999999993">
      <c r="V1163" s="207"/>
      <c r="W1163" s="207"/>
      <c r="X1163" s="207"/>
      <c r="Y1163" s="207"/>
      <c r="Z1163" s="207"/>
      <c r="AA1163" s="207"/>
      <c r="AB1163" s="207"/>
    </row>
    <row r="1164" spans="22:28" customFormat="1" ht="9.9499999999999993">
      <c r="V1164" s="207"/>
      <c r="W1164" s="207"/>
      <c r="X1164" s="207"/>
      <c r="Y1164" s="207"/>
      <c r="Z1164" s="207"/>
      <c r="AA1164" s="207"/>
      <c r="AB1164" s="207"/>
    </row>
    <row r="1165" spans="22:28" customFormat="1" ht="9.9499999999999993">
      <c r="V1165" s="207"/>
      <c r="W1165" s="207"/>
      <c r="X1165" s="207"/>
      <c r="Y1165" s="207"/>
      <c r="Z1165" s="207"/>
      <c r="AA1165" s="207"/>
      <c r="AB1165" s="207"/>
    </row>
    <row r="1166" spans="22:28" customFormat="1" ht="9.9499999999999993">
      <c r="V1166" s="207"/>
      <c r="W1166" s="207"/>
      <c r="X1166" s="207"/>
      <c r="Y1166" s="207"/>
      <c r="Z1166" s="207"/>
      <c r="AA1166" s="207"/>
      <c r="AB1166" s="207"/>
    </row>
    <row r="1167" spans="22:28" customFormat="1" ht="9.9499999999999993">
      <c r="V1167" s="207"/>
      <c r="W1167" s="207"/>
      <c r="X1167" s="207"/>
      <c r="Y1167" s="207"/>
      <c r="Z1167" s="207"/>
      <c r="AA1167" s="207"/>
      <c r="AB1167" s="207"/>
    </row>
    <row r="1168" spans="22:28" customFormat="1" ht="9.9499999999999993">
      <c r="V1168" s="207"/>
      <c r="W1168" s="207"/>
      <c r="X1168" s="207"/>
      <c r="Y1168" s="207"/>
      <c r="Z1168" s="207"/>
      <c r="AA1168" s="207"/>
      <c r="AB1168" s="207"/>
    </row>
    <row r="1169" spans="22:28" customFormat="1" ht="9.9499999999999993">
      <c r="V1169" s="207"/>
      <c r="W1169" s="207"/>
      <c r="X1169" s="207"/>
      <c r="Y1169" s="207"/>
      <c r="Z1169" s="207"/>
      <c r="AA1169" s="207"/>
      <c r="AB1169" s="207"/>
    </row>
    <row r="1170" spans="22:28" customFormat="1" ht="9.9499999999999993">
      <c r="V1170" s="207"/>
      <c r="W1170" s="207"/>
      <c r="X1170" s="207"/>
      <c r="Y1170" s="207"/>
      <c r="Z1170" s="207"/>
      <c r="AA1170" s="207"/>
      <c r="AB1170" s="207"/>
    </row>
    <row r="1171" spans="22:28" customFormat="1" ht="9.9499999999999993">
      <c r="V1171" s="207"/>
      <c r="W1171" s="207"/>
      <c r="X1171" s="207"/>
      <c r="Y1171" s="207"/>
      <c r="Z1171" s="207"/>
      <c r="AA1171" s="207"/>
      <c r="AB1171" s="207"/>
    </row>
    <row r="1172" spans="22:28" customFormat="1" ht="9.9499999999999993">
      <c r="V1172" s="207"/>
      <c r="W1172" s="207"/>
      <c r="X1172" s="207"/>
      <c r="Y1172" s="207"/>
      <c r="Z1172" s="207"/>
      <c r="AA1172" s="207"/>
      <c r="AB1172" s="207"/>
    </row>
    <row r="1173" spans="22:28" customFormat="1" ht="9.9499999999999993">
      <c r="V1173" s="207"/>
      <c r="W1173" s="207"/>
      <c r="X1173" s="207"/>
      <c r="Y1173" s="207"/>
      <c r="Z1173" s="207"/>
      <c r="AA1173" s="207"/>
      <c r="AB1173" s="207"/>
    </row>
    <row r="1174" spans="22:28" customFormat="1" ht="9.9499999999999993">
      <c r="V1174" s="207"/>
      <c r="W1174" s="207"/>
      <c r="X1174" s="207"/>
      <c r="Y1174" s="207"/>
      <c r="Z1174" s="207"/>
      <c r="AA1174" s="207"/>
      <c r="AB1174" s="207"/>
    </row>
    <row r="1175" spans="22:28" customFormat="1" ht="9.9499999999999993">
      <c r="V1175" s="207"/>
      <c r="W1175" s="207"/>
      <c r="X1175" s="207"/>
      <c r="Y1175" s="207"/>
      <c r="Z1175" s="207"/>
      <c r="AA1175" s="207"/>
      <c r="AB1175" s="207"/>
    </row>
    <row r="1176" spans="22:28" customFormat="1" ht="9.9499999999999993">
      <c r="V1176" s="207"/>
      <c r="W1176" s="207"/>
      <c r="X1176" s="207"/>
      <c r="Y1176" s="207"/>
      <c r="Z1176" s="207"/>
      <c r="AA1176" s="207"/>
      <c r="AB1176" s="207"/>
    </row>
    <row r="1177" spans="22:28" customFormat="1" ht="9.9499999999999993">
      <c r="V1177" s="207"/>
      <c r="W1177" s="207"/>
      <c r="X1177" s="207"/>
      <c r="Y1177" s="207"/>
      <c r="Z1177" s="207"/>
      <c r="AA1177" s="207"/>
      <c r="AB1177" s="207"/>
    </row>
  </sheetData>
  <printOptions gridLines="1" gridLinesSet="0"/>
  <pageMargins left="0.5" right="0.5" top="0.5" bottom="0.75" header="0.27" footer="0.21"/>
  <pageSetup scale="28" orientation="portrait" horizontalDpi="4294967292" r:id="rId1"/>
  <headerFooter alignWithMargins="0">
    <oddHeader>&amp;L&amp;12GREENHOUSE GAS INVENTORY:  ENERGY</oddHeader>
    <oddFooter>&amp;LPage &amp;P of &amp;N&amp;C&amp;F  &amp;A&amp;R&amp;D  &amp;T</oddFooter>
  </headerFooter>
  <colBreaks count="1" manualBreakCount="1">
    <brk id="13" max="41" man="1"/>
  </colBreaks>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
  <dimension ref="A1:AJ114"/>
  <sheetViews>
    <sheetView workbookViewId="0">
      <selection activeCell="A5" sqref="A5"/>
    </sheetView>
  </sheetViews>
  <sheetFormatPr defaultColWidth="9" defaultRowHeight="12.95"/>
  <cols>
    <col min="1" max="1" width="4" style="1" customWidth="1"/>
    <col min="2" max="2" width="5.6640625" style="598" customWidth="1"/>
    <col min="3" max="3" width="25" style="1" customWidth="1"/>
    <col min="4" max="4" width="10.5" style="1" bestFit="1" customWidth="1"/>
    <col min="5" max="12" width="8" style="1" customWidth="1"/>
    <col min="13" max="13" width="10.6640625" style="1" customWidth="1"/>
    <col min="14" max="14" width="8.6640625" style="1" customWidth="1"/>
    <col min="15" max="15" width="9" style="1" customWidth="1"/>
    <col min="16" max="16" width="11" style="1" bestFit="1" customWidth="1"/>
    <col min="17" max="31" width="10" style="1" bestFit="1" customWidth="1"/>
    <col min="32" max="32" width="10.1640625" style="1" customWidth="1"/>
    <col min="33" max="34" width="9" style="1"/>
    <col min="35" max="36" width="13.1640625" style="1" customWidth="1"/>
    <col min="37" max="16384" width="9" style="1"/>
  </cols>
  <sheetData>
    <row r="1" spans="1:36" ht="17.45">
      <c r="A1" s="619" t="s">
        <v>1779</v>
      </c>
    </row>
    <row r="2" spans="1:36">
      <c r="A2" s="1123" t="s">
        <v>1780</v>
      </c>
      <c r="B2" s="1"/>
    </row>
    <row r="3" spans="1:36">
      <c r="A3" s="598" t="s">
        <v>1781</v>
      </c>
      <c r="B3" s="1"/>
    </row>
    <row r="4" spans="1:36">
      <c r="A4" s="1" t="s">
        <v>1782</v>
      </c>
      <c r="B4" s="1"/>
      <c r="C4" s="5"/>
      <c r="D4" s="611"/>
      <c r="E4" s="612"/>
      <c r="F4" s="611"/>
      <c r="G4" s="612"/>
      <c r="H4" s="611"/>
      <c r="I4" s="612"/>
      <c r="J4" s="613"/>
      <c r="K4" s="613"/>
      <c r="L4" s="613"/>
    </row>
    <row r="5" spans="1:36">
      <c r="A5" s="215"/>
      <c r="B5" s="1"/>
      <c r="D5" s="466"/>
      <c r="E5" s="466"/>
      <c r="F5" s="466"/>
      <c r="G5" s="466"/>
      <c r="H5" s="466"/>
      <c r="I5" s="466"/>
      <c r="J5" s="466"/>
      <c r="K5" s="468"/>
      <c r="L5" s="468"/>
    </row>
    <row r="6" spans="1:36">
      <c r="B6" s="614"/>
      <c r="D6" s="466"/>
      <c r="E6" s="466"/>
      <c r="F6" s="466"/>
      <c r="G6" s="466"/>
      <c r="H6" s="466"/>
      <c r="I6" s="466"/>
      <c r="J6" s="466"/>
      <c r="K6" s="468"/>
      <c r="L6" s="468"/>
    </row>
    <row r="7" spans="1:36">
      <c r="C7" s="615" t="s">
        <v>1783</v>
      </c>
      <c r="D7" s="466"/>
      <c r="E7" s="466"/>
      <c r="F7" s="466"/>
      <c r="G7" s="466"/>
      <c r="H7" s="466"/>
      <c r="I7" s="466"/>
      <c r="J7" s="466"/>
      <c r="K7" s="468"/>
      <c r="L7" s="468"/>
    </row>
    <row r="8" spans="1:36">
      <c r="C8" s="458" t="s">
        <v>1784</v>
      </c>
      <c r="D8" s="460">
        <v>1990</v>
      </c>
      <c r="E8" s="460">
        <v>1991</v>
      </c>
      <c r="F8" s="460">
        <v>1992</v>
      </c>
      <c r="G8" s="460">
        <v>1993</v>
      </c>
      <c r="H8" s="460">
        <v>1994</v>
      </c>
      <c r="I8" s="460">
        <v>1995</v>
      </c>
      <c r="J8" s="460">
        <v>1996</v>
      </c>
      <c r="K8" s="460">
        <v>1997</v>
      </c>
      <c r="L8" s="460">
        <v>1998</v>
      </c>
      <c r="M8" s="460">
        <v>1999</v>
      </c>
      <c r="N8" s="460">
        <v>2000</v>
      </c>
      <c r="O8" s="460">
        <v>2001</v>
      </c>
      <c r="P8" s="460">
        <v>2002</v>
      </c>
      <c r="Q8" s="460">
        <v>2003</v>
      </c>
      <c r="R8" s="460">
        <v>2004</v>
      </c>
      <c r="S8" s="460">
        <v>2005</v>
      </c>
      <c r="T8" s="460">
        <v>2006</v>
      </c>
      <c r="U8" s="460">
        <v>2007</v>
      </c>
      <c r="V8" s="460">
        <v>2008</v>
      </c>
      <c r="W8" s="460">
        <v>2009</v>
      </c>
      <c r="X8" s="460">
        <v>2010</v>
      </c>
      <c r="Y8" s="460">
        <v>2011</v>
      </c>
      <c r="Z8" s="460">
        <v>2012</v>
      </c>
      <c r="AA8" s="460">
        <v>2013</v>
      </c>
      <c r="AB8" s="460">
        <v>2014</v>
      </c>
      <c r="AC8" s="460">
        <v>2015</v>
      </c>
      <c r="AD8" s="460">
        <v>2016</v>
      </c>
      <c r="AE8" s="460">
        <v>2017</v>
      </c>
      <c r="AF8" s="460">
        <v>2018</v>
      </c>
      <c r="AG8" s="460">
        <v>2019</v>
      </c>
      <c r="AH8" s="460">
        <v>2020</v>
      </c>
      <c r="AI8" s="460">
        <v>2021</v>
      </c>
      <c r="AJ8" s="460">
        <v>2022</v>
      </c>
    </row>
    <row r="9" spans="1:36">
      <c r="C9" s="45" t="s">
        <v>1435</v>
      </c>
      <c r="D9" s="616">
        <f>'[18]Summary data'!B11</f>
        <v>242.83919299999999</v>
      </c>
      <c r="E9" s="616">
        <f>'[18]Summary data'!C11</f>
        <v>225.22807999999802</v>
      </c>
      <c r="F9" s="616">
        <f>'[18]Summary data'!D11</f>
        <v>192.353332999998</v>
      </c>
      <c r="G9" s="616">
        <f>'[18]Summary data'!E11</f>
        <v>201.722981</v>
      </c>
      <c r="H9" s="616">
        <f>'[18]Summary data'!F11</f>
        <v>205.581067999997</v>
      </c>
      <c r="I9" s="616">
        <f>'[18]Summary data'!G11</f>
        <v>209.43915400000299</v>
      </c>
      <c r="J9" s="616">
        <f>'[18]Summary data'!H11</f>
        <v>214.95071399999699</v>
      </c>
      <c r="K9" s="616">
        <f>'[18]Summary data'!I11</f>
        <v>218.47811600000199</v>
      </c>
      <c r="L9" s="616">
        <f>'[18]Summary data'!J11</f>
        <v>220.903199</v>
      </c>
      <c r="M9" s="616">
        <f>'[18]Summary data'!K11</f>
        <v>204.47875999999999</v>
      </c>
      <c r="N9" s="616">
        <f>'[18]Summary data'!L11</f>
        <v>231.07640200000299</v>
      </c>
      <c r="O9" s="616">
        <f>'[18]Summary data'!M11</f>
        <v>290.34100000000296</v>
      </c>
      <c r="P9" s="616">
        <f>'[18]Summary data'!N11</f>
        <v>984.31399999999599</v>
      </c>
      <c r="Q9" s="616">
        <f>'[18]Summary data'!O11</f>
        <v>1295.91198776533</v>
      </c>
      <c r="R9" s="616">
        <f>'[18]Summary data'!P11</f>
        <v>1433.00477000004</v>
      </c>
      <c r="S9" s="616">
        <f>'[18]Summary data'!Q11</f>
        <v>1466.07410999997</v>
      </c>
      <c r="T9" s="616">
        <f>'[18]Summary data'!R11</f>
        <v>1653.46703999997</v>
      </c>
      <c r="U9" s="616">
        <f>'[18]Summary data'!S11</f>
        <v>1655.16039844434</v>
      </c>
      <c r="V9" s="616">
        <f>'[18]Summary data'!T11</f>
        <v>1670.2635552080201</v>
      </c>
      <c r="W9" s="616">
        <f>'[18]Summary data'!U11</f>
        <v>1658.6679999999701</v>
      </c>
      <c r="X9" s="616">
        <f>'[18]Summary data'!V11</f>
        <v>1554.62700000004</v>
      </c>
      <c r="Y9" s="616">
        <f>'[18]Summary data'!W11</f>
        <v>1672.6299999999601</v>
      </c>
      <c r="Z9" s="616">
        <f>'[18]Summary data'!X11</f>
        <v>1599.4474007599699</v>
      </c>
      <c r="AA9" s="616">
        <f>'[18]Summary data'!Y11</f>
        <v>1593.4651643899999</v>
      </c>
      <c r="AB9" s="616">
        <f>'[18]Summary data'!Z11</f>
        <v>1674.6105986328</v>
      </c>
      <c r="AC9" s="616">
        <f>'[18]Summary data'!AA11</f>
        <v>1610.2617673384</v>
      </c>
      <c r="AD9" s="616">
        <f>'[18]Summary data'!AB11</f>
        <v>1591.0999335546001</v>
      </c>
      <c r="AE9" s="616">
        <f>'[18]Summary data'!AC11</f>
        <v>1119.1220000000001</v>
      </c>
      <c r="AF9" s="616">
        <f>'[18]Summary data'!AD11</f>
        <v>1243.8030000000001</v>
      </c>
      <c r="AG9" s="616">
        <f>'[18]Summary data'!AE11</f>
        <v>1732.0730000000001</v>
      </c>
      <c r="AH9" s="616">
        <f>'[18]Summary data'!AF11</f>
        <v>1499.59528725</v>
      </c>
      <c r="AI9" s="616">
        <f>'[18]Summary data'!AG11</f>
        <v>1405.20982013</v>
      </c>
      <c r="AJ9" s="616">
        <f>'[18]Summary data'!AH11</f>
        <v>1405.20982013</v>
      </c>
    </row>
    <row r="10" spans="1:36">
      <c r="C10" s="45" t="s">
        <v>1439</v>
      </c>
      <c r="D10" s="616">
        <f>'[18]Summary data'!B10</f>
        <v>0</v>
      </c>
      <c r="E10" s="616">
        <f>'[18]Summary data'!C10</f>
        <v>0</v>
      </c>
      <c r="F10" s="616">
        <f>'[18]Summary data'!D10</f>
        <v>0</v>
      </c>
      <c r="G10" s="616">
        <f>'[18]Summary data'!E10</f>
        <v>0</v>
      </c>
      <c r="H10" s="616">
        <f>'[18]Summary data'!F10</f>
        <v>0</v>
      </c>
      <c r="I10" s="616">
        <f>'[18]Summary data'!G10</f>
        <v>0</v>
      </c>
      <c r="J10" s="616">
        <f>'[18]Summary data'!H10</f>
        <v>0</v>
      </c>
      <c r="K10" s="616">
        <f>'[18]Summary data'!I10</f>
        <v>0</v>
      </c>
      <c r="L10" s="616">
        <f>'[18]Summary data'!J10</f>
        <v>0</v>
      </c>
      <c r="M10" s="616">
        <f>'[18]Summary data'!K10</f>
        <v>0</v>
      </c>
      <c r="N10" s="616">
        <f>'[18]Summary data'!L10</f>
        <v>12.360250000000001</v>
      </c>
      <c r="O10" s="616">
        <f>'[18]Summary data'!M10</f>
        <v>22.248449999999998</v>
      </c>
      <c r="P10" s="616">
        <f>'[18]Summary data'!N10</f>
        <v>22.248449999999998</v>
      </c>
      <c r="Q10" s="616">
        <f>'[18]Summary data'!O10</f>
        <v>26.133099999999999</v>
      </c>
      <c r="R10" s="616">
        <f>'[18]Summary data'!P10</f>
        <v>24.014199999999999</v>
      </c>
      <c r="S10" s="616">
        <f>'[18]Summary data'!Q10</f>
        <v>23.661049999999999</v>
      </c>
      <c r="T10" s="616">
        <f>'[18]Summary data'!R10</f>
        <v>25.4268</v>
      </c>
      <c r="U10" s="616">
        <f>'[18]Summary data'!S10</f>
        <v>26</v>
      </c>
      <c r="V10" s="616">
        <f>'[18]Summary data'!T10</f>
        <v>28.486000000000001</v>
      </c>
      <c r="W10" s="616">
        <f>'[18]Summary data'!U10</f>
        <v>26.722999999999999</v>
      </c>
      <c r="X10" s="616">
        <f>'[18]Summary data'!V10</f>
        <v>27.193000000000001</v>
      </c>
      <c r="Y10" s="616">
        <f>'[18]Summary data'!W10</f>
        <v>26.486249999999998</v>
      </c>
      <c r="Z10" s="616">
        <f>'[18]Summary data'!X10</f>
        <v>48.028399999999998</v>
      </c>
      <c r="AA10" s="616">
        <f>'[18]Summary data'!Y10</f>
        <v>56.706929000000002</v>
      </c>
      <c r="AB10" s="616">
        <f>'[18]Summary data'!Z10</f>
        <v>58.713233000000002</v>
      </c>
      <c r="AC10" s="616">
        <f>'[18]Summary data'!AA10</f>
        <v>55.373429000000002</v>
      </c>
      <c r="AD10" s="616">
        <f>'[18]Summary data'!AB10</f>
        <v>61.334954000000003</v>
      </c>
      <c r="AE10" s="616">
        <f>'[18]Summary data'!AC10</f>
        <v>46.432853999999999</v>
      </c>
      <c r="AF10" s="616">
        <f>'[18]Summary data'!AD10</f>
        <v>60.268787000000003</v>
      </c>
      <c r="AG10" s="616">
        <f>'[18]Summary data'!AE10</f>
        <v>68.721584000000007</v>
      </c>
      <c r="AH10" s="616">
        <f>'[18]Summary data'!AF10</f>
        <v>48.258432999999997</v>
      </c>
      <c r="AI10" s="616">
        <f>'[18]Summary data'!AG10</f>
        <v>71.499424000000005</v>
      </c>
      <c r="AJ10" s="616">
        <f>'[18]Summary data'!AH10</f>
        <v>71.499424000000005</v>
      </c>
    </row>
    <row r="11" spans="1:36">
      <c r="C11" s="45" t="s">
        <v>1738</v>
      </c>
      <c r="D11" s="616">
        <f>'[18]Summary data'!B5</f>
        <v>26.502327455721311</v>
      </c>
      <c r="E11" s="616">
        <f>'[18]Summary data'!C5</f>
        <v>22.292623896012614</v>
      </c>
      <c r="F11" s="616">
        <f>'[18]Summary data'!D5</f>
        <v>31.002112788485551</v>
      </c>
      <c r="G11" s="616">
        <f>'[18]Summary data'!E5</f>
        <v>35.639761362852639</v>
      </c>
      <c r="H11" s="616">
        <f>'[18]Summary data'!F5</f>
        <v>39.940676607343306</v>
      </c>
      <c r="I11" s="616">
        <f>'[18]Summary data'!G5</f>
        <v>29.386089189916959</v>
      </c>
      <c r="J11" s="616">
        <f>'[18]Summary data'!H5</f>
        <v>24.929261707551802</v>
      </c>
      <c r="K11" s="616">
        <f>'[18]Summary data'!I5</f>
        <v>25.767391992947029</v>
      </c>
      <c r="L11" s="616">
        <f>'[18]Summary data'!J5</f>
        <v>21.475681968686292</v>
      </c>
      <c r="M11" s="616">
        <f>'[18]Summary data'!K5</f>
        <v>25.477397605342389</v>
      </c>
      <c r="N11" s="616">
        <f>'[18]Summary data'!L5</f>
        <v>41.137498633879744</v>
      </c>
      <c r="O11" s="616">
        <f>'[18]Summary data'!M5</f>
        <v>56.387766959593392</v>
      </c>
      <c r="P11" s="616">
        <f>'[18]Summary data'!N5</f>
        <v>43.25974630136988</v>
      </c>
      <c r="Q11" s="616">
        <f>'[18]Summary data'!O5</f>
        <v>54.781389041095927</v>
      </c>
      <c r="R11" s="616">
        <f>'[18]Summary data'!P5</f>
        <v>56.318993169398937</v>
      </c>
      <c r="S11" s="616">
        <f>'[18]Summary data'!Q5</f>
        <v>64.178432876712321</v>
      </c>
      <c r="T11" s="616">
        <f>'[18]Summary data'!R5</f>
        <v>45.198923287671199</v>
      </c>
      <c r="U11" s="616">
        <f>'[18]Summary data'!S5</f>
        <v>64.956972602739697</v>
      </c>
      <c r="V11" s="616">
        <f>'[18]Summary data'!T5</f>
        <v>39.24910928961755</v>
      </c>
      <c r="W11" s="616">
        <f>'[18]Summary data'!U5</f>
        <v>31.936742465753447</v>
      </c>
      <c r="X11" s="616">
        <f>'[18]Summary data'!V5</f>
        <v>31.22629452054797</v>
      </c>
      <c r="Y11" s="616">
        <f>'[18]Summary data'!W5</f>
        <v>27.856838726630514</v>
      </c>
      <c r="Z11" s="616">
        <f>'[18]Summary data'!X5</f>
        <v>29.861984478605081</v>
      </c>
      <c r="AA11" s="616">
        <f>'[18]Summary data'!Y5</f>
        <v>33.803941994855158</v>
      </c>
      <c r="AB11" s="616">
        <f>'[18]Summary data'!Z5</f>
        <v>30.833825028000348</v>
      </c>
      <c r="AC11" s="616">
        <f>'[18]Summary data'!AA5</f>
        <v>37.047522808219149</v>
      </c>
      <c r="AD11" s="616">
        <f>'[18]Summary data'!AB5</f>
        <v>37.686786076774347</v>
      </c>
      <c r="AE11" s="616">
        <f>'[18]Summary data'!AC5</f>
        <v>32.32668749364651</v>
      </c>
      <c r="AF11" s="616">
        <f>'[18]Summary data'!AD5</f>
        <v>40.150279274299997</v>
      </c>
      <c r="AG11" s="616">
        <f>'[18]Summary data'!AE5</f>
        <v>33.635377907046504</v>
      </c>
      <c r="AH11" s="616">
        <f>'[18]Summary data'!AF5</f>
        <v>31.960719684406627</v>
      </c>
      <c r="AI11" s="616">
        <f>'[18]Summary data'!AG5</f>
        <v>23.27871846583529</v>
      </c>
      <c r="AJ11" s="616">
        <f>'[18]Summary data'!AH5</f>
        <v>23.27871846583529</v>
      </c>
    </row>
    <row r="12" spans="1:36">
      <c r="C12" s="45" t="s">
        <v>1623</v>
      </c>
      <c r="D12" s="616">
        <f>'[18]Summary data'!B3</f>
        <v>23.476887290073577</v>
      </c>
      <c r="E12" s="616">
        <f>'[18]Summary data'!C3</f>
        <v>26.003152685641361</v>
      </c>
      <c r="F12" s="616">
        <f>'[18]Summary data'!D3</f>
        <v>21.997090219408591</v>
      </c>
      <c r="G12" s="616">
        <f>'[18]Summary data'!E3</f>
        <v>24.063231947030829</v>
      </c>
      <c r="H12" s="616">
        <f>'[18]Summary data'!F3</f>
        <v>27.066313932980592</v>
      </c>
      <c r="I12" s="616">
        <f>'[18]Summary data'!G3</f>
        <v>27.625222146274773</v>
      </c>
      <c r="J12" s="616">
        <f>'[18]Summary data'!H3</f>
        <v>26.932265375921421</v>
      </c>
      <c r="K12" s="616">
        <f>'[18]Summary data'!I3</f>
        <v>22.787283121942789</v>
      </c>
      <c r="L12" s="616">
        <f>'[18]Summary data'!J3</f>
        <v>21.492335073541902</v>
      </c>
      <c r="M12" s="616">
        <f>'[18]Summary data'!K3</f>
        <v>18.953020119840073</v>
      </c>
      <c r="N12" s="616">
        <f>'[18]Summary data'!L3</f>
        <v>33.11656693989076</v>
      </c>
      <c r="O12" s="616">
        <f>'[18]Summary data'!M3</f>
        <v>48.226227420301377</v>
      </c>
      <c r="P12" s="616">
        <f>'[18]Summary data'!N3</f>
        <v>33.49893150684936</v>
      </c>
      <c r="Q12" s="616">
        <f>'[18]Summary data'!O3</f>
        <v>34.52365831825621</v>
      </c>
      <c r="R12" s="616">
        <f>'[18]Summary data'!P3</f>
        <v>32.848131147540968</v>
      </c>
      <c r="S12" s="616">
        <f>'[18]Summary data'!Q3</f>
        <v>31.632824410958872</v>
      </c>
      <c r="T12" s="616">
        <f>'[18]Summary data'!R3</f>
        <v>40.426204359438223</v>
      </c>
      <c r="U12" s="616">
        <f>'[18]Summary data'!S3</f>
        <v>33.1890904798828</v>
      </c>
      <c r="V12" s="616">
        <f>'[18]Summary data'!T3</f>
        <v>23.024607923497271</v>
      </c>
      <c r="W12" s="616">
        <f>'[18]Summary data'!U3</f>
        <v>24.702838356164392</v>
      </c>
      <c r="X12" s="616">
        <f>'[18]Summary data'!V3</f>
        <v>17.653638356164382</v>
      </c>
      <c r="Y12" s="616">
        <f>'[18]Summary data'!W3</f>
        <v>22.751745205479452</v>
      </c>
      <c r="Z12" s="616">
        <f>'[18]Summary data'!X3</f>
        <v>18.87168421317266</v>
      </c>
      <c r="AA12" s="616">
        <f>'[18]Summary data'!Y3</f>
        <v>14.509183217024205</v>
      </c>
      <c r="AB12" s="616">
        <f>'[18]Summary data'!Z3</f>
        <v>16.892873972602739</v>
      </c>
      <c r="AC12" s="616">
        <f>'[18]Summary data'!AA3</f>
        <v>17.405202739726029</v>
      </c>
      <c r="AD12" s="616">
        <f>'[18]Summary data'!AB3</f>
        <v>14.284569317978008</v>
      </c>
      <c r="AE12" s="616">
        <f>'[18]Summary data'!AC3</f>
        <v>21.185363343078308</v>
      </c>
      <c r="AF12" s="616">
        <f>'[18]Summary data'!AD3</f>
        <v>19.510930466299996</v>
      </c>
      <c r="AG12" s="616">
        <f>'[18]Summary data'!AE3</f>
        <v>16.688859234078308</v>
      </c>
      <c r="AH12" s="616">
        <f>'[18]Summary data'!AF3</f>
        <v>17.592746963950361</v>
      </c>
      <c r="AI12" s="616">
        <f>'[18]Summary data'!AG3</f>
        <v>21.023397948806611</v>
      </c>
      <c r="AJ12" s="616">
        <f>'[18]Summary data'!AH3</f>
        <v>21.023397948806611</v>
      </c>
    </row>
    <row r="13" spans="1:36">
      <c r="C13" s="45" t="s">
        <v>1599</v>
      </c>
      <c r="D13" s="616">
        <f>'[18]Summary data'!B4</f>
        <v>0.97819229390680995</v>
      </c>
      <c r="E13" s="616">
        <f>'[18]Summary data'!C4</f>
        <v>0.86622082444313242</v>
      </c>
      <c r="F13" s="616">
        <f>'[18]Summary data'!D4</f>
        <v>1.1022551103293603</v>
      </c>
      <c r="G13" s="616">
        <f>'[18]Summary data'!E4</f>
        <v>1.2546956790123502</v>
      </c>
      <c r="H13" s="616">
        <f>'[18]Summary data'!F4</f>
        <v>0.97750151515151495</v>
      </c>
      <c r="I13" s="616">
        <f>'[18]Summary data'!G4</f>
        <v>0.97861421425464501</v>
      </c>
      <c r="J13" s="616">
        <f>'[18]Summary data'!H4</f>
        <v>1.0493419473081331</v>
      </c>
      <c r="K13" s="616">
        <f>'[18]Summary data'!I4</f>
        <v>1.0099348300579951</v>
      </c>
      <c r="L13" s="616">
        <f>'[18]Summary data'!J4</f>
        <v>1.4610629913451989</v>
      </c>
      <c r="M13" s="616">
        <f>'[18]Summary data'!K4</f>
        <v>1.2422264626974417</v>
      </c>
      <c r="N13" s="616">
        <f>'[18]Summary data'!L4</f>
        <v>1.1521857923497287</v>
      </c>
      <c r="O13" s="616">
        <f>'[18]Summary data'!M4</f>
        <v>0.42557534246575335</v>
      </c>
      <c r="P13" s="616">
        <f>'[18]Summary data'!N4</f>
        <v>3.9435068493150718</v>
      </c>
      <c r="Q13" s="616">
        <f>'[18]Summary data'!O4</f>
        <v>5.1599452054794543</v>
      </c>
      <c r="R13" s="616">
        <f>'[18]Summary data'!P4</f>
        <v>3.2071243169398898</v>
      </c>
      <c r="S13" s="616">
        <f>'[18]Summary data'!Q4</f>
        <v>2.7893424657534229</v>
      </c>
      <c r="T13" s="616">
        <f>'[18]Summary data'!R4</f>
        <v>3.0718109589041065</v>
      </c>
      <c r="U13" s="616">
        <f>'[18]Summary data'!S4</f>
        <v>4.8757671232876696</v>
      </c>
      <c r="V13" s="616">
        <f>'[18]Summary data'!T4</f>
        <v>2.5649972677595607</v>
      </c>
      <c r="W13" s="616">
        <f>'[18]Summary data'!U4</f>
        <v>4.2178506849315065</v>
      </c>
      <c r="X13" s="616">
        <f>'[18]Summary data'!V4</f>
        <v>3.6063424657534253</v>
      </c>
      <c r="Y13" s="616">
        <f>'[18]Summary data'!W4</f>
        <v>0.53636986301369827</v>
      </c>
      <c r="Z13" s="616">
        <f>'[18]Summary data'!X4</f>
        <v>0.29344063008896543</v>
      </c>
      <c r="AA13" s="616">
        <f>'[18]Summary data'!Y4</f>
        <v>5.0016438356164386E-2</v>
      </c>
      <c r="AB13" s="616">
        <f>'[18]Summary data'!Z4</f>
        <v>5.5479452054794522E-2</v>
      </c>
      <c r="AC13" s="616">
        <f>'[18]Summary data'!AA4</f>
        <v>7.1917808219178106E-2</v>
      </c>
      <c r="AD13" s="616">
        <f>'[18]Summary data'!AB4</f>
        <v>0.2161319761382417</v>
      </c>
      <c r="AE13" s="616">
        <f>'[18]Summary data'!AC4</f>
        <v>0.21206533194615401</v>
      </c>
      <c r="AF13" s="616">
        <f>'[18]Summary data'!AD4</f>
        <v>0.203846154</v>
      </c>
      <c r="AG13" s="616">
        <f>'[18]Summary data'!AE4</f>
        <v>0.223024235846154</v>
      </c>
      <c r="AH13" s="616">
        <f>'[18]Summary data'!AF4</f>
        <v>0.05</v>
      </c>
      <c r="AI13" s="616">
        <f>'[18]Summary data'!AG4</f>
        <v>0.2203121193522079</v>
      </c>
      <c r="AJ13" s="616">
        <f>'[18]Summary data'!AH4</f>
        <v>0.2203121193522079</v>
      </c>
    </row>
    <row r="14" spans="1:36">
      <c r="C14" s="45" t="s">
        <v>1624</v>
      </c>
      <c r="D14" s="616">
        <f>'[18]Summary data'!B7</f>
        <v>4.8707924039236499</v>
      </c>
      <c r="E14" s="616">
        <f>'[18]Summary data'!C7</f>
        <v>4.51184669469355</v>
      </c>
      <c r="F14" s="616">
        <f>'[18]Summary data'!D7</f>
        <v>3.8627687486653404</v>
      </c>
      <c r="G14" s="616">
        <f>'[18]Summary data'!E7</f>
        <v>2.1373459010966269</v>
      </c>
      <c r="H14" s="616">
        <f>'[18]Summary data'!F7</f>
        <v>2.4526490075356699</v>
      </c>
      <c r="I14" s="616">
        <f>'[18]Summary data'!G7</f>
        <v>1.6101453348246682</v>
      </c>
      <c r="J14" s="616">
        <f>'[18]Summary data'!H7</f>
        <v>2.100487971877866</v>
      </c>
      <c r="K14" s="616">
        <f>'[18]Summary data'!I7</f>
        <v>1.7050545671804134</v>
      </c>
      <c r="L14" s="616">
        <f>'[18]Summary data'!J7</f>
        <v>1.5598066373721311</v>
      </c>
      <c r="M14" s="616">
        <f>'[18]Summary data'!K7</f>
        <v>1.6729369891793882</v>
      </c>
      <c r="N14" s="616">
        <f>'[18]Summary data'!L7</f>
        <v>5.6027322404371596</v>
      </c>
      <c r="O14" s="616">
        <f>'[18]Summary data'!M7</f>
        <v>4.9048410958904096</v>
      </c>
      <c r="P14" s="616">
        <f>'[18]Summary data'!N7</f>
        <v>7.8824679452054758</v>
      </c>
      <c r="Q14" s="616">
        <f>'[18]Summary data'!O7</f>
        <v>7.4706191780821962</v>
      </c>
      <c r="R14" s="616">
        <f>'[18]Summary data'!P7</f>
        <v>8.5673360655737678</v>
      </c>
      <c r="S14" s="616">
        <f>'[18]Summary data'!Q7</f>
        <v>7.5358904109588956</v>
      </c>
      <c r="T14" s="616">
        <f>'[18]Summary data'!R7</f>
        <v>9.6201479452054812</v>
      </c>
      <c r="U14" s="616">
        <f>'[18]Summary data'!S7</f>
        <v>8.3277671232876731</v>
      </c>
      <c r="V14" s="616">
        <f>'[18]Summary data'!T7</f>
        <v>11.463972677595629</v>
      </c>
      <c r="W14" s="616">
        <f>'[18]Summary data'!U7</f>
        <v>11.041761643835621</v>
      </c>
      <c r="X14" s="616">
        <f>'[18]Summary data'!V7</f>
        <v>11.092454794520551</v>
      </c>
      <c r="Y14" s="616">
        <f>'[18]Summary data'!W7</f>
        <v>13.471032876712339</v>
      </c>
      <c r="Z14" s="616">
        <f>'[18]Summary data'!X7</f>
        <v>6.5207267759562804</v>
      </c>
      <c r="AA14" s="616">
        <f>'[18]Summary data'!Y7</f>
        <v>5.1800767123287699</v>
      </c>
      <c r="AB14" s="616">
        <f>'[18]Summary data'!Z7</f>
        <v>6.8520547945205497</v>
      </c>
      <c r="AC14" s="616">
        <f>'[18]Summary data'!AA7</f>
        <v>5.7068493150684905</v>
      </c>
      <c r="AD14" s="616">
        <f>'[18]Summary data'!AB7</f>
        <v>5.8355240197618601</v>
      </c>
      <c r="AE14" s="616">
        <f>'[18]Summary data'!AC7</f>
        <v>6.2376677895147496</v>
      </c>
      <c r="AF14" s="616">
        <f>'[18]Summary data'!AD7</f>
        <v>6.2376677898999997</v>
      </c>
      <c r="AG14" s="616">
        <f>'[18]Summary data'!AE7</f>
        <v>7.2376677896147497</v>
      </c>
      <c r="AH14" s="616">
        <f>'[18]Summary data'!AF7</f>
        <v>6.8113383154153997</v>
      </c>
      <c r="AI14" s="616">
        <f>'[18]Summary data'!AG7</f>
        <v>6.5157693898634799</v>
      </c>
      <c r="AJ14" s="616">
        <f>'[18]Summary data'!AH7</f>
        <v>6.5157693898634799</v>
      </c>
    </row>
    <row r="15" spans="1:36">
      <c r="C15" s="45" t="s">
        <v>1601</v>
      </c>
      <c r="D15" s="616">
        <f>'[18]Summary data'!B2</f>
        <v>39.542801727244779</v>
      </c>
      <c r="E15" s="616">
        <f>'[18]Summary data'!C2</f>
        <v>38.871370563099745</v>
      </c>
      <c r="F15" s="616">
        <f>'[18]Summary data'!D2</f>
        <v>43.111438422867081</v>
      </c>
      <c r="G15" s="616">
        <f>'[18]Summary data'!E2</f>
        <v>42.567204634802437</v>
      </c>
      <c r="H15" s="616">
        <f>'[18]Summary data'!F2</f>
        <v>46.608000641333966</v>
      </c>
      <c r="I15" s="616">
        <f>'[18]Summary data'!G2</f>
        <v>44.431931067337729</v>
      </c>
      <c r="J15" s="616">
        <f>'[18]Summary data'!H2</f>
        <v>44.039816357713839</v>
      </c>
      <c r="K15" s="616">
        <f>'[18]Summary data'!I2</f>
        <v>46.205982207214788</v>
      </c>
      <c r="L15" s="616">
        <f>'[18]Summary data'!J2</f>
        <v>44.497755777161181</v>
      </c>
      <c r="M15" s="616">
        <f>'[18]Summary data'!K2</f>
        <v>31.697683592200711</v>
      </c>
      <c r="N15" s="616">
        <f>'[18]Summary data'!L2</f>
        <v>98.057774590163888</v>
      </c>
      <c r="O15" s="616">
        <f>'[18]Summary data'!M2</f>
        <v>98.826884931506839</v>
      </c>
      <c r="P15" s="616">
        <f>'[18]Summary data'!N2</f>
        <v>100.81681232876704</v>
      </c>
      <c r="Q15" s="616">
        <f>'[18]Summary data'!O2</f>
        <v>113.61550547945214</v>
      </c>
      <c r="R15" s="616">
        <f>'[18]Summary data'!P2</f>
        <v>106.29062158469951</v>
      </c>
      <c r="S15" s="616">
        <f>'[18]Summary data'!Q2</f>
        <v>105.54842465753424</v>
      </c>
      <c r="T15" s="616">
        <f>'[18]Summary data'!R2</f>
        <v>77.762556164383597</v>
      </c>
      <c r="U15" s="616">
        <f>'[18]Summary data'!S2</f>
        <v>79.589853424657505</v>
      </c>
      <c r="V15" s="616">
        <f>'[18]Summary data'!T2</f>
        <v>60.921144808743129</v>
      </c>
      <c r="W15" s="616">
        <f>'[18]Summary data'!U2</f>
        <v>80.104934246575297</v>
      </c>
      <c r="X15" s="616">
        <f>'[18]Summary data'!V2</f>
        <v>61.018871232876705</v>
      </c>
      <c r="Y15" s="616">
        <f>'[18]Summary data'!W2</f>
        <v>79.865676712328693</v>
      </c>
      <c r="Z15" s="616">
        <f>'[18]Summary data'!X2</f>
        <v>71.065987932480013</v>
      </c>
      <c r="AA15" s="616">
        <f>'[18]Summary data'!Y2</f>
        <v>63.559389835616429</v>
      </c>
      <c r="AB15" s="616">
        <f>'[18]Summary data'!Z2</f>
        <v>68.557013698630158</v>
      </c>
      <c r="AC15" s="616">
        <f>'[18]Summary data'!AA2</f>
        <v>61.163863013698659</v>
      </c>
      <c r="AD15" s="616">
        <f>'[18]Summary data'!AB2</f>
        <v>56.868605749217842</v>
      </c>
      <c r="AE15" s="616">
        <f>'[18]Summary data'!AC2</f>
        <v>69.959301796580078</v>
      </c>
      <c r="AF15" s="616">
        <f>'[18]Summary data'!AD2</f>
        <v>64.531162070500002</v>
      </c>
      <c r="AG15" s="616">
        <f>'[18]Summary data'!AE2</f>
        <v>40.168096317980094</v>
      </c>
      <c r="AH15" s="616">
        <f>'[18]Summary data'!AF2</f>
        <v>34.598503329161865</v>
      </c>
      <c r="AI15" s="616">
        <f>'[18]Summary data'!AG2</f>
        <v>40.978094857919764</v>
      </c>
      <c r="AJ15" s="616">
        <f>'[18]Summary data'!AH2</f>
        <v>40.978094857919764</v>
      </c>
    </row>
    <row r="16" spans="1:36">
      <c r="C16" s="45" t="s">
        <v>1602</v>
      </c>
      <c r="D16" s="616">
        <f>'[18]Summary data'!B6</f>
        <v>34.164786748180049</v>
      </c>
      <c r="E16" s="616">
        <f>'[18]Summary data'!C6</f>
        <v>32.055388076120927</v>
      </c>
      <c r="F16" s="616">
        <f>'[18]Summary data'!D6</f>
        <v>40.634133188255554</v>
      </c>
      <c r="G16" s="616">
        <f>'[18]Summary data'!E6</f>
        <v>40.00289301538038</v>
      </c>
      <c r="H16" s="616">
        <f>'[18]Summary data'!F6</f>
        <v>42.778258778258824</v>
      </c>
      <c r="I16" s="616">
        <f>'[18]Summary data'!G6</f>
        <v>35.661177737732764</v>
      </c>
      <c r="J16" s="616">
        <f>'[18]Summary data'!H6</f>
        <v>29.50839237131715</v>
      </c>
      <c r="K16" s="616">
        <f>'[18]Summary data'!I6</f>
        <v>32.641525239924007</v>
      </c>
      <c r="L16" s="616">
        <f>'[18]Summary data'!J6</f>
        <v>34.96708310980808</v>
      </c>
      <c r="M16" s="616">
        <f>'[18]Summary data'!K6</f>
        <v>20.881254354653692</v>
      </c>
      <c r="N16" s="616">
        <f>'[18]Summary data'!L6</f>
        <v>60.339924863387964</v>
      </c>
      <c r="O16" s="616">
        <f>'[18]Summary data'!M6</f>
        <v>103.50897945205469</v>
      </c>
      <c r="P16" s="616">
        <f>'[18]Summary data'!N6</f>
        <v>87.765351780822002</v>
      </c>
      <c r="Q16" s="616">
        <f>'[18]Summary data'!O6</f>
        <v>89.525430136986301</v>
      </c>
      <c r="R16" s="616">
        <f>'[18]Summary data'!P6</f>
        <v>111.07863387978138</v>
      </c>
      <c r="S16" s="616">
        <f>'[18]Summary data'!Q6</f>
        <v>100.5328452054795</v>
      </c>
      <c r="T16" s="616">
        <f>'[18]Summary data'!R6</f>
        <v>124.1432410958904</v>
      </c>
      <c r="U16" s="616">
        <f>'[18]Summary data'!S6</f>
        <v>83.396193150685008</v>
      </c>
      <c r="V16" s="616">
        <f>'[18]Summary data'!T6</f>
        <v>83.155173497267839</v>
      </c>
      <c r="W16" s="616">
        <f>'[18]Summary data'!U6</f>
        <v>75.937316438356163</v>
      </c>
      <c r="X16" s="616">
        <f>'[18]Summary data'!V6</f>
        <v>73.448249315068537</v>
      </c>
      <c r="Y16" s="616">
        <f>'[18]Summary data'!W6</f>
        <v>55.538018082191783</v>
      </c>
      <c r="Z16" s="616">
        <f>'[18]Summary data'!X6</f>
        <v>55.439415301444718</v>
      </c>
      <c r="AA16" s="616">
        <f>'[18]Summary data'!Y6</f>
        <v>31.749122191780838</v>
      </c>
      <c r="AB16" s="616">
        <f>'[18]Summary data'!Z6</f>
        <v>26.971503013698651</v>
      </c>
      <c r="AC16" s="616">
        <f>'[18]Summary data'!AA6</f>
        <v>30.330407123287699</v>
      </c>
      <c r="AD16" s="616">
        <f>'[18]Summary data'!AB6</f>
        <v>20.098675670194773</v>
      </c>
      <c r="AE16" s="616">
        <f>'[18]Summary data'!AC6</f>
        <v>17.99050544729554</v>
      </c>
      <c r="AF16" s="616">
        <f>'[18]Summary data'!AD6</f>
        <v>10.380171200500001</v>
      </c>
      <c r="AG16" s="616">
        <f>'[18]Summary data'!AE6</f>
        <v>21.697206818195539</v>
      </c>
      <c r="AH16" s="616">
        <f>'[18]Summary data'!AF6</f>
        <v>27.442956047360507</v>
      </c>
      <c r="AI16" s="616">
        <f>'[18]Summary data'!AG6</f>
        <v>24.188273151096837</v>
      </c>
      <c r="AJ16" s="616">
        <f>'[18]Summary data'!AH6</f>
        <v>24.188273151096837</v>
      </c>
    </row>
    <row r="17" spans="2:36">
      <c r="C17" s="45" t="s">
        <v>1785</v>
      </c>
      <c r="D17" s="616">
        <f>'[18]Summary data'!B8</f>
        <v>23.653402080949817</v>
      </c>
      <c r="E17" s="616">
        <f>'[18]Summary data'!C8</f>
        <v>30.114617259988719</v>
      </c>
      <c r="F17" s="616">
        <f>'[18]Summary data'!D8</f>
        <v>16.103191521988609</v>
      </c>
      <c r="G17" s="616">
        <f>'[18]Summary data'!E8</f>
        <v>17.513087459824778</v>
      </c>
      <c r="H17" s="616">
        <f>'[18]Summary data'!F8</f>
        <v>13.45208951739618</v>
      </c>
      <c r="I17" s="616">
        <f>'[18]Summary data'!G8</f>
        <v>25.222040309658478</v>
      </c>
      <c r="J17" s="616">
        <f>'[18]Summary data'!H8</f>
        <v>33.643574268309827</v>
      </c>
      <c r="K17" s="616">
        <f>'[18]Summary data'!I8</f>
        <v>35.372238040733038</v>
      </c>
      <c r="L17" s="616">
        <f>'[18]Summary data'!J8</f>
        <v>35.561494442085248</v>
      </c>
      <c r="M17" s="616">
        <f>'[18]Summary data'!K8</f>
        <v>63.190713752798565</v>
      </c>
      <c r="N17" s="616">
        <f>'[18]Summary data'!L8</f>
        <v>65.009918032786899</v>
      </c>
      <c r="O17" s="616">
        <f>'[18]Summary data'!M8</f>
        <v>39.17900000000008</v>
      </c>
      <c r="P17" s="616">
        <f>'[18]Summary data'!N8</f>
        <v>64.767492876712311</v>
      </c>
      <c r="Q17" s="616">
        <f>'[18]Summary data'!O8</f>
        <v>54.64686624712327</v>
      </c>
      <c r="R17" s="616">
        <f>'[18]Summary data'!P8</f>
        <v>51.132394808743236</v>
      </c>
      <c r="S17" s="616">
        <f>'[18]Summary data'!Q8</f>
        <v>52.088779452054816</v>
      </c>
      <c r="T17" s="616">
        <f>'[18]Summary data'!R8</f>
        <v>43.602116438356099</v>
      </c>
      <c r="U17" s="616">
        <f>'[18]Summary data'!S8</f>
        <v>49.585206849315099</v>
      </c>
      <c r="V17" s="616">
        <f>'[18]Summary data'!T8</f>
        <v>35.57393715846996</v>
      </c>
      <c r="W17" s="616">
        <f>'[18]Summary data'!U8</f>
        <v>18.554162970621178</v>
      </c>
      <c r="X17" s="616">
        <f>'[18]Summary data'!V8</f>
        <v>12.450708219178072</v>
      </c>
      <c r="Y17" s="616">
        <f>'[18]Summary data'!W8</f>
        <v>6.4003671232876709</v>
      </c>
      <c r="Z17" s="616">
        <f>'[18]Summary data'!X8</f>
        <v>7.8260198794476077</v>
      </c>
      <c r="AA17" s="616">
        <f>'[18]Summary data'!Y8</f>
        <v>4.4815498398869664</v>
      </c>
      <c r="AB17" s="616">
        <f>'[18]Summary data'!Z8</f>
        <v>4.5374164383561624</v>
      </c>
      <c r="AC17" s="616">
        <f>'[18]Summary data'!AA8</f>
        <v>4.3935808219178094</v>
      </c>
      <c r="AD17" s="616">
        <f>'[18]Summary data'!AB8</f>
        <v>4.4707803679359097</v>
      </c>
      <c r="AE17" s="616">
        <f>'[18]Summary data'!AC8</f>
        <v>1.156457534247</v>
      </c>
      <c r="AF17" s="616">
        <f>'[18]Summary data'!AD8</f>
        <v>1.1959095890410001</v>
      </c>
      <c r="AG17" s="616">
        <f>'[18]Summary data'!AE8</f>
        <v>1.2279763319189998</v>
      </c>
      <c r="AH17" s="616">
        <f>'[18]Summary data'!AF8</f>
        <v>1.7099999999999999E-3</v>
      </c>
      <c r="AI17" s="616">
        <f>'[18]Summary data'!AG8</f>
        <v>1.98E-3</v>
      </c>
      <c r="AJ17" s="616">
        <f>'[18]Summary data'!AH8</f>
        <v>1.98E-3</v>
      </c>
    </row>
    <row r="18" spans="2:36">
      <c r="C18" s="76" t="s">
        <v>1610</v>
      </c>
      <c r="D18" s="612">
        <f>SUM(D19:D24)</f>
        <v>0.32</v>
      </c>
      <c r="E18" s="612">
        <f t="shared" ref="E18:AF18" si="0">SUM(E19:E24)</f>
        <v>0.26900000000000002</v>
      </c>
      <c r="F18" s="612">
        <f t="shared" si="0"/>
        <v>0.66399999999999992</v>
      </c>
      <c r="G18" s="612">
        <f t="shared" si="0"/>
        <v>0.77927397260274001</v>
      </c>
      <c r="H18" s="612">
        <f t="shared" si="0"/>
        <v>0.85199999999999998</v>
      </c>
      <c r="I18" s="612">
        <f t="shared" si="0"/>
        <v>0.90700000000000003</v>
      </c>
      <c r="J18" s="612">
        <f t="shared" si="0"/>
        <v>0.66326229508196699</v>
      </c>
      <c r="K18" s="612">
        <f t="shared" si="0"/>
        <v>1.115</v>
      </c>
      <c r="L18" s="612">
        <f t="shared" si="0"/>
        <v>0.57200000000000006</v>
      </c>
      <c r="M18" s="612">
        <f t="shared" si="0"/>
        <v>0.622</v>
      </c>
      <c r="N18" s="612">
        <f t="shared" si="0"/>
        <v>1.4012513661202199</v>
      </c>
      <c r="O18" s="612">
        <f t="shared" si="0"/>
        <v>1.1351479452054789</v>
      </c>
      <c r="P18" s="612">
        <f t="shared" si="0"/>
        <v>1.3655643835616429</v>
      </c>
      <c r="Q18" s="612">
        <f t="shared" si="0"/>
        <v>2.1922767123287681</v>
      </c>
      <c r="R18" s="612">
        <f t="shared" si="0"/>
        <v>2.2896174863387979</v>
      </c>
      <c r="S18" s="612">
        <f t="shared" si="0"/>
        <v>2.0684931506849313</v>
      </c>
      <c r="T18" s="612">
        <f t="shared" si="0"/>
        <v>2.7943835616438353</v>
      </c>
      <c r="U18" s="612">
        <f t="shared" si="0"/>
        <v>2.6800079167038686</v>
      </c>
      <c r="V18" s="612">
        <f t="shared" si="0"/>
        <v>1.1991262135922329</v>
      </c>
      <c r="W18" s="612">
        <f t="shared" si="0"/>
        <v>0.47</v>
      </c>
      <c r="X18" s="612">
        <f t="shared" si="0"/>
        <v>0.47</v>
      </c>
      <c r="Y18" s="612">
        <f t="shared" si="0"/>
        <v>0.47</v>
      </c>
      <c r="Z18" s="612">
        <f t="shared" si="0"/>
        <v>0.47</v>
      </c>
      <c r="AA18" s="612">
        <f t="shared" si="0"/>
        <v>0.47</v>
      </c>
      <c r="AB18" s="612">
        <f t="shared" si="0"/>
        <v>0.47</v>
      </c>
      <c r="AC18" s="612">
        <f t="shared" si="0"/>
        <v>0.47</v>
      </c>
      <c r="AD18" s="612">
        <f t="shared" si="0"/>
        <v>0.47</v>
      </c>
      <c r="AE18" s="612">
        <f t="shared" si="0"/>
        <v>0.47</v>
      </c>
      <c r="AF18" s="612">
        <f t="shared" si="0"/>
        <v>0.47</v>
      </c>
      <c r="AG18" s="612">
        <f>SUM(AG19:AG24)</f>
        <v>0.47</v>
      </c>
      <c r="AH18" s="612">
        <f>SUM(AH19:AH24)</f>
        <v>0.47</v>
      </c>
      <c r="AI18" s="612">
        <f>SUM(AI19:AI24)</f>
        <v>0.47</v>
      </c>
      <c r="AJ18" s="612">
        <f>SUM(AJ19:AJ24)</f>
        <v>0.47</v>
      </c>
    </row>
    <row r="19" spans="2:36">
      <c r="C19" s="6" t="s">
        <v>1786</v>
      </c>
      <c r="D19" s="616">
        <f>'[18]Summary data'!B15</f>
        <v>0</v>
      </c>
      <c r="E19" s="616">
        <f>'[18]Summary data'!C15</f>
        <v>0</v>
      </c>
      <c r="F19" s="616">
        <f>'[18]Summary data'!D15</f>
        <v>0</v>
      </c>
      <c r="G19" s="616">
        <f>'[18]Summary data'!E15</f>
        <v>0</v>
      </c>
      <c r="H19" s="616">
        <f>'[18]Summary data'!F15</f>
        <v>0</v>
      </c>
      <c r="I19" s="616">
        <f>'[18]Summary data'!G15</f>
        <v>0</v>
      </c>
      <c r="J19" s="616">
        <f>'[18]Summary data'!H15</f>
        <v>0</v>
      </c>
      <c r="K19" s="616">
        <f>'[18]Summary data'!I15</f>
        <v>0</v>
      </c>
      <c r="L19" s="616">
        <f>'[18]Summary data'!J15</f>
        <v>0</v>
      </c>
      <c r="M19" s="616">
        <f>'[18]Summary data'!K15</f>
        <v>0</v>
      </c>
      <c r="N19" s="616">
        <f>'[18]Summary data'!L15</f>
        <v>0</v>
      </c>
      <c r="O19" s="616">
        <f>'[18]Summary data'!M15</f>
        <v>0</v>
      </c>
      <c r="P19" s="616">
        <f>'[18]Summary data'!N15</f>
        <v>0</v>
      </c>
      <c r="Q19" s="616">
        <f>'[18]Summary data'!O15</f>
        <v>0</v>
      </c>
      <c r="R19" s="616">
        <f>'[18]Summary data'!P15</f>
        <v>0</v>
      </c>
      <c r="S19" s="616">
        <f>'[18]Summary data'!Q15</f>
        <v>0</v>
      </c>
      <c r="T19" s="616">
        <f>'[18]Summary data'!R15</f>
        <v>0</v>
      </c>
      <c r="U19" s="616">
        <f>'[18]Summary data'!S15</f>
        <v>0</v>
      </c>
      <c r="V19" s="616">
        <f>'[18]Summary data'!T15</f>
        <v>0</v>
      </c>
      <c r="W19" s="616">
        <f>'[18]Summary data'!U15</f>
        <v>0</v>
      </c>
      <c r="X19" s="616">
        <f>'[18]Summary data'!V15</f>
        <v>0</v>
      </c>
      <c r="Y19" s="616">
        <f>'[18]Summary data'!W15</f>
        <v>0</v>
      </c>
      <c r="Z19" s="616">
        <f>'[18]Summary data'!X15</f>
        <v>0</v>
      </c>
      <c r="AA19" s="616">
        <f>'[18]Summary data'!Y15</f>
        <v>0</v>
      </c>
      <c r="AB19" s="616">
        <f>'[18]Summary data'!Z15</f>
        <v>0</v>
      </c>
      <c r="AC19" s="616">
        <f>'[18]Summary data'!AA15</f>
        <v>0</v>
      </c>
      <c r="AD19" s="616">
        <f>'[18]Summary data'!AB15</f>
        <v>0</v>
      </c>
      <c r="AE19" s="616">
        <f>'[18]Summary data'!AC15</f>
        <v>0</v>
      </c>
      <c r="AF19" s="616">
        <f>'[18]Summary data'!AD15</f>
        <v>0</v>
      </c>
      <c r="AG19" s="616">
        <f>'[18]Summary data'!AE15</f>
        <v>0</v>
      </c>
      <c r="AH19" s="616">
        <f>'[18]Summary data'!AF15</f>
        <v>0</v>
      </c>
      <c r="AI19" s="616">
        <f>'[18]Summary data'!AG15</f>
        <v>0</v>
      </c>
      <c r="AJ19" s="616">
        <f>'[18]Summary data'!AH15</f>
        <v>0</v>
      </c>
    </row>
    <row r="20" spans="2:36">
      <c r="C20" s="6" t="s">
        <v>1787</v>
      </c>
      <c r="D20" s="616">
        <f>'[18]Summary data'!B16</f>
        <v>0</v>
      </c>
      <c r="E20" s="616">
        <f>'[18]Summary data'!C16</f>
        <v>0</v>
      </c>
      <c r="F20" s="616">
        <f>'[18]Summary data'!D16</f>
        <v>0</v>
      </c>
      <c r="G20" s="616">
        <f>'[18]Summary data'!E16</f>
        <v>0</v>
      </c>
      <c r="H20" s="616">
        <f>'[18]Summary data'!F16</f>
        <v>0</v>
      </c>
      <c r="I20" s="616">
        <f>'[18]Summary data'!G16</f>
        <v>0</v>
      </c>
      <c r="J20" s="616">
        <f>'[18]Summary data'!H16</f>
        <v>0</v>
      </c>
      <c r="K20" s="616">
        <f>'[18]Summary data'!I16</f>
        <v>0</v>
      </c>
      <c r="L20" s="616">
        <f>'[18]Summary data'!J16</f>
        <v>0</v>
      </c>
      <c r="M20" s="616">
        <f>'[18]Summary data'!K16</f>
        <v>0</v>
      </c>
      <c r="N20" s="616">
        <f>'[18]Summary data'!L16</f>
        <v>0</v>
      </c>
      <c r="O20" s="616">
        <f>'[18]Summary data'!M16</f>
        <v>0</v>
      </c>
      <c r="P20" s="616">
        <f>'[18]Summary data'!N16</f>
        <v>0</v>
      </c>
      <c r="Q20" s="616">
        <f>'[18]Summary data'!O16</f>
        <v>0</v>
      </c>
      <c r="R20" s="616">
        <f>'[18]Summary data'!P16</f>
        <v>0</v>
      </c>
      <c r="S20" s="616">
        <f>'[18]Summary data'!Q16</f>
        <v>0</v>
      </c>
      <c r="T20" s="616">
        <f>'[18]Summary data'!R16</f>
        <v>0</v>
      </c>
      <c r="U20" s="616">
        <f>'[18]Summary data'!S16</f>
        <v>0</v>
      </c>
      <c r="V20" s="616">
        <f>'[18]Summary data'!T16</f>
        <v>0</v>
      </c>
      <c r="W20" s="616">
        <f>'[18]Summary data'!U16</f>
        <v>0</v>
      </c>
      <c r="X20" s="616">
        <f>'[18]Summary data'!V16</f>
        <v>0</v>
      </c>
      <c r="Y20" s="616">
        <f>'[18]Summary data'!W16</f>
        <v>0</v>
      </c>
      <c r="Z20" s="616">
        <f>'[18]Summary data'!X16</f>
        <v>0</v>
      </c>
      <c r="AA20" s="616">
        <f>'[18]Summary data'!Y16</f>
        <v>0</v>
      </c>
      <c r="AB20" s="616">
        <f>'[18]Summary data'!Z16</f>
        <v>0</v>
      </c>
      <c r="AC20" s="616">
        <f>'[18]Summary data'!AA16</f>
        <v>0</v>
      </c>
      <c r="AD20" s="616">
        <f>'[18]Summary data'!AB16</f>
        <v>0</v>
      </c>
      <c r="AE20" s="616">
        <f>'[18]Summary data'!AC16</f>
        <v>0</v>
      </c>
      <c r="AF20" s="616">
        <f>'[18]Summary data'!AD16</f>
        <v>0</v>
      </c>
      <c r="AG20" s="616">
        <f>'[18]Summary data'!AE16</f>
        <v>0</v>
      </c>
      <c r="AH20" s="616">
        <f>'[18]Summary data'!AF16</f>
        <v>0</v>
      </c>
      <c r="AI20" s="616">
        <f>'[18]Summary data'!AG16</f>
        <v>0</v>
      </c>
      <c r="AJ20" s="616">
        <f>'[18]Summary data'!AH16</f>
        <v>0</v>
      </c>
    </row>
    <row r="21" spans="2:36">
      <c r="C21" s="6" t="s">
        <v>1788</v>
      </c>
      <c r="D21" s="616">
        <f>'[18]Summary data'!B17</f>
        <v>0.29599999999999999</v>
      </c>
      <c r="E21" s="616">
        <f>'[18]Summary data'!C17</f>
        <v>0.247</v>
      </c>
      <c r="F21" s="616">
        <f>'[18]Summary data'!D17</f>
        <v>0.56799999999999995</v>
      </c>
      <c r="G21" s="616">
        <f>'[18]Summary data'!E17</f>
        <v>0.76027397260273999</v>
      </c>
      <c r="H21" s="616">
        <f>'[18]Summary data'!F17</f>
        <v>0.83</v>
      </c>
      <c r="I21" s="616">
        <f>'[18]Summary data'!G17</f>
        <v>0.62</v>
      </c>
      <c r="J21" s="616">
        <f>'[18]Summary data'!H17</f>
        <v>0.64426229508196697</v>
      </c>
      <c r="K21" s="616">
        <f>'[18]Summary data'!I17</f>
        <v>1.0960000000000001</v>
      </c>
      <c r="L21" s="616">
        <f>'[18]Summary data'!J17</f>
        <v>0.54800000000000004</v>
      </c>
      <c r="M21" s="616">
        <f>'[18]Summary data'!K17</f>
        <v>0.60299999999999998</v>
      </c>
      <c r="N21" s="616">
        <f>'[18]Summary data'!L17</f>
        <v>1.03825136612022</v>
      </c>
      <c r="O21" s="616">
        <f>'[18]Summary data'!M17</f>
        <v>0.82306575342465704</v>
      </c>
      <c r="P21" s="616">
        <f>'[18]Summary data'!N17</f>
        <v>0.96056438356164298</v>
      </c>
      <c r="Q21" s="616">
        <f>'[18]Summary data'!O17</f>
        <v>2.1546219178082202</v>
      </c>
      <c r="R21" s="616">
        <f>'[18]Summary data'!P17</f>
        <v>2.2568306010928962</v>
      </c>
      <c r="S21" s="616">
        <f>'[18]Summary data'!Q17</f>
        <v>2.0356164383561643</v>
      </c>
      <c r="T21" s="616">
        <f>'[18]Summary data'!R17</f>
        <v>2.7643835616438355</v>
      </c>
      <c r="U21" s="616">
        <f>'[18]Summary data'!S17</f>
        <v>2.6498622856359075</v>
      </c>
      <c r="V21" s="616">
        <f>'[18]Summary data'!T17</f>
        <v>1.17</v>
      </c>
      <c r="W21" s="616">
        <f>'[18]Summary data'!U17</f>
        <v>0.44</v>
      </c>
      <c r="X21" s="616">
        <f>'[18]Summary data'!V17</f>
        <v>0.44</v>
      </c>
      <c r="Y21" s="616">
        <f>'[18]Summary data'!W17</f>
        <v>0.44</v>
      </c>
      <c r="Z21" s="616">
        <f>'[18]Summary data'!X17</f>
        <v>0.44</v>
      </c>
      <c r="AA21" s="616">
        <f>'[18]Summary data'!Y17</f>
        <v>0.44</v>
      </c>
      <c r="AB21" s="616">
        <f>'[18]Summary data'!Z17</f>
        <v>0.44</v>
      </c>
      <c r="AC21" s="616">
        <f>'[18]Summary data'!AA17</f>
        <v>0.44</v>
      </c>
      <c r="AD21" s="616">
        <f>'[18]Summary data'!AB17</f>
        <v>0.44</v>
      </c>
      <c r="AE21" s="616">
        <f>'[18]Summary data'!AC17</f>
        <v>0.44</v>
      </c>
      <c r="AF21" s="616">
        <f>'[18]Summary data'!AD17</f>
        <v>0.44</v>
      </c>
      <c r="AG21" s="616">
        <f>'[18]Summary data'!AE17</f>
        <v>0.44</v>
      </c>
      <c r="AH21" s="616">
        <f>'[18]Summary data'!AF17</f>
        <v>0.44</v>
      </c>
      <c r="AI21" s="616">
        <f>'[18]Summary data'!AG17</f>
        <v>0.44</v>
      </c>
      <c r="AJ21" s="616">
        <f>'[18]Summary data'!AH17</f>
        <v>0.44</v>
      </c>
    </row>
    <row r="22" spans="2:36">
      <c r="C22" s="6" t="s">
        <v>1789</v>
      </c>
      <c r="D22" s="616">
        <f>'[18]Summary data'!B18</f>
        <v>5.0000000000000001E-3</v>
      </c>
      <c r="E22" s="616">
        <f>'[18]Summary data'!C18</f>
        <v>3.0000000000000001E-3</v>
      </c>
      <c r="F22" s="616">
        <f>'[18]Summary data'!D18</f>
        <v>7.6999999999999999E-2</v>
      </c>
      <c r="G22" s="616">
        <f>'[18]Summary data'!E18</f>
        <v>0</v>
      </c>
      <c r="H22" s="616">
        <f>'[18]Summary data'!F18</f>
        <v>3.0000000000000001E-3</v>
      </c>
      <c r="I22" s="616">
        <f>'[18]Summary data'!G18</f>
        <v>0.26800000000000002</v>
      </c>
      <c r="J22" s="616">
        <f>'[18]Summary data'!H18</f>
        <v>0</v>
      </c>
      <c r="K22" s="616">
        <f>'[18]Summary data'!I18</f>
        <v>0</v>
      </c>
      <c r="L22" s="616">
        <f>'[18]Summary data'!J18</f>
        <v>5.0000000000000001E-3</v>
      </c>
      <c r="M22" s="616">
        <f>'[18]Summary data'!K18</f>
        <v>0</v>
      </c>
      <c r="N22" s="616">
        <f>'[18]Summary data'!L18</f>
        <v>0.34399999999999997</v>
      </c>
      <c r="O22" s="616">
        <f>'[18]Summary data'!M18</f>
        <v>0.29308219178082201</v>
      </c>
      <c r="P22" s="616">
        <f>'[18]Summary data'!N18</f>
        <v>0.38600000000000001</v>
      </c>
      <c r="Q22" s="616">
        <f>'[18]Summary data'!O18</f>
        <v>1.8654794520547947E-2</v>
      </c>
      <c r="R22" s="616">
        <f>'[18]Summary data'!P18</f>
        <v>1.3661202185792349E-2</v>
      </c>
      <c r="S22" s="616">
        <f>'[18]Summary data'!Q18</f>
        <v>1.3698630136986301E-2</v>
      </c>
      <c r="T22" s="616">
        <f>'[18]Summary data'!R18</f>
        <v>0</v>
      </c>
      <c r="U22" s="616">
        <f>'[18]Summary data'!S18</f>
        <v>0</v>
      </c>
      <c r="V22" s="616">
        <f>'[18]Summary data'!T18</f>
        <v>0</v>
      </c>
      <c r="W22" s="616">
        <f>'[18]Summary data'!U18</f>
        <v>0</v>
      </c>
      <c r="X22" s="616">
        <f>'[18]Summary data'!V18</f>
        <v>0</v>
      </c>
      <c r="Y22" s="616">
        <f>'[18]Summary data'!W18</f>
        <v>0</v>
      </c>
      <c r="Z22" s="616">
        <f>'[18]Summary data'!X18</f>
        <v>0</v>
      </c>
      <c r="AA22" s="616">
        <f>'[18]Summary data'!Y18</f>
        <v>0</v>
      </c>
      <c r="AB22" s="616">
        <f>'[18]Summary data'!Z18</f>
        <v>0</v>
      </c>
      <c r="AC22" s="616">
        <f>'[18]Summary data'!AA18</f>
        <v>0</v>
      </c>
      <c r="AD22" s="616">
        <f>'[18]Summary data'!AB18</f>
        <v>0</v>
      </c>
      <c r="AE22" s="616">
        <f>'[18]Summary data'!AC18</f>
        <v>0</v>
      </c>
      <c r="AF22" s="616">
        <f>'[18]Summary data'!AD18</f>
        <v>0</v>
      </c>
      <c r="AG22" s="616">
        <f>'[18]Summary data'!AE18</f>
        <v>0</v>
      </c>
      <c r="AH22" s="616">
        <f>'[18]Summary data'!AF18</f>
        <v>0</v>
      </c>
      <c r="AI22" s="616">
        <f>'[18]Summary data'!AG18</f>
        <v>0</v>
      </c>
      <c r="AJ22" s="616">
        <f>'[18]Summary data'!AH18</f>
        <v>0</v>
      </c>
    </row>
    <row r="23" spans="2:36">
      <c r="C23" s="6" t="s">
        <v>1790</v>
      </c>
      <c r="D23" s="616">
        <f>'[18]Summary data'!B19</f>
        <v>1.9E-2</v>
      </c>
      <c r="E23" s="616">
        <f>'[18]Summary data'!C19</f>
        <v>1.9E-2</v>
      </c>
      <c r="F23" s="616">
        <f>'[18]Summary data'!D19</f>
        <v>1.9E-2</v>
      </c>
      <c r="G23" s="616">
        <f>'[18]Summary data'!E19</f>
        <v>1.9E-2</v>
      </c>
      <c r="H23" s="616">
        <f>'[18]Summary data'!F19</f>
        <v>1.9E-2</v>
      </c>
      <c r="I23" s="616">
        <f>'[18]Summary data'!G19</f>
        <v>1.9E-2</v>
      </c>
      <c r="J23" s="616">
        <f>'[18]Summary data'!H19</f>
        <v>1.9E-2</v>
      </c>
      <c r="K23" s="616">
        <f>'[18]Summary data'!I19</f>
        <v>1.9E-2</v>
      </c>
      <c r="L23" s="616">
        <f>'[18]Summary data'!J19</f>
        <v>1.9E-2</v>
      </c>
      <c r="M23" s="616">
        <f>'[18]Summary data'!K19</f>
        <v>1.9E-2</v>
      </c>
      <c r="N23" s="616">
        <f>'[18]Summary data'!L19</f>
        <v>1.9E-2</v>
      </c>
      <c r="O23" s="616">
        <f>'[18]Summary data'!M19</f>
        <v>1.9E-2</v>
      </c>
      <c r="P23" s="616">
        <f>'[18]Summary data'!N19</f>
        <v>1.9E-2</v>
      </c>
      <c r="Q23" s="616">
        <f>'[18]Summary data'!O19</f>
        <v>1.9E-2</v>
      </c>
      <c r="R23" s="616">
        <f>'[18]Summary data'!P19</f>
        <v>1.912568306010929E-2</v>
      </c>
      <c r="S23" s="616">
        <f>'[18]Summary data'!Q19</f>
        <v>1.9178082191780823E-2</v>
      </c>
      <c r="T23" s="616">
        <f>'[18]Summary data'!R19</f>
        <v>0.03</v>
      </c>
      <c r="U23" s="616">
        <f>'[18]Summary data'!S19</f>
        <v>3.0145631067961164E-2</v>
      </c>
      <c r="V23" s="616">
        <f>'[18]Summary data'!T19</f>
        <v>2.9126213592233011E-2</v>
      </c>
      <c r="W23" s="616">
        <f>'[18]Summary data'!U19</f>
        <v>0.03</v>
      </c>
      <c r="X23" s="616">
        <f>'[18]Summary data'!V19</f>
        <v>0.03</v>
      </c>
      <c r="Y23" s="616">
        <f>'[18]Summary data'!W19</f>
        <v>0.03</v>
      </c>
      <c r="Z23" s="616">
        <f>'[18]Summary data'!X19</f>
        <v>0.03</v>
      </c>
      <c r="AA23" s="616">
        <f>'[18]Summary data'!Y19</f>
        <v>0.03</v>
      </c>
      <c r="AB23" s="616">
        <f>'[18]Summary data'!Z19</f>
        <v>0.03</v>
      </c>
      <c r="AC23" s="616">
        <f>'[18]Summary data'!AA19</f>
        <v>0.03</v>
      </c>
      <c r="AD23" s="616">
        <f>'[18]Summary data'!AB19</f>
        <v>0.03</v>
      </c>
      <c r="AE23" s="616">
        <f>'[18]Summary data'!AC19</f>
        <v>0.03</v>
      </c>
      <c r="AF23" s="616">
        <f>'[18]Summary data'!AD19</f>
        <v>0.03</v>
      </c>
      <c r="AG23" s="616">
        <f>'[18]Summary data'!AE19</f>
        <v>0.03</v>
      </c>
      <c r="AH23" s="616">
        <f>'[18]Summary data'!AF19</f>
        <v>0.03</v>
      </c>
      <c r="AI23" s="616">
        <f>'[18]Summary data'!AG19</f>
        <v>0.03</v>
      </c>
      <c r="AJ23" s="616">
        <f>'[18]Summary data'!AH19</f>
        <v>0.03</v>
      </c>
    </row>
    <row r="24" spans="2:36">
      <c r="C24" s="7" t="s">
        <v>1791</v>
      </c>
      <c r="D24" s="617">
        <f>'[18]Summary data'!B20</f>
        <v>0</v>
      </c>
      <c r="E24" s="617">
        <f>'[18]Summary data'!C20</f>
        <v>0</v>
      </c>
      <c r="F24" s="617">
        <f>'[18]Summary data'!D20</f>
        <v>0</v>
      </c>
      <c r="G24" s="617">
        <f>'[18]Summary data'!E20</f>
        <v>0</v>
      </c>
      <c r="H24" s="617">
        <f>'[18]Summary data'!F20</f>
        <v>0</v>
      </c>
      <c r="I24" s="617">
        <f>'[18]Summary data'!G20</f>
        <v>0</v>
      </c>
      <c r="J24" s="617">
        <f>'[18]Summary data'!H20</f>
        <v>0</v>
      </c>
      <c r="K24" s="617">
        <f>'[18]Summary data'!I20</f>
        <v>0</v>
      </c>
      <c r="L24" s="617">
        <f>'[18]Summary data'!J20</f>
        <v>0</v>
      </c>
      <c r="M24" s="617">
        <f>'[18]Summary data'!K20</f>
        <v>0</v>
      </c>
      <c r="N24" s="617">
        <f>'[18]Summary data'!L20</f>
        <v>0</v>
      </c>
      <c r="O24" s="617">
        <f>'[18]Summary data'!M20</f>
        <v>0</v>
      </c>
      <c r="P24" s="617">
        <f>'[18]Summary data'!N20</f>
        <v>0</v>
      </c>
      <c r="Q24" s="617">
        <f>'[18]Summary data'!O20</f>
        <v>0</v>
      </c>
      <c r="R24" s="617">
        <f>'[18]Summary data'!P20</f>
        <v>0</v>
      </c>
      <c r="S24" s="617">
        <f>'[18]Summary data'!Q20</f>
        <v>0</v>
      </c>
      <c r="T24" s="617">
        <f>'[18]Summary data'!R20</f>
        <v>0</v>
      </c>
      <c r="U24" s="617">
        <f>'[18]Summary data'!S20</f>
        <v>0</v>
      </c>
      <c r="V24" s="617">
        <f>'[18]Summary data'!T20</f>
        <v>0</v>
      </c>
      <c r="W24" s="617">
        <f>'[18]Summary data'!U20</f>
        <v>0</v>
      </c>
      <c r="X24" s="617">
        <f>'[18]Summary data'!V20</f>
        <v>0</v>
      </c>
      <c r="Y24" s="617">
        <f>'[18]Summary data'!W20</f>
        <v>0</v>
      </c>
      <c r="Z24" s="617">
        <f>'[18]Summary data'!X20</f>
        <v>0</v>
      </c>
      <c r="AA24" s="617">
        <f>'[18]Summary data'!Y20</f>
        <v>0</v>
      </c>
      <c r="AB24" s="617">
        <f>'[18]Summary data'!Z20</f>
        <v>0</v>
      </c>
      <c r="AC24" s="617">
        <f>'[18]Summary data'!AA20</f>
        <v>0</v>
      </c>
      <c r="AD24" s="617">
        <f>'[18]Summary data'!AB20</f>
        <v>0</v>
      </c>
      <c r="AE24" s="617">
        <f>'[18]Summary data'!AC20</f>
        <v>0</v>
      </c>
      <c r="AF24" s="617">
        <f>'[18]Summary data'!AD20</f>
        <v>0</v>
      </c>
      <c r="AG24" s="617">
        <f>'[18]Summary data'!AE20</f>
        <v>0</v>
      </c>
      <c r="AH24" s="617">
        <f>'[18]Summary data'!AF20</f>
        <v>0</v>
      </c>
      <c r="AI24" s="617">
        <f>'[18]Summary data'!AG20</f>
        <v>0</v>
      </c>
      <c r="AJ24" s="617">
        <f>'[18]Summary data'!AH20</f>
        <v>0</v>
      </c>
    </row>
    <row r="25" spans="2:36">
      <c r="C25" s="1" t="s">
        <v>1483</v>
      </c>
      <c r="E25" s="467"/>
    </row>
    <row r="26" spans="2:36">
      <c r="E26" s="467"/>
    </row>
    <row r="27" spans="2:36">
      <c r="B27" s="456"/>
      <c r="C27" s="1" t="s">
        <v>1596</v>
      </c>
      <c r="E27" s="467"/>
    </row>
    <row r="28" spans="2:36">
      <c r="B28" s="456">
        <v>1</v>
      </c>
      <c r="C28" s="458" t="s">
        <v>1784</v>
      </c>
      <c r="D28" s="460">
        <v>1990</v>
      </c>
      <c r="E28" s="772">
        <v>1991</v>
      </c>
      <c r="F28" s="460">
        <v>1992</v>
      </c>
      <c r="G28" s="460">
        <v>1993</v>
      </c>
      <c r="H28" s="460">
        <v>1994</v>
      </c>
      <c r="I28" s="460">
        <v>1995</v>
      </c>
      <c r="J28" s="460">
        <v>1996</v>
      </c>
      <c r="K28" s="460">
        <v>1997</v>
      </c>
      <c r="L28" s="460">
        <v>1998</v>
      </c>
      <c r="M28" s="460">
        <v>1999</v>
      </c>
      <c r="N28" s="460">
        <v>2000</v>
      </c>
      <c r="O28" s="460">
        <v>2001</v>
      </c>
      <c r="P28" s="460">
        <v>2002</v>
      </c>
      <c r="Q28" s="460">
        <v>2003</v>
      </c>
      <c r="R28" s="460">
        <v>2004</v>
      </c>
      <c r="S28" s="460">
        <v>2005</v>
      </c>
      <c r="T28" s="460">
        <v>2006</v>
      </c>
      <c r="U28" s="460">
        <v>2007</v>
      </c>
      <c r="V28" s="460">
        <v>2008</v>
      </c>
      <c r="W28" s="460">
        <v>2009</v>
      </c>
      <c r="X28" s="460">
        <v>2010</v>
      </c>
      <c r="Y28" s="460">
        <v>2011</v>
      </c>
      <c r="Z28" s="460">
        <v>2012</v>
      </c>
      <c r="AA28" s="460">
        <v>2013</v>
      </c>
      <c r="AB28" s="460">
        <v>2014</v>
      </c>
      <c r="AC28" s="460">
        <v>2015</v>
      </c>
      <c r="AD28" s="460">
        <v>2016</v>
      </c>
      <c r="AE28" s="460">
        <v>2017</v>
      </c>
      <c r="AF28" s="460">
        <v>2018</v>
      </c>
      <c r="AG28" s="460">
        <v>2019</v>
      </c>
      <c r="AH28" s="460">
        <v>2020</v>
      </c>
      <c r="AI28" s="460">
        <v>2021</v>
      </c>
      <c r="AJ28" s="460">
        <v>2022</v>
      </c>
    </row>
    <row r="29" spans="2:36">
      <c r="B29" s="456">
        <f>B28+1</f>
        <v>2</v>
      </c>
      <c r="C29" s="45" t="s">
        <v>1435</v>
      </c>
      <c r="D29" s="466">
        <f>D9*Factors!$C$17/1000</f>
        <v>5.4153140038999998</v>
      </c>
      <c r="E29" s="466">
        <f>E9*Factors!$C$17/1000</f>
        <v>5.0225861839999562</v>
      </c>
      <c r="F29" s="466">
        <f>F9*Factors!$C$17/1000</f>
        <v>4.2894793258999551</v>
      </c>
      <c r="G29" s="466">
        <f>G9*Factors!$C$17/1000</f>
        <v>4.4984224763</v>
      </c>
      <c r="H29" s="466">
        <f>H9*Factors!$C$17/1000</f>
        <v>4.584457816399933</v>
      </c>
      <c r="I29" s="466">
        <f>I9*Factors!$C$17/1000</f>
        <v>4.6704931342000666</v>
      </c>
      <c r="J29" s="466">
        <f>J9*Factors!$C$17/1000</f>
        <v>4.7934009221999334</v>
      </c>
      <c r="K29" s="466">
        <f>K9*Factors!$C$17/1000</f>
        <v>4.8720619868000448</v>
      </c>
      <c r="L29" s="466">
        <f>L9*Factors!$C$17/1000</f>
        <v>4.9261413376999998</v>
      </c>
      <c r="M29" s="466">
        <f>M9*Factors!$C$17/1000</f>
        <v>4.5598763479999995</v>
      </c>
      <c r="N29" s="466">
        <f>N9*Factors!$C$17/1000</f>
        <v>5.1530037646000668</v>
      </c>
      <c r="O29" s="466">
        <f>O9*Factors!$C$17/1000</f>
        <v>6.4746043000000659</v>
      </c>
      <c r="P29" s="466">
        <f>P9*Factors!$C$17/1000</f>
        <v>21.950202199999911</v>
      </c>
      <c r="Q29" s="466">
        <f>Q9*Factors!$C$17/1000</f>
        <v>28.898837327166859</v>
      </c>
      <c r="R29" s="466">
        <f>R9*Factors!$C$17/1000</f>
        <v>31.956006371000896</v>
      </c>
      <c r="S29" s="466">
        <f>S9*Factors!$C$17/1000</f>
        <v>32.693452652999333</v>
      </c>
      <c r="T29" s="466">
        <f>T9*Factors!$C$17/1000</f>
        <v>36.872314991999332</v>
      </c>
      <c r="U29" s="466">
        <f>U9*Factors!$C$17/1000</f>
        <v>36.910076885308783</v>
      </c>
      <c r="V29" s="466">
        <f>V9*Factors!$C$17/1000</f>
        <v>37.24687728113885</v>
      </c>
      <c r="W29" s="466">
        <f>W9*Factors!$C$17/1000</f>
        <v>36.988296399999335</v>
      </c>
      <c r="X29" s="466">
        <f>X9*Factors!$C$17/1000</f>
        <v>34.668182100000891</v>
      </c>
      <c r="Y29" s="466">
        <f>Y9*Factors!$C$17/1000</f>
        <v>37.299648999999107</v>
      </c>
      <c r="Z29" s="466">
        <f>Z9*Factors!$C$17/1000</f>
        <v>35.667677036947332</v>
      </c>
      <c r="AA29" s="466">
        <f>AA9*Factors!$C$17/1000</f>
        <v>35.534273165896998</v>
      </c>
      <c r="AB29" s="466">
        <f>AB9*Factors!$C$17/1000</f>
        <v>37.343816349511442</v>
      </c>
      <c r="AC29" s="466">
        <f>AC9*Factors!$C$17/1000</f>
        <v>35.908837411646324</v>
      </c>
      <c r="AD29" s="466">
        <f>AD9*Factors!$C$17/1000</f>
        <v>35.481528518267581</v>
      </c>
      <c r="AE29" s="466">
        <f>AE9*Factors!$C$17/1000</f>
        <v>24.956420600000001</v>
      </c>
      <c r="AF29" s="466">
        <f>AF9*Factors!$C$17/1000</f>
        <v>27.736806900000005</v>
      </c>
      <c r="AG29" s="466">
        <f>AG9*Factors!$C$17/1000</f>
        <v>38.625227900000006</v>
      </c>
      <c r="AH29" s="466">
        <f>AH9*Factors!$C$17/1000</f>
        <v>33.440974905674999</v>
      </c>
      <c r="AI29" s="466">
        <f>AI9*Factors!$C$17/1000</f>
        <v>31.336178988899004</v>
      </c>
      <c r="AJ29" s="466">
        <f>AJ9*Factors!$C$17/1000</f>
        <v>31.336178988899004</v>
      </c>
    </row>
    <row r="30" spans="2:36">
      <c r="B30" s="456">
        <f t="shared" ref="B30:B38" si="1">B29+1</f>
        <v>3</v>
      </c>
      <c r="C30" s="45" t="s">
        <v>1439</v>
      </c>
      <c r="D30" s="466">
        <f>D10*Factors!J31/1000</f>
        <v>0</v>
      </c>
      <c r="E30" s="466">
        <f>E10*Factors!K31/1000</f>
        <v>0</v>
      </c>
      <c r="F30" s="466">
        <f>F10*Factors!L31/1000</f>
        <v>0</v>
      </c>
      <c r="G30" s="466">
        <f>G10*Factors!M31/1000</f>
        <v>0</v>
      </c>
      <c r="H30" s="466">
        <f>H10*Factors!N31/1000</f>
        <v>0</v>
      </c>
      <c r="I30" s="466">
        <f>I10*Factors!O31/1000</f>
        <v>0</v>
      </c>
      <c r="J30" s="466">
        <f>J10*Factors!P31/1000</f>
        <v>0</v>
      </c>
      <c r="K30" s="466">
        <f>K10*Factors!Q31/1000</f>
        <v>0</v>
      </c>
      <c r="L30" s="466">
        <f>L10*Factors!R31/1000</f>
        <v>0</v>
      </c>
      <c r="M30" s="466">
        <f>M10*Factors!S31/1000</f>
        <v>0</v>
      </c>
      <c r="N30" s="466">
        <f>N10*Factors!T31/1000</f>
        <v>12.66925625</v>
      </c>
      <c r="O30" s="466">
        <f>O10*Factors!U31/1000</f>
        <v>22.871406599999997</v>
      </c>
      <c r="P30" s="466">
        <f>P10*Factors!V31/1000</f>
        <v>22.782412799999999</v>
      </c>
      <c r="Q30" s="466">
        <f>Q10*Factors!W31/1000</f>
        <v>26.864826799999999</v>
      </c>
      <c r="R30" s="466">
        <f>R10*Factors!X31/1000</f>
        <v>24.638569199999999</v>
      </c>
      <c r="S30" s="466">
        <f>S10*Factors!Y31/1000</f>
        <v>24.323559399999997</v>
      </c>
      <c r="T30" s="466">
        <f>T10*Factors!Z31/1000</f>
        <v>26.138750399999999</v>
      </c>
      <c r="U30" s="466">
        <f>U10*Factors!AA31/1000</f>
        <v>26.702000000000002</v>
      </c>
      <c r="V30" s="466">
        <f>V10*Factors!AB31/1000</f>
        <v>29.255122</v>
      </c>
      <c r="W30" s="466">
        <f>W10*Factors!AC31/1000</f>
        <v>27.391075000000001</v>
      </c>
      <c r="X30" s="466">
        <f>X10*Factors!AD31/1000</f>
        <v>27.818439000000001</v>
      </c>
      <c r="Y30" s="466">
        <f>Y10*Factors!AE31/1000</f>
        <v>27.0689475</v>
      </c>
      <c r="Z30" s="466">
        <f>Z10*Factors!AF31/1000</f>
        <v>49.181081599999999</v>
      </c>
      <c r="AA30" s="466">
        <f>AA10*Factors!AG31/1000</f>
        <v>58.238016083000005</v>
      </c>
      <c r="AB30" s="466">
        <f>AB10*Factors!AH31/1000</f>
        <v>60.592056456000009</v>
      </c>
      <c r="AC30" s="466">
        <f>AC10*Factors!AI31/1000</f>
        <v>57.422245873000001</v>
      </c>
      <c r="AD30" s="466">
        <f>AD10*Factors!AJ31/1000</f>
        <v>63.604347298</v>
      </c>
      <c r="AE30" s="466">
        <f>AE10*Factors!AK31/1000</f>
        <v>48.104436743999997</v>
      </c>
      <c r="AF30" s="466">
        <f>AF10*Factors!AL31/1000</f>
        <v>62.438463332000005</v>
      </c>
      <c r="AG30" s="466">
        <f>AG10*Factors!AM31/1000</f>
        <v>71.333004192000004</v>
      </c>
      <c r="AH30" s="466">
        <f>AH10*Factors!AN31/1000</f>
        <v>50.043995020999994</v>
      </c>
      <c r="AI30" s="466">
        <f>AI10*Factors!AO31/1000</f>
        <v>74.144902688000002</v>
      </c>
      <c r="AJ30" s="466">
        <f>AJ10*Factors!AP31/1000</f>
        <v>74.073403264000007</v>
      </c>
    </row>
    <row r="31" spans="2:36">
      <c r="B31" s="456">
        <f t="shared" si="1"/>
        <v>4</v>
      </c>
      <c r="C31" s="45" t="s">
        <v>1738</v>
      </c>
      <c r="D31" s="466">
        <f>D11*Factors!J33*Factors!$J$51/1000</f>
        <v>56.385854976152864</v>
      </c>
      <c r="E31" s="466">
        <f>E11*Factors!K33*Factors!$J$51/1000</f>
        <v>47.429368614458383</v>
      </c>
      <c r="F31" s="466">
        <f>F11*Factors!L33*Factors!$J$51/1000</f>
        <v>65.959513879167076</v>
      </c>
      <c r="G31" s="466">
        <f>G11*Factors!M33*Factors!$J$51/1000</f>
        <v>75.82648803007973</v>
      </c>
      <c r="H31" s="466">
        <f>H11*Factors!N33*Factors!$J$51/1000</f>
        <v>84.977034662097225</v>
      </c>
      <c r="I31" s="466">
        <f>I11*Factors!O33*Factors!$J$51/1000</f>
        <v>62.521292371295011</v>
      </c>
      <c r="J31" s="466">
        <f>J11*Factors!P33*Factors!$J$51/1000</f>
        <v>53.0390297853302</v>
      </c>
      <c r="K31" s="466">
        <f>K11*Factors!Q33*Factors!$J$51/1000</f>
        <v>54.82222006559423</v>
      </c>
      <c r="L31" s="466">
        <f>L11*Factors!R33*Factors!$J$51/1000</f>
        <v>45.691258287540037</v>
      </c>
      <c r="M31" s="466">
        <f>M11*Factors!S33*Factors!$J$51/1000</f>
        <v>54.205233443921365</v>
      </c>
      <c r="N31" s="466">
        <f>N11*Factors!T33*Factors!$J$51/1000</f>
        <v>87.523370765343159</v>
      </c>
      <c r="O31" s="466">
        <f>O11*Factors!U33*Factors!$J$51/1000</f>
        <v>119.96955571260042</v>
      </c>
      <c r="P31" s="466">
        <f>P11*Factors!V33*Factors!$J$51/1000</f>
        <v>92.038625110551408</v>
      </c>
      <c r="Q31" s="466">
        <f>Q11*Factors!W33*Factors!$J$51/1000</f>
        <v>116.55185617279118</v>
      </c>
      <c r="R31" s="466">
        <f>R11*Factors!X33*Factors!$J$51/1000</f>
        <v>119.82323388609126</v>
      </c>
      <c r="S31" s="466">
        <f>S11*Factors!Y33*Factors!$J$51/1000</f>
        <v>136.5448304428767</v>
      </c>
      <c r="T31" s="466">
        <f>T11*Factors!Z33*Factors!$J$51/1000</f>
        <v>96.164381707037592</v>
      </c>
      <c r="U31" s="466">
        <f>U11*Factors!AA33*Factors!$J$51/1000</f>
        <v>138.20123696635267</v>
      </c>
      <c r="V31" s="466">
        <f>V11*Factors!AB33*Factors!$J$51/1000</f>
        <v>83.505669003791112</v>
      </c>
      <c r="W31" s="466">
        <f>W11*Factors!AC33*Factors!$J$51/1000</f>
        <v>67.948014456215802</v>
      </c>
      <c r="X31" s="466">
        <f>X11*Factors!AD33*Factors!$J$51/1000</f>
        <v>66.436478728895594</v>
      </c>
      <c r="Y31" s="466">
        <f>Y11*Factors!AE33*Factors!$J$51/1000</f>
        <v>59.267687759052954</v>
      </c>
      <c r="Z31" s="466">
        <f>Z11*Factors!AF33*Factors!$J$51/1000</f>
        <v>63.533798264471194</v>
      </c>
      <c r="AA31" s="466">
        <f>AA11*Factors!AG33*Factors!$J$51/1000</f>
        <v>71.920633164341425</v>
      </c>
      <c r="AB31" s="466">
        <f>AB11*Factors!AH33*Factors!$J$51/1000</f>
        <v>65.60146799535427</v>
      </c>
      <c r="AC31" s="466">
        <f>AC11*Factors!AI33*Factors!$J$51/1000</f>
        <v>78.821614885714411</v>
      </c>
      <c r="AD31" s="466">
        <f>AD11*Factors!AJ33*Factors!$J$51/1000</f>
        <v>80.181699429706157</v>
      </c>
      <c r="AE31" s="466">
        <f>AE11*Factors!AK33*Factors!$J$51/1000</f>
        <v>68.777654186091809</v>
      </c>
      <c r="AF31" s="466">
        <f>AF11*Factors!AL33*Factors!$J$51/1000</f>
        <v>85.422981366264281</v>
      </c>
      <c r="AG31" s="466">
        <f>AG11*Factors!AM33*Factors!$J$51/1000</f>
        <v>71.561999371696388</v>
      </c>
      <c r="AH31" s="466">
        <f>AH11*Factors!AN33*Factors!$J$51/1000</f>
        <v>67.999027937049462</v>
      </c>
      <c r="AI31" s="466">
        <f>AI11*Factors!AO33*Factors!$J$51/1000</f>
        <v>49.527364931939935</v>
      </c>
      <c r="AJ31" s="466">
        <f>AJ11*Factors!AP33*Factors!$J$51/1000</f>
        <v>49.527364931939935</v>
      </c>
    </row>
    <row r="32" spans="2:36">
      <c r="B32" s="456">
        <f t="shared" si="1"/>
        <v>5</v>
      </c>
      <c r="C32" s="45" t="s">
        <v>1623</v>
      </c>
      <c r="D32" s="466">
        <f>D12*Factors!$C$27*Factors!$J$51/1000</f>
        <v>48.619870578905456</v>
      </c>
      <c r="E32" s="466">
        <f>E12*Factors!$C$27*Factors!$J$51/1000</f>
        <v>53.851684109500972</v>
      </c>
      <c r="F32" s="466">
        <f>F12*Factors!$C$27*Factors!$J$51/1000</f>
        <v>45.555258938963057</v>
      </c>
      <c r="G32" s="466">
        <f>G12*Factors!$C$27*Factors!$J$51/1000</f>
        <v>49.834171307262565</v>
      </c>
      <c r="H32" s="466">
        <f>H12*Factors!$C$27*Factors!$J$51/1000</f>
        <v>56.053456499999989</v>
      </c>
      <c r="I32" s="466">
        <f>I12*Factors!$C$27*Factors!$J$51/1000</f>
        <v>57.210937245215298</v>
      </c>
      <c r="J32" s="466">
        <f>J12*Factors!$C$27*Factors!$J$51/1000</f>
        <v>55.775846294908547</v>
      </c>
      <c r="K32" s="466">
        <f>K12*Factors!$C$27*Factors!$J$51/1000</f>
        <v>47.191722758842047</v>
      </c>
      <c r="L32" s="466">
        <f>L12*Factors!$C$27*Factors!$J$51/1000</f>
        <v>44.509927436415389</v>
      </c>
      <c r="M32" s="466">
        <f>M12*Factors!$C$27*Factors!$J$51/1000</f>
        <v>39.251088695034895</v>
      </c>
      <c r="N32" s="466">
        <f>N12*Factors!$C$27*Factors!$J$51/1000</f>
        <v>68.583333844088202</v>
      </c>
      <c r="O32" s="466">
        <f>O12*Factors!$C$27*Factors!$J$51/1000</f>
        <v>99.874949635052999</v>
      </c>
      <c r="P32" s="466">
        <f>P12*Factors!$C$27*Factors!$J$51/1000</f>
        <v>69.37519843541105</v>
      </c>
      <c r="Q32" s="466">
        <f>Q12*Factors!$C$27*Factors!$J$51/1000</f>
        <v>71.497374358213264</v>
      </c>
      <c r="R32" s="466">
        <f>R12*Factors!$C$27*Factors!$J$51/1000</f>
        <v>68.027412042295055</v>
      </c>
      <c r="S32" s="466">
        <f>S12*Factors!$C$27*Factors!$J$51/1000</f>
        <v>65.510551288302466</v>
      </c>
      <c r="T32" s="466">
        <f>T12*Factors!$C$27*Factors!$J$51/1000</f>
        <v>83.721355376754872</v>
      </c>
      <c r="U32" s="466">
        <f>U12*Factors!$C$27*Factors!$J$51/1000</f>
        <v>68.733527738396688</v>
      </c>
      <c r="V32" s="466">
        <f>V12*Factors!$C$27*Factors!$J$51/1000</f>
        <v>47.683214709805341</v>
      </c>
      <c r="W32" s="466">
        <f>W12*Factors!$C$27*Factors!$J$51/1000</f>
        <v>51.158775393369879</v>
      </c>
      <c r="X32" s="466">
        <f>X12*Factors!$C$27*Factors!$J$51/1000</f>
        <v>36.560111292369861</v>
      </c>
      <c r="Y32" s="466">
        <f>Y12*Factors!$C$27*Factors!$J$51/1000</f>
        <v>47.118124888828767</v>
      </c>
      <c r="Z32" s="466">
        <f>Z12*Factors!$C$27*Factors!$J$51/1000</f>
        <v>39.082644675743651</v>
      </c>
      <c r="AA32" s="466">
        <f>AA12*Factors!$C$27*Factors!$J$51/1000</f>
        <v>30.048046894002574</v>
      </c>
      <c r="AB32" s="466">
        <f>AB12*Factors!$C$27*Factors!$J$51/1000</f>
        <v>34.984592978856163</v>
      </c>
      <c r="AC32" s="466">
        <f>AC12*Factors!$C$27*Factors!$J$51/1000</f>
        <v>36.045609204883561</v>
      </c>
      <c r="AD32" s="466">
        <f>AD12*Factors!$C$27*Factors!$J$51/1000</f>
        <v>29.582878809029623</v>
      </c>
      <c r="AE32" s="466">
        <f>AE12*Factors!$C$27*Factors!$J$51/1000</f>
        <v>43.874198959206524</v>
      </c>
      <c r="AF32" s="466">
        <f>AF12*Factors!$C$27*Factors!$J$51/1000</f>
        <v>40.406502890467138</v>
      </c>
      <c r="AG32" s="466">
        <f>AG12*Factors!$C$27*Factors!$J$51/1000</f>
        <v>34.562085085851066</v>
      </c>
      <c r="AH32" s="466">
        <f>AH12*Factors!$C$27*Factors!$J$51/1000</f>
        <v>36.434007198064869</v>
      </c>
      <c r="AI32" s="466">
        <f>AI12*Factors!$C$27*Factors!$J$51/1000</f>
        <v>43.538773891545155</v>
      </c>
      <c r="AJ32" s="466">
        <f>AJ12*Factors!$C$27*Factors!$J$51/1000</f>
        <v>43.538773891545155</v>
      </c>
    </row>
    <row r="33" spans="2:36">
      <c r="B33" s="456">
        <f t="shared" si="1"/>
        <v>6</v>
      </c>
      <c r="C33" s="45" t="s">
        <v>1599</v>
      </c>
      <c r="D33" s="466">
        <f>D13*Factors!$C$28*Factors!$J$51/1000</f>
        <v>2.0258044494314511</v>
      </c>
      <c r="E33" s="466">
        <f>E13*Factors!$C$28*Factors!$J$51/1000</f>
        <v>1.7939151752449327</v>
      </c>
      <c r="F33" s="466">
        <f>F13*Factors!$C$28*Factors!$J$51/1000</f>
        <v>2.2827345102010197</v>
      </c>
      <c r="G33" s="466">
        <f>G13*Factors!$C$28*Factors!$J$51/1000</f>
        <v>2.5984339736250095</v>
      </c>
      <c r="H33" s="466">
        <f>H13*Factors!$C$28*Factors!$J$51/1000</f>
        <v>2.024373869079545</v>
      </c>
      <c r="I33" s="466">
        <f>I13*Factors!$C$28*Factors!$J$51/1000</f>
        <v>2.0266782327594064</v>
      </c>
      <c r="J33" s="466">
        <f>J13*Factors!$C$28*Factors!$J$51/1000</f>
        <v>2.1731530692618564</v>
      </c>
      <c r="K33" s="466">
        <f>K13*Factors!$C$28*Factors!$J$51/1000</f>
        <v>2.0915422101681309</v>
      </c>
      <c r="L33" s="466">
        <f>L13*Factors!$C$28*Factors!$J$51/1000</f>
        <v>3.0258139705286884</v>
      </c>
      <c r="M33" s="466">
        <f>M13*Factors!$C$28*Factors!$J$51/1000</f>
        <v>2.5726106318863646</v>
      </c>
      <c r="N33" s="466">
        <f>N13*Factors!$C$28*Factors!$J$51/1000</f>
        <v>2.3861393299180369</v>
      </c>
      <c r="O33" s="466">
        <f>O13*Factors!$C$28*Factors!$J$51/1000</f>
        <v>0.88135270304794511</v>
      </c>
      <c r="P33" s="466">
        <f>P13*Factors!$C$28*Factors!$J$51/1000</f>
        <v>8.1668745209589115</v>
      </c>
      <c r="Q33" s="466">
        <f>Q13*Factors!$C$28*Factors!$J$51/1000</f>
        <v>10.686078822328771</v>
      </c>
      <c r="R33" s="466">
        <f>R13*Factors!$C$28*Factors!$J$51/1000</f>
        <v>6.6418502288422117</v>
      </c>
      <c r="S33" s="466">
        <f>S13*Factors!$C$28*Factors!$J$51/1000</f>
        <v>5.7766375929452014</v>
      </c>
      <c r="T33" s="466">
        <f>T13*Factors!$C$28*Factors!$J$51/1000</f>
        <v>6.3616206620342401</v>
      </c>
      <c r="U33" s="466">
        <f>U13*Factors!$C$28*Factors!$J$51/1000</f>
        <v>10.097555249897258</v>
      </c>
      <c r="V33" s="466">
        <f>V13*Factors!$C$28*Factors!$J$51/1000</f>
        <v>5.3120259791188484</v>
      </c>
      <c r="W33" s="466">
        <f>W13*Factors!$C$28*Factors!$J$51/1000</f>
        <v>8.7350316883458898</v>
      </c>
      <c r="X33" s="466">
        <f>X13*Factors!$C$28*Factors!$J$51/1000</f>
        <v>7.4686180404452065</v>
      </c>
      <c r="Y33" s="466">
        <f>Y13*Factors!$C$28*Factors!$J$51/1000</f>
        <v>1.1108045542808211</v>
      </c>
      <c r="Z33" s="466">
        <f>Z13*Factors!$C$28*Factors!$J$51/1000</f>
        <v>0.60770600809376951</v>
      </c>
      <c r="AA33" s="466">
        <f>AA13*Factors!$C$28*Factors!$J$51/1000</f>
        <v>0.10358241830136986</v>
      </c>
      <c r="AB33" s="466">
        <f>AB13*Factors!$C$28*Factors!$J$51/1000</f>
        <v>0.11489614212328766</v>
      </c>
      <c r="AC33" s="466">
        <f>AC13*Factors!$C$28*Factors!$J$51/1000</f>
        <v>0.14893944349315072</v>
      </c>
      <c r="AD33" s="466">
        <f>AD13*Factors!$C$28*Factors!$J$51/1000</f>
        <v>0.44760229829307407</v>
      </c>
      <c r="AE33" s="466">
        <f>AE13*Factors!$C$28*Factors!$J$51/1000</f>
        <v>0.43918041033719674</v>
      </c>
      <c r="AF33" s="466">
        <f>AF13*Factors!$C$28*Factors!$J$51/1000</f>
        <v>0.42215875993399504</v>
      </c>
      <c r="AG33" s="466">
        <f>AG13*Factors!$C$28*Factors!$J$51/1000</f>
        <v>0.46187594414971994</v>
      </c>
      <c r="AH33" s="466">
        <f>AH13*Factors!$C$28*Factors!$J$51/1000</f>
        <v>0.10354837500000001</v>
      </c>
      <c r="AI33" s="466">
        <f>AI13*Factors!$C$28*Factors!$J$51/1000</f>
        <v>0.45625923903454363</v>
      </c>
      <c r="AJ33" s="466">
        <f>AJ13*Factors!$C$28*Factors!$J$51/1000</f>
        <v>0.45625923903454363</v>
      </c>
    </row>
    <row r="34" spans="2:36">
      <c r="B34" s="456">
        <f t="shared" si="1"/>
        <v>7</v>
      </c>
      <c r="C34" s="45" t="s">
        <v>1624</v>
      </c>
      <c r="D34" s="466">
        <f>D14*Factors!$C$31*Factors!$J$51/1000</f>
        <v>6.8796131310365478</v>
      </c>
      <c r="E34" s="466">
        <f>E14*Factors!$C$31*Factors!$J$51/1000</f>
        <v>6.3726304042507795</v>
      </c>
      <c r="F34" s="466">
        <f>F14*Factors!$C$31*Factors!$J$51/1000</f>
        <v>5.4558585958352106</v>
      </c>
      <c r="G34" s="466">
        <f>G14*Factors!$C$31*Factors!$J$51/1000</f>
        <v>3.0188338379822248</v>
      </c>
      <c r="H34" s="466">
        <f>H14*Factors!$C$31*Factors!$J$51/1000</f>
        <v>3.4641748033592945</v>
      </c>
      <c r="I34" s="466">
        <f>I14*Factors!$C$31*Factors!$J$51/1000</f>
        <v>2.2742042915673939</v>
      </c>
      <c r="J34" s="466">
        <f>J14*Factors!$C$31*Factors!$J$51/1000</f>
        <v>2.9667748970936865</v>
      </c>
      <c r="K34" s="466">
        <f>K14*Factors!$C$31*Factors!$J$51/1000</f>
        <v>2.4082561556224524</v>
      </c>
      <c r="L34" s="466">
        <f>L14*Factors!$C$31*Factors!$J$51/1000</f>
        <v>2.2031048204187611</v>
      </c>
      <c r="M34" s="466">
        <f>M14*Factors!$C$31*Factors!$J$51/1000</f>
        <v>2.3628925898964828</v>
      </c>
      <c r="N34" s="466">
        <f>N14*Factors!$C$31*Factors!$J$51/1000</f>
        <v>7.913420875819674</v>
      </c>
      <c r="O34" s="466">
        <f>O14*Factors!$C$31*Factors!$J$51/1000</f>
        <v>6.9277042441294503</v>
      </c>
      <c r="P34" s="466">
        <f>P14*Factors!$C$31*Factors!$J$51/1000</f>
        <v>11.133369169486024</v>
      </c>
      <c r="Q34" s="466">
        <f>Q14*Factors!$C$31*Factors!$J$51/1000</f>
        <v>10.551665013090417</v>
      </c>
      <c r="R34" s="466">
        <f>R14*Factors!$C$31*Factors!$J$51/1000</f>
        <v>12.100691798575815</v>
      </c>
      <c r="S34" s="466">
        <f>S14*Factors!$C$31*Factors!$J$51/1000</f>
        <v>10.643855522054782</v>
      </c>
      <c r="T34" s="466">
        <f>T14*Factors!$C$31*Factors!$J$51/1000</f>
        <v>13.58770619602603</v>
      </c>
      <c r="U34" s="466">
        <f>U14*Factors!$C$31*Factors!$J$51/1000</f>
        <v>11.762319413866441</v>
      </c>
      <c r="V34" s="466">
        <f>V14*Factors!$C$31*Factors!$J$51/1000</f>
        <v>16.191964351241808</v>
      </c>
      <c r="W34" s="466">
        <f>W14*Factors!$C$31*Factors!$J$51/1000</f>
        <v>15.595624304069185</v>
      </c>
      <c r="X34" s="466">
        <f>X14*Factors!$C$31*Factors!$J$51/1000</f>
        <v>15.667224412672608</v>
      </c>
      <c r="Y34" s="466">
        <f>Y14*Factors!$C$31*Factors!$J$51/1000</f>
        <v>19.026779830033579</v>
      </c>
      <c r="Z34" s="466">
        <f>Z14*Factors!$C$31*Factors!$J$51/1000</f>
        <v>9.2100163241680271</v>
      </c>
      <c r="AA34" s="466">
        <f>AA14*Factors!$C$31*Factors!$J$51/1000</f>
        <v>7.316453015161648</v>
      </c>
      <c r="AB34" s="466">
        <f>AB14*Factors!$C$31*Factors!$J$51/1000</f>
        <v>9.6779912239726062</v>
      </c>
      <c r="AC34" s="466">
        <f>AC14*Factors!$C$31*Factors!$J$51/1000</f>
        <v>8.0604780965753395</v>
      </c>
      <c r="AD34" s="466">
        <f>AD14*Factors!$C$31*Factors!$J$51/1000</f>
        <v>8.242221048159081</v>
      </c>
      <c r="AE34" s="466">
        <f>AE14*Factors!$C$31*Factors!$J$51/1000</f>
        <v>8.8102176551850526</v>
      </c>
      <c r="AF34" s="466">
        <f>AF14*Factors!$C$31*Factors!$J$51/1000</f>
        <v>8.8102176557291898</v>
      </c>
      <c r="AG34" s="466">
        <f>AG14*Factors!$C$31*Factors!$J$51/1000</f>
        <v>10.222639405326296</v>
      </c>
      <c r="AH34" s="466">
        <f>AH14*Factors!$C$31*Factors!$J$51/1000</f>
        <v>9.62048238330107</v>
      </c>
      <c r="AI34" s="466">
        <f>AI14*Factors!$C$31*Factors!$J$51/1000</f>
        <v>9.2030144042274085</v>
      </c>
      <c r="AJ34" s="466">
        <f>AJ14*Factors!$C$31*Factors!$J$51/1000</f>
        <v>9.2030144042274085</v>
      </c>
    </row>
    <row r="35" spans="2:36">
      <c r="B35" s="456">
        <f t="shared" si="1"/>
        <v>8</v>
      </c>
      <c r="C35" s="45" t="s">
        <v>1610</v>
      </c>
      <c r="D35" s="466">
        <f>D18*Factors!$C$33*Factors!$J$51/1000</f>
        <v>0.70887719999999999</v>
      </c>
      <c r="E35" s="466">
        <f>E18*Factors!$C$33*Factors!$J$51/1000</f>
        <v>0.59589989625000006</v>
      </c>
      <c r="F35" s="466">
        <f>F18*Factors!$C$33*Factors!$J$51/1000</f>
        <v>1.4709201899999997</v>
      </c>
      <c r="G35" s="466">
        <f>G18*Factors!$C$33*Factors!$J$51/1000</f>
        <v>1.7262798491609597</v>
      </c>
      <c r="H35" s="466">
        <f>H18*Factors!$C$33*Factors!$J$51/1000</f>
        <v>1.8873855450000001</v>
      </c>
      <c r="I35" s="466">
        <f>I18*Factors!$C$33*Factors!$J$51/1000</f>
        <v>2.0092238137500003</v>
      </c>
      <c r="J35" s="466">
        <f>J18*Factors!$C$33*Factors!$J$51/1000</f>
        <v>1.4692859956352455</v>
      </c>
      <c r="K35" s="466">
        <f>K18*Factors!$C$33*Factors!$J$51/1000</f>
        <v>2.4699939937500002</v>
      </c>
      <c r="L35" s="466">
        <f>L18*Factors!$C$33*Factors!$J$51/1000</f>
        <v>1.2671179950000002</v>
      </c>
      <c r="M35" s="466">
        <f>M18*Factors!$C$33*Factors!$J$51/1000</f>
        <v>1.3778800575000003</v>
      </c>
      <c r="N35" s="466">
        <f>N18*Factors!$C$33*Factors!$J$51/1000</f>
        <v>3.1041098278483639</v>
      </c>
      <c r="O35" s="466">
        <f>O18*Factors!$C$33*Factors!$J$51/1000</f>
        <v>2.514626553071917</v>
      </c>
      <c r="P35" s="466">
        <f>P18*Factors!$C$33*Factors!$J$51/1000</f>
        <v>3.0250545519965732</v>
      </c>
      <c r="Q35" s="466">
        <f>Q18*Factors!$C$33*Factors!$J$51/1000</f>
        <v>4.8564218045650707</v>
      </c>
      <c r="R35" s="466">
        <f>R18*Factors!$C$33*Factors!$J$51/1000</f>
        <v>5.072055102459017</v>
      </c>
      <c r="S35" s="466">
        <f>S18*Factors!$C$33*Factors!$J$51/1000</f>
        <v>4.5822113527397264</v>
      </c>
      <c r="T35" s="466">
        <f>T18*Factors!$C$33*Factors!$J$51/1000</f>
        <v>6.1902337340753419</v>
      </c>
      <c r="U35" s="466">
        <f>U18*Factors!$C$33*Factors!$J$51/1000</f>
        <v>5.9368640874089742</v>
      </c>
      <c r="V35" s="466">
        <f>V18*Factors!$C$33*Factors!$J$51/1000</f>
        <v>2.6563538523058252</v>
      </c>
      <c r="W35" s="466">
        <f>W18*Factors!$C$33*Factors!$J$51/1000</f>
        <v>1.0411633874999999</v>
      </c>
      <c r="X35" s="466">
        <f>X18*Factors!$C$33*Factors!$J$51/1000</f>
        <v>1.0411633874999999</v>
      </c>
      <c r="Y35" s="466">
        <f>Y18*Factors!$C$33*Factors!$J$51/1000</f>
        <v>1.0411633874999999</v>
      </c>
      <c r="Z35" s="466">
        <f>Z18*Factors!$C$33*Factors!$J$51/1000</f>
        <v>1.0411633874999999</v>
      </c>
      <c r="AA35" s="466">
        <f>AA18*Factors!$C$33*Factors!$J$51/1000</f>
        <v>1.0411633874999999</v>
      </c>
      <c r="AB35" s="466">
        <f>AB18*Factors!$C$33*Factors!$J$51/1000</f>
        <v>1.0411633874999999</v>
      </c>
      <c r="AC35" s="466">
        <f>AC18*Factors!$C$33*Factors!$J$51/1000</f>
        <v>1.0411633874999999</v>
      </c>
      <c r="AD35" s="466">
        <f>AD18*Factors!$C$33*Factors!$J$51/1000</f>
        <v>1.0411633874999999</v>
      </c>
      <c r="AE35" s="466">
        <f>AE18*Factors!$C$33*Factors!$J$51/1000</f>
        <v>1.0411633874999999</v>
      </c>
      <c r="AF35" s="466">
        <f>AF18*Factors!$C$33*Factors!$J$51/1000</f>
        <v>1.0411633874999999</v>
      </c>
      <c r="AG35" s="466">
        <f>AG18*Factors!$C$33*Factors!$J$51/1000</f>
        <v>1.0411633874999999</v>
      </c>
      <c r="AH35" s="466">
        <f>AH18*Factors!$C$33*Factors!$J$51/1000</f>
        <v>1.0411633874999999</v>
      </c>
      <c r="AI35" s="466">
        <f>AI18*Factors!$C$33*Factors!$J$51/1000</f>
        <v>1.0411633874999999</v>
      </c>
      <c r="AJ35" s="466">
        <f>AJ18*Factors!$C$33*Factors!$J$51/1000</f>
        <v>1.0411633874999999</v>
      </c>
    </row>
    <row r="36" spans="2:36">
      <c r="B36" s="456">
        <f t="shared" si="1"/>
        <v>9</v>
      </c>
      <c r="C36" s="45" t="s">
        <v>1601</v>
      </c>
      <c r="D36" s="466">
        <f>D15*Factors!J32*Factors!$J$51/1000</f>
        <v>75.869122762092445</v>
      </c>
      <c r="E36" s="466">
        <f>E15*Factors!K32*Factors!$J$51/1000</f>
        <v>74.580875819698477</v>
      </c>
      <c r="F36" s="466">
        <f>F15*Factors!L32*Factors!$J$51/1000</f>
        <v>82.71611699940091</v>
      </c>
      <c r="G36" s="466">
        <f>G15*Factors!M32*Factors!$J$51/1000</f>
        <v>81.112202178258912</v>
      </c>
      <c r="H36" s="466">
        <f>H15*Factors!N32*Factors!$J$51/1000</f>
        <v>88.76090562936507</v>
      </c>
      <c r="I36" s="466">
        <f>I15*Factors!O32*Factors!$J$51/1000</f>
        <v>84.454481727483923</v>
      </c>
      <c r="J36" s="466">
        <f>J15*Factors!P32*Factors!$J$51/1000</f>
        <v>83.821764180377116</v>
      </c>
      <c r="K36" s="466">
        <f>K15*Factors!Q32*Factors!$J$51/1000</f>
        <v>87.84340568116896</v>
      </c>
      <c r="L36" s="466">
        <f>L15*Factors!R32*Factors!$J$51/1000</f>
        <v>84.563345963455063</v>
      </c>
      <c r="M36" s="466">
        <f>M15*Factors!S32*Factors!$J$51/1000</f>
        <v>60.226565604530919</v>
      </c>
      <c r="N36" s="466">
        <f>N15*Factors!T32*Factors!$J$51/1000</f>
        <v>186.27694688126729</v>
      </c>
      <c r="O36" s="466">
        <f>O15*Factors!U32*Factors!$J$51/1000</f>
        <v>187.73799907013219</v>
      </c>
      <c r="P36" s="466">
        <f>P15*Factors!V32*Factors!$J$51/1000</f>
        <v>191.44454831532414</v>
      </c>
      <c r="Q36" s="466">
        <f>Q15*Factors!W32*Factors!$J$51/1000</f>
        <v>215.66543536699433</v>
      </c>
      <c r="R36" s="466">
        <f>R15*Factors!X32*Factors!$J$51/1000</f>
        <v>201.72248697768455</v>
      </c>
      <c r="S36" s="466">
        <f>S15*Factors!Y32*Factors!$J$51/1000</f>
        <v>200.15971045520547</v>
      </c>
      <c r="T36" s="466">
        <f>T15*Factors!Z32*Factors!$J$51/1000</f>
        <v>147.26838131842814</v>
      </c>
      <c r="U36" s="466">
        <f>U15*Factors!AA32*Factors!$J$51/1000</f>
        <v>149.47893735957734</v>
      </c>
      <c r="V36" s="466">
        <f>V15*Factors!AB32*Factors!$J$51/1000</f>
        <v>113.61589420995485</v>
      </c>
      <c r="W36" s="466">
        <f>W15*Factors!AC32*Factors!$J$51/1000</f>
        <v>148.92488561882868</v>
      </c>
      <c r="X36" s="466">
        <f>X15*Factors!AD32*Factors!$J$51/1000</f>
        <v>112.92895215113424</v>
      </c>
      <c r="Y36" s="466">
        <f>Y15*Factors!AE32*Factors!$J$51/1000</f>
        <v>147.69246121629848</v>
      </c>
      <c r="Z36" s="466">
        <f>Z15*Factors!AF32*Factors!$J$51/1000</f>
        <v>131.39358529141663</v>
      </c>
      <c r="AA36" s="466">
        <f>AA15*Factors!AG32*Factors!$J$51/1000</f>
        <v>117.46823971554203</v>
      </c>
      <c r="AB36" s="466">
        <f>AB15*Factors!AH32*Factors!$J$51/1000</f>
        <v>126.67963277307538</v>
      </c>
      <c r="AC36" s="466">
        <f>AC15*Factors!AI32*Factors!$J$51/1000</f>
        <v>112.97389058381512</v>
      </c>
      <c r="AD36" s="466">
        <f>AD15*Factors!AJ32*Factors!$J$51/1000</f>
        <v>104.99871045325368</v>
      </c>
      <c r="AE36" s="466">
        <f>AE15*Factors!AK32*Factors!$J$51/1000</f>
        <v>129.11746456000802</v>
      </c>
      <c r="AF36" s="466">
        <f>AF15*Factors!AL32*Factors!$J$51/1000</f>
        <v>119.12281510634816</v>
      </c>
      <c r="AG36" s="466">
        <f>AG15*Factors!AM32*Factors!$J$51/1000</f>
        <v>74.119898554078532</v>
      </c>
      <c r="AH36" s="466">
        <f>AH15*Factors!AN32*Factors!$J$51/1000</f>
        <v>63.842646078612617</v>
      </c>
      <c r="AI36" s="466">
        <f>AI15*Factors!AO32*Factors!$J$51/1000</f>
        <v>75.584608191618727</v>
      </c>
      <c r="AJ36" s="466">
        <f>AJ15*Factors!AP32*Factors!$J$51/1000</f>
        <v>75.569640942471878</v>
      </c>
    </row>
    <row r="37" spans="2:36">
      <c r="B37" s="456">
        <f t="shared" si="1"/>
        <v>10</v>
      </c>
      <c r="C37" s="45" t="s">
        <v>1602</v>
      </c>
      <c r="D37" s="466">
        <f>D16*Factors!$C$36*Factors!$J$51/1000</f>
        <v>78.453513717891354</v>
      </c>
      <c r="E37" s="466">
        <f>E16*Factors!$C$36*Factors!$J$51/1000</f>
        <v>73.609645120827523</v>
      </c>
      <c r="F37" s="466">
        <f>F16*Factors!$C$36*Factors!$J$51/1000</f>
        <v>93.309247003254015</v>
      </c>
      <c r="G37" s="466">
        <f>G16*Factors!$C$36*Factors!$J$51/1000</f>
        <v>91.859713308606118</v>
      </c>
      <c r="H37" s="466">
        <f>H16*Factors!$C$36*Factors!$J$51/1000</f>
        <v>98.232859950938064</v>
      </c>
      <c r="I37" s="466">
        <f>I16*Factors!$C$36*Factors!$J$51/1000</f>
        <v>81.889716375660228</v>
      </c>
      <c r="J37" s="466">
        <f>J16*Factors!$C$36*Factors!$J$51/1000</f>
        <v>67.76091075175151</v>
      </c>
      <c r="K37" s="466">
        <f>K16*Factors!$C$36*Factors!$J$51/1000</f>
        <v>74.955607569237657</v>
      </c>
      <c r="L37" s="466">
        <f>L16*Factors!$C$36*Factors!$J$51/1000</f>
        <v>80.295848314525486</v>
      </c>
      <c r="M37" s="466">
        <f>M16*Factors!$C$36*Factors!$J$51/1000</f>
        <v>47.950182948145262</v>
      </c>
      <c r="N37" s="466">
        <f>N16*Factors!$C$36*Factors!$J$51/1000</f>
        <v>138.56018355678788</v>
      </c>
      <c r="O37" s="466">
        <f>O16*Factors!$C$36*Factors!$J$51/1000</f>
        <v>237.69043838095354</v>
      </c>
      <c r="P37" s="466">
        <f>P16*Factors!$C$36*Factors!$J$51/1000</f>
        <v>201.5379250174617</v>
      </c>
      <c r="Q37" s="466">
        <f>Q16*Factors!$C$36*Factors!$J$51/1000</f>
        <v>205.57964002881781</v>
      </c>
      <c r="R37" s="466">
        <f>R16*Factors!$C$36*Factors!$J$51/1000</f>
        <v>255.07283833159826</v>
      </c>
      <c r="S37" s="466">
        <f>S16*Factors!$C$36*Factors!$J$51/1000</f>
        <v>230.85626169895184</v>
      </c>
      <c r="T37" s="466">
        <f>T16*Factors!$C$36*Factors!$J$51/1000</f>
        <v>285.07344536019247</v>
      </c>
      <c r="U37" s="466">
        <f>U16*Factors!$C$36*Factors!$J$51/1000</f>
        <v>191.50490918008475</v>
      </c>
      <c r="V37" s="466">
        <f>V16*Factors!$C$36*Factors!$J$51/1000</f>
        <v>190.95144930266719</v>
      </c>
      <c r="W37" s="466">
        <f>W16*Factors!$C$36*Factors!$J$51/1000</f>
        <v>174.376891060612</v>
      </c>
      <c r="X37" s="466">
        <f>X16*Factors!$C$36*Factors!$J$51/1000</f>
        <v>168.66117964286107</v>
      </c>
      <c r="Y37" s="466">
        <f>Y16*Factors!$C$36*Factors!$J$51/1000</f>
        <v>127.53343656412068</v>
      </c>
      <c r="Z37" s="466">
        <f>Z16*Factors!$C$36*Factors!$J$51/1000</f>
        <v>127.30701236106682</v>
      </c>
      <c r="AA37" s="466">
        <f>AA16*Factors!$C$36*Factors!$J$51/1000</f>
        <v>72.906358578004955</v>
      </c>
      <c r="AB37" s="466">
        <f>AB16*Factors!$C$36*Factors!$J$51/1000</f>
        <v>61.935383858061833</v>
      </c>
      <c r="AC37" s="466">
        <f>AC16*Factors!$C$36*Factors!$J$51/1000</f>
        <v>69.648525215596095</v>
      </c>
      <c r="AD37" s="466">
        <f>AD16*Factors!$C$36*Factors!$J$51/1000</f>
        <v>46.153126581042429</v>
      </c>
      <c r="AE37" s="466">
        <f>AE16*Factors!$C$36*Factors!$J$51/1000</f>
        <v>41.31207890464546</v>
      </c>
      <c r="AF37" s="466">
        <f>AF16*Factors!$C$36*Factors!$J$51/1000</f>
        <v>23.836264797287768</v>
      </c>
      <c r="AG37" s="466">
        <f>AG16*Factors!$C$36*Factors!$J$51/1000</f>
        <v>49.82387641690481</v>
      </c>
      <c r="AH37" s="466">
        <f>AH16*Factors!$C$36*Factors!$J$51/1000</f>
        <v>63.017994070628198</v>
      </c>
      <c r="AI37" s="466">
        <f>AI16*Factors!$C$36*Factors!$J$51/1000</f>
        <v>55.544178673170457</v>
      </c>
      <c r="AJ37" s="466">
        <f>AJ16*Factors!$C$36*Factors!$J$51/1000</f>
        <v>55.544178673170457</v>
      </c>
    </row>
    <row r="38" spans="2:36">
      <c r="B38" s="456">
        <f t="shared" si="1"/>
        <v>11</v>
      </c>
      <c r="C38" s="472" t="s">
        <v>1785</v>
      </c>
      <c r="D38" s="618">
        <f>D17*Factors!$C$43*Factors!$J$51/1000</f>
        <v>50.108549638388141</v>
      </c>
      <c r="E38" s="618">
        <f>E17*Factors!$C$43*Factors!$J$51/1000</f>
        <v>63.796310934423104</v>
      </c>
      <c r="F38" s="618">
        <f>F17*Factors!$C$43*Factors!$J$51/1000</f>
        <v>34.11380607975677</v>
      </c>
      <c r="G38" s="618">
        <f>G17*Factors!$C$43*Factors!$J$51/1000</f>
        <v>37.1006001292658</v>
      </c>
      <c r="H38" s="618">
        <f>H17*Factors!$C$43*Factors!$J$51/1000</f>
        <v>28.497579038127942</v>
      </c>
      <c r="I38" s="618">
        <f>I17*Factors!$C$43*Factors!$J$51/1000</f>
        <v>53.431631293995999</v>
      </c>
      <c r="J38" s="618">
        <f>J17*Factors!$C$43*Factors!$J$51/1000</f>
        <v>71.27222990870095</v>
      </c>
      <c r="K38" s="618">
        <f>K17*Factors!$C$43*Factors!$J$51/1000</f>
        <v>74.934317677390908</v>
      </c>
      <c r="L38" s="618">
        <f>L17*Factors!$C$43*Factors!$J$51/1000</f>
        <v>75.335247900835483</v>
      </c>
      <c r="M38" s="618">
        <f>M17*Factors!$C$43*Factors!$J$51/1000</f>
        <v>133.86636754961611</v>
      </c>
      <c r="N38" s="618">
        <f>N17*Factors!$C$43*Factors!$J$51/1000</f>
        <v>137.72026085655742</v>
      </c>
      <c r="O38" s="618">
        <f>O17*Factors!$C$43*Factors!$J$51/1000</f>
        <v>82.998752550000162</v>
      </c>
      <c r="P38" s="618">
        <f>P17*Factors!$C$43*Factors!$J$51/1000</f>
        <v>137.20669528467121</v>
      </c>
      <c r="Q38" s="618">
        <f>Q17*Factors!$C$43*Factors!$J$51/1000</f>
        <v>115.76665380121828</v>
      </c>
      <c r="R38" s="618">
        <f>R17*Factors!$C$43*Factors!$J$51/1000</f>
        <v>108.32142178258211</v>
      </c>
      <c r="S38" s="618">
        <f>S17*Factors!$C$43*Factors!$J$51/1000</f>
        <v>110.34747483020551</v>
      </c>
      <c r="T38" s="618">
        <f>T17*Factors!$C$43*Factors!$J$51/1000</f>
        <v>92.368903568835464</v>
      </c>
      <c r="U38" s="618">
        <f>U17*Factors!$C$43*Factors!$J$51/1000</f>
        <v>105.04378144993157</v>
      </c>
      <c r="V38" s="618">
        <f>V17*Factors!$C$43*Factors!$J$51/1000</f>
        <v>75.361607173360682</v>
      </c>
      <c r="W38" s="618">
        <f>W17*Factors!$C$43*Factors!$J$51/1000</f>
        <v>39.306066545112429</v>
      </c>
      <c r="X38" s="618">
        <f>X17*Factors!$C$43*Factors!$J$51/1000</f>
        <v>26.376202826917783</v>
      </c>
      <c r="Y38" s="618">
        <f>Y17*Factors!$C$43*Factors!$J$51/1000</f>
        <v>13.558857732328766</v>
      </c>
      <c r="Z38" s="618">
        <f>Z17*Factors!$C$43*Factors!$J$51/1000</f>
        <v>16.579031813615785</v>
      </c>
      <c r="AA38" s="618">
        <f>AA17*Factors!$C$43*Factors!$J$51/1000</f>
        <v>9.4939392583085436</v>
      </c>
      <c r="AB38" s="618">
        <f>AB17*Factors!$C$43*Factors!$J$51/1000</f>
        <v>9.6122898538356107</v>
      </c>
      <c r="AC38" s="618">
        <f>AC17*Factors!$C$43*Factors!$J$51/1000</f>
        <v>9.3075812921917827</v>
      </c>
      <c r="AD38" s="618">
        <f>AD17*Factors!$C$43*Factors!$J$51/1000</f>
        <v>9.4711246704538272</v>
      </c>
      <c r="AE38" s="618">
        <f>AE17*Factors!$C$43*Factors!$J$51/1000</f>
        <v>2.449897463425557</v>
      </c>
      <c r="AF38" s="618">
        <f>AF17*Factors!$C$43*Factors!$J$51/1000</f>
        <v>2.5334746689039065</v>
      </c>
      <c r="AG38" s="618">
        <f>AG17*Factors!$C$43*Factors!$J$51/1000</f>
        <v>2.6014064603538047</v>
      </c>
      <c r="AH38" s="618">
        <f>AH17*Factors!$C$43*Factors!$J$51/1000</f>
        <v>3.6225494999999998E-3</v>
      </c>
      <c r="AI38" s="618">
        <f>AI17*Factors!$C$43*Factors!$J$51/1000</f>
        <v>4.1945309999999996E-3</v>
      </c>
      <c r="AJ38" s="618">
        <f>AJ17*Factors!$C$43*Factors!$J$51/1000</f>
        <v>4.1945309999999996E-3</v>
      </c>
    </row>
    <row r="39" spans="2:36">
      <c r="B39" s="456"/>
      <c r="C39" s="1" t="s">
        <v>1483</v>
      </c>
    </row>
    <row r="40" spans="2:36">
      <c r="P40" s="301"/>
    </row>
    <row r="41" spans="2:36">
      <c r="B41" s="1"/>
      <c r="P41" s="301"/>
    </row>
    <row r="42" spans="2:36">
      <c r="B42" s="1"/>
      <c r="N42" s="301"/>
      <c r="P42" s="301"/>
    </row>
    <row r="43" spans="2:36">
      <c r="B43" s="1"/>
      <c r="N43" s="301"/>
      <c r="P43" s="301"/>
    </row>
    <row r="44" spans="2:36">
      <c r="B44" s="1"/>
      <c r="N44" s="301"/>
      <c r="P44" s="301"/>
    </row>
    <row r="45" spans="2:36">
      <c r="B45" s="1"/>
      <c r="N45" s="301"/>
      <c r="P45" s="301"/>
    </row>
    <row r="46" spans="2:36">
      <c r="B46" s="1"/>
      <c r="N46" s="301"/>
      <c r="P46" s="301"/>
    </row>
    <row r="47" spans="2:36">
      <c r="B47" s="1"/>
      <c r="N47" s="301"/>
      <c r="P47" s="301"/>
    </row>
    <row r="48" spans="2:36">
      <c r="B48" s="1"/>
      <c r="N48" s="301"/>
      <c r="P48" s="301"/>
    </row>
    <row r="49" spans="2:16">
      <c r="B49" s="1"/>
      <c r="N49" s="301"/>
      <c r="P49" s="301"/>
    </row>
    <row r="50" spans="2:16">
      <c r="B50" s="1"/>
      <c r="N50" s="301"/>
      <c r="P50" s="301"/>
    </row>
    <row r="51" spans="2:16">
      <c r="B51" s="1"/>
      <c r="N51" s="301"/>
      <c r="P51" s="301"/>
    </row>
    <row r="52" spans="2:16">
      <c r="B52" s="1"/>
      <c r="N52" s="301"/>
      <c r="P52" s="301"/>
    </row>
    <row r="53" spans="2:16">
      <c r="B53" s="1"/>
      <c r="N53" s="301"/>
      <c r="P53" s="301"/>
    </row>
    <row r="54" spans="2:16">
      <c r="B54" s="1"/>
      <c r="N54" s="301"/>
      <c r="P54" s="301"/>
    </row>
    <row r="55" spans="2:16">
      <c r="B55" s="1"/>
      <c r="N55" s="301"/>
      <c r="P55" s="301"/>
    </row>
    <row r="56" spans="2:16">
      <c r="B56" s="1"/>
      <c r="N56" s="301"/>
      <c r="P56" s="301"/>
    </row>
    <row r="57" spans="2:16">
      <c r="B57" s="1"/>
      <c r="N57" s="301"/>
      <c r="P57" s="301"/>
    </row>
    <row r="58" spans="2:16">
      <c r="B58" s="1"/>
      <c r="N58" s="301"/>
      <c r="P58" s="301"/>
    </row>
    <row r="59" spans="2:16">
      <c r="B59" s="1"/>
      <c r="P59" s="301"/>
    </row>
    <row r="60" spans="2:16">
      <c r="B60" s="1"/>
    </row>
    <row r="61" spans="2:16">
      <c r="B61" s="1"/>
    </row>
    <row r="62" spans="2:16">
      <c r="B62" s="1"/>
    </row>
    <row r="63" spans="2:16">
      <c r="B63" s="1"/>
    </row>
    <row r="64" spans="2:16">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row r="94" spans="2:2">
      <c r="B94" s="1"/>
    </row>
    <row r="95" spans="2:2">
      <c r="B95" s="1"/>
    </row>
    <row r="96" spans="2:2">
      <c r="B96" s="1"/>
    </row>
    <row r="97" spans="2:2">
      <c r="B97" s="1"/>
    </row>
    <row r="98" spans="2:2">
      <c r="B98" s="1"/>
    </row>
    <row r="99" spans="2:2">
      <c r="B99" s="1"/>
    </row>
    <row r="100" spans="2:2">
      <c r="B100" s="1"/>
    </row>
    <row r="101" spans="2:2">
      <c r="B101" s="1"/>
    </row>
    <row r="102" spans="2:2">
      <c r="B102" s="1"/>
    </row>
    <row r="103" spans="2:2">
      <c r="B103" s="1"/>
    </row>
    <row r="104" spans="2:2">
      <c r="B104" s="1"/>
    </row>
    <row r="105" spans="2:2">
      <c r="B105" s="1"/>
    </row>
    <row r="106" spans="2:2">
      <c r="B106" s="1"/>
    </row>
    <row r="107" spans="2:2">
      <c r="B107" s="1"/>
    </row>
    <row r="108" spans="2:2">
      <c r="B108" s="1"/>
    </row>
    <row r="109" spans="2:2">
      <c r="B109" s="1"/>
    </row>
    <row r="110" spans="2:2">
      <c r="B110" s="1"/>
    </row>
    <row r="111" spans="2:2">
      <c r="B111" s="1"/>
    </row>
    <row r="112" spans="2:2">
      <c r="B112" s="1"/>
    </row>
    <row r="113" spans="2:2">
      <c r="B113" s="1"/>
    </row>
    <row r="114" spans="2:2">
      <c r="B114" s="1"/>
    </row>
  </sheetData>
  <phoneticPr fontId="10" type="noConversion"/>
  <pageMargins left="0.5" right="0.5" top="0.5" bottom="0.75" header="0.27" footer="0.21"/>
  <pageSetup scale="87" orientation="landscape" r:id="rId1"/>
  <headerFooter alignWithMargins="0">
    <oddHeader>&amp;L&amp;12GREENHOUSE GAS INVENTORY:  ENERGY</oddHeader>
    <oddFooter>&amp;LPage &amp;P of &amp;N&amp;C&amp;F  &amp;A&amp;R&amp;D  &amp;T</oddFooter>
  </headerFooter>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0"/>
  <dimension ref="A1:AY29"/>
  <sheetViews>
    <sheetView workbookViewId="0">
      <selection activeCell="D8" sqref="D8"/>
    </sheetView>
  </sheetViews>
  <sheetFormatPr defaultColWidth="9" defaultRowHeight="12.95"/>
  <cols>
    <col min="1" max="1" width="5" style="1" customWidth="1"/>
    <col min="2" max="2" width="3" style="598" customWidth="1"/>
    <col min="3" max="3" width="35" style="1" customWidth="1"/>
    <col min="4" max="31" width="9.6640625" style="1" bestFit="1" customWidth="1"/>
    <col min="32" max="32" width="9.6640625" style="1" customWidth="1"/>
    <col min="33" max="34" width="9.6640625" style="1" bestFit="1" customWidth="1"/>
    <col min="35" max="36" width="9.6640625" style="1" customWidth="1"/>
    <col min="37" max="16384" width="9" style="1"/>
  </cols>
  <sheetData>
    <row r="1" spans="1:51" ht="17.45">
      <c r="A1" s="610" t="s">
        <v>1792</v>
      </c>
      <c r="B1" s="1"/>
    </row>
    <row r="2" spans="1:51">
      <c r="A2" s="1123" t="s">
        <v>1793</v>
      </c>
      <c r="B2" s="1"/>
    </row>
    <row r="3" spans="1:51">
      <c r="A3" s="592" t="s">
        <v>1794</v>
      </c>
      <c r="B3" s="1"/>
      <c r="I3" s="112"/>
      <c r="J3" s="5"/>
    </row>
    <row r="6" spans="1:51" s="491" customFormat="1">
      <c r="B6" s="593"/>
      <c r="C6" s="594" t="s">
        <v>1795</v>
      </c>
      <c r="D6" s="595"/>
    </row>
    <row r="7" spans="1:51" s="491" customFormat="1">
      <c r="B7" s="593">
        <v>1</v>
      </c>
      <c r="C7" s="596" t="s">
        <v>1796</v>
      </c>
      <c r="D7" s="597">
        <v>1990</v>
      </c>
      <c r="E7" s="597">
        <v>1991</v>
      </c>
      <c r="F7" s="597">
        <v>1992</v>
      </c>
      <c r="G7" s="597">
        <v>1993</v>
      </c>
      <c r="H7" s="597">
        <v>1994</v>
      </c>
      <c r="I7" s="597">
        <v>1995</v>
      </c>
      <c r="J7" s="597">
        <v>1996</v>
      </c>
      <c r="K7" s="597">
        <v>1997</v>
      </c>
      <c r="L7" s="597">
        <v>1998</v>
      </c>
      <c r="M7" s="597">
        <v>1999</v>
      </c>
      <c r="N7" s="597">
        <v>2000</v>
      </c>
      <c r="O7" s="597">
        <v>2001</v>
      </c>
      <c r="P7" s="597">
        <v>2002</v>
      </c>
      <c r="Q7" s="597">
        <v>2003</v>
      </c>
      <c r="R7" s="597">
        <v>2004</v>
      </c>
      <c r="S7" s="597">
        <v>2005</v>
      </c>
      <c r="T7" s="597">
        <v>2006</v>
      </c>
      <c r="U7" s="597">
        <v>2007</v>
      </c>
      <c r="V7" s="597">
        <v>2008</v>
      </c>
      <c r="W7" s="597">
        <v>2009</v>
      </c>
      <c r="X7" s="597">
        <v>2010</v>
      </c>
      <c r="Y7" s="597">
        <v>2011</v>
      </c>
      <c r="Z7" s="597">
        <v>2012</v>
      </c>
      <c r="AA7" s="597">
        <v>2013</v>
      </c>
      <c r="AB7" s="597">
        <v>2014</v>
      </c>
      <c r="AC7" s="597">
        <v>2015</v>
      </c>
      <c r="AD7" s="597">
        <v>2016</v>
      </c>
      <c r="AE7" s="597">
        <v>2017</v>
      </c>
      <c r="AF7" s="597">
        <v>2018</v>
      </c>
      <c r="AG7" s="597">
        <v>2019</v>
      </c>
      <c r="AH7" s="597">
        <v>2020</v>
      </c>
      <c r="AI7" s="597">
        <v>2021</v>
      </c>
      <c r="AJ7" s="597">
        <v>2022</v>
      </c>
      <c r="AK7" s="1"/>
      <c r="AL7" s="1"/>
      <c r="AM7" s="1"/>
      <c r="AN7" s="1"/>
      <c r="AO7" s="1"/>
      <c r="AP7" s="1"/>
      <c r="AQ7" s="1"/>
      <c r="AR7" s="1"/>
      <c r="AS7" s="1"/>
      <c r="AT7" s="1"/>
      <c r="AU7" s="1"/>
      <c r="AV7" s="1"/>
      <c r="AW7" s="1"/>
      <c r="AX7" s="1"/>
      <c r="AY7" s="1"/>
    </row>
    <row r="8" spans="1:51">
      <c r="B8" s="598">
        <f>B7+1</f>
        <v>2</v>
      </c>
      <c r="C8" s="599" t="s">
        <v>1492</v>
      </c>
      <c r="D8" s="600">
        <f>'[9]Aviation Emissions'!D9</f>
        <v>541.82069611021325</v>
      </c>
      <c r="E8" s="600">
        <f>'[9]Aviation Emissions'!E9</f>
        <v>653.83474818058585</v>
      </c>
      <c r="F8" s="600">
        <f>'[9]Aviation Emissions'!F9</f>
        <v>659.49550556120562</v>
      </c>
      <c r="G8" s="600">
        <f>'[9]Aviation Emissions'!G9</f>
        <v>661.52276025554227</v>
      </c>
      <c r="H8" s="600">
        <f>'[9]Aviation Emissions'!H9</f>
        <v>682.46745276342131</v>
      </c>
      <c r="I8" s="600">
        <f>'[9]Aviation Emissions'!I9</f>
        <v>705.05567371155803</v>
      </c>
      <c r="J8" s="600">
        <f>'[9]Aviation Emissions'!J9</f>
        <v>719.8022298769738</v>
      </c>
      <c r="K8" s="600">
        <f>'[9]Aviation Emissions'!K9</f>
        <v>755.82884678099151</v>
      </c>
      <c r="L8" s="600">
        <f>'[9]Aviation Emissions'!L9</f>
        <v>750.24196992392456</v>
      </c>
      <c r="M8" s="600">
        <f>'[9]Aviation Emissions'!M9</f>
        <v>798.34012176602073</v>
      </c>
      <c r="N8" s="600">
        <f>'[9]Aviation Emissions'!N9</f>
        <v>881.45014880742485</v>
      </c>
      <c r="O8" s="600">
        <f>'[9]Aviation Emissions'!O9</f>
        <v>801.17289306002192</v>
      </c>
      <c r="P8" s="600">
        <f>'[9]Aviation Emissions'!P9</f>
        <v>776.20775422890858</v>
      </c>
      <c r="Q8" s="600">
        <f>'[9]Aviation Emissions'!Q9</f>
        <v>784.31912822478034</v>
      </c>
      <c r="R8" s="600">
        <f>'[9]Aviation Emissions'!R9</f>
        <v>799.1259685693858</v>
      </c>
      <c r="S8" s="600">
        <f>'[9]Aviation Emissions'!S9</f>
        <v>854.39812796000024</v>
      </c>
      <c r="T8" s="600">
        <f>'[9]Aviation Emissions'!T9</f>
        <v>856.69363534447564</v>
      </c>
      <c r="U8" s="600">
        <f>'[9]Aviation Emissions'!U9</f>
        <v>873.82720853348292</v>
      </c>
      <c r="V8" s="600">
        <f>'[9]Aviation Emissions'!V9</f>
        <v>797.87819334561755</v>
      </c>
      <c r="W8" s="600">
        <f>'[9]Aviation Emissions'!W9</f>
        <v>750.11662055458169</v>
      </c>
      <c r="X8" s="600">
        <f>'[9]Aviation Emissions'!X9</f>
        <v>866.4359203494854</v>
      </c>
      <c r="Y8" s="600">
        <f>'[9]Aviation Emissions'!Y9</f>
        <v>920.81140713384332</v>
      </c>
      <c r="Z8" s="600">
        <f>'[9]Aviation Emissions'!Z9</f>
        <v>917.17514185690175</v>
      </c>
      <c r="AA8" s="600">
        <f>'[9]Aviation Emissions'!AA9</f>
        <v>932.49186776158558</v>
      </c>
      <c r="AB8" s="600">
        <f>'[9]Aviation Emissions'!AB9</f>
        <v>988.79048924126096</v>
      </c>
      <c r="AC8" s="600">
        <f>'[9]Aviation Emissions'!AC9</f>
        <v>1023.2524866426733</v>
      </c>
      <c r="AD8" s="600">
        <f>'[9]Aviation Emissions'!AD9</f>
        <v>1052.0845621630212</v>
      </c>
      <c r="AE8" s="600">
        <f>'[9]Aviation Emissions'!AE9</f>
        <v>1104.1889361689159</v>
      </c>
      <c r="AF8" s="600">
        <f>'[9]Aviation Emissions'!AF9</f>
        <v>1147.6629896579316</v>
      </c>
      <c r="AG8" s="600">
        <f>'[9]Aviation Emissions'!AG9</f>
        <v>1112.0356750483818</v>
      </c>
      <c r="AH8" s="600">
        <f>'[9]Aviation Emissions'!AH9</f>
        <v>563.66616431474301</v>
      </c>
      <c r="AI8" s="600">
        <f>'[9]Aviation Emissions'!AI9</f>
        <v>721.46880886175848</v>
      </c>
      <c r="AJ8" s="600">
        <f>'[9]Aviation Emissions'!AJ9</f>
        <v>908.76435987107743</v>
      </c>
    </row>
    <row r="9" spans="1:51">
      <c r="B9" s="598">
        <f>B8+1</f>
        <v>3</v>
      </c>
      <c r="C9" s="599" t="s">
        <v>1493</v>
      </c>
      <c r="D9" s="600">
        <f>'[9]Marine Emissions'!D40</f>
        <v>715.70055592900007</v>
      </c>
      <c r="E9" s="600">
        <f>'[9]Marine Emissions'!E40</f>
        <v>801.50766322200002</v>
      </c>
      <c r="F9" s="600">
        <f>'[9]Marine Emissions'!F40</f>
        <v>669.84178850199987</v>
      </c>
      <c r="G9" s="600">
        <f>'[9]Marine Emissions'!G40</f>
        <v>533.93118914900003</v>
      </c>
      <c r="H9" s="600">
        <f>'[9]Marine Emissions'!H40</f>
        <v>524.47212730800004</v>
      </c>
      <c r="I9" s="600">
        <f>'[9]Marine Emissions'!I40</f>
        <v>523.21106827400001</v>
      </c>
      <c r="J9" s="600">
        <f>'[9]Marine Emissions'!J40</f>
        <v>536.39262509299999</v>
      </c>
      <c r="K9" s="600">
        <f>'[9]Marine Emissions'!K40</f>
        <v>575.2013833389999</v>
      </c>
      <c r="L9" s="600">
        <f>'[9]Marine Emissions'!L40</f>
        <v>594.80495348299996</v>
      </c>
      <c r="M9" s="600">
        <f>'[9]Marine Emissions'!M40</f>
        <v>489.72961205199994</v>
      </c>
      <c r="N9" s="600">
        <f>'[9]Marine Emissions'!N40</f>
        <v>444.07453713799998</v>
      </c>
      <c r="O9" s="600">
        <f>'[9]Marine Emissions'!O40</f>
        <v>426.03679463999998</v>
      </c>
      <c r="P9" s="600">
        <f>'[9]Marine Emissions'!P40</f>
        <v>448.92601071049995</v>
      </c>
      <c r="Q9" s="600">
        <f>'[9]Marine Emissions'!Q40</f>
        <v>471.81522678099998</v>
      </c>
      <c r="R9" s="600">
        <f>'[9]Marine Emissions'!R40</f>
        <v>553.10206909199985</v>
      </c>
      <c r="S9" s="600">
        <f>'[9]Marine Emissions'!S40</f>
        <v>581.00483759499991</v>
      </c>
      <c r="T9" s="600">
        <f>'[9]Marine Emissions'!T40</f>
        <v>599.36729735599988</v>
      </c>
      <c r="U9" s="600">
        <f>'[9]Marine Emissions'!U40</f>
        <v>607.53837294199991</v>
      </c>
      <c r="V9" s="600">
        <f>'[9]Marine Emissions'!V40</f>
        <v>654.61012900100002</v>
      </c>
      <c r="W9" s="600">
        <f>'[9]Marine Emissions'!W40</f>
        <v>604.77958704599996</v>
      </c>
      <c r="X9" s="600">
        <f>'[9]Marine Emissions'!X40</f>
        <v>619.80747230299994</v>
      </c>
      <c r="Y9" s="600">
        <f>'[9]Marine Emissions'!Y40</f>
        <v>518.37060009499999</v>
      </c>
      <c r="Z9" s="600">
        <f>'[9]Marine Emissions'!Z40</f>
        <v>459.45652509599995</v>
      </c>
      <c r="AA9" s="600">
        <f>'[9]Marine Emissions'!AA40</f>
        <v>379.79377073972995</v>
      </c>
      <c r="AB9" s="600">
        <f>'[9]Marine Emissions'!AB40</f>
        <v>369.176946595</v>
      </c>
      <c r="AC9" s="600">
        <f>'[9]Marine Emissions'!AC40</f>
        <v>406.84953077499995</v>
      </c>
      <c r="AD9" s="600">
        <f>'[9]Marine Emissions'!AD40</f>
        <v>450.68101104299996</v>
      </c>
      <c r="AE9" s="600">
        <f>'[9]Marine Emissions'!AE40</f>
        <v>445.32404695299994</v>
      </c>
      <c r="AF9" s="600">
        <f>'[9]Marine Emissions'!AF40</f>
        <v>417.56628810500001</v>
      </c>
      <c r="AG9" s="600">
        <f>'[9]Marine Emissions'!AG40</f>
        <v>336.22633963073997</v>
      </c>
      <c r="AH9" s="600">
        <f>'[9]Marine Emissions'!AH40</f>
        <v>293.98832453499995</v>
      </c>
      <c r="AI9" s="600">
        <f>'[9]Marine Emissions'!AI40</f>
        <v>292.29712153499997</v>
      </c>
      <c r="AJ9" s="600">
        <f>'[9]Marine Emissions'!AJ40</f>
        <v>325.17659121999998</v>
      </c>
    </row>
    <row r="10" spans="1:51">
      <c r="B10" s="598">
        <f>B9+1</f>
        <v>4</v>
      </c>
      <c r="C10" s="601" t="s">
        <v>1494</v>
      </c>
      <c r="D10" s="602">
        <f>'[9]Marine Emissions'!D41</f>
        <v>157.99296592261908</v>
      </c>
      <c r="E10" s="602">
        <f>'[9]Marine Emissions'!E41</f>
        <v>149.30996711904763</v>
      </c>
      <c r="F10" s="602">
        <f>'[9]Marine Emissions'!F41</f>
        <v>145.93635013333335</v>
      </c>
      <c r="G10" s="602">
        <f>'[9]Marine Emissions'!G41</f>
        <v>146.63490493690477</v>
      </c>
      <c r="H10" s="602">
        <f>'[9]Marine Emissions'!H41</f>
        <v>121.18688681309524</v>
      </c>
      <c r="I10" s="602">
        <f>'[9]Marine Emissions'!I41</f>
        <v>125.73552141190476</v>
      </c>
      <c r="J10" s="602">
        <f>'[9]Marine Emissions'!J41</f>
        <v>114.13606579817262</v>
      </c>
      <c r="K10" s="602">
        <f>'[9]Marine Emissions'!K41</f>
        <v>125.50521382260119</v>
      </c>
      <c r="L10" s="602">
        <f>'[9]Marine Emissions'!L41</f>
        <v>158.80061981404765</v>
      </c>
      <c r="M10" s="602">
        <f>'[9]Marine Emissions'!M41</f>
        <v>113.58632542480953</v>
      </c>
      <c r="N10" s="602">
        <f>'[9]Marine Emissions'!N41</f>
        <v>85.858733881526433</v>
      </c>
      <c r="O10" s="602">
        <f>'[9]Marine Emissions'!O41</f>
        <v>72.397487179080514</v>
      </c>
      <c r="P10" s="602">
        <f>'[9]Marine Emissions'!P41</f>
        <v>82.553591993078072</v>
      </c>
      <c r="Q10" s="602">
        <f>'[9]Marine Emissions'!Q41</f>
        <v>103.89016370482545</v>
      </c>
      <c r="R10" s="602">
        <f>'[9]Marine Emissions'!R41</f>
        <v>143.56371847427505</v>
      </c>
      <c r="S10" s="602">
        <f>'[9]Marine Emissions'!S41</f>
        <v>126.88802077883335</v>
      </c>
      <c r="T10" s="602">
        <f>'[9]Marine Emissions'!T41</f>
        <v>119.3104984527381</v>
      </c>
      <c r="U10" s="602">
        <f>'[9]Marine Emissions'!U41</f>
        <v>111.33230301900001</v>
      </c>
      <c r="V10" s="602">
        <f>'[9]Marine Emissions'!V41</f>
        <v>122.22402446130357</v>
      </c>
      <c r="W10" s="602">
        <f>'[9]Marine Emissions'!W41</f>
        <v>111.01643203936906</v>
      </c>
      <c r="X10" s="602">
        <f>'[9]Marine Emissions'!X41</f>
        <v>128.2033434235893</v>
      </c>
      <c r="Y10" s="602">
        <f>'[9]Marine Emissions'!Y41</f>
        <v>107.41368474261905</v>
      </c>
      <c r="Z10" s="602">
        <f>'[9]Marine Emissions'!Z41</f>
        <v>91.666193134638803</v>
      </c>
      <c r="AA10" s="602">
        <f>'[9]Marine Emissions'!AA41</f>
        <v>75.44056699365828</v>
      </c>
      <c r="AB10" s="602">
        <f>'[9]Marine Emissions'!AB41</f>
        <v>82.047052513449216</v>
      </c>
      <c r="AC10" s="602">
        <f>'[9]Marine Emissions'!AC41</f>
        <v>113.50034480709412</v>
      </c>
      <c r="AD10" s="602">
        <f>'[9]Marine Emissions'!AD41</f>
        <v>117.52308765543356</v>
      </c>
      <c r="AE10" s="602">
        <f>'[9]Marine Emissions'!AE41</f>
        <v>121.30000998407694</v>
      </c>
      <c r="AF10" s="602">
        <f>'[9]Marine Emissions'!AF41</f>
        <v>134.44842939592129</v>
      </c>
      <c r="AG10" s="602">
        <f>'[9]Marine Emissions'!AG41</f>
        <v>136.25532563870291</v>
      </c>
      <c r="AH10" s="602">
        <f>'[9]Marine Emissions'!AH41</f>
        <v>104.9583132795492</v>
      </c>
      <c r="AI10" s="602">
        <f>'[9]Marine Emissions'!AI41</f>
        <v>100.08479845833058</v>
      </c>
      <c r="AJ10" s="602">
        <f>'[9]Marine Emissions'!AJ41</f>
        <v>96.810063081760362</v>
      </c>
    </row>
    <row r="11" spans="1:51">
      <c r="C11" s="603" t="s">
        <v>1480</v>
      </c>
      <c r="D11" s="604">
        <f>SUM(D8:D10)</f>
        <v>1415.5142179618324</v>
      </c>
      <c r="E11" s="604">
        <f t="shared" ref="E11:V11" si="0">SUM(E8:E10)</f>
        <v>1604.6523785216334</v>
      </c>
      <c r="F11" s="604">
        <f t="shared" si="0"/>
        <v>1475.273644196539</v>
      </c>
      <c r="G11" s="604">
        <f t="shared" si="0"/>
        <v>1342.0888543414471</v>
      </c>
      <c r="H11" s="604">
        <f t="shared" si="0"/>
        <v>1328.1264668845167</v>
      </c>
      <c r="I11" s="604">
        <f t="shared" si="0"/>
        <v>1354.0022633974627</v>
      </c>
      <c r="J11" s="604">
        <f t="shared" si="0"/>
        <v>1370.3309207681464</v>
      </c>
      <c r="K11" s="604">
        <f t="shared" si="0"/>
        <v>1456.5354439425926</v>
      </c>
      <c r="L11" s="604">
        <f t="shared" si="0"/>
        <v>1503.8475432209723</v>
      </c>
      <c r="M11" s="604">
        <f t="shared" si="0"/>
        <v>1401.6560592428302</v>
      </c>
      <c r="N11" s="604">
        <f t="shared" si="0"/>
        <v>1411.3834198269512</v>
      </c>
      <c r="O11" s="604">
        <f t="shared" si="0"/>
        <v>1299.6071748791026</v>
      </c>
      <c r="P11" s="604">
        <f t="shared" si="0"/>
        <v>1307.6873569324866</v>
      </c>
      <c r="Q11" s="604">
        <f t="shared" si="0"/>
        <v>1360.0245187106059</v>
      </c>
      <c r="R11" s="604">
        <f t="shared" si="0"/>
        <v>1495.7917561356608</v>
      </c>
      <c r="S11" s="604">
        <f t="shared" si="0"/>
        <v>1562.2909863338336</v>
      </c>
      <c r="T11" s="604">
        <f t="shared" si="0"/>
        <v>1575.3714311532135</v>
      </c>
      <c r="U11" s="604">
        <f t="shared" si="0"/>
        <v>1592.6978844944829</v>
      </c>
      <c r="V11" s="604">
        <f t="shared" si="0"/>
        <v>1574.7123468079212</v>
      </c>
      <c r="W11" s="604">
        <f t="shared" ref="W11:AB11" si="1">SUM(W8:W10)</f>
        <v>1465.9126396399506</v>
      </c>
      <c r="X11" s="604">
        <f t="shared" si="1"/>
        <v>1614.4467360760748</v>
      </c>
      <c r="Y11" s="604">
        <f t="shared" si="1"/>
        <v>1546.5956919714624</v>
      </c>
      <c r="Z11" s="604">
        <f t="shared" si="1"/>
        <v>1468.2978600875406</v>
      </c>
      <c r="AA11" s="604">
        <f t="shared" si="1"/>
        <v>1387.7262054949738</v>
      </c>
      <c r="AB11" s="604">
        <f t="shared" si="1"/>
        <v>1440.0144883497101</v>
      </c>
      <c r="AC11" s="604">
        <f>SUM(AC8:AC10)</f>
        <v>1543.6023622247674</v>
      </c>
      <c r="AD11" s="604">
        <f>SUM(AD8:AD10)</f>
        <v>1620.2886608614547</v>
      </c>
      <c r="AE11" s="604">
        <f>SUM(AE8:AE10)</f>
        <v>1670.8129931059927</v>
      </c>
      <c r="AF11" s="604">
        <f t="shared" ref="AF11:AG11" si="2">SUM(AF8:AF10)</f>
        <v>1699.6777071588529</v>
      </c>
      <c r="AG11" s="604">
        <f t="shared" si="2"/>
        <v>1584.5173403178248</v>
      </c>
      <c r="AH11" s="604">
        <f t="shared" ref="AH11:AI11" si="3">SUM(AH8:AH10)</f>
        <v>962.61280212929216</v>
      </c>
      <c r="AI11" s="604">
        <f t="shared" si="3"/>
        <v>1113.8507288550891</v>
      </c>
      <c r="AJ11" s="604">
        <f t="shared" ref="AJ11" si="4">SUM(AJ8:AJ10)</f>
        <v>1330.7510141728376</v>
      </c>
    </row>
    <row r="12" spans="1:51">
      <c r="C12" s="599"/>
      <c r="D12" s="605"/>
      <c r="E12" s="605"/>
      <c r="F12" s="605"/>
      <c r="G12" s="605"/>
      <c r="H12" s="605"/>
      <c r="I12" s="605"/>
      <c r="J12" s="605"/>
      <c r="K12" s="605"/>
      <c r="L12" s="605"/>
      <c r="M12" s="605"/>
      <c r="N12" s="605"/>
      <c r="O12" s="605"/>
      <c r="P12" s="605"/>
      <c r="Q12" s="605"/>
      <c r="R12" s="605"/>
      <c r="S12" s="605"/>
      <c r="T12" s="605"/>
      <c r="U12" s="605"/>
      <c r="W12" s="605"/>
      <c r="X12" s="605"/>
      <c r="Y12" s="605"/>
      <c r="Z12" s="605"/>
      <c r="AA12" s="605"/>
      <c r="AB12" s="605"/>
      <c r="AC12" s="605"/>
      <c r="AD12" s="605"/>
      <c r="AE12" s="605"/>
      <c r="AF12" s="605"/>
      <c r="AG12" s="605"/>
      <c r="AH12" s="605"/>
      <c r="AI12" s="605"/>
      <c r="AJ12" s="605"/>
    </row>
    <row r="13" spans="1:51" s="491" customFormat="1" ht="15">
      <c r="B13" s="593"/>
      <c r="C13" s="594" t="s">
        <v>1797</v>
      </c>
      <c r="D13" s="595"/>
    </row>
    <row r="14" spans="1:51" s="491" customFormat="1">
      <c r="B14" s="593"/>
      <c r="C14" s="596" t="s">
        <v>1796</v>
      </c>
      <c r="D14" s="597">
        <v>1990</v>
      </c>
      <c r="E14" s="597">
        <v>1991</v>
      </c>
      <c r="F14" s="597">
        <v>1992</v>
      </c>
      <c r="G14" s="597">
        <v>1993</v>
      </c>
      <c r="H14" s="597">
        <v>1994</v>
      </c>
      <c r="I14" s="597">
        <v>1995</v>
      </c>
      <c r="J14" s="597">
        <v>1996</v>
      </c>
      <c r="K14" s="597">
        <v>1997</v>
      </c>
      <c r="L14" s="597">
        <v>1998</v>
      </c>
      <c r="M14" s="597">
        <v>1999</v>
      </c>
      <c r="N14" s="597">
        <v>2000</v>
      </c>
      <c r="O14" s="597">
        <v>2001</v>
      </c>
      <c r="P14" s="597">
        <v>2002</v>
      </c>
      <c r="Q14" s="597">
        <v>2003</v>
      </c>
      <c r="R14" s="597">
        <v>2004</v>
      </c>
      <c r="S14" s="597">
        <v>2005</v>
      </c>
      <c r="T14" s="597">
        <v>2006</v>
      </c>
      <c r="U14" s="597">
        <v>2007</v>
      </c>
      <c r="V14" s="597">
        <v>2008</v>
      </c>
      <c r="W14" s="597">
        <v>2009</v>
      </c>
      <c r="X14" s="597">
        <v>2010</v>
      </c>
      <c r="Y14" s="597">
        <v>2011</v>
      </c>
      <c r="Z14" s="597">
        <v>2012</v>
      </c>
      <c r="AA14" s="597">
        <v>2013</v>
      </c>
      <c r="AB14" s="597">
        <v>2014</v>
      </c>
      <c r="AC14" s="597">
        <v>2015</v>
      </c>
      <c r="AD14" s="597">
        <v>2016</v>
      </c>
      <c r="AE14" s="597">
        <v>2017</v>
      </c>
      <c r="AF14" s="597">
        <v>2018</v>
      </c>
      <c r="AG14" s="597">
        <v>2019</v>
      </c>
      <c r="AH14" s="597">
        <v>2020</v>
      </c>
      <c r="AI14" s="597">
        <v>2021</v>
      </c>
      <c r="AJ14" s="597">
        <v>2022</v>
      </c>
      <c r="AK14" s="1"/>
      <c r="AL14" s="1"/>
      <c r="AM14" s="1"/>
      <c r="AN14" s="1"/>
      <c r="AO14" s="1"/>
      <c r="AP14" s="1"/>
      <c r="AQ14" s="1"/>
      <c r="AR14" s="1"/>
      <c r="AS14" s="1"/>
      <c r="AT14" s="1"/>
      <c r="AU14" s="1"/>
      <c r="AV14" s="1"/>
      <c r="AW14" s="1"/>
      <c r="AX14" s="1"/>
      <c r="AY14" s="1"/>
    </row>
    <row r="15" spans="1:51" ht="15">
      <c r="C15" s="594" t="s">
        <v>1798</v>
      </c>
      <c r="D15" s="604">
        <f>SUM(D16:D18)</f>
        <v>103.63420130524366</v>
      </c>
      <c r="E15" s="604">
        <f t="shared" ref="E15:L15" si="5">SUM(E16:E18)</f>
        <v>117.73979467903077</v>
      </c>
      <c r="F15" s="604">
        <f t="shared" si="5"/>
        <v>108.00228237677115</v>
      </c>
      <c r="G15" s="604">
        <f t="shared" si="5"/>
        <v>97.964646961576975</v>
      </c>
      <c r="H15" s="604">
        <f t="shared" si="5"/>
        <v>96.811969345402375</v>
      </c>
      <c r="I15" s="604">
        <f t="shared" si="5"/>
        <v>98.609419121643811</v>
      </c>
      <c r="J15" s="604">
        <f t="shared" si="5"/>
        <v>99.861283112784065</v>
      </c>
      <c r="K15" s="604">
        <f t="shared" si="5"/>
        <v>107.06337541065952</v>
      </c>
      <c r="L15" s="604">
        <f t="shared" si="5"/>
        <v>110.59439341854778</v>
      </c>
      <c r="M15" s="604">
        <f t="shared" ref="M15:V15" si="6">SUM(M16:M18)</f>
        <v>102.8337926914605</v>
      </c>
      <c r="N15" s="604">
        <f t="shared" si="6"/>
        <v>101.89469078477765</v>
      </c>
      <c r="O15" s="604">
        <f t="shared" si="6"/>
        <v>93.889922754108269</v>
      </c>
      <c r="P15" s="604">
        <f t="shared" si="6"/>
        <v>94.60008843810418</v>
      </c>
      <c r="Q15" s="604">
        <f t="shared" si="6"/>
        <v>98.483815476499757</v>
      </c>
      <c r="R15" s="604">
        <f t="shared" si="6"/>
        <v>108.60974440750498</v>
      </c>
      <c r="S15" s="604">
        <f t="shared" si="6"/>
        <v>113.32783658654301</v>
      </c>
      <c r="T15" s="604">
        <f t="shared" si="6"/>
        <v>114.26853089607206</v>
      </c>
      <c r="U15" s="604">
        <f t="shared" si="6"/>
        <v>115.46280548207478</v>
      </c>
      <c r="V15" s="604">
        <f t="shared" si="6"/>
        <v>114.45756798460948</v>
      </c>
      <c r="W15" s="604">
        <f t="shared" ref="W15:AB15" si="7">SUM(W16:W18)</f>
        <v>106.51065999327002</v>
      </c>
      <c r="X15" s="604">
        <f t="shared" si="7"/>
        <v>117.10105204558026</v>
      </c>
      <c r="Y15" s="604">
        <f t="shared" si="7"/>
        <v>111.74572772726714</v>
      </c>
      <c r="Z15" s="604">
        <f t="shared" si="7"/>
        <v>105.88868046209843</v>
      </c>
      <c r="AA15" s="604">
        <f t="shared" si="7"/>
        <v>99.840322686785115</v>
      </c>
      <c r="AB15" s="604">
        <f t="shared" si="7"/>
        <v>103.48801748678198</v>
      </c>
      <c r="AC15" s="604">
        <f>SUM(AC16:AC18)</f>
        <v>110.97996580958029</v>
      </c>
      <c r="AD15" s="604">
        <f>SUM(AD16:AD18)</f>
        <v>116.68214816630484</v>
      </c>
      <c r="AE15" s="604">
        <f>SUM(AE16:AE18)</f>
        <v>120.19165846922266</v>
      </c>
      <c r="AF15" s="604">
        <f t="shared" ref="AF15:AG15" si="8">SUM(AF16:AF18)</f>
        <v>124.27873681003345</v>
      </c>
      <c r="AG15" s="604">
        <f t="shared" si="8"/>
        <v>113.63153979232857</v>
      </c>
      <c r="AH15" s="604">
        <f t="shared" ref="AH15:AI15" si="9">SUM(AH16:AH18)</f>
        <v>69.63842188314004</v>
      </c>
      <c r="AI15" s="604">
        <f t="shared" si="9"/>
        <v>80.18034794846821</v>
      </c>
      <c r="AJ15" s="604">
        <f t="shared" ref="AJ15" si="10">SUM(AJ16:AJ18)</f>
        <v>95.573670708138565</v>
      </c>
    </row>
    <row r="16" spans="1:51">
      <c r="C16" s="599" t="s">
        <v>1492</v>
      </c>
      <c r="D16" s="600">
        <f>'[9]Aviation Emissions'!D$26</f>
        <v>38.205227775598104</v>
      </c>
      <c r="E16" s="600">
        <f>'[9]Aviation Emissions'!E$26</f>
        <v>46.50944508724568</v>
      </c>
      <c r="F16" s="600">
        <f>'[9]Aviation Emissions'!F$26</f>
        <v>46.908663670833413</v>
      </c>
      <c r="G16" s="600">
        <f>'[9]Aviation Emissions'!G$26</f>
        <v>47.025345411631029</v>
      </c>
      <c r="H16" s="600">
        <f>'[9]Aviation Emissions'!H$26</f>
        <v>48.465030873013127</v>
      </c>
      <c r="I16" s="600">
        <f>'[9]Aviation Emissions'!I$26</f>
        <v>50.020775922835128</v>
      </c>
      <c r="J16" s="600">
        <f>'[9]Aviation Emissions'!J$26</f>
        <v>51.140649946253539</v>
      </c>
      <c r="K16" s="600">
        <f>'[9]Aviation Emissions'!K$26</f>
        <v>54.587638934182706</v>
      </c>
      <c r="L16" s="600">
        <f>'[9]Aviation Emissions'!L$26</f>
        <v>54.184142272283431</v>
      </c>
      <c r="M16" s="600">
        <f>'[9]Aviation Emissions'!M$26</f>
        <v>57.657897683101496</v>
      </c>
      <c r="N16" s="600">
        <f>'[9]Aviation Emissions'!N$26</f>
        <v>62.128568401865579</v>
      </c>
      <c r="O16" s="600">
        <f>'[9]Aviation Emissions'!O$26</f>
        <v>56.492685979066238</v>
      </c>
      <c r="P16" s="600">
        <f>'[9]Aviation Emissions'!P$26</f>
        <v>54.72583705289378</v>
      </c>
      <c r="Q16" s="600">
        <f>'[9]Aviation Emissions'!Q$26</f>
        <v>55.294081052978434</v>
      </c>
      <c r="R16" s="600">
        <f>'[9]Aviation Emissions'!R$26</f>
        <v>56.342164226958012</v>
      </c>
      <c r="S16" s="600">
        <f>'[9]Aviation Emissions'!S$26</f>
        <v>60.220980376771422</v>
      </c>
      <c r="T16" s="600">
        <f>'[9]Aviation Emissions'!T$26</f>
        <v>60.36624039029023</v>
      </c>
      <c r="U16" s="600">
        <f>'[9]Aviation Emissions'!U$26</f>
        <v>61.574300430789435</v>
      </c>
      <c r="V16" s="600">
        <f>'[9]Aviation Emissions'!V$26</f>
        <v>56.225577547909261</v>
      </c>
      <c r="W16" s="600">
        <f>'[9]Aviation Emissions'!W$26</f>
        <v>52.860915996122117</v>
      </c>
      <c r="X16" s="600">
        <f>'[9]Aviation Emissions'!X$26</f>
        <v>61.043245465497669</v>
      </c>
      <c r="Y16" s="600">
        <f>'[9]Aviation Emissions'!Y$26</f>
        <v>64.855900877315491</v>
      </c>
      <c r="Z16" s="600">
        <f>'[9]Aviation Emissions'!Z$26</f>
        <v>64.590426911887349</v>
      </c>
      <c r="AA16" s="600">
        <f>'[9]Aviation Emissions'!AA$26</f>
        <v>65.724412671670066</v>
      </c>
      <c r="AB16" s="600">
        <f>'[9]Aviation Emissions'!AB$26</f>
        <v>69.679313111868836</v>
      </c>
      <c r="AC16" s="600">
        <f>'[9]Aviation Emissions'!AC$26</f>
        <v>72.012679590859733</v>
      </c>
      <c r="AD16" s="600">
        <f>'[9]Aviation Emissions'!AD$26</f>
        <v>74.128329489551533</v>
      </c>
      <c r="AE16" s="600">
        <f>'[9]Aviation Emissions'!AE$26</f>
        <v>77.76364538997727</v>
      </c>
      <c r="AF16" s="600">
        <f>'[9]Aviation Emissions'!AF$26</f>
        <v>82.953438141961726</v>
      </c>
      <c r="AG16" s="600">
        <f>'[9]Aviation Emissions'!AG$26</f>
        <v>78.280354309049784</v>
      </c>
      <c r="AH16" s="600">
        <f>'[9]Aviation Emissions'!AH$26</f>
        <v>39.781445200509218</v>
      </c>
      <c r="AI16" s="600">
        <f>'[9]Aviation Emissions'!AI$26</f>
        <v>50.811636195571445</v>
      </c>
      <c r="AJ16" s="600">
        <f>'[9]Aviation Emissions'!AJ$26</f>
        <v>63.978681546244488</v>
      </c>
    </row>
    <row r="17" spans="2:36">
      <c r="C17" s="599" t="s">
        <v>1493</v>
      </c>
      <c r="D17" s="600">
        <f>'[9]Marine Emissions'!D9</f>
        <v>53.744340413228386</v>
      </c>
      <c r="E17" s="600">
        <f>'[9]Marine Emissions'!E9</f>
        <v>60.187882123550722</v>
      </c>
      <c r="F17" s="600">
        <f>'[9]Marine Emissions'!F9</f>
        <v>50.300652704576848</v>
      </c>
      <c r="G17" s="600">
        <f>'[9]Marine Emissions'!G9</f>
        <v>40.094672763828918</v>
      </c>
      <c r="H17" s="600">
        <f>'[9]Marine Emissions'!H9</f>
        <v>39.38436027998209</v>
      </c>
      <c r="I17" s="600">
        <f>'[9]Marine Emissions'!I9</f>
        <v>39.289663153588911</v>
      </c>
      <c r="J17" s="600">
        <f>'[9]Marine Emissions'!J9</f>
        <v>40.279510193650353</v>
      </c>
      <c r="K17" s="600">
        <f>'[9]Marine Emissions'!K9</f>
        <v>43.193789212869973</v>
      </c>
      <c r="L17" s="600">
        <f>'[9]Marine Emissions'!L9</f>
        <v>44.665886640216755</v>
      </c>
      <c r="M17" s="600">
        <f>'[9]Marine Emissions'!M9</f>
        <v>36.775429001024854</v>
      </c>
      <c r="N17" s="600">
        <f>'[9]Marine Emissions'!N9</f>
        <v>33.347037242149554</v>
      </c>
      <c r="O17" s="600">
        <f>'[9]Marine Emissions'!O9</f>
        <v>31.992523032166403</v>
      </c>
      <c r="P17" s="600">
        <f>'[9]Marine Emissions'!P9</f>
        <v>33.711350564287144</v>
      </c>
      <c r="Q17" s="600">
        <f>'[9]Marine Emissions'!Q9</f>
        <v>35.4301780964079</v>
      </c>
      <c r="R17" s="600">
        <f>'[9]Marine Emissions'!R9</f>
        <v>41.534278041681915</v>
      </c>
      <c r="S17" s="600">
        <f>'[9]Marine Emissions'!S9</f>
        <v>43.629589937800532</v>
      </c>
      <c r="T17" s="600">
        <f>'[9]Marine Emissions'!T9</f>
        <v>45.008488249453222</v>
      </c>
      <c r="U17" s="600">
        <f>'[9]Marine Emissions'!U9</f>
        <v>45.622081552124591</v>
      </c>
      <c r="V17" s="600">
        <f>'[9]Marine Emissions'!V9</f>
        <v>49.156856620448437</v>
      </c>
      <c r="W17" s="600">
        <f>'[9]Marine Emissions'!W9</f>
        <v>45.414915123240966</v>
      </c>
      <c r="X17" s="600">
        <f>'[9]Marine Emissions'!X9</f>
        <v>46.543409120139948</v>
      </c>
      <c r="Y17" s="600">
        <f>'[9]Marine Emissions'!Y9</f>
        <v>38.926176263133868</v>
      </c>
      <c r="Z17" s="600">
        <f>'[9]Marine Emissions'!Z9</f>
        <v>34.502121991208959</v>
      </c>
      <c r="AA17" s="600">
        <f>'[9]Marine Emissions'!AA9</f>
        <v>28.519980224082126</v>
      </c>
      <c r="AB17" s="600">
        <f>'[9]Marine Emissions'!AB9</f>
        <v>27.722727509640539</v>
      </c>
      <c r="AC17" s="600">
        <f>'[9]Marine Emissions'!AC9</f>
        <v>30.551687430997333</v>
      </c>
      <c r="AD17" s="600">
        <f>'[9]Marine Emissions'!AD9</f>
        <v>33.843139389255683</v>
      </c>
      <c r="AE17" s="600">
        <f>'[9]Marine Emissions'!AE9</f>
        <v>33.440867099190619</v>
      </c>
      <c r="AF17" s="600">
        <f>'[9]Marine Emissions'!AF9</f>
        <v>31.356444461431472</v>
      </c>
      <c r="AG17" s="600">
        <f>'[9]Marine Emissions'!AG9</f>
        <v>25.248356597337704</v>
      </c>
      <c r="AH17" s="600">
        <f>'[9]Marine Emissions'!AH9</f>
        <v>22.076563250414932</v>
      </c>
      <c r="AI17" s="600">
        <f>'[9]Marine Emissions'!AI9</f>
        <v>21.949565179801599</v>
      </c>
      <c r="AJ17" s="600">
        <f>'[9]Marine Emissions'!AJ9</f>
        <v>24.418594156680534</v>
      </c>
    </row>
    <row r="18" spans="2:36">
      <c r="C18" s="601" t="s">
        <v>1494</v>
      </c>
      <c r="D18" s="602">
        <f>'[9]Marine Emissions'!D16</f>
        <v>11.684633116417167</v>
      </c>
      <c r="E18" s="602">
        <f>'[9]Marine Emissions'!E16</f>
        <v>11.042467468234369</v>
      </c>
      <c r="F18" s="602">
        <f>'[9]Marine Emissions'!F16</f>
        <v>10.792966001360892</v>
      </c>
      <c r="G18" s="602">
        <f>'[9]Marine Emissions'!G16</f>
        <v>10.844628786117024</v>
      </c>
      <c r="H18" s="602">
        <f>'[9]Marine Emissions'!H16</f>
        <v>8.9625781924071486</v>
      </c>
      <c r="I18" s="602">
        <f>'[9]Marine Emissions'!I16</f>
        <v>9.2989800452197713</v>
      </c>
      <c r="J18" s="602">
        <f>'[9]Marine Emissions'!J16</f>
        <v>8.4411229728801871</v>
      </c>
      <c r="K18" s="602">
        <f>'[9]Marine Emissions'!K16</f>
        <v>9.2819472636068436</v>
      </c>
      <c r="L18" s="602">
        <f>'[9]Marine Emissions'!L16</f>
        <v>11.744364506047587</v>
      </c>
      <c r="M18" s="602">
        <f>'[9]Marine Emissions'!M16</f>
        <v>8.400466007334165</v>
      </c>
      <c r="N18" s="602">
        <f>'[9]Marine Emissions'!N16</f>
        <v>6.4190851407625225</v>
      </c>
      <c r="O18" s="602">
        <f>'[9]Marine Emissions'!O16</f>
        <v>5.4047137428756242</v>
      </c>
      <c r="P18" s="602">
        <f>'[9]Marine Emissions'!P16</f>
        <v>6.1629008209232561</v>
      </c>
      <c r="Q18" s="602">
        <f>'[9]Marine Emissions'!Q16</f>
        <v>7.7595563271134145</v>
      </c>
      <c r="R18" s="602">
        <f>'[9]Marine Emissions'!R16</f>
        <v>10.733302138865053</v>
      </c>
      <c r="S18" s="602">
        <f>'[9]Marine Emissions'!S16</f>
        <v>9.4772662719710645</v>
      </c>
      <c r="T18" s="602">
        <f>'[9]Marine Emissions'!T16</f>
        <v>8.8938022563286072</v>
      </c>
      <c r="U18" s="602">
        <f>'[9]Marine Emissions'!U16</f>
        <v>8.2664234991607515</v>
      </c>
      <c r="V18" s="602">
        <f>'[9]Marine Emissions'!V16</f>
        <v>9.0751338162517907</v>
      </c>
      <c r="W18" s="602">
        <f>'[9]Marine Emissions'!W16</f>
        <v>8.2348288739069346</v>
      </c>
      <c r="X18" s="602">
        <f>'[9]Marine Emissions'!X16</f>
        <v>9.5143974599426411</v>
      </c>
      <c r="Y18" s="602">
        <f>'[9]Marine Emissions'!Y16</f>
        <v>7.9636505868177778</v>
      </c>
      <c r="Z18" s="602">
        <f>'[9]Marine Emissions'!Z16</f>
        <v>6.796131559002121</v>
      </c>
      <c r="AA18" s="602">
        <f>'[9]Marine Emissions'!AA16</f>
        <v>5.5959297910329262</v>
      </c>
      <c r="AB18" s="602">
        <f>'[9]Marine Emissions'!AB16</f>
        <v>6.0859768652726194</v>
      </c>
      <c r="AC18" s="602">
        <f>'[9]Marine Emissions'!AC16</f>
        <v>8.4155987877232281</v>
      </c>
      <c r="AD18" s="602">
        <f>'[9]Marine Emissions'!AD16</f>
        <v>8.7106792874976229</v>
      </c>
      <c r="AE18" s="602">
        <f>'[9]Marine Emissions'!AE16</f>
        <v>8.9871459800547768</v>
      </c>
      <c r="AF18" s="602">
        <f>'[9]Marine Emissions'!AF16</f>
        <v>9.9688542066402608</v>
      </c>
      <c r="AG18" s="602">
        <f>'[9]Marine Emissions'!AG16</f>
        <v>10.102828885941072</v>
      </c>
      <c r="AH18" s="602">
        <f>'[9]Marine Emissions'!AH16</f>
        <v>7.7804134322158891</v>
      </c>
      <c r="AI18" s="602">
        <f>'[9]Marine Emissions'!AI16</f>
        <v>7.4191465730951567</v>
      </c>
      <c r="AJ18" s="602">
        <f>'[9]Marine Emissions'!AJ16</f>
        <v>7.1763950052135499</v>
      </c>
    </row>
    <row r="19" spans="2:36">
      <c r="C19" s="599"/>
      <c r="D19" s="605"/>
      <c r="E19" s="605"/>
      <c r="F19" s="605"/>
      <c r="G19" s="605"/>
      <c r="H19" s="605"/>
      <c r="I19" s="605"/>
      <c r="J19" s="605"/>
      <c r="K19" s="605"/>
      <c r="L19" s="605"/>
      <c r="M19" s="605"/>
      <c r="N19" s="605"/>
      <c r="O19" s="605"/>
      <c r="P19" s="605"/>
      <c r="Q19" s="605"/>
      <c r="R19" s="605"/>
      <c r="S19" s="605"/>
      <c r="T19" s="605"/>
      <c r="W19" s="605"/>
      <c r="X19" s="605"/>
      <c r="Y19" s="605"/>
      <c r="Z19" s="605"/>
      <c r="AA19" s="605"/>
      <c r="AB19" s="605"/>
      <c r="AC19" s="605"/>
      <c r="AD19" s="605"/>
      <c r="AE19" s="605"/>
      <c r="AF19" s="605"/>
      <c r="AG19" s="605"/>
      <c r="AH19" s="605"/>
      <c r="AI19" s="605"/>
      <c r="AJ19" s="605"/>
    </row>
    <row r="20" spans="2:36">
      <c r="C20" s="599"/>
      <c r="D20" s="605"/>
      <c r="E20" s="605"/>
      <c r="F20" s="605"/>
      <c r="G20" s="605"/>
      <c r="H20" s="605"/>
      <c r="I20" s="605"/>
      <c r="J20" s="605"/>
      <c r="K20" s="605"/>
      <c r="L20" s="606"/>
      <c r="M20" s="606"/>
      <c r="N20" s="606"/>
      <c r="O20" s="606"/>
      <c r="P20" s="606"/>
      <c r="Q20" s="606"/>
      <c r="R20" s="606"/>
      <c r="S20" s="606"/>
      <c r="T20" s="606"/>
      <c r="W20" s="606"/>
      <c r="X20" s="606"/>
      <c r="Y20" s="606"/>
      <c r="Z20" s="606"/>
      <c r="AA20" s="606"/>
      <c r="AB20" s="606"/>
      <c r="AC20" s="606"/>
      <c r="AD20" s="606"/>
      <c r="AE20" s="606"/>
      <c r="AF20" s="606"/>
      <c r="AG20" s="606"/>
      <c r="AH20" s="606"/>
      <c r="AI20" s="606"/>
      <c r="AJ20" s="606"/>
    </row>
    <row r="21" spans="2:36">
      <c r="B21" s="456"/>
      <c r="C21" s="594" t="s">
        <v>1799</v>
      </c>
      <c r="D21" s="595"/>
      <c r="E21" s="491"/>
      <c r="F21" s="491"/>
      <c r="G21" s="491"/>
      <c r="H21" s="491"/>
      <c r="I21" s="491"/>
      <c r="J21" s="491"/>
      <c r="K21" s="491"/>
      <c r="L21" s="491"/>
      <c r="M21" s="491"/>
      <c r="N21" s="491"/>
      <c r="O21" s="491"/>
      <c r="P21" s="491"/>
      <c r="Q21" s="491"/>
      <c r="R21" s="491"/>
      <c r="S21" s="491"/>
      <c r="T21" s="491"/>
      <c r="W21" s="491"/>
      <c r="X21" s="491"/>
      <c r="Y21" s="491"/>
      <c r="Z21" s="491"/>
      <c r="AA21" s="491"/>
      <c r="AB21" s="491"/>
      <c r="AC21" s="491"/>
      <c r="AD21" s="491"/>
      <c r="AE21" s="491"/>
      <c r="AF21" s="491"/>
      <c r="AG21" s="491"/>
      <c r="AH21" s="491"/>
      <c r="AI21" s="491"/>
      <c r="AJ21" s="491"/>
    </row>
    <row r="22" spans="2:36">
      <c r="B22" s="456">
        <v>1</v>
      </c>
      <c r="C22" s="596" t="s">
        <v>1796</v>
      </c>
      <c r="D22" s="597">
        <v>1990</v>
      </c>
      <c r="E22" s="597">
        <v>1991</v>
      </c>
      <c r="F22" s="597">
        <v>1992</v>
      </c>
      <c r="G22" s="597">
        <v>1993</v>
      </c>
      <c r="H22" s="597">
        <v>1994</v>
      </c>
      <c r="I22" s="597">
        <v>1995</v>
      </c>
      <c r="J22" s="597">
        <v>1996</v>
      </c>
      <c r="K22" s="597">
        <v>1997</v>
      </c>
      <c r="L22" s="597">
        <v>1998</v>
      </c>
      <c r="M22" s="597">
        <v>1999</v>
      </c>
      <c r="N22" s="597">
        <v>2000</v>
      </c>
      <c r="O22" s="597">
        <v>2001</v>
      </c>
      <c r="P22" s="597">
        <v>2002</v>
      </c>
      <c r="Q22" s="597">
        <v>2003</v>
      </c>
      <c r="R22" s="597">
        <v>2004</v>
      </c>
      <c r="S22" s="597">
        <v>2005</v>
      </c>
      <c r="T22" s="597">
        <v>2006</v>
      </c>
      <c r="U22" s="597">
        <v>2007</v>
      </c>
      <c r="V22" s="597">
        <v>2008</v>
      </c>
      <c r="W22" s="597">
        <v>2009</v>
      </c>
      <c r="X22" s="597">
        <v>2010</v>
      </c>
      <c r="Y22" s="597">
        <v>2011</v>
      </c>
      <c r="Z22" s="597">
        <v>2012</v>
      </c>
      <c r="AA22" s="597">
        <v>2013</v>
      </c>
      <c r="AB22" s="597">
        <v>2014</v>
      </c>
      <c r="AC22" s="597">
        <v>2015</v>
      </c>
      <c r="AD22" s="597">
        <v>2016</v>
      </c>
      <c r="AE22" s="597">
        <v>2017</v>
      </c>
      <c r="AF22" s="597">
        <v>2018</v>
      </c>
      <c r="AG22" s="597">
        <v>2019</v>
      </c>
      <c r="AH22" s="597">
        <v>2020</v>
      </c>
      <c r="AI22" s="597">
        <v>2021</v>
      </c>
      <c r="AJ22" s="597">
        <v>2022</v>
      </c>
    </row>
    <row r="23" spans="2:36" ht="15">
      <c r="B23" s="456">
        <f>B22+1</f>
        <v>2</v>
      </c>
      <c r="C23" s="594" t="s">
        <v>1798</v>
      </c>
      <c r="D23" s="604">
        <f t="shared" ref="D23:R23" si="11">SUM(D24:D26)</f>
        <v>28.263873083248267</v>
      </c>
      <c r="E23" s="604">
        <f t="shared" si="11"/>
        <v>32.110853094281119</v>
      </c>
      <c r="F23" s="604">
        <f t="shared" si="11"/>
        <v>29.455167920937583</v>
      </c>
      <c r="G23" s="604">
        <f t="shared" si="11"/>
        <v>26.717630989520988</v>
      </c>
      <c r="H23" s="604">
        <f t="shared" si="11"/>
        <v>26.403264366927917</v>
      </c>
      <c r="I23" s="604">
        <f t="shared" si="11"/>
        <v>26.893477942266493</v>
      </c>
      <c r="J23" s="604">
        <f t="shared" si="11"/>
        <v>27.234895394395657</v>
      </c>
      <c r="K23" s="604">
        <f t="shared" si="11"/>
        <v>29.199102384725322</v>
      </c>
      <c r="L23" s="604">
        <f t="shared" si="11"/>
        <v>30.162107295967573</v>
      </c>
      <c r="M23" s="604">
        <f t="shared" si="11"/>
        <v>28.045579824943776</v>
      </c>
      <c r="N23" s="604">
        <f t="shared" si="11"/>
        <v>27.789461123121178</v>
      </c>
      <c r="O23" s="604">
        <f t="shared" si="11"/>
        <v>25.606342569302253</v>
      </c>
      <c r="P23" s="604">
        <f t="shared" si="11"/>
        <v>25.800024119482959</v>
      </c>
      <c r="Q23" s="604">
        <f t="shared" si="11"/>
        <v>26.859222402681745</v>
      </c>
      <c r="R23" s="604">
        <f t="shared" si="11"/>
        <v>29.620839383864993</v>
      </c>
      <c r="S23" s="604">
        <f t="shared" ref="S23:X23" si="12">SUM(S24:S26)</f>
        <v>30.907591796329914</v>
      </c>
      <c r="T23" s="604">
        <f t="shared" si="12"/>
        <v>31.164144789837835</v>
      </c>
      <c r="U23" s="604">
        <f t="shared" si="12"/>
        <v>31.489856040565847</v>
      </c>
      <c r="V23" s="604">
        <f t="shared" si="12"/>
        <v>31.215700359438948</v>
      </c>
      <c r="W23" s="604">
        <f t="shared" si="12"/>
        <v>29.048361816346365</v>
      </c>
      <c r="X23" s="604">
        <f t="shared" si="12"/>
        <v>31.936650557885521</v>
      </c>
      <c r="Y23" s="604">
        <f t="shared" ref="Y23:AD23" si="13">SUM(Y24:Y26)</f>
        <v>30.476107561981948</v>
      </c>
      <c r="Z23" s="604">
        <f t="shared" si="13"/>
        <v>28.878731035117752</v>
      </c>
      <c r="AA23" s="604">
        <f t="shared" si="13"/>
        <v>27.229178914577759</v>
      </c>
      <c r="AB23" s="604">
        <f t="shared" si="13"/>
        <v>28.224004769122359</v>
      </c>
      <c r="AC23" s="604">
        <f t="shared" si="13"/>
        <v>30.267263402612805</v>
      </c>
      <c r="AD23" s="604">
        <f t="shared" si="13"/>
        <v>31.822404045355864</v>
      </c>
      <c r="AE23" s="604">
        <f>SUM(AE24:AE26)</f>
        <v>32.779543218878906</v>
      </c>
      <c r="AF23" s="604">
        <f t="shared" ref="AF23:AG23" si="14">SUM(AF24:AF26)</f>
        <v>33.894200948190942</v>
      </c>
      <c r="AG23" s="604">
        <f t="shared" si="14"/>
        <v>30.990419943362333</v>
      </c>
      <c r="AH23" s="604">
        <f t="shared" ref="AH23:AI23" si="15">SUM(AH24:AH26)</f>
        <v>18.992296877220006</v>
      </c>
      <c r="AI23" s="604">
        <f t="shared" si="15"/>
        <v>21.867367622309509</v>
      </c>
      <c r="AJ23" s="604">
        <f t="shared" ref="AJ23" si="16">SUM(AJ24:AJ26)</f>
        <v>26.065546556765064</v>
      </c>
    </row>
    <row r="24" spans="2:36">
      <c r="B24" s="456">
        <f>B23+1</f>
        <v>3</v>
      </c>
      <c r="C24" s="599" t="s">
        <v>1492</v>
      </c>
      <c r="D24" s="605">
        <f t="shared" ref="D24:R25" si="17">D16*CO2toC</f>
        <v>10.419607575163118</v>
      </c>
      <c r="E24" s="605">
        <f t="shared" si="17"/>
        <v>12.684394114703366</v>
      </c>
      <c r="F24" s="605">
        <f t="shared" si="17"/>
        <v>12.793271910227293</v>
      </c>
      <c r="G24" s="605">
        <f t="shared" si="17"/>
        <v>12.825094203172098</v>
      </c>
      <c r="H24" s="605">
        <f t="shared" si="17"/>
        <v>13.217735692639943</v>
      </c>
      <c r="I24" s="605">
        <f t="shared" si="17"/>
        <v>13.642029797136852</v>
      </c>
      <c r="J24" s="605">
        <f t="shared" si="17"/>
        <v>13.947449985341873</v>
      </c>
      <c r="K24" s="605">
        <f t="shared" si="17"/>
        <v>14.887537891140736</v>
      </c>
      <c r="L24" s="605">
        <f t="shared" si="17"/>
        <v>14.77749334698639</v>
      </c>
      <c r="M24" s="605">
        <f t="shared" si="17"/>
        <v>15.724881186300406</v>
      </c>
      <c r="N24" s="605">
        <f t="shared" si="17"/>
        <v>16.944155018690612</v>
      </c>
      <c r="O24" s="605">
        <f t="shared" si="17"/>
        <v>15.407096176108972</v>
      </c>
      <c r="P24" s="605">
        <f t="shared" si="17"/>
        <v>14.925228287152848</v>
      </c>
      <c r="Q24" s="605">
        <f t="shared" si="17"/>
        <v>15.080203923539571</v>
      </c>
      <c r="R24" s="605">
        <f t="shared" si="17"/>
        <v>15.366044789170365</v>
      </c>
      <c r="S24" s="605">
        <f t="shared" ref="S24:T26" si="18">S16*CO2toC</f>
        <v>16.423903739119478</v>
      </c>
      <c r="T24" s="605">
        <f t="shared" si="18"/>
        <v>16.46352010644279</v>
      </c>
      <c r="U24" s="605">
        <f t="shared" ref="U24:X26" si="19">U16*CO2toC</f>
        <v>16.792991026578935</v>
      </c>
      <c r="V24" s="605">
        <f t="shared" si="19"/>
        <v>15.334248422157071</v>
      </c>
      <c r="W24" s="605">
        <f t="shared" si="19"/>
        <v>14.416613453487848</v>
      </c>
      <c r="X24" s="605">
        <f t="shared" si="19"/>
        <v>16.648157854226636</v>
      </c>
      <c r="Y24" s="605">
        <f t="shared" ref="Y24:Z26" si="20">Y16*CO2toC</f>
        <v>17.687972966540588</v>
      </c>
      <c r="Z24" s="605">
        <f t="shared" si="20"/>
        <v>17.615570975969277</v>
      </c>
      <c r="AA24" s="605">
        <f t="shared" ref="AA24:AB26" si="21">AA16*CO2toC</f>
        <v>17.924839819546381</v>
      </c>
      <c r="AB24" s="605">
        <f t="shared" si="21"/>
        <v>19.003449030509682</v>
      </c>
      <c r="AC24" s="605">
        <f t="shared" ref="AC24:AD26" si="22">AC16*CO2toC</f>
        <v>19.639821706598106</v>
      </c>
      <c r="AD24" s="605">
        <f t="shared" si="22"/>
        <v>20.216817133514052</v>
      </c>
      <c r="AE24" s="605">
        <f t="shared" ref="AE24:AE26" si="23">AE16*CO2toC</f>
        <v>21.208266924539252</v>
      </c>
      <c r="AF24" s="605">
        <f t="shared" ref="AF24:AG24" si="24">AF16*CO2toC</f>
        <v>22.623664947807743</v>
      </c>
      <c r="AG24" s="605">
        <f t="shared" si="24"/>
        <v>21.349187538831757</v>
      </c>
      <c r="AH24" s="605">
        <f t="shared" ref="AH24:AI24" si="25">AH16*CO2toC</f>
        <v>10.849485054684331</v>
      </c>
      <c r="AI24" s="605">
        <f t="shared" si="25"/>
        <v>13.857718962428574</v>
      </c>
      <c r="AJ24" s="605">
        <f t="shared" ref="AJ24" si="26">AJ16*CO2toC</f>
        <v>17.448731330793951</v>
      </c>
    </row>
    <row r="25" spans="2:36">
      <c r="B25" s="456">
        <f>B24+1</f>
        <v>4</v>
      </c>
      <c r="C25" s="599" t="s">
        <v>1493</v>
      </c>
      <c r="D25" s="605">
        <f t="shared" si="17"/>
        <v>14.657547385425922</v>
      </c>
      <c r="E25" s="605">
        <f t="shared" ref="E25:R25" si="27">E17*CO2toC</f>
        <v>16.41487694278656</v>
      </c>
      <c r="F25" s="605">
        <f t="shared" si="27"/>
        <v>13.718359828520958</v>
      </c>
      <c r="G25" s="605">
        <f t="shared" si="27"/>
        <v>10.934910753771522</v>
      </c>
      <c r="H25" s="605">
        <f t="shared" si="27"/>
        <v>10.741189167267843</v>
      </c>
      <c r="I25" s="605">
        <f t="shared" si="27"/>
        <v>10.71536267825152</v>
      </c>
      <c r="J25" s="605">
        <f t="shared" si="27"/>
        <v>10.985320961904641</v>
      </c>
      <c r="K25" s="605">
        <f t="shared" si="27"/>
        <v>11.780124330782719</v>
      </c>
      <c r="L25" s="605">
        <f t="shared" si="27"/>
        <v>12.181605447331842</v>
      </c>
      <c r="M25" s="605">
        <f t="shared" si="27"/>
        <v>10.02966245482496</v>
      </c>
      <c r="N25" s="605">
        <f t="shared" si="27"/>
        <v>9.0946465205862417</v>
      </c>
      <c r="O25" s="605">
        <f t="shared" si="27"/>
        <v>8.7252335542272004</v>
      </c>
      <c r="P25" s="605">
        <f t="shared" si="27"/>
        <v>9.1940046993510389</v>
      </c>
      <c r="Q25" s="605">
        <f t="shared" si="27"/>
        <v>9.662775844474881</v>
      </c>
      <c r="R25" s="605">
        <f t="shared" si="27"/>
        <v>11.327530375004159</v>
      </c>
      <c r="S25" s="605">
        <f t="shared" si="18"/>
        <v>11.898979073945599</v>
      </c>
      <c r="T25" s="605">
        <f t="shared" si="18"/>
        <v>12.275042249850879</v>
      </c>
      <c r="U25" s="605">
        <f t="shared" si="19"/>
        <v>12.442385877852161</v>
      </c>
      <c r="V25" s="605">
        <f t="shared" si="19"/>
        <v>13.406415441940482</v>
      </c>
      <c r="W25" s="605">
        <f t="shared" si="19"/>
        <v>12.38588594270208</v>
      </c>
      <c r="X25" s="605">
        <f t="shared" si="19"/>
        <v>12.69365703276544</v>
      </c>
      <c r="Y25" s="605">
        <f t="shared" si="20"/>
        <v>10.6162298899456</v>
      </c>
      <c r="Z25" s="605">
        <f t="shared" si="20"/>
        <v>9.4096696339660788</v>
      </c>
      <c r="AA25" s="605">
        <f t="shared" si="21"/>
        <v>7.7781764247496703</v>
      </c>
      <c r="AB25" s="605">
        <f t="shared" si="21"/>
        <v>7.560743866265601</v>
      </c>
      <c r="AC25" s="605">
        <f t="shared" si="22"/>
        <v>8.3322783902720001</v>
      </c>
      <c r="AD25" s="605">
        <f t="shared" si="22"/>
        <v>9.2299471061606404</v>
      </c>
      <c r="AE25" s="605">
        <f t="shared" si="23"/>
        <v>9.1202364815974413</v>
      </c>
      <c r="AF25" s="605">
        <f t="shared" ref="AF25:AG25" si="28">AF17*CO2toC</f>
        <v>8.5517575803904009</v>
      </c>
      <c r="AG25" s="605">
        <f t="shared" si="28"/>
        <v>6.8859154356375551</v>
      </c>
      <c r="AH25" s="605">
        <f t="shared" ref="AH25:AI25" si="29">AH17*CO2toC</f>
        <v>6.0208808864767986</v>
      </c>
      <c r="AI25" s="605">
        <f t="shared" si="29"/>
        <v>5.9862450490367998</v>
      </c>
      <c r="AJ25" s="605">
        <f t="shared" ref="AJ25" si="30">AJ17*CO2toC</f>
        <v>6.6596165881855995</v>
      </c>
    </row>
    <row r="26" spans="2:36">
      <c r="B26" s="456">
        <f>B25+1</f>
        <v>5</v>
      </c>
      <c r="C26" s="601" t="s">
        <v>1494</v>
      </c>
      <c r="D26" s="607">
        <f t="shared" ref="D26:R26" si="31">D18*CO2toC</f>
        <v>3.1867181226592272</v>
      </c>
      <c r="E26" s="607">
        <f t="shared" si="31"/>
        <v>3.0115820367911912</v>
      </c>
      <c r="F26" s="607">
        <f t="shared" si="31"/>
        <v>2.9435361821893338</v>
      </c>
      <c r="G26" s="607">
        <f t="shared" si="31"/>
        <v>2.95762603257737</v>
      </c>
      <c r="H26" s="607">
        <f t="shared" si="31"/>
        <v>2.4443395070201315</v>
      </c>
      <c r="I26" s="607">
        <f t="shared" si="31"/>
        <v>2.5360854668781192</v>
      </c>
      <c r="J26" s="607">
        <f t="shared" si="31"/>
        <v>2.3021244471491418</v>
      </c>
      <c r="K26" s="607">
        <f t="shared" si="31"/>
        <v>2.5314401628018661</v>
      </c>
      <c r="L26" s="607">
        <f t="shared" si="31"/>
        <v>3.2030085016493417</v>
      </c>
      <c r="M26" s="607">
        <f t="shared" si="31"/>
        <v>2.2910361838184086</v>
      </c>
      <c r="N26" s="607">
        <f t="shared" si="31"/>
        <v>1.7506595838443242</v>
      </c>
      <c r="O26" s="607">
        <f t="shared" si="31"/>
        <v>1.4740128389660792</v>
      </c>
      <c r="P26" s="607">
        <f t="shared" si="31"/>
        <v>1.6807911329790697</v>
      </c>
      <c r="Q26" s="607">
        <f t="shared" si="31"/>
        <v>2.1162426346672949</v>
      </c>
      <c r="R26" s="607">
        <f t="shared" si="31"/>
        <v>2.9272642196904686</v>
      </c>
      <c r="S26" s="607">
        <f t="shared" si="18"/>
        <v>2.5847089832648358</v>
      </c>
      <c r="T26" s="607">
        <f t="shared" si="18"/>
        <v>2.4255824335441654</v>
      </c>
      <c r="U26" s="607">
        <f t="shared" si="19"/>
        <v>2.25447913613475</v>
      </c>
      <c r="V26" s="607">
        <f t="shared" si="19"/>
        <v>2.4750364953413975</v>
      </c>
      <c r="W26" s="607">
        <f t="shared" si="19"/>
        <v>2.2458624201564366</v>
      </c>
      <c r="X26" s="607">
        <f t="shared" si="19"/>
        <v>2.5948356708934472</v>
      </c>
      <c r="Y26" s="607">
        <f t="shared" si="20"/>
        <v>2.1719047054957574</v>
      </c>
      <c r="Z26" s="607">
        <f t="shared" si="20"/>
        <v>1.8534904251823965</v>
      </c>
      <c r="AA26" s="607">
        <f t="shared" si="21"/>
        <v>1.526162670281707</v>
      </c>
      <c r="AB26" s="607">
        <f t="shared" si="21"/>
        <v>1.6598118723470778</v>
      </c>
      <c r="AC26" s="607">
        <f t="shared" si="22"/>
        <v>2.2951633057426983</v>
      </c>
      <c r="AD26" s="607">
        <f t="shared" si="22"/>
        <v>2.3756398056811698</v>
      </c>
      <c r="AE26" s="607">
        <f t="shared" si="23"/>
        <v>2.4510398127422115</v>
      </c>
      <c r="AF26" s="607">
        <f t="shared" ref="AF26:AG26" si="32">AF18*CO2toC</f>
        <v>2.7187784199927982</v>
      </c>
      <c r="AG26" s="607">
        <f t="shared" si="32"/>
        <v>2.7553169688930197</v>
      </c>
      <c r="AH26" s="607">
        <f t="shared" ref="AH26:AI26" si="33">AH18*CO2toC</f>
        <v>2.1219309360588787</v>
      </c>
      <c r="AI26" s="607">
        <f t="shared" si="33"/>
        <v>2.0234036108441336</v>
      </c>
      <c r="AJ26" s="607">
        <f t="shared" ref="AJ26" si="34">AJ18*CO2toC</f>
        <v>1.9571986377855135</v>
      </c>
    </row>
    <row r="27" spans="2:36">
      <c r="D27" s="17"/>
      <c r="E27" s="17"/>
      <c r="F27" s="17"/>
      <c r="G27" s="17"/>
      <c r="H27" s="17"/>
      <c r="I27" s="17"/>
      <c r="J27" s="17"/>
      <c r="K27" s="17"/>
      <c r="L27" s="17"/>
      <c r="M27" s="17"/>
    </row>
    <row r="28" spans="2:36">
      <c r="K28" s="608"/>
    </row>
    <row r="29" spans="2:36">
      <c r="D29" s="609"/>
      <c r="E29" s="609"/>
      <c r="F29" s="609"/>
      <c r="G29" s="609"/>
      <c r="H29" s="609"/>
      <c r="I29" s="609"/>
      <c r="J29" s="609"/>
      <c r="K29" s="609"/>
      <c r="L29" s="609"/>
      <c r="M29" s="609"/>
      <c r="N29" s="609"/>
      <c r="O29" s="609"/>
      <c r="P29" s="609"/>
      <c r="Q29" s="609"/>
      <c r="R29" s="609"/>
      <c r="S29" s="609"/>
    </row>
  </sheetData>
  <phoneticPr fontId="10" type="noConversion"/>
  <pageMargins left="0.5" right="0.5" top="0.5" bottom="0.75" header="0.27" footer="0.21"/>
  <pageSetup scale="87" orientation="landscape" r:id="rId1"/>
  <headerFooter alignWithMargins="0">
    <oddHeader>&amp;L&amp;12GREENHOUSE GAS INVENTORY:  ENERGY</oddHeader>
    <oddFooter>&amp;LPage &amp;P of &amp;N&amp;C&amp;F  &amp;A&amp;R&amp;D  &amp;T</oddFooter>
  </headerFooter>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ransitionEvaluation="1" transitionEntry="1" codeName="Sheet4">
    <pageSetUpPr autoPageBreaks="0"/>
  </sheetPr>
  <dimension ref="B1:AX75"/>
  <sheetViews>
    <sheetView topLeftCell="F5" workbookViewId="0">
      <selection activeCell="F24" sqref="F24"/>
    </sheetView>
  </sheetViews>
  <sheetFormatPr defaultColWidth="9.6640625" defaultRowHeight="12.95"/>
  <cols>
    <col min="1" max="1" width="3" style="1" customWidth="1"/>
    <col min="2" max="2" width="29" style="1" customWidth="1"/>
    <col min="3" max="3" width="16" style="1" customWidth="1"/>
    <col min="4" max="4" width="23.6640625" style="1" customWidth="1"/>
    <col min="5" max="5" width="13.6640625" style="1" customWidth="1"/>
    <col min="6" max="6" width="16.6640625" style="1" customWidth="1"/>
    <col min="7" max="7" width="7.6640625" style="1" customWidth="1"/>
    <col min="8" max="8" width="4.6640625" style="456" customWidth="1"/>
    <col min="9" max="9" width="38" style="1" customWidth="1"/>
    <col min="10" max="10" width="12" style="1" customWidth="1"/>
    <col min="11" max="11" width="11" style="1" customWidth="1"/>
    <col min="12" max="37" width="7.6640625" style="1" bestFit="1" customWidth="1"/>
    <col min="38" max="39" width="7" style="1" bestFit="1" customWidth="1"/>
    <col min="40" max="42" width="7" style="1" customWidth="1"/>
    <col min="43" max="16384" width="9.6640625" style="1"/>
  </cols>
  <sheetData>
    <row r="1" spans="2:50" ht="17.45">
      <c r="B1" s="1121" t="s">
        <v>1800</v>
      </c>
    </row>
    <row r="2" spans="2:50" ht="15">
      <c r="B2" s="1123" t="s">
        <v>1801</v>
      </c>
      <c r="C2" s="75"/>
      <c r="D2" s="75"/>
      <c r="E2" s="75"/>
      <c r="F2" s="75"/>
      <c r="G2" s="75"/>
      <c r="H2" s="556"/>
      <c r="I2" s="75"/>
    </row>
    <row r="3" spans="2:50">
      <c r="B3" s="557" t="s">
        <v>1802</v>
      </c>
    </row>
    <row r="4" spans="2:50">
      <c r="B4" s="45" t="s">
        <v>1803</v>
      </c>
    </row>
    <row r="5" spans="2:50">
      <c r="B5" s="477"/>
      <c r="C5" s="558"/>
      <c r="D5" s="558" t="s">
        <v>1804</v>
      </c>
      <c r="E5" s="558"/>
      <c r="F5" s="558" t="s">
        <v>1805</v>
      </c>
    </row>
    <row r="6" spans="2:50">
      <c r="B6" s="5"/>
      <c r="D6" s="1122" t="s">
        <v>1806</v>
      </c>
      <c r="E6" s="1122"/>
      <c r="F6" s="1122" t="s">
        <v>1807</v>
      </c>
      <c r="J6" s="563"/>
      <c r="K6" s="563"/>
      <c r="L6" s="563"/>
      <c r="M6" s="563"/>
      <c r="N6" s="563"/>
      <c r="O6" s="563"/>
      <c r="P6" s="563"/>
      <c r="Q6" s="563"/>
      <c r="R6" s="563"/>
      <c r="S6" s="563"/>
      <c r="T6" s="563"/>
      <c r="U6" s="563"/>
      <c r="V6" s="563"/>
      <c r="W6" s="563"/>
      <c r="X6" s="563"/>
      <c r="Y6" s="563"/>
      <c r="Z6" s="563"/>
      <c r="AA6" s="563"/>
      <c r="AB6" s="563"/>
      <c r="AC6" s="563"/>
      <c r="AD6" s="563"/>
      <c r="AE6" s="563"/>
      <c r="AF6" s="563"/>
      <c r="AG6" s="563"/>
      <c r="AH6" s="563"/>
      <c r="AI6" s="563"/>
      <c r="AJ6" s="563"/>
      <c r="AK6" s="563"/>
      <c r="AL6" s="563"/>
      <c r="AM6" s="563"/>
      <c r="AN6" s="563"/>
      <c r="AO6" s="563"/>
      <c r="AP6" s="563"/>
    </row>
    <row r="7" spans="2:50">
      <c r="B7" s="5"/>
      <c r="C7" s="1122" t="s">
        <v>1808</v>
      </c>
      <c r="D7" s="1122" t="s">
        <v>1809</v>
      </c>
      <c r="E7" s="1122" t="s">
        <v>1805</v>
      </c>
      <c r="F7" s="1122" t="s">
        <v>1810</v>
      </c>
      <c r="J7" s="563"/>
      <c r="K7" s="563"/>
      <c r="L7" s="563"/>
      <c r="M7" s="563"/>
      <c r="N7" s="563"/>
      <c r="O7" s="563"/>
      <c r="P7" s="563"/>
      <c r="Q7" s="563"/>
      <c r="R7" s="563"/>
      <c r="S7" s="563"/>
      <c r="T7" s="563"/>
      <c r="U7" s="563"/>
      <c r="V7" s="563"/>
      <c r="W7" s="563"/>
      <c r="X7" s="563"/>
      <c r="Y7" s="563"/>
      <c r="Z7" s="563"/>
      <c r="AA7" s="563"/>
      <c r="AB7" s="563"/>
      <c r="AC7" s="563"/>
      <c r="AD7" s="563"/>
      <c r="AE7" s="563"/>
      <c r="AF7" s="563"/>
      <c r="AG7" s="563"/>
      <c r="AH7" s="563"/>
      <c r="AI7" s="563"/>
      <c r="AJ7" s="563"/>
      <c r="AK7" s="563"/>
      <c r="AL7" s="563"/>
      <c r="AM7" s="563"/>
      <c r="AN7" s="563"/>
      <c r="AO7" s="563"/>
      <c r="AP7" s="563"/>
    </row>
    <row r="8" spans="2:50">
      <c r="B8" s="559" t="s">
        <v>1583</v>
      </c>
      <c r="C8" s="560" t="s">
        <v>1806</v>
      </c>
      <c r="D8" s="745" t="s">
        <v>1811</v>
      </c>
      <c r="E8" s="560" t="s">
        <v>1812</v>
      </c>
      <c r="F8" s="560" t="s">
        <v>1813</v>
      </c>
      <c r="J8" s="563"/>
      <c r="K8" s="563"/>
      <c r="L8" s="563"/>
      <c r="M8" s="563"/>
      <c r="N8" s="563"/>
      <c r="O8" s="563"/>
      <c r="P8" s="563"/>
      <c r="Q8" s="563"/>
      <c r="R8" s="563"/>
      <c r="S8" s="563"/>
      <c r="T8" s="563"/>
      <c r="U8" s="563"/>
      <c r="V8" s="563"/>
      <c r="W8" s="563"/>
      <c r="X8" s="563"/>
      <c r="Y8" s="563"/>
      <c r="Z8" s="563"/>
      <c r="AA8" s="563"/>
      <c r="AB8" s="563"/>
      <c r="AC8" s="563"/>
      <c r="AD8" s="563"/>
      <c r="AE8" s="563"/>
      <c r="AF8" s="563"/>
      <c r="AG8" s="563"/>
      <c r="AH8" s="563"/>
      <c r="AI8" s="563"/>
      <c r="AJ8" s="563"/>
      <c r="AK8" s="563"/>
      <c r="AL8" s="563"/>
      <c r="AM8" s="563"/>
      <c r="AN8" s="563"/>
      <c r="AO8" s="563"/>
      <c r="AP8" s="563"/>
    </row>
    <row r="9" spans="2:50">
      <c r="B9" s="76" t="s">
        <v>1435</v>
      </c>
      <c r="C9" s="561" t="s">
        <v>1814</v>
      </c>
      <c r="D9" s="1122"/>
      <c r="E9" s="1122"/>
      <c r="F9" s="1122"/>
    </row>
    <row r="10" spans="2:50">
      <c r="B10" s="6" t="s">
        <v>1732</v>
      </c>
      <c r="C10" s="47" t="s">
        <v>1815</v>
      </c>
      <c r="D10" s="47" t="s">
        <v>1815</v>
      </c>
      <c r="E10" s="562">
        <v>1</v>
      </c>
      <c r="F10" s="47"/>
      <c r="AJ10" s="563"/>
      <c r="AK10" s="563"/>
      <c r="AL10" s="563"/>
      <c r="AM10" s="563"/>
      <c r="AN10" s="563"/>
      <c r="AO10" s="563"/>
      <c r="AP10" s="563"/>
      <c r="AQ10" s="563"/>
      <c r="AR10" s="563"/>
      <c r="AS10" s="563"/>
    </row>
    <row r="11" spans="2:50">
      <c r="B11" s="6" t="s">
        <v>1733</v>
      </c>
      <c r="C11" s="47" t="s">
        <v>1815</v>
      </c>
      <c r="D11" s="47" t="s">
        <v>1815</v>
      </c>
      <c r="E11" s="562">
        <v>1</v>
      </c>
      <c r="F11" s="47"/>
      <c r="I11" s="76" t="s">
        <v>1816</v>
      </c>
    </row>
    <row r="12" spans="2:50">
      <c r="B12" s="6" t="s">
        <v>1734</v>
      </c>
      <c r="C12" s="47" t="s">
        <v>1815</v>
      </c>
      <c r="D12" s="47" t="s">
        <v>1815</v>
      </c>
      <c r="E12" s="562">
        <v>1</v>
      </c>
      <c r="F12" s="562">
        <v>0.1</v>
      </c>
      <c r="H12" s="456">
        <v>1</v>
      </c>
      <c r="I12" s="4" t="s">
        <v>1583</v>
      </c>
      <c r="J12" s="391">
        <v>1990</v>
      </c>
      <c r="K12" s="391">
        <v>1991</v>
      </c>
      <c r="L12" s="391">
        <v>1992</v>
      </c>
      <c r="M12" s="391">
        <v>1993</v>
      </c>
      <c r="N12" s="391">
        <v>1994</v>
      </c>
      <c r="O12" s="391">
        <v>1995</v>
      </c>
      <c r="P12" s="391">
        <v>1996</v>
      </c>
      <c r="Q12" s="391">
        <v>1997</v>
      </c>
      <c r="R12" s="391">
        <v>1998</v>
      </c>
      <c r="S12" s="391">
        <v>1999</v>
      </c>
      <c r="T12" s="391">
        <v>2000</v>
      </c>
      <c r="U12" s="391">
        <v>2001</v>
      </c>
      <c r="V12" s="391">
        <v>2002</v>
      </c>
      <c r="W12" s="391">
        <v>2003</v>
      </c>
      <c r="X12" s="391">
        <v>2004</v>
      </c>
      <c r="Y12" s="391">
        <v>2005</v>
      </c>
      <c r="Z12" s="391">
        <v>2006</v>
      </c>
      <c r="AA12" s="391">
        <v>2007</v>
      </c>
      <c r="AB12" s="391">
        <v>2008</v>
      </c>
      <c r="AC12" s="391">
        <v>2009</v>
      </c>
      <c r="AD12" s="391">
        <v>2010</v>
      </c>
      <c r="AE12" s="391">
        <v>2011</v>
      </c>
      <c r="AF12" s="391">
        <v>2012</v>
      </c>
      <c r="AG12" s="391">
        <v>2013</v>
      </c>
      <c r="AH12" s="391">
        <v>2014</v>
      </c>
      <c r="AI12" s="391">
        <v>2015</v>
      </c>
      <c r="AJ12" s="391">
        <v>2016</v>
      </c>
      <c r="AK12" s="391">
        <v>2017</v>
      </c>
      <c r="AL12" s="391">
        <v>2018</v>
      </c>
      <c r="AM12" s="391">
        <v>2019</v>
      </c>
      <c r="AN12" s="391">
        <v>2020</v>
      </c>
      <c r="AO12" s="391">
        <v>2021</v>
      </c>
      <c r="AP12" s="391">
        <v>2022</v>
      </c>
      <c r="AQ12" s="564"/>
      <c r="AR12" s="564"/>
      <c r="AS12" s="564"/>
      <c r="AT12" s="564"/>
      <c r="AU12" s="564"/>
      <c r="AV12" s="564"/>
      <c r="AW12" s="564"/>
      <c r="AX12" s="564"/>
    </row>
    <row r="13" spans="2:50">
      <c r="B13" s="6" t="s">
        <v>1701</v>
      </c>
      <c r="C13" s="47" t="s">
        <v>1815</v>
      </c>
      <c r="D13" s="47" t="s">
        <v>1815</v>
      </c>
      <c r="E13" s="587">
        <v>1</v>
      </c>
      <c r="F13" s="47"/>
      <c r="H13" s="456">
        <f>H12+1</f>
        <v>2</v>
      </c>
      <c r="I13" s="45" t="s">
        <v>1732</v>
      </c>
      <c r="J13" s="565">
        <f>'[19]Summary Coal'!C$21</f>
        <v>26.188403221531779</v>
      </c>
      <c r="K13" s="565">
        <f>'[19]Summary Coal'!D$21</f>
        <v>26.265573230967654</v>
      </c>
      <c r="L13" s="565">
        <f>'[19]Summary Coal'!E$21</f>
        <v>26.383192558471539</v>
      </c>
      <c r="M13" s="565">
        <f>'[19]Summary Coal'!F$21</f>
        <v>26.159033043068632</v>
      </c>
      <c r="N13" s="565">
        <f>'[19]Summary Coal'!G$21</f>
        <v>26.091045386983762</v>
      </c>
      <c r="O13" s="565">
        <f>'[19]Summary Coal'!H$21</f>
        <v>26.125178785663419</v>
      </c>
      <c r="P13" s="565">
        <f>'[19]Summary Coal'!I$21</f>
        <v>26.025855036863565</v>
      </c>
      <c r="Q13" s="565">
        <f>'[19]Summary Coal'!J$21</f>
        <v>25.890869922857618</v>
      </c>
      <c r="R13" s="565">
        <f>'[19]Summary Coal'!K$21</f>
        <v>26.05516957877683</v>
      </c>
      <c r="S13" s="565">
        <f>'[19]Summary Coal'!L$21</f>
        <v>25.972353624013728</v>
      </c>
      <c r="T13" s="565">
        <f>'[19]Summary Coal'!M$21</f>
        <v>25.999060569647476</v>
      </c>
      <c r="U13" s="565">
        <f>'[19]Summary Coal'!N$21</f>
        <v>25.991107715662618</v>
      </c>
      <c r="V13" s="565">
        <f>'[19]Summary Coal'!O$21</f>
        <v>25.964551734270447</v>
      </c>
      <c r="W13" s="565">
        <f>'[19]Summary Coal'!P$21</f>
        <v>26.02716693872711</v>
      </c>
      <c r="X13" s="565">
        <f>'[19]Summary Coal'!Q$21</f>
        <v>25.88579600257</v>
      </c>
      <c r="Y13" s="565">
        <f>'[19]Summary Coal'!R$21</f>
        <v>26.036169679622709</v>
      </c>
      <c r="Z13" s="565">
        <f>'[19]Summary Coal'!S$21</f>
        <v>26.261987709907</v>
      </c>
      <c r="AA13" s="565">
        <f>'[19]Summary Coal'!T$21</f>
        <v>25.914168123912859</v>
      </c>
      <c r="AB13" s="565">
        <f>'[19]Summary Coal'!U$21</f>
        <v>25.705698174336916</v>
      </c>
      <c r="AC13" s="565">
        <f>'[19]Summary Coal'!V$21</f>
        <v>25.73345015802569</v>
      </c>
      <c r="AD13" s="565">
        <f>'[19]Summary Coal'!W$21</f>
        <v>25.749810942329489</v>
      </c>
      <c r="AE13" s="565">
        <f>'[19]Summary Coal'!X$21</f>
        <v>25.81266735450231</v>
      </c>
      <c r="AF13" s="565">
        <f>'[19]Summary Coal'!Y$21</f>
        <v>25.883027630938649</v>
      </c>
      <c r="AG13" s="565">
        <f>'[19]Summary Coal'!Z$21</f>
        <v>25.904476827329631</v>
      </c>
      <c r="AH13" s="565">
        <f>'[19]Summary Coal'!AA$21</f>
        <v>25.884448536287529</v>
      </c>
      <c r="AI13" s="565">
        <f>'[19]Summary Coal'!AB$21</f>
        <v>25.981544092334147</v>
      </c>
      <c r="AJ13" s="565">
        <f>'[19]Summary Coal'!AC$21</f>
        <v>26.01385695348554</v>
      </c>
      <c r="AK13" s="565">
        <f>'[19]Summary Coal'!AD$21</f>
        <v>26.087352515682195</v>
      </c>
      <c r="AL13" s="565">
        <f>'[19]Summary Coal'!AE$21</f>
        <v>26.094091194618521</v>
      </c>
      <c r="AM13" s="565">
        <f>'[19]Summary Coal'!AF$21</f>
        <v>26.106167105273808</v>
      </c>
      <c r="AN13" s="565">
        <f>'[19]Summary Coal'!AG$21</f>
        <v>26.208874299954459</v>
      </c>
      <c r="AO13" s="565">
        <f>'[19]Summary Coal'!AH$21</f>
        <v>26.155796779903174</v>
      </c>
      <c r="AP13" s="565">
        <f>'[19]Summary Coal'!AI$21</f>
        <v>26.17943592337086</v>
      </c>
      <c r="AQ13" s="75"/>
      <c r="AR13" s="75"/>
      <c r="AS13" s="75"/>
      <c r="AT13" s="75"/>
      <c r="AU13" s="75"/>
      <c r="AV13" s="467"/>
      <c r="AW13" s="467"/>
      <c r="AX13" s="467"/>
    </row>
    <row r="14" spans="2:50">
      <c r="B14" s="6" t="s">
        <v>1607</v>
      </c>
      <c r="C14" s="47" t="s">
        <v>1815</v>
      </c>
      <c r="D14" s="562">
        <v>27.85</v>
      </c>
      <c r="E14" s="562">
        <v>1</v>
      </c>
      <c r="F14" s="47"/>
      <c r="H14" s="456">
        <f t="shared" ref="H14:H28" si="0">H13+1</f>
        <v>3</v>
      </c>
      <c r="I14" s="45" t="s">
        <v>1733</v>
      </c>
      <c r="J14" s="565">
        <f>'[19]Summary Coal'!C$21</f>
        <v>26.188403221531779</v>
      </c>
      <c r="K14" s="565">
        <f>'[19]Summary Coal'!D$21</f>
        <v>26.265573230967654</v>
      </c>
      <c r="L14" s="565">
        <f>'[19]Summary Coal'!E$21</f>
        <v>26.383192558471539</v>
      </c>
      <c r="M14" s="565">
        <f>'[19]Summary Coal'!F$21</f>
        <v>26.159033043068632</v>
      </c>
      <c r="N14" s="565">
        <f>'[19]Summary Coal'!G$21</f>
        <v>26.091045386983762</v>
      </c>
      <c r="O14" s="565">
        <f>'[19]Summary Coal'!H$21</f>
        <v>26.125178785663419</v>
      </c>
      <c r="P14" s="565">
        <f>'[19]Summary Coal'!I$21</f>
        <v>26.025855036863565</v>
      </c>
      <c r="Q14" s="565">
        <f>'[19]Summary Coal'!J$21</f>
        <v>25.890869922857618</v>
      </c>
      <c r="R14" s="565">
        <f>'[19]Summary Coal'!K$21</f>
        <v>26.05516957877683</v>
      </c>
      <c r="S14" s="565">
        <f>'[19]Summary Coal'!L$21</f>
        <v>25.972353624013728</v>
      </c>
      <c r="T14" s="565">
        <f>'[19]Summary Coal'!M$21</f>
        <v>25.999060569647476</v>
      </c>
      <c r="U14" s="565">
        <f>'[19]Summary Coal'!N$21</f>
        <v>25.991107715662618</v>
      </c>
      <c r="V14" s="565">
        <f>'[19]Summary Coal'!O$21</f>
        <v>25.964551734270447</v>
      </c>
      <c r="W14" s="565">
        <f>'[19]Summary Coal'!P$21</f>
        <v>26.02716693872711</v>
      </c>
      <c r="X14" s="565">
        <f>'[19]Summary Coal'!Q$21</f>
        <v>25.88579600257</v>
      </c>
      <c r="Y14" s="565">
        <f>'[19]Summary Coal'!R$21</f>
        <v>26.036169679622709</v>
      </c>
      <c r="Z14" s="565">
        <f>'[19]Summary Coal'!S$21</f>
        <v>26.261987709907</v>
      </c>
      <c r="AA14" s="565">
        <f>'[19]Summary Coal'!T$21</f>
        <v>25.914168123912859</v>
      </c>
      <c r="AB14" s="565">
        <f>'[19]Summary Coal'!U$21</f>
        <v>25.705698174336916</v>
      </c>
      <c r="AC14" s="565">
        <f>'[19]Summary Coal'!V$21</f>
        <v>25.73345015802569</v>
      </c>
      <c r="AD14" s="565">
        <f>'[19]Summary Coal'!W$21</f>
        <v>25.749810942329489</v>
      </c>
      <c r="AE14" s="565">
        <f>'[19]Summary Coal'!X$21</f>
        <v>25.81266735450231</v>
      </c>
      <c r="AF14" s="565">
        <f>'[19]Summary Coal'!Y$21</f>
        <v>25.883027630938649</v>
      </c>
      <c r="AG14" s="565">
        <f>'[19]Summary Coal'!Z$21</f>
        <v>25.904476827329631</v>
      </c>
      <c r="AH14" s="565">
        <f>'[19]Summary Coal'!AA$21</f>
        <v>25.884448536287529</v>
      </c>
      <c r="AI14" s="565">
        <f>'[19]Summary Coal'!AB$21</f>
        <v>25.981544092334147</v>
      </c>
      <c r="AJ14" s="565">
        <f>'[19]Summary Coal'!AC$21</f>
        <v>26.01385695348554</v>
      </c>
      <c r="AK14" s="565">
        <f>'[19]Summary Coal'!AD$21</f>
        <v>26.087352515682195</v>
      </c>
      <c r="AL14" s="565">
        <f>'[19]Summary Coal'!AE$21</f>
        <v>26.094091194618521</v>
      </c>
      <c r="AM14" s="565">
        <f>'[19]Summary Coal'!AF$21</f>
        <v>26.106167105273808</v>
      </c>
      <c r="AN14" s="565">
        <f>'[19]Summary Coal'!AG$21</f>
        <v>26.208874299954459</v>
      </c>
      <c r="AO14" s="565">
        <f>'[19]Summary Coal'!AH$21</f>
        <v>26.155796779903174</v>
      </c>
      <c r="AP14" s="565">
        <f>'[19]Summary Coal'!AI$21</f>
        <v>26.17943592337086</v>
      </c>
      <c r="AQ14" s="75"/>
      <c r="AR14" s="75"/>
      <c r="AS14" s="75"/>
      <c r="AT14" s="75"/>
      <c r="AU14" s="75"/>
      <c r="AV14" s="467"/>
      <c r="AW14" s="467"/>
      <c r="AX14" s="467"/>
    </row>
    <row r="15" spans="2:50">
      <c r="B15" s="6" t="s">
        <v>1735</v>
      </c>
      <c r="C15" s="47" t="s">
        <v>1817</v>
      </c>
      <c r="D15" s="47" t="s">
        <v>1817</v>
      </c>
      <c r="E15" s="47" t="s">
        <v>1817</v>
      </c>
      <c r="F15" s="47"/>
      <c r="H15" s="456">
        <f>H14+1</f>
        <v>4</v>
      </c>
      <c r="I15" s="45" t="s">
        <v>1701</v>
      </c>
      <c r="J15" s="565">
        <f>'[19]Summary Coal'!C$20</f>
        <v>25.805642720842716</v>
      </c>
      <c r="K15" s="565">
        <f>'[19]Summary Coal'!D$20</f>
        <v>25.871881489576712</v>
      </c>
      <c r="L15" s="565">
        <f>'[19]Summary Coal'!E$20</f>
        <v>25.855929983116827</v>
      </c>
      <c r="M15" s="565">
        <f>'[19]Summary Coal'!F$20</f>
        <v>25.7596293373355</v>
      </c>
      <c r="N15" s="565">
        <f>'[19]Summary Coal'!G$20</f>
        <v>25.760898130645295</v>
      </c>
      <c r="O15" s="565">
        <f>'[19]Summary Coal'!H$20</f>
        <v>25.786514287120493</v>
      </c>
      <c r="P15" s="565">
        <f>'[19]Summary Coal'!I$20</f>
        <v>25.743650552579652</v>
      </c>
      <c r="Q15" s="565">
        <f>'[19]Summary Coal'!J$20</f>
        <v>25.746983670488884</v>
      </c>
      <c r="R15" s="565">
        <f>'[19]Summary Coal'!K$20</f>
        <v>25.78479363546386</v>
      </c>
      <c r="S15" s="565">
        <f>'[19]Summary Coal'!L$20</f>
        <v>25.795891623557694</v>
      </c>
      <c r="T15" s="565">
        <f>'[19]Summary Coal'!M$20</f>
        <v>25.736471250030551</v>
      </c>
      <c r="U15" s="565">
        <f>'[19]Summary Coal'!N$20</f>
        <v>25.654338462605946</v>
      </c>
      <c r="V15" s="565">
        <f>'[19]Summary Coal'!O$20</f>
        <v>25.561804762419062</v>
      </c>
      <c r="W15" s="565">
        <f>'[19]Summary Coal'!P$20</f>
        <v>25.540878814005229</v>
      </c>
      <c r="X15" s="565">
        <f>'[19]Summary Coal'!Q$20</f>
        <v>25.548258103728873</v>
      </c>
      <c r="Y15" s="565">
        <f>'[19]Summary Coal'!R$20</f>
        <v>25.794744187902076</v>
      </c>
      <c r="Z15" s="565">
        <f>'[19]Summary Coal'!S$20</f>
        <v>25.832832980649002</v>
      </c>
      <c r="AA15" s="565">
        <f>'[19]Summary Coal'!T$20</f>
        <v>25.812379837011846</v>
      </c>
      <c r="AB15" s="565">
        <f>'[19]Summary Coal'!U$20</f>
        <v>25.81183277073524</v>
      </c>
      <c r="AC15" s="565">
        <f>'[19]Summary Coal'!V$20</f>
        <v>25.862590070178246</v>
      </c>
      <c r="AD15" s="565">
        <f>'[19]Summary Coal'!W$20</f>
        <v>25.862499126220154</v>
      </c>
      <c r="AE15" s="565">
        <f>'[19]Summary Coal'!X$20</f>
        <v>25.88209416744013</v>
      </c>
      <c r="AF15" s="565">
        <f>'[19]Summary Coal'!Y$20</f>
        <v>25.935452316860108</v>
      </c>
      <c r="AG15" s="565">
        <f>'[19]Summary Coal'!Z$20</f>
        <v>25.92550247708688</v>
      </c>
      <c r="AH15" s="565">
        <f>'[19]Summary Coal'!AA$20</f>
        <v>25.945628789887504</v>
      </c>
      <c r="AI15" s="565">
        <f>'[19]Summary Coal'!AB$20</f>
        <v>26.004165366210408</v>
      </c>
      <c r="AJ15" s="565">
        <f>'[19]Summary Coal'!AC$20</f>
        <v>26.034587614654345</v>
      </c>
      <c r="AK15" s="565">
        <f>'[19]Summary Coal'!AD$20</f>
        <v>26.059260610389686</v>
      </c>
      <c r="AL15" s="565">
        <f>'[19]Summary Coal'!AE$20</f>
        <v>26.080642025139742</v>
      </c>
      <c r="AM15" s="565">
        <f>'[19]Summary Coal'!AF$20</f>
        <v>26.070809180622827</v>
      </c>
      <c r="AN15" s="565">
        <f>'[19]Summary Coal'!AG$20</f>
        <v>26.128213850965309</v>
      </c>
      <c r="AO15" s="565">
        <f>'[19]Summary Coal'!AH$20</f>
        <v>26.096126973845443</v>
      </c>
      <c r="AP15" s="565">
        <f>'[19]Summary Coal'!AI$20</f>
        <v>26.104948569451711</v>
      </c>
      <c r="AQ15" s="75"/>
      <c r="AR15" s="75"/>
      <c r="AS15" s="75"/>
      <c r="AT15" s="75"/>
      <c r="AU15" s="75"/>
      <c r="AV15" s="467"/>
      <c r="AW15" s="467"/>
      <c r="AX15" s="467"/>
    </row>
    <row r="16" spans="2:50">
      <c r="B16" s="6" t="s">
        <v>1736</v>
      </c>
      <c r="C16" s="47" t="s">
        <v>1815</v>
      </c>
      <c r="D16" s="47" t="s">
        <v>1815</v>
      </c>
      <c r="E16" s="562">
        <v>1</v>
      </c>
      <c r="F16" s="47"/>
      <c r="H16" s="456">
        <f t="shared" si="0"/>
        <v>5</v>
      </c>
      <c r="I16" s="45" t="s">
        <v>1818</v>
      </c>
      <c r="J16" s="565">
        <f>'[19]Summary Coal'!C$18</f>
        <v>25.937996057334406</v>
      </c>
      <c r="K16" s="565">
        <f>'[19]Summary Coal'!D$18</f>
        <v>25.96702960313344</v>
      </c>
      <c r="L16" s="565">
        <f>'[19]Summary Coal'!E$18</f>
        <v>25.980478757244502</v>
      </c>
      <c r="M16" s="565">
        <f>'[19]Summary Coal'!F$18</f>
        <v>25.877462041936699</v>
      </c>
      <c r="N16" s="565">
        <f>'[19]Summary Coal'!G$18</f>
        <v>25.878591831903154</v>
      </c>
      <c r="O16" s="565">
        <f>'[19]Summary Coal'!H$18</f>
        <v>25.91789491540214</v>
      </c>
      <c r="P16" s="565">
        <f>'[19]Summary Coal'!I$18</f>
        <v>25.920424261243117</v>
      </c>
      <c r="Q16" s="565">
        <f>'[19]Summary Coal'!J$18</f>
        <v>25.910357205212129</v>
      </c>
      <c r="R16" s="565">
        <f>'[19]Summary Coal'!K$18</f>
        <v>25.932621499274997</v>
      </c>
      <c r="S16" s="565">
        <f>'[19]Summary Coal'!L$18</f>
        <v>25.963566646993332</v>
      </c>
      <c r="T16" s="565">
        <f>'[19]Summary Coal'!M$18</f>
        <v>25.982584881780109</v>
      </c>
      <c r="U16" s="565">
        <f>'[19]Summary Coal'!N$18</f>
        <v>25.986062888967851</v>
      </c>
      <c r="V16" s="565">
        <f>'[19]Summary Coal'!O$18</f>
        <v>26.040478918241558</v>
      </c>
      <c r="W16" s="565">
        <f>'[19]Summary Coal'!P$18</f>
        <v>26.076716277910279</v>
      </c>
      <c r="X16" s="565">
        <f>'[19]Summary Coal'!Q$18</f>
        <v>26.084257586280138</v>
      </c>
      <c r="Y16" s="565">
        <f>'[19]Summary Coal'!R$18</f>
        <v>26.076556063342331</v>
      </c>
      <c r="Z16" s="565">
        <f>'[19]Summary Coal'!S$18</f>
        <v>26.026523902182998</v>
      </c>
      <c r="AA16" s="565">
        <f>'[19]Summary Coal'!T$18</f>
        <v>26.033819892125507</v>
      </c>
      <c r="AB16" s="565">
        <f>'[19]Summary Coal'!U$18</f>
        <v>26.037482691484755</v>
      </c>
      <c r="AC16" s="565">
        <f>'[19]Summary Coal'!V$18</f>
        <v>26.039969620971139</v>
      </c>
      <c r="AD16" s="565">
        <f>'[19]Summary Coal'!W$18</f>
        <v>26.045458638153619</v>
      </c>
      <c r="AE16" s="565">
        <f>'[19]Summary Coal'!X$18</f>
        <v>26.045615716301278</v>
      </c>
      <c r="AF16" s="565">
        <f>'[19]Summary Coal'!Y$18</f>
        <v>26.058623054411257</v>
      </c>
      <c r="AG16" s="565">
        <f>'[19]Summary Coal'!Z$18</f>
        <v>26.049147311306413</v>
      </c>
      <c r="AH16" s="565">
        <f>'[19]Summary Coal'!AA$18</f>
        <v>26.04112929797094</v>
      </c>
      <c r="AI16" s="565">
        <f>'[19]Summary Coal'!AB$18</f>
        <v>26.068323582825943</v>
      </c>
      <c r="AJ16" s="565">
        <f>'[19]Summary Coal'!AC$18</f>
        <v>26.063603453552993</v>
      </c>
      <c r="AK16" s="565">
        <f>'[19]Summary Coal'!AD$18</f>
        <v>26.080965214865213</v>
      </c>
      <c r="AL16" s="565">
        <f>'[19]Summary Coal'!AE$18</f>
        <v>26.086614483816899</v>
      </c>
      <c r="AM16" s="565">
        <f>'[19]Summary Coal'!AF$18</f>
        <v>26.078382988493807</v>
      </c>
      <c r="AN16" s="565">
        <f>'[19]Summary Coal'!AG$18</f>
        <v>26.120456105517995</v>
      </c>
      <c r="AO16" s="565">
        <f>'[19]Summary Coal'!AH$18</f>
        <v>26.132656264652134</v>
      </c>
      <c r="AP16" s="565">
        <f>'[19]Summary Coal'!AI$18</f>
        <v>26.134701137600572</v>
      </c>
      <c r="AQ16" s="75"/>
      <c r="AR16" s="75"/>
      <c r="AS16" s="75"/>
      <c r="AT16" s="75"/>
      <c r="AU16" s="75"/>
      <c r="AV16" s="467"/>
      <c r="AW16" s="467"/>
      <c r="AX16" s="467"/>
    </row>
    <row r="17" spans="2:50">
      <c r="B17" s="6" t="s">
        <v>1819</v>
      </c>
      <c r="C17" s="562">
        <v>22.3</v>
      </c>
      <c r="D17" s="562">
        <v>25.14</v>
      </c>
      <c r="E17" s="562">
        <v>1</v>
      </c>
      <c r="F17" s="47"/>
      <c r="H17" s="456">
        <f t="shared" si="0"/>
        <v>6</v>
      </c>
      <c r="I17" s="45" t="s">
        <v>1600</v>
      </c>
      <c r="J17" s="565">
        <f>'[20]Weighted Factors'!D79</f>
        <v>17.146363636363635</v>
      </c>
      <c r="K17" s="565">
        <f>'[20]Weighted Factors'!E79</f>
        <v>17.146363636363635</v>
      </c>
      <c r="L17" s="565">
        <f>'[20]Weighted Factors'!F79</f>
        <v>17.146363636363635</v>
      </c>
      <c r="M17" s="565">
        <f>'[20]Weighted Factors'!G79</f>
        <v>17.146363636363635</v>
      </c>
      <c r="N17" s="565">
        <f>'[20]Weighted Factors'!H79</f>
        <v>17.146363636363635</v>
      </c>
      <c r="O17" s="565">
        <f>'[20]Weighted Factors'!I79</f>
        <v>17.146363636363635</v>
      </c>
      <c r="P17" s="565">
        <f>'[20]Weighted Factors'!J79</f>
        <v>17.146363636363635</v>
      </c>
      <c r="Q17" s="565">
        <f>'[20]Weighted Factors'!K79</f>
        <v>17.146363636363635</v>
      </c>
      <c r="R17" s="565">
        <f>'[20]Weighted Factors'!L79</f>
        <v>17.146363636363635</v>
      </c>
      <c r="S17" s="565">
        <f>'[20]Weighted Factors'!M79</f>
        <v>17.146363636363635</v>
      </c>
      <c r="T17" s="565">
        <f>'[20]Weighted Factors'!N79</f>
        <v>17.146363636363635</v>
      </c>
      <c r="U17" s="565">
        <f>'[20]Weighted Factors'!O79</f>
        <v>17.146363636363635</v>
      </c>
      <c r="V17" s="565">
        <f>'[20]Weighted Factors'!P79</f>
        <v>17.146363636363635</v>
      </c>
      <c r="W17" s="565">
        <f>'[20]Weighted Factors'!Q79</f>
        <v>17.146363636363635</v>
      </c>
      <c r="X17" s="565">
        <f>'[20]Weighted Factors'!R79</f>
        <v>17.146363636363635</v>
      </c>
      <c r="Y17" s="565">
        <f>'[20]Weighted Factors'!S79</f>
        <v>17.146363636363635</v>
      </c>
      <c r="Z17" s="565">
        <f>'[20]Weighted Factors'!T79</f>
        <v>17.146363636363635</v>
      </c>
      <c r="AA17" s="565">
        <f>'[20]Weighted Factors'!U79</f>
        <v>17.146363636363635</v>
      </c>
      <c r="AB17" s="565">
        <f>'[20]Weighted Factors'!V79</f>
        <v>17.146363636363635</v>
      </c>
      <c r="AC17" s="565">
        <f>'[20]Weighted Factors'!W79</f>
        <v>17.146363636363635</v>
      </c>
      <c r="AD17" s="565">
        <f>'[20]Weighted Factors'!X79</f>
        <v>17.146363636363635</v>
      </c>
      <c r="AE17" s="565">
        <f>'[20]Weighted Factors'!Y79</f>
        <v>17.146363636363635</v>
      </c>
      <c r="AF17" s="565">
        <f>'[20]Weighted Factors'!Z79</f>
        <v>17.146363636363635</v>
      </c>
      <c r="AG17" s="565">
        <f>'[20]Weighted Factors'!AA79</f>
        <v>17.146363636363635</v>
      </c>
      <c r="AH17" s="565">
        <f>'[20]Weighted Factors'!AB79</f>
        <v>17.146363636363635</v>
      </c>
      <c r="AI17" s="565">
        <f>'[20]Weighted Factors'!AC79</f>
        <v>17.146363636363635</v>
      </c>
      <c r="AJ17" s="565">
        <f>'[20]Weighted Factors'!AD79</f>
        <v>17.146363636363635</v>
      </c>
      <c r="AK17" s="565">
        <f>'[20]Weighted Factors'!AE79</f>
        <v>17.146363636363635</v>
      </c>
      <c r="AL17" s="565">
        <f>'[20]Weighted Factors'!AF79</f>
        <v>17.146363636363635</v>
      </c>
      <c r="AM17" s="565">
        <f>'[20]Weighted Factors'!AG79</f>
        <v>17.146363636363635</v>
      </c>
      <c r="AN17" s="565">
        <f>'[20]Weighted Factors'!AH79</f>
        <v>17.146363636363635</v>
      </c>
      <c r="AO17" s="565">
        <f>'[20]Weighted Factors'!AI79</f>
        <v>17.146363636363635</v>
      </c>
      <c r="AP17" s="565">
        <f>'[20]Weighted Factors'!AJ79</f>
        <v>17.146363636363635</v>
      </c>
      <c r="AQ17" s="75"/>
      <c r="AR17" s="75"/>
      <c r="AS17" s="75"/>
      <c r="AT17" s="75"/>
      <c r="AU17" s="75"/>
      <c r="AV17" s="467"/>
      <c r="AW17" s="467"/>
      <c r="AX17" s="467"/>
    </row>
    <row r="18" spans="2:50">
      <c r="B18" s="469" t="s">
        <v>1439</v>
      </c>
      <c r="C18" s="566" t="s">
        <v>1820</v>
      </c>
      <c r="D18" s="567"/>
      <c r="E18" s="567"/>
      <c r="F18" s="567"/>
      <c r="H18" s="456">
        <f t="shared" si="0"/>
        <v>7</v>
      </c>
      <c r="I18" s="45" t="s">
        <v>1821</v>
      </c>
      <c r="J18" s="1004">
        <f>'[20]Weighted Factors'!D80</f>
        <v>17.34597441530552</v>
      </c>
      <c r="K18" s="1004">
        <f>'[20]Weighted Factors'!E80</f>
        <v>17.389884943324603</v>
      </c>
      <c r="L18" s="1004">
        <f>'[20]Weighted Factors'!F80</f>
        <v>17.381129202360352</v>
      </c>
      <c r="M18" s="1004">
        <f>'[20]Weighted Factors'!G80</f>
        <v>17.400741387965933</v>
      </c>
      <c r="N18" s="1004">
        <f>'[20]Weighted Factors'!H80</f>
        <v>17.384858457284938</v>
      </c>
      <c r="O18" s="1004">
        <f>'[20]Weighted Factors'!I80</f>
        <v>17.406573427205515</v>
      </c>
      <c r="P18" s="1004">
        <f>'[20]Weighted Factors'!J80</f>
        <v>17.408011760738027</v>
      </c>
      <c r="Q18" s="1004">
        <f>'[20]Weighted Factors'!K80</f>
        <v>17.456898398309974</v>
      </c>
      <c r="R18" s="1004">
        <f>'[20]Weighted Factors'!L80</f>
        <v>17.486782178206113</v>
      </c>
      <c r="S18" s="1004">
        <f>'[20]Weighted Factors'!M80</f>
        <v>17.481293204534854</v>
      </c>
      <c r="T18" s="1004">
        <f>'[20]Weighted Factors'!N80</f>
        <v>17.498812340308277</v>
      </c>
      <c r="U18" s="1004">
        <f>'[20]Weighted Factors'!O80</f>
        <v>17.531675652497988</v>
      </c>
      <c r="V18" s="1004">
        <f>'[20]Weighted Factors'!P80</f>
        <v>17.527380437151844</v>
      </c>
      <c r="W18" s="1004">
        <f>'[20]Weighted Factors'!Q80</f>
        <v>17.575218724301944</v>
      </c>
      <c r="X18" s="1004">
        <f>'[20]Weighted Factors'!R80</f>
        <v>17.560810647221505</v>
      </c>
      <c r="Y18" s="1004">
        <f>'[20]Weighted Factors'!S80</f>
        <v>17.548639616961314</v>
      </c>
      <c r="Z18" s="1004">
        <f>'[20]Weighted Factors'!T80</f>
        <v>17.564747148461482</v>
      </c>
      <c r="AA18" s="1004">
        <f>'[20]Weighted Factors'!U80</f>
        <v>17.545496543859304</v>
      </c>
      <c r="AB18" s="1004">
        <f>'[20]Weighted Factors'!V80</f>
        <v>17.614902347680069</v>
      </c>
      <c r="AC18" s="1004">
        <f>'[20]Weighted Factors'!W80</f>
        <v>17.680080156052945</v>
      </c>
      <c r="AD18" s="1004">
        <f>'[20]Weighted Factors'!X80</f>
        <v>17.74259458536784</v>
      </c>
      <c r="AE18" s="1004">
        <f>'[20]Weighted Factors'!Y80</f>
        <v>17.727109048868925</v>
      </c>
      <c r="AF18" s="1004">
        <f>'[20]Weighted Factors'!Z80</f>
        <v>17.664206338104695</v>
      </c>
      <c r="AG18" s="1004">
        <f>'[20]Weighted Factors'!AA80</f>
        <v>17.634981008548731</v>
      </c>
      <c r="AH18" s="1004">
        <f>'[20]Weighted Factors'!AB80</f>
        <v>17.707734142299049</v>
      </c>
      <c r="AI18" s="1004">
        <f>'[20]Weighted Factors'!AC80</f>
        <v>17.678747622917093</v>
      </c>
      <c r="AJ18" s="1004">
        <f>'[20]Weighted Factors'!AD80</f>
        <v>17.702346346416931</v>
      </c>
      <c r="AK18" s="1004">
        <f>'[20]Weighted Factors'!AE80</f>
        <v>17.740059296020736</v>
      </c>
      <c r="AL18" s="1004">
        <f>'[20]Weighted Factors'!AF80</f>
        <v>17.730487220668685</v>
      </c>
      <c r="AM18" s="1004">
        <f>'[20]Weighted Factors'!AG80</f>
        <v>17.765137541392221</v>
      </c>
      <c r="AN18" s="1004">
        <f>'[20]Weighted Factors'!AH80</f>
        <v>17.746560604157896</v>
      </c>
      <c r="AO18" s="1004">
        <f>'[20]Weighted Factors'!AI80</f>
        <v>17.774410481887031</v>
      </c>
      <c r="AP18" s="1004">
        <f>'[20]Weighted Factors'!AJ80</f>
        <v>17.741669062118369</v>
      </c>
      <c r="AQ18" s="75"/>
      <c r="AR18" s="75"/>
      <c r="AS18" s="75"/>
      <c r="AT18" s="75"/>
      <c r="AU18" s="75"/>
      <c r="AV18" s="467"/>
      <c r="AW18" s="467"/>
      <c r="AX18" s="467"/>
    </row>
    <row r="19" spans="2:50">
      <c r="B19" s="6" t="s">
        <v>1439</v>
      </c>
      <c r="C19" s="568" t="s">
        <v>1815</v>
      </c>
      <c r="D19" s="568" t="s">
        <v>1815</v>
      </c>
      <c r="E19" s="562">
        <v>1</v>
      </c>
      <c r="F19" s="47"/>
      <c r="H19" s="456">
        <f t="shared" si="0"/>
        <v>8</v>
      </c>
      <c r="I19" s="45" t="s">
        <v>1822</v>
      </c>
      <c r="J19" s="1004">
        <f>'[20]Weighted Factors'!D81</f>
        <v>17.034046122869142</v>
      </c>
      <c r="K19" s="1004">
        <f>'[20]Weighted Factors'!E81</f>
        <v>17.017770166798133</v>
      </c>
      <c r="L19" s="1004">
        <f>'[20]Weighted Factors'!F81</f>
        <v>17.04836968847728</v>
      </c>
      <c r="M19" s="1004">
        <f>'[20]Weighted Factors'!G81</f>
        <v>17.00367036966577</v>
      </c>
      <c r="N19" s="1004">
        <f>'[20]Weighted Factors'!H81</f>
        <v>17.08362666492491</v>
      </c>
      <c r="O19" s="1004">
        <f>'[20]Weighted Factors'!I81</f>
        <v>17.049825000036137</v>
      </c>
      <c r="P19" s="1004">
        <f>'[20]Weighted Factors'!J81</f>
        <v>17.03101429870107</v>
      </c>
      <c r="Q19" s="1004">
        <f>'[20]Weighted Factors'!K81</f>
        <v>17.061112627867821</v>
      </c>
      <c r="R19" s="1004">
        <f>'[20]Weighted Factors'!L81</f>
        <v>17.038809990505385</v>
      </c>
      <c r="S19" s="1004">
        <f>'[20]Weighted Factors'!M81</f>
        <v>17.060438677278349</v>
      </c>
      <c r="T19" s="1004">
        <f>'[20]Weighted Factors'!N81</f>
        <v>16.993788992837722</v>
      </c>
      <c r="U19" s="1004">
        <f>'[20]Weighted Factors'!O81</f>
        <v>17.003297137301661</v>
      </c>
      <c r="V19" s="1004">
        <f>'[20]Weighted Factors'!P81</f>
        <v>17.00907039198437</v>
      </c>
      <c r="W19" s="1004">
        <f>'[20]Weighted Factors'!Q81</f>
        <v>17.031270458397266</v>
      </c>
      <c r="X19" s="1004">
        <f>'[20]Weighted Factors'!R81</f>
        <v>17.008824246038724</v>
      </c>
      <c r="Y19" s="1004">
        <f>'[20]Weighted Factors'!S81</f>
        <v>17.01947307227082</v>
      </c>
      <c r="Z19" s="1004">
        <f>'[20]Weighted Factors'!T81</f>
        <v>17.003733585144943</v>
      </c>
      <c r="AA19" s="1004">
        <f>'[20]Weighted Factors'!U81</f>
        <v>16.964207767178955</v>
      </c>
      <c r="AB19" s="1004">
        <f>'[20]Weighted Factors'!V81</f>
        <v>16.962197955333178</v>
      </c>
      <c r="AC19" s="1004">
        <f>'[20]Weighted Factors'!W81</f>
        <v>16.903247712794997</v>
      </c>
      <c r="AD19" s="1004">
        <f>'[20]Weighted Factors'!X81</f>
        <v>16.907399302359956</v>
      </c>
      <c r="AE19" s="1004">
        <f>'[20]Weighted Factors'!Y81</f>
        <v>16.868462552226546</v>
      </c>
      <c r="AF19" s="1004">
        <f>'[20]Weighted Factors'!Z81</f>
        <v>16.874046318664156</v>
      </c>
      <c r="AG19" s="1004">
        <f>'[20]Weighted Factors'!AA81</f>
        <v>16.887731958033104</v>
      </c>
      <c r="AH19" s="1004">
        <f>'[20]Weighted Factors'!AB81</f>
        <v>16.865854200909247</v>
      </c>
      <c r="AI19" s="1004">
        <f>'[20]Weighted Factors'!AC81</f>
        <v>16.866991672803604</v>
      </c>
      <c r="AJ19" s="1004">
        <f>'[20]Weighted Factors'!AD81</f>
        <v>16.849630882011688</v>
      </c>
      <c r="AK19" s="1004">
        <f>'[20]Weighted Factors'!AE81</f>
        <v>16.812068549100584</v>
      </c>
      <c r="AL19" s="1004">
        <f>'[20]Weighted Factors'!AF81</f>
        <v>16.776351446683535</v>
      </c>
      <c r="AM19" s="1004">
        <f>'[20]Weighted Factors'!AG81</f>
        <v>16.767011992040413</v>
      </c>
      <c r="AN19" s="1004">
        <f>'[20]Weighted Factors'!AH81</f>
        <v>16.703178354729324</v>
      </c>
      <c r="AO19" s="1004">
        <f>'[20]Weighted Factors'!AI81</f>
        <v>16.716898122755865</v>
      </c>
      <c r="AP19" s="1004">
        <f>'[20]Weighted Factors'!AJ81</f>
        <v>16.669044482808058</v>
      </c>
      <c r="AR19" s="75"/>
      <c r="AS19" s="75"/>
      <c r="AT19" s="75"/>
      <c r="AU19" s="75"/>
      <c r="AV19" s="467"/>
      <c r="AW19" s="467"/>
      <c r="AX19" s="467"/>
    </row>
    <row r="20" spans="2:50">
      <c r="B20" s="6" t="s">
        <v>1823</v>
      </c>
      <c r="C20" s="47"/>
      <c r="D20" s="562">
        <v>14.47</v>
      </c>
      <c r="E20" s="569"/>
      <c r="F20" s="562">
        <v>0</v>
      </c>
      <c r="H20" s="456">
        <f t="shared" si="0"/>
        <v>9</v>
      </c>
      <c r="I20" s="45" t="s">
        <v>1601</v>
      </c>
      <c r="J20" s="1004">
        <f>'[11]Carbon Contents'!C$8</f>
        <v>19.422820377744564</v>
      </c>
      <c r="K20" s="1004">
        <f>'[11]Carbon Contents'!D$8</f>
        <v>19.438981221928678</v>
      </c>
      <c r="L20" s="1004">
        <f>'[11]Carbon Contents'!E$8</f>
        <v>19.491985360913997</v>
      </c>
      <c r="M20" s="1004">
        <f>'[11]Carbon Contents'!F$8</f>
        <v>19.439169784991449</v>
      </c>
      <c r="N20" s="1004">
        <f>'[11]Carbon Contents'!G$8</f>
        <v>19.363795946364121</v>
      </c>
      <c r="O20" s="1004">
        <f>'[11]Carbon Contents'!H$8</f>
        <v>19.357284669381631</v>
      </c>
      <c r="P20" s="1004">
        <f>'[11]Carbon Contents'!I$8</f>
        <v>19.354555468857317</v>
      </c>
      <c r="Q20" s="1004">
        <f>'[11]Carbon Contents'!J$8</f>
        <v>19.355101442635394</v>
      </c>
      <c r="R20" s="1004">
        <f>'[11]Carbon Contents'!K$8</f>
        <v>19.366735691249527</v>
      </c>
      <c r="S20" s="1004">
        <f>'[11]Carbon Contents'!L$8</f>
        <v>19.321635852506081</v>
      </c>
      <c r="T20" s="1004">
        <f>'[11]Carbon Contents'!M$8</f>
        <v>19.47</v>
      </c>
      <c r="U20" s="1004">
        <f>'[11]Carbon Contents'!N$8</f>
        <v>19.34</v>
      </c>
      <c r="V20" s="1004">
        <f>'[11]Carbon Contents'!O$8</f>
        <v>19.36</v>
      </c>
      <c r="W20" s="1004">
        <f>'[11]Carbon Contents'!P$8</f>
        <v>19.61</v>
      </c>
      <c r="X20" s="1004">
        <f>'[11]Carbon Contents'!Q$8</f>
        <v>19.43</v>
      </c>
      <c r="Y20" s="1004">
        <f>'[11]Carbon Contents'!R$8</f>
        <v>19.32</v>
      </c>
      <c r="Z20" s="1004">
        <f>'[11]Carbon Contents'!S$8</f>
        <v>19.47</v>
      </c>
      <c r="AA20" s="1004">
        <f>'[11]Carbon Contents'!T$8</f>
        <v>19.57</v>
      </c>
      <c r="AB20" s="1004">
        <f>'[11]Carbon Contents'!U$8</f>
        <v>19.350000000000001</v>
      </c>
      <c r="AC20" s="1004">
        <f>'[11]Carbon Contents'!V$8</f>
        <v>19.440000000000001</v>
      </c>
      <c r="AD20" s="1004">
        <f>'[11]Carbon Contents'!W$8</f>
        <v>19.39</v>
      </c>
      <c r="AE20" s="1004">
        <f>'[11]Carbon Contents'!X$8</f>
        <v>19.38</v>
      </c>
      <c r="AF20" s="1004">
        <f>'[11]Carbon Contents'!Y$8</f>
        <v>19.350000000000001</v>
      </c>
      <c r="AG20" s="1004">
        <f>'[11]Carbon Contents'!Z$8</f>
        <v>19.28</v>
      </c>
      <c r="AH20" s="1004">
        <f>'[11]Carbon Contents'!AA$8</f>
        <v>19.260000000000002</v>
      </c>
      <c r="AI20" s="1004">
        <f>'[11]Carbon Contents'!AB$8</f>
        <v>19.252564540839455</v>
      </c>
      <c r="AJ20" s="1004">
        <f>'[11]Carbon Contents'!AC$8</f>
        <v>19.262501967102367</v>
      </c>
      <c r="AK20" s="1004">
        <f>'[11]Carbon Contents'!AD$8</f>
        <v>19.279945488604678</v>
      </c>
      <c r="AL20" s="1004">
        <f>'[11]Carbon Contents'!AE$8</f>
        <v>19.268142985283784</v>
      </c>
      <c r="AM20" s="1004">
        <f>'[11]Carbon Contents'!AF$8</f>
        <v>19.265712984148887</v>
      </c>
      <c r="AN20" s="1004">
        <f>'[11]Carbon Contents'!AG$8</f>
        <v>19.26959818755628</v>
      </c>
      <c r="AO20" s="1004">
        <f>'[11]Carbon Contents'!AH$8</f>
        <v>19.26959818755628</v>
      </c>
      <c r="AP20" s="1004">
        <f>'[11]Carbon Contents'!AI$8</f>
        <v>19.26959818755628</v>
      </c>
      <c r="AR20" s="75"/>
      <c r="AS20" s="75"/>
      <c r="AT20" s="75"/>
      <c r="AU20" s="75"/>
      <c r="AV20" s="467"/>
      <c r="AW20" s="467"/>
      <c r="AX20" s="467"/>
    </row>
    <row r="21" spans="2:50">
      <c r="B21" s="6" t="s">
        <v>1824</v>
      </c>
      <c r="C21" s="47"/>
      <c r="D21" s="562">
        <v>14.47</v>
      </c>
      <c r="E21" s="569"/>
      <c r="F21" s="47" t="s">
        <v>1815</v>
      </c>
      <c r="H21" s="456">
        <f t="shared" si="0"/>
        <v>10</v>
      </c>
      <c r="I21" s="45" t="s">
        <v>1623</v>
      </c>
      <c r="J21" s="588">
        <v>19.399999999999999</v>
      </c>
      <c r="K21" s="588">
        <v>19.399999999999999</v>
      </c>
      <c r="L21" s="588">
        <v>19.39</v>
      </c>
      <c r="M21" s="588">
        <v>19.37</v>
      </c>
      <c r="N21" s="588">
        <v>19.350000000000001</v>
      </c>
      <c r="O21" s="588">
        <v>19.34</v>
      </c>
      <c r="P21" s="588">
        <v>19.696969696969692</v>
      </c>
      <c r="Q21" s="588">
        <v>19.696969696969692</v>
      </c>
      <c r="R21" s="588">
        <v>19.696969696969692</v>
      </c>
      <c r="S21" s="588">
        <v>19.696969696969692</v>
      </c>
      <c r="T21" s="588">
        <v>19.696969696969692</v>
      </c>
      <c r="U21" s="588">
        <v>19.696969696969692</v>
      </c>
      <c r="V21" s="588">
        <v>19.696969696969692</v>
      </c>
      <c r="W21" s="588">
        <v>19.696969696969692</v>
      </c>
      <c r="X21" s="588">
        <v>19.696969696969692</v>
      </c>
      <c r="Y21" s="588">
        <v>19.696969696969692</v>
      </c>
      <c r="Z21" s="588">
        <v>19.696969696969692</v>
      </c>
      <c r="AA21" s="588">
        <v>19.696969696969692</v>
      </c>
      <c r="AB21" s="588">
        <v>19.696969696969692</v>
      </c>
      <c r="AC21" s="215">
        <f t="shared" ref="AC21:AC25" si="1">AB21</f>
        <v>19.696969696969692</v>
      </c>
      <c r="AD21" s="215">
        <f t="shared" ref="AD21:AD25" si="2">AB21</f>
        <v>19.696969696969692</v>
      </c>
      <c r="AE21" s="215">
        <f t="shared" ref="AE21:AP25" si="3">AD21</f>
        <v>19.696969696969692</v>
      </c>
      <c r="AF21" s="215">
        <f t="shared" si="3"/>
        <v>19.696969696969692</v>
      </c>
      <c r="AG21" s="215">
        <f t="shared" si="3"/>
        <v>19.696969696969692</v>
      </c>
      <c r="AH21" s="215">
        <f t="shared" si="3"/>
        <v>19.696969696969692</v>
      </c>
      <c r="AI21" s="215">
        <f t="shared" si="3"/>
        <v>19.696969696969692</v>
      </c>
      <c r="AJ21" s="215">
        <f t="shared" si="3"/>
        <v>19.696969696969692</v>
      </c>
      <c r="AK21" s="215">
        <f t="shared" si="3"/>
        <v>19.696969696969692</v>
      </c>
      <c r="AL21" s="215">
        <f t="shared" si="3"/>
        <v>19.696969696969692</v>
      </c>
      <c r="AM21" s="215">
        <f t="shared" si="3"/>
        <v>19.696969696969692</v>
      </c>
      <c r="AN21" s="215">
        <f t="shared" si="3"/>
        <v>19.696969696969692</v>
      </c>
      <c r="AO21" s="215">
        <f t="shared" si="3"/>
        <v>19.696969696969692</v>
      </c>
      <c r="AP21" s="215">
        <f t="shared" si="3"/>
        <v>19.696969696969692</v>
      </c>
      <c r="AS21" s="75"/>
      <c r="AT21" s="75"/>
      <c r="AU21" s="75"/>
      <c r="AV21" s="467"/>
      <c r="AW21" s="467"/>
      <c r="AX21" s="467"/>
    </row>
    <row r="22" spans="2:50">
      <c r="B22" s="7" t="s">
        <v>1825</v>
      </c>
      <c r="C22" s="98"/>
      <c r="D22" s="570">
        <v>14.92</v>
      </c>
      <c r="E22" s="570">
        <v>1</v>
      </c>
      <c r="F22" s="50"/>
      <c r="H22" s="456">
        <f t="shared" si="0"/>
        <v>11</v>
      </c>
      <c r="I22" s="1" t="s">
        <v>1613</v>
      </c>
      <c r="J22" s="588">
        <v>19.422820377744564</v>
      </c>
      <c r="K22" s="588">
        <v>19.438981221928678</v>
      </c>
      <c r="L22" s="588">
        <v>19.491985360913997</v>
      </c>
      <c r="M22" s="588">
        <v>19.439169784991449</v>
      </c>
      <c r="N22" s="588">
        <v>19.363795946364121</v>
      </c>
      <c r="O22" s="588">
        <v>19.357284669381631</v>
      </c>
      <c r="P22" s="588">
        <v>19.354555468857317</v>
      </c>
      <c r="Q22" s="588">
        <v>19.355101442635394</v>
      </c>
      <c r="R22" s="588">
        <v>19.366735691249527</v>
      </c>
      <c r="S22" s="588">
        <v>19.321635852506081</v>
      </c>
      <c r="T22" s="588">
        <v>19.329231484827364</v>
      </c>
      <c r="U22" s="588">
        <v>19.341164262812889</v>
      </c>
      <c r="V22" s="588">
        <v>19.378431227340293</v>
      </c>
      <c r="W22" s="588">
        <v>19.358557889229616</v>
      </c>
      <c r="X22" s="588">
        <v>19.382763428998363</v>
      </c>
      <c r="Y22" s="588">
        <v>19.363705989316625</v>
      </c>
      <c r="Z22" s="588">
        <v>19.454673043602543</v>
      </c>
      <c r="AA22" s="588">
        <v>19.559404796767716</v>
      </c>
      <c r="AB22" s="588">
        <v>19.456118437849259</v>
      </c>
      <c r="AC22" s="215">
        <f t="shared" si="1"/>
        <v>19.456118437849259</v>
      </c>
      <c r="AD22" s="215">
        <f t="shared" si="2"/>
        <v>19.456118437849259</v>
      </c>
      <c r="AE22" s="215">
        <f t="shared" si="3"/>
        <v>19.456118437849259</v>
      </c>
      <c r="AF22" s="215">
        <f t="shared" si="3"/>
        <v>19.456118437849259</v>
      </c>
      <c r="AG22" s="215">
        <f t="shared" si="3"/>
        <v>19.456118437849259</v>
      </c>
      <c r="AH22" s="215">
        <f t="shared" si="3"/>
        <v>19.456118437849259</v>
      </c>
      <c r="AI22" s="215">
        <f t="shared" si="3"/>
        <v>19.456118437849259</v>
      </c>
      <c r="AJ22" s="215">
        <f t="shared" si="3"/>
        <v>19.456118437849259</v>
      </c>
      <c r="AK22" s="215">
        <f t="shared" si="3"/>
        <v>19.456118437849259</v>
      </c>
      <c r="AL22" s="215">
        <f t="shared" si="3"/>
        <v>19.456118437849259</v>
      </c>
      <c r="AM22" s="215">
        <f t="shared" si="3"/>
        <v>19.456118437849259</v>
      </c>
      <c r="AN22" s="215">
        <f t="shared" si="3"/>
        <v>19.456118437849259</v>
      </c>
      <c r="AO22" s="215">
        <f t="shared" si="3"/>
        <v>19.456118437849259</v>
      </c>
      <c r="AP22" s="215">
        <f t="shared" si="3"/>
        <v>19.456118437849259</v>
      </c>
      <c r="AS22" s="75"/>
      <c r="AT22" s="75"/>
      <c r="AU22" s="75"/>
      <c r="AV22" s="467"/>
      <c r="AW22" s="467"/>
      <c r="AX22" s="467"/>
    </row>
    <row r="23" spans="2:50">
      <c r="B23" s="5" t="s">
        <v>1440</v>
      </c>
      <c r="C23" s="561" t="s">
        <v>1826</v>
      </c>
      <c r="D23" s="47"/>
      <c r="E23" s="47"/>
      <c r="F23" s="47"/>
      <c r="H23" s="456">
        <f t="shared" si="0"/>
        <v>12</v>
      </c>
      <c r="I23" s="1" t="s">
        <v>1739</v>
      </c>
      <c r="J23" s="588">
        <v>0</v>
      </c>
      <c r="K23" s="588">
        <v>0</v>
      </c>
      <c r="L23" s="588">
        <v>0</v>
      </c>
      <c r="M23" s="588">
        <v>0</v>
      </c>
      <c r="N23" s="588">
        <v>0</v>
      </c>
      <c r="O23" s="588">
        <v>0</v>
      </c>
      <c r="P23" s="588">
        <v>0</v>
      </c>
      <c r="Q23" s="588">
        <v>0</v>
      </c>
      <c r="R23" s="588">
        <v>0</v>
      </c>
      <c r="S23" s="588">
        <v>0</v>
      </c>
      <c r="T23" s="588">
        <v>0</v>
      </c>
      <c r="U23" s="588">
        <v>0</v>
      </c>
      <c r="V23" s="588">
        <v>0</v>
      </c>
      <c r="W23" s="588">
        <v>0</v>
      </c>
      <c r="X23" s="588">
        <v>0</v>
      </c>
      <c r="Y23" s="588">
        <v>0</v>
      </c>
      <c r="Z23" s="588">
        <v>0</v>
      </c>
      <c r="AA23" s="588">
        <v>0</v>
      </c>
      <c r="AB23" s="588">
        <v>0</v>
      </c>
      <c r="AC23" s="588">
        <v>0</v>
      </c>
      <c r="AD23" s="588">
        <v>0</v>
      </c>
      <c r="AE23" s="588">
        <v>0</v>
      </c>
      <c r="AF23" s="588">
        <v>0</v>
      </c>
      <c r="AG23" s="588">
        <v>0</v>
      </c>
      <c r="AH23" s="588">
        <v>0</v>
      </c>
      <c r="AI23" s="588">
        <v>0</v>
      </c>
      <c r="AJ23" s="588">
        <v>0</v>
      </c>
      <c r="AK23" s="588">
        <v>0</v>
      </c>
      <c r="AL23" s="588">
        <v>0</v>
      </c>
      <c r="AM23" s="588">
        <v>0</v>
      </c>
      <c r="AN23" s="588">
        <v>0</v>
      </c>
      <c r="AO23" s="588">
        <v>0</v>
      </c>
      <c r="AP23" s="588">
        <v>0</v>
      </c>
      <c r="AQ23" s="75"/>
      <c r="AR23" s="75"/>
      <c r="AS23" s="75"/>
      <c r="AT23" s="75"/>
      <c r="AU23" s="75"/>
      <c r="AV23" s="467"/>
      <c r="AW23" s="467"/>
      <c r="AX23" s="467"/>
    </row>
    <row r="24" spans="2:50">
      <c r="B24" s="6" t="s">
        <v>1608</v>
      </c>
      <c r="C24" s="571">
        <v>6.6360000000000001</v>
      </c>
      <c r="D24" s="562">
        <v>20.55318099621897</v>
      </c>
      <c r="E24" s="562">
        <v>1</v>
      </c>
      <c r="F24" s="589">
        <f>'[21]Asphalt Summary'!$N$16</f>
        <v>0.99560852232832731</v>
      </c>
      <c r="H24" s="456">
        <f t="shared" si="0"/>
        <v>13</v>
      </c>
      <c r="I24" s="1" t="s">
        <v>1620</v>
      </c>
      <c r="J24" s="588">
        <v>20.14625771551724</v>
      </c>
      <c r="K24" s="588">
        <v>20.158401423448272</v>
      </c>
      <c r="L24" s="588">
        <v>20.201049222586207</v>
      </c>
      <c r="M24" s="588">
        <v>20.203098464137931</v>
      </c>
      <c r="N24" s="588">
        <v>20.203694049482756</v>
      </c>
      <c r="O24" s="588">
        <v>20.20671239517241</v>
      </c>
      <c r="P24" s="588">
        <v>20.234340568965521</v>
      </c>
      <c r="Q24" s="588">
        <v>20.217215216551722</v>
      </c>
      <c r="R24" s="588">
        <v>20.222203400344828</v>
      </c>
      <c r="S24" s="588">
        <v>20.170330808793103</v>
      </c>
      <c r="T24" s="588">
        <v>20.216527907586205</v>
      </c>
      <c r="U24" s="588">
        <v>20.267087291379308</v>
      </c>
      <c r="V24" s="588">
        <v>20.284502183965511</v>
      </c>
      <c r="W24" s="588">
        <v>20.249189764655174</v>
      </c>
      <c r="X24" s="588">
        <v>20.313283936551723</v>
      </c>
      <c r="Y24" s="588">
        <v>20.314859972586206</v>
      </c>
      <c r="Z24" s="588">
        <v>20.284258502413792</v>
      </c>
      <c r="AA24" s="588">
        <v>20.280867287413791</v>
      </c>
      <c r="AB24" s="588">
        <v>20.305515594827586</v>
      </c>
      <c r="AC24" s="215">
        <f t="shared" si="1"/>
        <v>20.305515594827586</v>
      </c>
      <c r="AD24" s="215">
        <f t="shared" si="2"/>
        <v>20.305515594827586</v>
      </c>
      <c r="AE24" s="215">
        <f t="shared" si="3"/>
        <v>20.305515594827586</v>
      </c>
      <c r="AF24" s="215">
        <f t="shared" si="3"/>
        <v>20.305515594827586</v>
      </c>
      <c r="AG24" s="215">
        <f t="shared" si="3"/>
        <v>20.305515594827586</v>
      </c>
      <c r="AH24" s="215">
        <f t="shared" si="3"/>
        <v>20.305515594827586</v>
      </c>
      <c r="AI24" s="215">
        <f t="shared" si="3"/>
        <v>20.305515594827586</v>
      </c>
      <c r="AJ24" s="215">
        <f t="shared" si="3"/>
        <v>20.305515594827586</v>
      </c>
      <c r="AK24" s="215">
        <f t="shared" si="3"/>
        <v>20.305515594827586</v>
      </c>
      <c r="AL24" s="215">
        <f t="shared" si="3"/>
        <v>20.305515594827586</v>
      </c>
      <c r="AM24" s="215">
        <f t="shared" si="3"/>
        <v>20.305515594827586</v>
      </c>
      <c r="AN24" s="215">
        <f t="shared" si="3"/>
        <v>20.305515594827586</v>
      </c>
      <c r="AO24" s="215">
        <f t="shared" si="3"/>
        <v>20.305515594827586</v>
      </c>
      <c r="AP24" s="215">
        <f t="shared" si="3"/>
        <v>20.305515594827586</v>
      </c>
      <c r="AQ24" s="75"/>
      <c r="AR24" s="75"/>
      <c r="AS24" s="75"/>
      <c r="AT24" s="75"/>
      <c r="AU24" s="75"/>
      <c r="AV24" s="467"/>
      <c r="AW24" s="467"/>
      <c r="AX24" s="467"/>
    </row>
    <row r="25" spans="2:50">
      <c r="B25" s="6" t="s">
        <v>1622</v>
      </c>
      <c r="C25" s="571">
        <v>5.048</v>
      </c>
      <c r="D25" s="562">
        <v>18.855352254718337</v>
      </c>
      <c r="E25" s="562">
        <v>1</v>
      </c>
      <c r="F25" s="47"/>
      <c r="H25" s="456">
        <f t="shared" si="0"/>
        <v>14</v>
      </c>
      <c r="I25" s="45" t="s">
        <v>1612</v>
      </c>
      <c r="J25" s="588">
        <v>20.14625771551724</v>
      </c>
      <c r="K25" s="588">
        <v>20.158401423448272</v>
      </c>
      <c r="L25" s="588">
        <v>20.201049222586207</v>
      </c>
      <c r="M25" s="588">
        <v>20.203098464137931</v>
      </c>
      <c r="N25" s="588">
        <v>20.203694049482756</v>
      </c>
      <c r="O25" s="588">
        <v>20.20671239517241</v>
      </c>
      <c r="P25" s="588">
        <v>20.234340568965521</v>
      </c>
      <c r="Q25" s="588">
        <v>20.217215216551722</v>
      </c>
      <c r="R25" s="588">
        <v>20.222203400344828</v>
      </c>
      <c r="S25" s="588">
        <v>20.170330808793103</v>
      </c>
      <c r="T25" s="588">
        <v>20.216527907586205</v>
      </c>
      <c r="U25" s="588">
        <v>20.267087291379308</v>
      </c>
      <c r="V25" s="588">
        <v>20.284502183965511</v>
      </c>
      <c r="W25" s="588">
        <v>20.249189764655174</v>
      </c>
      <c r="X25" s="588">
        <v>20.313283936551723</v>
      </c>
      <c r="Y25" s="588">
        <v>20.314859972586206</v>
      </c>
      <c r="Z25" s="588">
        <v>20.284258502413792</v>
      </c>
      <c r="AA25" s="588">
        <v>20.280867287413791</v>
      </c>
      <c r="AB25" s="588">
        <v>20.305515594827586</v>
      </c>
      <c r="AC25" s="215">
        <f t="shared" si="1"/>
        <v>20.305515594827586</v>
      </c>
      <c r="AD25" s="215">
        <f t="shared" si="2"/>
        <v>20.305515594827586</v>
      </c>
      <c r="AE25" s="215">
        <f t="shared" si="3"/>
        <v>20.305515594827586</v>
      </c>
      <c r="AF25" s="215">
        <f t="shared" si="3"/>
        <v>20.305515594827586</v>
      </c>
      <c r="AG25" s="215">
        <f t="shared" si="3"/>
        <v>20.305515594827586</v>
      </c>
      <c r="AH25" s="215">
        <f t="shared" si="3"/>
        <v>20.305515594827586</v>
      </c>
      <c r="AI25" s="215">
        <f t="shared" si="3"/>
        <v>20.305515594827586</v>
      </c>
      <c r="AJ25" s="215">
        <f t="shared" si="3"/>
        <v>20.305515594827586</v>
      </c>
      <c r="AK25" s="215">
        <f t="shared" si="3"/>
        <v>20.305515594827586</v>
      </c>
      <c r="AL25" s="215">
        <f t="shared" si="3"/>
        <v>20.305515594827586</v>
      </c>
      <c r="AM25" s="215">
        <f t="shared" si="3"/>
        <v>20.305515594827586</v>
      </c>
      <c r="AN25" s="215">
        <f t="shared" si="3"/>
        <v>20.305515594827586</v>
      </c>
      <c r="AO25" s="215">
        <f t="shared" si="3"/>
        <v>20.305515594827586</v>
      </c>
      <c r="AP25" s="215">
        <f t="shared" si="3"/>
        <v>20.305515594827586</v>
      </c>
      <c r="AQ25" s="75"/>
      <c r="AR25" s="75"/>
      <c r="AS25" s="75"/>
      <c r="AT25" s="75"/>
      <c r="AU25" s="75"/>
      <c r="AV25" s="467"/>
      <c r="AW25" s="467"/>
      <c r="AX25" s="467"/>
    </row>
    <row r="26" spans="2:50">
      <c r="B26" s="6" t="s">
        <v>1738</v>
      </c>
      <c r="C26" s="573" t="s">
        <v>1815</v>
      </c>
      <c r="D26" s="47" t="s">
        <v>1815</v>
      </c>
      <c r="E26" s="562">
        <v>1</v>
      </c>
      <c r="F26" s="562">
        <v>0.5</v>
      </c>
      <c r="H26" s="456">
        <f t="shared" si="0"/>
        <v>15</v>
      </c>
      <c r="I26" s="45" t="s">
        <v>1439</v>
      </c>
      <c r="J26" s="565">
        <f t="shared" ref="J26:AL26" si="4">((J31*$J$74)+$J$73)/J31*1000</f>
        <v>14.455165742468415</v>
      </c>
      <c r="K26" s="565">
        <f t="shared" si="4"/>
        <v>14.45183127669903</v>
      </c>
      <c r="L26" s="565">
        <f t="shared" si="4"/>
        <v>14.45183127669903</v>
      </c>
      <c r="M26" s="565">
        <f t="shared" si="4"/>
        <v>14.461854154819864</v>
      </c>
      <c r="N26" s="565">
        <f t="shared" si="4"/>
        <v>14.458506695525291</v>
      </c>
      <c r="O26" s="565">
        <f t="shared" si="4"/>
        <v>14.46520813937622</v>
      </c>
      <c r="P26" s="565">
        <f t="shared" si="4"/>
        <v>14.46520813937622</v>
      </c>
      <c r="Q26" s="565">
        <f t="shared" si="4"/>
        <v>14.46520813937622</v>
      </c>
      <c r="R26" s="565">
        <f t="shared" si="4"/>
        <v>14.448503279340446</v>
      </c>
      <c r="S26" s="565">
        <f t="shared" si="4"/>
        <v>14.461854154819864</v>
      </c>
      <c r="T26" s="565">
        <f t="shared" si="4"/>
        <v>14.468568668292685</v>
      </c>
      <c r="U26" s="565">
        <f t="shared" si="4"/>
        <v>14.458506695525291</v>
      </c>
      <c r="V26" s="565">
        <f t="shared" si="4"/>
        <v>14.471935760742188</v>
      </c>
      <c r="W26" s="565">
        <f t="shared" si="4"/>
        <v>14.458506695525291</v>
      </c>
      <c r="X26" s="565">
        <f t="shared" si="4"/>
        <v>14.46520813937622</v>
      </c>
      <c r="Y26" s="565">
        <f t="shared" si="4"/>
        <v>14.458506695525291</v>
      </c>
      <c r="Z26" s="565">
        <f t="shared" si="4"/>
        <v>14.458506695525291</v>
      </c>
      <c r="AA26" s="565">
        <f t="shared" si="4"/>
        <v>14.461854154819864</v>
      </c>
      <c r="AB26" s="565">
        <f t="shared" si="4"/>
        <v>14.461854154819864</v>
      </c>
      <c r="AC26" s="565">
        <f t="shared" si="4"/>
        <v>14.468568668292685</v>
      </c>
      <c r="AD26" s="565">
        <f t="shared" si="4"/>
        <v>14.47530943597263</v>
      </c>
      <c r="AE26" s="565">
        <f t="shared" si="4"/>
        <v>14.47868971330724</v>
      </c>
      <c r="AF26" s="565">
        <f t="shared" si="4"/>
        <v>14.471935760742188</v>
      </c>
      <c r="AG26" s="565">
        <f t="shared" si="4"/>
        <v>14.461854154819864</v>
      </c>
      <c r="AH26" s="565">
        <f t="shared" si="4"/>
        <v>14.445181731589148</v>
      </c>
      <c r="AI26" s="565">
        <f t="shared" si="4"/>
        <v>14.428670083895854</v>
      </c>
      <c r="AJ26" s="565">
        <f t="shared" si="4"/>
        <v>14.428670083895854</v>
      </c>
      <c r="AK26" s="565">
        <f t="shared" si="4"/>
        <v>14.431959663127413</v>
      </c>
      <c r="AL26" s="565">
        <f t="shared" si="4"/>
        <v>14.431959663127413</v>
      </c>
      <c r="AM26" s="565">
        <f>((AM31*$J$74)+$J$73)/AM31*1000</f>
        <v>14.425386842967246</v>
      </c>
      <c r="AN26" s="565">
        <f>((AN31*$J$74)+$J$73)/AN31*1000</f>
        <v>14.428670083895854</v>
      </c>
      <c r="AO26" s="565">
        <f>((AO31*$J$74)+$J$73)/AO31*1000</f>
        <v>14.428670083895854</v>
      </c>
      <c r="AP26" s="565">
        <f>((AP31*$J$74)+$J$73)/AP31*1000</f>
        <v>14.431959663127413</v>
      </c>
      <c r="AQ26" s="75"/>
      <c r="AR26" s="75"/>
      <c r="AS26" s="75"/>
      <c r="AT26" s="75"/>
      <c r="AU26" s="75"/>
      <c r="AV26" s="467"/>
      <c r="AW26" s="467"/>
      <c r="AX26" s="467"/>
    </row>
    <row r="27" spans="2:50">
      <c r="B27" s="6" t="s">
        <v>1827</v>
      </c>
      <c r="C27" s="571">
        <v>5.67</v>
      </c>
      <c r="D27" s="47" t="s">
        <v>1815</v>
      </c>
      <c r="E27" s="562">
        <v>1</v>
      </c>
      <c r="F27" s="47"/>
      <c r="H27" s="456">
        <f t="shared" si="0"/>
        <v>16</v>
      </c>
      <c r="I27" s="45" t="s">
        <v>1738</v>
      </c>
      <c r="J27" s="1004">
        <f>'[11]Carbon Contents'!C$9</f>
        <v>20.170000000000002</v>
      </c>
      <c r="K27" s="1004">
        <f>'[11]Carbon Contents'!D$9</f>
        <v>20.170000000000002</v>
      </c>
      <c r="L27" s="1004">
        <f>'[11]Carbon Contents'!E$9</f>
        <v>20.170000000000002</v>
      </c>
      <c r="M27" s="1004">
        <f>'[11]Carbon Contents'!F$9</f>
        <v>20.170000000000002</v>
      </c>
      <c r="N27" s="1004">
        <f>'[11]Carbon Contents'!G$9</f>
        <v>20.170000000000002</v>
      </c>
      <c r="O27" s="1004">
        <f>'[11]Carbon Contents'!H$9</f>
        <v>20.170000000000002</v>
      </c>
      <c r="P27" s="1004">
        <f>'[11]Carbon Contents'!I$9</f>
        <v>20.170000000000002</v>
      </c>
      <c r="Q27" s="1004">
        <f>'[11]Carbon Contents'!J$9</f>
        <v>20.170000000000002</v>
      </c>
      <c r="R27" s="1004">
        <f>'[11]Carbon Contents'!K$9</f>
        <v>20.170000000000002</v>
      </c>
      <c r="S27" s="1004">
        <f>'[11]Carbon Contents'!L$9</f>
        <v>20.170000000000002</v>
      </c>
      <c r="T27" s="1004">
        <f>'[11]Carbon Contents'!M$9</f>
        <v>20.39</v>
      </c>
      <c r="U27" s="1004">
        <f>'[11]Carbon Contents'!N$9</f>
        <v>20.36</v>
      </c>
      <c r="V27" s="1004">
        <f>'[11]Carbon Contents'!O$9</f>
        <v>20.36</v>
      </c>
      <c r="W27" s="1004">
        <f>'[11]Carbon Contents'!P$9</f>
        <v>20.37</v>
      </c>
      <c r="X27" s="1004">
        <f>'[11]Carbon Contents'!Q$9</f>
        <v>20.39</v>
      </c>
      <c r="Y27" s="1004">
        <f>'[11]Carbon Contents'!R$9</f>
        <v>20.37</v>
      </c>
      <c r="Z27" s="1004">
        <f>'[11]Carbon Contents'!S$9</f>
        <v>20.329999999999998</v>
      </c>
      <c r="AA27" s="1004">
        <f>'[11]Carbon Contents'!T$9</f>
        <v>20.25</v>
      </c>
      <c r="AB27" s="1004">
        <f>'[11]Carbon Contents'!U$9</f>
        <v>20.25</v>
      </c>
      <c r="AC27" s="1004">
        <f>'[11]Carbon Contents'!V$9</f>
        <v>20.23</v>
      </c>
      <c r="AD27" s="1004">
        <f>'[11]Carbon Contents'!W$9</f>
        <v>20.239999999999998</v>
      </c>
      <c r="AE27" s="1004">
        <f>'[11]Carbon Contents'!X$9</f>
        <v>20.22</v>
      </c>
      <c r="AF27" s="1004">
        <f>'[11]Carbon Contents'!Y$9</f>
        <v>20.22</v>
      </c>
      <c r="AG27" s="1004">
        <f>'[11]Carbon Contents'!Z$9</f>
        <v>20.23</v>
      </c>
      <c r="AH27" s="1004">
        <f>'[11]Carbon Contents'!AA$9</f>
        <v>20.23</v>
      </c>
      <c r="AI27" s="1004">
        <f>'[11]Carbon Contents'!AB$9</f>
        <v>20.221641702001627</v>
      </c>
      <c r="AJ27" s="1004">
        <f>'[11]Carbon Contents'!AC$9</f>
        <v>20.214239202481796</v>
      </c>
      <c r="AK27" s="1004">
        <f>'[11]Carbon Contents'!AD$9</f>
        <v>20.206427131077398</v>
      </c>
      <c r="AL27" s="1004">
        <f>'[11]Carbon Contents'!AE$9</f>
        <v>20.221719451899205</v>
      </c>
      <c r="AM27" s="1004">
        <f>'[11]Carbon Contents'!AF$9</f>
        <v>20.221719451899205</v>
      </c>
      <c r="AN27" s="1004">
        <f>'[11]Carbon Contents'!AG$9</f>
        <v>20.216892495282984</v>
      </c>
      <c r="AO27" s="1004">
        <f>'[11]Carbon Contents'!AH$9</f>
        <v>20.216892495282984</v>
      </c>
      <c r="AP27" s="1004">
        <f>'[11]Carbon Contents'!AI$9</f>
        <v>20.216892495282984</v>
      </c>
      <c r="AQ27" s="75"/>
      <c r="AR27" s="75"/>
      <c r="AS27" s="75"/>
      <c r="AT27" s="75"/>
      <c r="AU27" s="75"/>
      <c r="AV27" s="467"/>
      <c r="AW27" s="467"/>
      <c r="AX27" s="467"/>
    </row>
    <row r="28" spans="2:50">
      <c r="B28" s="6" t="s">
        <v>1599</v>
      </c>
      <c r="C28" s="571">
        <v>5.67</v>
      </c>
      <c r="D28" s="562">
        <v>19.964104564962931</v>
      </c>
      <c r="E28" s="562">
        <v>1</v>
      </c>
      <c r="F28" s="47"/>
      <c r="H28" s="456">
        <f t="shared" si="0"/>
        <v>17</v>
      </c>
      <c r="I28" s="98" t="s">
        <v>1734</v>
      </c>
      <c r="J28" s="1012">
        <f>'[19]Summary Coal'!C19</f>
        <v>25.532291814167994</v>
      </c>
      <c r="K28" s="1012">
        <f>'[19]Summary Coal'!D19</f>
        <v>25.543158586033801</v>
      </c>
      <c r="L28" s="1012">
        <f>'[19]Summary Coal'!E19</f>
        <v>25.533925567912991</v>
      </c>
      <c r="M28" s="1012">
        <f>'[19]Summary Coal'!F19</f>
        <v>25.525274710441376</v>
      </c>
      <c r="N28" s="1012">
        <f>'[19]Summary Coal'!G19</f>
        <v>25.563112206017067</v>
      </c>
      <c r="O28" s="1012">
        <f>'[19]Summary Coal'!H19</f>
        <v>25.566786609612485</v>
      </c>
      <c r="P28" s="1012">
        <f>'[19]Summary Coal'!I19</f>
        <v>25.559723668433751</v>
      </c>
      <c r="Q28" s="1012">
        <f>'[19]Summary Coal'!J19</f>
        <v>25.591985592118377</v>
      </c>
      <c r="R28" s="1012">
        <f>'[19]Summary Coal'!K19</f>
        <v>25.616489835056033</v>
      </c>
      <c r="S28" s="1012">
        <f>'[19]Summary Coal'!L19</f>
        <v>25.591188788895408</v>
      </c>
      <c r="T28" s="1012">
        <f>'[19]Summary Coal'!M19</f>
        <v>25.628425193088074</v>
      </c>
      <c r="U28" s="1012">
        <f>'[19]Summary Coal'!N19</f>
        <v>25.629598258977765</v>
      </c>
      <c r="V28" s="1012">
        <f>'[19]Summary Coal'!O19</f>
        <v>25.649069146612121</v>
      </c>
      <c r="W28" s="1012">
        <f>'[19]Summary Coal'!P19</f>
        <v>25.631727459051351</v>
      </c>
      <c r="X28" s="1012">
        <f>'[19]Summary Coal'!Q19</f>
        <v>25.634800953667938</v>
      </c>
      <c r="Y28" s="1012">
        <f>'[19]Summary Coal'!R19</f>
        <v>25.601635188979003</v>
      </c>
      <c r="Z28" s="1012">
        <f>'[19]Summary Coal'!S19</f>
        <v>25.59861228868181</v>
      </c>
      <c r="AA28" s="1012">
        <f>'[19]Summary Coal'!T19</f>
        <v>25.614339573069</v>
      </c>
      <c r="AB28" s="1012">
        <f>'[19]Summary Coal'!U19</f>
        <v>25.60706535359062</v>
      </c>
      <c r="AC28" s="1012">
        <f>'[19]Summary Coal'!V19</f>
        <v>25.583890249034596</v>
      </c>
      <c r="AD28" s="1012">
        <f>'[19]Summary Coal'!W19</f>
        <v>25.580590045198662</v>
      </c>
      <c r="AE28" s="1012">
        <f>'[19]Summary Coal'!X19</f>
        <v>25.574389306102162</v>
      </c>
      <c r="AF28" s="1012">
        <f>'[19]Summary Coal'!Y19</f>
        <v>25.57194123561866</v>
      </c>
      <c r="AG28" s="1012">
        <f>'[19]Summary Coal'!Z19</f>
        <v>25.579304450740384</v>
      </c>
      <c r="AH28" s="1012">
        <f>'[19]Summary Coal'!AA19</f>
        <v>25.565197824291008</v>
      </c>
      <c r="AI28" s="1012">
        <f>'[19]Summary Coal'!AB19</f>
        <v>25.569057482176802</v>
      </c>
      <c r="AJ28" s="1012">
        <f>'[19]Summary Coal'!AC19</f>
        <v>25.567370485058145</v>
      </c>
      <c r="AK28" s="1012">
        <f>'[19]Summary Coal'!AD19</f>
        <v>25.564085680666491</v>
      </c>
      <c r="AL28" s="1012">
        <f>'[19]Summary Coal'!AE19</f>
        <v>25.594522090325675</v>
      </c>
      <c r="AM28" s="1012">
        <f>'[19]Summary Coal'!AF19</f>
        <v>25.594048438950679</v>
      </c>
      <c r="AN28" s="1012">
        <f>'[19]Summary Coal'!AG19</f>
        <v>25.601082279442927</v>
      </c>
      <c r="AO28" s="1012">
        <f>'[19]Summary Coal'!AH19</f>
        <v>25.59791634553288</v>
      </c>
      <c r="AP28" s="1012">
        <f>'[19]Summary Coal'!AI19</f>
        <v>25.605077665523787</v>
      </c>
    </row>
    <row r="29" spans="2:50">
      <c r="B29" s="6" t="s">
        <v>1828</v>
      </c>
      <c r="C29" s="571">
        <v>5.67</v>
      </c>
      <c r="D29" s="562">
        <v>19.329999999999998</v>
      </c>
      <c r="E29" s="562">
        <v>1</v>
      </c>
      <c r="F29" s="47"/>
      <c r="I29" s="76" t="s">
        <v>1829</v>
      </c>
      <c r="K29" s="227"/>
      <c r="L29" s="215"/>
      <c r="AP29" s="1036"/>
      <c r="AR29" s="564"/>
      <c r="AS29" s="564"/>
      <c r="AT29" s="564"/>
      <c r="AU29" s="564"/>
      <c r="AV29" s="564"/>
    </row>
    <row r="30" spans="2:50">
      <c r="B30" s="6" t="s">
        <v>1600</v>
      </c>
      <c r="C30" s="1006">
        <v>3.8410000000000002</v>
      </c>
      <c r="D30" s="47" t="s">
        <v>1815</v>
      </c>
      <c r="E30" s="562">
        <v>1</v>
      </c>
      <c r="F30" s="47"/>
      <c r="I30" s="477" t="s">
        <v>1583</v>
      </c>
      <c r="J30" s="1009">
        <v>1990</v>
      </c>
      <c r="K30" s="1009">
        <v>1991</v>
      </c>
      <c r="L30" s="1009">
        <v>1992</v>
      </c>
      <c r="M30" s="1009">
        <v>1993</v>
      </c>
      <c r="N30" s="1009">
        <v>1994</v>
      </c>
      <c r="O30" s="1009">
        <v>1995</v>
      </c>
      <c r="P30" s="1009">
        <v>1996</v>
      </c>
      <c r="Q30" s="1009">
        <v>1997</v>
      </c>
      <c r="R30" s="1009">
        <v>1998</v>
      </c>
      <c r="S30" s="1009">
        <v>1999</v>
      </c>
      <c r="T30" s="1009">
        <v>2000</v>
      </c>
      <c r="U30" s="1009">
        <v>2001</v>
      </c>
      <c r="V30" s="1009">
        <v>2002</v>
      </c>
      <c r="W30" s="1009">
        <v>2003</v>
      </c>
      <c r="X30" s="1009">
        <v>2004</v>
      </c>
      <c r="Y30" s="1009">
        <v>2005</v>
      </c>
      <c r="Z30" s="1009">
        <v>2006</v>
      </c>
      <c r="AA30" s="1009">
        <v>2007</v>
      </c>
      <c r="AB30" s="1009">
        <v>2008</v>
      </c>
      <c r="AC30" s="1009">
        <v>2009</v>
      </c>
      <c r="AD30" s="1009">
        <v>2010</v>
      </c>
      <c r="AE30" s="1009">
        <v>2011</v>
      </c>
      <c r="AF30" s="1009">
        <v>2012</v>
      </c>
      <c r="AG30" s="1009">
        <v>2013</v>
      </c>
      <c r="AH30" s="1009">
        <v>2014</v>
      </c>
      <c r="AI30" s="1009">
        <v>2015</v>
      </c>
      <c r="AJ30" s="1009">
        <v>2016</v>
      </c>
      <c r="AK30" s="1009">
        <v>2017</v>
      </c>
      <c r="AL30" s="1009">
        <v>2018</v>
      </c>
      <c r="AM30" s="1009">
        <v>2019</v>
      </c>
      <c r="AN30" s="1009">
        <v>2020</v>
      </c>
      <c r="AO30" s="1009">
        <v>2021</v>
      </c>
      <c r="AP30" s="391">
        <v>2022</v>
      </c>
      <c r="AQ30" s="564"/>
      <c r="AR30" s="75"/>
      <c r="AS30" s="75"/>
      <c r="AT30" s="75"/>
      <c r="AU30" s="75"/>
      <c r="AV30" s="75"/>
    </row>
    <row r="31" spans="2:50">
      <c r="B31" s="6" t="s">
        <v>1830</v>
      </c>
      <c r="C31" s="573">
        <v>3.867</v>
      </c>
      <c r="D31" s="47" t="s">
        <v>1815</v>
      </c>
      <c r="E31" s="562">
        <v>1</v>
      </c>
      <c r="F31" s="47"/>
      <c r="I31" s="136" t="s">
        <v>1831</v>
      </c>
      <c r="J31" s="572">
        <f>'[10]Table A4'!$F$54</f>
        <v>1029</v>
      </c>
      <c r="K31" s="572">
        <f>'[10]Table A4'!$F$55</f>
        <v>1030</v>
      </c>
      <c r="L31" s="572">
        <f>'[10]Table A4'!$F$56</f>
        <v>1030</v>
      </c>
      <c r="M31" s="572">
        <f>'[10]Table A4'!$F$57</f>
        <v>1027</v>
      </c>
      <c r="N31" s="572">
        <f>'[10]Table A4'!$F$58</f>
        <v>1028</v>
      </c>
      <c r="O31" s="572">
        <f>'[10]Table A4'!$F$59</f>
        <v>1026</v>
      </c>
      <c r="P31" s="572">
        <f>'[10]Table A4'!$F$60</f>
        <v>1026</v>
      </c>
      <c r="Q31" s="572">
        <f>'[10]Table A4'!$F$61</f>
        <v>1026</v>
      </c>
      <c r="R31" s="572">
        <f>'[10]Table A4'!$F$62</f>
        <v>1031</v>
      </c>
      <c r="S31" s="572">
        <f>'[10]Table A4'!$F$63</f>
        <v>1027</v>
      </c>
      <c r="T31" s="572">
        <f>'[10]Table A4'!$F$64</f>
        <v>1025</v>
      </c>
      <c r="U31" s="572">
        <f>'[10]Table A4'!$F$65</f>
        <v>1028</v>
      </c>
      <c r="V31" s="572">
        <f>'[10]Table A4'!$F$66</f>
        <v>1024</v>
      </c>
      <c r="W31" s="572">
        <f>'[10]Table A4'!$F$67</f>
        <v>1028</v>
      </c>
      <c r="X31" s="572">
        <f>'[10]Table A4'!$F$68</f>
        <v>1026</v>
      </c>
      <c r="Y31" s="572">
        <f>'[10]Table A4'!$F$69</f>
        <v>1028</v>
      </c>
      <c r="Z31" s="572">
        <f>'[10]Table A4'!$F$70</f>
        <v>1028</v>
      </c>
      <c r="AA31" s="572">
        <f>'[10]Table A4'!$F$71</f>
        <v>1027</v>
      </c>
      <c r="AB31" s="572">
        <f>'[10]Table A4'!$F$72</f>
        <v>1027</v>
      </c>
      <c r="AC31" s="572">
        <f>'[10]Table A4'!$F$73</f>
        <v>1025</v>
      </c>
      <c r="AD31" s="572">
        <f>'[10]Table A4'!$F$74</f>
        <v>1023</v>
      </c>
      <c r="AE31" s="572">
        <f>'[10]Table A4'!$F$75</f>
        <v>1022</v>
      </c>
      <c r="AF31" s="572">
        <f>'[10]Table A4'!$F$76</f>
        <v>1024</v>
      </c>
      <c r="AG31" s="572">
        <f>'[10]Table A4'!$F$77</f>
        <v>1027</v>
      </c>
      <c r="AH31" s="572">
        <f>'[10]Table A4'!$F$78</f>
        <v>1032</v>
      </c>
      <c r="AI31" s="572">
        <f>'[10]Table A4'!$F$79</f>
        <v>1037</v>
      </c>
      <c r="AJ31" s="572">
        <f>'[10]Table A4'!$F$80</f>
        <v>1037</v>
      </c>
      <c r="AK31" s="572">
        <f>'[10]Table A4'!$F$81</f>
        <v>1036</v>
      </c>
      <c r="AL31" s="572">
        <f>'[10]Table A4'!$F$82</f>
        <v>1036</v>
      </c>
      <c r="AM31" s="572">
        <f>'[10]Table A4'!$F$83</f>
        <v>1038</v>
      </c>
      <c r="AN31" s="572">
        <f>'[10]Table A4'!$F$84</f>
        <v>1037</v>
      </c>
      <c r="AO31" s="572">
        <f>'[10]Table A4'!$F$85</f>
        <v>1037</v>
      </c>
      <c r="AP31" s="572">
        <f>'[10]Table A4'!$F$86</f>
        <v>1036</v>
      </c>
      <c r="AQ31" s="75"/>
      <c r="AR31" s="75"/>
      <c r="AS31" s="75"/>
      <c r="AT31" s="75"/>
      <c r="AU31" s="75"/>
      <c r="AV31" s="75"/>
    </row>
    <row r="32" spans="2:50">
      <c r="B32" s="6" t="s">
        <v>1832</v>
      </c>
      <c r="C32" s="573" t="s">
        <v>1815</v>
      </c>
      <c r="D32" s="47" t="s">
        <v>1815</v>
      </c>
      <c r="E32" s="47"/>
      <c r="F32" s="47" t="s">
        <v>1815</v>
      </c>
      <c r="I32" s="1" t="s">
        <v>1833</v>
      </c>
      <c r="J32" s="1008">
        <f>'[10]Table A3'!$J$54</f>
        <v>5.2530000000000001</v>
      </c>
      <c r="K32" s="1008">
        <f>'[10]Table A3'!$J$55</f>
        <v>5.2530000000000001</v>
      </c>
      <c r="L32" s="1008">
        <f>'[10]Table A3'!$J$56</f>
        <v>5.2530000000000001</v>
      </c>
      <c r="M32" s="1008">
        <f>'[10]Table A3'!$J$57</f>
        <v>5.2169999999999996</v>
      </c>
      <c r="N32" s="1008">
        <f>'[10]Table A3'!$J$58</f>
        <v>5.2140000000000004</v>
      </c>
      <c r="O32" s="1008">
        <f>'[10]Table A3'!$J$59</f>
        <v>5.2039999999999997</v>
      </c>
      <c r="P32" s="1008">
        <f>'[10]Table A3'!$J$60</f>
        <v>5.2110000000000003</v>
      </c>
      <c r="Q32" s="1008">
        <f>'[10]Table A3'!$J$61</f>
        <v>5.2050000000000001</v>
      </c>
      <c r="R32" s="1008">
        <f>'[10]Table A3'!$J$62</f>
        <v>5.2030000000000003</v>
      </c>
      <c r="S32" s="1008">
        <f>'[10]Table A3'!$J$63</f>
        <v>5.202</v>
      </c>
      <c r="T32" s="1008">
        <f>'[10]Table A3'!$J$64</f>
        <v>5.2009999999999996</v>
      </c>
      <c r="U32" s="1008">
        <f>'[10]Table A3'!$J$65</f>
        <v>5.2009999999999996</v>
      </c>
      <c r="V32" s="1008">
        <f>'[10]Table A3'!$J$66</f>
        <v>5.1989999999999998</v>
      </c>
      <c r="W32" s="1008">
        <f>'[10]Table A3'!$J$67</f>
        <v>5.1970000000000001</v>
      </c>
      <c r="X32" s="1008">
        <f>'[10]Table A3'!$J$68</f>
        <v>5.1959999999999997</v>
      </c>
      <c r="Y32" s="1008">
        <f>'[10]Table A3'!$J$69</f>
        <v>5.1920000000000002</v>
      </c>
      <c r="Z32" s="1008">
        <f>'[10]Table A3'!$J$70</f>
        <v>5.1849999999999996</v>
      </c>
      <c r="AA32" s="1008">
        <f>'[10]Table A3'!$J$71</f>
        <v>5.1420000000000003</v>
      </c>
      <c r="AB32" s="1008">
        <f>'[10]Table A3'!$J$72</f>
        <v>5.1059999999999999</v>
      </c>
      <c r="AC32" s="1008">
        <f>'[10]Table A3'!$J$73</f>
        <v>5.09</v>
      </c>
      <c r="AD32" s="1008">
        <f>'[10]Table A3'!$J$74</f>
        <v>5.0670000000000002</v>
      </c>
      <c r="AE32" s="1008">
        <f>'[10]Table A3'!$J$75</f>
        <v>5.0629999999999997</v>
      </c>
      <c r="AF32" s="1008">
        <f>'[10]Table A3'!$J$76</f>
        <v>5.0620000000000003</v>
      </c>
      <c r="AG32" s="1008">
        <f>'[10]Table A3'!$J$77</f>
        <v>5.0599999999999996</v>
      </c>
      <c r="AH32" s="1008">
        <f>'[10]Table A3'!$J$78</f>
        <v>5.0590000000000002</v>
      </c>
      <c r="AI32" s="1008">
        <f>'[10]Table A3'!$J$79</f>
        <v>5.0570000000000004</v>
      </c>
      <c r="AJ32" s="1008">
        <f>'[10]Table A3'!$J$80</f>
        <v>5.0549999999999997</v>
      </c>
      <c r="AK32" s="1008">
        <f>'[10]Table A3'!$J$81</f>
        <v>5.0529999999999999</v>
      </c>
      <c r="AL32" s="1008">
        <f>'[10]Table A3'!$J$82</f>
        <v>5.0540000000000003</v>
      </c>
      <c r="AM32" s="1008">
        <f>'[10]Table A3'!$J$83</f>
        <v>5.0519999999999996</v>
      </c>
      <c r="AN32" s="1008">
        <f>'[10]Table A3'!$J$84</f>
        <v>5.0519999999999996</v>
      </c>
      <c r="AO32" s="1008">
        <f>'[10]Table A3'!$J$85</f>
        <v>5.05</v>
      </c>
      <c r="AP32" s="1008">
        <f>'[10]Table A3'!$J$86</f>
        <v>5.0490000000000004</v>
      </c>
      <c r="AQ32" s="75"/>
      <c r="AR32" s="75"/>
      <c r="AS32" s="75"/>
      <c r="AT32" s="75"/>
      <c r="AU32" s="75"/>
      <c r="AV32" s="75"/>
    </row>
    <row r="33" spans="2:48">
      <c r="B33" s="6" t="s">
        <v>1610</v>
      </c>
      <c r="C33" s="571">
        <v>6.0650000000000004</v>
      </c>
      <c r="D33" s="562">
        <v>20.199355467286214</v>
      </c>
      <c r="E33" s="562">
        <v>1</v>
      </c>
      <c r="F33" s="589">
        <f>'[21]Lubricant Summary'!$I$23</f>
        <v>9.1799999999999993E-2</v>
      </c>
      <c r="I33" s="98" t="s">
        <v>1834</v>
      </c>
      <c r="J33" s="1011">
        <v>5.8250000000000002</v>
      </c>
      <c r="K33" s="1011">
        <v>5.8250000000000002</v>
      </c>
      <c r="L33" s="1011">
        <v>5.8250000000000002</v>
      </c>
      <c r="M33" s="1011">
        <v>5.8250000000000002</v>
      </c>
      <c r="N33" s="1011">
        <v>5.8250000000000002</v>
      </c>
      <c r="O33" s="1011">
        <v>5.8250000000000002</v>
      </c>
      <c r="P33" s="1011">
        <v>5.8250000000000002</v>
      </c>
      <c r="Q33" s="1011">
        <v>5.8250000000000002</v>
      </c>
      <c r="R33" s="1011">
        <v>5.8250000000000002</v>
      </c>
      <c r="S33" s="1011">
        <v>5.8250000000000002</v>
      </c>
      <c r="T33" s="1010">
        <v>5.8250000000000002</v>
      </c>
      <c r="U33" s="1010">
        <v>5.8250000000000002</v>
      </c>
      <c r="V33" s="1010">
        <v>5.8250000000000002</v>
      </c>
      <c r="W33" s="1010">
        <v>5.8250000000000002</v>
      </c>
      <c r="X33" s="1010">
        <v>5.8250000000000002</v>
      </c>
      <c r="Y33" s="1010">
        <v>5.8250000000000002</v>
      </c>
      <c r="Z33" s="1010">
        <v>5.8250000000000002</v>
      </c>
      <c r="AA33" s="1010">
        <v>5.8250000000000002</v>
      </c>
      <c r="AB33" s="1010">
        <v>5.8250000000000002</v>
      </c>
      <c r="AC33" s="1010">
        <v>5.8250000000000002</v>
      </c>
      <c r="AD33" s="1010">
        <v>5.8250000000000002</v>
      </c>
      <c r="AE33" s="1010">
        <v>5.8250000000000002</v>
      </c>
      <c r="AF33" s="1010">
        <v>5.8250000000000002</v>
      </c>
      <c r="AG33" s="1010">
        <v>5.8250000000000002</v>
      </c>
      <c r="AH33" s="1010">
        <v>5.8250000000000002</v>
      </c>
      <c r="AI33" s="1010">
        <v>5.8250000000000002</v>
      </c>
      <c r="AJ33" s="1010">
        <v>5.8250000000000002</v>
      </c>
      <c r="AK33" s="1010">
        <v>5.8250000000000002</v>
      </c>
      <c r="AL33" s="1010">
        <v>5.8250000000000002</v>
      </c>
      <c r="AM33" s="1010">
        <v>5.8250000000000002</v>
      </c>
      <c r="AN33" s="1010">
        <v>5.8250000000000002</v>
      </c>
      <c r="AO33" s="1010">
        <v>5.8250000000000002</v>
      </c>
      <c r="AP33" s="1010">
        <v>5.8250000000000002</v>
      </c>
      <c r="AQ33" s="75"/>
      <c r="AR33" s="75"/>
      <c r="AS33" s="75"/>
      <c r="AT33" s="75"/>
      <c r="AU33" s="75"/>
      <c r="AV33" s="75"/>
    </row>
    <row r="34" spans="2:48">
      <c r="B34" s="6" t="s">
        <v>1601</v>
      </c>
      <c r="C34" s="573" t="s">
        <v>1815</v>
      </c>
      <c r="D34" s="47" t="s">
        <v>1815</v>
      </c>
      <c r="E34" s="562">
        <v>1</v>
      </c>
      <c r="F34" s="47"/>
      <c r="I34" s="1" t="s">
        <v>1835</v>
      </c>
      <c r="J34" s="21"/>
      <c r="K34" s="21"/>
      <c r="L34" s="21"/>
      <c r="M34" s="21"/>
      <c r="N34" s="21"/>
      <c r="O34" s="21"/>
      <c r="P34" s="21"/>
      <c r="Q34" s="21"/>
      <c r="R34" s="21"/>
      <c r="S34" s="21"/>
      <c r="T34" s="21"/>
      <c r="U34" s="21"/>
      <c r="V34" s="21"/>
      <c r="W34" s="21"/>
      <c r="X34" s="21"/>
      <c r="Y34" s="21"/>
      <c r="AB34" s="21"/>
      <c r="AC34" s="21"/>
      <c r="AD34" s="21"/>
      <c r="AE34" s="21"/>
      <c r="AF34" s="75"/>
      <c r="AG34" s="75"/>
      <c r="AH34" s="75"/>
      <c r="AI34" s="75"/>
      <c r="AJ34" s="75"/>
      <c r="AP34" s="1036"/>
      <c r="AQ34" s="75"/>
      <c r="AR34" s="75"/>
      <c r="AS34" s="75"/>
      <c r="AT34" s="75"/>
      <c r="AU34" s="75"/>
      <c r="AV34" s="75"/>
    </row>
    <row r="35" spans="2:48">
      <c r="B35" s="6" t="s">
        <v>1836</v>
      </c>
      <c r="C35" s="47" t="s">
        <v>1815</v>
      </c>
      <c r="D35" s="562">
        <v>19.22</v>
      </c>
      <c r="E35" s="562">
        <v>1</v>
      </c>
      <c r="F35" s="47"/>
      <c r="I35" s="1" t="s">
        <v>1837</v>
      </c>
      <c r="J35" s="494"/>
      <c r="K35" s="494"/>
      <c r="L35" s="494"/>
      <c r="M35" s="494"/>
      <c r="N35" s="494"/>
      <c r="O35" s="398"/>
      <c r="P35" s="398"/>
      <c r="Q35" s="398"/>
      <c r="R35" s="398"/>
      <c r="S35" s="398"/>
      <c r="T35" s="398"/>
      <c r="U35" s="398"/>
      <c r="V35" s="398"/>
      <c r="W35" s="398"/>
      <c r="AB35" s="398"/>
      <c r="AC35" s="398"/>
      <c r="AF35" s="75"/>
      <c r="AG35" s="75"/>
      <c r="AH35" s="75"/>
      <c r="AI35" s="75"/>
      <c r="AJ35" s="75"/>
      <c r="AP35" s="1036"/>
      <c r="AQ35" s="75"/>
      <c r="AR35" s="75"/>
      <c r="AS35" s="75"/>
      <c r="AT35" s="75"/>
      <c r="AU35" s="75"/>
      <c r="AV35" s="75"/>
    </row>
    <row r="36" spans="2:48">
      <c r="B36" s="6" t="s">
        <v>1602</v>
      </c>
      <c r="C36" s="571">
        <v>6.2869999999999999</v>
      </c>
      <c r="D36" s="562">
        <v>20.48</v>
      </c>
      <c r="E36" s="562">
        <v>1</v>
      </c>
      <c r="F36" s="562">
        <v>0.5</v>
      </c>
      <c r="I36" s="227"/>
      <c r="J36" s="574"/>
      <c r="K36" s="574"/>
      <c r="L36" s="574"/>
      <c r="M36" s="574"/>
      <c r="N36" s="574"/>
      <c r="O36" s="574"/>
      <c r="P36" s="574"/>
      <c r="Q36" s="574"/>
      <c r="R36" s="574"/>
      <c r="S36" s="574"/>
      <c r="T36" s="574"/>
      <c r="U36" s="574"/>
      <c r="V36" s="574"/>
      <c r="W36" s="574"/>
      <c r="X36" s="574"/>
      <c r="Y36" s="574"/>
      <c r="Z36" s="574"/>
      <c r="AA36" s="574"/>
      <c r="AB36" s="574"/>
      <c r="AC36" s="574"/>
      <c r="AD36" s="574"/>
      <c r="AE36" s="574"/>
      <c r="AF36" s="574"/>
      <c r="AG36" s="574"/>
      <c r="AH36" s="574"/>
      <c r="AI36" s="574"/>
      <c r="AJ36" s="574"/>
      <c r="AK36" s="574"/>
      <c r="AL36" s="574"/>
      <c r="AM36" s="574"/>
      <c r="AN36" s="574"/>
      <c r="AO36" s="574"/>
      <c r="AP36" s="1059"/>
      <c r="AQ36" s="75"/>
      <c r="AR36" s="75"/>
      <c r="AS36" s="75"/>
      <c r="AT36" s="75"/>
      <c r="AU36" s="75"/>
      <c r="AV36" s="75"/>
    </row>
    <row r="37" spans="2:48">
      <c r="B37" s="6" t="s">
        <v>1619</v>
      </c>
      <c r="C37" s="571">
        <v>5.2480000000000002</v>
      </c>
      <c r="D37" s="562">
        <v>19.737389135254986</v>
      </c>
      <c r="E37" s="562">
        <v>1</v>
      </c>
      <c r="F37" s="47" t="s">
        <v>1815</v>
      </c>
      <c r="I37" s="5" t="s">
        <v>1838</v>
      </c>
      <c r="J37" s="574"/>
      <c r="K37" s="574"/>
      <c r="L37" s="574"/>
      <c r="M37" s="574"/>
      <c r="N37" s="574"/>
      <c r="O37" s="574"/>
      <c r="P37" s="574"/>
      <c r="Q37" s="574"/>
      <c r="R37" s="574"/>
      <c r="S37" s="574"/>
      <c r="T37" s="574"/>
      <c r="U37" s="574"/>
      <c r="V37" s="574"/>
      <c r="W37" s="574"/>
      <c r="X37" s="574"/>
      <c r="Y37" s="574"/>
      <c r="Z37" s="574"/>
      <c r="AA37" s="574"/>
      <c r="AB37" s="574"/>
      <c r="AC37" s="574"/>
      <c r="AD37" s="574"/>
      <c r="AE37" s="574"/>
      <c r="AF37" s="574"/>
      <c r="AG37" s="574"/>
      <c r="AH37" s="574"/>
      <c r="AI37" s="574"/>
      <c r="AJ37" s="574"/>
      <c r="AK37" s="574"/>
      <c r="AL37" s="574"/>
      <c r="AM37" s="574"/>
      <c r="AN37" s="574"/>
      <c r="AO37" s="574"/>
      <c r="AP37" s="1059"/>
      <c r="AQ37" s="75"/>
      <c r="AR37" s="75"/>
      <c r="AS37" s="75"/>
      <c r="AT37" s="75"/>
      <c r="AU37" s="75"/>
      <c r="AV37" s="75"/>
    </row>
    <row r="38" spans="2:48">
      <c r="B38" s="6" t="s">
        <v>1603</v>
      </c>
      <c r="I38" s="4" t="s">
        <v>1583</v>
      </c>
      <c r="J38" s="391">
        <v>1990</v>
      </c>
      <c r="K38" s="391">
        <v>1991</v>
      </c>
      <c r="L38" s="391">
        <v>1992</v>
      </c>
      <c r="M38" s="391">
        <v>1993</v>
      </c>
      <c r="N38" s="391">
        <v>1994</v>
      </c>
      <c r="O38" s="391">
        <v>1995</v>
      </c>
      <c r="P38" s="391">
        <v>1996</v>
      </c>
      <c r="Q38" s="391">
        <v>1997</v>
      </c>
      <c r="R38" s="391">
        <v>1998</v>
      </c>
      <c r="S38" s="391">
        <v>1999</v>
      </c>
      <c r="T38" s="391">
        <v>2000</v>
      </c>
      <c r="U38" s="391">
        <v>2001</v>
      </c>
      <c r="V38" s="391">
        <v>2002</v>
      </c>
      <c r="W38" s="391">
        <v>2003</v>
      </c>
      <c r="X38" s="391">
        <v>2004</v>
      </c>
      <c r="Y38" s="391">
        <v>2005</v>
      </c>
      <c r="Z38" s="391">
        <v>2006</v>
      </c>
      <c r="AA38" s="391">
        <v>2007</v>
      </c>
      <c r="AB38" s="391">
        <v>2008</v>
      </c>
      <c r="AC38" s="391">
        <v>2009</v>
      </c>
      <c r="AD38" s="391">
        <v>2010</v>
      </c>
      <c r="AE38" s="391">
        <v>2011</v>
      </c>
      <c r="AF38" s="391">
        <v>2012</v>
      </c>
      <c r="AG38" s="391">
        <v>2013</v>
      </c>
      <c r="AH38" s="391">
        <v>2014</v>
      </c>
      <c r="AI38" s="391">
        <v>2015</v>
      </c>
      <c r="AJ38" s="391">
        <v>2016</v>
      </c>
      <c r="AK38" s="391">
        <v>2017</v>
      </c>
      <c r="AL38" s="391">
        <v>2018</v>
      </c>
      <c r="AM38" s="391">
        <v>2019</v>
      </c>
      <c r="AN38" s="391">
        <v>2020</v>
      </c>
      <c r="AO38" s="391">
        <v>2021</v>
      </c>
      <c r="AP38" s="391">
        <v>2022</v>
      </c>
      <c r="AQ38" s="75"/>
      <c r="AR38" s="75"/>
      <c r="AS38" s="75"/>
      <c r="AT38" s="75"/>
      <c r="AU38" s="75"/>
      <c r="AV38" s="75"/>
    </row>
    <row r="39" spans="2:48">
      <c r="B39" s="463" t="s">
        <v>1611</v>
      </c>
      <c r="C39" s="47"/>
      <c r="D39" s="562">
        <v>18.87</v>
      </c>
      <c r="E39" s="562">
        <v>1</v>
      </c>
      <c r="F39" s="47"/>
      <c r="I39" s="62" t="s">
        <v>1839</v>
      </c>
      <c r="J39" s="1044">
        <f>'[21]Petrochem FdStck StorageFactors'!B7</f>
        <v>0.58178727746671044</v>
      </c>
      <c r="K39" s="1044">
        <f>'[21]Petrochem FdStck StorageFactors'!C7</f>
        <v>0.56567609104243644</v>
      </c>
      <c r="L39" s="1044">
        <f>'[21]Petrochem FdStck StorageFactors'!D7</f>
        <v>0.57111837780128927</v>
      </c>
      <c r="M39" s="1044">
        <f>'[21]Petrochem FdStck StorageFactors'!E7</f>
        <v>0.60374587970370186</v>
      </c>
      <c r="N39" s="1044">
        <f>'[21]Petrochem FdStck StorageFactors'!F7</f>
        <v>0.59572902993663335</v>
      </c>
      <c r="O39" s="1044">
        <f>'[21]Petrochem FdStck StorageFactors'!G7</f>
        <v>0.61501180649345966</v>
      </c>
      <c r="P39" s="1044">
        <f>'[21]Petrochem FdStck StorageFactors'!H7</f>
        <v>0.63836533410972207</v>
      </c>
      <c r="Q39" s="1044">
        <f>'[21]Petrochem FdStck StorageFactors'!I7</f>
        <v>0.59880431574943138</v>
      </c>
      <c r="R39" s="1044">
        <f>'[21]Petrochem FdStck StorageFactors'!J7</f>
        <v>0.60328039453582427</v>
      </c>
      <c r="S39" s="1044">
        <f>'[21]Petrochem FdStck StorageFactors'!K7</f>
        <v>0.59034736110666508</v>
      </c>
      <c r="T39" s="1044">
        <f>'[21]Petrochem FdStck StorageFactors'!L7</f>
        <v>0.61867824523732684</v>
      </c>
      <c r="U39" s="1044">
        <f>'[21]Petrochem FdStck StorageFactors'!M7</f>
        <v>0.60833527974272095</v>
      </c>
      <c r="V39" s="1044">
        <f>'[21]Petrochem FdStck StorageFactors'!N7</f>
        <v>0.6182376996058202</v>
      </c>
      <c r="W39" s="1044">
        <f>'[21]Petrochem FdStck StorageFactors'!O7</f>
        <v>0.61391823078380892</v>
      </c>
      <c r="X39" s="1044">
        <f>'[21]Petrochem FdStck StorageFactors'!P7</f>
        <v>0.62368105906242866</v>
      </c>
      <c r="Y39" s="1044">
        <f>'[21]Petrochem FdStck StorageFactors'!Q7</f>
        <v>0.60838029733168519</v>
      </c>
      <c r="Z39" s="1044">
        <f>'[21]Petrochem FdStck StorageFactors'!R7</f>
        <v>0.61896767720015911</v>
      </c>
      <c r="AA39" s="1044">
        <f>'[21]Petrochem FdStck StorageFactors'!S7</f>
        <v>0.64700499580579218</v>
      </c>
      <c r="AB39" s="1044">
        <f>'[21]Petrochem FdStck StorageFactors'!T7</f>
        <v>0.64099826390404724</v>
      </c>
      <c r="AC39" s="1044">
        <f>'[21]Petrochem FdStck StorageFactors'!U7</f>
        <v>0.67184397312987598</v>
      </c>
      <c r="AD39" s="1044">
        <f>'[21]Petrochem FdStck StorageFactors'!V7</f>
        <v>0.68984355980832801</v>
      </c>
      <c r="AE39" s="1044">
        <f>'[21]Petrochem FdStck StorageFactors'!W7</f>
        <v>0.6893814119284023</v>
      </c>
      <c r="AF39" s="1044">
        <f>'[21]Petrochem FdStck StorageFactors'!X7</f>
        <v>0.69629100906407437</v>
      </c>
      <c r="AG39" s="1044">
        <f>'[21]Petrochem FdStck StorageFactors'!Y7</f>
        <v>0.67523318805581278</v>
      </c>
      <c r="AH39" s="1044">
        <f>'[21]Petrochem FdStck StorageFactors'!Z7</f>
        <v>0.67215151467701395</v>
      </c>
      <c r="AI39" s="1044">
        <f>'[21]Petrochem FdStck StorageFactors'!AA7</f>
        <v>0.67703002807245971</v>
      </c>
      <c r="AJ39" s="1044">
        <f>'[21]Petrochem FdStck StorageFactors'!AB7</f>
        <v>0.6902600217662137</v>
      </c>
      <c r="AK39" s="1044">
        <f>'[21]Petrochem FdStck StorageFactors'!AC7</f>
        <v>0.66008522704042638</v>
      </c>
      <c r="AL39" s="1044">
        <f>'[21]Petrochem FdStck StorageFactors'!AD7</f>
        <v>0.63320541134502684</v>
      </c>
      <c r="AM39" s="1044">
        <f>'[21]Petrochem FdStck StorageFactors'!AE7</f>
        <v>0.64570139333107024</v>
      </c>
      <c r="AN39" s="1044">
        <f>'[21]Petrochem FdStck StorageFactors'!AF7</f>
        <v>0.66041672998585665</v>
      </c>
      <c r="AO39" s="1044">
        <f>'[21]Petrochem FdStck StorageFactors'!AG7</f>
        <v>0.62526003009322539</v>
      </c>
      <c r="AP39" s="1044">
        <f>'[21]Petrochem FdStck StorageFactors'!AH7</f>
        <v>0.63280546811931848</v>
      </c>
      <c r="AQ39" s="75"/>
      <c r="AR39" s="75"/>
      <c r="AS39" s="75"/>
      <c r="AT39" s="75"/>
      <c r="AU39" s="75"/>
      <c r="AV39" s="75"/>
    </row>
    <row r="40" spans="2:48">
      <c r="B40" s="463" t="s">
        <v>1612</v>
      </c>
      <c r="C40" s="571">
        <v>5.8</v>
      </c>
      <c r="D40" s="575" t="s">
        <v>1815</v>
      </c>
      <c r="E40" s="562">
        <v>1</v>
      </c>
      <c r="F40" s="47"/>
      <c r="I40" s="1" t="s">
        <v>1840</v>
      </c>
      <c r="AB40" s="456"/>
      <c r="AC40" s="45"/>
      <c r="AD40" s="75"/>
      <c r="AE40" s="75"/>
      <c r="AF40" s="75"/>
      <c r="AG40" s="75"/>
      <c r="AH40" s="75"/>
      <c r="AI40" s="75"/>
      <c r="AJ40" s="75"/>
      <c r="AL40" s="75"/>
      <c r="AM40" s="75"/>
      <c r="AN40" s="75"/>
      <c r="AO40" s="75"/>
      <c r="AP40" s="75"/>
      <c r="AQ40" s="75"/>
      <c r="AR40" s="75"/>
      <c r="AS40" s="75"/>
      <c r="AT40" s="75"/>
      <c r="AU40" s="75"/>
      <c r="AV40" s="75"/>
    </row>
    <row r="41" spans="2:48">
      <c r="B41" s="463" t="s">
        <v>1613</v>
      </c>
      <c r="C41" s="573"/>
      <c r="D41" s="575" t="s">
        <v>1815</v>
      </c>
      <c r="E41" s="562">
        <v>1</v>
      </c>
      <c r="F41" s="47"/>
      <c r="I41" s="85" t="s">
        <v>1841</v>
      </c>
      <c r="AB41" s="456"/>
      <c r="AC41" s="45"/>
      <c r="AD41" s="75"/>
      <c r="AE41" s="75"/>
      <c r="AF41" s="75"/>
      <c r="AG41" s="75"/>
      <c r="AH41" s="75"/>
      <c r="AI41" s="75"/>
      <c r="AJ41" s="75"/>
      <c r="AK41" s="75"/>
      <c r="AL41" s="75"/>
      <c r="AM41" s="75"/>
      <c r="AN41" s="75"/>
      <c r="AO41" s="75"/>
      <c r="AP41" s="75"/>
      <c r="AQ41" s="75"/>
      <c r="AR41" s="75"/>
      <c r="AS41" s="75"/>
      <c r="AT41" s="75"/>
      <c r="AU41" s="75"/>
      <c r="AV41" s="75"/>
    </row>
    <row r="42" spans="2:48">
      <c r="B42" s="463" t="s">
        <v>1739</v>
      </c>
      <c r="C42" s="571">
        <f>5.796</f>
        <v>5.7960000000000003</v>
      </c>
      <c r="D42" s="575" t="s">
        <v>1815</v>
      </c>
      <c r="E42" s="562">
        <v>1</v>
      </c>
      <c r="F42" s="562">
        <v>0</v>
      </c>
      <c r="I42" s="1" t="s">
        <v>1842</v>
      </c>
      <c r="AB42" s="456"/>
      <c r="AD42" s="75"/>
      <c r="AE42" s="75"/>
      <c r="AF42" s="75"/>
      <c r="AG42" s="75"/>
      <c r="AH42" s="75"/>
      <c r="AI42" s="75"/>
      <c r="AJ42" s="75"/>
      <c r="AK42" s="75"/>
      <c r="AL42" s="75"/>
      <c r="AM42" s="75"/>
      <c r="AN42" s="75"/>
      <c r="AO42" s="75"/>
      <c r="AP42" s="75"/>
      <c r="AQ42" s="75"/>
      <c r="AR42" s="75"/>
      <c r="AS42" s="75"/>
      <c r="AT42" s="75"/>
      <c r="AU42" s="75"/>
      <c r="AV42" s="75"/>
    </row>
    <row r="43" spans="2:48">
      <c r="B43" s="463" t="s">
        <v>1843</v>
      </c>
      <c r="C43" s="571">
        <v>5.8</v>
      </c>
      <c r="D43" s="562">
        <v>20</v>
      </c>
      <c r="E43" s="562">
        <v>1</v>
      </c>
      <c r="F43" s="562">
        <v>0.1</v>
      </c>
      <c r="J43" s="398"/>
      <c r="K43" s="398"/>
      <c r="L43" s="398"/>
      <c r="M43" s="398"/>
      <c r="N43" s="398"/>
      <c r="O43" s="398"/>
      <c r="P43" s="398"/>
      <c r="Q43" s="398"/>
      <c r="R43" s="398"/>
      <c r="S43" s="398"/>
      <c r="T43" s="398"/>
      <c r="U43" s="398"/>
      <c r="V43" s="398"/>
      <c r="W43" s="398"/>
      <c r="X43" s="398"/>
      <c r="Y43" s="398"/>
      <c r="Z43" s="398"/>
      <c r="AA43" s="398"/>
      <c r="AB43" s="398"/>
      <c r="AC43" s="398"/>
      <c r="AD43" s="398"/>
      <c r="AE43" s="75"/>
      <c r="AF43" s="75"/>
      <c r="AG43" s="75"/>
      <c r="AH43" s="75"/>
      <c r="AI43" s="75"/>
      <c r="AJ43" s="75"/>
      <c r="AK43" s="75"/>
      <c r="AL43" s="75"/>
      <c r="AM43" s="75"/>
      <c r="AN43" s="75"/>
      <c r="AO43" s="75"/>
      <c r="AP43" s="75"/>
      <c r="AQ43" s="75"/>
      <c r="AU43" s="75"/>
      <c r="AV43" s="75"/>
    </row>
    <row r="44" spans="2:48">
      <c r="B44" s="463" t="s">
        <v>1615</v>
      </c>
      <c r="C44" s="571">
        <v>5.2480000000000002</v>
      </c>
      <c r="D44" s="562">
        <v>18.550649350649344</v>
      </c>
      <c r="E44" s="562">
        <v>1</v>
      </c>
      <c r="F44" s="47" t="s">
        <v>1815</v>
      </c>
      <c r="I44" s="576" t="s">
        <v>1844</v>
      </c>
      <c r="J44" s="577">
        <f>44/12</f>
        <v>3.6666666666666665</v>
      </c>
      <c r="AU44" s="75"/>
      <c r="AV44" s="75"/>
    </row>
    <row r="45" spans="2:48">
      <c r="B45" s="463" t="s">
        <v>1616</v>
      </c>
      <c r="C45" s="571">
        <v>5.8250000000000002</v>
      </c>
      <c r="D45" s="562">
        <v>20.170000000000002</v>
      </c>
      <c r="E45" s="562">
        <v>1</v>
      </c>
      <c r="F45" s="47" t="s">
        <v>1815</v>
      </c>
      <c r="G45" s="215"/>
      <c r="I45" s="576" t="s">
        <v>1845</v>
      </c>
      <c r="J45" s="577">
        <f>12/44</f>
        <v>0.27272727272727271</v>
      </c>
    </row>
    <row r="46" spans="2:48" ht="15">
      <c r="B46" s="463" t="s">
        <v>1617</v>
      </c>
      <c r="C46" s="571">
        <v>4.6379999999999999</v>
      </c>
      <c r="D46" s="562">
        <v>18.239999999999998</v>
      </c>
      <c r="E46" s="562">
        <v>1</v>
      </c>
      <c r="F46" s="47" t="s">
        <v>1815</v>
      </c>
      <c r="I46" s="576" t="s">
        <v>1846</v>
      </c>
      <c r="J46" s="578">
        <v>28</v>
      </c>
    </row>
    <row r="47" spans="2:48">
      <c r="B47" s="463" t="s">
        <v>1847</v>
      </c>
      <c r="C47" s="571" t="s">
        <v>1848</v>
      </c>
      <c r="D47" s="589">
        <f>[22]Data_Param!$AR$21</f>
        <v>19.37</v>
      </c>
      <c r="E47" s="562">
        <v>1</v>
      </c>
      <c r="F47" s="47" t="s">
        <v>1815</v>
      </c>
      <c r="I47" s="576" t="s">
        <v>1849</v>
      </c>
      <c r="J47" s="579">
        <f>1/10^3</f>
        <v>1E-3</v>
      </c>
    </row>
    <row r="48" spans="2:48">
      <c r="B48" s="463" t="s">
        <v>1604</v>
      </c>
      <c r="C48" s="571">
        <v>6.024</v>
      </c>
      <c r="D48" s="562">
        <v>27.84770010865628</v>
      </c>
      <c r="E48" s="562">
        <v>1</v>
      </c>
      <c r="F48" s="562">
        <v>0.3</v>
      </c>
      <c r="I48" s="576" t="s">
        <v>1850</v>
      </c>
      <c r="J48" s="580">
        <f>1/10^6</f>
        <v>9.9999999999999995E-7</v>
      </c>
    </row>
    <row r="49" spans="2:11">
      <c r="B49" s="463" t="s">
        <v>1851</v>
      </c>
      <c r="C49" s="571">
        <v>4.62</v>
      </c>
      <c r="D49" s="589">
        <f>[22]Data_Param!$AR$35</f>
        <v>18.239999999999998</v>
      </c>
      <c r="E49" s="562">
        <v>1</v>
      </c>
      <c r="F49" s="47"/>
      <c r="I49" s="576" t="s">
        <v>1852</v>
      </c>
      <c r="J49" s="581">
        <f>10^9</f>
        <v>1000000000</v>
      </c>
    </row>
    <row r="50" spans="2:11" ht="15">
      <c r="B50" s="463" t="s">
        <v>1853</v>
      </c>
      <c r="C50" s="571">
        <v>5.4180000000000001</v>
      </c>
      <c r="D50" s="589">
        <f>[22]Data_Param!$AR$37</f>
        <v>19.41</v>
      </c>
      <c r="E50" s="562">
        <v>1</v>
      </c>
      <c r="F50" s="47"/>
      <c r="I50" s="576" t="s">
        <v>1854</v>
      </c>
      <c r="J50" s="578">
        <v>265</v>
      </c>
    </row>
    <row r="51" spans="2:11">
      <c r="B51" s="463" t="s">
        <v>1618</v>
      </c>
      <c r="C51" s="571">
        <v>6</v>
      </c>
      <c r="D51" s="562">
        <v>18.195454545454545</v>
      </c>
      <c r="E51" s="562">
        <v>1</v>
      </c>
      <c r="F51" s="47"/>
      <c r="I51" s="582" t="s">
        <v>1855</v>
      </c>
      <c r="J51" s="577">
        <v>365.25</v>
      </c>
    </row>
    <row r="52" spans="2:11">
      <c r="B52" s="463" t="s">
        <v>1856</v>
      </c>
      <c r="C52" s="571">
        <v>6</v>
      </c>
      <c r="D52" s="583">
        <v>17.510000000000002</v>
      </c>
      <c r="E52" s="562" t="s">
        <v>1731</v>
      </c>
      <c r="F52" s="47" t="s">
        <v>1815</v>
      </c>
      <c r="I52" s="582" t="s">
        <v>1857</v>
      </c>
      <c r="J52" s="765">
        <v>0.90717999999999999</v>
      </c>
    </row>
    <row r="53" spans="2:11">
      <c r="B53" s="463" t="s">
        <v>1620</v>
      </c>
      <c r="C53" s="571">
        <v>5.8250000000000002</v>
      </c>
      <c r="D53" s="575" t="s">
        <v>1815</v>
      </c>
      <c r="E53" s="562">
        <v>1</v>
      </c>
      <c r="F53" s="47"/>
      <c r="I53" s="582" t="s">
        <v>1858</v>
      </c>
      <c r="J53" s="581">
        <v>5.0000000000000001E-4</v>
      </c>
    </row>
    <row r="54" spans="2:11">
      <c r="B54" s="463" t="s">
        <v>1859</v>
      </c>
      <c r="C54" s="571">
        <v>5.4180000000000001</v>
      </c>
      <c r="D54" s="589">
        <f>[22]Data_Param!$AR$42</f>
        <v>19.41</v>
      </c>
      <c r="E54" s="562">
        <v>1</v>
      </c>
      <c r="F54" s="47"/>
      <c r="I54" s="582" t="s">
        <v>1860</v>
      </c>
      <c r="J54" s="581">
        <v>9.9999999999999995E-7</v>
      </c>
    </row>
    <row r="55" spans="2:11">
      <c r="B55" s="463" t="s">
        <v>1621</v>
      </c>
      <c r="C55" s="571">
        <v>5.5369999999999999</v>
      </c>
      <c r="D55" s="562">
        <v>19.795754182606267</v>
      </c>
      <c r="E55" s="562">
        <v>1</v>
      </c>
      <c r="F55" s="589">
        <f>'[21]Wax Summary'!$F$15</f>
        <v>0.57824999999999982</v>
      </c>
      <c r="I55" s="582" t="s">
        <v>1861</v>
      </c>
      <c r="J55" s="776">
        <v>3412</v>
      </c>
    </row>
    <row r="56" spans="2:11">
      <c r="B56" s="4" t="s">
        <v>82</v>
      </c>
      <c r="C56" s="584"/>
      <c r="D56" s="775">
        <f>$K$69</f>
        <v>2.6974658424810825</v>
      </c>
      <c r="E56" s="585">
        <v>1</v>
      </c>
      <c r="F56" s="584"/>
    </row>
    <row r="57" spans="2:11" ht="26.1">
      <c r="B57" s="256" t="s">
        <v>1862</v>
      </c>
      <c r="C57" s="586">
        <v>6.2869999999999999</v>
      </c>
      <c r="D57" s="590">
        <f>[22]Data_Param!$AP$44</f>
        <v>21.29</v>
      </c>
      <c r="E57" s="585">
        <v>1</v>
      </c>
      <c r="F57" s="585">
        <v>0.5</v>
      </c>
      <c r="I57" s="76" t="s">
        <v>1863</v>
      </c>
    </row>
    <row r="58" spans="2:11">
      <c r="B58" s="716" t="s">
        <v>1741</v>
      </c>
      <c r="C58" s="62"/>
      <c r="D58" s="62"/>
      <c r="E58" s="585">
        <v>1</v>
      </c>
      <c r="F58" s="62"/>
      <c r="I58" s="576" t="s">
        <v>1864</v>
      </c>
      <c r="J58" s="581">
        <f>1/10^6</f>
        <v>9.9999999999999995E-7</v>
      </c>
    </row>
    <row r="59" spans="2:11">
      <c r="B59" s="1" t="s">
        <v>1865</v>
      </c>
      <c r="I59" s="576" t="s">
        <v>1866</v>
      </c>
      <c r="J59" s="581">
        <f>1/10^9</f>
        <v>1.0000000000000001E-9</v>
      </c>
    </row>
    <row r="60" spans="2:11">
      <c r="B60" s="85" t="s">
        <v>1867</v>
      </c>
      <c r="I60" s="576" t="s">
        <v>1868</v>
      </c>
      <c r="J60" s="591">
        <f>'[10]Table A6'!$E$85</f>
        <v>8844</v>
      </c>
    </row>
    <row r="61" spans="2:11">
      <c r="I61" s="576" t="s">
        <v>1869</v>
      </c>
      <c r="J61" s="770">
        <f>1/10^3</f>
        <v>1E-3</v>
      </c>
    </row>
    <row r="62" spans="2:11">
      <c r="I62" s="1" t="s">
        <v>1870</v>
      </c>
    </row>
    <row r="63" spans="2:11">
      <c r="I63" s="5" t="s">
        <v>1871</v>
      </c>
    </row>
    <row r="64" spans="2:11" ht="54">
      <c r="I64" s="766" t="s">
        <v>1872</v>
      </c>
      <c r="J64" s="769" t="s">
        <v>1873</v>
      </c>
      <c r="K64" s="769" t="s">
        <v>1874</v>
      </c>
    </row>
    <row r="65" spans="9:11">
      <c r="I65" s="767" t="s">
        <v>1875</v>
      </c>
      <c r="J65" s="771">
        <v>60</v>
      </c>
      <c r="K65" s="773">
        <f>((J65/J44)*$J$53*$J$52*$J$54*J47)/$J$55*10^15</f>
        <v>2.1753756794202279</v>
      </c>
    </row>
    <row r="66" spans="9:11">
      <c r="I66" s="767" t="s">
        <v>1876</v>
      </c>
      <c r="J66" s="771">
        <v>88.8</v>
      </c>
      <c r="K66" s="773">
        <f>((J66/J44)*$J$53*$J$52*$J$54*J47)/$J$55*10^15</f>
        <v>3.2195560055419374</v>
      </c>
    </row>
    <row r="67" spans="9:11">
      <c r="I67" s="767" t="s">
        <v>1877</v>
      </c>
      <c r="J67" s="771">
        <v>0</v>
      </c>
      <c r="K67" s="773">
        <f>((J67/J44)*$J$53*$J$52*$J$54*J47)/$J$55*10^15</f>
        <v>0</v>
      </c>
    </row>
    <row r="68" spans="9:11">
      <c r="I68" s="767" t="s">
        <v>1878</v>
      </c>
      <c r="J68" s="771">
        <v>0</v>
      </c>
      <c r="K68" s="773">
        <f>((J68/J44)*$J$53*$J$52*$J$54*J47)/$J$55*10^15</f>
        <v>0</v>
      </c>
    </row>
    <row r="69" spans="9:11">
      <c r="I69" s="774" t="s">
        <v>1879</v>
      </c>
      <c r="J69" s="766"/>
      <c r="K69" s="774">
        <f>AVERAGE(K65:K66)</f>
        <v>2.6974658424810825</v>
      </c>
    </row>
    <row r="70" spans="9:11">
      <c r="I70" s="768" t="s">
        <v>1880</v>
      </c>
    </row>
    <row r="72" spans="9:11">
      <c r="I72" s="5" t="s">
        <v>1881</v>
      </c>
    </row>
    <row r="73" spans="9:11">
      <c r="I73" s="773" t="s">
        <v>1882</v>
      </c>
      <c r="J73" s="773">
        <v>3.5341002349999999</v>
      </c>
    </row>
    <row r="74" spans="9:11">
      <c r="I74" s="773" t="s">
        <v>1883</v>
      </c>
      <c r="J74" s="773">
        <v>1.1020666E-2</v>
      </c>
    </row>
    <row r="75" spans="9:11">
      <c r="I75" s="1" t="s">
        <v>1884</v>
      </c>
    </row>
  </sheetData>
  <phoneticPr fontId="10" type="noConversion"/>
  <conditionalFormatting sqref="AE40:AP43">
    <cfRule type="cellIs" dxfId="43" priority="5" stopIfTrue="1" operator="greaterThan">
      <formula>0</formula>
    </cfRule>
  </conditionalFormatting>
  <conditionalFormatting sqref="AF34:AH37 AH40:AI40 AR30:AV42 AQ31:AQ43 AD40:AD42 AU43:AV44">
    <cfRule type="cellIs" dxfId="42" priority="43" stopIfTrue="1" operator="greaterThan">
      <formula>0</formula>
    </cfRule>
  </conditionalFormatting>
  <conditionalFormatting sqref="AH34:AI37">
    <cfRule type="cellIs" dxfId="41" priority="37" stopIfTrue="1" operator="greaterThan">
      <formula>0</formula>
    </cfRule>
    <cfRule type="cellIs" dxfId="40" priority="38" stopIfTrue="1" operator="lessThan">
      <formula>0</formula>
    </cfRule>
  </conditionalFormatting>
  <conditionalFormatting sqref="AI34:AJ37">
    <cfRule type="cellIs" dxfId="39" priority="33" stopIfTrue="1" operator="greaterThan">
      <formula>0</formula>
    </cfRule>
    <cfRule type="cellIs" dxfId="38" priority="34" stopIfTrue="1" operator="lessThan">
      <formula>0</formula>
    </cfRule>
  </conditionalFormatting>
  <conditionalFormatting sqref="AI40:AP43">
    <cfRule type="cellIs" dxfId="37" priority="6" stopIfTrue="1" operator="lessThan">
      <formula>0</formula>
    </cfRule>
  </conditionalFormatting>
  <conditionalFormatting sqref="AJ34:AL37">
    <cfRule type="cellIs" dxfId="36" priority="27" stopIfTrue="1" operator="greaterThan">
      <formula>0</formula>
    </cfRule>
    <cfRule type="cellIs" dxfId="35" priority="28" stopIfTrue="1" operator="lessThan">
      <formula>0</formula>
    </cfRule>
  </conditionalFormatting>
  <conditionalFormatting sqref="AK34:AM37">
    <cfRule type="cellIs" dxfId="34" priority="21" stopIfTrue="1" operator="greaterThan">
      <formula>0</formula>
    </cfRule>
    <cfRule type="cellIs" dxfId="33" priority="22" stopIfTrue="1" operator="lessThan">
      <formula>0</formula>
    </cfRule>
  </conditionalFormatting>
  <conditionalFormatting sqref="AM34:AP37">
    <cfRule type="cellIs" dxfId="32" priority="3" stopIfTrue="1" operator="greaterThan">
      <formula>0</formula>
    </cfRule>
    <cfRule type="cellIs" dxfId="31" priority="4" stopIfTrue="1" operator="lessThan">
      <formula>0</formula>
    </cfRule>
  </conditionalFormatting>
  <conditionalFormatting sqref="AN34:AP37">
    <cfRule type="cellIs" dxfId="30" priority="1" stopIfTrue="1" operator="greaterThan">
      <formula>0</formula>
    </cfRule>
    <cfRule type="cellIs" dxfId="29" priority="2" stopIfTrue="1" operator="lessThan">
      <formula>0</formula>
    </cfRule>
  </conditionalFormatting>
  <conditionalFormatting sqref="AR30:AV42 AQ31:AQ43 AF34:AH37 AH40:AI40 AD40:AD42 AE40:AH43 AU43:AV44">
    <cfRule type="cellIs" dxfId="28" priority="44" stopIfTrue="1" operator="lessThan">
      <formula>0</formula>
    </cfRule>
  </conditionalFormatting>
  <printOptions gridLines="1" gridLinesSet="0"/>
  <pageMargins left="0.5" right="0.5" top="0.5" bottom="0.75" header="0.27" footer="0.21"/>
  <pageSetup orientation="landscape" horizontalDpi="4294967292" r:id="rId1"/>
  <headerFooter alignWithMargins="0">
    <oddHeader>&amp;L&amp;12GREENHOUSE GAS INVENTORY:  ENERGY</oddHeader>
    <oddFooter>&amp;LPage &amp;P of &amp;N&amp;C&amp;F  &amp;A&amp;R&amp;D  &amp;T</oddFooter>
  </headerFooter>
  <colBreaks count="1" manualBreakCount="1">
    <brk id="7" max="1048575" man="1"/>
  </colBreaks>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18">
    <pageSetUpPr autoPageBreaks="0"/>
  </sheetPr>
  <dimension ref="A1:AT224"/>
  <sheetViews>
    <sheetView topLeftCell="Y80" workbookViewId="0">
      <selection activeCell="AT168" sqref="AT168"/>
    </sheetView>
  </sheetViews>
  <sheetFormatPr defaultColWidth="9" defaultRowHeight="12.95"/>
  <cols>
    <col min="1" max="1" width="3" style="1" customWidth="1"/>
    <col min="2" max="2" width="17" style="1" customWidth="1"/>
    <col min="3" max="3" width="5.6640625" style="1" customWidth="1"/>
    <col min="4" max="4" width="38.6640625" style="1" customWidth="1"/>
    <col min="5" max="14" width="8.6640625" style="1" bestFit="1" customWidth="1"/>
    <col min="15" max="15" width="8.6640625" style="47" bestFit="1" customWidth="1"/>
    <col min="16" max="21" width="8.6640625" style="1" bestFit="1" customWidth="1"/>
    <col min="22" max="23" width="8.6640625" style="502" bestFit="1" customWidth="1"/>
    <col min="24" max="24" width="9" style="502" customWidth="1"/>
    <col min="25" max="26" width="8.6640625" style="502" bestFit="1" customWidth="1"/>
    <col min="27" max="28" width="8.6640625" style="1" bestFit="1" customWidth="1"/>
    <col min="29" max="33" width="8" style="1" bestFit="1" customWidth="1"/>
    <col min="34" max="37" width="8.6640625" style="1" customWidth="1"/>
    <col min="38" max="41" width="9" style="1" customWidth="1"/>
    <col min="42" max="42" width="16" style="1" customWidth="1"/>
    <col min="43" max="43" width="20" style="1" customWidth="1"/>
    <col min="44" max="44" width="9" style="1"/>
    <col min="45" max="45" width="26.6640625" style="1" customWidth="1"/>
    <col min="46" max="46" width="25" style="1" customWidth="1"/>
    <col min="47" max="16384" width="9" style="1"/>
  </cols>
  <sheetData>
    <row r="1" spans="2:38" ht="17.45">
      <c r="B1" s="1121" t="s">
        <v>1885</v>
      </c>
      <c r="O1" s="1"/>
    </row>
    <row r="2" spans="2:38">
      <c r="B2" s="45" t="s">
        <v>1886</v>
      </c>
      <c r="O2" s="1"/>
    </row>
    <row r="3" spans="2:38">
      <c r="O3" s="1"/>
    </row>
    <row r="4" spans="2:38">
      <c r="D4" s="1" t="s">
        <v>1887</v>
      </c>
    </row>
    <row r="5" spans="2:38">
      <c r="C5" s="21">
        <v>1</v>
      </c>
      <c r="D5" s="4" t="s">
        <v>1503</v>
      </c>
      <c r="E5" s="460">
        <v>1990</v>
      </c>
      <c r="F5" s="460">
        <v>1991</v>
      </c>
      <c r="G5" s="460">
        <v>1992</v>
      </c>
      <c r="H5" s="460">
        <v>1993</v>
      </c>
      <c r="I5" s="460">
        <v>1994</v>
      </c>
      <c r="J5" s="460">
        <v>1995</v>
      </c>
      <c r="K5" s="460">
        <v>1996</v>
      </c>
      <c r="L5" s="460">
        <v>1997</v>
      </c>
      <c r="M5" s="460">
        <v>1998</v>
      </c>
      <c r="N5" s="460">
        <v>1999</v>
      </c>
      <c r="O5" s="460">
        <v>2000</v>
      </c>
      <c r="P5" s="460">
        <v>2001</v>
      </c>
      <c r="Q5" s="460">
        <v>2002</v>
      </c>
      <c r="R5" s="460">
        <v>2003</v>
      </c>
      <c r="S5" s="460">
        <v>2004</v>
      </c>
      <c r="T5" s="460">
        <v>2005</v>
      </c>
      <c r="U5" s="460">
        <v>2006</v>
      </c>
      <c r="V5" s="460">
        <v>2007</v>
      </c>
      <c r="W5" s="460">
        <v>2008</v>
      </c>
      <c r="X5" s="460">
        <v>2009</v>
      </c>
      <c r="Y5" s="460">
        <v>2010</v>
      </c>
      <c r="Z5" s="460">
        <v>2011</v>
      </c>
      <c r="AA5" s="460">
        <v>2012</v>
      </c>
      <c r="AB5" s="460">
        <v>2013</v>
      </c>
      <c r="AC5" s="460">
        <v>2014</v>
      </c>
      <c r="AD5" s="460">
        <v>2015</v>
      </c>
      <c r="AE5" s="460">
        <v>2016</v>
      </c>
      <c r="AF5" s="460">
        <v>2017</v>
      </c>
      <c r="AG5" s="460">
        <v>2018</v>
      </c>
      <c r="AH5" s="460">
        <v>2019</v>
      </c>
      <c r="AI5" s="460">
        <v>2020</v>
      </c>
      <c r="AJ5" s="460">
        <v>2021</v>
      </c>
      <c r="AK5" s="460">
        <v>2022</v>
      </c>
    </row>
    <row r="6" spans="2:38">
      <c r="C6" s="21">
        <v>2</v>
      </c>
      <c r="D6" s="5" t="s">
        <v>1888</v>
      </c>
      <c r="E6" s="73">
        <f>SUM(E7:E22)</f>
        <v>4519.0834927712312</v>
      </c>
      <c r="F6" s="73">
        <f t="shared" ref="F6:V6" si="0">SUM(F7:F22)</f>
        <v>4545.8516770805954</v>
      </c>
      <c r="G6" s="73">
        <f t="shared" si="0"/>
        <v>4765.5705465952133</v>
      </c>
      <c r="H6" s="73">
        <f t="shared" si="0"/>
        <v>4731.1786738186765</v>
      </c>
      <c r="I6" s="73">
        <f t="shared" si="0"/>
        <v>5046.8033770591774</v>
      </c>
      <c r="J6" s="73">
        <f t="shared" si="0"/>
        <v>4985.8873569408815</v>
      </c>
      <c r="K6" s="73">
        <f t="shared" si="0"/>
        <v>5067.8704675067993</v>
      </c>
      <c r="L6" s="73">
        <f t="shared" si="0"/>
        <v>5347.0336144083212</v>
      </c>
      <c r="M6" s="73">
        <f t="shared" si="0"/>
        <v>5457.9370807142568</v>
      </c>
      <c r="N6" s="73">
        <f t="shared" si="0"/>
        <v>5841.1631189587533</v>
      </c>
      <c r="O6" s="73">
        <f t="shared" si="0"/>
        <v>5404.300200435091</v>
      </c>
      <c r="P6" s="73">
        <f t="shared" si="0"/>
        <v>5131.390985134668</v>
      </c>
      <c r="Q6" s="73">
        <f t="shared" si="0"/>
        <v>5313.0082512394383</v>
      </c>
      <c r="R6" s="73">
        <f t="shared" si="0"/>
        <v>5233.1715815677799</v>
      </c>
      <c r="S6" s="73">
        <f t="shared" si="0"/>
        <v>5738.7305995583192</v>
      </c>
      <c r="T6" s="73">
        <f t="shared" si="0"/>
        <v>5388.7096127760151</v>
      </c>
      <c r="U6" s="73">
        <f t="shared" si="0"/>
        <v>5399.0676344923932</v>
      </c>
      <c r="V6" s="73">
        <f t="shared" si="0"/>
        <v>5150.8204907344116</v>
      </c>
      <c r="W6" s="73">
        <f t="shared" ref="W6:AB6" si="1">SUM(W7:W22)</f>
        <v>4725.6193963584592</v>
      </c>
      <c r="X6" s="73">
        <f t="shared" si="1"/>
        <v>4494.2722650933074</v>
      </c>
      <c r="Y6" s="73">
        <f t="shared" si="1"/>
        <v>4657.3184204485569</v>
      </c>
      <c r="Z6" s="73">
        <f t="shared" si="1"/>
        <v>4635.758778025719</v>
      </c>
      <c r="AA6" s="73">
        <f t="shared" si="1"/>
        <v>4556.9527932795008</v>
      </c>
      <c r="AB6" s="73">
        <f t="shared" si="1"/>
        <v>4782.0472804621686</v>
      </c>
      <c r="AC6" s="73">
        <f>SUM(AC7:AC22)</f>
        <v>4680.4434521790563</v>
      </c>
      <c r="AD6" s="73">
        <f>SUM(AD7:AD22)</f>
        <v>4942.3647892801037</v>
      </c>
      <c r="AE6" s="73">
        <f>SUM(AE7:AE22)</f>
        <v>5050.1822991541194</v>
      </c>
      <c r="AF6" s="73">
        <f>SUM(AF7:AF22)</f>
        <v>5292.5038326192935</v>
      </c>
      <c r="AG6" s="73">
        <f t="shared" ref="AG6:AH6" si="2">SUM(AG7:AG22)</f>
        <v>5677.2605915868207</v>
      </c>
      <c r="AH6" s="73">
        <f t="shared" si="2"/>
        <v>5713.4146319827723</v>
      </c>
      <c r="AI6" s="73">
        <f t="shared" ref="AI6:AJ6" si="3">SUM(AI7:AI22)</f>
        <v>5684.1763451949328</v>
      </c>
      <c r="AJ6" s="73">
        <f t="shared" si="3"/>
        <v>5916.5015466611248</v>
      </c>
      <c r="AK6" s="73">
        <f t="shared" ref="AK6" si="4">SUM(AK7:AK22)</f>
        <v>5945.1166566875836</v>
      </c>
      <c r="AL6" s="10"/>
    </row>
    <row r="7" spans="2:38">
      <c r="C7" s="21">
        <v>3</v>
      </c>
      <c r="D7" s="6" t="s">
        <v>1734</v>
      </c>
      <c r="E7" s="74">
        <f>'Consumption Input'!E23</f>
        <v>0</v>
      </c>
      <c r="F7" s="74">
        <f>'Consumption Input'!F23</f>
        <v>0</v>
      </c>
      <c r="G7" s="74">
        <f>'Consumption Input'!G23</f>
        <v>0</v>
      </c>
      <c r="H7" s="74">
        <f>'Consumption Input'!H23</f>
        <v>0.99005191520268454</v>
      </c>
      <c r="I7" s="74">
        <f>'Consumption Input'!I23</f>
        <v>8.9173041849727497</v>
      </c>
      <c r="J7" s="74">
        <f>'Consumption Input'!J23</f>
        <v>37.763361390527734</v>
      </c>
      <c r="K7" s="74">
        <f>'Consumption Input'!K23</f>
        <v>24.077376524524198</v>
      </c>
      <c r="L7" s="74">
        <f>'Consumption Input'!L23</f>
        <v>0</v>
      </c>
      <c r="M7" s="74">
        <f>'Consumption Input'!M23</f>
        <v>10.911311877562298</v>
      </c>
      <c r="N7" s="74">
        <f>'Consumption Input'!N23</f>
        <v>40.077270031991247</v>
      </c>
      <c r="O7" s="74">
        <f>'Consumption Input'!O23</f>
        <v>53.543709066435099</v>
      </c>
      <c r="P7" s="74">
        <f>'Consumption Input'!P23</f>
        <v>24.764394990510937</v>
      </c>
      <c r="Q7" s="74">
        <f>'Consumption Input'!Q23</f>
        <v>40.297952859316297</v>
      </c>
      <c r="R7" s="74">
        <f>'Consumption Input'!R23</f>
        <v>51.888657662241599</v>
      </c>
      <c r="S7" s="74">
        <f>'Consumption Input'!S23</f>
        <v>167.7675714419388</v>
      </c>
      <c r="T7" s="74">
        <f>'Consumption Input'!T23</f>
        <v>80.441129905107346</v>
      </c>
      <c r="U7" s="74">
        <f>'Consumption Input'!U23</f>
        <v>62.874654862045077</v>
      </c>
      <c r="V7" s="74">
        <f>'Consumption Input'!V23</f>
        <v>2.3203149182869538</v>
      </c>
      <c r="W7" s="74">
        <f>'Consumption Input'!W23</f>
        <v>29.160207416902495</v>
      </c>
      <c r="X7" s="74">
        <f>'Consumption Input'!X23</f>
        <v>6.3849143400174171</v>
      </c>
      <c r="Y7" s="74">
        <f>'Consumption Input'!Y23</f>
        <v>64.75700410595033</v>
      </c>
      <c r="Z7" s="74">
        <f>'Consumption Input'!Z23</f>
        <v>60.841185085936445</v>
      </c>
      <c r="AA7" s="74">
        <f>'Consumption Input'!AA23</f>
        <v>132.48279136693179</v>
      </c>
      <c r="AB7" s="74">
        <f>'Consumption Input'!AB23</f>
        <v>119.90639149360095</v>
      </c>
      <c r="AC7" s="74">
        <f>'Consumption Input'!AC23</f>
        <v>49.106364978524198</v>
      </c>
      <c r="AD7" s="74">
        <f>'Consumption Input'!AD23</f>
        <v>122.35139828043901</v>
      </c>
      <c r="AE7" s="74">
        <f>'Consumption Input'!AE23</f>
        <v>89.635253981130802</v>
      </c>
      <c r="AF7" s="74">
        <f>'Consumption Input'!AF23</f>
        <v>113.00308641767964</v>
      </c>
      <c r="AG7" s="74">
        <f>'Consumption Input'!AG23</f>
        <v>124.67753407088412</v>
      </c>
      <c r="AH7" s="74">
        <f>'Consumption Input'!AH23</f>
        <v>112.83747864130271</v>
      </c>
      <c r="AI7" s="74">
        <f>'Consumption Input'!AI23</f>
        <v>79.875589997130135</v>
      </c>
      <c r="AJ7" s="74">
        <f>'Consumption Input'!AJ23</f>
        <v>77.879517773454495</v>
      </c>
      <c r="AK7" s="74">
        <f>'Consumption Input'!AK23</f>
        <v>32.653210448454558</v>
      </c>
      <c r="AL7" s="10"/>
    </row>
    <row r="8" spans="2:38">
      <c r="C8" s="21">
        <v>4</v>
      </c>
      <c r="D8" s="6" t="s">
        <v>1701</v>
      </c>
      <c r="E8" s="74">
        <f>Corrections!C16</f>
        <v>7.610742236648556</v>
      </c>
      <c r="F8" s="74">
        <f>Corrections!D16</f>
        <v>7.8497011520169808</v>
      </c>
      <c r="G8" s="74">
        <f>Corrections!E16</f>
        <v>8.8232125744641685</v>
      </c>
      <c r="H8" s="74">
        <f>Corrections!F16</f>
        <v>9.2565522462834089</v>
      </c>
      <c r="I8" s="74">
        <f>Corrections!G16</f>
        <v>10.135953402448999</v>
      </c>
      <c r="J8" s="74">
        <f>Corrections!H16</f>
        <v>10.473082705547876</v>
      </c>
      <c r="K8" s="74">
        <f>Corrections!I16</f>
        <v>10.62258759673575</v>
      </c>
      <c r="L8" s="74">
        <f>Corrections!J16</f>
        <v>10.361514324729033</v>
      </c>
      <c r="M8" s="74">
        <f>Corrections!K16</f>
        <v>9.669458452587806</v>
      </c>
      <c r="N8" s="74">
        <f>Corrections!L16</f>
        <v>10.28914950870919</v>
      </c>
      <c r="O8" s="74">
        <f>Corrections!M16</f>
        <v>11.506242966610891</v>
      </c>
      <c r="P8" s="74">
        <f>Corrections!N16</f>
        <v>10.527041935244348</v>
      </c>
      <c r="Q8" s="74">
        <f>Corrections!O16</f>
        <v>11.265650724274195</v>
      </c>
      <c r="R8" s="74">
        <f>Corrections!P16</f>
        <v>11.146202513710181</v>
      </c>
      <c r="S8" s="74">
        <f>Corrections!Q16</f>
        <v>11.142983074743613</v>
      </c>
      <c r="T8" s="74">
        <f>Corrections!R16</f>
        <v>11.036504396603048</v>
      </c>
      <c r="U8" s="74">
        <f>Corrections!S16</f>
        <v>11.020231805481213</v>
      </c>
      <c r="V8" s="74">
        <f>Corrections!T16</f>
        <v>11.028963986917233</v>
      </c>
      <c r="W8" s="74">
        <f>Corrections!U16</f>
        <v>11.02919773917794</v>
      </c>
      <c r="X8" s="74">
        <f>Corrections!V16</f>
        <v>11.007552100023295</v>
      </c>
      <c r="Y8" s="74">
        <f>Corrections!W16</f>
        <v>9.5527659077247407</v>
      </c>
      <c r="Z8" s="74">
        <f>Corrections!X16</f>
        <v>9.5455336165308484</v>
      </c>
      <c r="AA8" s="74">
        <f>Corrections!Y16</f>
        <v>9.5258951694052083</v>
      </c>
      <c r="AB8" s="74">
        <f>Corrections!Z16</f>
        <v>9.529551072727271</v>
      </c>
      <c r="AC8" s="74">
        <f>Corrections!AA16</f>
        <v>9.5221588939794586</v>
      </c>
      <c r="AD8" s="74">
        <f>Corrections!AB16</f>
        <v>9.5007240748646513</v>
      </c>
      <c r="AE8" s="74">
        <f>Corrections!AC16</f>
        <v>9.4896221748660459</v>
      </c>
      <c r="AF8" s="74">
        <f>Corrections!AD16</f>
        <v>9.4806373686218848</v>
      </c>
      <c r="AG8" s="74">
        <f>Corrections!AE16</f>
        <v>9.4728649587449354</v>
      </c>
      <c r="AH8" s="74">
        <f>Corrections!AF16</f>
        <v>9.4764377365449537</v>
      </c>
      <c r="AI8" s="74">
        <f>Corrections!AG16</f>
        <v>9.4556176457652974</v>
      </c>
      <c r="AJ8" s="74">
        <f>Corrections!AH16</f>
        <v>9.4672439396515937</v>
      </c>
      <c r="AK8" s="74">
        <f>Corrections!AI16</f>
        <v>9.4672439396515937</v>
      </c>
      <c r="AL8" s="10"/>
    </row>
    <row r="9" spans="2:38">
      <c r="C9" s="21">
        <v>5</v>
      </c>
      <c r="D9" s="6" t="s">
        <v>1889</v>
      </c>
      <c r="E9" s="503">
        <f>'[7]Non-Energy Use'!E$9</f>
        <v>305.91000000000003</v>
      </c>
      <c r="F9" s="503">
        <f>'[7]Non-Energy Use'!F9</f>
        <v>301.05199999999996</v>
      </c>
      <c r="G9" s="503">
        <f>'[7]Non-Energy Use'!G9</f>
        <v>318.92266666666666</v>
      </c>
      <c r="H9" s="503">
        <f>'[7]Non-Energy Use'!H9</f>
        <v>335.81333333333333</v>
      </c>
      <c r="I9" s="503">
        <f>'[7]Non-Energy Use'!I9</f>
        <v>353.976</v>
      </c>
      <c r="J9" s="503">
        <f>'[7]Non-Energy Use'!J9</f>
        <v>371.00375000000003</v>
      </c>
      <c r="K9" s="503">
        <f>'[7]Non-Energy Use'!K9</f>
        <v>388.71949999999998</v>
      </c>
      <c r="L9" s="503">
        <f>'[7]Non-Energy Use'!L9</f>
        <v>406.43525000000005</v>
      </c>
      <c r="M9" s="503">
        <f>'[7]Non-Energy Use'!M9</f>
        <v>426.62899999999996</v>
      </c>
      <c r="N9" s="503">
        <f>'[7]Non-Energy Use'!N9</f>
        <v>413.51300000000003</v>
      </c>
      <c r="O9" s="503">
        <f>'[7]Non-Energy Use'!O9</f>
        <v>401.67900000000003</v>
      </c>
      <c r="P9" s="503">
        <f>'[7]Non-Energy Use'!P9</f>
        <v>391.79174999999998</v>
      </c>
      <c r="Q9" s="503">
        <f>'[7]Non-Energy Use'!Q9</f>
        <v>380.73</v>
      </c>
      <c r="R9" s="503">
        <f>'[7]Non-Energy Use'!R9</f>
        <v>345.28025000000002</v>
      </c>
      <c r="S9" s="503">
        <f>'[7]Non-Energy Use'!S9</f>
        <v>306.55949999999996</v>
      </c>
      <c r="T9" s="503">
        <f>'[7]Non-Energy Use'!T9</f>
        <v>270.36975000000001</v>
      </c>
      <c r="U9" s="503">
        <f>'[7]Non-Energy Use'!U9</f>
        <v>233.35599999999999</v>
      </c>
      <c r="V9" s="503">
        <f>'[7]Non-Energy Use'!V9</f>
        <v>252.64199999999997</v>
      </c>
      <c r="W9" s="503">
        <f>'[7]Non-Energy Use'!W9</f>
        <v>272.15499999999997</v>
      </c>
      <c r="X9" s="503">
        <f>'[7]Non-Energy Use'!X9</f>
        <v>291.10000000000002</v>
      </c>
      <c r="Y9" s="503">
        <f>'[7]Non-Energy Use'!Y$9</f>
        <v>309.96899999999999</v>
      </c>
      <c r="Z9" s="503">
        <f>'[7]Non-Energy Use'!Z$9</f>
        <v>314.0095</v>
      </c>
      <c r="AA9" s="503">
        <f>'[7]Non-Energy Use'!AA$9</f>
        <v>319.28750000000002</v>
      </c>
      <c r="AB9" s="503">
        <f>'[7]Non-Energy Use'!AB$9</f>
        <v>324.59100000000001</v>
      </c>
      <c r="AC9" s="503">
        <f>'[7]Non-Energy Use'!AC$9</f>
        <v>330.56</v>
      </c>
      <c r="AD9" s="503">
        <f>'[7]Non-Energy Use'!AD$9</f>
        <v>431.80800000000005</v>
      </c>
      <c r="AE9" s="503">
        <f>'[7]Non-Energy Use'!AE$9</f>
        <v>531.96799999999996</v>
      </c>
      <c r="AF9" s="503">
        <f>'[7]Non-Energy Use'!AF$9</f>
        <v>631.10400000000004</v>
      </c>
      <c r="AG9" s="503">
        <f>'[7]Non-Energy Use'!AG$9</f>
        <v>730.75199999999995</v>
      </c>
      <c r="AH9" s="503">
        <f>'[7]Non-Energy Use'!AH$9</f>
        <v>732.16000000000008</v>
      </c>
      <c r="AI9" s="503">
        <f>'[7]Non-Energy Use'!AI$9</f>
        <v>731.45600000000002</v>
      </c>
      <c r="AJ9" s="503">
        <f>'[7]Non-Energy Use'!AJ$9</f>
        <v>731.45600000000002</v>
      </c>
      <c r="AK9" s="503">
        <f>'[7]Non-Energy Use'!AK$9</f>
        <v>729.34399999999994</v>
      </c>
      <c r="AL9" s="10"/>
    </row>
    <row r="10" spans="2:38">
      <c r="C10" s="21">
        <v>6</v>
      </c>
      <c r="D10" s="6" t="s">
        <v>1890</v>
      </c>
      <c r="E10" s="74">
        <f>'Consumption Input'!E27</f>
        <v>1170.193</v>
      </c>
      <c r="F10" s="74">
        <f>'Consumption Input'!F27</f>
        <v>1076.5350000000001</v>
      </c>
      <c r="G10" s="74">
        <f>'Consumption Input'!G27</f>
        <v>1102.22</v>
      </c>
      <c r="H10" s="74">
        <f>'Consumption Input'!H27</f>
        <v>1149.02</v>
      </c>
      <c r="I10" s="74">
        <f>'Consumption Input'!I27</f>
        <v>1172.9169999999999</v>
      </c>
      <c r="J10" s="74">
        <f>'Consumption Input'!J27</f>
        <v>1178.175</v>
      </c>
      <c r="K10" s="74">
        <f>'Consumption Input'!K27</f>
        <v>1175.932</v>
      </c>
      <c r="L10" s="74">
        <f>'Consumption Input'!L27</f>
        <v>1223.5659999999998</v>
      </c>
      <c r="M10" s="74">
        <f>'Consumption Input'!M27</f>
        <v>1262.5519999999999</v>
      </c>
      <c r="N10" s="74">
        <f>'Consumption Input'!N27</f>
        <v>1324.413</v>
      </c>
      <c r="O10" s="74">
        <f>'Consumption Input'!O27</f>
        <v>1275.6780000000001</v>
      </c>
      <c r="P10" s="74">
        <f>'Consumption Input'!P27</f>
        <v>1256.8649999999998</v>
      </c>
      <c r="Q10" s="74">
        <f>'Consumption Input'!Q27</f>
        <v>1239.9570000000001</v>
      </c>
      <c r="R10" s="74">
        <f>'Consumption Input'!R27</f>
        <v>1219.538</v>
      </c>
      <c r="S10" s="74">
        <f>'Consumption Input'!S27</f>
        <v>1303.848</v>
      </c>
      <c r="T10" s="74">
        <f>'Consumption Input'!T27</f>
        <v>1323.2380000000001</v>
      </c>
      <c r="U10" s="74">
        <f>'Consumption Input'!U27</f>
        <v>1261.1659999999999</v>
      </c>
      <c r="V10" s="74">
        <f>'Consumption Input'!V27</f>
        <v>1197.039</v>
      </c>
      <c r="W10" s="74">
        <f>'Consumption Input'!W27</f>
        <v>1011.9709999999999</v>
      </c>
      <c r="X10" s="74">
        <f>'Consumption Input'!X27</f>
        <v>873.08299999999997</v>
      </c>
      <c r="Y10" s="74">
        <f>'Consumption Input'!Y27</f>
        <v>877.76800000000003</v>
      </c>
      <c r="Z10" s="74">
        <f>'Consumption Input'!Z27</f>
        <v>859.48900000000003</v>
      </c>
      <c r="AA10" s="74">
        <f>'Consumption Input'!AA27</f>
        <v>826.697</v>
      </c>
      <c r="AB10" s="74">
        <f>'Consumption Input'!AB27</f>
        <v>783.34699999999998</v>
      </c>
      <c r="AC10" s="74">
        <f>'Consumption Input'!AC27</f>
        <v>792.63599999999997</v>
      </c>
      <c r="AD10" s="74">
        <f>'Consumption Input'!AD27</f>
        <v>831.66</v>
      </c>
      <c r="AE10" s="74">
        <f>'Consumption Input'!AE27</f>
        <v>853.36599999999999</v>
      </c>
      <c r="AF10" s="74">
        <f>'Consumption Input'!AF27</f>
        <v>849.18200000000002</v>
      </c>
      <c r="AG10" s="74">
        <f>'Consumption Input'!AG27</f>
        <v>792.76300000000003</v>
      </c>
      <c r="AH10" s="74">
        <f>'Consumption Input'!AH27</f>
        <v>843.88300000000004</v>
      </c>
      <c r="AI10" s="74">
        <f>'Consumption Input'!AI27</f>
        <v>832.27300000000002</v>
      </c>
      <c r="AJ10" s="74">
        <f>'Consumption Input'!AJ27</f>
        <v>898.08500000000004</v>
      </c>
      <c r="AK10" s="74">
        <f>'Consumption Input'!AK27</f>
        <v>916.13400000000001</v>
      </c>
      <c r="AL10" s="10"/>
    </row>
    <row r="11" spans="2:38">
      <c r="C11" s="21">
        <v>7</v>
      </c>
      <c r="D11" s="6" t="s">
        <v>1609</v>
      </c>
      <c r="E11" s="503">
        <f>'[7]Non-Energy Use'!E11</f>
        <v>1302.2437395617837</v>
      </c>
      <c r="F11" s="503">
        <f>'[7]Non-Energy Use'!F11</f>
        <v>1438.9519744085785</v>
      </c>
      <c r="G11" s="503">
        <f>'[7]Non-Energy Use'!G11</f>
        <v>1525.5564260453011</v>
      </c>
      <c r="H11" s="503">
        <f>'[7]Non-Energy Use'!H11</f>
        <v>1465.8131042330449</v>
      </c>
      <c r="I11" s="503">
        <f>'[7]Non-Energy Use'!I11</f>
        <v>1684.9977291137209</v>
      </c>
      <c r="J11" s="503">
        <f>'[7]Non-Energy Use'!J11</f>
        <v>1651.6164700966506</v>
      </c>
      <c r="K11" s="503">
        <f>'[7]Non-Energy Use'!K11</f>
        <v>1744.7919269481797</v>
      </c>
      <c r="L11" s="503">
        <f>'[7]Non-Energy Use'!L11</f>
        <v>1802.9688194746766</v>
      </c>
      <c r="M11" s="503">
        <f>'[7]Non-Energy Use'!M11</f>
        <v>1717.4645571841068</v>
      </c>
      <c r="N11" s="503">
        <f>'[7]Non-Energy Use'!N11</f>
        <v>2001.4533227973809</v>
      </c>
      <c r="O11" s="503">
        <f>'[7]Non-Energy Use'!O11</f>
        <v>1759.2793713654823</v>
      </c>
      <c r="P11" s="503">
        <f>'[7]Non-Energy Use'!P11</f>
        <v>1642.346635941163</v>
      </c>
      <c r="Q11" s="503">
        <f>'[7]Non-Energy Use'!Q11</f>
        <v>1766.2851168840132</v>
      </c>
      <c r="R11" s="503">
        <f>'[7]Non-Energy Use'!R11</f>
        <v>1701.5741023453579</v>
      </c>
      <c r="S11" s="503">
        <f>'[7]Non-Energy Use'!S11</f>
        <v>1768.5116121665342</v>
      </c>
      <c r="T11" s="503">
        <f>'[7]Non-Energy Use'!T11</f>
        <v>1659.4772978420046</v>
      </c>
      <c r="U11" s="503">
        <f>'[7]Non-Energy Use'!U11</f>
        <v>1734.577676057304</v>
      </c>
      <c r="V11" s="503">
        <f>'[7]Non-Energy Use'!V11</f>
        <v>1726.7322472178485</v>
      </c>
      <c r="W11" s="503">
        <f>'[7]Non-Energy Use'!W11</f>
        <v>1596.5822523901313</v>
      </c>
      <c r="X11" s="503">
        <f>'[7]Non-Energy Use'!X11</f>
        <v>1747.9982040749719</v>
      </c>
      <c r="Y11" s="503">
        <f>'[7]Non-Energy Use'!Y11</f>
        <v>1899.8664338264293</v>
      </c>
      <c r="Z11" s="503">
        <f>'[7]Non-Energy Use'!Z11</f>
        <v>1954.4033134040958</v>
      </c>
      <c r="AA11" s="503">
        <f>'[7]Non-Energy Use'!AA11</f>
        <v>1983.6587699593242</v>
      </c>
      <c r="AB11" s="503">
        <f>'[7]Non-Energy Use'!AB11</f>
        <v>2155.1857299178482</v>
      </c>
      <c r="AC11" s="503">
        <f>'[7]Non-Energy Use'!AC11</f>
        <v>2142.7536628346425</v>
      </c>
      <c r="AD11" s="503">
        <f>'[7]Non-Energy Use'!AD11</f>
        <v>2216.7559784923624</v>
      </c>
      <c r="AE11" s="503">
        <f>'[7]Non-Energy Use'!AE11</f>
        <v>2257.1477836390804</v>
      </c>
      <c r="AF11" s="503">
        <f>'[7]Non-Energy Use'!AF11</f>
        <v>2329.7316554651738</v>
      </c>
      <c r="AG11" s="503">
        <f>'[7]Non-Energy Use'!AG11</f>
        <v>2677.441123751451</v>
      </c>
      <c r="AH11" s="503">
        <f>'[7]Non-Energy Use'!AH11</f>
        <v>2758.7677783638755</v>
      </c>
      <c r="AI11" s="503">
        <f>'[7]Non-Energy Use'!AI11</f>
        <v>2884.5017990910087</v>
      </c>
      <c r="AJ11" s="503">
        <f>'[7]Non-Energy Use'!AJ11</f>
        <v>3043.8864109986448</v>
      </c>
      <c r="AK11" s="503">
        <f>'[7]Non-Energy Use'!AK11</f>
        <v>3251.2724321913706</v>
      </c>
      <c r="AL11" s="10"/>
    </row>
    <row r="12" spans="2:38">
      <c r="C12" s="21">
        <v>8</v>
      </c>
      <c r="D12" s="6" t="s">
        <v>1891</v>
      </c>
      <c r="E12" s="74">
        <f>'Consumption Input'!E31</f>
        <v>186.34299999999999</v>
      </c>
      <c r="F12" s="74">
        <f>'Consumption Input'!F31</f>
        <v>166.70299999999997</v>
      </c>
      <c r="G12" s="74">
        <f>'Consumption Input'!G31</f>
        <v>169.96</v>
      </c>
      <c r="H12" s="74">
        <f>'Consumption Input'!H31</f>
        <v>173.06399999999999</v>
      </c>
      <c r="I12" s="74">
        <f>'Consumption Input'!I31</f>
        <v>180.886</v>
      </c>
      <c r="J12" s="74">
        <f>'Consumption Input'!J31</f>
        <v>177.78</v>
      </c>
      <c r="K12" s="74">
        <f>'Consumption Input'!K31</f>
        <v>172.53399999999999</v>
      </c>
      <c r="L12" s="74">
        <f>'Consumption Input'!L31</f>
        <v>182.262</v>
      </c>
      <c r="M12" s="74">
        <f>'Consumption Input'!M31</f>
        <v>190.80199999999999</v>
      </c>
      <c r="N12" s="74">
        <f>'Consumption Input'!N31</f>
        <v>192.79900000000001</v>
      </c>
      <c r="O12" s="74">
        <f>'Consumption Input'!O31</f>
        <v>189.90700000000001</v>
      </c>
      <c r="P12" s="74">
        <f>'Consumption Input'!P31</f>
        <v>173.99700000000001</v>
      </c>
      <c r="Q12" s="74">
        <f>'Consumption Input'!Q31</f>
        <v>171.935</v>
      </c>
      <c r="R12" s="74">
        <f>'Consumption Input'!R31</f>
        <v>158.95699999999999</v>
      </c>
      <c r="S12" s="74">
        <f>'Consumption Input'!S31</f>
        <v>161.04</v>
      </c>
      <c r="T12" s="74">
        <f>'Consumption Input'!T31</f>
        <v>160.19900000000001</v>
      </c>
      <c r="U12" s="74">
        <f>'Consumption Input'!U31</f>
        <v>156.078</v>
      </c>
      <c r="V12" s="74">
        <f>'Consumption Input'!V31</f>
        <v>161.17699999999999</v>
      </c>
      <c r="W12" s="74">
        <f>'Consumption Input'!W31</f>
        <v>149.63499999999999</v>
      </c>
      <c r="X12" s="74">
        <f>'Consumption Input'!X31</f>
        <v>134.53299999999999</v>
      </c>
      <c r="Y12" s="74">
        <f>'Consumption Input'!Y31</f>
        <v>135.87899999999999</v>
      </c>
      <c r="Z12" s="74">
        <f>'Consumption Input'!Z31</f>
        <v>127.396</v>
      </c>
      <c r="AA12" s="74">
        <f>'Consumption Input'!AA31</f>
        <v>118.313</v>
      </c>
      <c r="AB12" s="74">
        <f>'Consumption Input'!AB31</f>
        <v>125.09100000000001</v>
      </c>
      <c r="AC12" s="74">
        <f>'Consumption Input'!AC31</f>
        <v>130.66300000000001</v>
      </c>
      <c r="AD12" s="74">
        <f>'Consumption Input'!AD31</f>
        <v>142.13499999999999</v>
      </c>
      <c r="AE12" s="74">
        <f>'Consumption Input'!AE31</f>
        <v>135.148</v>
      </c>
      <c r="AF12" s="74">
        <f>'Consumption Input'!AF31</f>
        <v>124.895</v>
      </c>
      <c r="AG12" s="74">
        <f>'Consumption Input'!AG31</f>
        <v>121.98699999999999</v>
      </c>
      <c r="AH12" s="74">
        <f>'Consumption Input'!AH31</f>
        <v>118.313</v>
      </c>
      <c r="AI12" s="74">
        <f>'Consumption Input'!AI31</f>
        <v>111.09</v>
      </c>
      <c r="AJ12" s="74">
        <f>'Consumption Input'!AJ31</f>
        <v>113.49299999999999</v>
      </c>
      <c r="AK12" s="74">
        <f>'Consumption Input'!AK31</f>
        <v>119.544</v>
      </c>
      <c r="AL12" s="10"/>
    </row>
    <row r="13" spans="2:38">
      <c r="C13" s="21">
        <v>9</v>
      </c>
      <c r="D13" s="6" t="s">
        <v>1617</v>
      </c>
      <c r="E13" s="503">
        <f>'[7]Non-Energy Use'!E13</f>
        <v>0</v>
      </c>
      <c r="F13" s="503">
        <f>'[7]Non-Energy Use'!F13</f>
        <v>0</v>
      </c>
      <c r="G13" s="503">
        <f>'[7]Non-Energy Use'!G13</f>
        <v>0</v>
      </c>
      <c r="H13" s="503">
        <f>'[7]Non-Energy Use'!H13</f>
        <v>0</v>
      </c>
      <c r="I13" s="503">
        <f>'[7]Non-Energy Use'!I13</f>
        <v>0</v>
      </c>
      <c r="J13" s="503">
        <f>'[7]Non-Energy Use'!J13</f>
        <v>0</v>
      </c>
      <c r="K13" s="503">
        <f>'[7]Non-Energy Use'!K13</f>
        <v>0</v>
      </c>
      <c r="L13" s="503">
        <f>'[7]Non-Energy Use'!L13</f>
        <v>0</v>
      </c>
      <c r="M13" s="503">
        <f>'[7]Non-Energy Use'!M13</f>
        <v>0</v>
      </c>
      <c r="N13" s="503">
        <f>'[7]Non-Energy Use'!N13</f>
        <v>0</v>
      </c>
      <c r="O13" s="503">
        <f>'[7]Non-Energy Use'!O13</f>
        <v>0</v>
      </c>
      <c r="P13" s="503">
        <f>'[7]Non-Energy Use'!P13</f>
        <v>0</v>
      </c>
      <c r="Q13" s="503">
        <f>'[7]Non-Energy Use'!Q13</f>
        <v>0</v>
      </c>
      <c r="R13" s="503">
        <f>'[7]Non-Energy Use'!R13</f>
        <v>0</v>
      </c>
      <c r="S13" s="503">
        <f>'[7]Non-Energy Use'!S13</f>
        <v>0</v>
      </c>
      <c r="T13" s="503">
        <f>'[7]Non-Energy Use'!T13</f>
        <v>0</v>
      </c>
      <c r="U13" s="503">
        <f>'[7]Non-Energy Use'!U13</f>
        <v>0</v>
      </c>
      <c r="V13" s="503">
        <f>'[7]Non-Energy Use'!V13</f>
        <v>0</v>
      </c>
      <c r="W13" s="503">
        <f>'[7]Non-Energy Use'!W13</f>
        <v>0</v>
      </c>
      <c r="X13" s="503">
        <f>'[7]Non-Energy Use'!X13</f>
        <v>0</v>
      </c>
      <c r="Y13" s="503">
        <f>'[7]Non-Energy Use'!Y13</f>
        <v>0</v>
      </c>
      <c r="Z13" s="503">
        <f>'[7]Non-Energy Use'!Z13</f>
        <v>0</v>
      </c>
      <c r="AA13" s="503">
        <f>'[7]Non-Energy Use'!AA13</f>
        <v>0</v>
      </c>
      <c r="AB13" s="503">
        <f>'[7]Non-Energy Use'!AB13</f>
        <v>0</v>
      </c>
      <c r="AC13" s="503">
        <f>'[7]Non-Energy Use'!AC13</f>
        <v>0</v>
      </c>
      <c r="AD13" s="503">
        <f>'[7]Non-Energy Use'!AD13</f>
        <v>0</v>
      </c>
      <c r="AE13" s="503">
        <f>'[7]Non-Energy Use'!AE13</f>
        <v>0</v>
      </c>
      <c r="AF13" s="503">
        <f>'[7]Non-Energy Use'!AF13</f>
        <v>0</v>
      </c>
      <c r="AG13" s="503">
        <f>'[7]Non-Energy Use'!AG13</f>
        <v>0</v>
      </c>
      <c r="AH13" s="503">
        <f>'[7]Non-Energy Use'!AH13</f>
        <v>0</v>
      </c>
      <c r="AI13" s="503">
        <f>'[7]Non-Energy Use'!AI13</f>
        <v>0</v>
      </c>
      <c r="AJ13" s="503">
        <f>'[7]Non-Energy Use'!AJ13</f>
        <v>0</v>
      </c>
      <c r="AK13" s="503">
        <f>'[7]Non-Energy Use'!AK13</f>
        <v>0</v>
      </c>
      <c r="AL13" s="10"/>
    </row>
    <row r="14" spans="2:38">
      <c r="C14" s="21">
        <v>10</v>
      </c>
      <c r="D14" s="6" t="s">
        <v>1892</v>
      </c>
      <c r="E14" s="74">
        <f>'Consumption Input'!E39</f>
        <v>347.800704</v>
      </c>
      <c r="F14" s="74">
        <f>'Consumption Input'!F39</f>
        <v>298.94707199999999</v>
      </c>
      <c r="G14" s="74">
        <f>'Consumption Input'!G39</f>
        <v>377.12652800000001</v>
      </c>
      <c r="H14" s="74">
        <f>'Consumption Input'!H39</f>
        <v>350.59264000000002</v>
      </c>
      <c r="I14" s="74">
        <f>'Consumption Input'!I39</f>
        <v>398.33894400000003</v>
      </c>
      <c r="J14" s="74">
        <f>'Consumption Input'!J39</f>
        <v>372.96486399999992</v>
      </c>
      <c r="K14" s="74">
        <f>'Consumption Input'!K39</f>
        <v>479.31033600000001</v>
      </c>
      <c r="L14" s="74">
        <f>'Consumption Input'!L39</f>
        <v>536.37708799999996</v>
      </c>
      <c r="M14" s="74">
        <f>'Consumption Input'!M39</f>
        <v>583.99219200000005</v>
      </c>
      <c r="N14" s="74">
        <f>'Consumption Input'!N39</f>
        <v>502.07615999999996</v>
      </c>
      <c r="O14" s="74">
        <f>'Consumption Input'!O39</f>
        <v>613.53318400000001</v>
      </c>
      <c r="P14" s="74">
        <f>'Consumption Input'!P39</f>
        <v>493.71609599999999</v>
      </c>
      <c r="Q14" s="74">
        <f>'Consumption Input'!Q39</f>
        <v>582.55423999999994</v>
      </c>
      <c r="R14" s="74">
        <f>'Consumption Input'!R39</f>
        <v>612.95590400000003</v>
      </c>
      <c r="S14" s="74">
        <f>'Consumption Input'!S39</f>
        <v>749.43014400000004</v>
      </c>
      <c r="T14" s="74">
        <f>'Consumption Input'!T39</f>
        <v>698.66624000000002</v>
      </c>
      <c r="U14" s="74">
        <f>'Consumption Input'!U39</f>
        <v>628.85209599999985</v>
      </c>
      <c r="V14" s="74">
        <f>'Consumption Input'!V39</f>
        <v>562.45439999999985</v>
      </c>
      <c r="W14" s="74">
        <f>'Consumption Input'!W39</f>
        <v>477.17439999999999</v>
      </c>
      <c r="X14" s="74">
        <f>'Consumption Input'!X39</f>
        <v>471.868672</v>
      </c>
      <c r="Y14" s="74">
        <f>'Consumption Input'!Y39</f>
        <v>490.57254399999999</v>
      </c>
      <c r="Z14" s="74">
        <f>'Consumption Input'!Z39</f>
        <v>487.31878399999999</v>
      </c>
      <c r="AA14" s="74">
        <f>'Consumption Input'!AA39</f>
        <v>453.92051199999997</v>
      </c>
      <c r="AB14" s="74">
        <f>'Consumption Input'!AB39</f>
        <v>517.83590400000003</v>
      </c>
      <c r="AC14" s="74">
        <f>'Consumption Input'!AC39</f>
        <v>442.60582399999998</v>
      </c>
      <c r="AD14" s="74">
        <f>'Consumption Input'!AD39</f>
        <v>428.05836799999997</v>
      </c>
      <c r="AE14" s="74">
        <f>'Consumption Input'!AE39</f>
        <v>420.02368000000001</v>
      </c>
      <c r="AF14" s="74">
        <f>'Consumption Input'!AF39</f>
        <v>436.17702400000002</v>
      </c>
      <c r="AG14" s="74">
        <f>'Consumption Input'!AG39</f>
        <v>447.08761600000003</v>
      </c>
      <c r="AH14" s="74">
        <f>'Consumption Input'!AH39</f>
        <v>396.69107200000002</v>
      </c>
      <c r="AI14" s="74">
        <f>'Consumption Input'!AI39</f>
        <v>354.60736000000003</v>
      </c>
      <c r="AJ14" s="74">
        <f>'Consumption Input'!AJ39</f>
        <v>354.81727999999993</v>
      </c>
      <c r="AK14" s="74">
        <f>'Consumption Input'!AK39</f>
        <v>265.51206400000001</v>
      </c>
      <c r="AL14" s="10"/>
    </row>
    <row r="15" spans="2:38">
      <c r="C15" s="21">
        <v>11</v>
      </c>
      <c r="D15" s="6" t="s">
        <v>1893</v>
      </c>
      <c r="E15" s="74">
        <f>'Consumption Input'!E40</f>
        <v>753.92392500000005</v>
      </c>
      <c r="F15" s="74">
        <f>'Consumption Input'!F40</f>
        <v>827.29562499999997</v>
      </c>
      <c r="G15" s="74">
        <f>'Consumption Input'!G40</f>
        <v>814.51557500000001</v>
      </c>
      <c r="H15" s="74">
        <f>'Consumption Input'!H40</f>
        <v>844.07745</v>
      </c>
      <c r="I15" s="74">
        <f>'Consumption Input'!I40</f>
        <v>838.64272500000004</v>
      </c>
      <c r="J15" s="74">
        <f>'Consumption Input'!J40</f>
        <v>801.01322500000003</v>
      </c>
      <c r="K15" s="74">
        <f>'Consumption Input'!K40</f>
        <v>729.64532499999996</v>
      </c>
      <c r="L15" s="74">
        <f>'Consumption Input'!L40</f>
        <v>861.24372500000004</v>
      </c>
      <c r="M15" s="74">
        <f>'Consumption Input'!M40</f>
        <v>818.66880000000003</v>
      </c>
      <c r="N15" s="74">
        <f>'Consumption Input'!N40</f>
        <v>811.14289999999994</v>
      </c>
      <c r="O15" s="74">
        <f>'Consumption Input'!O40</f>
        <v>722.15437499999985</v>
      </c>
      <c r="P15" s="74">
        <f>'Consumption Input'!P40</f>
        <v>662.45394999999996</v>
      </c>
      <c r="Q15" s="74">
        <f>'Consumption Input'!Q40</f>
        <v>632.06492500000002</v>
      </c>
      <c r="R15" s="74">
        <f>'Consumption Input'!R40</f>
        <v>699.37862500000006</v>
      </c>
      <c r="S15" s="74">
        <f>'Consumption Input'!S40</f>
        <v>779.48985000000005</v>
      </c>
      <c r="T15" s="74">
        <f>'Consumption Input'!T40</f>
        <v>707.98215000000005</v>
      </c>
      <c r="U15" s="74">
        <f>'Consumption Input'!U40</f>
        <v>790.63890000000004</v>
      </c>
      <c r="V15" s="74">
        <f>'Consumption Input'!V40</f>
        <v>744.09132499999998</v>
      </c>
      <c r="W15" s="74">
        <f>'Consumption Input'!W40</f>
        <v>647.76329999999996</v>
      </c>
      <c r="X15" s="74">
        <f>'Consumption Input'!X40</f>
        <v>424.776475</v>
      </c>
      <c r="Y15" s="74">
        <f>'Consumption Input'!Y40</f>
        <v>452.52095000000003</v>
      </c>
      <c r="Z15" s="74">
        <f>'Consumption Input'!Z40</f>
        <v>388.52749999999997</v>
      </c>
      <c r="AA15" s="74">
        <f>'Consumption Input'!AA40</f>
        <v>287.24239999999998</v>
      </c>
      <c r="AB15" s="74">
        <f>'Consumption Input'!AB40</f>
        <v>223.91882499999997</v>
      </c>
      <c r="AC15" s="74">
        <f>'Consumption Input'!AC40</f>
        <v>247.22465</v>
      </c>
      <c r="AD15" s="74">
        <f>'Consumption Input'!AD40</f>
        <v>229.03899999999999</v>
      </c>
      <c r="AE15" s="74">
        <f>'Consumption Input'!AE40</f>
        <v>222.45675</v>
      </c>
      <c r="AF15" s="74">
        <f>'Consumption Input'!AF40</f>
        <v>262.92885000000001</v>
      </c>
      <c r="AG15" s="74">
        <f>'Consumption Input'!AG40</f>
        <v>239.0813</v>
      </c>
      <c r="AH15" s="74">
        <f>'Consumption Input'!AH40</f>
        <v>234.08927499999999</v>
      </c>
      <c r="AI15" s="74">
        <f>'Consumption Input'!AI40</f>
        <v>217.01037500000001</v>
      </c>
      <c r="AJ15" s="74">
        <f>'Consumption Input'!AJ40</f>
        <v>216.89387500000001</v>
      </c>
      <c r="AK15" s="74">
        <f>'Consumption Input'!AK40</f>
        <v>127.73396102500001</v>
      </c>
      <c r="AL15" s="10"/>
    </row>
    <row r="16" spans="2:38">
      <c r="C16" s="21">
        <v>12</v>
      </c>
      <c r="D16" s="6" t="s">
        <v>1618</v>
      </c>
      <c r="E16" s="503">
        <f>'[7]Non-Energy Use'!E16</f>
        <v>36.726000000000091</v>
      </c>
      <c r="F16" s="503">
        <f>'[7]Non-Energy Use'!F16</f>
        <v>40.632000000000005</v>
      </c>
      <c r="G16" s="503">
        <f>'[7]Non-Energy Use'!G16</f>
        <v>28.54200000000003</v>
      </c>
      <c r="H16" s="503">
        <f>'[7]Non-Energy Use'!H16</f>
        <v>45.630000000000088</v>
      </c>
      <c r="I16" s="503">
        <f>'[7]Non-Energy Use'!I16</f>
        <v>35.37000000000004</v>
      </c>
      <c r="J16" s="503">
        <f>'[7]Non-Energy Use'!J16</f>
        <v>47.903999999999805</v>
      </c>
      <c r="K16" s="503">
        <f>'[7]Non-Energy Use'!K16</f>
        <v>2.159999999999985</v>
      </c>
      <c r="L16" s="503">
        <f>'[7]Non-Energy Use'!L16</f>
        <v>12.113999999999985</v>
      </c>
      <c r="M16" s="503">
        <f>'[7]Non-Energy Use'!M16</f>
        <v>6.2039999999999154</v>
      </c>
      <c r="N16" s="503">
        <f>'[7]Non-Energy Use'!N16</f>
        <v>23.022000000000041</v>
      </c>
      <c r="O16" s="503">
        <f>'[7]Non-Energy Use'!O16</f>
        <v>16.980000000000114</v>
      </c>
      <c r="P16" s="503">
        <f>'[7]Non-Energy Use'!P16</f>
        <v>49.265999999999934</v>
      </c>
      <c r="Q16" s="503">
        <f>'[7]Non-Energy Use'!Q16</f>
        <v>61.722000000000023</v>
      </c>
      <c r="R16" s="503">
        <f>'[7]Non-Energy Use'!R16</f>
        <v>59.015999999999899</v>
      </c>
      <c r="S16" s="503">
        <f>'[7]Non-Energy Use'!S16</f>
        <v>62.856000000000094</v>
      </c>
      <c r="T16" s="503">
        <f>'[7]Non-Energy Use'!T16</f>
        <v>67.668000000000077</v>
      </c>
      <c r="U16" s="503">
        <f>'[7]Non-Energy Use'!U16</f>
        <v>57.209999999999781</v>
      </c>
      <c r="V16" s="503">
        <f>'[7]Non-Energy Use'!V16</f>
        <v>44.219999999999949</v>
      </c>
      <c r="W16" s="503">
        <f>'[7]Non-Energy Use'!W16</f>
        <v>47.334000000000017</v>
      </c>
      <c r="X16" s="503">
        <f>'[7]Non-Energy Use'!X16</f>
        <v>133.87199999999984</v>
      </c>
      <c r="Y16" s="503">
        <f>'[7]Non-Energy Use'!Y16</f>
        <v>147.77069312812213</v>
      </c>
      <c r="Z16" s="503">
        <f>'[7]Non-Energy Use'!Z16</f>
        <v>163.56713999999999</v>
      </c>
      <c r="AA16" s="503">
        <f>'[7]Non-Energy Use'!AA16</f>
        <v>160.61969674331783</v>
      </c>
      <c r="AB16" s="503">
        <f>'[7]Non-Energy Use'!AB16</f>
        <v>166.74568875089008</v>
      </c>
      <c r="AC16" s="503">
        <f>'[7]Non-Energy Use'!AC16</f>
        <v>164.53817096807006</v>
      </c>
      <c r="AD16" s="503">
        <f>'[7]Non-Energy Use'!AD16</f>
        <v>162.16079406339975</v>
      </c>
      <c r="AE16" s="503">
        <f>'[7]Non-Energy Use'!AE16</f>
        <v>166.11115754857593</v>
      </c>
      <c r="AF16" s="503">
        <f>'[7]Non-Energy Use'!AF16</f>
        <v>163.84636925723936</v>
      </c>
      <c r="AG16" s="503">
        <f>'[7]Non-Energy Use'!AG16</f>
        <v>166.88300781108319</v>
      </c>
      <c r="AH16" s="503">
        <f>'[7]Non-Energy Use'!AH16</f>
        <v>158.73823037830232</v>
      </c>
      <c r="AI16" s="503">
        <f>'[7]Non-Energy Use'!AI16</f>
        <v>145.41697993710437</v>
      </c>
      <c r="AJ16" s="503">
        <f>'[7]Non-Energy Use'!AJ16</f>
        <v>152.81268515053802</v>
      </c>
      <c r="AK16" s="503">
        <f>'[7]Non-Energy Use'!AK16</f>
        <v>157.07933803502155</v>
      </c>
      <c r="AL16" s="10"/>
    </row>
    <row r="17" spans="2:38">
      <c r="C17" s="21">
        <v>13</v>
      </c>
      <c r="D17" s="6" t="s">
        <v>1604</v>
      </c>
      <c r="E17" s="503">
        <f>'[7]Non-Energy Use'!E17</f>
        <v>123.06334817514723</v>
      </c>
      <c r="F17" s="503">
        <f>'[7]Non-Energy Use'!F17</f>
        <v>105.06134051999996</v>
      </c>
      <c r="G17" s="503">
        <f>'[7]Non-Energy Use'!G17</f>
        <v>171.01352964211358</v>
      </c>
      <c r="H17" s="503">
        <f>'[7]Non-Energy Use'!H17</f>
        <v>110.67020975747928</v>
      </c>
      <c r="I17" s="503">
        <f>'[7]Non-Energy Use'!I17</f>
        <v>128.28867635803448</v>
      </c>
      <c r="J17" s="503">
        <f>'[7]Non-Energy Use'!J17</f>
        <v>120.61074349815493</v>
      </c>
      <c r="K17" s="503">
        <f>'[7]Non-Energy Use'!K17</f>
        <v>118.5905869373607</v>
      </c>
      <c r="L17" s="503">
        <f>'[7]Non-Energy Use'!L17</f>
        <v>87.499823858914766</v>
      </c>
      <c r="M17" s="503">
        <f>'[7]Non-Energy Use'!M17</f>
        <v>150.76418520000007</v>
      </c>
      <c r="N17" s="503">
        <f>'[7]Non-Energy Use'!N17</f>
        <v>215.9866516206726</v>
      </c>
      <c r="O17" s="503">
        <f>'[7]Non-Energy Use'!O17</f>
        <v>98.722771036562733</v>
      </c>
      <c r="P17" s="503">
        <f>'[7]Non-Energy Use'!P17</f>
        <v>174.28643426774994</v>
      </c>
      <c r="Q17" s="503">
        <f>'[7]Non-Energy Use'!Q17</f>
        <v>145.81051577183675</v>
      </c>
      <c r="R17" s="503">
        <f>'[7]Non-Energy Use'!R17</f>
        <v>122.83683504646952</v>
      </c>
      <c r="S17" s="503">
        <f>'[7]Non-Energy Use'!S17</f>
        <v>218.28935787510309</v>
      </c>
      <c r="T17" s="503">
        <f>'[7]Non-Energy Use'!T17</f>
        <v>186.94181868530003</v>
      </c>
      <c r="U17" s="503">
        <f>'[7]Non-Energy Use'!U17</f>
        <v>213.5899839965642</v>
      </c>
      <c r="V17" s="503">
        <f>'[7]Non-Energy Use'!V17</f>
        <v>201.1547269133589</v>
      </c>
      <c r="W17" s="503">
        <f>'[7]Non-Energy Use'!W17</f>
        <v>225.10882087824848</v>
      </c>
      <c r="X17" s="503">
        <f>'[7]Non-Energy Use'!X17</f>
        <v>180.6926152492947</v>
      </c>
      <c r="Y17" s="503">
        <f>'[7]Non-Energy Use'!Y17</f>
        <v>60.951921357330654</v>
      </c>
      <c r="Z17" s="503">
        <f>'[7]Non-Energy Use'!Z17</f>
        <v>62.405128262155976</v>
      </c>
      <c r="AA17" s="503">
        <f>'[7]Non-Energy Use'!AA17</f>
        <v>67.791519103521011</v>
      </c>
      <c r="AB17" s="503">
        <f>'[7]Non-Energy Use'!AB17</f>
        <v>62.404493328103698</v>
      </c>
      <c r="AC17" s="503">
        <f>'[7]Non-Energy Use'!AC17</f>
        <v>61.364894639841161</v>
      </c>
      <c r="AD17" s="503">
        <f>'[7]Non-Energy Use'!AD17</f>
        <v>62.521109549038684</v>
      </c>
      <c r="AE17" s="503">
        <f>'[7]Non-Energy Use'!AE17</f>
        <v>61.243543376467009</v>
      </c>
      <c r="AF17" s="503">
        <f>'[7]Non-Energy Use'!AF17</f>
        <v>57.021734077578316</v>
      </c>
      <c r="AG17" s="503">
        <f>'[7]Non-Energy Use'!AG17</f>
        <v>58.860714737658327</v>
      </c>
      <c r="AH17" s="503">
        <f>'[7]Non-Energy Use'!AH17</f>
        <v>56.436748170746554</v>
      </c>
      <c r="AI17" s="503">
        <f>'[7]Non-Energy Use'!AI17</f>
        <v>46.243725640923849</v>
      </c>
      <c r="AJ17" s="503">
        <f>'[7]Non-Energy Use'!AJ17</f>
        <v>48.061544731836854</v>
      </c>
      <c r="AK17" s="503">
        <f>'[7]Non-Energy Use'!AK17</f>
        <v>44.971532344085873</v>
      </c>
      <c r="AL17" s="10"/>
    </row>
    <row r="18" spans="2:38">
      <c r="C18" s="21">
        <v>14</v>
      </c>
      <c r="D18" s="6" t="s">
        <v>1894</v>
      </c>
      <c r="E18" s="74">
        <f>'Consumption Input'!E44</f>
        <v>107.090688</v>
      </c>
      <c r="F18" s="74">
        <f>'Consumption Input'!F44</f>
        <v>87.987967999999995</v>
      </c>
      <c r="G18" s="74">
        <f>'Consumption Input'!G44</f>
        <v>104.5664</v>
      </c>
      <c r="H18" s="74">
        <f>'Consumption Input'!H44</f>
        <v>104.582144</v>
      </c>
      <c r="I18" s="74">
        <f>'Consumption Input'!I44</f>
        <v>81.050111999999999</v>
      </c>
      <c r="J18" s="74">
        <f>'Consumption Input'!J44</f>
        <v>70.821759999999998</v>
      </c>
      <c r="K18" s="74">
        <f>'Consumption Input'!K44</f>
        <v>74.542591999999999</v>
      </c>
      <c r="L18" s="74">
        <f>'Consumption Input'!L44</f>
        <v>72.264960000000002</v>
      </c>
      <c r="M18" s="74">
        <f>'Consumption Input'!M44</f>
        <v>107.274368</v>
      </c>
      <c r="N18" s="74">
        <f>'Consumption Input'!N44</f>
        <v>145.39583999999999</v>
      </c>
      <c r="O18" s="74">
        <f>'Consumption Input'!O44</f>
        <v>97.376639999999995</v>
      </c>
      <c r="P18" s="74">
        <f>'Consumption Input'!P44</f>
        <v>78.489087999999995</v>
      </c>
      <c r="Q18" s="74">
        <f>'Consumption Input'!Q44</f>
        <v>102.38848</v>
      </c>
      <c r="R18" s="74">
        <f>'Consumption Input'!R44</f>
        <v>80.483328</v>
      </c>
      <c r="S18" s="74">
        <f>'Consumption Input'!S44</f>
        <v>51.042048000000001</v>
      </c>
      <c r="T18" s="74">
        <f>'Consumption Input'!T44</f>
        <v>62.512239487999999</v>
      </c>
      <c r="U18" s="74">
        <f>'Consumption Input'!U44</f>
        <v>70.050487680000003</v>
      </c>
      <c r="V18" s="74">
        <f>'Consumption Input'!V44</f>
        <v>78.037613055999998</v>
      </c>
      <c r="W18" s="74">
        <f>'Consumption Input'!W44</f>
        <v>84.885061759999999</v>
      </c>
      <c r="X18" s="74">
        <f>'Consumption Input'!X44</f>
        <v>46.170030464</v>
      </c>
      <c r="Y18" s="74">
        <f>'Consumption Input'!Y44</f>
        <v>26.102455167999999</v>
      </c>
      <c r="Z18" s="74">
        <f>'Consumption Input'!Z44</f>
        <v>22.614177792</v>
      </c>
      <c r="AA18" s="74">
        <f>'Consumption Input'!AA44</f>
        <v>14.715166335999998</v>
      </c>
      <c r="AB18" s="74">
        <f>'Consumption Input'!AB44</f>
        <v>100.016384</v>
      </c>
      <c r="AC18" s="74">
        <f>'Consumption Input'!AC44</f>
        <v>106.11980800000001</v>
      </c>
      <c r="AD18" s="74">
        <f>'Consumption Input'!AD44</f>
        <v>99.265919999999994</v>
      </c>
      <c r="AE18" s="74">
        <f>'Consumption Input'!AE44</f>
        <v>93.577088000000003</v>
      </c>
      <c r="AF18" s="74">
        <f>'Consumption Input'!AF44</f>
        <v>100.336512</v>
      </c>
      <c r="AG18" s="74">
        <f>'Consumption Input'!AG44</f>
        <v>92.049919999999986</v>
      </c>
      <c r="AH18" s="74">
        <f>'Consumption Input'!AH44</f>
        <v>95.618560000000002</v>
      </c>
      <c r="AI18" s="74">
        <f>'Consumption Input'!AI44</f>
        <v>86.550015999999985</v>
      </c>
      <c r="AJ18" s="74">
        <f>'Consumption Input'!AJ44</f>
        <v>81.228543999999999</v>
      </c>
      <c r="AK18" s="74">
        <f>'Consumption Input'!AK44</f>
        <v>89.153024000000002</v>
      </c>
      <c r="AL18" s="10"/>
    </row>
    <row r="19" spans="2:38">
      <c r="C19" s="21">
        <v>15</v>
      </c>
      <c r="D19" s="6" t="s">
        <v>1895</v>
      </c>
      <c r="E19" s="464"/>
      <c r="F19" s="464"/>
      <c r="G19" s="464"/>
      <c r="H19" s="464"/>
      <c r="I19" s="464"/>
      <c r="J19" s="464"/>
      <c r="K19" s="464"/>
      <c r="L19" s="464"/>
      <c r="M19" s="464"/>
      <c r="N19" s="464"/>
      <c r="O19" s="464"/>
      <c r="P19" s="464"/>
      <c r="Q19" s="464"/>
      <c r="R19" s="464"/>
      <c r="S19" s="464"/>
      <c r="T19" s="464"/>
      <c r="U19" s="464"/>
      <c r="V19" s="464"/>
      <c r="W19" s="464"/>
      <c r="X19" s="464"/>
      <c r="Y19" s="464"/>
      <c r="Z19" s="464"/>
      <c r="AA19" s="464"/>
      <c r="AB19" s="464"/>
      <c r="AC19" s="464"/>
      <c r="AD19" s="464"/>
      <c r="AE19" s="464"/>
      <c r="AF19" s="464"/>
      <c r="AG19" s="464"/>
      <c r="AH19" s="464"/>
      <c r="AI19" s="464"/>
      <c r="AJ19" s="464"/>
      <c r="AK19" s="464"/>
      <c r="AL19" s="10"/>
    </row>
    <row r="20" spans="2:38">
      <c r="C20" s="21">
        <v>16</v>
      </c>
      <c r="D20" s="463" t="s">
        <v>1738</v>
      </c>
      <c r="E20" s="503">
        <f>'[7]Non-Energy Use'!E20</f>
        <v>7.0441517976514909</v>
      </c>
      <c r="F20" s="503">
        <f>'[7]Non-Energy Use'!F20</f>
        <v>7.0831999999999997</v>
      </c>
      <c r="G20" s="503">
        <f>'[7]Non-Energy Use'!G20</f>
        <v>7.003591666666666</v>
      </c>
      <c r="H20" s="503">
        <f>'[7]Non-Energy Use'!H20</f>
        <v>6.9239833333333332</v>
      </c>
      <c r="I20" s="503">
        <f>'[7]Non-Energy Use'!I20</f>
        <v>6.8443749999999994</v>
      </c>
      <c r="J20" s="503">
        <f>'[7]Non-Energy Use'!J20</f>
        <v>8.045781250000001</v>
      </c>
      <c r="K20" s="503">
        <f>'[7]Non-Energy Use'!K20</f>
        <v>9.2471875000000008</v>
      </c>
      <c r="L20" s="503">
        <f>'[7]Non-Energy Use'!L20</f>
        <v>10.448593750000002</v>
      </c>
      <c r="M20" s="503">
        <f>'[7]Non-Energy Use'!M20</f>
        <v>11.65</v>
      </c>
      <c r="N20" s="503">
        <f>'[7]Non-Energy Use'!N20</f>
        <v>11.65</v>
      </c>
      <c r="O20" s="503">
        <f>'[7]Non-Energy Use'!O20</f>
        <v>11.65</v>
      </c>
      <c r="P20" s="503">
        <f>'[7]Non-Energy Use'!P20</f>
        <v>11.65</v>
      </c>
      <c r="Q20" s="503">
        <f>'[7]Non-Energy Use'!Q20</f>
        <v>11.65</v>
      </c>
      <c r="R20" s="503">
        <f>'[7]Non-Energy Use'!R20</f>
        <v>13.106249999999999</v>
      </c>
      <c r="S20" s="503">
        <f>'[7]Non-Energy Use'!S20</f>
        <v>14.5625</v>
      </c>
      <c r="T20" s="503">
        <f>'[7]Non-Energy Use'!T20</f>
        <v>16.018749999999997</v>
      </c>
      <c r="U20" s="503">
        <f>'[7]Non-Energy Use'!U20</f>
        <v>17.475000000000001</v>
      </c>
      <c r="V20" s="503">
        <f>'[7]Non-Energy Use'!V20</f>
        <v>14.5625</v>
      </c>
      <c r="W20" s="503">
        <f>'[7]Non-Energy Use'!W20</f>
        <v>11.65</v>
      </c>
      <c r="X20" s="503">
        <f>'[7]Non-Energy Use'!X20</f>
        <v>8.7375000000000007</v>
      </c>
      <c r="Y20" s="503">
        <f>'[7]Non-Energy Use'!Y20</f>
        <v>5.8250000000000002</v>
      </c>
      <c r="Z20" s="503">
        <f>'[7]Non-Energy Use'!Z20</f>
        <v>5.8250000000000002</v>
      </c>
      <c r="AA20" s="503">
        <f>'[7]Non-Energy Use'!AA20</f>
        <v>5.8250000000000002</v>
      </c>
      <c r="AB20" s="503">
        <f>'[7]Non-Energy Use'!AB20</f>
        <v>5.8250000000000002</v>
      </c>
      <c r="AC20" s="503">
        <f>'[7]Non-Energy Use'!AC20</f>
        <v>5.8250000000000002</v>
      </c>
      <c r="AD20" s="503">
        <f>'[7]Non-Energy Use'!AD20</f>
        <v>5.8250000000000002</v>
      </c>
      <c r="AE20" s="503">
        <f>'[7]Non-Energy Use'!AE20</f>
        <v>5.8250000000000002</v>
      </c>
      <c r="AF20" s="503">
        <f>'[7]Non-Energy Use'!AF20</f>
        <v>5.8250000000000002</v>
      </c>
      <c r="AG20" s="503">
        <f>'[7]Non-Energy Use'!AG20</f>
        <v>5.8250000000000002</v>
      </c>
      <c r="AH20" s="503">
        <f>'[7]Non-Energy Use'!AH20</f>
        <v>5.8250000000000002</v>
      </c>
      <c r="AI20" s="503">
        <f>'[7]Non-Energy Use'!AI20</f>
        <v>5.8250000000000002</v>
      </c>
      <c r="AJ20" s="503">
        <f>'[7]Non-Energy Use'!AJ20</f>
        <v>5.8250000000000002</v>
      </c>
      <c r="AK20" s="503">
        <f>'[7]Non-Energy Use'!AK20</f>
        <v>5.8250000000000002</v>
      </c>
      <c r="AL20" s="10"/>
    </row>
    <row r="21" spans="2:38">
      <c r="C21" s="21">
        <v>17</v>
      </c>
      <c r="D21" s="463" t="s">
        <v>1896</v>
      </c>
      <c r="E21" s="74">
        <f>'Consumption Input'!E46</f>
        <v>33.299517999999999</v>
      </c>
      <c r="F21" s="74">
        <f>'Consumption Input'!F46</f>
        <v>35.126728</v>
      </c>
      <c r="G21" s="74">
        <f>'Consumption Input'!G46</f>
        <v>37.258473000000002</v>
      </c>
      <c r="H21" s="74">
        <f>'Consumption Input'!H46</f>
        <v>40.026972999999998</v>
      </c>
      <c r="I21" s="74">
        <f>'Consumption Input'!I46</f>
        <v>40.586210000000001</v>
      </c>
      <c r="J21" s="74">
        <f>'Consumption Input'!J46</f>
        <v>40.591746999999998</v>
      </c>
      <c r="K21" s="74">
        <f>'Consumption Input'!K46</f>
        <v>48.664693</v>
      </c>
      <c r="L21" s="74">
        <f>'Consumption Input'!L46</f>
        <v>43.7423</v>
      </c>
      <c r="M21" s="74">
        <f>'Consumption Input'!M46</f>
        <v>42.369123999999999</v>
      </c>
      <c r="N21" s="74">
        <f>'Consumption Input'!N46</f>
        <v>37.435656999999999</v>
      </c>
      <c r="O21" s="74">
        <f>'Consumption Input'!O46</f>
        <v>33.083575000000003</v>
      </c>
      <c r="P21" s="74">
        <f>'Consumption Input'!P46</f>
        <v>36.333793999999997</v>
      </c>
      <c r="Q21" s="74">
        <f>'Consumption Input'!Q46</f>
        <v>32.169969999999999</v>
      </c>
      <c r="R21" s="74">
        <f>'Consumption Input'!R46</f>
        <v>31.045959</v>
      </c>
      <c r="S21" s="74">
        <f>'Consumption Input'!S46</f>
        <v>30.769109</v>
      </c>
      <c r="T21" s="74">
        <f>'Consumption Input'!T46</f>
        <v>31.367453831000002</v>
      </c>
      <c r="U21" s="74">
        <f>'Consumption Input'!U46</f>
        <v>26.145730610999998</v>
      </c>
      <c r="V21" s="74">
        <f>'Consumption Input'!V46</f>
        <v>21.886576082000001</v>
      </c>
      <c r="W21" s="74">
        <f>'Consumption Input'!W46</f>
        <v>19.142239549999999</v>
      </c>
      <c r="X21" s="74">
        <f>'Consumption Input'!X46</f>
        <v>12.222667260999998</v>
      </c>
      <c r="Y21" s="74">
        <f>'Consumption Input'!Y46</f>
        <v>17.082724715000001</v>
      </c>
      <c r="Z21" s="74">
        <f>'Consumption Input'!Z46</f>
        <v>15.074953145</v>
      </c>
      <c r="AA21" s="74">
        <f>'Consumption Input'!AA46</f>
        <v>15.291095477000001</v>
      </c>
      <c r="AB21" s="74">
        <f>'Consumption Input'!AB46</f>
        <v>16.488781799000002</v>
      </c>
      <c r="AC21" s="74">
        <f>'Consumption Input'!AC46</f>
        <v>14.783479928</v>
      </c>
      <c r="AD21" s="74">
        <f>'Consumption Input'!AD46</f>
        <v>12.357388007999999</v>
      </c>
      <c r="AE21" s="74">
        <f>'Consumption Input'!AE46</f>
        <v>12.84910683</v>
      </c>
      <c r="AF21" s="74">
        <f>'Consumption Input'!AF46</f>
        <v>10.161640824999997</v>
      </c>
      <c r="AG21" s="74">
        <f>'Consumption Input'!AG46</f>
        <v>12.411722589</v>
      </c>
      <c r="AH21" s="74">
        <f>'Consumption Input'!AH46</f>
        <v>10.423690423999998</v>
      </c>
      <c r="AI21" s="74">
        <f>'Consumption Input'!AI46</f>
        <v>9.2053898509999996</v>
      </c>
      <c r="AJ21" s="74">
        <f>'Consumption Input'!AJ46</f>
        <v>11.791190998999999</v>
      </c>
      <c r="AK21" s="74">
        <f>'Consumption Input'!AK46</f>
        <v>13.038350416</v>
      </c>
      <c r="AL21" s="10"/>
    </row>
    <row r="22" spans="2:38">
      <c r="C22" s="21">
        <v>18</v>
      </c>
      <c r="D22" s="463" t="s">
        <v>1897</v>
      </c>
      <c r="E22" s="74">
        <f>'Consumption Input'!E38</f>
        <v>137.83467599999997</v>
      </c>
      <c r="F22" s="74">
        <f>'Consumption Input'!F38</f>
        <v>152.626068</v>
      </c>
      <c r="G22" s="74">
        <f>'Consumption Input'!G38</f>
        <v>100.062144</v>
      </c>
      <c r="H22" s="74">
        <f>'Consumption Input'!H38</f>
        <v>94.718232</v>
      </c>
      <c r="I22" s="74">
        <f>'Consumption Input'!I38</f>
        <v>105.85234800000001</v>
      </c>
      <c r="J22" s="74">
        <f>'Consumption Input'!J38</f>
        <v>97.123571999999996</v>
      </c>
      <c r="K22" s="74">
        <f>'Consumption Input'!K38</f>
        <v>89.032355999999993</v>
      </c>
      <c r="L22" s="74">
        <f>'Consumption Input'!L38</f>
        <v>97.749539999999996</v>
      </c>
      <c r="M22" s="74">
        <f>'Consumption Input'!M38</f>
        <v>118.98608400000001</v>
      </c>
      <c r="N22" s="74">
        <f>'Consumption Input'!N38</f>
        <v>111.90916799999999</v>
      </c>
      <c r="O22" s="74">
        <f>'Consumption Input'!O38</f>
        <v>119.20633199999999</v>
      </c>
      <c r="P22" s="74">
        <f>'Consumption Input'!P38</f>
        <v>124.9038</v>
      </c>
      <c r="Q22" s="74">
        <f>'Consumption Input'!Q38</f>
        <v>134.17740000000001</v>
      </c>
      <c r="R22" s="74">
        <f>'Consumption Input'!R38</f>
        <v>125.964468</v>
      </c>
      <c r="S22" s="74">
        <f>'Consumption Input'!S38</f>
        <v>113.421924</v>
      </c>
      <c r="T22" s="74">
        <f>'Consumption Input'!T38</f>
        <v>112.79127862799999</v>
      </c>
      <c r="U22" s="74">
        <f>'Consumption Input'!U38</f>
        <v>136.03287348000001</v>
      </c>
      <c r="V22" s="74">
        <f>'Consumption Input'!V38</f>
        <v>133.47382356</v>
      </c>
      <c r="W22" s="74">
        <f>'Consumption Input'!W38</f>
        <v>142.028916624</v>
      </c>
      <c r="X22" s="74">
        <f>'Consumption Input'!X38</f>
        <v>151.82563460399999</v>
      </c>
      <c r="Y22" s="74">
        <f>'Consumption Input'!Y38</f>
        <v>158.69992823999999</v>
      </c>
      <c r="Z22" s="74">
        <f>'Consumption Input'!Z38</f>
        <v>164.74156271999999</v>
      </c>
      <c r="AA22" s="74">
        <f>'Consumption Input'!AA38</f>
        <v>161.582447124</v>
      </c>
      <c r="AB22" s="74">
        <f>'Consumption Input'!AB38</f>
        <v>171.16153109999999</v>
      </c>
      <c r="AC22" s="74">
        <f>'Consumption Input'!AC38</f>
        <v>182.74043793600001</v>
      </c>
      <c r="AD22" s="74">
        <f>'Consumption Input'!AD38</f>
        <v>188.926108812</v>
      </c>
      <c r="AE22" s="74">
        <f>'Consumption Input'!AE38</f>
        <v>191.34131360399999</v>
      </c>
      <c r="AF22" s="74">
        <f>'Consumption Input'!AF38</f>
        <v>198.81032320799997</v>
      </c>
      <c r="AG22" s="74">
        <f>'Consumption Input'!AG38</f>
        <v>197.967787668</v>
      </c>
      <c r="AH22" s="74">
        <f>'Consumption Input'!AH38</f>
        <v>180.154361268</v>
      </c>
      <c r="AI22" s="74">
        <f>'Consumption Input'!AI38</f>
        <v>170.665492032</v>
      </c>
      <c r="AJ22" s="74">
        <f>'Consumption Input'!AJ38</f>
        <v>170.80425406800001</v>
      </c>
      <c r="AK22" s="74">
        <f>'Consumption Input'!AK38</f>
        <v>183.38850028799999</v>
      </c>
      <c r="AL22" s="10"/>
    </row>
    <row r="23" spans="2:38">
      <c r="C23" s="21">
        <v>19</v>
      </c>
      <c r="D23" s="5" t="s">
        <v>1445</v>
      </c>
      <c r="E23" s="73">
        <f>SUM(E24)</f>
        <v>176</v>
      </c>
      <c r="F23" s="73">
        <f t="shared" ref="F23:X23" si="5">SUM(F24)</f>
        <v>157.44999999999999</v>
      </c>
      <c r="G23" s="73">
        <f t="shared" si="5"/>
        <v>160.52699999999996</v>
      </c>
      <c r="H23" s="73">
        <f t="shared" si="5"/>
        <v>163.458</v>
      </c>
      <c r="I23" s="73">
        <f t="shared" si="5"/>
        <v>170.846</v>
      </c>
      <c r="J23" s="73">
        <f t="shared" si="5"/>
        <v>167.91300000000001</v>
      </c>
      <c r="K23" s="73">
        <f t="shared" si="5"/>
        <v>162.95699999999999</v>
      </c>
      <c r="L23" s="73">
        <f t="shared" si="5"/>
        <v>172.14599999999999</v>
      </c>
      <c r="M23" s="73">
        <f t="shared" si="5"/>
        <v>180.21199999999999</v>
      </c>
      <c r="N23" s="73">
        <f t="shared" si="5"/>
        <v>182.09700000000001</v>
      </c>
      <c r="O23" s="73">
        <f t="shared" si="5"/>
        <v>179.36600000000001</v>
      </c>
      <c r="P23" s="73">
        <f t="shared" si="5"/>
        <v>164.33899999999997</v>
      </c>
      <c r="Q23" s="73">
        <f t="shared" si="5"/>
        <v>162.392</v>
      </c>
      <c r="R23" s="73">
        <f t="shared" si="5"/>
        <v>150.13399999999999</v>
      </c>
      <c r="S23" s="73">
        <f t="shared" si="5"/>
        <v>152.102</v>
      </c>
      <c r="T23" s="73">
        <f t="shared" si="5"/>
        <v>151.30699999999999</v>
      </c>
      <c r="U23" s="73">
        <f t="shared" si="5"/>
        <v>147.41399999999999</v>
      </c>
      <c r="V23" s="73">
        <f t="shared" si="5"/>
        <v>152.23099999999999</v>
      </c>
      <c r="W23" s="73">
        <f t="shared" si="5"/>
        <v>141.33000000000001</v>
      </c>
      <c r="X23" s="73">
        <f t="shared" si="5"/>
        <v>127.06500000000001</v>
      </c>
      <c r="Y23" s="73">
        <f t="shared" ref="Y23:AK23" si="6">SUM(Y24)</f>
        <v>154.773</v>
      </c>
      <c r="Z23" s="73">
        <f t="shared" si="6"/>
        <v>148.37200000000001</v>
      </c>
      <c r="AA23" s="73">
        <f t="shared" si="6"/>
        <v>135.40799999999999</v>
      </c>
      <c r="AB23" s="73">
        <f t="shared" si="6"/>
        <v>143.36099999999999</v>
      </c>
      <c r="AC23" s="73">
        <f t="shared" si="6"/>
        <v>149.36099999999999</v>
      </c>
      <c r="AD23" s="73">
        <f t="shared" si="6"/>
        <v>162.81100000000001</v>
      </c>
      <c r="AE23" s="73">
        <f t="shared" si="6"/>
        <v>154.351</v>
      </c>
      <c r="AF23" s="73">
        <f t="shared" si="6"/>
        <v>141.983</v>
      </c>
      <c r="AG23" s="73">
        <f t="shared" si="6"/>
        <v>136.98599999999999</v>
      </c>
      <c r="AH23" s="73">
        <f t="shared" si="6"/>
        <v>131.32900000000001</v>
      </c>
      <c r="AI23" s="73">
        <f t="shared" si="6"/>
        <v>115.61499999999999</v>
      </c>
      <c r="AJ23" s="73">
        <f t="shared" si="6"/>
        <v>119.03799999999998</v>
      </c>
      <c r="AK23" s="73">
        <f t="shared" si="6"/>
        <v>125.386</v>
      </c>
      <c r="AL23" s="10"/>
    </row>
    <row r="24" spans="2:38">
      <c r="C24" s="21">
        <v>20</v>
      </c>
      <c r="D24" s="6" t="s">
        <v>1610</v>
      </c>
      <c r="E24" s="74">
        <f>'Consumption Input'!E54</f>
        <v>176</v>
      </c>
      <c r="F24" s="74">
        <f>'Consumption Input'!F54</f>
        <v>157.44999999999999</v>
      </c>
      <c r="G24" s="74">
        <f>'Consumption Input'!G54</f>
        <v>160.52699999999996</v>
      </c>
      <c r="H24" s="74">
        <f>'Consumption Input'!H54</f>
        <v>163.458</v>
      </c>
      <c r="I24" s="74">
        <f>'Consumption Input'!I54</f>
        <v>170.846</v>
      </c>
      <c r="J24" s="74">
        <f>'Consumption Input'!J54</f>
        <v>167.91300000000001</v>
      </c>
      <c r="K24" s="74">
        <f>'Consumption Input'!K54</f>
        <v>162.95699999999999</v>
      </c>
      <c r="L24" s="74">
        <f>'Consumption Input'!L54</f>
        <v>172.14599999999999</v>
      </c>
      <c r="M24" s="74">
        <f>'Consumption Input'!M54</f>
        <v>180.21199999999999</v>
      </c>
      <c r="N24" s="74">
        <f>'Consumption Input'!N54</f>
        <v>182.09700000000001</v>
      </c>
      <c r="O24" s="74">
        <f>'Consumption Input'!O54</f>
        <v>179.36600000000001</v>
      </c>
      <c r="P24" s="74">
        <f>'Consumption Input'!P54</f>
        <v>164.33899999999997</v>
      </c>
      <c r="Q24" s="74">
        <f>'Consumption Input'!Q54</f>
        <v>162.392</v>
      </c>
      <c r="R24" s="74">
        <f>'Consumption Input'!R54</f>
        <v>150.13399999999999</v>
      </c>
      <c r="S24" s="74">
        <f>'Consumption Input'!S54</f>
        <v>152.102</v>
      </c>
      <c r="T24" s="74">
        <f>'Consumption Input'!T54</f>
        <v>151.30699999999999</v>
      </c>
      <c r="U24" s="74">
        <f>'Consumption Input'!U54</f>
        <v>147.41399999999999</v>
      </c>
      <c r="V24" s="74">
        <f>'Consumption Input'!V54</f>
        <v>152.23099999999999</v>
      </c>
      <c r="W24" s="74">
        <f>'Consumption Input'!W54</f>
        <v>141.33000000000001</v>
      </c>
      <c r="X24" s="74">
        <f>'Consumption Input'!X54</f>
        <v>127.06500000000001</v>
      </c>
      <c r="Y24" s="74">
        <f>'Consumption Input'!Y54</f>
        <v>154.773</v>
      </c>
      <c r="Z24" s="74">
        <f>'Consumption Input'!Z54</f>
        <v>148.37200000000001</v>
      </c>
      <c r="AA24" s="74">
        <f>'Consumption Input'!AA54</f>
        <v>135.40799999999999</v>
      </c>
      <c r="AB24" s="74">
        <f>'Consumption Input'!AB54</f>
        <v>143.36099999999999</v>
      </c>
      <c r="AC24" s="74">
        <f>'Consumption Input'!AC54</f>
        <v>149.36099999999999</v>
      </c>
      <c r="AD24" s="74">
        <f>'Consumption Input'!AD54</f>
        <v>162.81100000000001</v>
      </c>
      <c r="AE24" s="74">
        <f>'Consumption Input'!AE54</f>
        <v>154.351</v>
      </c>
      <c r="AF24" s="74">
        <f>'Consumption Input'!AF54</f>
        <v>141.983</v>
      </c>
      <c r="AG24" s="74">
        <f>'Consumption Input'!AG54</f>
        <v>136.98599999999999</v>
      </c>
      <c r="AH24" s="74">
        <f>'Consumption Input'!AH54</f>
        <v>131.32900000000001</v>
      </c>
      <c r="AI24" s="74">
        <f>'Consumption Input'!AI54</f>
        <v>115.61499999999999</v>
      </c>
      <c r="AJ24" s="74">
        <f>'Consumption Input'!AJ54</f>
        <v>119.03799999999998</v>
      </c>
      <c r="AK24" s="74">
        <f>'Consumption Input'!AK54</f>
        <v>125.386</v>
      </c>
      <c r="AL24" s="10"/>
    </row>
    <row r="25" spans="2:38">
      <c r="C25" s="21">
        <v>21</v>
      </c>
      <c r="D25" s="5" t="s">
        <v>1476</v>
      </c>
      <c r="E25" s="504">
        <f t="shared" ref="E25:T25" si="7">SUM(E26:E27)</f>
        <v>50.817426838388144</v>
      </c>
      <c r="F25" s="504">
        <f t="shared" si="7"/>
        <v>64.392210830673108</v>
      </c>
      <c r="G25" s="504">
        <f t="shared" si="7"/>
        <v>35.584726269756771</v>
      </c>
      <c r="H25" s="504">
        <f t="shared" si="7"/>
        <v>38.82687997842676</v>
      </c>
      <c r="I25" s="504">
        <f t="shared" si="7"/>
        <v>30.384964583127942</v>
      </c>
      <c r="J25" s="504">
        <f t="shared" si="7"/>
        <v>55.440855107745996</v>
      </c>
      <c r="K25" s="504">
        <f t="shared" si="7"/>
        <v>72.741515904336197</v>
      </c>
      <c r="L25" s="504">
        <f t="shared" si="7"/>
        <v>77.404311671140903</v>
      </c>
      <c r="M25" s="504">
        <f t="shared" si="7"/>
        <v>76.60236589583549</v>
      </c>
      <c r="N25" s="504">
        <f t="shared" si="7"/>
        <v>135.24424760711611</v>
      </c>
      <c r="O25" s="504">
        <f t="shared" si="7"/>
        <v>140.82437068440578</v>
      </c>
      <c r="P25" s="504">
        <f t="shared" si="7"/>
        <v>85.513379103072083</v>
      </c>
      <c r="Q25" s="504">
        <f t="shared" si="7"/>
        <v>140.23174983666777</v>
      </c>
      <c r="R25" s="504">
        <f t="shared" si="7"/>
        <v>120.62307560578336</v>
      </c>
      <c r="S25" s="504">
        <f t="shared" si="7"/>
        <v>113.39347688504112</v>
      </c>
      <c r="T25" s="504">
        <f t="shared" si="7"/>
        <v>114.92968618294523</v>
      </c>
      <c r="U25" s="504">
        <f t="shared" ref="U25:Z25" si="8">SUM(U26:U27)</f>
        <v>98.559137302910813</v>
      </c>
      <c r="V25" s="504">
        <f t="shared" si="8"/>
        <v>110.98064553734055</v>
      </c>
      <c r="W25" s="504">
        <f t="shared" si="8"/>
        <v>78.017961025666509</v>
      </c>
      <c r="X25" s="504">
        <f t="shared" si="8"/>
        <v>40.347229932612429</v>
      </c>
      <c r="Y25" s="504">
        <f t="shared" si="8"/>
        <v>27.417366214417783</v>
      </c>
      <c r="Z25" s="504">
        <f t="shared" si="8"/>
        <v>14.600021119828765</v>
      </c>
      <c r="AA25" s="504">
        <f t="shared" ref="AA25:AE25" si="9">SUM(AA26:AA27)</f>
        <v>17.620195201115784</v>
      </c>
      <c r="AB25" s="504">
        <f t="shared" si="9"/>
        <v>10.535102645808543</v>
      </c>
      <c r="AC25" s="504">
        <f t="shared" si="9"/>
        <v>10.65345324133561</v>
      </c>
      <c r="AD25" s="504">
        <f t="shared" si="9"/>
        <v>10.348744679691782</v>
      </c>
      <c r="AE25" s="504">
        <f t="shared" si="9"/>
        <v>10.512288057953826</v>
      </c>
      <c r="AF25" s="504">
        <f>SUM(AF26:AF27)</f>
        <v>3.4910608509255567</v>
      </c>
      <c r="AG25" s="504">
        <f t="shared" ref="AG25:AH25" si="10">SUM(AG26:AG27)</f>
        <v>3.5746380564039066</v>
      </c>
      <c r="AH25" s="504">
        <f t="shared" si="10"/>
        <v>3.6425698478538049</v>
      </c>
      <c r="AI25" s="504">
        <f t="shared" ref="AI25:AJ25" si="11">SUM(AI26:AI27)</f>
        <v>1.0447859369999999</v>
      </c>
      <c r="AJ25" s="504">
        <f t="shared" si="11"/>
        <v>1.0453579184999999</v>
      </c>
      <c r="AK25" s="504">
        <f t="shared" ref="AK25" si="12">SUM(AK26:AK27)</f>
        <v>1.0453579184999999</v>
      </c>
      <c r="AL25" s="10"/>
    </row>
    <row r="26" spans="2:38">
      <c r="C26" s="21">
        <v>22</v>
      </c>
      <c r="D26" s="6" t="s">
        <v>1610</v>
      </c>
      <c r="E26" s="464">
        <f>'US Territories'!D35</f>
        <v>0.70887719999999999</v>
      </c>
      <c r="F26" s="464">
        <f>'US Territories'!E35</f>
        <v>0.59589989625000006</v>
      </c>
      <c r="G26" s="464">
        <f>'US Territories'!F35</f>
        <v>1.4709201899999997</v>
      </c>
      <c r="H26" s="464">
        <f>'US Territories'!G35</f>
        <v>1.7262798491609597</v>
      </c>
      <c r="I26" s="464">
        <f>'US Territories'!H35</f>
        <v>1.8873855450000001</v>
      </c>
      <c r="J26" s="464">
        <f>'US Territories'!I35</f>
        <v>2.0092238137500003</v>
      </c>
      <c r="K26" s="464">
        <f>'US Territories'!J35</f>
        <v>1.4692859956352455</v>
      </c>
      <c r="L26" s="464">
        <f>'US Territories'!K35</f>
        <v>2.4699939937500002</v>
      </c>
      <c r="M26" s="464">
        <f>'US Territories'!L35</f>
        <v>1.2671179950000002</v>
      </c>
      <c r="N26" s="464">
        <f>'US Territories'!M35</f>
        <v>1.3778800575000003</v>
      </c>
      <c r="O26" s="464">
        <f>'US Territories'!N35</f>
        <v>3.1041098278483639</v>
      </c>
      <c r="P26" s="464">
        <f>'US Territories'!O35</f>
        <v>2.514626553071917</v>
      </c>
      <c r="Q26" s="464">
        <f>'US Territories'!P35</f>
        <v>3.0250545519965732</v>
      </c>
      <c r="R26" s="464">
        <f>'US Territories'!Q35</f>
        <v>4.8564218045650707</v>
      </c>
      <c r="S26" s="464">
        <f>'US Territories'!R35</f>
        <v>5.072055102459017</v>
      </c>
      <c r="T26" s="464">
        <f>'US Territories'!S35</f>
        <v>4.5822113527397264</v>
      </c>
      <c r="U26" s="464">
        <f>'US Territories'!T35</f>
        <v>6.1902337340753419</v>
      </c>
      <c r="V26" s="464">
        <f>'US Territories'!U35</f>
        <v>5.9368640874089742</v>
      </c>
      <c r="W26" s="464">
        <f>'US Territories'!V35</f>
        <v>2.6563538523058252</v>
      </c>
      <c r="X26" s="464">
        <f>'US Territories'!W35</f>
        <v>1.0411633874999999</v>
      </c>
      <c r="Y26" s="464">
        <f>'US Territories'!X35</f>
        <v>1.0411633874999999</v>
      </c>
      <c r="Z26" s="464">
        <f>'US Territories'!Y35</f>
        <v>1.0411633874999999</v>
      </c>
      <c r="AA26" s="464">
        <f>'US Territories'!Z35</f>
        <v>1.0411633874999999</v>
      </c>
      <c r="AB26" s="464">
        <f>'US Territories'!AA35</f>
        <v>1.0411633874999999</v>
      </c>
      <c r="AC26" s="464">
        <f>'US Territories'!AB35</f>
        <v>1.0411633874999999</v>
      </c>
      <c r="AD26" s="464">
        <f>'US Territories'!AC35</f>
        <v>1.0411633874999999</v>
      </c>
      <c r="AE26" s="464">
        <f>'US Territories'!AD35</f>
        <v>1.0411633874999999</v>
      </c>
      <c r="AF26" s="464">
        <f>'US Territories'!AE35</f>
        <v>1.0411633874999999</v>
      </c>
      <c r="AG26" s="464">
        <f>'US Territories'!AF35</f>
        <v>1.0411633874999999</v>
      </c>
      <c r="AH26" s="464">
        <f>'US Territories'!AG35</f>
        <v>1.0411633874999999</v>
      </c>
      <c r="AI26" s="464">
        <f>'US Territories'!AH35</f>
        <v>1.0411633874999999</v>
      </c>
      <c r="AJ26" s="464">
        <f>'US Territories'!AI35</f>
        <v>1.0411633874999999</v>
      </c>
      <c r="AK26" s="464">
        <f>'US Territories'!AJ35</f>
        <v>1.0411633874999999</v>
      </c>
      <c r="AL26" s="10"/>
    </row>
    <row r="27" spans="2:38">
      <c r="C27" s="21">
        <v>23</v>
      </c>
      <c r="D27" s="6" t="s">
        <v>1785</v>
      </c>
      <c r="E27" s="464">
        <f>'US Territories'!D38</f>
        <v>50.108549638388141</v>
      </c>
      <c r="F27" s="464">
        <f>'US Territories'!E38</f>
        <v>63.796310934423104</v>
      </c>
      <c r="G27" s="464">
        <f>'US Territories'!F38</f>
        <v>34.11380607975677</v>
      </c>
      <c r="H27" s="464">
        <f>'US Territories'!G38</f>
        <v>37.1006001292658</v>
      </c>
      <c r="I27" s="464">
        <f>'US Territories'!H38</f>
        <v>28.497579038127942</v>
      </c>
      <c r="J27" s="464">
        <f>'US Territories'!I38</f>
        <v>53.431631293995999</v>
      </c>
      <c r="K27" s="464">
        <f>'US Territories'!J38</f>
        <v>71.27222990870095</v>
      </c>
      <c r="L27" s="464">
        <f>'US Territories'!K38</f>
        <v>74.934317677390908</v>
      </c>
      <c r="M27" s="464">
        <f>'US Territories'!L38</f>
        <v>75.335247900835483</v>
      </c>
      <c r="N27" s="464">
        <f>'US Territories'!M38</f>
        <v>133.86636754961611</v>
      </c>
      <c r="O27" s="464">
        <f>'US Territories'!N38</f>
        <v>137.72026085655742</v>
      </c>
      <c r="P27" s="464">
        <f>'US Territories'!O38</f>
        <v>82.998752550000162</v>
      </c>
      <c r="Q27" s="464">
        <f>'US Territories'!P38</f>
        <v>137.20669528467121</v>
      </c>
      <c r="R27" s="464">
        <f>'US Territories'!Q38</f>
        <v>115.76665380121828</v>
      </c>
      <c r="S27" s="464">
        <f>'US Territories'!R38</f>
        <v>108.32142178258211</v>
      </c>
      <c r="T27" s="464">
        <f>'US Territories'!S38</f>
        <v>110.34747483020551</v>
      </c>
      <c r="U27" s="464">
        <f>'US Territories'!T38</f>
        <v>92.368903568835464</v>
      </c>
      <c r="V27" s="464">
        <f>'US Territories'!U38</f>
        <v>105.04378144993157</v>
      </c>
      <c r="W27" s="464">
        <f>'US Territories'!V38</f>
        <v>75.361607173360682</v>
      </c>
      <c r="X27" s="464">
        <f>'US Territories'!W38</f>
        <v>39.306066545112429</v>
      </c>
      <c r="Y27" s="464">
        <f>'US Territories'!X38</f>
        <v>26.376202826917783</v>
      </c>
      <c r="Z27" s="464">
        <f>'US Territories'!Y38</f>
        <v>13.558857732328766</v>
      </c>
      <c r="AA27" s="464">
        <f>'US Territories'!Z38</f>
        <v>16.579031813615785</v>
      </c>
      <c r="AB27" s="464">
        <f>'US Territories'!AA38</f>
        <v>9.4939392583085436</v>
      </c>
      <c r="AC27" s="464">
        <f>'US Territories'!AB38</f>
        <v>9.6122898538356107</v>
      </c>
      <c r="AD27" s="464">
        <f>'US Territories'!AC38</f>
        <v>9.3075812921917827</v>
      </c>
      <c r="AE27" s="464">
        <f>'US Territories'!AD38</f>
        <v>9.4711246704538272</v>
      </c>
      <c r="AF27" s="464">
        <f>'US Territories'!AE38</f>
        <v>2.449897463425557</v>
      </c>
      <c r="AG27" s="464">
        <f>'US Territories'!AF38</f>
        <v>2.5334746689039065</v>
      </c>
      <c r="AH27" s="464">
        <f>'US Territories'!AG38</f>
        <v>2.6014064603538047</v>
      </c>
      <c r="AI27" s="464">
        <f>'US Territories'!AH38</f>
        <v>3.6225494999999998E-3</v>
      </c>
      <c r="AJ27" s="464">
        <f>'US Territories'!AI38</f>
        <v>4.1945309999999996E-3</v>
      </c>
      <c r="AK27" s="464">
        <f>'US Territories'!AJ38</f>
        <v>4.1945309999999996E-3</v>
      </c>
      <c r="AL27" s="10"/>
    </row>
    <row r="28" spans="2:38">
      <c r="C28" s="21">
        <v>24</v>
      </c>
      <c r="D28" s="4" t="s">
        <v>1480</v>
      </c>
      <c r="E28" s="81">
        <f t="shared" ref="E28:V28" si="13">E6+E23+E25</f>
        <v>4745.9009196096195</v>
      </c>
      <c r="F28" s="81">
        <f t="shared" si="13"/>
        <v>4767.6938879112686</v>
      </c>
      <c r="G28" s="81">
        <f t="shared" si="13"/>
        <v>4961.6822728649704</v>
      </c>
      <c r="H28" s="81">
        <f t="shared" si="13"/>
        <v>4933.4635537971026</v>
      </c>
      <c r="I28" s="81">
        <f t="shared" si="13"/>
        <v>5248.0343416423048</v>
      </c>
      <c r="J28" s="81">
        <f t="shared" si="13"/>
        <v>5209.2412120486269</v>
      </c>
      <c r="K28" s="81">
        <f t="shared" si="13"/>
        <v>5303.5689834111354</v>
      </c>
      <c r="L28" s="81">
        <f t="shared" si="13"/>
        <v>5596.5839260794619</v>
      </c>
      <c r="M28" s="81">
        <f t="shared" si="13"/>
        <v>5714.751446610092</v>
      </c>
      <c r="N28" s="81">
        <f t="shared" si="13"/>
        <v>6158.5043665658695</v>
      </c>
      <c r="O28" s="81">
        <f t="shared" si="13"/>
        <v>5724.490571119497</v>
      </c>
      <c r="P28" s="81">
        <f t="shared" si="13"/>
        <v>5381.24336423774</v>
      </c>
      <c r="Q28" s="81">
        <f t="shared" si="13"/>
        <v>5615.6320010761056</v>
      </c>
      <c r="R28" s="81">
        <f t="shared" si="13"/>
        <v>5503.9286571735629</v>
      </c>
      <c r="S28" s="81">
        <f t="shared" si="13"/>
        <v>6004.2260764433604</v>
      </c>
      <c r="T28" s="81">
        <f t="shared" si="13"/>
        <v>5654.9462989589601</v>
      </c>
      <c r="U28" s="81">
        <f>U6+U23+U25</f>
        <v>5645.040771795304</v>
      </c>
      <c r="V28" s="81">
        <f t="shared" si="13"/>
        <v>5414.0321362717523</v>
      </c>
      <c r="W28" s="81">
        <f t="shared" ref="W28:AB28" si="14">W6+W23+W25</f>
        <v>4944.9673573841255</v>
      </c>
      <c r="X28" s="81">
        <f t="shared" si="14"/>
        <v>4661.6844950259192</v>
      </c>
      <c r="Y28" s="81">
        <f t="shared" si="14"/>
        <v>4839.5087866629747</v>
      </c>
      <c r="Z28" s="81">
        <f t="shared" si="14"/>
        <v>4798.7307991455482</v>
      </c>
      <c r="AA28" s="81">
        <f t="shared" si="14"/>
        <v>4709.9809884806173</v>
      </c>
      <c r="AB28" s="81">
        <f t="shared" si="14"/>
        <v>4935.9433831079768</v>
      </c>
      <c r="AC28" s="81">
        <f>AC6+AC23+AC25</f>
        <v>4840.4579054203914</v>
      </c>
      <c r="AD28" s="81">
        <f>AD6+AD23+AD25</f>
        <v>5115.524533959795</v>
      </c>
      <c r="AE28" s="81">
        <f>AE6+AE23+AE25</f>
        <v>5215.0455872120729</v>
      </c>
      <c r="AF28" s="81">
        <f>AF6+AF23+AF25</f>
        <v>5437.977893470219</v>
      </c>
      <c r="AG28" s="81">
        <f t="shared" ref="AG28:AH28" si="15">AG6+AG23+AG25</f>
        <v>5817.8212296432248</v>
      </c>
      <c r="AH28" s="81">
        <f t="shared" si="15"/>
        <v>5848.3862018306263</v>
      </c>
      <c r="AI28" s="81">
        <f t="shared" ref="AI28:AJ28" si="16">AI6+AI23+AI25</f>
        <v>5800.8361311319322</v>
      </c>
      <c r="AJ28" s="81">
        <f t="shared" si="16"/>
        <v>6036.584904579624</v>
      </c>
      <c r="AK28" s="81">
        <f t="shared" ref="AK28" si="17">AK6+AK23+AK25</f>
        <v>6071.5480146060836</v>
      </c>
      <c r="AL28" s="10"/>
    </row>
    <row r="29" spans="2:38">
      <c r="B29" s="505"/>
      <c r="D29" s="1" t="s">
        <v>1898</v>
      </c>
      <c r="E29" s="461"/>
      <c r="F29" s="461"/>
      <c r="G29" s="461"/>
      <c r="H29" s="461"/>
      <c r="I29" s="461"/>
      <c r="J29" s="461"/>
      <c r="K29" s="461"/>
      <c r="L29" s="461"/>
      <c r="M29" s="461"/>
      <c r="N29" s="461"/>
      <c r="O29" s="461"/>
      <c r="P29" s="461"/>
      <c r="Q29" s="461"/>
      <c r="R29" s="461"/>
      <c r="S29" s="461"/>
      <c r="T29" s="461"/>
      <c r="V29" s="1"/>
      <c r="W29" s="461"/>
      <c r="X29" s="461"/>
      <c r="Y29" s="461"/>
      <c r="Z29" s="461"/>
      <c r="AA29" s="461"/>
      <c r="AB29" s="461"/>
      <c r="AC29" s="461"/>
      <c r="AD29" s="461"/>
      <c r="AE29" s="461"/>
      <c r="AF29" s="461"/>
      <c r="AG29" s="461"/>
      <c r="AH29" s="461"/>
      <c r="AI29" s="461"/>
      <c r="AJ29" s="461"/>
      <c r="AK29" s="461"/>
    </row>
    <row r="30" spans="2:38" ht="13.5" thickBot="1">
      <c r="B30" s="505"/>
      <c r="D30" s="6"/>
      <c r="O30" s="1"/>
      <c r="V30" s="1"/>
      <c r="W30" s="1"/>
      <c r="X30" s="1"/>
      <c r="Y30" s="1"/>
      <c r="Z30" s="1"/>
      <c r="AJ30" s="529"/>
      <c r="AK30" s="529"/>
    </row>
    <row r="31" spans="2:38">
      <c r="B31" s="506"/>
      <c r="C31" s="507"/>
      <c r="D31" s="501"/>
      <c r="E31" s="507"/>
      <c r="F31" s="507"/>
      <c r="G31" s="507"/>
      <c r="H31" s="507"/>
      <c r="I31" s="507"/>
      <c r="J31" s="507"/>
      <c r="K31" s="507"/>
      <c r="L31" s="507"/>
      <c r="M31" s="507"/>
      <c r="N31" s="507"/>
      <c r="O31" s="507"/>
      <c r="P31" s="507"/>
      <c r="Q31" s="507"/>
      <c r="R31" s="507"/>
      <c r="S31" s="507"/>
      <c r="T31" s="507"/>
      <c r="U31" s="507"/>
      <c r="V31" s="507"/>
      <c r="W31" s="507"/>
      <c r="X31" s="507"/>
      <c r="Y31" s="507"/>
      <c r="Z31" s="507"/>
      <c r="AA31" s="507"/>
      <c r="AB31" s="507"/>
      <c r="AC31" s="507"/>
      <c r="AD31" s="507"/>
      <c r="AE31" s="507"/>
      <c r="AF31" s="507"/>
      <c r="AG31" s="507"/>
      <c r="AH31" s="507"/>
      <c r="AI31" s="507"/>
    </row>
    <row r="32" spans="2:38">
      <c r="B32" s="505"/>
      <c r="D32" s="408" t="s">
        <v>1899</v>
      </c>
      <c r="O32" s="1"/>
      <c r="W32" s="1"/>
      <c r="X32" s="1"/>
      <c r="Y32" s="1"/>
      <c r="Z32" s="1"/>
    </row>
    <row r="33" spans="3:41">
      <c r="C33" s="45"/>
      <c r="D33" s="1" t="s">
        <v>1900</v>
      </c>
      <c r="W33" s="1"/>
      <c r="X33" s="47"/>
      <c r="Y33" s="1"/>
      <c r="Z33" s="1"/>
    </row>
    <row r="34" spans="3:41">
      <c r="C34" s="45"/>
      <c r="D34" s="4" t="s">
        <v>1503</v>
      </c>
      <c r="E34" s="460">
        <v>1990</v>
      </c>
      <c r="F34" s="460">
        <v>1991</v>
      </c>
      <c r="G34" s="460">
        <v>1992</v>
      </c>
      <c r="H34" s="460">
        <v>1993</v>
      </c>
      <c r="I34" s="460">
        <v>1994</v>
      </c>
      <c r="J34" s="460">
        <v>1995</v>
      </c>
      <c r="K34" s="460">
        <v>1996</v>
      </c>
      <c r="L34" s="460">
        <v>1997</v>
      </c>
      <c r="M34" s="460">
        <v>1998</v>
      </c>
      <c r="N34" s="460">
        <v>1999</v>
      </c>
      <c r="O34" s="460">
        <v>2000</v>
      </c>
      <c r="P34" s="460">
        <v>2001</v>
      </c>
      <c r="Q34" s="460">
        <v>2002</v>
      </c>
      <c r="R34" s="460">
        <v>2003</v>
      </c>
      <c r="S34" s="460">
        <v>2004</v>
      </c>
      <c r="T34" s="460">
        <v>2005</v>
      </c>
      <c r="U34" s="460">
        <v>2006</v>
      </c>
      <c r="V34" s="460">
        <v>2007</v>
      </c>
      <c r="W34" s="460">
        <v>2008</v>
      </c>
      <c r="X34" s="460">
        <v>2009</v>
      </c>
      <c r="Y34" s="460">
        <v>2010</v>
      </c>
      <c r="Z34" s="460">
        <v>2011</v>
      </c>
      <c r="AA34" s="460">
        <v>2012</v>
      </c>
      <c r="AB34" s="460">
        <v>2013</v>
      </c>
      <c r="AC34" s="460">
        <v>2014</v>
      </c>
      <c r="AD34" s="460">
        <v>2015</v>
      </c>
      <c r="AE34" s="460">
        <v>2016</v>
      </c>
      <c r="AF34" s="460">
        <v>2017</v>
      </c>
      <c r="AG34" s="460">
        <v>2018</v>
      </c>
      <c r="AH34" s="460">
        <v>2019</v>
      </c>
      <c r="AI34" s="460">
        <v>2020</v>
      </c>
      <c r="AJ34" s="460">
        <v>2021</v>
      </c>
      <c r="AK34" s="460">
        <v>2022</v>
      </c>
    </row>
    <row r="35" spans="3:41">
      <c r="C35" s="45"/>
      <c r="D35" s="229" t="s">
        <v>1901</v>
      </c>
      <c r="E35" s="508">
        <f>E9/SUM(E$9,E$11,E$13,E$14,E$15,E$18)</f>
        <v>0.10859544207183257</v>
      </c>
      <c r="F35" s="508">
        <f t="shared" ref="F35:R35" si="18">F9/SUM(F$9,F$11,F$13,F$14,F$15,F$18)</f>
        <v>0.101905243403506</v>
      </c>
      <c r="G35" s="508">
        <f t="shared" si="18"/>
        <v>0.10154549185410768</v>
      </c>
      <c r="H35" s="508">
        <f t="shared" si="18"/>
        <v>0.1082961859851487</v>
      </c>
      <c r="I35" s="508">
        <f t="shared" si="18"/>
        <v>0.10544397348576554</v>
      </c>
      <c r="J35" s="508">
        <f t="shared" si="18"/>
        <v>0.11354638894122117</v>
      </c>
      <c r="K35" s="508">
        <f t="shared" si="18"/>
        <v>0.1137601401251796</v>
      </c>
      <c r="L35" s="508">
        <f t="shared" si="18"/>
        <v>0.1104656788133422</v>
      </c>
      <c r="M35" s="508">
        <f t="shared" si="18"/>
        <v>0.11675578099386574</v>
      </c>
      <c r="N35" s="508">
        <f t="shared" si="18"/>
        <v>0.10675211805714344</v>
      </c>
      <c r="O35" s="508">
        <f t="shared" si="18"/>
        <v>0.11176307108142414</v>
      </c>
      <c r="P35" s="508">
        <f t="shared" si="18"/>
        <v>0.11985806634087634</v>
      </c>
      <c r="Q35" s="508">
        <f t="shared" si="18"/>
        <v>0.10990978586784128</v>
      </c>
      <c r="R35" s="508">
        <f t="shared" si="18"/>
        <v>0.10038173087013839</v>
      </c>
      <c r="S35" s="508">
        <f t="shared" ref="S35:Y35" si="19">S9/SUM(S$9,S$11,S$13,S$14,S$15,S$18)</f>
        <v>8.3873247401474116E-2</v>
      </c>
      <c r="T35" s="508">
        <f t="shared" si="19"/>
        <v>7.9543730307894286E-2</v>
      </c>
      <c r="U35" s="508">
        <f t="shared" si="19"/>
        <v>6.7493181937344771E-2</v>
      </c>
      <c r="V35" s="508">
        <f t="shared" si="19"/>
        <v>7.51026116101976E-2</v>
      </c>
      <c r="W35" s="508">
        <f>W9/SUM(W$9,W$11,W$13,W$14,W$15,W$18)</f>
        <v>8.8403344014435656E-2</v>
      </c>
      <c r="X35" s="508">
        <f t="shared" si="19"/>
        <v>9.7621883251941641E-2</v>
      </c>
      <c r="Y35" s="508">
        <f t="shared" si="19"/>
        <v>9.7504227752552242E-2</v>
      </c>
      <c r="Z35" s="508">
        <f t="shared" ref="Z35:AE35" si="20">Z9/SUM(Z$9,Z$11,Z$13,Z$14,Z$15,Z$18)</f>
        <v>9.9154425426308285E-2</v>
      </c>
      <c r="AA35" s="508">
        <f t="shared" si="20"/>
        <v>0.10438242397865644</v>
      </c>
      <c r="AB35" s="508">
        <f t="shared" si="20"/>
        <v>9.7722813384153964E-2</v>
      </c>
      <c r="AC35" s="508">
        <f t="shared" si="20"/>
        <v>0.10111144452630592</v>
      </c>
      <c r="AD35" s="508">
        <f t="shared" si="20"/>
        <v>0.12681856797629446</v>
      </c>
      <c r="AE35" s="508">
        <f t="shared" si="20"/>
        <v>0.15090548874651177</v>
      </c>
      <c r="AF35" s="508">
        <f t="shared" ref="AF35" si="21">AF9/SUM(AF$9,AF$11,AF$13,AF$14,AF$15,AF$18)</f>
        <v>0.16783439762717481</v>
      </c>
      <c r="AG35" s="508">
        <f>AG9/SUM(AG$9,AG$11,AG$13,AG$14,AG$15,AG$18)</f>
        <v>0.17455329456955426</v>
      </c>
      <c r="AH35" s="508">
        <f>AH9/SUM(AH$9,AH$11,AH$13,AH$14,AH$15,AH$18)</f>
        <v>0.17360760847409396</v>
      </c>
      <c r="AI35" s="508">
        <f>AI9/SUM(AI$9,AI$11,AI$13,AI$14,AI$15,AI$18)</f>
        <v>0.17113582449266729</v>
      </c>
      <c r="AJ35" s="508">
        <f>AJ9/SUM(AJ$9,AJ$11,AJ$13,AJ$14,AJ$15,AJ$18)</f>
        <v>0.16517827496772197</v>
      </c>
      <c r="AK35" s="508">
        <f>AK9/SUM(AK$9,AK$11,AK$13,AK$14,AK$15,AK$18)</f>
        <v>0.16341955412648965</v>
      </c>
      <c r="AL35" s="10"/>
      <c r="AM35" s="10"/>
      <c r="AN35" s="10"/>
      <c r="AO35" s="10"/>
    </row>
    <row r="36" spans="3:41">
      <c r="C36" s="45"/>
      <c r="D36" s="6" t="s">
        <v>1609</v>
      </c>
      <c r="E36" s="509">
        <f>E11/SUM(E$9,E$11,E$13,E$14,E$15,E$18)</f>
        <v>0.46228542572321363</v>
      </c>
      <c r="F36" s="509">
        <f t="shared" ref="F36:R36" si="22">F11/SUM(F$9,F$11,F$13,F$14,F$15,F$18)</f>
        <v>0.48708113946448367</v>
      </c>
      <c r="G36" s="509">
        <f t="shared" si="22"/>
        <v>0.48573962852216446</v>
      </c>
      <c r="H36" s="509">
        <f t="shared" si="22"/>
        <v>0.47270895107050542</v>
      </c>
      <c r="I36" s="509">
        <f t="shared" si="22"/>
        <v>0.50193475227767514</v>
      </c>
      <c r="J36" s="509">
        <f t="shared" si="22"/>
        <v>0.50548029796281324</v>
      </c>
      <c r="K36" s="509">
        <f t="shared" si="22"/>
        <v>0.5106195446817231</v>
      </c>
      <c r="L36" s="509">
        <f t="shared" si="22"/>
        <v>0.49003174434934066</v>
      </c>
      <c r="M36" s="509">
        <f t="shared" si="22"/>
        <v>0.47001942133168206</v>
      </c>
      <c r="N36" s="509">
        <f t="shared" si="22"/>
        <v>0.51669326333423127</v>
      </c>
      <c r="O36" s="509">
        <f t="shared" si="22"/>
        <v>0.489501481118016</v>
      </c>
      <c r="P36" s="509">
        <f t="shared" si="22"/>
        <v>0.50243143722488037</v>
      </c>
      <c r="Q36" s="509">
        <f t="shared" si="22"/>
        <v>0.5098942005575523</v>
      </c>
      <c r="R36" s="509">
        <f t="shared" si="22"/>
        <v>0.49469077248765031</v>
      </c>
      <c r="S36" s="509">
        <f t="shared" ref="S36:Y36" si="23">S11/SUM(S$9,S$11,S$13,S$14,S$15,S$18)</f>
        <v>0.48385651718385364</v>
      </c>
      <c r="T36" s="509">
        <f t="shared" si="23"/>
        <v>0.48822405106938765</v>
      </c>
      <c r="U36" s="509">
        <f t="shared" si="23"/>
        <v>0.5016891216621483</v>
      </c>
      <c r="V36" s="509">
        <f t="shared" si="23"/>
        <v>0.5133038106000023</v>
      </c>
      <c r="W36" s="509">
        <f t="shared" si="23"/>
        <v>0.51861332735164645</v>
      </c>
      <c r="X36" s="509">
        <f t="shared" si="23"/>
        <v>0.58620019444455707</v>
      </c>
      <c r="Y36" s="509">
        <f t="shared" si="23"/>
        <v>0.59762430908652608</v>
      </c>
      <c r="Z36" s="509">
        <f t="shared" ref="Z36:AE36" si="24">Z11/SUM(Z$9,Z$11,Z$13,Z$14,Z$15,Z$18)</f>
        <v>0.61713972854915611</v>
      </c>
      <c r="AA36" s="509">
        <f t="shared" si="24"/>
        <v>0.64850365502838125</v>
      </c>
      <c r="AB36" s="509">
        <f t="shared" si="24"/>
        <v>0.64884982298632288</v>
      </c>
      <c r="AC36" s="509">
        <f t="shared" si="24"/>
        <v>0.65542388102990012</v>
      </c>
      <c r="AD36" s="509">
        <f t="shared" si="24"/>
        <v>0.65104356275310027</v>
      </c>
      <c r="AE36" s="509">
        <f t="shared" si="24"/>
        <v>0.64029413322448203</v>
      </c>
      <c r="AF36" s="509">
        <f t="shared" ref="AF36:AH36" si="25">AF11/SUM(AF$9,AF$11,AF$13,AF$14,AF$15,AF$18)</f>
        <v>0.61956366783914885</v>
      </c>
      <c r="AG36" s="509">
        <f t="shared" si="25"/>
        <v>0.63955510100119528</v>
      </c>
      <c r="AH36" s="509">
        <f t="shared" si="25"/>
        <v>0.65415083634334259</v>
      </c>
      <c r="AI36" s="509">
        <f t="shared" ref="AI36:AJ36" si="26">AI11/SUM(AI$9,AI$11,AI$13,AI$14,AI$15,AI$18)</f>
        <v>0.67487530847791521</v>
      </c>
      <c r="AJ36" s="509">
        <f t="shared" si="26"/>
        <v>0.68737409573022368</v>
      </c>
      <c r="AK36" s="509">
        <f t="shared" ref="AK36" si="27">AK11/SUM(AK$9,AK$11,AK$13,AK$14,AK$15,AK$18)</f>
        <v>0.72849230433439005</v>
      </c>
      <c r="AL36" s="10"/>
      <c r="AM36" s="10"/>
      <c r="AN36" s="10"/>
      <c r="AO36" s="10"/>
    </row>
    <row r="37" spans="3:41">
      <c r="C37" s="45"/>
      <c r="D37" s="6" t="s">
        <v>1617</v>
      </c>
      <c r="E37" s="509">
        <f>E13/SUM(E$9,E$11,E$13,E$14,E$15,E$18)</f>
        <v>0</v>
      </c>
      <c r="F37" s="509">
        <f t="shared" ref="F37:R37" si="28">F13/SUM(F$9,F$11,F$13,F$14,F$15,F$18)</f>
        <v>0</v>
      </c>
      <c r="G37" s="509">
        <f t="shared" si="28"/>
        <v>0</v>
      </c>
      <c r="H37" s="509">
        <f t="shared" si="28"/>
        <v>0</v>
      </c>
      <c r="I37" s="509">
        <f t="shared" si="28"/>
        <v>0</v>
      </c>
      <c r="J37" s="509">
        <f t="shared" si="28"/>
        <v>0</v>
      </c>
      <c r="K37" s="509">
        <f t="shared" si="28"/>
        <v>0</v>
      </c>
      <c r="L37" s="509">
        <f t="shared" si="28"/>
        <v>0</v>
      </c>
      <c r="M37" s="509">
        <f t="shared" si="28"/>
        <v>0</v>
      </c>
      <c r="N37" s="509">
        <f t="shared" si="28"/>
        <v>0</v>
      </c>
      <c r="O37" s="509">
        <f t="shared" si="28"/>
        <v>0</v>
      </c>
      <c r="P37" s="509">
        <f t="shared" si="28"/>
        <v>0</v>
      </c>
      <c r="Q37" s="509">
        <f t="shared" si="28"/>
        <v>0</v>
      </c>
      <c r="R37" s="509">
        <f t="shared" si="28"/>
        <v>0</v>
      </c>
      <c r="S37" s="509">
        <f t="shared" ref="S37:T39" si="29">S13/SUM(S$9,S$11,S$13,S$14,S$15,S$18)</f>
        <v>0</v>
      </c>
      <c r="T37" s="509">
        <f t="shared" si="29"/>
        <v>0</v>
      </c>
      <c r="U37" s="509">
        <f t="shared" ref="U37:W39" si="30">U13/SUM(U$9,U$11,U$13,U$14,U$15,U$18)</f>
        <v>0</v>
      </c>
      <c r="V37" s="509">
        <f t="shared" si="30"/>
        <v>0</v>
      </c>
      <c r="W37" s="509">
        <f t="shared" si="30"/>
        <v>0</v>
      </c>
      <c r="X37" s="509">
        <f t="shared" ref="X37:Y39" si="31">X13/SUM(X$9,X$11,X$13,X$14,X$15,X$18)</f>
        <v>0</v>
      </c>
      <c r="Y37" s="509">
        <f t="shared" si="31"/>
        <v>0</v>
      </c>
      <c r="Z37" s="509">
        <f t="shared" ref="Z37:AA39" si="32">Z13/SUM(Z$9,Z$11,Z$13,Z$14,Z$15,Z$18)</f>
        <v>0</v>
      </c>
      <c r="AA37" s="509">
        <f t="shared" si="32"/>
        <v>0</v>
      </c>
      <c r="AB37" s="509">
        <f t="shared" ref="AB37:AC39" si="33">AB13/SUM(AB$9,AB$11,AB$13,AB$14,AB$15,AB$18)</f>
        <v>0</v>
      </c>
      <c r="AC37" s="509">
        <f t="shared" si="33"/>
        <v>0</v>
      </c>
      <c r="AD37" s="509">
        <f t="shared" ref="AD37:AE39" si="34">AD13/SUM(AD$9,AD$11,AD$13,AD$14,AD$15,AD$18)</f>
        <v>0</v>
      </c>
      <c r="AE37" s="509">
        <f t="shared" si="34"/>
        <v>0</v>
      </c>
      <c r="AF37" s="509">
        <f t="shared" ref="AF37:AH37" si="35">AF13/SUM(AF$9,AF$11,AF$13,AF$14,AF$15,AF$18)</f>
        <v>0</v>
      </c>
      <c r="AG37" s="509">
        <f t="shared" si="35"/>
        <v>0</v>
      </c>
      <c r="AH37" s="509">
        <f t="shared" si="35"/>
        <v>0</v>
      </c>
      <c r="AI37" s="509">
        <f t="shared" ref="AI37:AJ37" si="36">AI13/SUM(AI$9,AI$11,AI$13,AI$14,AI$15,AI$18)</f>
        <v>0</v>
      </c>
      <c r="AJ37" s="509">
        <f t="shared" si="36"/>
        <v>0</v>
      </c>
      <c r="AK37" s="509">
        <f t="shared" ref="AK37" si="37">AK13/SUM(AK$9,AK$11,AK$13,AK$14,AK$15,AK$18)</f>
        <v>0</v>
      </c>
      <c r="AL37" s="10"/>
      <c r="AM37" s="10"/>
      <c r="AN37" s="10"/>
      <c r="AO37" s="10"/>
    </row>
    <row r="38" spans="3:41">
      <c r="C38" s="45"/>
      <c r="D38" s="6" t="s">
        <v>1615</v>
      </c>
      <c r="E38" s="509">
        <f>E14/SUM(E$9,E$11,E$13,E$14,E$15,E$18)</f>
        <v>0.12346628486736158</v>
      </c>
      <c r="F38" s="509">
        <f t="shared" ref="F38:R38" si="38">F14/SUM(F$9,F$11,F$13,F$14,F$15,F$18)</f>
        <v>0.10119273127873403</v>
      </c>
      <c r="G38" s="509">
        <f t="shared" si="38"/>
        <v>0.12007769525211519</v>
      </c>
      <c r="H38" s="509">
        <f t="shared" si="38"/>
        <v>0.1130623533306131</v>
      </c>
      <c r="I38" s="509">
        <f t="shared" si="38"/>
        <v>0.11865900809513596</v>
      </c>
      <c r="J38" s="509">
        <f t="shared" si="38"/>
        <v>0.11414659153486628</v>
      </c>
      <c r="K38" s="509">
        <f t="shared" si="38"/>
        <v>0.14027186952753057</v>
      </c>
      <c r="L38" s="509">
        <f t="shared" si="38"/>
        <v>0.1457827762868594</v>
      </c>
      <c r="M38" s="509">
        <f t="shared" si="38"/>
        <v>0.15982144784175387</v>
      </c>
      <c r="N38" s="509">
        <f t="shared" si="38"/>
        <v>0.1296154981971479</v>
      </c>
      <c r="O38" s="509">
        <f t="shared" si="38"/>
        <v>0.17070932972399469</v>
      </c>
      <c r="P38" s="509">
        <f t="shared" si="38"/>
        <v>0.15103905732554726</v>
      </c>
      <c r="Q38" s="509">
        <f t="shared" si="38"/>
        <v>0.16817275175269353</v>
      </c>
      <c r="R38" s="509">
        <f t="shared" si="38"/>
        <v>0.17820183630714581</v>
      </c>
      <c r="S38" s="509">
        <f t="shared" si="29"/>
        <v>0.20504058715464496</v>
      </c>
      <c r="T38" s="509">
        <f t="shared" si="29"/>
        <v>0.20555006234902587</v>
      </c>
      <c r="U38" s="509">
        <f t="shared" si="30"/>
        <v>0.18188188401844643</v>
      </c>
      <c r="V38" s="509">
        <f t="shared" si="30"/>
        <v>0.16720020563345253</v>
      </c>
      <c r="W38" s="509">
        <f t="shared" si="30"/>
        <v>0.15499921970230909</v>
      </c>
      <c r="X38" s="509">
        <f t="shared" si="31"/>
        <v>0.15824358779880707</v>
      </c>
      <c r="Y38" s="509">
        <f t="shared" si="31"/>
        <v>0.15431509944325064</v>
      </c>
      <c r="Z38" s="509">
        <f t="shared" si="32"/>
        <v>0.15388010243947153</v>
      </c>
      <c r="AA38" s="509">
        <f t="shared" si="32"/>
        <v>0.14839705073387716</v>
      </c>
      <c r="AB38" s="509">
        <f t="shared" si="33"/>
        <v>0.15590198560713844</v>
      </c>
      <c r="AC38" s="509">
        <f t="shared" si="33"/>
        <v>0.13538393701717064</v>
      </c>
      <c r="AD38" s="509">
        <f t="shared" si="34"/>
        <v>0.12571733094345092</v>
      </c>
      <c r="AE38" s="509">
        <f t="shared" si="34"/>
        <v>0.11914979606951634</v>
      </c>
      <c r="AF38" s="509">
        <f t="shared" ref="AF38:AH38" si="39">AF14/SUM(AF$9,AF$11,AF$13,AF$14,AF$15,AF$18)</f>
        <v>0.11599595008406502</v>
      </c>
      <c r="AG38" s="509">
        <f t="shared" si="39"/>
        <v>0.10679494046413526</v>
      </c>
      <c r="AH38" s="509">
        <f t="shared" si="39"/>
        <v>9.4062210873230731E-2</v>
      </c>
      <c r="AI38" s="509">
        <f t="shared" ref="AI38:AJ38" si="40">AI14/SUM(AI$9,AI$11,AI$13,AI$14,AI$15,AI$18)</f>
        <v>8.2966060740178621E-2</v>
      </c>
      <c r="AJ38" s="509">
        <f t="shared" si="40"/>
        <v>8.0125265551364927E-2</v>
      </c>
      <c r="AK38" s="509">
        <f t="shared" ref="AK38" si="41">AK14/SUM(AK$9,AK$11,AK$13,AK$14,AK$15,AK$18)</f>
        <v>5.9491629620705713E-2</v>
      </c>
      <c r="AL38" s="10"/>
      <c r="AM38" s="10"/>
      <c r="AN38" s="10"/>
      <c r="AO38" s="10"/>
    </row>
    <row r="39" spans="3:41">
      <c r="C39" s="45"/>
      <c r="D39" s="6" t="s">
        <v>1616</v>
      </c>
      <c r="E39" s="509">
        <f>E15/SUM(E$9,E$11,E$13,E$14,E$15,E$18)</f>
        <v>0.2676365660616068</v>
      </c>
      <c r="F39" s="509">
        <f t="shared" ref="F39:R39" si="42">F15/SUM(F$9,F$11,F$13,F$14,F$15,F$18)</f>
        <v>0.28003720962584744</v>
      </c>
      <c r="G39" s="509">
        <f t="shared" si="42"/>
        <v>0.25934307382627658</v>
      </c>
      <c r="H39" s="509">
        <f t="shared" si="42"/>
        <v>0.27220589368419973</v>
      </c>
      <c r="I39" s="509">
        <f t="shared" si="42"/>
        <v>0.24981869182919228</v>
      </c>
      <c r="J39" s="509">
        <f t="shared" si="42"/>
        <v>0.24515158995808506</v>
      </c>
      <c r="K39" s="509">
        <f t="shared" si="42"/>
        <v>0.21353329177898769</v>
      </c>
      <c r="L39" s="509">
        <f t="shared" si="42"/>
        <v>0.23407879288486028</v>
      </c>
      <c r="M39" s="509">
        <f t="shared" si="42"/>
        <v>0.22404551757923369</v>
      </c>
      <c r="N39" s="509">
        <f t="shared" si="42"/>
        <v>0.20940387030640795</v>
      </c>
      <c r="O39" s="509">
        <f t="shared" si="42"/>
        <v>0.20093206452138748</v>
      </c>
      <c r="P39" s="509">
        <f t="shared" si="42"/>
        <v>0.20265983009309302</v>
      </c>
      <c r="Q39" s="509">
        <f t="shared" si="42"/>
        <v>0.18246558075623975</v>
      </c>
      <c r="R39" s="509">
        <f t="shared" si="42"/>
        <v>0.20332711445580059</v>
      </c>
      <c r="S39" s="509">
        <f t="shared" si="29"/>
        <v>0.21326478232117407</v>
      </c>
      <c r="T39" s="509">
        <f t="shared" si="29"/>
        <v>0.20829083579950478</v>
      </c>
      <c r="U39" s="509">
        <f t="shared" si="30"/>
        <v>0.22867522208317823</v>
      </c>
      <c r="V39" s="509">
        <f t="shared" si="30"/>
        <v>0.22119521609230577</v>
      </c>
      <c r="W39" s="509">
        <f t="shared" si="30"/>
        <v>0.21041113280970805</v>
      </c>
      <c r="X39" s="509">
        <f t="shared" si="31"/>
        <v>0.14245097715775096</v>
      </c>
      <c r="Y39" s="509">
        <f t="shared" si="31"/>
        <v>0.14234554349499889</v>
      </c>
      <c r="Z39" s="509">
        <f t="shared" si="32"/>
        <v>0.12268489018587014</v>
      </c>
      <c r="AA39" s="509">
        <f t="shared" si="32"/>
        <v>9.3906144090973864E-2</v>
      </c>
      <c r="AB39" s="509">
        <f t="shared" si="33"/>
        <v>6.7413999613895728E-2</v>
      </c>
      <c r="AC39" s="509">
        <f t="shared" si="33"/>
        <v>7.5620890258985954E-2</v>
      </c>
      <c r="AD39" s="509">
        <f t="shared" si="34"/>
        <v>6.7266928798731154E-2</v>
      </c>
      <c r="AE39" s="509">
        <f t="shared" si="34"/>
        <v>6.310519539466769E-2</v>
      </c>
      <c r="AF39" s="509">
        <f t="shared" ref="AF39:AH39" si="43">AF15/SUM(AF$9,AF$11,AF$13,AF$14,AF$15,AF$18)</f>
        <v>6.9922715049430526E-2</v>
      </c>
      <c r="AG39" s="509">
        <f t="shared" si="43"/>
        <v>5.7108880420405246E-2</v>
      </c>
      <c r="AH39" s="509">
        <f t="shared" si="43"/>
        <v>5.5506554854382245E-2</v>
      </c>
      <c r="AI39" s="509">
        <f t="shared" ref="AI39:AJ39" si="44">AI15/SUM(AI$9,AI$11,AI$13,AI$14,AI$15,AI$18)</f>
        <v>5.0773046429433782E-2</v>
      </c>
      <c r="AJ39" s="509">
        <f t="shared" si="44"/>
        <v>4.8979236103832244E-2</v>
      </c>
      <c r="AK39" s="509">
        <f t="shared" ref="AK39" si="45">AK15/SUM(AK$9,AK$11,AK$13,AK$14,AK$15,AK$18)</f>
        <v>2.8620550738082316E-2</v>
      </c>
      <c r="AL39" s="10"/>
      <c r="AM39" s="10"/>
      <c r="AN39" s="10"/>
      <c r="AO39" s="10"/>
    </row>
    <row r="40" spans="3:41">
      <c r="C40" s="45"/>
      <c r="D40" s="7" t="s">
        <v>1619</v>
      </c>
      <c r="E40" s="510">
        <f>E18/SUM(E$9,E$11,E$13,E$14,E$15,E$18)</f>
        <v>3.80162812759854E-2</v>
      </c>
      <c r="F40" s="510">
        <f t="shared" ref="F40:R40" si="46">F18/SUM(F$9,F$11,F$13,F$14,F$15,F$18)</f>
        <v>2.9783676227428807E-2</v>
      </c>
      <c r="G40" s="510">
        <f t="shared" si="46"/>
        <v>3.3294110545336063E-2</v>
      </c>
      <c r="H40" s="510">
        <f t="shared" si="46"/>
        <v>3.3726615929533084E-2</v>
      </c>
      <c r="I40" s="510">
        <f t="shared" si="46"/>
        <v>2.4143574312231131E-2</v>
      </c>
      <c r="J40" s="510">
        <f t="shared" si="46"/>
        <v>2.1675131603014305E-2</v>
      </c>
      <c r="K40" s="510">
        <f t="shared" si="46"/>
        <v>2.1815153886579119E-2</v>
      </c>
      <c r="L40" s="510">
        <f t="shared" si="46"/>
        <v>1.9641007665597461E-2</v>
      </c>
      <c r="M40" s="510">
        <f t="shared" si="46"/>
        <v>2.9357832253464625E-2</v>
      </c>
      <c r="N40" s="510">
        <f t="shared" si="46"/>
        <v>3.7535250105069334E-2</v>
      </c>
      <c r="O40" s="510">
        <f t="shared" si="46"/>
        <v>2.7094053555177761E-2</v>
      </c>
      <c r="P40" s="510">
        <f t="shared" si="46"/>
        <v>2.4011609015603012E-2</v>
      </c>
      <c r="Q40" s="510">
        <f t="shared" si="46"/>
        <v>2.9557681065673178E-2</v>
      </c>
      <c r="R40" s="510">
        <f t="shared" si="46"/>
        <v>2.3398545879264956E-2</v>
      </c>
      <c r="S40" s="510">
        <f t="shared" ref="S40:Y40" si="47">S18/SUM(S$9,S$11,S$13,S$14,S$15,S$18)</f>
        <v>1.3964865938853363E-2</v>
      </c>
      <c r="T40" s="510">
        <f t="shared" si="47"/>
        <v>1.8391320474187556E-2</v>
      </c>
      <c r="U40" s="510">
        <f t="shared" si="47"/>
        <v>2.0260590298882258E-2</v>
      </c>
      <c r="V40" s="510">
        <f t="shared" si="47"/>
        <v>2.3198156064041821E-2</v>
      </c>
      <c r="W40" s="510">
        <f t="shared" si="47"/>
        <v>2.7572976121900749E-2</v>
      </c>
      <c r="X40" s="510">
        <f t="shared" si="47"/>
        <v>1.5483357346943307E-2</v>
      </c>
      <c r="Y40" s="510">
        <f t="shared" si="47"/>
        <v>8.2108202226721261E-3</v>
      </c>
      <c r="Z40" s="510">
        <f t="shared" ref="Z40:AE40" si="48">Z18/SUM(Z$9,Z$11,Z$13,Z$14,Z$15,Z$18)</f>
        <v>7.1408533991937856E-3</v>
      </c>
      <c r="AA40" s="510">
        <f t="shared" si="48"/>
        <v>4.8107261681111981E-3</v>
      </c>
      <c r="AB40" s="510">
        <f t="shared" si="48"/>
        <v>3.0111378408489091E-2</v>
      </c>
      <c r="AC40" s="510">
        <f t="shared" si="48"/>
        <v>3.2459847167637453E-2</v>
      </c>
      <c r="AD40" s="510">
        <f t="shared" si="48"/>
        <v>2.9153609528423292E-2</v>
      </c>
      <c r="AE40" s="510">
        <f t="shared" si="48"/>
        <v>2.6545386564822211E-2</v>
      </c>
      <c r="AF40" s="510">
        <f t="shared" ref="AF40:AH40" si="49">AF18/SUM(AF$9,AF$11,AF$13,AF$14,AF$15,AF$18)</f>
        <v>2.6683269400180946E-2</v>
      </c>
      <c r="AG40" s="510">
        <f t="shared" si="49"/>
        <v>2.1987783544709975E-2</v>
      </c>
      <c r="AH40" s="510">
        <f t="shared" si="49"/>
        <v>2.2672789454950638E-2</v>
      </c>
      <c r="AI40" s="510">
        <f t="shared" ref="AI40:AJ40" si="50">AI18/SUM(AI$9,AI$11,AI$13,AI$14,AI$15,AI$18)</f>
        <v>2.0249759859805025E-2</v>
      </c>
      <c r="AJ40" s="510">
        <f t="shared" si="50"/>
        <v>1.8343127646857367E-2</v>
      </c>
      <c r="AK40" s="510">
        <f t="shared" ref="AK40" si="51">AK18/SUM(AK$9,AK$11,AK$13,AK$14,AK$15,AK$18)</f>
        <v>1.9975961180332232E-2</v>
      </c>
      <c r="AL40" s="10"/>
      <c r="AM40" s="10"/>
      <c r="AN40" s="10"/>
      <c r="AO40" s="10"/>
    </row>
    <row r="41" spans="3:41" s="5" customFormat="1">
      <c r="C41" s="76"/>
      <c r="D41" s="511" t="s">
        <v>1480</v>
      </c>
      <c r="E41" s="512">
        <f>SUM(E35:E40)</f>
        <v>1</v>
      </c>
      <c r="F41" s="512">
        <f t="shared" ref="F41:V41" si="52">SUM(F35:F40)</f>
        <v>1</v>
      </c>
      <c r="G41" s="512">
        <f t="shared" si="52"/>
        <v>0.99999999999999989</v>
      </c>
      <c r="H41" s="512">
        <f t="shared" si="52"/>
        <v>1</v>
      </c>
      <c r="I41" s="512">
        <f t="shared" si="52"/>
        <v>1</v>
      </c>
      <c r="J41" s="512">
        <f t="shared" si="52"/>
        <v>1</v>
      </c>
      <c r="K41" s="512">
        <f t="shared" si="52"/>
        <v>1.0000000000000002</v>
      </c>
      <c r="L41" s="512">
        <f t="shared" si="52"/>
        <v>1</v>
      </c>
      <c r="M41" s="512">
        <f t="shared" si="52"/>
        <v>1</v>
      </c>
      <c r="N41" s="512">
        <f t="shared" si="52"/>
        <v>0.99999999999999989</v>
      </c>
      <c r="O41" s="512">
        <f t="shared" si="52"/>
        <v>1</v>
      </c>
      <c r="P41" s="512">
        <f t="shared" si="52"/>
        <v>1</v>
      </c>
      <c r="Q41" s="512">
        <f t="shared" si="52"/>
        <v>1</v>
      </c>
      <c r="R41" s="512">
        <f t="shared" si="52"/>
        <v>1</v>
      </c>
      <c r="S41" s="512">
        <f t="shared" si="52"/>
        <v>1</v>
      </c>
      <c r="T41" s="512">
        <f t="shared" si="52"/>
        <v>1</v>
      </c>
      <c r="U41" s="512">
        <f t="shared" si="52"/>
        <v>1</v>
      </c>
      <c r="V41" s="512">
        <f t="shared" si="52"/>
        <v>1</v>
      </c>
      <c r="W41" s="512">
        <f t="shared" ref="W41:AB41" si="53">SUM(W35:W40)</f>
        <v>1</v>
      </c>
      <c r="X41" s="512">
        <f t="shared" si="53"/>
        <v>1</v>
      </c>
      <c r="Y41" s="512">
        <f t="shared" si="53"/>
        <v>0.99999999999999989</v>
      </c>
      <c r="Z41" s="512">
        <f t="shared" si="53"/>
        <v>0.99999999999999989</v>
      </c>
      <c r="AA41" s="512">
        <f t="shared" si="53"/>
        <v>1</v>
      </c>
      <c r="AB41" s="512">
        <f t="shared" si="53"/>
        <v>1</v>
      </c>
      <c r="AC41" s="512">
        <f>SUM(AC35:AC40)</f>
        <v>1.0000000000000002</v>
      </c>
      <c r="AD41" s="512">
        <f>SUM(AD35:AD40)</f>
        <v>1.0000000000000002</v>
      </c>
      <c r="AE41" s="512">
        <f>SUM(AE35:AE40)</f>
        <v>1</v>
      </c>
      <c r="AF41" s="512">
        <f t="shared" ref="AF41:AH41" si="54">SUM(AF35:AF40)</f>
        <v>1</v>
      </c>
      <c r="AG41" s="512">
        <f t="shared" si="54"/>
        <v>1</v>
      </c>
      <c r="AH41" s="512">
        <f t="shared" si="54"/>
        <v>1.0000000000000002</v>
      </c>
      <c r="AI41" s="512">
        <f t="shared" ref="AI41:AJ41" si="55">SUM(AI35:AI40)</f>
        <v>1</v>
      </c>
      <c r="AJ41" s="512">
        <f t="shared" si="55"/>
        <v>1.0000000000000002</v>
      </c>
      <c r="AK41" s="512">
        <f t="shared" ref="AK41" si="56">SUM(AK35:AK40)</f>
        <v>1</v>
      </c>
      <c r="AL41" s="10"/>
      <c r="AM41" s="10"/>
      <c r="AN41" s="10"/>
      <c r="AO41" s="10"/>
    </row>
    <row r="42" spans="3:41" s="5" customFormat="1">
      <c r="C42" s="76"/>
      <c r="D42" s="513"/>
      <c r="E42" s="514"/>
      <c r="F42" s="514"/>
      <c r="G42" s="514"/>
      <c r="H42" s="514"/>
      <c r="I42" s="514"/>
      <c r="J42" s="514"/>
      <c r="K42" s="514"/>
      <c r="L42" s="514"/>
      <c r="M42" s="514"/>
      <c r="N42" s="514"/>
      <c r="O42" s="514"/>
      <c r="P42" s="514"/>
      <c r="Q42" s="514"/>
      <c r="R42" s="514"/>
      <c r="S42" s="514"/>
      <c r="T42" s="514"/>
      <c r="V42" s="515"/>
      <c r="W42" s="514"/>
      <c r="X42" s="514"/>
      <c r="Y42" s="514"/>
      <c r="Z42" s="514"/>
      <c r="AA42" s="514"/>
      <c r="AB42" s="514"/>
      <c r="AC42" s="514"/>
      <c r="AD42" s="514"/>
      <c r="AE42" s="514"/>
      <c r="AF42" s="514"/>
      <c r="AG42" s="514"/>
      <c r="AH42" s="514"/>
      <c r="AI42" s="514"/>
      <c r="AJ42" s="514"/>
      <c r="AK42" s="514"/>
    </row>
    <row r="43" spans="3:41">
      <c r="C43" s="45"/>
      <c r="D43" s="1" t="s">
        <v>1902</v>
      </c>
      <c r="W43" s="1"/>
      <c r="X43" s="1"/>
      <c r="Y43" s="1"/>
      <c r="Z43" s="1"/>
    </row>
    <row r="44" spans="3:41">
      <c r="C44" s="45"/>
      <c r="D44" s="4" t="s">
        <v>1503</v>
      </c>
      <c r="E44" s="460">
        <v>1990</v>
      </c>
      <c r="F44" s="460">
        <v>1991</v>
      </c>
      <c r="G44" s="460">
        <v>1992</v>
      </c>
      <c r="H44" s="460">
        <v>1993</v>
      </c>
      <c r="I44" s="460">
        <v>1994</v>
      </c>
      <c r="J44" s="460">
        <v>1995</v>
      </c>
      <c r="K44" s="460">
        <v>1996</v>
      </c>
      <c r="L44" s="460">
        <v>1997</v>
      </c>
      <c r="M44" s="460">
        <v>1998</v>
      </c>
      <c r="N44" s="460">
        <v>1999</v>
      </c>
      <c r="O44" s="460">
        <v>2000</v>
      </c>
      <c r="P44" s="460">
        <v>2001</v>
      </c>
      <c r="Q44" s="460">
        <v>2002</v>
      </c>
      <c r="R44" s="460">
        <v>2003</v>
      </c>
      <c r="S44" s="460">
        <v>2004</v>
      </c>
      <c r="T44" s="460">
        <v>2005</v>
      </c>
      <c r="U44" s="460">
        <v>2006</v>
      </c>
      <c r="V44" s="460">
        <v>2007</v>
      </c>
      <c r="W44" s="460">
        <v>2008</v>
      </c>
      <c r="X44" s="460">
        <v>2009</v>
      </c>
      <c r="Y44" s="460">
        <v>2010</v>
      </c>
      <c r="Z44" s="460">
        <v>2011</v>
      </c>
      <c r="AA44" s="460">
        <v>2012</v>
      </c>
      <c r="AB44" s="460">
        <v>2013</v>
      </c>
      <c r="AC44" s="460">
        <v>2014</v>
      </c>
      <c r="AD44" s="460">
        <v>2015</v>
      </c>
      <c r="AE44" s="460">
        <v>2016</v>
      </c>
      <c r="AF44" s="460">
        <v>2017</v>
      </c>
      <c r="AG44" s="460">
        <v>2018</v>
      </c>
      <c r="AH44" s="460">
        <v>2019</v>
      </c>
      <c r="AI44" s="460">
        <v>2020</v>
      </c>
      <c r="AJ44" s="460">
        <v>2021</v>
      </c>
      <c r="AK44" s="460">
        <v>2022</v>
      </c>
    </row>
    <row r="45" spans="3:41">
      <c r="C45" s="45"/>
      <c r="D45" s="6" t="s">
        <v>1901</v>
      </c>
      <c r="E45" s="466">
        <f t="shared" ref="E45:Q45" si="57">E35*E$51</f>
        <v>-0.35451971146206751</v>
      </c>
      <c r="F45" s="466">
        <f t="shared" si="57"/>
        <v>-0.37608227075206696</v>
      </c>
      <c r="G45" s="466">
        <f t="shared" si="57"/>
        <v>-0.35324464336314804</v>
      </c>
      <c r="H45" s="466">
        <f t="shared" si="57"/>
        <v>-0.44685878176604504</v>
      </c>
      <c r="I45" s="466">
        <f t="shared" si="57"/>
        <v>-0.36649477688072041</v>
      </c>
      <c r="J45" s="466">
        <f t="shared" si="57"/>
        <v>-0.34274927731687399</v>
      </c>
      <c r="K45" s="466">
        <f t="shared" si="57"/>
        <v>-0.35292482328843378</v>
      </c>
      <c r="L45" s="466">
        <f t="shared" si="57"/>
        <v>-0.40462630535449617</v>
      </c>
      <c r="M45" s="466">
        <f t="shared" si="57"/>
        <v>-0.27616287574337844</v>
      </c>
      <c r="N45" s="466">
        <f t="shared" si="57"/>
        <v>-0.24766498059359482</v>
      </c>
      <c r="O45" s="466">
        <f t="shared" si="57"/>
        <v>-0.25269895703386919</v>
      </c>
      <c r="P45" s="466">
        <f t="shared" si="57"/>
        <v>-5.8358991646817307E-2</v>
      </c>
      <c r="Q45" s="466">
        <f t="shared" si="57"/>
        <v>-0.21337128236913744</v>
      </c>
      <c r="R45" s="466">
        <f t="shared" ref="R45:S49" si="58">R35*R$51</f>
        <v>-0.40041907643537417</v>
      </c>
      <c r="S45" s="466">
        <f t="shared" si="58"/>
        <v>-0.45779121773619025</v>
      </c>
      <c r="T45" s="466">
        <f t="shared" ref="T45:U50" si="59">T35*T$51</f>
        <v>-0.13745258035043559</v>
      </c>
      <c r="U45" s="466">
        <f t="shared" si="59"/>
        <v>-7.1147516431263547E-2</v>
      </c>
      <c r="V45" s="466">
        <f t="shared" ref="V45:W50" si="60">V35*V$51</f>
        <v>-0.16766607942639686</v>
      </c>
      <c r="W45" s="466">
        <f>W35*W$51</f>
        <v>-0.10292101919186865</v>
      </c>
      <c r="X45" s="466">
        <f t="shared" ref="X45:Y50" si="61">X35*X$51</f>
        <v>-0.23376206386862958</v>
      </c>
      <c r="Y45" s="466">
        <f t="shared" ref="Y45:AD45" si="62">Y35*Y$51</f>
        <v>-0.18635790238680047</v>
      </c>
      <c r="Z45" s="466">
        <f t="shared" si="62"/>
        <v>-0.20828677543677307</v>
      </c>
      <c r="AA45" s="466">
        <f t="shared" si="62"/>
        <v>-0.27851574122060885</v>
      </c>
      <c r="AB45" s="466">
        <f t="shared" si="62"/>
        <v>-0.21559026283346019</v>
      </c>
      <c r="AC45" s="466">
        <f t="shared" si="62"/>
        <v>-9.5792734547792871E-2</v>
      </c>
      <c r="AD45" s="466">
        <f t="shared" si="62"/>
        <v>-0.17989366600284998</v>
      </c>
      <c r="AE45" s="466">
        <f t="shared" ref="AE45:AE50" si="63">AE35*AE$51</f>
        <v>-0.50704210842960207</v>
      </c>
      <c r="AF45" s="466">
        <f t="shared" ref="AF45" si="64">AF35*AF$51</f>
        <v>-0.61956818597648344</v>
      </c>
      <c r="AG45" s="466">
        <f>AG35*AG$51</f>
        <v>-0.78738794799820455</v>
      </c>
      <c r="AH45" s="466">
        <f>AH35*AH$51</f>
        <v>-0.9494211966637649</v>
      </c>
      <c r="AI45" s="466">
        <f>AI35*AI$51</f>
        <v>-0.97807192812787247</v>
      </c>
      <c r="AJ45" s="466">
        <f>AJ35*AJ$51</f>
        <v>-0.9378548307538338</v>
      </c>
      <c r="AK45" s="466">
        <f>AK35*AK$51</f>
        <v>-0.92786910571087944</v>
      </c>
      <c r="AL45" s="10"/>
      <c r="AM45" s="10"/>
      <c r="AN45" s="10"/>
      <c r="AO45" s="10"/>
    </row>
    <row r="46" spans="3:41">
      <c r="C46" s="45"/>
      <c r="D46" s="6" t="s">
        <v>1609</v>
      </c>
      <c r="E46" s="466">
        <f t="shared" ref="E46:Q46" si="65">E36*E$51</f>
        <v>-1.5091728769988797</v>
      </c>
      <c r="F46" s="466">
        <f t="shared" si="65"/>
        <v>-1.797577581410349</v>
      </c>
      <c r="G46" s="466">
        <f t="shared" si="65"/>
        <v>-1.6897345092500935</v>
      </c>
      <c r="H46" s="466">
        <f t="shared" si="65"/>
        <v>-1.950522486860607</v>
      </c>
      <c r="I46" s="466">
        <f t="shared" si="65"/>
        <v>-1.7445896523381634</v>
      </c>
      <c r="J46" s="466">
        <f t="shared" si="65"/>
        <v>-1.5258345812684466</v>
      </c>
      <c r="K46" s="466">
        <f t="shared" si="65"/>
        <v>-1.5841252689748577</v>
      </c>
      <c r="L46" s="466">
        <f t="shared" si="65"/>
        <v>-1.7949442428859108</v>
      </c>
      <c r="M46" s="466">
        <f t="shared" si="65"/>
        <v>-1.111738656067194</v>
      </c>
      <c r="N46" s="466">
        <f t="shared" si="65"/>
        <v>-1.1987286937764934</v>
      </c>
      <c r="O46" s="466">
        <f t="shared" si="65"/>
        <v>-1.1067744698509465</v>
      </c>
      <c r="P46" s="466">
        <f t="shared" si="65"/>
        <v>-0.24463428239126742</v>
      </c>
      <c r="Q46" s="466">
        <f t="shared" si="65"/>
        <v>-0.98987345472924038</v>
      </c>
      <c r="R46" s="466">
        <f t="shared" si="58"/>
        <v>-1.9733035137326242</v>
      </c>
      <c r="S46" s="466">
        <f t="shared" si="58"/>
        <v>-2.6409525214984719</v>
      </c>
      <c r="T46" s="466">
        <f t="shared" si="59"/>
        <v>-0.84365738630653719</v>
      </c>
      <c r="U46" s="466">
        <f t="shared" si="59"/>
        <v>-0.52885245594109409</v>
      </c>
      <c r="V46" s="466">
        <f t="shared" si="60"/>
        <v>-1.1459473330251839</v>
      </c>
      <c r="W46" s="466">
        <f t="shared" si="60"/>
        <v>-0.6037804656891903</v>
      </c>
      <c r="X46" s="466">
        <f t="shared" si="61"/>
        <v>-1.4036951831783695</v>
      </c>
      <c r="Y46" s="466">
        <f t="shared" si="61"/>
        <v>-1.1422275241168778</v>
      </c>
      <c r="Z46" s="466">
        <f t="shared" ref="Z46:AA50" si="66">Z36*Z$51</f>
        <v>-1.2963823198084266</v>
      </c>
      <c r="AA46" s="466">
        <f t="shared" si="66"/>
        <v>-1.7303533418752137</v>
      </c>
      <c r="AB46" s="466">
        <f t="shared" ref="AB46:AC50" si="67">AB36*AB$51</f>
        <v>-1.4314539157521671</v>
      </c>
      <c r="AC46" s="466">
        <f t="shared" si="67"/>
        <v>-0.6209469773270504</v>
      </c>
      <c r="AD46" s="466">
        <f>AD36*AD$51</f>
        <v>-0.92351313455222195</v>
      </c>
      <c r="AE46" s="466">
        <f t="shared" si="63"/>
        <v>-2.1513868714914479</v>
      </c>
      <c r="AF46" s="466">
        <f t="shared" ref="AF46:AH46" si="68">AF36*AF$51</f>
        <v>-2.2871469925536005</v>
      </c>
      <c r="AG46" s="466">
        <f t="shared" si="68"/>
        <v>-2.8849525862627292</v>
      </c>
      <c r="AH46" s="466">
        <f t="shared" si="68"/>
        <v>-3.5774046730928575</v>
      </c>
      <c r="AI46" s="466">
        <f t="shared" ref="AI46:AJ46" si="69">AI36*AI$51</f>
        <v>-3.8570334187227395</v>
      </c>
      <c r="AJ46" s="466">
        <f t="shared" si="69"/>
        <v>-3.9027960325994027</v>
      </c>
      <c r="AK46" s="466">
        <f t="shared" ref="AK46" si="70">AK36*AK$51</f>
        <v>-4.136258396695994</v>
      </c>
      <c r="AL46" s="10"/>
      <c r="AM46" s="10"/>
      <c r="AN46" s="10"/>
      <c r="AO46" s="10"/>
    </row>
    <row r="47" spans="3:41">
      <c r="C47" s="45"/>
      <c r="D47" s="6" t="s">
        <v>1617</v>
      </c>
      <c r="E47" s="466">
        <f t="shared" ref="E47:Q47" si="71">E37*E$51</f>
        <v>0</v>
      </c>
      <c r="F47" s="466">
        <f t="shared" si="71"/>
        <v>0</v>
      </c>
      <c r="G47" s="466">
        <f t="shared" si="71"/>
        <v>0</v>
      </c>
      <c r="H47" s="466">
        <f t="shared" si="71"/>
        <v>0</v>
      </c>
      <c r="I47" s="466">
        <f t="shared" si="71"/>
        <v>0</v>
      </c>
      <c r="J47" s="466">
        <f t="shared" si="71"/>
        <v>0</v>
      </c>
      <c r="K47" s="466">
        <f t="shared" si="71"/>
        <v>0</v>
      </c>
      <c r="L47" s="466">
        <f t="shared" si="71"/>
        <v>0</v>
      </c>
      <c r="M47" s="466">
        <f t="shared" si="71"/>
        <v>0</v>
      </c>
      <c r="N47" s="466">
        <f t="shared" si="71"/>
        <v>0</v>
      </c>
      <c r="O47" s="466">
        <f t="shared" si="71"/>
        <v>0</v>
      </c>
      <c r="P47" s="466">
        <f t="shared" si="71"/>
        <v>0</v>
      </c>
      <c r="Q47" s="466">
        <f t="shared" si="71"/>
        <v>0</v>
      </c>
      <c r="R47" s="466">
        <f t="shared" si="58"/>
        <v>0</v>
      </c>
      <c r="S47" s="466">
        <f t="shared" si="58"/>
        <v>0</v>
      </c>
      <c r="T47" s="466">
        <f t="shared" si="59"/>
        <v>0</v>
      </c>
      <c r="U47" s="466">
        <f t="shared" si="59"/>
        <v>0</v>
      </c>
      <c r="V47" s="466">
        <f t="shared" si="60"/>
        <v>0</v>
      </c>
      <c r="W47" s="466">
        <f t="shared" si="60"/>
        <v>0</v>
      </c>
      <c r="X47" s="466">
        <f>X37*X$51</f>
        <v>0</v>
      </c>
      <c r="Y47" s="466">
        <f t="shared" si="61"/>
        <v>0</v>
      </c>
      <c r="Z47" s="466">
        <f t="shared" si="66"/>
        <v>0</v>
      </c>
      <c r="AA47" s="466">
        <f t="shared" si="66"/>
        <v>0</v>
      </c>
      <c r="AB47" s="466">
        <f t="shared" si="67"/>
        <v>0</v>
      </c>
      <c r="AC47" s="466">
        <f t="shared" si="67"/>
        <v>0</v>
      </c>
      <c r="AD47" s="466">
        <f>AD37*AD$51</f>
        <v>0</v>
      </c>
      <c r="AE47" s="466">
        <f t="shared" si="63"/>
        <v>0</v>
      </c>
      <c r="AF47" s="466">
        <f t="shared" ref="AF47:AH47" si="72">AF37*AF$51</f>
        <v>0</v>
      </c>
      <c r="AG47" s="466">
        <f t="shared" si="72"/>
        <v>0</v>
      </c>
      <c r="AH47" s="466">
        <f t="shared" si="72"/>
        <v>0</v>
      </c>
      <c r="AI47" s="466">
        <f t="shared" ref="AI47:AJ47" si="73">AI37*AI$51</f>
        <v>0</v>
      </c>
      <c r="AJ47" s="466">
        <f t="shared" si="73"/>
        <v>0</v>
      </c>
      <c r="AK47" s="466">
        <f t="shared" ref="AK47" si="74">AK37*AK$51</f>
        <v>0</v>
      </c>
      <c r="AL47" s="10"/>
      <c r="AM47" s="10"/>
      <c r="AN47" s="10"/>
      <c r="AO47" s="10"/>
    </row>
    <row r="48" spans="3:41">
      <c r="C48" s="45"/>
      <c r="D48" s="6" t="s">
        <v>1615</v>
      </c>
      <c r="E48" s="466">
        <f t="shared" ref="E48:Q48" si="75">E38*E$51</f>
        <v>-0.40306693219699891</v>
      </c>
      <c r="F48" s="466">
        <f t="shared" si="75"/>
        <v>-0.37345273797364464</v>
      </c>
      <c r="G48" s="466">
        <f t="shared" si="75"/>
        <v>-0.41771231652650048</v>
      </c>
      <c r="H48" s="466">
        <f t="shared" si="75"/>
        <v>-0.46652525214367591</v>
      </c>
      <c r="I48" s="466">
        <f t="shared" si="75"/>
        <v>-0.41242666848651266</v>
      </c>
      <c r="J48" s="466">
        <f t="shared" si="75"/>
        <v>-0.34456103907463514</v>
      </c>
      <c r="K48" s="466">
        <f t="shared" si="75"/>
        <v>-0.43517373230084888</v>
      </c>
      <c r="L48" s="466">
        <f t="shared" si="75"/>
        <v>-0.53398980377377059</v>
      </c>
      <c r="M48" s="466">
        <f t="shared" si="75"/>
        <v>-0.3780262550234495</v>
      </c>
      <c r="N48" s="466">
        <f t="shared" si="75"/>
        <v>-0.30070803680393743</v>
      </c>
      <c r="O48" s="466">
        <f t="shared" si="75"/>
        <v>-0.38597784724237244</v>
      </c>
      <c r="P48" s="466">
        <f t="shared" si="75"/>
        <v>-7.3541041949870697E-2</v>
      </c>
      <c r="Q48" s="466">
        <f t="shared" si="75"/>
        <v>-0.32647898836019812</v>
      </c>
      <c r="R48" s="466">
        <f t="shared" si="58"/>
        <v>-0.71084064893746413</v>
      </c>
      <c r="S48" s="466">
        <f t="shared" si="58"/>
        <v>-1.1191384975183234</v>
      </c>
      <c r="T48" s="466">
        <f t="shared" si="59"/>
        <v>-0.35519312900846606</v>
      </c>
      <c r="U48" s="466">
        <f t="shared" si="59"/>
        <v>-0.19172965268942949</v>
      </c>
      <c r="V48" s="466">
        <f t="shared" si="60"/>
        <v>-0.37327334372007176</v>
      </c>
      <c r="W48" s="466">
        <f t="shared" si="60"/>
        <v>-0.18045332836166306</v>
      </c>
      <c r="X48" s="466">
        <f t="shared" si="61"/>
        <v>-0.37892474971373896</v>
      </c>
      <c r="Y48" s="466">
        <f t="shared" si="61"/>
        <v>-0.2949393980314044</v>
      </c>
      <c r="Z48" s="466">
        <f t="shared" si="66"/>
        <v>-0.32324518248374434</v>
      </c>
      <c r="AA48" s="466">
        <f t="shared" si="66"/>
        <v>-0.39595664676793879</v>
      </c>
      <c r="AB48" s="466">
        <f t="shared" si="67"/>
        <v>-0.34394169477269076</v>
      </c>
      <c r="AC48" s="466">
        <f t="shared" si="67"/>
        <v>-0.12826240987336379</v>
      </c>
      <c r="AD48" s="466">
        <f>AD38*AD$51</f>
        <v>-0.17833154800910828</v>
      </c>
      <c r="AE48" s="466">
        <f t="shared" si="63"/>
        <v>-0.40034305126917502</v>
      </c>
      <c r="AF48" s="466">
        <f t="shared" ref="AF48:AH48" si="76">AF38*AF$51</f>
        <v>-0.42820423816724518</v>
      </c>
      <c r="AG48" s="466">
        <f t="shared" si="76"/>
        <v>-0.48173853857074533</v>
      </c>
      <c r="AH48" s="466">
        <f t="shared" si="76"/>
        <v>-0.51440520143694235</v>
      </c>
      <c r="AI48" s="466">
        <f t="shared" ref="AI48:AJ48" si="77">AI38*AI$51</f>
        <v>-0.47416591609547892</v>
      </c>
      <c r="AJ48" s="466">
        <f t="shared" si="77"/>
        <v>-0.45493795947115834</v>
      </c>
      <c r="AK48" s="466">
        <f t="shared" ref="AK48" si="78">AK38*AK$51</f>
        <v>-0.33778359920576551</v>
      </c>
      <c r="AL48" s="10"/>
      <c r="AM48" s="10"/>
      <c r="AN48" s="10"/>
      <c r="AO48" s="10"/>
    </row>
    <row r="49" spans="2:41">
      <c r="C49" s="45"/>
      <c r="D49" s="6" t="s">
        <v>1616</v>
      </c>
      <c r="E49" s="466">
        <f t="shared" ref="E49:R50" si="79">E39*E$51</f>
        <v>-0.87372394611274362</v>
      </c>
      <c r="F49" s="466">
        <f t="shared" si="79"/>
        <v>-1.0334799876209109</v>
      </c>
      <c r="G49" s="466">
        <f t="shared" si="79"/>
        <v>-0.90217251351823369</v>
      </c>
      <c r="H49" s="466">
        <f t="shared" si="79"/>
        <v>-1.1231937019272309</v>
      </c>
      <c r="I49" s="466">
        <f t="shared" si="79"/>
        <v>-0.868302309708891</v>
      </c>
      <c r="J49" s="466">
        <f t="shared" si="79"/>
        <v>-0.74001059016252146</v>
      </c>
      <c r="K49" s="466">
        <f t="shared" si="79"/>
        <v>-0.66245698347743509</v>
      </c>
      <c r="L49" s="466">
        <f t="shared" si="79"/>
        <v>-0.85741053822593805</v>
      </c>
      <c r="M49" s="466">
        <f t="shared" si="79"/>
        <v>-0.5299356820314155</v>
      </c>
      <c r="N49" s="466">
        <f t="shared" si="79"/>
        <v>-0.48581710995091371</v>
      </c>
      <c r="O49" s="466">
        <f t="shared" si="79"/>
        <v>-0.45431216812416281</v>
      </c>
      <c r="P49" s="466">
        <f t="shared" si="79"/>
        <v>-9.8675238910597596E-2</v>
      </c>
      <c r="Q49" s="466">
        <f t="shared" si="79"/>
        <v>-0.35422610140467703</v>
      </c>
      <c r="R49" s="466">
        <f t="shared" si="58"/>
        <v>-0.81106447038642349</v>
      </c>
      <c r="S49" s="466">
        <f t="shared" si="58"/>
        <v>-1.164027236619646</v>
      </c>
      <c r="T49" s="466">
        <f t="shared" si="59"/>
        <v>-0.35992922048250275</v>
      </c>
      <c r="U49" s="466">
        <f t="shared" si="59"/>
        <v>-0.24105655791557165</v>
      </c>
      <c r="V49" s="466">
        <f t="shared" si="60"/>
        <v>-0.49381684438035983</v>
      </c>
      <c r="W49" s="466">
        <f t="shared" si="60"/>
        <v>-0.24496503474523038</v>
      </c>
      <c r="X49" s="466">
        <f t="shared" si="61"/>
        <v>-0.34110829776311002</v>
      </c>
      <c r="Y49" s="466">
        <f t="shared" si="61"/>
        <v>-0.27206222244186429</v>
      </c>
      <c r="Z49" s="466">
        <f t="shared" si="66"/>
        <v>-0.25771557912582532</v>
      </c>
      <c r="AA49" s="466">
        <f t="shared" si="66"/>
        <v>-0.25056267453623016</v>
      </c>
      <c r="AB49" s="466">
        <f t="shared" si="67"/>
        <v>-0.14872475926661421</v>
      </c>
      <c r="AC49" s="466">
        <f t="shared" si="67"/>
        <v>-7.1643045955714552E-2</v>
      </c>
      <c r="AD49" s="466">
        <f>AD39*AD$51</f>
        <v>-9.5418948624450578E-2</v>
      </c>
      <c r="AE49" s="466">
        <f t="shared" si="63"/>
        <v>-0.21203331695590125</v>
      </c>
      <c r="AF49" s="466">
        <f t="shared" ref="AF49:AH49" si="80">AF39*AF$51</f>
        <v>-0.25812283020767246</v>
      </c>
      <c r="AG49" s="466">
        <f t="shared" si="80"/>
        <v>-0.2576109736432376</v>
      </c>
      <c r="AH49" s="466">
        <f t="shared" si="80"/>
        <v>-0.30355293869735178</v>
      </c>
      <c r="AI49" s="466">
        <f t="shared" ref="AI49:AJ49" si="81">AI39*AI$51</f>
        <v>-0.29017706587956443</v>
      </c>
      <c r="AJ49" s="466">
        <f t="shared" si="81"/>
        <v>-0.2780959735509288</v>
      </c>
      <c r="AK49" s="466">
        <f t="shared" ref="AK49" si="82">AK39*AK$51</f>
        <v>-0.16250273695975437</v>
      </c>
      <c r="AL49" s="10"/>
      <c r="AM49" s="10"/>
      <c r="AN49" s="10"/>
      <c r="AO49" s="10"/>
    </row>
    <row r="50" spans="2:41">
      <c r="C50" s="45"/>
      <c r="D50" s="7" t="s">
        <v>1619</v>
      </c>
      <c r="E50" s="466">
        <f t="shared" si="79"/>
        <v>-0.12410761272934619</v>
      </c>
      <c r="F50" s="466">
        <f t="shared" si="79"/>
        <v>-0.10991694060926419</v>
      </c>
      <c r="G50" s="466">
        <f t="shared" si="79"/>
        <v>-0.11581967836226216</v>
      </c>
      <c r="H50" s="466">
        <f t="shared" si="79"/>
        <v>-0.13916496107655374</v>
      </c>
      <c r="I50" s="466">
        <f t="shared" si="79"/>
        <v>-8.3916544380402622E-2</v>
      </c>
      <c r="J50" s="466">
        <f t="shared" si="79"/>
        <v>-6.5428198659202477E-2</v>
      </c>
      <c r="K50" s="466">
        <f t="shared" si="79"/>
        <v>-6.7678444505772969E-2</v>
      </c>
      <c r="L50" s="466">
        <f t="shared" si="79"/>
        <v>-7.1943326203596877E-2</v>
      </c>
      <c r="M50" s="466">
        <f t="shared" si="79"/>
        <v>-6.9440187986361576E-2</v>
      </c>
      <c r="N50" s="466">
        <f t="shared" si="79"/>
        <v>-8.7081803696593366E-2</v>
      </c>
      <c r="O50" s="466">
        <f t="shared" si="79"/>
        <v>-6.1260298316472964E-2</v>
      </c>
      <c r="P50" s="466">
        <f t="shared" si="79"/>
        <v>-1.1691272291870128E-2</v>
      </c>
      <c r="Q50" s="466">
        <f t="shared" si="79"/>
        <v>-5.7381244654812542E-2</v>
      </c>
      <c r="R50" s="466">
        <f t="shared" si="79"/>
        <v>-9.33359491781105E-2</v>
      </c>
      <c r="S50" s="466">
        <f>S40*S$51</f>
        <v>-7.6222075354601876E-2</v>
      </c>
      <c r="T50" s="466">
        <f t="shared" si="59"/>
        <v>-3.1780436314010688E-2</v>
      </c>
      <c r="U50" s="466">
        <f t="shared" si="59"/>
        <v>-2.135757479229514E-2</v>
      </c>
      <c r="V50" s="466">
        <f t="shared" si="60"/>
        <v>-5.1789728663063625E-2</v>
      </c>
      <c r="W50" s="466">
        <f t="shared" si="60"/>
        <v>-3.2101034596108531E-2</v>
      </c>
      <c r="X50" s="466">
        <f t="shared" si="61"/>
        <v>-3.7075924459437103E-2</v>
      </c>
      <c r="Y50" s="466">
        <f t="shared" si="61"/>
        <v>-1.5693178325103412E-2</v>
      </c>
      <c r="Z50" s="466">
        <f t="shared" si="66"/>
        <v>-1.5000291938459075E-2</v>
      </c>
      <c r="AA50" s="466">
        <f t="shared" si="66"/>
        <v>-1.2836097433365196E-2</v>
      </c>
      <c r="AB50" s="466">
        <f t="shared" si="67"/>
        <v>-6.6429933406078057E-2</v>
      </c>
      <c r="AC50" s="466">
        <f>AC40*AC$51</f>
        <v>-3.0752379592227576E-2</v>
      </c>
      <c r="AD50" s="466">
        <f>AD40*AD$51</f>
        <v>-4.1354746225048221E-2</v>
      </c>
      <c r="AE50" s="466">
        <f t="shared" si="63"/>
        <v>-8.9192440147193838E-2</v>
      </c>
      <c r="AF50" s="466">
        <f t="shared" ref="AF50:AH50" si="83">AF40*AF$51</f>
        <v>-9.8502482518012344E-2</v>
      </c>
      <c r="AG50" s="466">
        <f t="shared" si="83"/>
        <v>-9.9184124877111368E-2</v>
      </c>
      <c r="AH50" s="466">
        <f t="shared" si="83"/>
        <v>-0.12399241649156741</v>
      </c>
      <c r="AI50" s="466">
        <f t="shared" ref="AI50:AJ50" si="84">AI40*AI$51</f>
        <v>-0.11573100914972084</v>
      </c>
      <c r="AJ50" s="466">
        <f t="shared" si="84"/>
        <v>-0.10414923438388685</v>
      </c>
      <c r="AK50" s="466">
        <f t="shared" ref="AK50" si="85">AK40*AK$51</f>
        <v>-0.11342019218681525</v>
      </c>
      <c r="AL50" s="10"/>
      <c r="AM50" s="10"/>
      <c r="AN50" s="10"/>
      <c r="AO50" s="10"/>
    </row>
    <row r="51" spans="2:41" s="5" customFormat="1">
      <c r="C51" s="76"/>
      <c r="D51" s="511" t="s">
        <v>1903</v>
      </c>
      <c r="E51" s="516">
        <f>-[23]Summary!B19</f>
        <v>-3.2645910795000361</v>
      </c>
      <c r="F51" s="516">
        <f>-[23]Summary!C19</f>
        <v>-3.6905095183662358</v>
      </c>
      <c r="G51" s="516">
        <f>-[23]Summary!D19</f>
        <v>-3.4786836610202378</v>
      </c>
      <c r="H51" s="516">
        <f>-[23]Summary!E19</f>
        <v>-4.1262651837741124</v>
      </c>
      <c r="I51" s="516">
        <f>-[23]Summary!F19</f>
        <v>-3.47572995179469</v>
      </c>
      <c r="J51" s="516">
        <f>-[23]Summary!G19</f>
        <v>-3.0185836864816795</v>
      </c>
      <c r="K51" s="516">
        <f>-[23]Summary!H19</f>
        <v>-3.1023592525473482</v>
      </c>
      <c r="L51" s="516">
        <f>-[23]Summary!I19</f>
        <v>-3.6629142164437125</v>
      </c>
      <c r="M51" s="516">
        <f>-[23]Summary!J19</f>
        <v>-2.3653036568517991</v>
      </c>
      <c r="N51" s="516">
        <f>-[23]Summary!K19</f>
        <v>-2.320000624821533</v>
      </c>
      <c r="O51" s="516">
        <f>-[23]Summary!L19</f>
        <v>-2.2610237405678237</v>
      </c>
      <c r="P51" s="516">
        <f>-[23]Summary!M19</f>
        <v>-0.48690082719042316</v>
      </c>
      <c r="Q51" s="516">
        <f>-[23]Summary!N19</f>
        <v>-1.9413310715180654</v>
      </c>
      <c r="R51" s="516">
        <f>-[23]Summary!O19</f>
        <v>-3.9889636586699964</v>
      </c>
      <c r="S51" s="516">
        <f>-[23]Summary!P19</f>
        <v>-5.4581315487272324</v>
      </c>
      <c r="T51" s="516">
        <f>-[23]Summary!Q19</f>
        <v>-1.728012752461952</v>
      </c>
      <c r="U51" s="516">
        <f>-[23]Summary!R19</f>
        <v>-1.054143757769654</v>
      </c>
      <c r="V51" s="516">
        <f>-[23]Summary!S19</f>
        <v>-2.2324933292150759</v>
      </c>
      <c r="W51" s="516">
        <f>-[23]Summary!T19</f>
        <v>-1.164220882584061</v>
      </c>
      <c r="X51" s="516">
        <f>-[23]Summary!U19</f>
        <v>-2.394566218983285</v>
      </c>
      <c r="Y51" s="516">
        <f>-[23]Summary!V19</f>
        <v>-1.9112802253020502</v>
      </c>
      <c r="Z51" s="516">
        <f>-[23]Summary!W19</f>
        <v>-2.1006301487932286</v>
      </c>
      <c r="AA51" s="516">
        <f>-[23]Summary!X19</f>
        <v>-2.668224501833357</v>
      </c>
      <c r="AB51" s="516">
        <f>-[23]Summary!Y19</f>
        <v>-2.2061405660310101</v>
      </c>
      <c r="AC51" s="516">
        <f>-[23]Summary!Z19</f>
        <v>-0.94739754729614911</v>
      </c>
      <c r="AD51" s="516">
        <f>-[23]Summary!AA19</f>
        <v>-1.4185120434136789</v>
      </c>
      <c r="AE51" s="516">
        <f>-[23]Summary!AB19</f>
        <v>-3.3599977882933199</v>
      </c>
      <c r="AF51" s="516">
        <f>-[23]Summary!AC19</f>
        <v>-3.6915447294230135</v>
      </c>
      <c r="AG51" s="516">
        <f>-[23]Summary!AD19</f>
        <v>-4.510874171352028</v>
      </c>
      <c r="AH51" s="516">
        <f>-[23]Summary!AE19</f>
        <v>-5.4687764263824832</v>
      </c>
      <c r="AI51" s="516">
        <f>-[23]Summary!AF19</f>
        <v>-5.7151793379753766</v>
      </c>
      <c r="AJ51" s="516">
        <f>-[23]Summary!AG19</f>
        <v>-5.6778340307592092</v>
      </c>
      <c r="AK51" s="1060">
        <f>AJ51</f>
        <v>-5.6778340307592092</v>
      </c>
      <c r="AL51" s="10"/>
      <c r="AM51" s="10"/>
      <c r="AN51" s="10"/>
      <c r="AO51" s="10"/>
    </row>
    <row r="52" spans="2:41" s="5" customFormat="1">
      <c r="C52" s="76"/>
      <c r="D52" s="513"/>
      <c r="E52" s="517"/>
      <c r="F52" s="517"/>
      <c r="G52" s="517"/>
      <c r="H52" s="517"/>
      <c r="I52" s="517"/>
      <c r="J52" s="517"/>
      <c r="K52" s="517"/>
      <c r="L52" s="517"/>
      <c r="M52" s="517"/>
      <c r="N52" s="517"/>
      <c r="O52" s="517"/>
      <c r="P52" s="517"/>
      <c r="Q52" s="517"/>
      <c r="R52" s="517"/>
      <c r="S52" s="517"/>
      <c r="T52" s="517"/>
      <c r="V52" s="515"/>
      <c r="W52" s="517"/>
      <c r="X52" s="517"/>
      <c r="Y52" s="517"/>
      <c r="Z52" s="517"/>
      <c r="AA52" s="517"/>
      <c r="AB52" s="517"/>
      <c r="AC52" s="517"/>
      <c r="AD52" s="517"/>
      <c r="AE52" s="517"/>
      <c r="AF52" s="517"/>
      <c r="AG52" s="517"/>
      <c r="AH52" s="517"/>
      <c r="AI52" s="517"/>
      <c r="AJ52" s="517"/>
      <c r="AK52" s="517"/>
    </row>
    <row r="53" spans="2:41" s="5" customFormat="1">
      <c r="C53" s="76"/>
      <c r="D53" s="513"/>
      <c r="E53" s="461"/>
      <c r="F53" s="461"/>
      <c r="G53" s="461"/>
      <c r="H53" s="461"/>
      <c r="I53" s="461"/>
      <c r="J53" s="461"/>
      <c r="K53" s="461"/>
      <c r="L53" s="461"/>
      <c r="M53" s="461"/>
      <c r="N53" s="461"/>
      <c r="O53" s="461"/>
      <c r="P53" s="461"/>
      <c r="Q53" s="461"/>
      <c r="R53" s="518"/>
      <c r="S53" s="518"/>
      <c r="T53" s="518"/>
      <c r="V53" s="515"/>
      <c r="W53" s="461"/>
      <c r="X53" s="461"/>
      <c r="Y53" s="461"/>
      <c r="Z53" s="461"/>
      <c r="AA53" s="461"/>
      <c r="AB53" s="461"/>
      <c r="AC53" s="461"/>
      <c r="AD53" s="461"/>
      <c r="AE53" s="461"/>
      <c r="AF53" s="461"/>
      <c r="AG53" s="461"/>
      <c r="AH53" s="461"/>
      <c r="AI53" s="461"/>
      <c r="AJ53" s="461"/>
      <c r="AK53" s="461"/>
    </row>
    <row r="54" spans="2:41">
      <c r="B54" s="5" t="s">
        <v>1904</v>
      </c>
      <c r="C54" s="45"/>
      <c r="D54" s="1" t="s">
        <v>1905</v>
      </c>
      <c r="W54" s="1"/>
      <c r="X54" s="1"/>
      <c r="Y54" s="1"/>
      <c r="Z54" s="1"/>
    </row>
    <row r="55" spans="2:41">
      <c r="B55" s="5"/>
      <c r="C55" s="45"/>
      <c r="D55" s="4" t="s">
        <v>1503</v>
      </c>
      <c r="E55" s="460">
        <v>1990</v>
      </c>
      <c r="F55" s="460">
        <v>1991</v>
      </c>
      <c r="G55" s="460">
        <v>1992</v>
      </c>
      <c r="H55" s="460">
        <v>1993</v>
      </c>
      <c r="I55" s="460">
        <v>1994</v>
      </c>
      <c r="J55" s="460">
        <v>1995</v>
      </c>
      <c r="K55" s="460">
        <v>1996</v>
      </c>
      <c r="L55" s="460">
        <v>1997</v>
      </c>
      <c r="M55" s="460">
        <v>1998</v>
      </c>
      <c r="N55" s="460">
        <v>1999</v>
      </c>
      <c r="O55" s="460">
        <v>2000</v>
      </c>
      <c r="P55" s="460">
        <v>2001</v>
      </c>
      <c r="Q55" s="460">
        <v>2002</v>
      </c>
      <c r="R55" s="460">
        <v>2003</v>
      </c>
      <c r="S55" s="460">
        <v>2004</v>
      </c>
      <c r="T55" s="460">
        <v>2005</v>
      </c>
      <c r="U55" s="460">
        <v>2006</v>
      </c>
      <c r="V55" s="460">
        <v>2007</v>
      </c>
      <c r="W55" s="460">
        <v>2008</v>
      </c>
      <c r="X55" s="460">
        <v>2009</v>
      </c>
      <c r="Y55" s="460">
        <v>2010</v>
      </c>
      <c r="Z55" s="460">
        <v>2011</v>
      </c>
      <c r="AA55" s="460">
        <v>2012</v>
      </c>
      <c r="AB55" s="460">
        <v>2013</v>
      </c>
      <c r="AC55" s="460">
        <v>2014</v>
      </c>
      <c r="AD55" s="460">
        <v>2015</v>
      </c>
      <c r="AE55" s="460">
        <v>2016</v>
      </c>
      <c r="AF55" s="460">
        <v>2017</v>
      </c>
      <c r="AG55" s="460">
        <v>2018</v>
      </c>
      <c r="AH55" s="460">
        <v>2019</v>
      </c>
      <c r="AI55" s="460">
        <v>2020</v>
      </c>
      <c r="AJ55" s="460">
        <v>2021</v>
      </c>
      <c r="AK55" s="460">
        <v>2022</v>
      </c>
    </row>
    <row r="56" spans="2:41">
      <c r="B56" s="5"/>
      <c r="C56" s="45"/>
      <c r="D56" s="229" t="s">
        <v>1901</v>
      </c>
      <c r="E56" s="474">
        <f>E45/Factors!J26/TbtuToQBtu</f>
        <v>-24.525468457307944</v>
      </c>
      <c r="F56" s="474">
        <f>F45/Factors!K26/TbtuToQBtu</f>
        <v>-26.023156757886575</v>
      </c>
      <c r="G56" s="474">
        <f>G45/Factors!L26/TbtuToQBtu</f>
        <v>-24.442898384282362</v>
      </c>
      <c r="H56" s="474">
        <f>H45/Factors!M26/TbtuToQBtu</f>
        <v>-30.899134853819238</v>
      </c>
      <c r="I56" s="474">
        <f>I45/Factors!N26/TbtuToQBtu</f>
        <v>-25.348037981968464</v>
      </c>
      <c r="J56" s="474">
        <f>J45/Factors!O26/TbtuToQBtu</f>
        <v>-23.694735258171978</v>
      </c>
      <c r="K56" s="474">
        <f>K45/Factors!P26/TbtuToQBtu</f>
        <v>-24.39818493366338</v>
      </c>
      <c r="L56" s="474">
        <f>L45/Factors!Q26/TbtuToQBtu</f>
        <v>-27.9723804494074</v>
      </c>
      <c r="M56" s="474">
        <f>M45/Factors!R26/TbtuToQBtu</f>
        <v>-19.113597471252042</v>
      </c>
      <c r="N56" s="474">
        <f>N45/Factors!S26/TbtuToQBtu</f>
        <v>-17.125396089757462</v>
      </c>
      <c r="O56" s="474">
        <f>O45/Factors!T26/TbtuToQBtu</f>
        <v>-17.465373585132117</v>
      </c>
      <c r="P56" s="474">
        <f>P45/Factors!U26/TbtuToQBtu</f>
        <v>-4.03630837373258</v>
      </c>
      <c r="Q56" s="474">
        <f>Q45/Factors!V26/TbtuToQBtu</f>
        <v>-14.74379695271635</v>
      </c>
      <c r="R56" s="474">
        <f>R45/Factors!W26/TbtuToQBtu</f>
        <v>-27.694359097215646</v>
      </c>
      <c r="S56" s="474">
        <f>S45/Factors!X26/TbtuToQBtu</f>
        <v>-31.647744942571663</v>
      </c>
      <c r="T56" s="474">
        <f>T45/Factors!Y26/TbtuToQBtu</f>
        <v>-9.5066927204159537</v>
      </c>
      <c r="U56" s="474">
        <f>U45/Factors!Z26/TbtuToQBtu</f>
        <v>-4.9208066869922833</v>
      </c>
      <c r="V56" s="474">
        <f>V45/Factors!AA26/TbtuToQBtu</f>
        <v>-11.593677935862527</v>
      </c>
      <c r="W56" s="474">
        <f>W45/Factors!AB26/TbtuToQBtu</f>
        <v>-7.116723629629953</v>
      </c>
      <c r="X56" s="474">
        <f>X45/Factors!AC26/TbtuToQBtu</f>
        <v>-16.156543831520128</v>
      </c>
      <c r="Y56" s="474">
        <f>Y45/Factors!AD26/TbtuToQBtu</f>
        <v>-12.87419127108136</v>
      </c>
      <c r="Z56" s="474">
        <f>Z45/Factors!AE26/TbtuToQBtu</f>
        <v>-14.385747575302927</v>
      </c>
      <c r="AA56" s="474">
        <f>AA45/Factors!AF26/TbtuToQBtu</f>
        <v>-19.245230619122459</v>
      </c>
      <c r="AB56" s="474">
        <f>AB45/Factors!AG26/TbtuToQBtu</f>
        <v>-14.907511894773743</v>
      </c>
      <c r="AC56" s="474">
        <f>AC45/Factors!AH26/TbtuToQBtu</f>
        <v>-6.63146620982348</v>
      </c>
      <c r="AD56" s="474">
        <f>AD45/Factors!AI26/TbtuToQBtu</f>
        <v>-12.467792593278096</v>
      </c>
      <c r="AE56" s="474">
        <f>AE45/Factors!AJ26/TbtuToQBtu</f>
        <v>-35.141291988893876</v>
      </c>
      <c r="AF56" s="474">
        <f>AF45/Factors!AK26/TbtuToQBtu</f>
        <v>-42.930288085507485</v>
      </c>
      <c r="AG56" s="474">
        <f>AG45/Factors!AL26/TbtuToQBtu</f>
        <v>-54.558630038990643</v>
      </c>
      <c r="AH56" s="474">
        <f>AH45/Factors!AM26/TbtuToQBtu</f>
        <v>-65.815995577729169</v>
      </c>
      <c r="AI56" s="474">
        <f>AI45/Factors!AN26/TbtuToQBtu</f>
        <v>-67.786699844188647</v>
      </c>
      <c r="AJ56" s="474">
        <f>AJ45/Factors!AO26/TbtuToQBtu</f>
        <v>-64.99939532199808</v>
      </c>
      <c r="AK56" s="474">
        <f>AK45/Factors!AP26/TbtuToQBtu</f>
        <v>-64.29266207565118</v>
      </c>
      <c r="AL56" s="10"/>
      <c r="AM56" s="10"/>
      <c r="AN56" s="10"/>
      <c r="AO56" s="10"/>
    </row>
    <row r="57" spans="2:41">
      <c r="B57" s="5"/>
      <c r="C57" s="45"/>
      <c r="D57" s="6" t="s">
        <v>1609</v>
      </c>
      <c r="E57" s="464">
        <f>E46/Factors!J19/TbtuToQBtu</f>
        <v>-88.597439863259041</v>
      </c>
      <c r="F57" s="464">
        <f>F46/Factors!K19/TbtuToQBtu</f>
        <v>-105.62944285835071</v>
      </c>
      <c r="G57" s="464">
        <f>G46/Factors!L19/TbtuToQBtu</f>
        <v>-99.114140538151162</v>
      </c>
      <c r="H57" s="464">
        <f>H46/Factors!M19/TbtuToQBtu</f>
        <v>-114.71185011562579</v>
      </c>
      <c r="I57" s="464">
        <f>I46/Factors!N19/TbtuToQBtu</f>
        <v>-102.120567638021</v>
      </c>
      <c r="J57" s="464">
        <f>J46/Factors!O19/TbtuToQBtu</f>
        <v>-89.492682843678026</v>
      </c>
      <c r="K57" s="464">
        <f>K46/Factors!P19/TbtuToQBtu</f>
        <v>-93.014147084338745</v>
      </c>
      <c r="L57" s="464">
        <f>L46/Factors!Q19/TbtuToQBtu</f>
        <v>-105.20675187115451</v>
      </c>
      <c r="M57" s="464">
        <f>M46/Factors!R19/TbtuToQBtu</f>
        <v>-65.247435512614629</v>
      </c>
      <c r="N57" s="464">
        <f>N46/Factors!S19/TbtuToQBtu</f>
        <v>-70.263650100216907</v>
      </c>
      <c r="O57" s="464">
        <f>O46/Factors!T19/TbtuToQBtu</f>
        <v>-65.128175377334188</v>
      </c>
      <c r="P57" s="464">
        <f>P46/Factors!U19/TbtuToQBtu</f>
        <v>-14.387461467963833</v>
      </c>
      <c r="Q57" s="464">
        <f>Q46/Factors!V19/TbtuToQBtu</f>
        <v>-58.196799232233431</v>
      </c>
      <c r="R57" s="464">
        <f>R46/Factors!W19/TbtuToQBtu</f>
        <v>-115.8635533710104</v>
      </c>
      <c r="S57" s="464">
        <f>S46/Factors!X19/TbtuToQBtu</f>
        <v>-155.26955204522955</v>
      </c>
      <c r="T57" s="464">
        <f>T46/Factors!Y19/TbtuToQBtu</f>
        <v>-49.570123747313659</v>
      </c>
      <c r="U57" s="464">
        <f>U46/Factors!Z19/TbtuToQBtu</f>
        <v>-31.102137262554979</v>
      </c>
      <c r="V57" s="464">
        <f>V46/Factors!AA19/TbtuToQBtu</f>
        <v>-67.550890012221771</v>
      </c>
      <c r="W57" s="464">
        <f>W46/Factors!AB19/TbtuToQBtu</f>
        <v>-35.595650238202317</v>
      </c>
      <c r="X57" s="464">
        <f>X46/Factors!AC19/TbtuToQBtu</f>
        <v>-83.042928023579492</v>
      </c>
      <c r="Y57" s="464">
        <f>Y46/Factors!AD19/TbtuToQBtu</f>
        <v>-67.557848708135978</v>
      </c>
      <c r="Z57" s="464">
        <f>Z46/Factors!AE19/TbtuToQBtu</f>
        <v>-76.852428951049305</v>
      </c>
      <c r="AA57" s="464">
        <f>AA46/Factors!AF19/TbtuToQBtu</f>
        <v>-102.54525258481085</v>
      </c>
      <c r="AB57" s="464">
        <f>AB46/Factors!AG19/TbtuToQBtu</f>
        <v>-84.762946220925627</v>
      </c>
      <c r="AC57" s="464">
        <f>AC46/Factors!AH19/TbtuToQBtu</f>
        <v>-36.816811643822632</v>
      </c>
      <c r="AD57" s="464">
        <f>AD46/Factors!AI19/TbtuToQBtu</f>
        <v>-54.752688118136547</v>
      </c>
      <c r="AE57" s="464">
        <f>AE46/Factors!AJ19/TbtuToQBtu</f>
        <v>-127.68154308877017</v>
      </c>
      <c r="AF57" s="464">
        <f>AF46/Factors!AK19/TbtuToQBtu</f>
        <v>-136.04197400658106</v>
      </c>
      <c r="AG57" s="464">
        <f>AG46/Factors!AL19/TbtuToQBtu</f>
        <v>-171.96543571653936</v>
      </c>
      <c r="AH57" s="464">
        <f>AH46/Factors!AM19/TbtuToQBtu</f>
        <v>-213.35970146565845</v>
      </c>
      <c r="AI57" s="464">
        <f>AI46/Factors!AN19/TbtuToQBtu</f>
        <v>-230.9161368459352</v>
      </c>
      <c r="AJ57" s="464">
        <f>AJ46/Factors!AO19/TbtuToQBtu</f>
        <v>-233.46412737221414</v>
      </c>
      <c r="AK57" s="464">
        <f>AK46/Factors!AP19/TbtuToQBtu</f>
        <v>-248.14010190938083</v>
      </c>
      <c r="AL57" s="10"/>
      <c r="AM57" s="10"/>
      <c r="AN57" s="10"/>
      <c r="AO57" s="10"/>
    </row>
    <row r="58" spans="2:41">
      <c r="B58" s="5"/>
      <c r="C58" s="45"/>
      <c r="D58" s="6" t="s">
        <v>1617</v>
      </c>
      <c r="E58" s="464">
        <f>E47/Factors!$D$46/TbtuToQBtu</f>
        <v>0</v>
      </c>
      <c r="F58" s="464">
        <f>F47/Factors!$D$46/TbtuToQBtu</f>
        <v>0</v>
      </c>
      <c r="G58" s="464">
        <f>G47/Factors!$D$46/TbtuToQBtu</f>
        <v>0</v>
      </c>
      <c r="H58" s="464">
        <f>H47/Factors!$D$46/TbtuToQBtu</f>
        <v>0</v>
      </c>
      <c r="I58" s="464">
        <f>I47/Factors!$D$46/TbtuToQBtu</f>
        <v>0</v>
      </c>
      <c r="J58" s="464">
        <f>J47/Factors!$D$46/TbtuToQBtu</f>
        <v>0</v>
      </c>
      <c r="K58" s="464">
        <f>K47/Factors!$D$46/TbtuToQBtu</f>
        <v>0</v>
      </c>
      <c r="L58" s="464">
        <f>L47/Factors!$D$46/TbtuToQBtu</f>
        <v>0</v>
      </c>
      <c r="M58" s="464">
        <f>M47/Factors!$D$46/TbtuToQBtu</f>
        <v>0</v>
      </c>
      <c r="N58" s="464">
        <f>N47/Factors!$D$46/TbtuToQBtu</f>
        <v>0</v>
      </c>
      <c r="O58" s="464">
        <f>O47/Factors!$D$46/TbtuToQBtu</f>
        <v>0</v>
      </c>
      <c r="P58" s="464">
        <f>P47/Factors!$D$46/TbtuToQBtu</f>
        <v>0</v>
      </c>
      <c r="Q58" s="464">
        <f>Q47/Factors!$D$46/TbtuToQBtu</f>
        <v>0</v>
      </c>
      <c r="R58" s="464">
        <f>R47/Factors!$D$46/TbtuToQBtu</f>
        <v>0</v>
      </c>
      <c r="S58" s="464">
        <f>S47/Factors!$D$46/TbtuToQBtu</f>
        <v>0</v>
      </c>
      <c r="T58" s="464">
        <f>T47/Factors!$D$46/TbtuToQBtu</f>
        <v>0</v>
      </c>
      <c r="U58" s="464">
        <f>U47/Factors!$D$46/TbtuToQBtu</f>
        <v>0</v>
      </c>
      <c r="V58" s="464">
        <f>V47/Factors!$D$46/TbtuToQBtu</f>
        <v>0</v>
      </c>
      <c r="W58" s="464">
        <f>W47/Factors!$D$46/TbtuToQBtu</f>
        <v>0</v>
      </c>
      <c r="X58" s="464">
        <f>X47/Factors!$D$46/TbtuToQBtu</f>
        <v>0</v>
      </c>
      <c r="Y58" s="464">
        <f>Y47/Factors!$D$46/TbtuToQBtu</f>
        <v>0</v>
      </c>
      <c r="Z58" s="464">
        <f>Z47/Factors!$D$46/TbtuToQBtu</f>
        <v>0</v>
      </c>
      <c r="AA58" s="464">
        <f>AA47/Factors!$D$46/TbtuToQBtu</f>
        <v>0</v>
      </c>
      <c r="AB58" s="464">
        <f>AB47/Factors!$D$46/TbtuToQBtu</f>
        <v>0</v>
      </c>
      <c r="AC58" s="464">
        <f>AC47/Factors!$D$46/TbtuToQBtu</f>
        <v>0</v>
      </c>
      <c r="AD58" s="464">
        <f>AD47/Factors!$D$46/TbtuToQBtu</f>
        <v>0</v>
      </c>
      <c r="AE58" s="464">
        <f>AE47/Factors!$D$46/TbtuToQBtu</f>
        <v>0</v>
      </c>
      <c r="AF58" s="464">
        <f>AF47/Factors!$D$46/TbtuToQBtu</f>
        <v>0</v>
      </c>
      <c r="AG58" s="464">
        <f>AG47/Factors!$D$46/TbtuToQBtu</f>
        <v>0</v>
      </c>
      <c r="AH58" s="464">
        <f>AH47/Factors!$D$46/TbtuToQBtu</f>
        <v>0</v>
      </c>
      <c r="AI58" s="464">
        <f>AI47/Factors!$D$46/TbtuToQBtu</f>
        <v>0</v>
      </c>
      <c r="AJ58" s="464">
        <f>AJ47/Factors!$D$46/TbtuToQBtu</f>
        <v>0</v>
      </c>
      <c r="AK58" s="464">
        <f>AK47/Factors!$D$46/TbtuToQBtu</f>
        <v>0</v>
      </c>
      <c r="AL58" s="10"/>
      <c r="AM58" s="10"/>
      <c r="AN58" s="10"/>
      <c r="AO58" s="10"/>
    </row>
    <row r="59" spans="2:41">
      <c r="B59" s="5"/>
      <c r="C59" s="45"/>
      <c r="D59" s="6" t="s">
        <v>1615</v>
      </c>
      <c r="E59" s="464">
        <f>E48/Factors!$D$44/TbtuToQBtu</f>
        <v>-21.727914995217674</v>
      </c>
      <c r="F59" s="464">
        <f>F48/Factors!$D$44/TbtuToQBtu</f>
        <v>-20.131518358982532</v>
      </c>
      <c r="G59" s="464">
        <f>G48/Factors!$D$44/TbtuToQBtu</f>
        <v>-22.517395948292179</v>
      </c>
      <c r="H59" s="464">
        <f>H48/Factors!$D$44/TbtuToQBtu</f>
        <v>-25.148728938016699</v>
      </c>
      <c r="I59" s="464">
        <f>I48/Factors!$D$44/TbtuToQBtu</f>
        <v>-22.232465327262311</v>
      </c>
      <c r="J59" s="464">
        <f>J48/Factors!$D$44/TbtuToQBtu</f>
        <v>-18.57406889439017</v>
      </c>
      <c r="K59" s="464">
        <f>K48/Factors!$D$44/TbtuToQBtu</f>
        <v>-23.458679212521265</v>
      </c>
      <c r="L59" s="464">
        <f>L48/Factors!$D$44/TbtuToQBtu</f>
        <v>-28.78550468396832</v>
      </c>
      <c r="M59" s="464">
        <f>M48/Factors!$D$44/TbtuToQBtu</f>
        <v>-20.378060513025495</v>
      </c>
      <c r="N59" s="464">
        <f>N48/Factors!$D$44/TbtuToQBtu</f>
        <v>-16.210108396739844</v>
      </c>
      <c r="O59" s="464">
        <f>O48/Factors!$D$44/TbtuToQBtu</f>
        <v>-20.806702770696365</v>
      </c>
      <c r="P59" s="464">
        <f>P48/Factors!$D$44/TbtuToQBtu</f>
        <v>-3.9643378816438291</v>
      </c>
      <c r="Q59" s="464">
        <f>Q48/Factors!$D$44/TbtuToQBtu</f>
        <v>-17.599329392141744</v>
      </c>
      <c r="R59" s="464">
        <f>R48/Factors!$D$44/TbtuToQBtu</f>
        <v>-38.318909246838949</v>
      </c>
      <c r="S59" s="464">
        <f>S48/Factors!$D$44/TbtuToQBtu</f>
        <v>-60.32880447277438</v>
      </c>
      <c r="T59" s="464">
        <f>T48/Factors!$D$44/TbtuToQBtu</f>
        <v>-19.147207318434539</v>
      </c>
      <c r="U59" s="464">
        <f>U48/Factors!$D$44/TbtuToQBtu</f>
        <v>-10.335468536184596</v>
      </c>
      <c r="V59" s="464">
        <f>V48/Factors!$D$44/TbtuToQBtu</f>
        <v>-20.121847848253665</v>
      </c>
      <c r="W59" s="464">
        <f>W48/Factors!$D$44/TbtuToQBtu</f>
        <v>-9.7276017108989503</v>
      </c>
      <c r="X59" s="464">
        <f>X48/Factors!$D$44/TbtuToQBtu</f>
        <v>-20.426495188993215</v>
      </c>
      <c r="Y59" s="464">
        <f>Y48/Factors!$D$44/TbtuToQBtu</f>
        <v>-15.899141450866807</v>
      </c>
      <c r="Z59" s="464">
        <f>Z48/Factors!$D$44/TbtuToQBtu</f>
        <v>-17.425006336634222</v>
      </c>
      <c r="AA59" s="464">
        <f>AA48/Factors!$D$44/TbtuToQBtu</f>
        <v>-21.344624615745797</v>
      </c>
      <c r="AB59" s="464">
        <f>AB48/Factors!$D$44/TbtuToQBtu</f>
        <v>-18.54068223011565</v>
      </c>
      <c r="AC59" s="464">
        <f>AC48/Factors!$D$44/TbtuToQBtu</f>
        <v>-6.9141735930054713</v>
      </c>
      <c r="AD59" s="464">
        <f>AD48/Factors!$D$44/TbtuToQBtu</f>
        <v>-9.6132240245738885</v>
      </c>
      <c r="AE59" s="464">
        <f>AE48/Factors!$D$44/TbtuToQBtu</f>
        <v>-21.581080193031703</v>
      </c>
      <c r="AF59" s="464">
        <f>AF48/Factors!$D$44/TbtuToQBtu</f>
        <v>-23.082978394621875</v>
      </c>
      <c r="AG59" s="464">
        <f>AG48/Factors!$D$44/TbtuToQBtu</f>
        <v>-25.968823487781716</v>
      </c>
      <c r="AH59" s="464">
        <f>AH48/Factors!$D$44/TbtuToQBtu</f>
        <v>-27.729767929602755</v>
      </c>
      <c r="AI59" s="464">
        <f>AI48/Factors!$D$44/TbtuToQBtu</f>
        <v>-25.560610150764415</v>
      </c>
      <c r="AJ59" s="464">
        <f>AJ48/Factors!$D$44/TbtuToQBtu</f>
        <v>-24.524098907364326</v>
      </c>
      <c r="AK59" s="464">
        <f>AK48/Factors!$D$44/TbtuToQBtu</f>
        <v>-18.208721043716015</v>
      </c>
      <c r="AL59" s="10"/>
      <c r="AM59" s="10"/>
      <c r="AN59" s="10"/>
      <c r="AO59" s="10"/>
    </row>
    <row r="60" spans="2:41">
      <c r="B60" s="5"/>
      <c r="C60" s="45"/>
      <c r="D60" s="6" t="s">
        <v>1616</v>
      </c>
      <c r="E60" s="464">
        <f>E49/Factors!$D$45/TbtuToQBtu</f>
        <v>-43.317994353631306</v>
      </c>
      <c r="F60" s="464">
        <f>F49/Factors!$D$45/TbtuToQBtu</f>
        <v>-51.238472365935088</v>
      </c>
      <c r="G60" s="464">
        <f>G49/Factors!$D$45/TbtuToQBtu</f>
        <v>-44.728433987021994</v>
      </c>
      <c r="H60" s="464">
        <f>H49/Factors!$D$45/TbtuToQBtu</f>
        <v>-55.686351111910298</v>
      </c>
      <c r="I60" s="464">
        <f>I49/Factors!$D$45/TbtuToQBtu</f>
        <v>-43.049197308323791</v>
      </c>
      <c r="J60" s="464">
        <f>J49/Factors!$D$45/TbtuToQBtu</f>
        <v>-36.688675764130956</v>
      </c>
      <c r="K60" s="464">
        <f>K49/Factors!$D$45/TbtuToQBtu</f>
        <v>-32.843677911622962</v>
      </c>
      <c r="L60" s="464">
        <f>L49/Factors!$D$45/TbtuToQBtu</f>
        <v>-42.509198722158551</v>
      </c>
      <c r="M60" s="464">
        <f>M49/Factors!$D$45/TbtuToQBtu</f>
        <v>-26.273459694170324</v>
      </c>
      <c r="N60" s="464">
        <f>N49/Factors!$D$45/TbtuToQBtu</f>
        <v>-24.086123448235679</v>
      </c>
      <c r="O60" s="464">
        <f>O49/Factors!$D$45/TbtuToQBtu</f>
        <v>-22.524153104817191</v>
      </c>
      <c r="P60" s="464">
        <f>P49/Factors!$D$45/TbtuToQBtu</f>
        <v>-4.8921784288843622</v>
      </c>
      <c r="Q60" s="464">
        <f>Q49/Factors!$D$45/TbtuToQBtu</f>
        <v>-17.562027833647843</v>
      </c>
      <c r="R60" s="464">
        <f>R49/Factors!$D$45/TbtuToQBtu</f>
        <v>-40.211426394963979</v>
      </c>
      <c r="S60" s="464">
        <f>S49/Factors!$D$45/TbtuToQBtu</f>
        <v>-57.71081986215399</v>
      </c>
      <c r="T60" s="464">
        <f>T49/Factors!$D$45/TbtuToQBtu</f>
        <v>-17.844780390803308</v>
      </c>
      <c r="U60" s="464">
        <f>U49/Factors!$D$45/TbtuToQBtu</f>
        <v>-11.951242335923235</v>
      </c>
      <c r="V60" s="464">
        <f>V49/Factors!$D$45/TbtuToQBtu</f>
        <v>-24.482738938044612</v>
      </c>
      <c r="W60" s="464">
        <f>W49/Factors!$D$45/TbtuToQBtu</f>
        <v>-12.145019075122972</v>
      </c>
      <c r="X60" s="464">
        <f>X49/Factors!$D$45/TbtuToQBtu</f>
        <v>-16.91166572945513</v>
      </c>
      <c r="Y60" s="464">
        <f>Y49/Factors!$D$45/TbtuToQBtu</f>
        <v>-13.488459218733974</v>
      </c>
      <c r="Z60" s="464">
        <f>Z49/Factors!$D$45/TbtuToQBtu</f>
        <v>-12.777172985911021</v>
      </c>
      <c r="AA60" s="464">
        <f>AA49/Factors!$D$45/TbtuToQBtu</f>
        <v>-12.422542118801692</v>
      </c>
      <c r="AB60" s="464">
        <f>AB49/Factors!$D$45/TbtuToQBtu</f>
        <v>-7.3735626805460681</v>
      </c>
      <c r="AC60" s="464">
        <f>AC49/Factors!$D$45/TbtuToQBtu</f>
        <v>-3.5519606324102404</v>
      </c>
      <c r="AD60" s="464">
        <f>AD49/Factors!$D$45/TbtuToQBtu</f>
        <v>-4.7307361737456901</v>
      </c>
      <c r="AE60" s="464">
        <f>AE49/Factors!$D$45/TbtuToQBtu</f>
        <v>-10.512311202573189</v>
      </c>
      <c r="AF60" s="464">
        <f>AF49/Factors!$D$45/TbtuToQBtu</f>
        <v>-12.79736391708837</v>
      </c>
      <c r="AG60" s="464">
        <f>AG49/Factors!$D$45/TbtuToQBtu</f>
        <v>-12.771986794409399</v>
      </c>
      <c r="AH60" s="464">
        <f>AH49/Factors!$D$45/TbtuToQBtu</f>
        <v>-15.049724278500333</v>
      </c>
      <c r="AI60" s="464">
        <f>AI49/Factors!$D$45/TbtuToQBtu</f>
        <v>-14.386567470479148</v>
      </c>
      <c r="AJ60" s="464">
        <f>AJ49/Factors!$D$45/TbtuToQBtu</f>
        <v>-13.787604043179414</v>
      </c>
      <c r="AK60" s="464">
        <f>AK49/Factors!$D$45/TbtuToQBtu</f>
        <v>-8.0566552781236656</v>
      </c>
      <c r="AL60" s="10"/>
      <c r="AM60" s="10"/>
      <c r="AN60" s="10"/>
      <c r="AO60" s="10"/>
    </row>
    <row r="61" spans="2:41" ht="13.5" thickBot="1">
      <c r="B61" s="519"/>
      <c r="C61" s="520"/>
      <c r="D61" s="521" t="s">
        <v>1619</v>
      </c>
      <c r="E61" s="522">
        <f>E50/Factors!$D$37/TbtuToQBtu</f>
        <v>-6.2879447671052286</v>
      </c>
      <c r="F61" s="522">
        <f>F50/Factors!$D$37/TbtuToQBtu</f>
        <v>-5.5689706402418846</v>
      </c>
      <c r="G61" s="522">
        <f>G50/Factors!$D$37/TbtuToQBtu</f>
        <v>-5.8680343974869853</v>
      </c>
      <c r="H61" s="522">
        <f>H50/Factors!$D$37/TbtuToQBtu</f>
        <v>-7.0508292724480386</v>
      </c>
      <c r="I61" s="522">
        <f>I50/Factors!$D$37/TbtuToQBtu</f>
        <v>-4.2516537423133958</v>
      </c>
      <c r="J61" s="522">
        <f>J50/Factors!$D$37/TbtuToQBtu</f>
        <v>-3.3149368546589795</v>
      </c>
      <c r="K61" s="522">
        <f>K50/Factors!$D$37/TbtuToQBtu</f>
        <v>-3.4289461509823265</v>
      </c>
      <c r="L61" s="522">
        <f>L50/Factors!$D$37/TbtuToQBtu</f>
        <v>-3.645027501387784</v>
      </c>
      <c r="M61" s="522">
        <f>M50/Factors!$D$37/TbtuToQBtu</f>
        <v>-3.5182053467409879</v>
      </c>
      <c r="N61" s="522">
        <f>N50/Factors!$D$37/TbtuToQBtu</f>
        <v>-4.4120224361918048</v>
      </c>
      <c r="O61" s="522">
        <f>O50/Factors!$D$37/TbtuToQBtu</f>
        <v>-3.1037690900591119</v>
      </c>
      <c r="P61" s="522">
        <f>P50/Factors!$D$37/TbtuToQBtu</f>
        <v>-0.5923413786774433</v>
      </c>
      <c r="Q61" s="522">
        <f>Q50/Factors!$D$37/TbtuToQBtu</f>
        <v>-2.9072358183544136</v>
      </c>
      <c r="R61" s="522">
        <f>R50/Factors!$D$37/TbtuToQBtu</f>
        <v>-4.7288903582183286</v>
      </c>
      <c r="S61" s="522">
        <f>S50/Factors!$D$37/TbtuToQBtu</f>
        <v>-3.8618114499477425</v>
      </c>
      <c r="T61" s="522">
        <f>T50/Factors!$D$37/TbtuToQBtu</f>
        <v>-1.6101641456338505</v>
      </c>
      <c r="U61" s="522">
        <f>U50/Factors!$D$37/TbtuToQBtu</f>
        <v>-1.0820871314811427</v>
      </c>
      <c r="V61" s="522">
        <f>V50/Factors!$D$37/TbtuToQBtu</f>
        <v>-2.6239401933134432</v>
      </c>
      <c r="W61" s="522">
        <f>W50/Factors!$D$37/TbtuToQBtu</f>
        <v>-1.6264073417273595</v>
      </c>
      <c r="X61" s="522">
        <f>X50/Factors!$D$37/TbtuToQBtu</f>
        <v>-1.878461442157614</v>
      </c>
      <c r="Y61" s="522">
        <f>Y50/Factors!$D$37/TbtuToQBtu</f>
        <v>-0.79509899802665429</v>
      </c>
      <c r="Z61" s="522">
        <f>Z50/Factors!$D$37/TbtuToQBtu</f>
        <v>-0.75999372742089311</v>
      </c>
      <c r="AA61" s="522">
        <f>AA50/Factors!$D$37/TbtuToQBtu</f>
        <v>-0.65034424489495013</v>
      </c>
      <c r="AB61" s="522">
        <f>AB50/Factors!$D$37/TbtuToQBtu</f>
        <v>-3.3656900084834778</v>
      </c>
      <c r="AC61" s="522">
        <f>AC50/Factors!$D$37/TbtuToQBtu</f>
        <v>-1.5580773820432803</v>
      </c>
      <c r="AD61" s="522">
        <f>AD50/Factors!$D$37/TbtuToQBtu</f>
        <v>-2.095249069755647</v>
      </c>
      <c r="AE61" s="522">
        <f>AE50/Factors!$D$37/TbtuToQBtu</f>
        <v>-4.5189583858321978</v>
      </c>
      <c r="AF61" s="522">
        <f>AF50/Factors!$D$37/TbtuToQBtu</f>
        <v>-4.9906541256800221</v>
      </c>
      <c r="AG61" s="522">
        <f>AG50/Factors!$D$37/TbtuToQBtu</f>
        <v>-5.0251897146795557</v>
      </c>
      <c r="AH61" s="522">
        <f>AH50/Factors!$D$37/TbtuToQBtu</f>
        <v>-6.2821083194885068</v>
      </c>
      <c r="AI61" s="522">
        <f>AI50/Factors!$D$37/TbtuToQBtu</f>
        <v>-5.8635419485651088</v>
      </c>
      <c r="AJ61" s="522">
        <f>AJ50/Factors!$D$37/TbtuToQBtu</f>
        <v>-5.2767482907784977</v>
      </c>
      <c r="AK61" s="522">
        <f>AK50/Factors!$D$37/TbtuToQBtu</f>
        <v>-5.7464638007376436</v>
      </c>
      <c r="AL61" s="10"/>
      <c r="AM61" s="10"/>
      <c r="AN61" s="10"/>
      <c r="AO61" s="10"/>
    </row>
    <row r="62" spans="2:41">
      <c r="B62" s="523"/>
      <c r="C62" s="524"/>
      <c r="D62" s="525"/>
      <c r="E62" s="526"/>
      <c r="F62" s="526"/>
      <c r="G62" s="526"/>
      <c r="H62" s="526"/>
      <c r="I62" s="526"/>
      <c r="J62" s="526"/>
      <c r="K62" s="526"/>
      <c r="L62" s="526"/>
      <c r="M62" s="526"/>
      <c r="N62" s="526"/>
      <c r="O62" s="526"/>
      <c r="P62" s="526"/>
      <c r="Q62" s="526"/>
      <c r="R62" s="526"/>
      <c r="S62" s="526"/>
      <c r="T62" s="526"/>
      <c r="V62" s="1"/>
      <c r="W62" s="526"/>
      <c r="X62" s="526"/>
      <c r="Y62" s="526"/>
      <c r="Z62" s="526"/>
      <c r="AA62" s="526"/>
      <c r="AB62" s="526"/>
      <c r="AC62" s="526"/>
      <c r="AD62" s="526"/>
      <c r="AE62" s="526"/>
      <c r="AF62" s="526"/>
      <c r="AG62" s="526"/>
      <c r="AH62" s="526"/>
      <c r="AI62" s="526"/>
      <c r="AJ62" s="526"/>
      <c r="AK62" s="526"/>
    </row>
    <row r="63" spans="2:41">
      <c r="B63" s="5" t="s">
        <v>1906</v>
      </c>
      <c r="D63" s="408" t="s">
        <v>1907</v>
      </c>
      <c r="O63" s="1"/>
      <c r="W63" s="1"/>
      <c r="X63" s="1"/>
      <c r="Y63" s="1"/>
      <c r="Z63" s="1"/>
    </row>
    <row r="64" spans="2:41">
      <c r="C64" s="76"/>
      <c r="D64" s="4" t="s">
        <v>1503</v>
      </c>
      <c r="E64" s="460">
        <v>1990</v>
      </c>
      <c r="F64" s="460">
        <v>1991</v>
      </c>
      <c r="G64" s="460">
        <v>1992</v>
      </c>
      <c r="H64" s="460">
        <v>1993</v>
      </c>
      <c r="I64" s="460">
        <v>1994</v>
      </c>
      <c r="J64" s="460">
        <v>1995</v>
      </c>
      <c r="K64" s="460">
        <v>1996</v>
      </c>
      <c r="L64" s="460">
        <v>1997</v>
      </c>
      <c r="M64" s="460">
        <v>1998</v>
      </c>
      <c r="N64" s="460">
        <v>1999</v>
      </c>
      <c r="O64" s="460">
        <v>2000</v>
      </c>
      <c r="P64" s="460">
        <v>2001</v>
      </c>
      <c r="Q64" s="460">
        <v>2002</v>
      </c>
      <c r="R64" s="460">
        <v>2003</v>
      </c>
      <c r="S64" s="460">
        <v>2004</v>
      </c>
      <c r="T64" s="460">
        <v>2005</v>
      </c>
      <c r="U64" s="460">
        <v>2006</v>
      </c>
      <c r="V64" s="460">
        <v>2007</v>
      </c>
      <c r="W64" s="460">
        <v>2008</v>
      </c>
      <c r="X64" s="460">
        <v>2009</v>
      </c>
      <c r="Y64" s="460">
        <v>2010</v>
      </c>
      <c r="Z64" s="460">
        <v>2011</v>
      </c>
      <c r="AA64" s="460">
        <v>2012</v>
      </c>
      <c r="AB64" s="460">
        <v>2013</v>
      </c>
      <c r="AC64" s="460">
        <v>2014</v>
      </c>
      <c r="AD64" s="460">
        <v>2015</v>
      </c>
      <c r="AE64" s="460">
        <v>2016</v>
      </c>
      <c r="AF64" s="460">
        <v>2017</v>
      </c>
      <c r="AG64" s="460">
        <v>2018</v>
      </c>
      <c r="AH64" s="460">
        <v>2019</v>
      </c>
      <c r="AI64" s="460">
        <v>2020</v>
      </c>
      <c r="AJ64" s="460">
        <v>2021</v>
      </c>
      <c r="AK64" s="460">
        <v>2022</v>
      </c>
    </row>
    <row r="65" spans="1:45">
      <c r="D65" s="229" t="s">
        <v>1908</v>
      </c>
      <c r="E65" s="474">
        <f>-Corrections!C52</f>
        <v>-48.858205832242675</v>
      </c>
      <c r="F65" s="474">
        <f>-Corrections!D52</f>
        <v>-34.613650421211219</v>
      </c>
      <c r="G65" s="474">
        <f>-Corrections!E52</f>
        <v>-98.177967493684832</v>
      </c>
      <c r="H65" s="474">
        <f>-Corrections!F52</f>
        <v>-123.22357497362509</v>
      </c>
      <c r="I65" s="474">
        <f>-Corrections!G52</f>
        <v>-154.92662950003921</v>
      </c>
      <c r="J65" s="474">
        <f>-Corrections!H52</f>
        <v>-165.78503132198421</v>
      </c>
      <c r="K65" s="474">
        <f>-Corrections!I52</f>
        <v>-174.33407023751806</v>
      </c>
      <c r="L65" s="474">
        <f>-Corrections!J52</f>
        <v>-177.93660662936884</v>
      </c>
      <c r="M65" s="474">
        <f>-Corrections!K52</f>
        <v>-176.26082060300257</v>
      </c>
      <c r="N65" s="474">
        <f>-Corrections!L52</f>
        <v>-149.50818456295076</v>
      </c>
      <c r="O65" s="474">
        <f>-Corrections!M52</f>
        <v>-166.90302832190559</v>
      </c>
      <c r="P65" s="474">
        <f>-Corrections!N52</f>
        <v>-151.08517065127944</v>
      </c>
      <c r="Q65" s="474">
        <f>-Corrections!O52</f>
        <v>-178.04491085508096</v>
      </c>
      <c r="R65" s="474">
        <f>-Corrections!P52</f>
        <v>-177.04284323307354</v>
      </c>
      <c r="S65" s="474">
        <f>-Corrections!Q52</f>
        <v>-194.01441724107099</v>
      </c>
      <c r="T65" s="474">
        <f>-Corrections!R52</f>
        <v>-190.67179510023971</v>
      </c>
      <c r="U65" s="474">
        <f>-Corrections!S52</f>
        <v>-204.84682511085339</v>
      </c>
      <c r="V65" s="474">
        <f>-Corrections!T52</f>
        <v>-50.757322373433453</v>
      </c>
      <c r="W65" s="474">
        <f>-Corrections!U52</f>
        <v>-36.23462067851267</v>
      </c>
      <c r="X65" s="474">
        <f>-Corrections!V52</f>
        <v>-14.726988874663448</v>
      </c>
      <c r="Y65" s="474">
        <f>-Corrections!W52</f>
        <v>-5.7420342703733809</v>
      </c>
      <c r="Z65" s="474">
        <f>-Corrections!X52</f>
        <v>-7.2213336304576501</v>
      </c>
      <c r="AA65" s="474">
        <f>-Corrections!Y52</f>
        <v>-7.2213336304576501</v>
      </c>
      <c r="AB65" s="474">
        <f>-Corrections!Z52</f>
        <v>-7.2213336304576501</v>
      </c>
      <c r="AC65" s="474">
        <f>-Corrections!AA52</f>
        <v>-7.2213336304576501</v>
      </c>
      <c r="AD65" s="474">
        <f>-Corrections!AB52</f>
        <v>-7.2213336304576501</v>
      </c>
      <c r="AE65" s="474">
        <f>-Corrections!AC52</f>
        <v>-7.2213336304576501</v>
      </c>
      <c r="AF65" s="474">
        <f>-Corrections!AD52</f>
        <v>-7.2213336304576501</v>
      </c>
      <c r="AG65" s="474">
        <f>-Corrections!AE52</f>
        <v>-7.2213336304576501</v>
      </c>
      <c r="AH65" s="474">
        <f>-Corrections!AF52</f>
        <v>-7.2213336304576501</v>
      </c>
      <c r="AI65" s="474">
        <f>-Corrections!AG52</f>
        <v>-7.2213336304576501</v>
      </c>
      <c r="AJ65" s="474">
        <f>-Corrections!AH52</f>
        <v>-7.2213336304576501</v>
      </c>
      <c r="AK65" s="474">
        <f>-Corrections!AI52</f>
        <v>-7.2213336304576501</v>
      </c>
      <c r="AL65" s="10"/>
      <c r="AM65" s="10"/>
      <c r="AN65" s="10"/>
      <c r="AO65" s="10"/>
    </row>
    <row r="66" spans="1:45" s="75" customFormat="1">
      <c r="A66" s="1"/>
      <c r="B66" s="456"/>
      <c r="C66" s="1"/>
      <c r="D66" s="527" t="s">
        <v>1909</v>
      </c>
      <c r="E66" s="464">
        <f>-Corrections!C43</f>
        <v>-59.465693686434179</v>
      </c>
      <c r="F66" s="464">
        <f>-Corrections!D43</f>
        <v>-60.456581875687085</v>
      </c>
      <c r="G66" s="464">
        <f>-Corrections!E43</f>
        <v>-59.228676971664903</v>
      </c>
      <c r="H66" s="464">
        <f>-Corrections!F43</f>
        <v>-54.065296536276939</v>
      </c>
      <c r="I66" s="464">
        <f>-Corrections!G43</f>
        <v>-48.216048834143123</v>
      </c>
      <c r="J66" s="464">
        <f>-Corrections!H43</f>
        <v>-49.261191231223492</v>
      </c>
      <c r="K66" s="464">
        <f>-Corrections!I43</f>
        <v>-52.11219974842065</v>
      </c>
      <c r="L66" s="464">
        <f>-Corrections!J43</f>
        <v>-52.391803328683395</v>
      </c>
      <c r="M66" s="464">
        <f>-Corrections!K43</f>
        <v>-53.890398195186783</v>
      </c>
      <c r="N66" s="464">
        <f>-Corrections!L43</f>
        <v>-54.71665247342802</v>
      </c>
      <c r="O66" s="464">
        <f>-Corrections!M43</f>
        <v>-52.973727343323716</v>
      </c>
      <c r="P66" s="464">
        <f>-Corrections!N43</f>
        <v>-38.140835206635273</v>
      </c>
      <c r="Q66" s="464">
        <f>-Corrections!O43</f>
        <v>-39.090189560060708</v>
      </c>
      <c r="R66" s="464">
        <f>-Corrections!P43</f>
        <v>-39.184301244549061</v>
      </c>
      <c r="S66" s="464">
        <f>-Corrections!Q43</f>
        <v>-36.831442693718742</v>
      </c>
      <c r="T66" s="464">
        <f>-Corrections!R43</f>
        <v>-36.055054280499277</v>
      </c>
      <c r="U66" s="464">
        <f>-Corrections!S43</f>
        <v>-33.087223730993216</v>
      </c>
      <c r="V66" s="464">
        <f>-Corrections!T43</f>
        <v>-37.002023060455528</v>
      </c>
      <c r="W66" s="464">
        <f>-Corrections!U43</f>
        <v>-38.968700813935143</v>
      </c>
      <c r="X66" s="464">
        <f>-Corrections!V43</f>
        <v>-26.196116263402068</v>
      </c>
      <c r="Y66" s="464">
        <f>-Corrections!W43</f>
        <v>-23.694226864697239</v>
      </c>
      <c r="Z66" s="464">
        <f>-Corrections!X43</f>
        <v>-28.655080789946144</v>
      </c>
      <c r="AA66" s="464">
        <f>-Corrections!Y43</f>
        <v>-29.936046134595504</v>
      </c>
      <c r="AB66" s="464">
        <f>-Corrections!Z43</f>
        <v>-28.337092432403026</v>
      </c>
      <c r="AC66" s="464">
        <f>-Corrections!AA43</f>
        <v>-24.659837876067673</v>
      </c>
      <c r="AD66" s="464">
        <f>-Corrections!AB43</f>
        <v>-24.085523964963819</v>
      </c>
      <c r="AE66" s="464">
        <f>-Corrections!AC43</f>
        <v>-11.608348620858495</v>
      </c>
      <c r="AF66" s="464">
        <f>-Corrections!AD43</f>
        <v>-10.49097132908982</v>
      </c>
      <c r="AG66" s="464">
        <f>-Corrections!AE43</f>
        <v>-12.664803873565093</v>
      </c>
      <c r="AH66" s="464">
        <f>-Corrections!AF43</f>
        <v>-16.366676024155378</v>
      </c>
      <c r="AI66" s="464">
        <f>-Corrections!AG43</f>
        <v>-15.218694956748811</v>
      </c>
      <c r="AJ66" s="464">
        <f>-Corrections!AH43</f>
        <v>-13.411210271475978</v>
      </c>
      <c r="AK66" s="464">
        <f>-Corrections!AI43</f>
        <v>-12.589899570208365</v>
      </c>
      <c r="AL66" s="10"/>
      <c r="AM66" s="10"/>
      <c r="AN66" s="10"/>
      <c r="AO66" s="10"/>
    </row>
    <row r="67" spans="1:45" s="75" customFormat="1">
      <c r="A67" s="1"/>
      <c r="B67" s="456"/>
      <c r="C67" s="1"/>
      <c r="D67" s="527" t="s">
        <v>1910</v>
      </c>
      <c r="E67" s="464">
        <f>-Corrections!C44</f>
        <v>-21.087809230781787</v>
      </c>
      <c r="F67" s="464">
        <f>-Corrections!D44</f>
        <v>-18.908988416435449</v>
      </c>
      <c r="G67" s="464">
        <f>-Corrections!E44</f>
        <v>-19.18297034160274</v>
      </c>
      <c r="H67" s="464">
        <f>-Corrections!F44</f>
        <v>-18.664221635792391</v>
      </c>
      <c r="I67" s="464">
        <f>-Corrections!G44</f>
        <v>-19.802614166802677</v>
      </c>
      <c r="J67" s="464">
        <f>-Corrections!H44</f>
        <v>-19.951880447200914</v>
      </c>
      <c r="K67" s="464">
        <f>-Corrections!I44</f>
        <v>-20.904946956095962</v>
      </c>
      <c r="L67" s="464">
        <f>-Corrections!J44</f>
        <v>-21.811269136608448</v>
      </c>
      <c r="M67" s="464">
        <f>-Corrections!K44</f>
        <v>-21.732668842826826</v>
      </c>
      <c r="N67" s="464">
        <f>-Corrections!L44</f>
        <v>-21.414087644850657</v>
      </c>
      <c r="O67" s="464">
        <f>-Corrections!M44</f>
        <v>-18.547530112616286</v>
      </c>
      <c r="P67" s="464">
        <f>-Corrections!N44</f>
        <v>-14.294004569936344</v>
      </c>
      <c r="Q67" s="464">
        <f>-Corrections!O44</f>
        <v>-13.224805451281211</v>
      </c>
      <c r="R67" s="464">
        <f>-Corrections!P44</f>
        <v>-12.78436094336543</v>
      </c>
      <c r="S67" s="464">
        <f>-Corrections!Q44</f>
        <v>-13.908393912191935</v>
      </c>
      <c r="T67" s="464">
        <f>-Corrections!R44</f>
        <v>-13.640901827974536</v>
      </c>
      <c r="U67" s="464">
        <f>-Corrections!S44</f>
        <v>-14.747674147217232</v>
      </c>
      <c r="V67" s="464">
        <f>-Corrections!T44</f>
        <v>-15.214289701322015</v>
      </c>
      <c r="W67" s="464">
        <f>-Corrections!U44</f>
        <v>-15.666175779337355</v>
      </c>
      <c r="X67" s="464">
        <f>-Corrections!V44</f>
        <v>-14.398898948098577</v>
      </c>
      <c r="Y67" s="464">
        <f>-Corrections!W44</f>
        <v>-16.292936836951196</v>
      </c>
      <c r="Z67" s="464">
        <f>-Corrections!X44</f>
        <v>-17.002950139478887</v>
      </c>
      <c r="AA67" s="464">
        <f>-Corrections!Y44</f>
        <v>-18.647191471648274</v>
      </c>
      <c r="AB67" s="464">
        <f>-Corrections!Z44</f>
        <v>-17.488748714892569</v>
      </c>
      <c r="AC67" s="464">
        <f>-Corrections!AA44</f>
        <v>-19.656157743661307</v>
      </c>
      <c r="AD67" s="464">
        <f>-Corrections!AB44</f>
        <v>-19.207728289433291</v>
      </c>
      <c r="AE67" s="464">
        <f>-Corrections!AC44</f>
        <v>-17.600856078449571</v>
      </c>
      <c r="AF67" s="464">
        <f>-Corrections!AD44</f>
        <v>-19.357204774175965</v>
      </c>
      <c r="AG67" s="464">
        <f>-Corrections!AE44</f>
        <v>-20.216694561446324</v>
      </c>
      <c r="AH67" s="464">
        <f>-Corrections!AF44</f>
        <v>-15.657661776794843</v>
      </c>
      <c r="AI67" s="464">
        <f>-Corrections!AG44</f>
        <v>-13.490252748026107</v>
      </c>
      <c r="AJ67" s="464">
        <f>-Corrections!AH44</f>
        <v>-15.358708807309499</v>
      </c>
      <c r="AK67" s="464">
        <f>-Corrections!AI44</f>
        <v>-15.358708807309499</v>
      </c>
      <c r="AL67" s="10"/>
      <c r="AM67" s="10"/>
      <c r="AN67" s="10"/>
      <c r="AO67" s="10"/>
    </row>
    <row r="68" spans="1:45" s="75" customFormat="1">
      <c r="A68" s="1"/>
      <c r="B68" s="456"/>
      <c r="C68" s="1"/>
      <c r="D68" s="527" t="s">
        <v>1911</v>
      </c>
      <c r="E68" s="464">
        <f>-Corrections!C45</f>
        <v>-11.704751645721123</v>
      </c>
      <c r="F68" s="464">
        <f>-Corrections!D45</f>
        <v>-11.860177357053477</v>
      </c>
      <c r="G68" s="464">
        <f>-Corrections!E45</f>
        <v>-13.629639301452583</v>
      </c>
      <c r="H68" s="464">
        <f>-Corrections!F45</f>
        <v>-13.868755780425438</v>
      </c>
      <c r="I68" s="464">
        <f>-Corrections!G45</f>
        <v>-14.944779935803274</v>
      </c>
      <c r="J68" s="464">
        <f>-Corrections!H45</f>
        <v>-14.944779935803274</v>
      </c>
      <c r="K68" s="464">
        <f>-Corrections!I45</f>
        <v>-14.822781732245696</v>
      </c>
      <c r="L68" s="464">
        <f>-Corrections!J45</f>
        <v>-16.425735901904311</v>
      </c>
      <c r="M68" s="464">
        <f>-Corrections!K45</f>
        <v>-16.277086211277105</v>
      </c>
      <c r="N68" s="464">
        <f>-Corrections!L45</f>
        <v>-16.578858319155533</v>
      </c>
      <c r="O68" s="464">
        <f>-Corrections!M45</f>
        <v>-17.157294695568119</v>
      </c>
      <c r="P68" s="464">
        <f>-Corrections!N45</f>
        <v>-16.616271270301937</v>
      </c>
      <c r="Q68" s="464">
        <f>-Corrections!O45</f>
        <v>-17.863538060749097</v>
      </c>
      <c r="R68" s="464">
        <f>-Corrections!P45</f>
        <v>-18.009773900264204</v>
      </c>
      <c r="S68" s="464">
        <f>-Corrections!Q45</f>
        <v>-20.208258527827645</v>
      </c>
      <c r="T68" s="464">
        <f>-Corrections!R45</f>
        <v>-17.190141994450787</v>
      </c>
      <c r="U68" s="464">
        <f>-Corrections!S45</f>
        <v>-17.977476742288225</v>
      </c>
      <c r="V68" s="464">
        <f>-Corrections!T45</f>
        <v>-18.896033948098577</v>
      </c>
      <c r="W68" s="464">
        <f>-Corrections!U45</f>
        <v>-17.715031826342418</v>
      </c>
      <c r="X68" s="464">
        <f>-Corrections!V45</f>
        <v>-16.140362330667532</v>
      </c>
      <c r="Y68" s="464">
        <f>-Corrections!W45</f>
        <v>-17.321364452423694</v>
      </c>
      <c r="Z68" s="464">
        <f>-Corrections!X45</f>
        <v>-16.927697078504977</v>
      </c>
      <c r="AA68" s="464">
        <f>-Corrections!Y45</f>
        <v>-14.959360208911372</v>
      </c>
      <c r="AB68" s="464">
        <f>-Corrections!Z45</f>
        <v>-16.796474620532067</v>
      </c>
      <c r="AC68" s="464">
        <f>-Corrections!AA45</f>
        <v>-16.534029704586253</v>
      </c>
      <c r="AD68" s="464">
        <f>-Corrections!AB45</f>
        <v>-16.009139872694629</v>
      </c>
      <c r="AE68" s="464">
        <f>-Corrections!AC45</f>
        <v>-16.271584788640443</v>
      </c>
      <c r="AF68" s="464">
        <f>-Corrections!AD45</f>
        <v>-16.534029704586253</v>
      </c>
      <c r="AG68" s="464">
        <f>-Corrections!AE45</f>
        <v>-15.090582666884281</v>
      </c>
      <c r="AH68" s="464">
        <f>-Corrections!AF45</f>
        <v>-13.122245797290677</v>
      </c>
      <c r="AI68" s="464">
        <f>-Corrections!AG45</f>
        <v>-13.122245797290677</v>
      </c>
      <c r="AJ68" s="464">
        <f>-Corrections!AH45</f>
        <v>-14.434470377019746</v>
      </c>
      <c r="AK68" s="464">
        <f>-Corrections!AI45</f>
        <v>-14.434470377019746</v>
      </c>
      <c r="AL68" s="10"/>
      <c r="AM68" s="10"/>
      <c r="AN68" s="10"/>
      <c r="AO68" s="10"/>
    </row>
    <row r="69" spans="1:45">
      <c r="D69" s="527" t="s">
        <v>1912</v>
      </c>
      <c r="E69" s="464">
        <f>-Corrections!C46</f>
        <v>0</v>
      </c>
      <c r="F69" s="464">
        <f>-Corrections!D46</f>
        <v>0</v>
      </c>
      <c r="G69" s="464">
        <f>-Corrections!E46</f>
        <v>0</v>
      </c>
      <c r="H69" s="464">
        <f>-Corrections!F46</f>
        <v>0</v>
      </c>
      <c r="I69" s="464">
        <f>-Corrections!G46</f>
        <v>0</v>
      </c>
      <c r="J69" s="464">
        <f>-Corrections!H46</f>
        <v>0</v>
      </c>
      <c r="K69" s="464">
        <f>-Corrections!I46</f>
        <v>0</v>
      </c>
      <c r="L69" s="464">
        <f>-Corrections!J46</f>
        <v>0</v>
      </c>
      <c r="M69" s="464">
        <f>-Corrections!K46</f>
        <v>0</v>
      </c>
      <c r="N69" s="464">
        <f>-Corrections!L46</f>
        <v>0</v>
      </c>
      <c r="O69" s="464">
        <f>-Corrections!M46</f>
        <v>-0.48778084189659754</v>
      </c>
      <c r="P69" s="464">
        <f>-Corrections!N46</f>
        <v>-7.9450064700688579</v>
      </c>
      <c r="Q69" s="464">
        <f>-Corrections!O46</f>
        <v>-9.6551356842567486</v>
      </c>
      <c r="R69" s="464">
        <f>-Corrections!P46</f>
        <v>-12.226439265201773</v>
      </c>
      <c r="S69" s="464">
        <f>-Corrections!Q46</f>
        <v>-11.182774934631407</v>
      </c>
      <c r="T69" s="464">
        <f>-Corrections!R46</f>
        <v>-14.944122260639388</v>
      </c>
      <c r="U69" s="464">
        <f>-Corrections!S46</f>
        <v>-13.141465</v>
      </c>
      <c r="V69" s="464">
        <f>-Corrections!T46</f>
        <v>-13.485004</v>
      </c>
      <c r="W69" s="464">
        <f>-Corrections!U46</f>
        <v>-13.538923999999996</v>
      </c>
      <c r="X69" s="464">
        <f>-Corrections!V46</f>
        <v>-14.546097499999995</v>
      </c>
      <c r="Y69" s="464">
        <f>-Corrections!W46</f>
        <v>-10.594746531744736</v>
      </c>
      <c r="Z69" s="464">
        <f>-Corrections!X46</f>
        <v>-13.259766933246285</v>
      </c>
      <c r="AA69" s="464">
        <f>-Corrections!Y46</f>
        <v>-12.452471682715844</v>
      </c>
      <c r="AB69" s="464">
        <f>-Corrections!Z46</f>
        <v>-12.844409662151133</v>
      </c>
      <c r="AC69" s="464">
        <f>-Corrections!AA46</f>
        <v>-13.017765301126163</v>
      </c>
      <c r="AD69" s="464">
        <f>-Corrections!AB46</f>
        <v>-12.032582340460257</v>
      </c>
      <c r="AE69" s="464">
        <f>-Corrections!AC46</f>
        <v>-13.345058593112448</v>
      </c>
      <c r="AF69" s="464">
        <f>-Corrections!AD46</f>
        <v>-12.631559001142483</v>
      </c>
      <c r="AG69" s="464">
        <f>-Corrections!AE46</f>
        <v>-11.847160110984166</v>
      </c>
      <c r="AH69" s="464">
        <f>-Corrections!AF46</f>
        <v>-13.968908764485064</v>
      </c>
      <c r="AI69" s="464">
        <f>-Corrections!AG46</f>
        <v>-13.737223763669006</v>
      </c>
      <c r="AJ69" s="464">
        <f>-Corrections!AH46</f>
        <v>-13.496839889015828</v>
      </c>
      <c r="AK69" s="464">
        <f>-Corrections!AI46</f>
        <v>-13.496839889015828</v>
      </c>
      <c r="AL69" s="10"/>
      <c r="AM69" s="10"/>
      <c r="AN69" s="10"/>
      <c r="AO69" s="10"/>
    </row>
    <row r="70" spans="1:45" ht="13.5" thickBot="1">
      <c r="B70" s="528"/>
      <c r="C70" s="529"/>
      <c r="D70" s="549" t="s">
        <v>1913</v>
      </c>
      <c r="E70" s="522">
        <f>-Corrections!C47</f>
        <v>-1.6880055492084214</v>
      </c>
      <c r="F70" s="522">
        <f>-Corrections!D47</f>
        <v>-1.0128033295250527</v>
      </c>
      <c r="G70" s="522">
        <f>-Corrections!E47</f>
        <v>-1.1686192263750608</v>
      </c>
      <c r="H70" s="522">
        <f>-Corrections!F47</f>
        <v>-0.9089260649583808</v>
      </c>
      <c r="I70" s="522">
        <f>-Corrections!G47</f>
        <v>-1.1686192263750608</v>
      </c>
      <c r="J70" s="522">
        <f>-Corrections!H47</f>
        <v>-0.93489538110004888</v>
      </c>
      <c r="K70" s="522">
        <f>-Corrections!I47</f>
        <v>-1.090711277950057</v>
      </c>
      <c r="L70" s="522">
        <f>-Corrections!J47</f>
        <v>-0.96086469724171686</v>
      </c>
      <c r="M70" s="522">
        <f>-Corrections!K47</f>
        <v>-0.98683401338338483</v>
      </c>
      <c r="N70" s="522">
        <f>-Corrections!L47</f>
        <v>-0.85698743267504474</v>
      </c>
      <c r="O70" s="522">
        <f>-Corrections!M47</f>
        <v>-0.83101811653337676</v>
      </c>
      <c r="P70" s="522">
        <f>-Corrections!N47</f>
        <v>-0.83101811653337676</v>
      </c>
      <c r="Q70" s="522">
        <f>-Corrections!O47</f>
        <v>-0.7790794842500407</v>
      </c>
      <c r="R70" s="522">
        <f>-Corrections!P47</f>
        <v>-0.9089260649583808</v>
      </c>
      <c r="S70" s="522">
        <f>-Corrections!Q47</f>
        <v>-0.9089260649583808</v>
      </c>
      <c r="T70" s="522">
        <f>-Corrections!R47</f>
        <v>-0.9089260649583808</v>
      </c>
      <c r="U70" s="522">
        <f>-Corrections!S47</f>
        <v>-0.9089260649583808</v>
      </c>
      <c r="V70" s="522">
        <f>-Corrections!T47</f>
        <v>-0.9089260649583808</v>
      </c>
      <c r="W70" s="522">
        <f>-Corrections!U47</f>
        <v>-0.9089260649583808</v>
      </c>
      <c r="X70" s="522">
        <f>-Corrections!V47</f>
        <v>-0.9089260649583808</v>
      </c>
      <c r="Y70" s="522">
        <f>-Corrections!W47</f>
        <v>-0.9089260649583808</v>
      </c>
      <c r="Z70" s="522">
        <f>-Corrections!X47</f>
        <v>-0.9089260649583808</v>
      </c>
      <c r="AA70" s="522">
        <f>-Corrections!Y47</f>
        <v>-0.9089260649583808</v>
      </c>
      <c r="AB70" s="522">
        <f>-Corrections!Z47</f>
        <v>-0.9089260649583808</v>
      </c>
      <c r="AC70" s="522">
        <f>-Corrections!AA47</f>
        <v>-0.9089260649583808</v>
      </c>
      <c r="AD70" s="522">
        <f>-Corrections!AB47</f>
        <v>-0.9089260649583808</v>
      </c>
      <c r="AE70" s="522">
        <f>-Corrections!AC47</f>
        <v>-0.9089260649583808</v>
      </c>
      <c r="AF70" s="522">
        <f>-Corrections!AD47</f>
        <v>-0.9089260649583808</v>
      </c>
      <c r="AG70" s="522">
        <f>-Corrections!AE47</f>
        <v>-0.9089260649583808</v>
      </c>
      <c r="AH70" s="522">
        <f>-Corrections!AF47</f>
        <v>-0.9089260649583808</v>
      </c>
      <c r="AI70" s="522">
        <f>-Corrections!AG47</f>
        <v>-0.9089260649583808</v>
      </c>
      <c r="AJ70" s="522">
        <f>-Corrections!AH47</f>
        <v>-0.9089260649583808</v>
      </c>
      <c r="AK70" s="522">
        <f>-Corrections!AI47</f>
        <v>-0.9089260649583808</v>
      </c>
      <c r="AL70" s="10"/>
      <c r="AM70" s="10"/>
      <c r="AN70" s="10"/>
      <c r="AO70" s="10"/>
    </row>
    <row r="71" spans="1:45">
      <c r="D71" s="6"/>
      <c r="E71" s="466"/>
      <c r="F71" s="466"/>
      <c r="G71" s="466"/>
      <c r="H71" s="466"/>
      <c r="I71" s="466"/>
      <c r="J71" s="466"/>
      <c r="K71" s="466"/>
      <c r="L71" s="466"/>
      <c r="M71" s="466"/>
      <c r="N71" s="466"/>
      <c r="O71" s="466"/>
      <c r="P71" s="466"/>
      <c r="Q71" s="466"/>
      <c r="R71" s="466"/>
      <c r="S71" s="466"/>
      <c r="T71" s="466"/>
      <c r="V71" s="1"/>
      <c r="W71" s="466"/>
      <c r="X71" s="466"/>
      <c r="Y71" s="466"/>
      <c r="Z71" s="466"/>
      <c r="AA71" s="466"/>
      <c r="AB71" s="466"/>
      <c r="AC71" s="466"/>
      <c r="AD71" s="466"/>
      <c r="AE71" s="466"/>
      <c r="AF71" s="466"/>
      <c r="AG71" s="466"/>
      <c r="AH71" s="466"/>
      <c r="AI71" s="466"/>
      <c r="AJ71" s="466"/>
      <c r="AK71" s="466"/>
    </row>
    <row r="72" spans="1:45" s="5" customFormat="1">
      <c r="C72" s="76"/>
      <c r="D72" s="408" t="s">
        <v>1914</v>
      </c>
      <c r="E72" s="530"/>
      <c r="F72" s="530"/>
      <c r="G72" s="530"/>
      <c r="H72" s="530"/>
      <c r="I72" s="530"/>
      <c r="J72" s="530"/>
      <c r="K72" s="530"/>
      <c r="L72" s="530"/>
      <c r="M72" s="530"/>
      <c r="N72" s="530"/>
      <c r="O72" s="530"/>
      <c r="P72" s="530"/>
      <c r="Q72" s="530"/>
      <c r="R72" s="530"/>
      <c r="S72" s="530"/>
      <c r="T72" s="530"/>
      <c r="V72" s="515"/>
      <c r="W72" s="530"/>
      <c r="X72" s="530"/>
      <c r="Y72" s="530"/>
      <c r="Z72" s="530"/>
      <c r="AA72" s="530"/>
      <c r="AB72" s="530"/>
      <c r="AC72" s="530"/>
      <c r="AD72" s="530"/>
      <c r="AE72" s="530"/>
      <c r="AF72" s="530"/>
      <c r="AG72" s="530"/>
      <c r="AH72" s="530"/>
      <c r="AI72" s="530"/>
      <c r="AJ72" s="530"/>
      <c r="AK72" s="530"/>
    </row>
    <row r="73" spans="1:45">
      <c r="C73" s="21">
        <v>1</v>
      </c>
      <c r="D73" s="4" t="s">
        <v>1503</v>
      </c>
      <c r="E73" s="460">
        <v>1990</v>
      </c>
      <c r="F73" s="460">
        <v>1991</v>
      </c>
      <c r="G73" s="460">
        <v>1992</v>
      </c>
      <c r="H73" s="460">
        <v>1993</v>
      </c>
      <c r="I73" s="460">
        <v>1994</v>
      </c>
      <c r="J73" s="460">
        <v>1995</v>
      </c>
      <c r="K73" s="460">
        <v>1996</v>
      </c>
      <c r="L73" s="460">
        <v>1997</v>
      </c>
      <c r="M73" s="460">
        <v>1998</v>
      </c>
      <c r="N73" s="460">
        <v>1999</v>
      </c>
      <c r="O73" s="460">
        <v>2000</v>
      </c>
      <c r="P73" s="460">
        <v>2001</v>
      </c>
      <c r="Q73" s="460">
        <v>2002</v>
      </c>
      <c r="R73" s="460">
        <v>2003</v>
      </c>
      <c r="S73" s="460">
        <v>2004</v>
      </c>
      <c r="T73" s="460">
        <v>2005</v>
      </c>
      <c r="U73" s="460">
        <v>2006</v>
      </c>
      <c r="V73" s="460">
        <v>2007</v>
      </c>
      <c r="W73" s="460">
        <v>2008</v>
      </c>
      <c r="X73" s="460">
        <v>2009</v>
      </c>
      <c r="Y73" s="460">
        <v>2010</v>
      </c>
      <c r="Z73" s="460">
        <v>2011</v>
      </c>
      <c r="AA73" s="460">
        <v>2012</v>
      </c>
      <c r="AB73" s="460">
        <v>2013</v>
      </c>
      <c r="AC73" s="460">
        <v>2014</v>
      </c>
      <c r="AD73" s="460">
        <v>2015</v>
      </c>
      <c r="AE73" s="460">
        <v>2016</v>
      </c>
      <c r="AF73" s="460">
        <v>2017</v>
      </c>
      <c r="AG73" s="460">
        <v>2018</v>
      </c>
      <c r="AH73" s="460">
        <v>2019</v>
      </c>
      <c r="AI73" s="460">
        <v>2020</v>
      </c>
      <c r="AJ73" s="460">
        <v>2021</v>
      </c>
      <c r="AK73" s="460">
        <v>2022</v>
      </c>
    </row>
    <row r="74" spans="1:45">
      <c r="C74" s="21">
        <v>2</v>
      </c>
      <c r="D74" s="5" t="s">
        <v>1888</v>
      </c>
      <c r="E74" s="73">
        <f t="shared" ref="E74:V74" si="86">SUM(E75:E90)</f>
        <v>4191.8222643903218</v>
      </c>
      <c r="F74" s="73">
        <f t="shared" si="86"/>
        <v>4210.4079146992863</v>
      </c>
      <c r="G74" s="73">
        <f t="shared" si="86"/>
        <v>4377.5117700051978</v>
      </c>
      <c r="H74" s="73">
        <f t="shared" si="86"/>
        <v>4286.9510045357792</v>
      </c>
      <c r="I74" s="73">
        <f t="shared" si="86"/>
        <v>4610.742763398126</v>
      </c>
      <c r="J74" s="73">
        <f t="shared" si="86"/>
        <v>4563.2444790085392</v>
      </c>
      <c r="K74" s="73">
        <f t="shared" si="86"/>
        <v>4627.4621222614396</v>
      </c>
      <c r="L74" s="73">
        <f t="shared" si="86"/>
        <v>4873.4783206919592</v>
      </c>
      <c r="M74" s="73">
        <f t="shared" si="86"/>
        <v>5054.2585143107754</v>
      </c>
      <c r="N74" s="73">
        <f t="shared" si="86"/>
        <v>5465.9910480545514</v>
      </c>
      <c r="O74" s="73">
        <f t="shared" si="86"/>
        <v>5018.3716470752079</v>
      </c>
      <c r="P74" s="73">
        <f t="shared" si="86"/>
        <v>4874.6060513190096</v>
      </c>
      <c r="Q74" s="73">
        <f t="shared" si="86"/>
        <v>4943.341402914667</v>
      </c>
      <c r="R74" s="73">
        <f t="shared" si="86"/>
        <v>4746.19779844812</v>
      </c>
      <c r="S74" s="73">
        <f t="shared" si="86"/>
        <v>5152.8576534112435</v>
      </c>
      <c r="T74" s="73">
        <f t="shared" si="86"/>
        <v>5017.6197029246523</v>
      </c>
      <c r="U74" s="73">
        <f>SUM(U75:U90)</f>
        <v>5054.9663017429475</v>
      </c>
      <c r="V74" s="73">
        <f t="shared" si="86"/>
        <v>4888.183796658448</v>
      </c>
      <c r="W74" s="73">
        <f t="shared" ref="W74:AB74" si="87">SUM(W75:W90)</f>
        <v>4536.3756151997923</v>
      </c>
      <c r="X74" s="73">
        <f t="shared" si="87"/>
        <v>4268.9387808958118</v>
      </c>
      <c r="Y74" s="73">
        <f t="shared" si="87"/>
        <v>4480.0097251740081</v>
      </c>
      <c r="Z74" s="73">
        <f t="shared" si="87"/>
        <v>4443.9319665567873</v>
      </c>
      <c r="AA74" s="73">
        <f t="shared" si="87"/>
        <v>4325.7319463621461</v>
      </c>
      <c r="AB74" s="73">
        <f t="shared" si="87"/>
        <v>4583.4710604687634</v>
      </c>
      <c r="AC74" s="73">
        <f>SUM(AC75:AC90)</f>
        <v>4556.3847344476517</v>
      </c>
      <c r="AD74" s="73">
        <f>SUM(AD75:AD90)</f>
        <v>4788.9626561211171</v>
      </c>
      <c r="AE74" s="73">
        <f>SUM(AE75:AE90)</f>
        <v>4782.2822372880946</v>
      </c>
      <c r="AF74" s="73">
        <f t="shared" ref="AF74" si="88">SUM(AF75:AF90)</f>
        <v>5008.4175063817793</v>
      </c>
      <c r="AG74" s="73">
        <f>SUM(AG75:AG90)</f>
        <v>5340.8884774663047</v>
      </c>
      <c r="AH74" s="73">
        <f>SUM(AH75:AH90)</f>
        <v>5321.5192526105884</v>
      </c>
      <c r="AI74" s="73">
        <f>SUM(AI75:AI90)</f>
        <v>5286.1977296636178</v>
      </c>
      <c r="AJ74" s="73">
        <f>SUM(AJ75:AJ90)</f>
        <v>5519.1666943632954</v>
      </c>
      <c r="AK74" s="73">
        <f>SUM(AK75:AK90)</f>
        <v>5548.4791866054302</v>
      </c>
      <c r="AL74" s="5"/>
      <c r="AM74" s="5"/>
      <c r="AN74" s="5"/>
      <c r="AO74" s="5"/>
      <c r="AQ74" s="555" t="s">
        <v>1915</v>
      </c>
    </row>
    <row r="75" spans="1:45">
      <c r="C75" s="21">
        <v>3</v>
      </c>
      <c r="D75" s="6" t="s">
        <v>1734</v>
      </c>
      <c r="E75" s="464">
        <f>E7</f>
        <v>0</v>
      </c>
      <c r="F75" s="464">
        <f t="shared" ref="F75:R75" si="89">F7</f>
        <v>0</v>
      </c>
      <c r="G75" s="464">
        <f t="shared" si="89"/>
        <v>0</v>
      </c>
      <c r="H75" s="464">
        <f t="shared" si="89"/>
        <v>0.99005191520268454</v>
      </c>
      <c r="I75" s="464">
        <f t="shared" si="89"/>
        <v>8.9173041849727497</v>
      </c>
      <c r="J75" s="464">
        <f t="shared" si="89"/>
        <v>37.763361390527734</v>
      </c>
      <c r="K75" s="464">
        <f t="shared" si="89"/>
        <v>24.077376524524198</v>
      </c>
      <c r="L75" s="464">
        <f t="shared" si="89"/>
        <v>0</v>
      </c>
      <c r="M75" s="464">
        <f t="shared" si="89"/>
        <v>10.911311877562298</v>
      </c>
      <c r="N75" s="464">
        <f t="shared" si="89"/>
        <v>40.077270031991247</v>
      </c>
      <c r="O75" s="464">
        <f t="shared" si="89"/>
        <v>53.543709066435099</v>
      </c>
      <c r="P75" s="464">
        <f t="shared" si="89"/>
        <v>24.764394990510937</v>
      </c>
      <c r="Q75" s="464">
        <f t="shared" si="89"/>
        <v>40.297952859316297</v>
      </c>
      <c r="R75" s="464">
        <f t="shared" si="89"/>
        <v>51.888657662241599</v>
      </c>
      <c r="S75" s="464">
        <f t="shared" ref="S75:U76" si="90">S7</f>
        <v>167.7675714419388</v>
      </c>
      <c r="T75" s="464">
        <f t="shared" si="90"/>
        <v>80.441129905107346</v>
      </c>
      <c r="U75" s="464">
        <f t="shared" si="90"/>
        <v>62.874654862045077</v>
      </c>
      <c r="V75" s="464">
        <f t="shared" ref="V75:Y76" si="91">V7</f>
        <v>2.3203149182869538</v>
      </c>
      <c r="W75" s="464">
        <f t="shared" si="91"/>
        <v>29.160207416902495</v>
      </c>
      <c r="X75" s="464">
        <f t="shared" si="91"/>
        <v>6.3849143400174171</v>
      </c>
      <c r="Y75" s="464">
        <f t="shared" si="91"/>
        <v>64.75700410595033</v>
      </c>
      <c r="Z75" s="464">
        <f t="shared" ref="Z75:AB76" si="92">Z7</f>
        <v>60.841185085936445</v>
      </c>
      <c r="AA75" s="464">
        <f t="shared" si="92"/>
        <v>132.48279136693179</v>
      </c>
      <c r="AB75" s="464">
        <f t="shared" si="92"/>
        <v>119.90639149360095</v>
      </c>
      <c r="AC75" s="464">
        <f t="shared" ref="AC75:AE76" si="93">AC7</f>
        <v>49.106364978524198</v>
      </c>
      <c r="AD75" s="464">
        <f t="shared" si="93"/>
        <v>122.35139828043901</v>
      </c>
      <c r="AE75" s="464">
        <f t="shared" si="93"/>
        <v>89.635253981130802</v>
      </c>
      <c r="AF75" s="464">
        <f t="shared" ref="AF75:AH75" si="94">AF7</f>
        <v>113.00308641767964</v>
      </c>
      <c r="AG75" s="464">
        <f t="shared" si="94"/>
        <v>124.67753407088412</v>
      </c>
      <c r="AH75" s="464">
        <f t="shared" si="94"/>
        <v>112.83747864130271</v>
      </c>
      <c r="AI75" s="464">
        <f t="shared" ref="AI75:AJ75" si="95">AI7</f>
        <v>79.875589997130135</v>
      </c>
      <c r="AJ75" s="464">
        <f t="shared" si="95"/>
        <v>77.879517773454495</v>
      </c>
      <c r="AK75" s="464">
        <f t="shared" ref="AK75" si="96">AK7</f>
        <v>32.653210448454558</v>
      </c>
      <c r="AL75" s="552" t="s">
        <v>1392</v>
      </c>
      <c r="AM75" s="552"/>
      <c r="AN75" s="552"/>
      <c r="AO75" s="552"/>
      <c r="AQ75" s="5" t="s">
        <v>1916</v>
      </c>
      <c r="AR75" s="5">
        <f>SUMIF($AP$158:$AP$178,AQ75,$AK$158:$AK$178)</f>
        <v>95.804417224932905</v>
      </c>
      <c r="AS75" s="724">
        <f>AR75-[21]Uncertainty!C5</f>
        <v>0</v>
      </c>
    </row>
    <row r="76" spans="1:45">
      <c r="C76" s="21">
        <v>4</v>
      </c>
      <c r="D76" s="6" t="s">
        <v>1701</v>
      </c>
      <c r="E76" s="464">
        <f>E8</f>
        <v>7.610742236648556</v>
      </c>
      <c r="F76" s="464">
        <f t="shared" ref="F76:R76" si="97">F8</f>
        <v>7.8497011520169808</v>
      </c>
      <c r="G76" s="464">
        <f t="shared" si="97"/>
        <v>8.8232125744641685</v>
      </c>
      <c r="H76" s="464">
        <f t="shared" si="97"/>
        <v>9.2565522462834089</v>
      </c>
      <c r="I76" s="464">
        <f t="shared" si="97"/>
        <v>10.135953402448999</v>
      </c>
      <c r="J76" s="464">
        <f t="shared" si="97"/>
        <v>10.473082705547876</v>
      </c>
      <c r="K76" s="464">
        <f t="shared" si="97"/>
        <v>10.62258759673575</v>
      </c>
      <c r="L76" s="464">
        <f t="shared" si="97"/>
        <v>10.361514324729033</v>
      </c>
      <c r="M76" s="464">
        <f t="shared" si="97"/>
        <v>9.669458452587806</v>
      </c>
      <c r="N76" s="464">
        <f t="shared" si="97"/>
        <v>10.28914950870919</v>
      </c>
      <c r="O76" s="464">
        <f t="shared" si="97"/>
        <v>11.506242966610891</v>
      </c>
      <c r="P76" s="464">
        <f t="shared" si="97"/>
        <v>10.527041935244348</v>
      </c>
      <c r="Q76" s="464">
        <f t="shared" si="97"/>
        <v>11.265650724274195</v>
      </c>
      <c r="R76" s="464">
        <f t="shared" si="97"/>
        <v>11.146202513710181</v>
      </c>
      <c r="S76" s="464">
        <f t="shared" si="90"/>
        <v>11.142983074743613</v>
      </c>
      <c r="T76" s="464">
        <f t="shared" si="90"/>
        <v>11.036504396603048</v>
      </c>
      <c r="U76" s="464">
        <f t="shared" si="90"/>
        <v>11.020231805481213</v>
      </c>
      <c r="V76" s="464">
        <f t="shared" si="91"/>
        <v>11.028963986917233</v>
      </c>
      <c r="W76" s="464">
        <f>W8</f>
        <v>11.02919773917794</v>
      </c>
      <c r="X76" s="464">
        <f t="shared" si="91"/>
        <v>11.007552100023295</v>
      </c>
      <c r="Y76" s="464">
        <f t="shared" si="91"/>
        <v>9.5527659077247407</v>
      </c>
      <c r="Z76" s="464">
        <f t="shared" si="92"/>
        <v>9.5455336165308484</v>
      </c>
      <c r="AA76" s="464">
        <f t="shared" si="92"/>
        <v>9.5258951694052083</v>
      </c>
      <c r="AB76" s="464">
        <f t="shared" si="92"/>
        <v>9.529551072727271</v>
      </c>
      <c r="AC76" s="464">
        <f t="shared" si="93"/>
        <v>9.5221588939794586</v>
      </c>
      <c r="AD76" s="464">
        <f t="shared" si="93"/>
        <v>9.5007240748646513</v>
      </c>
      <c r="AE76" s="464">
        <f t="shared" si="93"/>
        <v>9.4896221748660459</v>
      </c>
      <c r="AF76" s="464">
        <f t="shared" ref="AF76:AH76" si="98">AF8</f>
        <v>9.4806373686218848</v>
      </c>
      <c r="AG76" s="464">
        <f t="shared" si="98"/>
        <v>9.4728649587449354</v>
      </c>
      <c r="AH76" s="464">
        <f t="shared" si="98"/>
        <v>9.4764377365449537</v>
      </c>
      <c r="AI76" s="464">
        <f>AI8</f>
        <v>9.4556176457652974</v>
      </c>
      <c r="AJ76" s="464">
        <f>AJ8</f>
        <v>9.4672439396515937</v>
      </c>
      <c r="AK76" s="464">
        <f>AK8</f>
        <v>9.4672439396515937</v>
      </c>
      <c r="AL76" s="552" t="s">
        <v>1916</v>
      </c>
      <c r="AM76" s="552"/>
      <c r="AN76" s="552"/>
      <c r="AO76" s="552"/>
      <c r="AQ76" s="5" t="s">
        <v>1917</v>
      </c>
      <c r="AR76" s="5">
        <f>SUMIF($AP$158:$AP$178,AQ76,$AK$158:$AK$178)</f>
        <v>0.30319368909442446</v>
      </c>
      <c r="AS76" s="554">
        <f>IF(TRUNC(AR76,7)=TRUNC([21]Uncertainty!C6,7),0,AR76-[21]Uncertainty!C6)</f>
        <v>0</v>
      </c>
    </row>
    <row r="77" spans="1:45">
      <c r="C77" s="21">
        <v>5</v>
      </c>
      <c r="D77" s="6" t="s">
        <v>1889</v>
      </c>
      <c r="E77" s="464">
        <f>E9+E56</f>
        <v>281.38453154269206</v>
      </c>
      <c r="F77" s="464">
        <f t="shared" ref="F77:R77" si="99">F9+F56</f>
        <v>275.0288432421134</v>
      </c>
      <c r="G77" s="464">
        <f t="shared" si="99"/>
        <v>294.47976828238427</v>
      </c>
      <c r="H77" s="464">
        <f t="shared" si="99"/>
        <v>304.91419847951408</v>
      </c>
      <c r="I77" s="464">
        <f t="shared" si="99"/>
        <v>328.62796201803155</v>
      </c>
      <c r="J77" s="464">
        <f t="shared" si="99"/>
        <v>347.30901474182804</v>
      </c>
      <c r="K77" s="464">
        <f t="shared" si="99"/>
        <v>364.32131506633658</v>
      </c>
      <c r="L77" s="464">
        <f t="shared" si="99"/>
        <v>378.46286955059264</v>
      </c>
      <c r="M77" s="464">
        <f t="shared" si="99"/>
        <v>407.51540252874793</v>
      </c>
      <c r="N77" s="464">
        <f t="shared" si="99"/>
        <v>396.38760391024255</v>
      </c>
      <c r="O77" s="464">
        <f t="shared" si="99"/>
        <v>384.21362641486792</v>
      </c>
      <c r="P77" s="464">
        <f t="shared" si="99"/>
        <v>387.75544162626738</v>
      </c>
      <c r="Q77" s="464">
        <f t="shared" si="99"/>
        <v>365.98620304728365</v>
      </c>
      <c r="R77" s="464">
        <f t="shared" si="99"/>
        <v>317.5858909027844</v>
      </c>
      <c r="S77" s="464">
        <f t="shared" ref="S77:X77" si="100">S9+S56</f>
        <v>274.91175505742831</v>
      </c>
      <c r="T77" s="464">
        <f t="shared" si="100"/>
        <v>260.86305727958404</v>
      </c>
      <c r="U77" s="464">
        <f t="shared" si="100"/>
        <v>228.43519331300772</v>
      </c>
      <c r="V77" s="464">
        <f t="shared" si="100"/>
        <v>241.04832206413744</v>
      </c>
      <c r="W77" s="464">
        <f>W9+W56</f>
        <v>265.03827637037</v>
      </c>
      <c r="X77" s="464">
        <f t="shared" si="100"/>
        <v>274.94345616847988</v>
      </c>
      <c r="Y77" s="464">
        <f t="shared" ref="Y77:AD77" si="101">Y9+Y56</f>
        <v>297.09480872891862</v>
      </c>
      <c r="Z77" s="464">
        <f t="shared" si="101"/>
        <v>299.6237524246971</v>
      </c>
      <c r="AA77" s="464">
        <f t="shared" si="101"/>
        <v>300.04226938087754</v>
      </c>
      <c r="AB77" s="464">
        <f t="shared" si="101"/>
        <v>309.68348810522627</v>
      </c>
      <c r="AC77" s="464">
        <f t="shared" si="101"/>
        <v>323.92853379017652</v>
      </c>
      <c r="AD77" s="464">
        <f t="shared" si="101"/>
        <v>419.34020740672196</v>
      </c>
      <c r="AE77" s="464">
        <f>AE9+AE56</f>
        <v>496.82670801110606</v>
      </c>
      <c r="AF77" s="464">
        <f t="shared" ref="AF77" si="102">AF9+AF56</f>
        <v>588.17371191449251</v>
      </c>
      <c r="AG77" s="464">
        <f>AG9+AG56</f>
        <v>676.19336996100935</v>
      </c>
      <c r="AH77" s="464">
        <f>AH9+AH56</f>
        <v>666.34400442227093</v>
      </c>
      <c r="AI77" s="464">
        <f>AI9+AI56</f>
        <v>663.66930015581136</v>
      </c>
      <c r="AJ77" s="464">
        <f>AJ9+AJ56</f>
        <v>666.4566046780019</v>
      </c>
      <c r="AK77" s="464">
        <f>AK9+AK56</f>
        <v>665.05133792434879</v>
      </c>
      <c r="AL77" s="552" t="s">
        <v>1916</v>
      </c>
      <c r="AM77" s="552"/>
      <c r="AN77" s="552"/>
      <c r="AO77" s="552"/>
      <c r="AQ77" s="5" t="s">
        <v>1610</v>
      </c>
      <c r="AR77" s="5">
        <f>SUMIF($AP$158:$AP$178,AQ77,$AK$158:$AK$178)</f>
        <v>16.545299580604539</v>
      </c>
      <c r="AS77" s="553">
        <f>AR77-[21]Uncertainty!C7</f>
        <v>0</v>
      </c>
    </row>
    <row r="78" spans="1:45">
      <c r="C78" s="21">
        <v>6</v>
      </c>
      <c r="D78" s="6" t="s">
        <v>1608</v>
      </c>
      <c r="E78" s="464">
        <f>E10</f>
        <v>1170.193</v>
      </c>
      <c r="F78" s="464">
        <f t="shared" ref="F78:R78" si="103">F10</f>
        <v>1076.5350000000001</v>
      </c>
      <c r="G78" s="464">
        <f t="shared" si="103"/>
        <v>1102.22</v>
      </c>
      <c r="H78" s="464">
        <f t="shared" si="103"/>
        <v>1149.02</v>
      </c>
      <c r="I78" s="464">
        <f t="shared" si="103"/>
        <v>1172.9169999999999</v>
      </c>
      <c r="J78" s="464">
        <f t="shared" si="103"/>
        <v>1178.175</v>
      </c>
      <c r="K78" s="464">
        <f t="shared" si="103"/>
        <v>1175.932</v>
      </c>
      <c r="L78" s="464">
        <f t="shared" si="103"/>
        <v>1223.5659999999998</v>
      </c>
      <c r="M78" s="464">
        <f t="shared" si="103"/>
        <v>1262.5519999999999</v>
      </c>
      <c r="N78" s="464">
        <f t="shared" si="103"/>
        <v>1324.413</v>
      </c>
      <c r="O78" s="464">
        <f t="shared" si="103"/>
        <v>1275.6780000000001</v>
      </c>
      <c r="P78" s="464">
        <f t="shared" si="103"/>
        <v>1256.8649999999998</v>
      </c>
      <c r="Q78" s="464">
        <f t="shared" si="103"/>
        <v>1239.9570000000001</v>
      </c>
      <c r="R78" s="464">
        <f t="shared" si="103"/>
        <v>1219.538</v>
      </c>
      <c r="S78" s="464">
        <f t="shared" ref="S78:Y78" si="104">S10</f>
        <v>1303.848</v>
      </c>
      <c r="T78" s="464">
        <f t="shared" si="104"/>
        <v>1323.2380000000001</v>
      </c>
      <c r="U78" s="464">
        <f t="shared" si="104"/>
        <v>1261.1659999999999</v>
      </c>
      <c r="V78" s="464">
        <f t="shared" si="104"/>
        <v>1197.039</v>
      </c>
      <c r="W78" s="464">
        <f t="shared" si="104"/>
        <v>1011.9709999999999</v>
      </c>
      <c r="X78" s="464">
        <f t="shared" si="104"/>
        <v>873.08299999999997</v>
      </c>
      <c r="Y78" s="464">
        <f t="shared" si="104"/>
        <v>877.76800000000003</v>
      </c>
      <c r="Z78" s="464">
        <f t="shared" ref="Z78:AE78" si="105">Z10</f>
        <v>859.48900000000003</v>
      </c>
      <c r="AA78" s="464">
        <f t="shared" si="105"/>
        <v>826.697</v>
      </c>
      <c r="AB78" s="464">
        <f t="shared" si="105"/>
        <v>783.34699999999998</v>
      </c>
      <c r="AC78" s="464">
        <f t="shared" si="105"/>
        <v>792.63599999999997</v>
      </c>
      <c r="AD78" s="464">
        <f t="shared" si="105"/>
        <v>831.66</v>
      </c>
      <c r="AE78" s="464">
        <f t="shared" si="105"/>
        <v>853.36599999999999</v>
      </c>
      <c r="AF78" s="464">
        <f t="shared" ref="AF78:AH78" si="106">AF10</f>
        <v>849.18200000000002</v>
      </c>
      <c r="AG78" s="464">
        <f t="shared" si="106"/>
        <v>792.76300000000003</v>
      </c>
      <c r="AH78" s="464">
        <f t="shared" si="106"/>
        <v>843.88300000000004</v>
      </c>
      <c r="AI78" s="464">
        <f t="shared" ref="AI78:AJ78" si="107">AI10</f>
        <v>832.27300000000002</v>
      </c>
      <c r="AJ78" s="464">
        <f t="shared" si="107"/>
        <v>898.08500000000004</v>
      </c>
      <c r="AK78" s="464">
        <f t="shared" ref="AK78" si="108">AK10</f>
        <v>916.13400000000001</v>
      </c>
      <c r="AL78" s="552" t="s">
        <v>1917</v>
      </c>
      <c r="AM78" s="552"/>
      <c r="AN78" s="552"/>
      <c r="AO78" s="552"/>
      <c r="AQ78" s="5" t="s">
        <v>1621</v>
      </c>
      <c r="AR78" s="5">
        <f>SUMIF($AP$158:$AP$178,AQ78,$AK$158:$AK$178)</f>
        <v>0.39913629606760015</v>
      </c>
      <c r="AS78" s="553">
        <f>AR78-[21]Uncertainty!C8</f>
        <v>0</v>
      </c>
    </row>
    <row r="79" spans="1:45">
      <c r="C79" s="21">
        <v>7</v>
      </c>
      <c r="D79" s="6" t="s">
        <v>1609</v>
      </c>
      <c r="E79" s="464">
        <f>E11+E57</f>
        <v>1213.6462996985247</v>
      </c>
      <c r="F79" s="464">
        <f t="shared" ref="F79:R79" si="109">F11+F57</f>
        <v>1333.3225315502277</v>
      </c>
      <c r="G79" s="464">
        <f t="shared" si="109"/>
        <v>1426.44228550715</v>
      </c>
      <c r="H79" s="464">
        <f t="shared" si="109"/>
        <v>1351.1012541174191</v>
      </c>
      <c r="I79" s="464">
        <f t="shared" si="109"/>
        <v>1582.8771614756999</v>
      </c>
      <c r="J79" s="464">
        <f t="shared" si="109"/>
        <v>1562.1237872529725</v>
      </c>
      <c r="K79" s="464">
        <f t="shared" si="109"/>
        <v>1651.777779863841</v>
      </c>
      <c r="L79" s="464">
        <f t="shared" si="109"/>
        <v>1697.7620676035222</v>
      </c>
      <c r="M79" s="464">
        <f t="shared" si="109"/>
        <v>1652.2171216714921</v>
      </c>
      <c r="N79" s="464">
        <f t="shared" si="109"/>
        <v>1931.189672697164</v>
      </c>
      <c r="O79" s="464">
        <f t="shared" si="109"/>
        <v>1694.1511959881482</v>
      </c>
      <c r="P79" s="464">
        <f t="shared" si="109"/>
        <v>1627.959174473199</v>
      </c>
      <c r="Q79" s="464">
        <f t="shared" si="109"/>
        <v>1708.0883176517798</v>
      </c>
      <c r="R79" s="464">
        <f t="shared" si="109"/>
        <v>1585.7105489743476</v>
      </c>
      <c r="S79" s="464">
        <f t="shared" ref="S79:Y79" si="110">S11+S57</f>
        <v>1613.2420601213046</v>
      </c>
      <c r="T79" s="464">
        <f t="shared" si="110"/>
        <v>1609.9071740946911</v>
      </c>
      <c r="U79" s="464">
        <f t="shared" si="110"/>
        <v>1703.4755387947489</v>
      </c>
      <c r="V79" s="464">
        <f t="shared" si="110"/>
        <v>1659.1813572056267</v>
      </c>
      <c r="W79" s="464">
        <f>W11+W57</f>
        <v>1560.986602151929</v>
      </c>
      <c r="X79" s="464">
        <f t="shared" si="110"/>
        <v>1664.9552760513925</v>
      </c>
      <c r="Y79" s="464">
        <f t="shared" si="110"/>
        <v>1832.3085851182934</v>
      </c>
      <c r="Z79" s="464">
        <f t="shared" ref="Z79:AE79" si="111">Z11+Z57</f>
        <v>1877.5508844530466</v>
      </c>
      <c r="AA79" s="464">
        <f t="shared" si="111"/>
        <v>1881.1135173745133</v>
      </c>
      <c r="AB79" s="464">
        <f t="shared" si="111"/>
        <v>2070.4227836969226</v>
      </c>
      <c r="AC79" s="464">
        <f t="shared" si="111"/>
        <v>2105.9368511908197</v>
      </c>
      <c r="AD79" s="464">
        <f t="shared" si="111"/>
        <v>2162.0032903742258</v>
      </c>
      <c r="AE79" s="464">
        <f t="shared" si="111"/>
        <v>2129.4662405503104</v>
      </c>
      <c r="AF79" s="464">
        <f t="shared" ref="AF79:AH79" si="112">AF11+AF57</f>
        <v>2193.689681458593</v>
      </c>
      <c r="AG79" s="464">
        <f t="shared" si="112"/>
        <v>2505.4756880349114</v>
      </c>
      <c r="AH79" s="464">
        <f t="shared" si="112"/>
        <v>2545.4080768982171</v>
      </c>
      <c r="AI79" s="464">
        <f t="shared" ref="AI79:AJ79" si="113">AI11+AI57</f>
        <v>2653.5856622450733</v>
      </c>
      <c r="AJ79" s="464">
        <f t="shared" si="113"/>
        <v>2810.4222836264307</v>
      </c>
      <c r="AK79" s="464">
        <f t="shared" ref="AK79" si="114">AK11+AK57</f>
        <v>3003.1323302819897</v>
      </c>
      <c r="AL79" s="552" t="s">
        <v>1916</v>
      </c>
      <c r="AM79" s="552"/>
      <c r="AN79" s="552"/>
      <c r="AO79" s="552"/>
      <c r="AQ79" s="5" t="s">
        <v>1392</v>
      </c>
      <c r="AR79" s="5">
        <f>SUMIF($AP$158:$AP$178,AQ79,$AK$158:$AK$178)</f>
        <v>2.9752667690377366</v>
      </c>
      <c r="AS79" s="553">
        <f>AR79-[21]Uncertainty!C9</f>
        <v>0</v>
      </c>
    </row>
    <row r="80" spans="1:45">
      <c r="C80" s="21">
        <v>8</v>
      </c>
      <c r="D80" s="6" t="s">
        <v>1918</v>
      </c>
      <c r="E80" s="464">
        <f>E12</f>
        <v>186.34299999999999</v>
      </c>
      <c r="F80" s="464">
        <f t="shared" ref="F80:R80" si="115">F12</f>
        <v>166.70299999999997</v>
      </c>
      <c r="G80" s="464">
        <f t="shared" si="115"/>
        <v>169.96</v>
      </c>
      <c r="H80" s="464">
        <f t="shared" si="115"/>
        <v>173.06399999999999</v>
      </c>
      <c r="I80" s="464">
        <f t="shared" si="115"/>
        <v>180.886</v>
      </c>
      <c r="J80" s="464">
        <f t="shared" si="115"/>
        <v>177.78</v>
      </c>
      <c r="K80" s="464">
        <f t="shared" si="115"/>
        <v>172.53399999999999</v>
      </c>
      <c r="L80" s="464">
        <f t="shared" si="115"/>
        <v>182.262</v>
      </c>
      <c r="M80" s="464">
        <f t="shared" si="115"/>
        <v>190.80199999999999</v>
      </c>
      <c r="N80" s="464">
        <f t="shared" si="115"/>
        <v>192.79900000000001</v>
      </c>
      <c r="O80" s="464">
        <f t="shared" si="115"/>
        <v>189.90700000000001</v>
      </c>
      <c r="P80" s="464">
        <f t="shared" si="115"/>
        <v>173.99700000000001</v>
      </c>
      <c r="Q80" s="464">
        <f t="shared" si="115"/>
        <v>171.935</v>
      </c>
      <c r="R80" s="464">
        <f t="shared" si="115"/>
        <v>158.95699999999999</v>
      </c>
      <c r="S80" s="464">
        <f t="shared" ref="S80:Y80" si="116">S12</f>
        <v>161.04</v>
      </c>
      <c r="T80" s="464">
        <f t="shared" si="116"/>
        <v>160.19900000000001</v>
      </c>
      <c r="U80" s="464">
        <f t="shared" si="116"/>
        <v>156.078</v>
      </c>
      <c r="V80" s="464">
        <f t="shared" si="116"/>
        <v>161.17699999999999</v>
      </c>
      <c r="W80" s="464">
        <f>W12</f>
        <v>149.63499999999999</v>
      </c>
      <c r="X80" s="464">
        <f t="shared" si="116"/>
        <v>134.53299999999999</v>
      </c>
      <c r="Y80" s="464">
        <f t="shared" si="116"/>
        <v>135.87899999999999</v>
      </c>
      <c r="Z80" s="464">
        <f t="shared" ref="Z80:AE80" si="117">Z12</f>
        <v>127.396</v>
      </c>
      <c r="AA80" s="464">
        <f t="shared" si="117"/>
        <v>118.313</v>
      </c>
      <c r="AB80" s="464">
        <f t="shared" si="117"/>
        <v>125.09100000000001</v>
      </c>
      <c r="AC80" s="464">
        <f t="shared" si="117"/>
        <v>130.66300000000001</v>
      </c>
      <c r="AD80" s="464">
        <f t="shared" si="117"/>
        <v>142.13499999999999</v>
      </c>
      <c r="AE80" s="464">
        <f t="shared" si="117"/>
        <v>135.148</v>
      </c>
      <c r="AF80" s="464">
        <f t="shared" ref="AF80:AH80" si="118">AF12</f>
        <v>124.895</v>
      </c>
      <c r="AG80" s="464">
        <f t="shared" si="118"/>
        <v>121.98699999999999</v>
      </c>
      <c r="AH80" s="464">
        <f t="shared" si="118"/>
        <v>118.313</v>
      </c>
      <c r="AI80" s="464">
        <f t="shared" ref="AI80:AJ80" si="119">AI12</f>
        <v>111.09</v>
      </c>
      <c r="AJ80" s="464">
        <f t="shared" si="119"/>
        <v>113.49299999999999</v>
      </c>
      <c r="AK80" s="464">
        <f t="shared" ref="AK80" si="120">AK12</f>
        <v>119.544</v>
      </c>
      <c r="AL80" s="552" t="s">
        <v>1610</v>
      </c>
      <c r="AM80" s="552"/>
      <c r="AN80" s="552"/>
      <c r="AO80" s="552"/>
    </row>
    <row r="81" spans="3:41">
      <c r="C81" s="21">
        <v>9</v>
      </c>
      <c r="D81" s="6" t="s">
        <v>1617</v>
      </c>
      <c r="E81" s="464">
        <f>E13+E58</f>
        <v>0</v>
      </c>
      <c r="F81" s="464">
        <f t="shared" ref="F81:R81" si="121">F13+F58</f>
        <v>0</v>
      </c>
      <c r="G81" s="464">
        <f t="shared" si="121"/>
        <v>0</v>
      </c>
      <c r="H81" s="464">
        <f t="shared" si="121"/>
        <v>0</v>
      </c>
      <c r="I81" s="464">
        <f t="shared" si="121"/>
        <v>0</v>
      </c>
      <c r="J81" s="464">
        <f t="shared" si="121"/>
        <v>0</v>
      </c>
      <c r="K81" s="464">
        <f t="shared" si="121"/>
        <v>0</v>
      </c>
      <c r="L81" s="464">
        <f t="shared" si="121"/>
        <v>0</v>
      </c>
      <c r="M81" s="464">
        <f t="shared" si="121"/>
        <v>0</v>
      </c>
      <c r="N81" s="464">
        <f t="shared" si="121"/>
        <v>0</v>
      </c>
      <c r="O81" s="464">
        <f t="shared" si="121"/>
        <v>0</v>
      </c>
      <c r="P81" s="464">
        <f t="shared" si="121"/>
        <v>0</v>
      </c>
      <c r="Q81" s="464">
        <f t="shared" si="121"/>
        <v>0</v>
      </c>
      <c r="R81" s="464">
        <f t="shared" si="121"/>
        <v>0</v>
      </c>
      <c r="S81" s="464">
        <f t="shared" ref="S81:U82" si="122">S13+S58</f>
        <v>0</v>
      </c>
      <c r="T81" s="464">
        <f t="shared" si="122"/>
        <v>0</v>
      </c>
      <c r="U81" s="464">
        <f t="shared" si="122"/>
        <v>0</v>
      </c>
      <c r="V81" s="464">
        <f t="shared" ref="V81:Y82" si="123">V13+V58</f>
        <v>0</v>
      </c>
      <c r="W81" s="464">
        <f t="shared" si="123"/>
        <v>0</v>
      </c>
      <c r="X81" s="464">
        <f t="shared" si="123"/>
        <v>0</v>
      </c>
      <c r="Y81" s="464">
        <f t="shared" si="123"/>
        <v>0</v>
      </c>
      <c r="Z81" s="464">
        <f t="shared" ref="Z81:AB82" si="124">Z13+Z58</f>
        <v>0</v>
      </c>
      <c r="AA81" s="464">
        <f t="shared" si="124"/>
        <v>0</v>
      </c>
      <c r="AB81" s="464">
        <f t="shared" si="124"/>
        <v>0</v>
      </c>
      <c r="AC81" s="464">
        <f t="shared" ref="AC81:AE82" si="125">AC13+AC58</f>
        <v>0</v>
      </c>
      <c r="AD81" s="464">
        <f t="shared" si="125"/>
        <v>0</v>
      </c>
      <c r="AE81" s="464">
        <f t="shared" si="125"/>
        <v>0</v>
      </c>
      <c r="AF81" s="464">
        <f t="shared" ref="AF81:AH81" si="126">AF13+AF58</f>
        <v>0</v>
      </c>
      <c r="AG81" s="464">
        <f t="shared" si="126"/>
        <v>0</v>
      </c>
      <c r="AH81" s="464">
        <f t="shared" si="126"/>
        <v>0</v>
      </c>
      <c r="AI81" s="464">
        <f>AI13+AI58</f>
        <v>0</v>
      </c>
      <c r="AJ81" s="464">
        <f>AJ13+AJ58</f>
        <v>0</v>
      </c>
      <c r="AK81" s="464">
        <f>AK13+AK58</f>
        <v>0</v>
      </c>
      <c r="AL81" s="552" t="s">
        <v>1916</v>
      </c>
      <c r="AM81" s="552"/>
      <c r="AN81" s="552"/>
      <c r="AO81" s="552"/>
    </row>
    <row r="82" spans="3:41">
      <c r="C82" s="21">
        <v>10</v>
      </c>
      <c r="D82" s="6" t="s">
        <v>1615</v>
      </c>
      <c r="E82" s="464">
        <f>E14+E59</f>
        <v>326.07278900478229</v>
      </c>
      <c r="F82" s="464">
        <f t="shared" ref="F82:R82" si="127">F14+F59</f>
        <v>278.81555364101746</v>
      </c>
      <c r="G82" s="464">
        <f t="shared" si="127"/>
        <v>354.60913205170783</v>
      </c>
      <c r="H82" s="464">
        <f t="shared" si="127"/>
        <v>325.44391106198333</v>
      </c>
      <c r="I82" s="464">
        <f t="shared" si="127"/>
        <v>376.10647867273769</v>
      </c>
      <c r="J82" s="464">
        <f t="shared" si="127"/>
        <v>354.39079510560975</v>
      </c>
      <c r="K82" s="464">
        <f t="shared" si="127"/>
        <v>455.85165678747876</v>
      </c>
      <c r="L82" s="464">
        <f t="shared" si="127"/>
        <v>507.59158331603163</v>
      </c>
      <c r="M82" s="464">
        <f t="shared" si="127"/>
        <v>563.61413148697454</v>
      </c>
      <c r="N82" s="464">
        <f t="shared" si="127"/>
        <v>485.86605160326013</v>
      </c>
      <c r="O82" s="464">
        <f t="shared" si="127"/>
        <v>592.72648122930366</v>
      </c>
      <c r="P82" s="464">
        <f t="shared" si="127"/>
        <v>489.75175811835618</v>
      </c>
      <c r="Q82" s="464">
        <f t="shared" si="127"/>
        <v>564.95491060785821</v>
      </c>
      <c r="R82" s="464">
        <f t="shared" si="127"/>
        <v>574.63699475316105</v>
      </c>
      <c r="S82" s="464">
        <f t="shared" si="122"/>
        <v>689.10133952722572</v>
      </c>
      <c r="T82" s="464">
        <f t="shared" si="122"/>
        <v>679.51903268156548</v>
      </c>
      <c r="U82" s="464">
        <f t="shared" si="122"/>
        <v>618.51662746381521</v>
      </c>
      <c r="V82" s="464">
        <f t="shared" si="123"/>
        <v>542.3325521517462</v>
      </c>
      <c r="W82" s="464">
        <f t="shared" si="123"/>
        <v>467.44679828910103</v>
      </c>
      <c r="X82" s="464">
        <f t="shared" si="123"/>
        <v>451.44217681100679</v>
      </c>
      <c r="Y82" s="464">
        <f t="shared" si="123"/>
        <v>474.67340254913319</v>
      </c>
      <c r="Z82" s="464">
        <f t="shared" si="124"/>
        <v>469.89377766336577</v>
      </c>
      <c r="AA82" s="464">
        <f t="shared" si="124"/>
        <v>432.5758873842542</v>
      </c>
      <c r="AB82" s="464">
        <f t="shared" si="124"/>
        <v>499.29522176988439</v>
      </c>
      <c r="AC82" s="464">
        <f t="shared" si="125"/>
        <v>435.69165040699454</v>
      </c>
      <c r="AD82" s="464">
        <f t="shared" si="125"/>
        <v>418.44514397542611</v>
      </c>
      <c r="AE82" s="464">
        <f t="shared" si="125"/>
        <v>398.4425998069683</v>
      </c>
      <c r="AF82" s="464">
        <f t="shared" ref="AF82:AH82" si="128">AF14+AF59</f>
        <v>413.09404560537814</v>
      </c>
      <c r="AG82" s="464">
        <f t="shared" si="128"/>
        <v>421.11879251221831</v>
      </c>
      <c r="AH82" s="464">
        <f t="shared" si="128"/>
        <v>368.96130407039726</v>
      </c>
      <c r="AI82" s="464">
        <f t="shared" ref="AI82:AJ82" si="129">AI14+AI59</f>
        <v>329.0467498492356</v>
      </c>
      <c r="AJ82" s="464">
        <f t="shared" si="129"/>
        <v>330.29318109263562</v>
      </c>
      <c r="AK82" s="464">
        <f t="shared" ref="AK82" si="130">AK14+AK59</f>
        <v>247.30334295628398</v>
      </c>
      <c r="AL82" s="552" t="s">
        <v>1916</v>
      </c>
      <c r="AM82" s="552"/>
      <c r="AN82" s="552"/>
      <c r="AO82" s="552"/>
    </row>
    <row r="83" spans="3:41">
      <c r="C83" s="21">
        <v>11</v>
      </c>
      <c r="D83" s="6" t="s">
        <v>1616</v>
      </c>
      <c r="E83" s="464">
        <f>E15+E60+E65</f>
        <v>661.74772481412606</v>
      </c>
      <c r="F83" s="464">
        <f t="shared" ref="F83:R83" si="131">F15+F60+F65</f>
        <v>741.44350221285367</v>
      </c>
      <c r="G83" s="464">
        <f t="shared" si="131"/>
        <v>671.60917351929322</v>
      </c>
      <c r="H83" s="464">
        <f t="shared" si="131"/>
        <v>665.1675239144646</v>
      </c>
      <c r="I83" s="464">
        <f t="shared" si="131"/>
        <v>640.66689819163707</v>
      </c>
      <c r="J83" s="464">
        <f t="shared" si="131"/>
        <v>598.53951791388488</v>
      </c>
      <c r="K83" s="464">
        <f t="shared" si="131"/>
        <v>522.4675768508589</v>
      </c>
      <c r="L83" s="464">
        <f t="shared" si="131"/>
        <v>640.79791964847266</v>
      </c>
      <c r="M83" s="464">
        <f t="shared" si="131"/>
        <v>616.13451970282711</v>
      </c>
      <c r="N83" s="464">
        <f t="shared" si="131"/>
        <v>637.54859198881354</v>
      </c>
      <c r="O83" s="464">
        <f t="shared" si="131"/>
        <v>532.72719357327708</v>
      </c>
      <c r="P83" s="464">
        <f t="shared" si="131"/>
        <v>506.47660091983619</v>
      </c>
      <c r="Q83" s="464">
        <f t="shared" si="131"/>
        <v>436.45798631127127</v>
      </c>
      <c r="R83" s="464">
        <f t="shared" si="131"/>
        <v>482.12435537196257</v>
      </c>
      <c r="S83" s="464">
        <f t="shared" ref="S83:Y83" si="132">S15+S60+S65</f>
        <v>527.76461289677502</v>
      </c>
      <c r="T83" s="464">
        <f t="shared" si="132"/>
        <v>499.46557450895705</v>
      </c>
      <c r="U83" s="464">
        <f t="shared" si="132"/>
        <v>573.84083255322344</v>
      </c>
      <c r="V83" s="464">
        <f t="shared" si="132"/>
        <v>668.85126368852195</v>
      </c>
      <c r="W83" s="464">
        <f>W15+W60+W65</f>
        <v>599.38366024636434</v>
      </c>
      <c r="X83" s="464">
        <f t="shared" si="132"/>
        <v>393.13782039588142</v>
      </c>
      <c r="Y83" s="464">
        <f t="shared" si="132"/>
        <v>433.29045651089268</v>
      </c>
      <c r="Z83" s="464">
        <f t="shared" ref="Z83:AE83" si="133">Z15+Z60+Z65</f>
        <v>368.5289933836313</v>
      </c>
      <c r="AA83" s="464">
        <f t="shared" si="133"/>
        <v>267.59852425074064</v>
      </c>
      <c r="AB83" s="464">
        <f t="shared" si="133"/>
        <v>209.32392868899626</v>
      </c>
      <c r="AC83" s="464">
        <f t="shared" si="133"/>
        <v>236.4513557371321</v>
      </c>
      <c r="AD83" s="464">
        <f t="shared" si="133"/>
        <v>217.08693019579664</v>
      </c>
      <c r="AE83" s="464">
        <f t="shared" si="133"/>
        <v>204.72310516696916</v>
      </c>
      <c r="AF83" s="464">
        <f t="shared" ref="AF83:AH83" si="134">AF15+AF60+AF65</f>
        <v>242.91015245245399</v>
      </c>
      <c r="AG83" s="464">
        <f t="shared" si="134"/>
        <v>219.08797957513295</v>
      </c>
      <c r="AH83" s="464">
        <f t="shared" si="134"/>
        <v>211.81821709104202</v>
      </c>
      <c r="AI83" s="464">
        <f t="shared" ref="AI83:AJ83" si="135">AI15+AI60+AI65</f>
        <v>195.40247389906321</v>
      </c>
      <c r="AJ83" s="464">
        <f t="shared" si="135"/>
        <v>195.88493732636294</v>
      </c>
      <c r="AK83" s="464">
        <f t="shared" ref="AK83" si="136">AK15+AK60+AK65</f>
        <v>112.45597211641869</v>
      </c>
      <c r="AL83" s="552" t="s">
        <v>1916</v>
      </c>
      <c r="AM83" s="552"/>
      <c r="AN83" s="552"/>
      <c r="AO83" s="552"/>
    </row>
    <row r="84" spans="3:41" ht="10.5" customHeight="1">
      <c r="C84" s="21">
        <v>12</v>
      </c>
      <c r="D84" s="6" t="s">
        <v>1618</v>
      </c>
      <c r="E84" s="464">
        <f>E16</f>
        <v>36.726000000000091</v>
      </c>
      <c r="F84" s="464">
        <f t="shared" ref="F84:R84" si="137">F16</f>
        <v>40.632000000000005</v>
      </c>
      <c r="G84" s="464">
        <f t="shared" si="137"/>
        <v>28.54200000000003</v>
      </c>
      <c r="H84" s="464">
        <f t="shared" si="137"/>
        <v>45.630000000000088</v>
      </c>
      <c r="I84" s="464">
        <f t="shared" si="137"/>
        <v>35.37000000000004</v>
      </c>
      <c r="J84" s="464">
        <f t="shared" si="137"/>
        <v>47.903999999999805</v>
      </c>
      <c r="K84" s="464">
        <f t="shared" si="137"/>
        <v>2.159999999999985</v>
      </c>
      <c r="L84" s="464">
        <f t="shared" si="137"/>
        <v>12.113999999999985</v>
      </c>
      <c r="M84" s="464">
        <f t="shared" si="137"/>
        <v>6.2039999999999154</v>
      </c>
      <c r="N84" s="464">
        <f t="shared" si="137"/>
        <v>23.022000000000041</v>
      </c>
      <c r="O84" s="464">
        <f t="shared" si="137"/>
        <v>16.980000000000114</v>
      </c>
      <c r="P84" s="464">
        <f t="shared" si="137"/>
        <v>49.265999999999934</v>
      </c>
      <c r="Q84" s="464">
        <f t="shared" si="137"/>
        <v>61.722000000000023</v>
      </c>
      <c r="R84" s="464">
        <f t="shared" si="137"/>
        <v>59.015999999999899</v>
      </c>
      <c r="S84" s="464">
        <f t="shared" ref="S84:Y84" si="138">S16</f>
        <v>62.856000000000094</v>
      </c>
      <c r="T84" s="464">
        <f t="shared" si="138"/>
        <v>67.668000000000077</v>
      </c>
      <c r="U84" s="464">
        <f t="shared" si="138"/>
        <v>57.209999999999781</v>
      </c>
      <c r="V84" s="464">
        <f t="shared" si="138"/>
        <v>44.219999999999949</v>
      </c>
      <c r="W84" s="464">
        <f t="shared" si="138"/>
        <v>47.334000000000017</v>
      </c>
      <c r="X84" s="464">
        <f t="shared" si="138"/>
        <v>133.87199999999984</v>
      </c>
      <c r="Y84" s="464">
        <f t="shared" si="138"/>
        <v>147.77069312812213</v>
      </c>
      <c r="Z84" s="464">
        <f t="shared" ref="Z84:AE84" si="139">Z16</f>
        <v>163.56713999999999</v>
      </c>
      <c r="AA84" s="464">
        <f t="shared" si="139"/>
        <v>160.61969674331783</v>
      </c>
      <c r="AB84" s="464">
        <f t="shared" si="139"/>
        <v>166.74568875089008</v>
      </c>
      <c r="AC84" s="464">
        <f t="shared" si="139"/>
        <v>164.53817096807006</v>
      </c>
      <c r="AD84" s="464">
        <f t="shared" si="139"/>
        <v>162.16079406339975</v>
      </c>
      <c r="AE84" s="464">
        <f t="shared" si="139"/>
        <v>166.11115754857593</v>
      </c>
      <c r="AF84" s="464">
        <f t="shared" ref="AF84:AH84" si="140">AF16</f>
        <v>163.84636925723936</v>
      </c>
      <c r="AG84" s="464">
        <f t="shared" si="140"/>
        <v>166.88300781108319</v>
      </c>
      <c r="AH84" s="464">
        <f t="shared" si="140"/>
        <v>158.73823037830232</v>
      </c>
      <c r="AI84" s="464">
        <f t="shared" ref="AI84:AJ84" si="141">AI16</f>
        <v>145.41697993710437</v>
      </c>
      <c r="AJ84" s="464">
        <f t="shared" si="141"/>
        <v>152.81268515053802</v>
      </c>
      <c r="AK84" s="464">
        <f t="shared" ref="AK84" si="142">AK16</f>
        <v>157.07933803502155</v>
      </c>
      <c r="AL84" s="552" t="s">
        <v>1916</v>
      </c>
      <c r="AM84" s="552"/>
      <c r="AN84" s="552"/>
      <c r="AO84" s="552"/>
    </row>
    <row r="85" spans="3:41">
      <c r="C85" s="21">
        <v>13</v>
      </c>
      <c r="D85" s="6" t="s">
        <v>1604</v>
      </c>
      <c r="E85" s="464">
        <f>E17+SUM(E66:E70)</f>
        <v>29.117088063001717</v>
      </c>
      <c r="F85" s="464">
        <f t="shared" ref="F85:T85" si="143">F17+SUM(F66:F70)</f>
        <v>12.822789541298903</v>
      </c>
      <c r="G85" s="464">
        <f t="shared" si="143"/>
        <v>77.80362380101829</v>
      </c>
      <c r="H85" s="533">
        <f>H17+SUM(H66:H70)</f>
        <v>23.163009740026141</v>
      </c>
      <c r="I85" s="533">
        <f t="shared" si="143"/>
        <v>44.156614194910361</v>
      </c>
      <c r="J85" s="464">
        <f t="shared" si="143"/>
        <v>35.517996502827216</v>
      </c>
      <c r="K85" s="464">
        <f t="shared" si="143"/>
        <v>29.659947222648313</v>
      </c>
      <c r="L85" s="464">
        <v>0</v>
      </c>
      <c r="M85" s="464">
        <f t="shared" si="143"/>
        <v>57.877197937325974</v>
      </c>
      <c r="N85" s="464">
        <f t="shared" si="143"/>
        <v>122.42006575056335</v>
      </c>
      <c r="O85" s="464">
        <f t="shared" si="143"/>
        <v>8.725419926624653</v>
      </c>
      <c r="P85" s="464">
        <f t="shared" si="143"/>
        <v>96.459298634274148</v>
      </c>
      <c r="Q85" s="464">
        <f t="shared" si="143"/>
        <v>65.197767531238938</v>
      </c>
      <c r="R85" s="464">
        <f t="shared" si="143"/>
        <v>39.723033628130665</v>
      </c>
      <c r="S85" s="464">
        <f t="shared" si="143"/>
        <v>135.24956174177498</v>
      </c>
      <c r="T85" s="464">
        <f t="shared" si="143"/>
        <v>104.20267225677766</v>
      </c>
      <c r="U85" s="464">
        <f>U17+SUM(U66:U70)</f>
        <v>133.72721831110715</v>
      </c>
      <c r="V85" s="464">
        <f>V17+SUM(V66:V70)</f>
        <v>115.6484501385244</v>
      </c>
      <c r="W85" s="464">
        <f>W17+SUM(W66:W70)</f>
        <v>138.3110623936752</v>
      </c>
      <c r="X85" s="464">
        <f>X17+SUM(X66:X70)</f>
        <v>108.50221414216814</v>
      </c>
      <c r="Y85" s="464">
        <v>0</v>
      </c>
      <c r="Z85" s="464">
        <v>0</v>
      </c>
      <c r="AA85" s="464">
        <v>0</v>
      </c>
      <c r="AB85" s="464">
        <v>0</v>
      </c>
      <c r="AC85" s="464">
        <v>0</v>
      </c>
      <c r="AD85" s="464">
        <v>0</v>
      </c>
      <c r="AE85" s="464">
        <v>0</v>
      </c>
      <c r="AF85" s="464">
        <v>0</v>
      </c>
      <c r="AG85" s="464">
        <v>0</v>
      </c>
      <c r="AH85" s="464">
        <v>0</v>
      </c>
      <c r="AI85" s="464">
        <v>0</v>
      </c>
      <c r="AJ85" s="464">
        <v>0</v>
      </c>
      <c r="AK85" s="464">
        <v>0</v>
      </c>
      <c r="AL85" s="552" t="s">
        <v>1392</v>
      </c>
      <c r="AM85" s="552"/>
      <c r="AN85" s="552"/>
      <c r="AO85" s="552"/>
    </row>
    <row r="86" spans="3:41">
      <c r="C86" s="21">
        <v>14</v>
      </c>
      <c r="D86" s="6" t="s">
        <v>1619</v>
      </c>
      <c r="E86" s="464">
        <f>E18+E61</f>
        <v>100.80274323289477</v>
      </c>
      <c r="F86" s="464">
        <f t="shared" ref="F86:R86" si="144">F18+F61</f>
        <v>82.418997359758109</v>
      </c>
      <c r="G86" s="464">
        <f t="shared" si="144"/>
        <v>98.698365602513022</v>
      </c>
      <c r="H86" s="464">
        <f t="shared" si="144"/>
        <v>97.531314727551958</v>
      </c>
      <c r="I86" s="464">
        <f t="shared" si="144"/>
        <v>76.798458257686605</v>
      </c>
      <c r="J86" s="464">
        <f t="shared" si="144"/>
        <v>67.506823145341016</v>
      </c>
      <c r="K86" s="464">
        <f t="shared" si="144"/>
        <v>71.113645849017672</v>
      </c>
      <c r="L86" s="464">
        <f t="shared" si="144"/>
        <v>68.619932498612215</v>
      </c>
      <c r="M86" s="464">
        <f t="shared" si="144"/>
        <v>103.75616265325901</v>
      </c>
      <c r="N86" s="464">
        <f t="shared" si="144"/>
        <v>140.9838175638082</v>
      </c>
      <c r="O86" s="464">
        <f t="shared" si="144"/>
        <v>94.272870909940877</v>
      </c>
      <c r="P86" s="464">
        <f t="shared" si="144"/>
        <v>77.896746621322549</v>
      </c>
      <c r="Q86" s="464">
        <f t="shared" si="144"/>
        <v>99.481244181645593</v>
      </c>
      <c r="R86" s="464">
        <f t="shared" si="144"/>
        <v>75.754437641781678</v>
      </c>
      <c r="S86" s="464">
        <f t="shared" ref="S86:Y86" si="145">S18+S61</f>
        <v>47.180236550052257</v>
      </c>
      <c r="T86" s="464">
        <f t="shared" si="145"/>
        <v>60.902075342366146</v>
      </c>
      <c r="U86" s="464">
        <f t="shared" si="145"/>
        <v>68.968400548518858</v>
      </c>
      <c r="V86" s="464">
        <f t="shared" si="145"/>
        <v>75.413672862686553</v>
      </c>
      <c r="W86" s="464">
        <f t="shared" si="145"/>
        <v>83.258654418272641</v>
      </c>
      <c r="X86" s="464">
        <f t="shared" si="145"/>
        <v>44.291569021842385</v>
      </c>
      <c r="Y86" s="464">
        <f t="shared" si="145"/>
        <v>25.307356169973346</v>
      </c>
      <c r="Z86" s="464">
        <f t="shared" ref="Z86:AE86" si="146">Z18+Z61</f>
        <v>21.854184064579105</v>
      </c>
      <c r="AA86" s="464">
        <f t="shared" si="146"/>
        <v>14.064822091105047</v>
      </c>
      <c r="AB86" s="464">
        <f t="shared" si="146"/>
        <v>96.650693991516519</v>
      </c>
      <c r="AC86" s="464">
        <f t="shared" si="146"/>
        <v>104.56173061795673</v>
      </c>
      <c r="AD86" s="464">
        <f t="shared" si="146"/>
        <v>97.170670930244341</v>
      </c>
      <c r="AE86" s="464">
        <f t="shared" si="146"/>
        <v>89.058129614167811</v>
      </c>
      <c r="AF86" s="464">
        <f t="shared" ref="AF86:AH86" si="147">AF18+AF61</f>
        <v>95.345857874319975</v>
      </c>
      <c r="AG86" s="464">
        <f t="shared" si="147"/>
        <v>87.02473028532043</v>
      </c>
      <c r="AH86" s="464">
        <f t="shared" si="147"/>
        <v>89.336451680511502</v>
      </c>
      <c r="AI86" s="464">
        <f t="shared" ref="AI86:AJ86" si="148">AI18+AI61</f>
        <v>80.686474051434871</v>
      </c>
      <c r="AJ86" s="464">
        <f t="shared" si="148"/>
        <v>75.9517957092215</v>
      </c>
      <c r="AK86" s="464">
        <f t="shared" ref="AK86" si="149">AK18+AK61</f>
        <v>83.406560199262358</v>
      </c>
      <c r="AL86" s="552" t="s">
        <v>1916</v>
      </c>
      <c r="AM86" s="552"/>
      <c r="AN86" s="552"/>
      <c r="AO86" s="552"/>
    </row>
    <row r="87" spans="3:41">
      <c r="C87" s="21">
        <v>15</v>
      </c>
      <c r="D87" s="6" t="s">
        <v>1895</v>
      </c>
      <c r="E87" s="464"/>
      <c r="F87" s="464"/>
      <c r="G87" s="464"/>
      <c r="H87" s="464"/>
      <c r="I87" s="464"/>
      <c r="J87" s="464"/>
      <c r="K87" s="464"/>
      <c r="L87" s="464"/>
      <c r="M87" s="464"/>
      <c r="N87" s="464"/>
      <c r="O87" s="464"/>
      <c r="P87" s="464"/>
      <c r="Q87" s="464"/>
      <c r="R87" s="464"/>
      <c r="S87" s="464"/>
      <c r="T87" s="464"/>
      <c r="U87" s="464"/>
      <c r="V87" s="464"/>
      <c r="W87" s="464"/>
      <c r="X87" s="464"/>
      <c r="Y87" s="464"/>
      <c r="Z87" s="464"/>
      <c r="AA87" s="464"/>
      <c r="AB87" s="464"/>
      <c r="AC87" s="464"/>
      <c r="AD87" s="464"/>
      <c r="AE87" s="464"/>
      <c r="AF87" s="464"/>
      <c r="AG87" s="464"/>
      <c r="AH87" s="464"/>
      <c r="AI87" s="464"/>
      <c r="AJ87" s="464"/>
      <c r="AK87" s="464"/>
      <c r="AL87" s="552"/>
      <c r="AM87" s="552"/>
      <c r="AN87" s="552"/>
      <c r="AO87" s="552"/>
    </row>
    <row r="88" spans="3:41">
      <c r="C88" s="21">
        <v>16</v>
      </c>
      <c r="D88" s="463" t="s">
        <v>1738</v>
      </c>
      <c r="E88" s="464">
        <f>E20</f>
        <v>7.0441517976514909</v>
      </c>
      <c r="F88" s="464">
        <f t="shared" ref="F88:R88" si="150">F20</f>
        <v>7.0831999999999997</v>
      </c>
      <c r="G88" s="464">
        <f t="shared" si="150"/>
        <v>7.003591666666666</v>
      </c>
      <c r="H88" s="464">
        <f t="shared" si="150"/>
        <v>6.9239833333333332</v>
      </c>
      <c r="I88" s="464">
        <f t="shared" si="150"/>
        <v>6.8443749999999994</v>
      </c>
      <c r="J88" s="464">
        <f t="shared" si="150"/>
        <v>8.045781250000001</v>
      </c>
      <c r="K88" s="464">
        <f t="shared" si="150"/>
        <v>9.2471875000000008</v>
      </c>
      <c r="L88" s="464">
        <f t="shared" si="150"/>
        <v>10.448593750000002</v>
      </c>
      <c r="M88" s="464">
        <f t="shared" si="150"/>
        <v>11.65</v>
      </c>
      <c r="N88" s="464">
        <f t="shared" si="150"/>
        <v>11.65</v>
      </c>
      <c r="O88" s="464">
        <f t="shared" si="150"/>
        <v>11.65</v>
      </c>
      <c r="P88" s="464">
        <f t="shared" si="150"/>
        <v>11.65</v>
      </c>
      <c r="Q88" s="464">
        <f t="shared" si="150"/>
        <v>11.65</v>
      </c>
      <c r="R88" s="464">
        <f t="shared" si="150"/>
        <v>13.106249999999999</v>
      </c>
      <c r="S88" s="464">
        <f t="shared" ref="S88:T90" si="151">S20</f>
        <v>14.5625</v>
      </c>
      <c r="T88" s="464">
        <f t="shared" si="151"/>
        <v>16.018749999999997</v>
      </c>
      <c r="U88" s="464">
        <f t="shared" ref="U88:W90" si="152">U20</f>
        <v>17.475000000000001</v>
      </c>
      <c r="V88" s="464">
        <f t="shared" si="152"/>
        <v>14.5625</v>
      </c>
      <c r="W88" s="464">
        <f t="shared" si="152"/>
        <v>11.65</v>
      </c>
      <c r="X88" s="464">
        <f t="shared" ref="X88:Y90" si="153">X20</f>
        <v>8.7375000000000007</v>
      </c>
      <c r="Y88" s="464">
        <f t="shared" si="153"/>
        <v>5.8250000000000002</v>
      </c>
      <c r="Z88" s="464">
        <f t="shared" ref="Z88:AA90" si="154">Z20</f>
        <v>5.8250000000000002</v>
      </c>
      <c r="AA88" s="464">
        <f t="shared" si="154"/>
        <v>5.8250000000000002</v>
      </c>
      <c r="AB88" s="464">
        <f t="shared" ref="AB88:AC90" si="155">AB20</f>
        <v>5.8250000000000002</v>
      </c>
      <c r="AC88" s="464">
        <f t="shared" si="155"/>
        <v>5.8250000000000002</v>
      </c>
      <c r="AD88" s="464">
        <f t="shared" ref="AD88:AE90" si="156">AD20</f>
        <v>5.8250000000000002</v>
      </c>
      <c r="AE88" s="464">
        <f t="shared" si="156"/>
        <v>5.8250000000000002</v>
      </c>
      <c r="AF88" s="464">
        <f t="shared" ref="AF88:AH88" si="157">AF20</f>
        <v>5.8250000000000002</v>
      </c>
      <c r="AG88" s="464">
        <f t="shared" si="157"/>
        <v>5.8250000000000002</v>
      </c>
      <c r="AH88" s="464">
        <f t="shared" si="157"/>
        <v>5.8250000000000002</v>
      </c>
      <c r="AI88" s="464">
        <f t="shared" ref="AI88:AJ88" si="158">AI20</f>
        <v>5.8250000000000002</v>
      </c>
      <c r="AJ88" s="464">
        <f t="shared" si="158"/>
        <v>5.8250000000000002</v>
      </c>
      <c r="AK88" s="464">
        <f t="shared" ref="AK88" si="159">AK20</f>
        <v>5.8250000000000002</v>
      </c>
      <c r="AL88" s="552" t="s">
        <v>1392</v>
      </c>
      <c r="AM88" s="552"/>
      <c r="AN88" s="552"/>
      <c r="AO88" s="552"/>
    </row>
    <row r="89" spans="3:41">
      <c r="C89" s="21">
        <v>17</v>
      </c>
      <c r="D89" s="463" t="s">
        <v>1621</v>
      </c>
      <c r="E89" s="464">
        <f>E21</f>
        <v>33.299517999999999</v>
      </c>
      <c r="F89" s="464">
        <f t="shared" ref="F89:R89" si="160">F21</f>
        <v>35.126728</v>
      </c>
      <c r="G89" s="464">
        <f t="shared" si="160"/>
        <v>37.258473000000002</v>
      </c>
      <c r="H89" s="464">
        <f t="shared" si="160"/>
        <v>40.026972999999998</v>
      </c>
      <c r="I89" s="464">
        <f t="shared" si="160"/>
        <v>40.586210000000001</v>
      </c>
      <c r="J89" s="464">
        <f t="shared" si="160"/>
        <v>40.591746999999998</v>
      </c>
      <c r="K89" s="464">
        <f t="shared" si="160"/>
        <v>48.664693</v>
      </c>
      <c r="L89" s="464">
        <f t="shared" si="160"/>
        <v>43.7423</v>
      </c>
      <c r="M89" s="464">
        <f t="shared" si="160"/>
        <v>42.369123999999999</v>
      </c>
      <c r="N89" s="464">
        <f t="shared" si="160"/>
        <v>37.435656999999999</v>
      </c>
      <c r="O89" s="464">
        <f t="shared" si="160"/>
        <v>33.083575000000003</v>
      </c>
      <c r="P89" s="464">
        <f t="shared" si="160"/>
        <v>36.333793999999997</v>
      </c>
      <c r="Q89" s="464">
        <f t="shared" si="160"/>
        <v>32.169969999999999</v>
      </c>
      <c r="R89" s="464">
        <f t="shared" si="160"/>
        <v>31.045959</v>
      </c>
      <c r="S89" s="464">
        <f t="shared" si="151"/>
        <v>30.769109</v>
      </c>
      <c r="T89" s="464">
        <f t="shared" si="151"/>
        <v>31.367453831000002</v>
      </c>
      <c r="U89" s="464">
        <f t="shared" si="152"/>
        <v>26.145730610999998</v>
      </c>
      <c r="V89" s="464">
        <f t="shared" si="152"/>
        <v>21.886576082000001</v>
      </c>
      <c r="W89" s="464">
        <f t="shared" si="152"/>
        <v>19.142239549999999</v>
      </c>
      <c r="X89" s="464">
        <f t="shared" si="153"/>
        <v>12.222667260999998</v>
      </c>
      <c r="Y89" s="464">
        <f t="shared" si="153"/>
        <v>17.082724715000001</v>
      </c>
      <c r="Z89" s="464">
        <f t="shared" si="154"/>
        <v>15.074953145</v>
      </c>
      <c r="AA89" s="464">
        <f t="shared" si="154"/>
        <v>15.291095477000001</v>
      </c>
      <c r="AB89" s="464">
        <f t="shared" si="155"/>
        <v>16.488781799000002</v>
      </c>
      <c r="AC89" s="464">
        <f t="shared" si="155"/>
        <v>14.783479928</v>
      </c>
      <c r="AD89" s="464">
        <f t="shared" si="156"/>
        <v>12.357388007999999</v>
      </c>
      <c r="AE89" s="464">
        <f t="shared" si="156"/>
        <v>12.84910683</v>
      </c>
      <c r="AF89" s="464">
        <f t="shared" ref="AF89:AH89" si="161">AF21</f>
        <v>10.161640824999997</v>
      </c>
      <c r="AG89" s="464">
        <f t="shared" si="161"/>
        <v>12.411722589</v>
      </c>
      <c r="AH89" s="464">
        <f t="shared" si="161"/>
        <v>10.423690423999998</v>
      </c>
      <c r="AI89" s="464">
        <f t="shared" ref="AI89:AJ89" si="162">AI21</f>
        <v>9.2053898509999996</v>
      </c>
      <c r="AJ89" s="464">
        <f t="shared" si="162"/>
        <v>11.791190998999999</v>
      </c>
      <c r="AK89" s="464">
        <f t="shared" ref="AK89" si="163">AK21</f>
        <v>13.038350416</v>
      </c>
      <c r="AL89" s="552" t="s">
        <v>1621</v>
      </c>
      <c r="AM89" s="552"/>
      <c r="AN89" s="552"/>
      <c r="AO89" s="552"/>
    </row>
    <row r="90" spans="3:41">
      <c r="C90" s="21">
        <v>18</v>
      </c>
      <c r="D90" s="463" t="s">
        <v>1614</v>
      </c>
      <c r="E90" s="464">
        <f>E22</f>
        <v>137.83467599999997</v>
      </c>
      <c r="F90" s="464">
        <f t="shared" ref="F90:R90" si="164">F22</f>
        <v>152.626068</v>
      </c>
      <c r="G90" s="464">
        <f t="shared" si="164"/>
        <v>100.062144</v>
      </c>
      <c r="H90" s="464">
        <f t="shared" si="164"/>
        <v>94.718232</v>
      </c>
      <c r="I90" s="464">
        <f t="shared" si="164"/>
        <v>105.85234800000001</v>
      </c>
      <c r="J90" s="464">
        <f t="shared" si="164"/>
        <v>97.123571999999996</v>
      </c>
      <c r="K90" s="464">
        <f t="shared" si="164"/>
        <v>89.032355999999993</v>
      </c>
      <c r="L90" s="464">
        <f t="shared" si="164"/>
        <v>97.749539999999996</v>
      </c>
      <c r="M90" s="464">
        <f t="shared" si="164"/>
        <v>118.98608400000001</v>
      </c>
      <c r="N90" s="464">
        <f t="shared" si="164"/>
        <v>111.90916799999999</v>
      </c>
      <c r="O90" s="464">
        <f t="shared" si="164"/>
        <v>119.20633199999999</v>
      </c>
      <c r="P90" s="464">
        <f t="shared" si="164"/>
        <v>124.9038</v>
      </c>
      <c r="Q90" s="464">
        <f t="shared" si="164"/>
        <v>134.17740000000001</v>
      </c>
      <c r="R90" s="464">
        <f t="shared" si="164"/>
        <v>125.964468</v>
      </c>
      <c r="S90" s="464">
        <f t="shared" si="151"/>
        <v>113.421924</v>
      </c>
      <c r="T90" s="464">
        <f t="shared" si="151"/>
        <v>112.79127862799999</v>
      </c>
      <c r="U90" s="464">
        <f t="shared" si="152"/>
        <v>136.03287348000001</v>
      </c>
      <c r="V90" s="464">
        <f t="shared" si="152"/>
        <v>133.47382356</v>
      </c>
      <c r="W90" s="464">
        <f t="shared" si="152"/>
        <v>142.028916624</v>
      </c>
      <c r="X90" s="464">
        <f t="shared" si="153"/>
        <v>151.82563460399999</v>
      </c>
      <c r="Y90" s="464">
        <f t="shared" si="153"/>
        <v>158.69992823999999</v>
      </c>
      <c r="Z90" s="464">
        <f t="shared" si="154"/>
        <v>164.74156271999999</v>
      </c>
      <c r="AA90" s="464">
        <f t="shared" si="154"/>
        <v>161.582447124</v>
      </c>
      <c r="AB90" s="464">
        <f t="shared" si="155"/>
        <v>171.16153109999999</v>
      </c>
      <c r="AC90" s="464">
        <f t="shared" si="155"/>
        <v>182.74043793600001</v>
      </c>
      <c r="AD90" s="464">
        <f t="shared" si="156"/>
        <v>188.926108812</v>
      </c>
      <c r="AE90" s="464">
        <f t="shared" si="156"/>
        <v>191.34131360399999</v>
      </c>
      <c r="AF90" s="464">
        <f t="shared" ref="AF90:AH90" si="165">AF22</f>
        <v>198.81032320799997</v>
      </c>
      <c r="AG90" s="464">
        <f t="shared" si="165"/>
        <v>197.967787668</v>
      </c>
      <c r="AH90" s="464">
        <f t="shared" si="165"/>
        <v>180.154361268</v>
      </c>
      <c r="AI90" s="464">
        <f t="shared" ref="AI90:AJ90" si="166">AI22</f>
        <v>170.665492032</v>
      </c>
      <c r="AJ90" s="464">
        <f t="shared" si="166"/>
        <v>170.80425406800001</v>
      </c>
      <c r="AK90" s="464">
        <f t="shared" ref="AK90" si="167">AK22</f>
        <v>183.38850028799999</v>
      </c>
      <c r="AL90" s="552" t="s">
        <v>1392</v>
      </c>
      <c r="AM90" s="552"/>
      <c r="AN90" s="552"/>
      <c r="AO90" s="552"/>
    </row>
    <row r="91" spans="3:41">
      <c r="C91" s="21">
        <v>19</v>
      </c>
      <c r="D91" s="5" t="s">
        <v>1445</v>
      </c>
      <c r="E91" s="73">
        <f t="shared" ref="E91:AK91" si="168">SUM(E92)</f>
        <v>176</v>
      </c>
      <c r="F91" s="73">
        <f t="shared" si="168"/>
        <v>157.44999999999999</v>
      </c>
      <c r="G91" s="73">
        <f t="shared" si="168"/>
        <v>160.52699999999996</v>
      </c>
      <c r="H91" s="73">
        <f t="shared" si="168"/>
        <v>163.458</v>
      </c>
      <c r="I91" s="73">
        <f t="shared" si="168"/>
        <v>170.846</v>
      </c>
      <c r="J91" s="73">
        <f t="shared" si="168"/>
        <v>167.91300000000001</v>
      </c>
      <c r="K91" s="73">
        <f t="shared" si="168"/>
        <v>162.95699999999999</v>
      </c>
      <c r="L91" s="73">
        <f t="shared" si="168"/>
        <v>172.14599999999999</v>
      </c>
      <c r="M91" s="73">
        <f t="shared" si="168"/>
        <v>180.21199999999999</v>
      </c>
      <c r="N91" s="73">
        <f t="shared" si="168"/>
        <v>182.09700000000001</v>
      </c>
      <c r="O91" s="73">
        <f t="shared" si="168"/>
        <v>179.36600000000001</v>
      </c>
      <c r="P91" s="73">
        <f t="shared" si="168"/>
        <v>164.33899999999997</v>
      </c>
      <c r="Q91" s="73">
        <f t="shared" si="168"/>
        <v>162.392</v>
      </c>
      <c r="R91" s="73">
        <f t="shared" si="168"/>
        <v>150.13399999999999</v>
      </c>
      <c r="S91" s="73">
        <f t="shared" si="168"/>
        <v>152.102</v>
      </c>
      <c r="T91" s="73">
        <f t="shared" si="168"/>
        <v>151.30699999999999</v>
      </c>
      <c r="U91" s="73">
        <f t="shared" si="168"/>
        <v>147.41399999999999</v>
      </c>
      <c r="V91" s="73">
        <f t="shared" si="168"/>
        <v>152.23099999999999</v>
      </c>
      <c r="W91" s="73">
        <f t="shared" si="168"/>
        <v>141.33000000000001</v>
      </c>
      <c r="X91" s="73">
        <f t="shared" si="168"/>
        <v>127.06500000000001</v>
      </c>
      <c r="Y91" s="73">
        <f t="shared" si="168"/>
        <v>154.773</v>
      </c>
      <c r="Z91" s="73">
        <f t="shared" si="168"/>
        <v>148.37200000000001</v>
      </c>
      <c r="AA91" s="73">
        <f t="shared" si="168"/>
        <v>135.40799999999999</v>
      </c>
      <c r="AB91" s="73">
        <f t="shared" si="168"/>
        <v>143.36099999999999</v>
      </c>
      <c r="AC91" s="73">
        <f t="shared" si="168"/>
        <v>149.36099999999999</v>
      </c>
      <c r="AD91" s="73">
        <f t="shared" si="168"/>
        <v>162.81100000000001</v>
      </c>
      <c r="AE91" s="73">
        <f t="shared" si="168"/>
        <v>154.351</v>
      </c>
      <c r="AF91" s="73">
        <f t="shared" si="168"/>
        <v>141.983</v>
      </c>
      <c r="AG91" s="73">
        <f t="shared" si="168"/>
        <v>136.98599999999999</v>
      </c>
      <c r="AH91" s="73">
        <f t="shared" si="168"/>
        <v>131.32900000000001</v>
      </c>
      <c r="AI91" s="73">
        <f t="shared" si="168"/>
        <v>115.61499999999999</v>
      </c>
      <c r="AJ91" s="73">
        <f t="shared" si="168"/>
        <v>119.03799999999998</v>
      </c>
      <c r="AK91" s="73">
        <f t="shared" si="168"/>
        <v>125.386</v>
      </c>
      <c r="AL91" s="552"/>
      <c r="AM91" s="552"/>
      <c r="AN91" s="552"/>
      <c r="AO91" s="552"/>
    </row>
    <row r="92" spans="3:41">
      <c r="C92" s="21">
        <v>20</v>
      </c>
      <c r="D92" s="6" t="s">
        <v>1610</v>
      </c>
      <c r="E92" s="464">
        <f>E24</f>
        <v>176</v>
      </c>
      <c r="F92" s="464">
        <f t="shared" ref="F92:S92" si="169">F24</f>
        <v>157.44999999999999</v>
      </c>
      <c r="G92" s="464">
        <f t="shared" si="169"/>
        <v>160.52699999999996</v>
      </c>
      <c r="H92" s="464">
        <f t="shared" si="169"/>
        <v>163.458</v>
      </c>
      <c r="I92" s="464">
        <f t="shared" si="169"/>
        <v>170.846</v>
      </c>
      <c r="J92" s="464">
        <f t="shared" si="169"/>
        <v>167.91300000000001</v>
      </c>
      <c r="K92" s="464">
        <f t="shared" si="169"/>
        <v>162.95699999999999</v>
      </c>
      <c r="L92" s="464">
        <f t="shared" si="169"/>
        <v>172.14599999999999</v>
      </c>
      <c r="M92" s="464">
        <f t="shared" si="169"/>
        <v>180.21199999999999</v>
      </c>
      <c r="N92" s="464">
        <f t="shared" si="169"/>
        <v>182.09700000000001</v>
      </c>
      <c r="O92" s="464">
        <f t="shared" si="169"/>
        <v>179.36600000000001</v>
      </c>
      <c r="P92" s="464">
        <f t="shared" si="169"/>
        <v>164.33899999999997</v>
      </c>
      <c r="Q92" s="464">
        <f t="shared" si="169"/>
        <v>162.392</v>
      </c>
      <c r="R92" s="464">
        <f t="shared" si="169"/>
        <v>150.13399999999999</v>
      </c>
      <c r="S92" s="464">
        <f t="shared" si="169"/>
        <v>152.102</v>
      </c>
      <c r="T92" s="464">
        <f t="shared" ref="T92:Y92" si="170">T24</f>
        <v>151.30699999999999</v>
      </c>
      <c r="U92" s="464">
        <f t="shared" si="170"/>
        <v>147.41399999999999</v>
      </c>
      <c r="V92" s="464">
        <f t="shared" si="170"/>
        <v>152.23099999999999</v>
      </c>
      <c r="W92" s="464">
        <f t="shared" si="170"/>
        <v>141.33000000000001</v>
      </c>
      <c r="X92" s="464">
        <f t="shared" si="170"/>
        <v>127.06500000000001</v>
      </c>
      <c r="Y92" s="464">
        <f t="shared" si="170"/>
        <v>154.773</v>
      </c>
      <c r="Z92" s="464">
        <f t="shared" ref="Z92:AE92" si="171">Z24</f>
        <v>148.37200000000001</v>
      </c>
      <c r="AA92" s="464">
        <f t="shared" si="171"/>
        <v>135.40799999999999</v>
      </c>
      <c r="AB92" s="464">
        <f t="shared" si="171"/>
        <v>143.36099999999999</v>
      </c>
      <c r="AC92" s="464">
        <f t="shared" si="171"/>
        <v>149.36099999999999</v>
      </c>
      <c r="AD92" s="464">
        <f t="shared" si="171"/>
        <v>162.81100000000001</v>
      </c>
      <c r="AE92" s="464">
        <f t="shared" si="171"/>
        <v>154.351</v>
      </c>
      <c r="AF92" s="464">
        <f t="shared" ref="AF92:AH92" si="172">AF24</f>
        <v>141.983</v>
      </c>
      <c r="AG92" s="464">
        <f t="shared" si="172"/>
        <v>136.98599999999999</v>
      </c>
      <c r="AH92" s="464">
        <f t="shared" si="172"/>
        <v>131.32900000000001</v>
      </c>
      <c r="AI92" s="464">
        <f t="shared" ref="AI92:AJ92" si="173">AI24</f>
        <v>115.61499999999999</v>
      </c>
      <c r="AJ92" s="464">
        <f t="shared" si="173"/>
        <v>119.03799999999998</v>
      </c>
      <c r="AK92" s="464">
        <f t="shared" ref="AK92" si="174">AK24</f>
        <v>125.386</v>
      </c>
      <c r="AL92" s="552" t="s">
        <v>1610</v>
      </c>
      <c r="AM92" s="552"/>
      <c r="AN92" s="552"/>
      <c r="AO92" s="552"/>
    </row>
    <row r="93" spans="3:41">
      <c r="C93" s="21">
        <v>21</v>
      </c>
      <c r="D93" s="5" t="s">
        <v>1476</v>
      </c>
      <c r="E93" s="504">
        <f t="shared" ref="E93:S93" si="175">SUM(E94:E95)</f>
        <v>50.817426838388144</v>
      </c>
      <c r="F93" s="504">
        <f t="shared" si="175"/>
        <v>64.392210830673108</v>
      </c>
      <c r="G93" s="504">
        <f t="shared" si="175"/>
        <v>35.584726269756771</v>
      </c>
      <c r="H93" s="504">
        <f t="shared" si="175"/>
        <v>38.82687997842676</v>
      </c>
      <c r="I93" s="504">
        <f t="shared" si="175"/>
        <v>30.384964583127942</v>
      </c>
      <c r="J93" s="504">
        <f t="shared" si="175"/>
        <v>55.440855107745996</v>
      </c>
      <c r="K93" s="504">
        <f t="shared" si="175"/>
        <v>72.741515904336197</v>
      </c>
      <c r="L93" s="504">
        <f t="shared" si="175"/>
        <v>77.404311671140903</v>
      </c>
      <c r="M93" s="504">
        <f t="shared" si="175"/>
        <v>76.60236589583549</v>
      </c>
      <c r="N93" s="504">
        <f t="shared" si="175"/>
        <v>135.24424760711611</v>
      </c>
      <c r="O93" s="504">
        <f t="shared" si="175"/>
        <v>140.82437068440578</v>
      </c>
      <c r="P93" s="504">
        <f t="shared" si="175"/>
        <v>85.513379103072083</v>
      </c>
      <c r="Q93" s="504">
        <f t="shared" si="175"/>
        <v>140.23174983666777</v>
      </c>
      <c r="R93" s="504">
        <f t="shared" si="175"/>
        <v>120.62307560578336</v>
      </c>
      <c r="S93" s="504">
        <f t="shared" si="175"/>
        <v>113.39347688504112</v>
      </c>
      <c r="T93" s="504">
        <f t="shared" ref="T93:Y93" si="176">SUM(T94:T95)</f>
        <v>114.92968618294523</v>
      </c>
      <c r="U93" s="504">
        <f t="shared" si="176"/>
        <v>98.559137302910813</v>
      </c>
      <c r="V93" s="504">
        <f t="shared" si="176"/>
        <v>110.98064553734055</v>
      </c>
      <c r="W93" s="504">
        <f t="shared" si="176"/>
        <v>78.017961025666509</v>
      </c>
      <c r="X93" s="504">
        <f t="shared" si="176"/>
        <v>40.347229932612429</v>
      </c>
      <c r="Y93" s="504">
        <f t="shared" si="176"/>
        <v>27.417366214417783</v>
      </c>
      <c r="Z93" s="504">
        <f t="shared" ref="Z93:AE93" si="177">SUM(Z94:Z95)</f>
        <v>14.600021119828765</v>
      </c>
      <c r="AA93" s="504">
        <f t="shared" si="177"/>
        <v>17.620195201115784</v>
      </c>
      <c r="AB93" s="504">
        <f t="shared" si="177"/>
        <v>10.535102645808543</v>
      </c>
      <c r="AC93" s="504">
        <f t="shared" si="177"/>
        <v>10.65345324133561</v>
      </c>
      <c r="AD93" s="504">
        <f t="shared" si="177"/>
        <v>10.348744679691782</v>
      </c>
      <c r="AE93" s="504">
        <f t="shared" si="177"/>
        <v>10.512288057953826</v>
      </c>
      <c r="AF93" s="504">
        <f t="shared" ref="AF93:AH93" si="178">SUM(AF94:AF95)</f>
        <v>3.4910608509255567</v>
      </c>
      <c r="AG93" s="504">
        <f t="shared" si="178"/>
        <v>3.5746380564039066</v>
      </c>
      <c r="AH93" s="504">
        <f t="shared" si="178"/>
        <v>3.6425698478538049</v>
      </c>
      <c r="AI93" s="504">
        <f t="shared" ref="AI93:AJ93" si="179">SUM(AI94:AI95)</f>
        <v>1.0447859369999999</v>
      </c>
      <c r="AJ93" s="504">
        <f t="shared" si="179"/>
        <v>1.0453579184999999</v>
      </c>
      <c r="AK93" s="504">
        <f t="shared" ref="AK93" si="180">SUM(AK94:AK95)</f>
        <v>1.0453579184999999</v>
      </c>
      <c r="AL93" s="552"/>
      <c r="AM93" s="552"/>
      <c r="AN93" s="552"/>
      <c r="AO93" s="552"/>
    </row>
    <row r="94" spans="3:41">
      <c r="C94" s="21">
        <v>22</v>
      </c>
      <c r="D94" s="6" t="s">
        <v>1610</v>
      </c>
      <c r="E94" s="464">
        <f t="shared" ref="E94:Q94" si="181">E26</f>
        <v>0.70887719999999999</v>
      </c>
      <c r="F94" s="464">
        <f t="shared" si="181"/>
        <v>0.59589989625000006</v>
      </c>
      <c r="G94" s="464">
        <f t="shared" si="181"/>
        <v>1.4709201899999997</v>
      </c>
      <c r="H94" s="464">
        <f t="shared" si="181"/>
        <v>1.7262798491609597</v>
      </c>
      <c r="I94" s="464">
        <f t="shared" si="181"/>
        <v>1.8873855450000001</v>
      </c>
      <c r="J94" s="464">
        <f t="shared" si="181"/>
        <v>2.0092238137500003</v>
      </c>
      <c r="K94" s="464">
        <f t="shared" si="181"/>
        <v>1.4692859956352455</v>
      </c>
      <c r="L94" s="464">
        <f t="shared" si="181"/>
        <v>2.4699939937500002</v>
      </c>
      <c r="M94" s="464">
        <f t="shared" si="181"/>
        <v>1.2671179950000002</v>
      </c>
      <c r="N94" s="464">
        <f t="shared" si="181"/>
        <v>1.3778800575000003</v>
      </c>
      <c r="O94" s="464">
        <f t="shared" si="181"/>
        <v>3.1041098278483639</v>
      </c>
      <c r="P94" s="464">
        <f t="shared" si="181"/>
        <v>2.514626553071917</v>
      </c>
      <c r="Q94" s="464">
        <f t="shared" si="181"/>
        <v>3.0250545519965732</v>
      </c>
      <c r="R94" s="464">
        <f t="shared" ref="R94:T95" si="182">R26</f>
        <v>4.8564218045650707</v>
      </c>
      <c r="S94" s="464">
        <f t="shared" si="182"/>
        <v>5.072055102459017</v>
      </c>
      <c r="T94" s="464">
        <f t="shared" si="182"/>
        <v>4.5822113527397264</v>
      </c>
      <c r="U94" s="464">
        <f t="shared" ref="U94:W95" si="183">U26</f>
        <v>6.1902337340753419</v>
      </c>
      <c r="V94" s="464">
        <f t="shared" si="183"/>
        <v>5.9368640874089742</v>
      </c>
      <c r="W94" s="464">
        <f t="shared" si="183"/>
        <v>2.6563538523058252</v>
      </c>
      <c r="X94" s="464">
        <f t="shared" ref="X94:Z95" si="184">X26</f>
        <v>1.0411633874999999</v>
      </c>
      <c r="Y94" s="464">
        <f t="shared" si="184"/>
        <v>1.0411633874999999</v>
      </c>
      <c r="Z94" s="464">
        <f t="shared" si="184"/>
        <v>1.0411633874999999</v>
      </c>
      <c r="AA94" s="464">
        <f t="shared" ref="AA94:AC95" si="185">AA26</f>
        <v>1.0411633874999999</v>
      </c>
      <c r="AB94" s="464">
        <f t="shared" si="185"/>
        <v>1.0411633874999999</v>
      </c>
      <c r="AC94" s="464">
        <f t="shared" si="185"/>
        <v>1.0411633874999999</v>
      </c>
      <c r="AD94" s="464">
        <f t="shared" ref="AD94:AE95" si="186">AD26</f>
        <v>1.0411633874999999</v>
      </c>
      <c r="AE94" s="464">
        <f t="shared" si="186"/>
        <v>1.0411633874999999</v>
      </c>
      <c r="AF94" s="464">
        <f t="shared" ref="AF94:AH94" si="187">AF26</f>
        <v>1.0411633874999999</v>
      </c>
      <c r="AG94" s="464">
        <f t="shared" si="187"/>
        <v>1.0411633874999999</v>
      </c>
      <c r="AH94" s="464">
        <f t="shared" si="187"/>
        <v>1.0411633874999999</v>
      </c>
      <c r="AI94" s="464">
        <f t="shared" ref="AI94:AJ94" si="188">AI26</f>
        <v>1.0411633874999999</v>
      </c>
      <c r="AJ94" s="464">
        <f t="shared" si="188"/>
        <v>1.0411633874999999</v>
      </c>
      <c r="AK94" s="464">
        <f t="shared" ref="AK94" si="189">AK26</f>
        <v>1.0411633874999999</v>
      </c>
      <c r="AL94" s="552" t="s">
        <v>1610</v>
      </c>
      <c r="AM94" s="552"/>
      <c r="AN94" s="552"/>
      <c r="AO94" s="552"/>
    </row>
    <row r="95" spans="3:41">
      <c r="C95" s="21">
        <v>23</v>
      </c>
      <c r="D95" s="6" t="s">
        <v>1785</v>
      </c>
      <c r="E95" s="464">
        <f t="shared" ref="E95:Q95" si="190">E27</f>
        <v>50.108549638388141</v>
      </c>
      <c r="F95" s="464">
        <f t="shared" si="190"/>
        <v>63.796310934423104</v>
      </c>
      <c r="G95" s="464">
        <f t="shared" si="190"/>
        <v>34.11380607975677</v>
      </c>
      <c r="H95" s="464">
        <f t="shared" si="190"/>
        <v>37.1006001292658</v>
      </c>
      <c r="I95" s="464">
        <f t="shared" si="190"/>
        <v>28.497579038127942</v>
      </c>
      <c r="J95" s="464">
        <f t="shared" si="190"/>
        <v>53.431631293995999</v>
      </c>
      <c r="K95" s="464">
        <f t="shared" si="190"/>
        <v>71.27222990870095</v>
      </c>
      <c r="L95" s="464">
        <f t="shared" si="190"/>
        <v>74.934317677390908</v>
      </c>
      <c r="M95" s="464">
        <f t="shared" si="190"/>
        <v>75.335247900835483</v>
      </c>
      <c r="N95" s="464">
        <f t="shared" si="190"/>
        <v>133.86636754961611</v>
      </c>
      <c r="O95" s="464">
        <f t="shared" si="190"/>
        <v>137.72026085655742</v>
      </c>
      <c r="P95" s="464">
        <f t="shared" si="190"/>
        <v>82.998752550000162</v>
      </c>
      <c r="Q95" s="464">
        <f t="shared" si="190"/>
        <v>137.20669528467121</v>
      </c>
      <c r="R95" s="464">
        <f t="shared" si="182"/>
        <v>115.76665380121828</v>
      </c>
      <c r="S95" s="464">
        <f t="shared" si="182"/>
        <v>108.32142178258211</v>
      </c>
      <c r="T95" s="464">
        <f t="shared" si="182"/>
        <v>110.34747483020551</v>
      </c>
      <c r="U95" s="464">
        <f t="shared" si="183"/>
        <v>92.368903568835464</v>
      </c>
      <c r="V95" s="464">
        <f t="shared" si="183"/>
        <v>105.04378144993157</v>
      </c>
      <c r="W95" s="464">
        <f t="shared" si="183"/>
        <v>75.361607173360682</v>
      </c>
      <c r="X95" s="464">
        <f t="shared" si="184"/>
        <v>39.306066545112429</v>
      </c>
      <c r="Y95" s="464">
        <f t="shared" si="184"/>
        <v>26.376202826917783</v>
      </c>
      <c r="Z95" s="464">
        <f t="shared" si="184"/>
        <v>13.558857732328766</v>
      </c>
      <c r="AA95" s="464">
        <f t="shared" si="185"/>
        <v>16.579031813615785</v>
      </c>
      <c r="AB95" s="464">
        <f t="shared" si="185"/>
        <v>9.4939392583085436</v>
      </c>
      <c r="AC95" s="464">
        <f t="shared" si="185"/>
        <v>9.6122898538356107</v>
      </c>
      <c r="AD95" s="464">
        <f t="shared" si="186"/>
        <v>9.3075812921917827</v>
      </c>
      <c r="AE95" s="464">
        <f t="shared" si="186"/>
        <v>9.4711246704538272</v>
      </c>
      <c r="AF95" s="464">
        <f t="shared" ref="AF95:AH95" si="191">AF27</f>
        <v>2.449897463425557</v>
      </c>
      <c r="AG95" s="464">
        <f t="shared" si="191"/>
        <v>2.5334746689039065</v>
      </c>
      <c r="AH95" s="464">
        <f t="shared" si="191"/>
        <v>2.6014064603538047</v>
      </c>
      <c r="AI95" s="464">
        <f t="shared" ref="AI95:AJ95" si="192">AI27</f>
        <v>3.6225494999999998E-3</v>
      </c>
      <c r="AJ95" s="464">
        <f t="shared" si="192"/>
        <v>4.1945309999999996E-3</v>
      </c>
      <c r="AK95" s="464">
        <f t="shared" ref="AK95" si="193">AK27</f>
        <v>4.1945309999999996E-3</v>
      </c>
      <c r="AL95" s="552" t="s">
        <v>1392</v>
      </c>
      <c r="AM95" s="552"/>
      <c r="AN95" s="552"/>
      <c r="AO95" s="552"/>
    </row>
    <row r="96" spans="3:41">
      <c r="C96" s="21">
        <v>24</v>
      </c>
      <c r="D96" s="4" t="s">
        <v>1480</v>
      </c>
      <c r="E96" s="81">
        <f t="shared" ref="E96:S96" si="194">E74+E91+E93</f>
        <v>4418.63969122871</v>
      </c>
      <c r="F96" s="81">
        <f t="shared" si="194"/>
        <v>4432.2501255299594</v>
      </c>
      <c r="G96" s="81">
        <f t="shared" si="194"/>
        <v>4573.623496274955</v>
      </c>
      <c r="H96" s="81">
        <f t="shared" si="194"/>
        <v>4489.2358845142053</v>
      </c>
      <c r="I96" s="81">
        <f t="shared" si="194"/>
        <v>4811.9737279812534</v>
      </c>
      <c r="J96" s="81">
        <f t="shared" si="194"/>
        <v>4786.5983341162855</v>
      </c>
      <c r="K96" s="81">
        <f t="shared" si="194"/>
        <v>4863.1606381657757</v>
      </c>
      <c r="L96" s="81">
        <f t="shared" si="194"/>
        <v>5123.0286323630999</v>
      </c>
      <c r="M96" s="81">
        <f t="shared" si="194"/>
        <v>5311.0728802066105</v>
      </c>
      <c r="N96" s="81">
        <f t="shared" si="194"/>
        <v>5783.3322956616676</v>
      </c>
      <c r="O96" s="81">
        <f t="shared" si="194"/>
        <v>5338.5620177596138</v>
      </c>
      <c r="P96" s="81">
        <f t="shared" si="194"/>
        <v>5124.4584304220816</v>
      </c>
      <c r="Q96" s="81">
        <f t="shared" si="194"/>
        <v>5245.9651527513342</v>
      </c>
      <c r="R96" s="81">
        <f t="shared" si="194"/>
        <v>5016.954874053903</v>
      </c>
      <c r="S96" s="81">
        <f t="shared" si="194"/>
        <v>5418.3531302962847</v>
      </c>
      <c r="T96" s="81">
        <f t="shared" ref="T96:Y96" si="195">T74+T91+T93</f>
        <v>5283.8563891075974</v>
      </c>
      <c r="U96" s="81">
        <f t="shared" si="195"/>
        <v>5300.9394390458583</v>
      </c>
      <c r="V96" s="81">
        <f t="shared" si="195"/>
        <v>5151.3954421957887</v>
      </c>
      <c r="W96" s="81">
        <f t="shared" si="195"/>
        <v>4755.7235762254586</v>
      </c>
      <c r="X96" s="81">
        <f t="shared" si="195"/>
        <v>4436.3510108284236</v>
      </c>
      <c r="Y96" s="81">
        <f t="shared" si="195"/>
        <v>4662.2000913884258</v>
      </c>
      <c r="Z96" s="81">
        <f t="shared" ref="Z96:AE96" si="196">Z74+Z91+Z93</f>
        <v>4606.9039876766165</v>
      </c>
      <c r="AA96" s="81">
        <f t="shared" si="196"/>
        <v>4478.7601415632626</v>
      </c>
      <c r="AB96" s="81">
        <f t="shared" si="196"/>
        <v>4737.3671631145717</v>
      </c>
      <c r="AC96" s="81">
        <f t="shared" si="196"/>
        <v>4716.3991876889868</v>
      </c>
      <c r="AD96" s="81">
        <f t="shared" si="196"/>
        <v>4962.1224008008085</v>
      </c>
      <c r="AE96" s="81">
        <f t="shared" si="196"/>
        <v>4947.1455253460481</v>
      </c>
      <c r="AF96" s="81">
        <f t="shared" ref="AF96:AG96" si="197">AF74+AF91+AF93</f>
        <v>5153.8915672327048</v>
      </c>
      <c r="AG96" s="81">
        <f t="shared" si="197"/>
        <v>5481.4491155227088</v>
      </c>
      <c r="AH96" s="81">
        <f>AH74+AH91+AH93</f>
        <v>5456.4908224584424</v>
      </c>
      <c r="AI96" s="81">
        <f>AI74+AI91+AI93</f>
        <v>5402.8575156006173</v>
      </c>
      <c r="AJ96" s="81">
        <f>AJ74+AJ91+AJ93</f>
        <v>5639.2500522817945</v>
      </c>
      <c r="AK96" s="81">
        <f>AK74+AK91+AK93</f>
        <v>5674.9105445239302</v>
      </c>
      <c r="AL96" s="5"/>
      <c r="AM96" s="5"/>
      <c r="AN96" s="5"/>
      <c r="AO96" s="5"/>
    </row>
    <row r="97" spans="2:45" hidden="1">
      <c r="C97" s="21"/>
      <c r="D97" s="550" t="s">
        <v>1919</v>
      </c>
      <c r="E97" s="551">
        <f>E96-(E28+SUM(E56:E61)+SUM(E65:E70))</f>
        <v>0</v>
      </c>
      <c r="F97" s="551">
        <f t="shared" ref="F97:W97" si="198">F96-(F28+SUM(F56:F61)+SUM(F65:F70))</f>
        <v>0</v>
      </c>
      <c r="G97" s="551">
        <f t="shared" si="198"/>
        <v>0</v>
      </c>
      <c r="H97" s="551">
        <f t="shared" si="198"/>
        <v>0</v>
      </c>
      <c r="I97" s="551">
        <f t="shared" si="198"/>
        <v>0</v>
      </c>
      <c r="J97" s="551">
        <f t="shared" si="198"/>
        <v>0</v>
      </c>
      <c r="K97" s="551">
        <f t="shared" si="198"/>
        <v>0</v>
      </c>
      <c r="L97" s="551">
        <f t="shared" si="198"/>
        <v>4.0898492055212046</v>
      </c>
      <c r="M97" s="551">
        <f t="shared" si="198"/>
        <v>0</v>
      </c>
      <c r="N97" s="551">
        <f t="shared" si="198"/>
        <v>0</v>
      </c>
      <c r="O97" s="551">
        <f t="shared" si="198"/>
        <v>0</v>
      </c>
      <c r="P97" s="551">
        <f t="shared" si="198"/>
        <v>0</v>
      </c>
      <c r="Q97" s="551">
        <f t="shared" si="198"/>
        <v>0</v>
      </c>
      <c r="R97" s="551">
        <f t="shared" si="198"/>
        <v>0</v>
      </c>
      <c r="S97" s="551">
        <f t="shared" si="198"/>
        <v>0</v>
      </c>
      <c r="T97" s="551">
        <f t="shared" si="198"/>
        <v>0</v>
      </c>
      <c r="U97" s="551">
        <f t="shared" si="198"/>
        <v>0</v>
      </c>
      <c r="V97" s="551">
        <f t="shared" si="198"/>
        <v>0</v>
      </c>
      <c r="W97" s="551">
        <f t="shared" si="198"/>
        <v>0</v>
      </c>
      <c r="X97" s="551">
        <f t="shared" ref="X97:AC97" si="199">X96-(X28+SUM(X56:X61)+SUM(X65:X70))</f>
        <v>0</v>
      </c>
      <c r="Y97" s="551">
        <f>Y96-(Y28+SUM(Y56:Y61)+SUM(Y65:Y70))</f>
        <v>7.8602793934451256</v>
      </c>
      <c r="Z97" s="551">
        <f t="shared" si="199"/>
        <v>14.349292743979277</v>
      </c>
      <c r="AA97" s="551">
        <f t="shared" si="199"/>
        <v>9.1124764593077998</v>
      </c>
      <c r="AB97" s="551">
        <f t="shared" si="199"/>
        <v>13.971158166834357</v>
      </c>
      <c r="AC97" s="551">
        <f t="shared" si="199"/>
        <v>13.41182205055793</v>
      </c>
      <c r="AD97" s="551">
        <f>AD96-(AD28+SUM(AD56:AD61)+SUM(AD65:AD70))</f>
        <v>9.7227909834709862</v>
      </c>
      <c r="AE97" s="551">
        <f>AE96-(AE28+SUM(AE56:AE61)+SUM(AE65:AE70))</f>
        <v>-1.5087692304468874</v>
      </c>
      <c r="AF97" s="551">
        <f>AF96-(AF28+SUM(AF56:AF61)+SUM(AF65:AF70))</f>
        <v>2.900956796374885</v>
      </c>
      <c r="AG97" s="551">
        <f>AG96-(AG28+SUM(AG56:AG61)+SUM(AG65:AG70))</f>
        <v>1.8674525401802384</v>
      </c>
      <c r="AH97" s="551"/>
      <c r="AI97" s="551"/>
      <c r="AJ97" s="551"/>
      <c r="AK97" s="551"/>
      <c r="AL97" s="5"/>
      <c r="AM97" s="5"/>
      <c r="AN97" s="5"/>
      <c r="AO97" s="5"/>
    </row>
    <row r="98" spans="2:45">
      <c r="D98" s="5"/>
      <c r="E98" s="461"/>
      <c r="F98" s="461"/>
      <c r="G98" s="461"/>
      <c r="H98" s="461"/>
      <c r="I98" s="461"/>
      <c r="J98" s="461"/>
      <c r="K98" s="461"/>
      <c r="L98" s="461"/>
      <c r="M98" s="461"/>
      <c r="N98" s="461"/>
      <c r="O98" s="461"/>
      <c r="P98" s="461"/>
      <c r="Q98" s="461"/>
      <c r="R98" s="461"/>
      <c r="S98" s="461"/>
      <c r="T98" s="461"/>
      <c r="W98" s="461"/>
      <c r="X98" s="461"/>
      <c r="Y98" s="461"/>
      <c r="Z98" s="461"/>
      <c r="AA98" s="461"/>
      <c r="AB98" s="461"/>
      <c r="AC98" s="461"/>
      <c r="AD98" s="461"/>
      <c r="AE98" s="461"/>
      <c r="AF98" s="461"/>
      <c r="AG98" s="461"/>
      <c r="AH98" s="461"/>
      <c r="AI98" s="461"/>
      <c r="AJ98" s="461"/>
      <c r="AK98" s="461"/>
    </row>
    <row r="99" spans="2:45">
      <c r="D99" s="1" t="s">
        <v>1920</v>
      </c>
      <c r="E99" s="534"/>
      <c r="F99" s="534"/>
      <c r="G99" s="534"/>
      <c r="H99" s="534"/>
      <c r="I99" s="534"/>
      <c r="J99" s="534"/>
      <c r="K99" s="534"/>
      <c r="L99" s="534"/>
      <c r="M99" s="534"/>
      <c r="O99" s="1"/>
      <c r="R99" s="534"/>
      <c r="S99" s="534"/>
      <c r="T99" s="534"/>
      <c r="U99" s="534"/>
      <c r="V99" s="534"/>
      <c r="W99" s="534"/>
      <c r="X99" s="534"/>
      <c r="Y99" s="534"/>
      <c r="Z99" s="534"/>
      <c r="AA99" s="534"/>
      <c r="AB99" s="534"/>
      <c r="AC99" s="534"/>
      <c r="AD99" s="534"/>
      <c r="AE99" s="534"/>
      <c r="AF99" s="534"/>
      <c r="AG99" s="534"/>
      <c r="AH99" s="534"/>
      <c r="AI99" s="534"/>
      <c r="AJ99" s="534"/>
      <c r="AK99" s="534"/>
    </row>
    <row r="100" spans="2:45">
      <c r="C100" s="456">
        <v>1</v>
      </c>
      <c r="D100" s="4" t="s">
        <v>1503</v>
      </c>
      <c r="E100" s="460">
        <v>1990</v>
      </c>
      <c r="F100" s="460">
        <v>1991</v>
      </c>
      <c r="G100" s="460">
        <v>1992</v>
      </c>
      <c r="H100" s="460">
        <v>1993</v>
      </c>
      <c r="I100" s="460">
        <v>1994</v>
      </c>
      <c r="J100" s="460">
        <v>1995</v>
      </c>
      <c r="K100" s="460">
        <v>1996</v>
      </c>
      <c r="L100" s="460">
        <v>1997</v>
      </c>
      <c r="M100" s="460">
        <v>1998</v>
      </c>
      <c r="N100" s="460">
        <v>1999</v>
      </c>
      <c r="O100" s="460">
        <v>2000</v>
      </c>
      <c r="P100" s="460">
        <v>2001</v>
      </c>
      <c r="Q100" s="460">
        <v>2002</v>
      </c>
      <c r="R100" s="460">
        <v>2003</v>
      </c>
      <c r="S100" s="460">
        <v>2004</v>
      </c>
      <c r="T100" s="460">
        <v>2005</v>
      </c>
      <c r="U100" s="460">
        <v>2006</v>
      </c>
      <c r="V100" s="460">
        <v>2007</v>
      </c>
      <c r="W100" s="460">
        <v>2008</v>
      </c>
      <c r="X100" s="460">
        <v>2009</v>
      </c>
      <c r="Y100" s="460">
        <v>2010</v>
      </c>
      <c r="Z100" s="460">
        <v>2011</v>
      </c>
      <c r="AA100" s="460">
        <v>2012</v>
      </c>
      <c r="AB100" s="460">
        <v>2013</v>
      </c>
      <c r="AC100" s="460">
        <v>2014</v>
      </c>
      <c r="AD100" s="460">
        <v>2015</v>
      </c>
      <c r="AE100" s="460">
        <v>2016</v>
      </c>
      <c r="AF100" s="460">
        <v>2017</v>
      </c>
      <c r="AG100" s="460">
        <v>2018</v>
      </c>
      <c r="AH100" s="460">
        <v>2019</v>
      </c>
      <c r="AI100" s="460">
        <v>2020</v>
      </c>
      <c r="AJ100" s="460">
        <v>2021</v>
      </c>
      <c r="AK100" s="460">
        <v>2022</v>
      </c>
    </row>
    <row r="101" spans="2:45">
      <c r="C101" s="456">
        <v>2</v>
      </c>
      <c r="D101" s="5" t="s">
        <v>1888</v>
      </c>
      <c r="E101" s="73">
        <f>SUM(E102:E117)</f>
        <v>76.393446568186391</v>
      </c>
      <c r="F101" s="73">
        <f t="shared" ref="F101:S101" si="200">SUM(F102:F117)</f>
        <v>76.022085801248949</v>
      </c>
      <c r="G101" s="73">
        <f t="shared" si="200"/>
        <v>80.507508491290125</v>
      </c>
      <c r="H101" s="73">
        <f t="shared" si="200"/>
        <v>78.513496071273707</v>
      </c>
      <c r="I101" s="73">
        <f t="shared" si="200"/>
        <v>84.248319716909734</v>
      </c>
      <c r="J101" s="73">
        <f t="shared" si="200"/>
        <v>83.472523017791175</v>
      </c>
      <c r="K101" s="73">
        <f t="shared" si="200"/>
        <v>84.356294698681879</v>
      </c>
      <c r="L101" s="73">
        <f t="shared" si="200"/>
        <v>88.520982075924522</v>
      </c>
      <c r="M101" s="73">
        <f t="shared" si="200"/>
        <v>92.096978221695593</v>
      </c>
      <c r="N101" s="73">
        <f t="shared" si="200"/>
        <v>100.52921949447348</v>
      </c>
      <c r="O101" s="73">
        <f t="shared" si="200"/>
        <v>91.1067094851295</v>
      </c>
      <c r="P101" s="73">
        <f t="shared" si="200"/>
        <v>88.882595807858465</v>
      </c>
      <c r="Q101" s="73">
        <f t="shared" si="200"/>
        <v>89.646656398701353</v>
      </c>
      <c r="R101" s="73">
        <f t="shared" si="200"/>
        <v>86.390027119169005</v>
      </c>
      <c r="S101" s="73">
        <f t="shared" si="200"/>
        <v>96.1850358072669</v>
      </c>
      <c r="T101" s="73">
        <f t="shared" ref="T101:Y101" si="201">SUM(T102:T117)</f>
        <v>92.863940680680514</v>
      </c>
      <c r="U101" s="73">
        <f t="shared" si="201"/>
        <v>93.244206393505408</v>
      </c>
      <c r="V101" s="73">
        <f t="shared" si="201"/>
        <v>89.598258294501719</v>
      </c>
      <c r="W101" s="73">
        <f t="shared" si="201"/>
        <v>82.863482904927295</v>
      </c>
      <c r="X101" s="73">
        <f t="shared" si="201"/>
        <v>76.194024982264523</v>
      </c>
      <c r="Y101" s="73">
        <f t="shared" si="201"/>
        <v>79.057283501874238</v>
      </c>
      <c r="Z101" s="73">
        <f t="shared" ref="Z101:AE101" si="202">SUM(Z102:Z117)</f>
        <v>77.912811971255294</v>
      </c>
      <c r="AA101" s="73">
        <f t="shared" si="202"/>
        <v>76.032748902269802</v>
      </c>
      <c r="AB101" s="73">
        <f t="shared" si="202"/>
        <v>80.140464404121118</v>
      </c>
      <c r="AC101" s="73">
        <f t="shared" si="202"/>
        <v>78.837518018798178</v>
      </c>
      <c r="AD101" s="73">
        <f t="shared" si="202"/>
        <v>83.117593480570179</v>
      </c>
      <c r="AE101" s="73">
        <f t="shared" si="202"/>
        <v>82.41647430020322</v>
      </c>
      <c r="AF101" s="73">
        <f t="shared" ref="AF101:AH101" si="203">SUM(AF102:AF117)</f>
        <v>86.113377985248249</v>
      </c>
      <c r="AG101" s="73">
        <f t="shared" si="203"/>
        <v>91.221801585585212</v>
      </c>
      <c r="AH101" s="73">
        <f t="shared" si="203"/>
        <v>91.144266728637646</v>
      </c>
      <c r="AI101" s="73">
        <f t="shared" ref="AI101" si="204">SUM(AI102:AI117)</f>
        <v>90.025025393896442</v>
      </c>
      <c r="AJ101" s="461">
        <f>SUM(AJ102:AJ117)</f>
        <v>94.193397610387478</v>
      </c>
      <c r="AK101" s="461">
        <f>SUM(AK102:AK117)</f>
        <v>93.613178937193979</v>
      </c>
      <c r="AL101" s="5"/>
      <c r="AM101" s="5"/>
      <c r="AN101" s="5"/>
      <c r="AO101" s="5"/>
      <c r="AQ101" s="555" t="s">
        <v>1915</v>
      </c>
    </row>
    <row r="102" spans="2:45" s="5" customFormat="1">
      <c r="B102" s="535"/>
      <c r="C102" s="456">
        <v>3</v>
      </c>
      <c r="D102" s="6" t="s">
        <v>1734</v>
      </c>
      <c r="E102" s="464">
        <f>E75*Factors!J28*TbtuToQBtu</f>
        <v>0</v>
      </c>
      <c r="F102" s="464">
        <f>F75*Factors!K28*TbtuToQBtu</f>
        <v>0</v>
      </c>
      <c r="G102" s="464">
        <f>G75*Factors!L28*TbtuToQBtu</f>
        <v>0</v>
      </c>
      <c r="H102" s="464">
        <f>H75*Factors!M28*TbtuToQBtu</f>
        <v>2.5271347113147134E-2</v>
      </c>
      <c r="I102" s="464">
        <f>I75*Factors!N28*TbtuToQBtu</f>
        <v>0.22795404745564399</v>
      </c>
      <c r="J102" s="464">
        <f>J75*Factors!O28*TbtuToQBtu</f>
        <v>0.96548780233330167</v>
      </c>
      <c r="K102" s="464">
        <f>K75*Factors!P28*TbtuToQBtu</f>
        <v>0.6154110906276723</v>
      </c>
      <c r="L102" s="464">
        <f>L75*Factors!Q28*TbtuToQBtu</f>
        <v>0</v>
      </c>
      <c r="M102" s="464">
        <f>M75*Factors!R28*TbtuToQBtu</f>
        <v>0.27950950979870076</v>
      </c>
      <c r="N102" s="464">
        <f>N75*Factors!S28*TbtuToQBtu</f>
        <v>1.0256249835322282</v>
      </c>
      <c r="O102" s="464">
        <f>O75*Factors!T28*TbtuToQBtu</f>
        <v>1.3722409423696036</v>
      </c>
      <c r="P102" s="464">
        <f>P75*Factors!U28*TbtuToQBtu</f>
        <v>0.63470149473343684</v>
      </c>
      <c r="Q102" s="464">
        <f>Q75*Factors!V28*TbtuToQBtu</f>
        <v>1.0336049793555193</v>
      </c>
      <c r="R102" s="464">
        <f>R75*Factors!W28*TbtuToQBtu</f>
        <v>1.3299959314145933</v>
      </c>
      <c r="S102" s="464">
        <f>S75*Factors!X28*TbtuToQBtu</f>
        <v>4.3006883003943672</v>
      </c>
      <c r="T102" s="464">
        <f>T75*Factors!Y28*TbtuToQBtu</f>
        <v>2.0594244620198277</v>
      </c>
      <c r="U102" s="464">
        <f>U75*Factors!Z28*TbtuToQBtu</f>
        <v>1.6095039125981745</v>
      </c>
      <c r="V102" s="464">
        <f>V75*Factors!AA28*TbtuToQBtu</f>
        <v>5.9433334233459881E-2</v>
      </c>
      <c r="W102" s="464">
        <f>W75*Factors!AB28*TbtuToQBtu</f>
        <v>0.74670733704888004</v>
      </c>
      <c r="X102" s="464">
        <f>X75*Factors!AC28*TbtuToQBtu</f>
        <v>0.16335094772449277</v>
      </c>
      <c r="Y102" s="464">
        <f>Y75*Factors!AD28*TbtuToQBtu</f>
        <v>1.6565223745895619</v>
      </c>
      <c r="Z102" s="464">
        <f>Z75*Factors!AE28*TbtuToQBtu</f>
        <v>1.5559761532323553</v>
      </c>
      <c r="AA102" s="464">
        <f>AA75*Factors!AF28*TbtuToQBtu</f>
        <v>3.3878421555659068</v>
      </c>
      <c r="AB102" s="464">
        <f>AB75*Factors!AG28*TbtuToQBtu</f>
        <v>3.0671220936044858</v>
      </c>
      <c r="AC102" s="464">
        <f>AC75*Factors!AH28*TbtuToQBtu</f>
        <v>1.2554139351078071</v>
      </c>
      <c r="AD102" s="464">
        <f>AD75*Factors!AI28*TbtuToQBtu</f>
        <v>3.1284099356572534</v>
      </c>
      <c r="AE102" s="464">
        <f>AE75*Factors!AJ28*TbtuToQBtu</f>
        <v>2.2917377470578546</v>
      </c>
      <c r="AF102" s="464">
        <f>AF75*Factors!AK28*TbtuToQBtu</f>
        <v>2.8888205833613219</v>
      </c>
      <c r="AG102" s="464">
        <f>AG75*Factors!AL28*TbtuToQBtu</f>
        <v>3.1910618999445757</v>
      </c>
      <c r="AH102" s="464">
        <f>AH75*Factors!AM28*TbtuToQBtu</f>
        <v>2.8879678940745643</v>
      </c>
      <c r="AI102" s="464">
        <f>AI75*Factors!AN28*TbtuToQBtu</f>
        <v>2.0449015516355771</v>
      </c>
      <c r="AJ102" s="466">
        <f>AJ75*Factors!AO28*TbtuToQBtu</f>
        <v>1.9935533809953292</v>
      </c>
      <c r="AK102" s="466">
        <f>AK75*Factors!AP28*TbtuToQBtu</f>
        <v>0.83608798956137176</v>
      </c>
      <c r="AL102" s="552" t="s">
        <v>1392</v>
      </c>
      <c r="AM102" s="552"/>
      <c r="AN102" s="552"/>
      <c r="AO102" s="552"/>
      <c r="AP102" s="1"/>
      <c r="AQ102" s="5" t="s">
        <v>1916</v>
      </c>
      <c r="AR102" s="5">
        <f>SUMIF($AL$102:$AL$122,AQ102,$AK$102:$AK$122)</f>
        <v>71.157043900294397</v>
      </c>
      <c r="AS102" s="725">
        <f>AR102-'[21]Feedstock Summary'!$AH$4</f>
        <v>0</v>
      </c>
    </row>
    <row r="103" spans="2:45" s="5" customFormat="1">
      <c r="B103" s="535"/>
      <c r="C103" s="456">
        <v>4</v>
      </c>
      <c r="D103" s="6" t="s">
        <v>1701</v>
      </c>
      <c r="E103" s="464">
        <f>E76*Factors!J15*TbtuToQBtu</f>
        <v>0.19640009499938005</v>
      </c>
      <c r="F103" s="464">
        <f>F76*Factors!K15*TbtuToQBtu</f>
        <v>0.20308653793357712</v>
      </c>
      <c r="G103" s="464">
        <f>G76*Factors!L15*TbtuToQBtu</f>
        <v>0.22813236655150149</v>
      </c>
      <c r="H103" s="464">
        <f>H76*Factors!M15*TbtuToQBtu</f>
        <v>0.23844535480594092</v>
      </c>
      <c r="I103" s="464">
        <f>I76*Factors!N15*TbtuToQBtu</f>
        <v>0.26111126305745624</v>
      </c>
      <c r="J103" s="464">
        <f>J76*Factors!O15*TbtuToQBtu</f>
        <v>0.27006429681680488</v>
      </c>
      <c r="K103" s="464">
        <f>K76*Factors!P15*TbtuToQBtu</f>
        <v>0.27346418305453207</v>
      </c>
      <c r="L103" s="464">
        <f>L76*Factors!Q15*TbtuToQBtu</f>
        <v>0.26677774012033506</v>
      </c>
      <c r="M103" s="464">
        <f>M76*Factors!R15*TbtuToQBtu</f>
        <v>0.24932499076666831</v>
      </c>
      <c r="N103" s="464">
        <f>N76*Factors!S15*TbtuToQBtu</f>
        <v>0.26541778562524415</v>
      </c>
      <c r="O103" s="464">
        <f>O76*Factors!T15*TbtuToQBtu</f>
        <v>0.29613009130604745</v>
      </c>
      <c r="P103" s="464">
        <f>P76*Factors!U15*TbtuToQBtu</f>
        <v>0.27006429681680483</v>
      </c>
      <c r="Q103" s="464">
        <f>Q76*Factors!V15*TbtuToQBtu</f>
        <v>0.28797036433550188</v>
      </c>
      <c r="R103" s="464">
        <f>R76*Factors!W15*TbtuToQBtu</f>
        <v>0.28468380763903217</v>
      </c>
      <c r="S103" s="464">
        <f>S76*Factors!X15*TbtuToQBtu</f>
        <v>0.28468380763903217</v>
      </c>
      <c r="T103" s="464">
        <f>T76*Factors!Y15*TbtuToQBtu</f>
        <v>0.28468380763903217</v>
      </c>
      <c r="U103" s="464">
        <f>U76*Factors!Z15*TbtuToQBtu</f>
        <v>0.28468380763903217</v>
      </c>
      <c r="V103" s="464">
        <f>V76*Factors!AA15*TbtuToQBtu</f>
        <v>0.28468380763903217</v>
      </c>
      <c r="W103" s="464">
        <f>W76*Factors!AB15*TbtuToQBtu</f>
        <v>0.28468380763903217</v>
      </c>
      <c r="X103" s="464">
        <f>X76*Factors!AC15*TbtuToQBtu</f>
        <v>0.28468380763903217</v>
      </c>
      <c r="Y103" s="464">
        <f>Y76*Factors!AD15*TbtuToQBtu</f>
        <v>0.24705839994151677</v>
      </c>
      <c r="Z103" s="464">
        <f>Z76*Factors!AE15*TbtuToQBtu</f>
        <v>0.24705839994151677</v>
      </c>
      <c r="AA103" s="464">
        <f>AA76*Factors!AF15*TbtuToQBtu</f>
        <v>0.24705839994151682</v>
      </c>
      <c r="AB103" s="464">
        <f>AB76*Factors!AG15*TbtuToQBtu</f>
        <v>0.24705839994151679</v>
      </c>
      <c r="AC103" s="464">
        <f>AC76*Factors!AH15*TbtuToQBtu</f>
        <v>0.24705839994151679</v>
      </c>
      <c r="AD103" s="464">
        <f>AD76*Factors!AI15*TbtuToQBtu</f>
        <v>0.24705839994151679</v>
      </c>
      <c r="AE103" s="464">
        <f>AE76*Factors!AJ15*TbtuToQBtu</f>
        <v>0.24705839994151679</v>
      </c>
      <c r="AF103" s="464">
        <f>AF76*Factors!AK15*TbtuToQBtu</f>
        <v>0.24705839994151679</v>
      </c>
      <c r="AG103" s="464">
        <f>AG76*Factors!AL15*TbtuToQBtu</f>
        <v>0.24705839994151679</v>
      </c>
      <c r="AH103" s="464">
        <f>AH76*Factors!AM15*TbtuToQBtu</f>
        <v>0.24705839994151679</v>
      </c>
      <c r="AI103" s="464">
        <f>AI76*Factors!AN15*TbtuToQBtu</f>
        <v>0.24705839994151682</v>
      </c>
      <c r="AJ103" s="466">
        <f>AJ76*Factors!AO15*TbtuToQBtu</f>
        <v>0.24705839994151677</v>
      </c>
      <c r="AK103" s="466">
        <f>AK76*Factors!AP15*TbtuToQBtu</f>
        <v>0.24714191613905825</v>
      </c>
      <c r="AL103" s="552" t="s">
        <v>1916</v>
      </c>
      <c r="AM103" s="552"/>
      <c r="AN103" s="552"/>
      <c r="AO103" s="552"/>
      <c r="AP103" s="1"/>
      <c r="AQ103" s="5" t="s">
        <v>1917</v>
      </c>
      <c r="AR103" s="5">
        <f>SUMIF($AL$102:$AL$122,AQ103,$AK$102:$AK$122)</f>
        <v>18.829467918790069</v>
      </c>
    </row>
    <row r="104" spans="2:45" s="5" customFormat="1">
      <c r="B104" s="535"/>
      <c r="C104" s="456">
        <v>5</v>
      </c>
      <c r="D104" s="6" t="s">
        <v>1889</v>
      </c>
      <c r="E104" s="464">
        <f>E77*Factors!J26*TbtuToQBtu</f>
        <v>4.067460040816445</v>
      </c>
      <c r="F104" s="464">
        <f>F77*Factors!K26*TbtuToQBtu</f>
        <v>3.9746704387607292</v>
      </c>
      <c r="G104" s="464">
        <f>G77*Factors!L26*TbtuToQBtu</f>
        <v>4.2557719256184434</v>
      </c>
      <c r="H104" s="464">
        <f>H77*Factors!M26*TbtuToQBtu</f>
        <v>4.409624668144529</v>
      </c>
      <c r="I104" s="464">
        <f>I77*Factors!N26*TbtuToQBtu</f>
        <v>4.7514695891745404</v>
      </c>
      <c r="J104" s="464">
        <f>J77*Factors!O26*TbtuToQBtu</f>
        <v>5.023897186922226</v>
      </c>
      <c r="K104" s="464">
        <f>K77*Factors!P26*TbtuToQBtu</f>
        <v>5.2699836520458208</v>
      </c>
      <c r="L104" s="464">
        <f>L77*Factors!Q26*TbtuToQBtu</f>
        <v>5.4745441810749131</v>
      </c>
      <c r="M104" s="464">
        <f>M77*Factors!R26*TbtuToQBtu</f>
        <v>5.8879876298183564</v>
      </c>
      <c r="N104" s="464">
        <f>N77*Factors!S26*TbtuToQBtu</f>
        <v>5.7324997165284319</v>
      </c>
      <c r="O104" s="464">
        <f>O77*Factors!T26*TbtuToQBtu</f>
        <v>5.5590212370772685</v>
      </c>
      <c r="P104" s="464">
        <f>P77*Factors!U26*TbtuToQBtu</f>
        <v>5.6063646489797527</v>
      </c>
      <c r="Q104" s="464">
        <f>Q77*Factors!V26*TbtuToQBtu</f>
        <v>5.2965288198182359</v>
      </c>
      <c r="R104" s="464">
        <f>R77*Factors!W26*TbtuToQBtu</f>
        <v>4.5918177300222727</v>
      </c>
      <c r="S104" s="464">
        <f>S77*Factors!X26*TbtuToQBtu</f>
        <v>3.9766557568669136</v>
      </c>
      <c r="T104" s="464">
        <f>T77*Factors!Y26*TbtuToQBtu</f>
        <v>3.7716902602920634</v>
      </c>
      <c r="U104" s="464">
        <f>U77*Factors!Z26*TbtuToQBtu</f>
        <v>3.302831772009736</v>
      </c>
      <c r="V104" s="464">
        <f>V77*Factors!AA26*TbtuToQBtu</f>
        <v>3.4860056779556028</v>
      </c>
      <c r="W104" s="464">
        <f>W77*Factors!AB26*TbtuToQBtu</f>
        <v>3.8329448983131309</v>
      </c>
      <c r="X104" s="464">
        <f>X77*Factors!AC26*TbtuToQBtu</f>
        <v>3.9780382754713712</v>
      </c>
      <c r="Y104" s="464">
        <f>Y77*Factors!AD26*TbtuToQBtu</f>
        <v>4.3005392881721995</v>
      </c>
      <c r="Z104" s="464">
        <f>Z77*Factors!AE26*TbtuToQBtu</f>
        <v>4.3381593420939772</v>
      </c>
      <c r="AA104" s="464">
        <f>AA77*Factors!AF26*TbtuToQBtu</f>
        <v>4.3421924479873626</v>
      </c>
      <c r="AB104" s="464">
        <f>AB77*Factors!AG26*TbtuToQBtu</f>
        <v>4.4785974391336749</v>
      </c>
      <c r="AC104" s="464">
        <f>AC77*Factors!AH26*TbtuToQBtu</f>
        <v>4.6792065386463157</v>
      </c>
      <c r="AD104" s="464">
        <f>AD77*Factors!AI26*TbtuToQBtu</f>
        <v>6.0505215055840518</v>
      </c>
      <c r="AE104" s="464">
        <f>AE77*Factors!AJ26*TbtuToQBtu</f>
        <v>7.1685486587603062</v>
      </c>
      <c r="AF104" s="464">
        <f>AF77*Factors!AK26*TbtuToQBtu</f>
        <v>8.4884992852618808</v>
      </c>
      <c r="AG104" s="464">
        <f>AG77*Factors!AL26*TbtuToQBtu</f>
        <v>9.7587954397514789</v>
      </c>
      <c r="AH104" s="464">
        <f>AH77*Factors!AM26*TbtuToQBtu</f>
        <v>9.6122700342831369</v>
      </c>
      <c r="AI104" s="464">
        <f>AI77*Factors!AN26*TbtuToQBtu</f>
        <v>9.5758653767582533</v>
      </c>
      <c r="AJ104" s="466">
        <f>AJ77*Factors!AO26*TbtuToQBtu</f>
        <v>9.616082474132293</v>
      </c>
      <c r="AK104" s="466">
        <f>AK77*Factors!AP26*TbtuToQBtu</f>
        <v>9.5979940828331198</v>
      </c>
      <c r="AL104" s="552" t="s">
        <v>1916</v>
      </c>
      <c r="AM104" s="552"/>
      <c r="AN104" s="552"/>
      <c r="AO104" s="552"/>
      <c r="AP104" s="1"/>
      <c r="AQ104" s="5" t="s">
        <v>1610</v>
      </c>
      <c r="AR104" s="5">
        <f>SUMIF($AL$102:$AL$122,AQ104,$AK$102:$AK$122)</f>
        <v>4.9684589639660484</v>
      </c>
    </row>
    <row r="105" spans="2:45">
      <c r="C105" s="456">
        <v>6</v>
      </c>
      <c r="D105" s="6" t="s">
        <v>1608</v>
      </c>
      <c r="E105" s="464">
        <f>E78*Factors!$D$24*TbtuToQBtu</f>
        <v>24.051188529508465</v>
      </c>
      <c r="F105" s="464">
        <f>F78*Factors!$D$24*TbtuToQBtu</f>
        <v>22.126218703764589</v>
      </c>
      <c r="G105" s="464">
        <f>G78*Factors!$D$24*TbtuToQBtu</f>
        <v>22.654127157652475</v>
      </c>
      <c r="H105" s="464">
        <f>H78*Factors!$D$24*TbtuToQBtu</f>
        <v>23.616016028275521</v>
      </c>
      <c r="I105" s="464">
        <f>I78*Factors!$D$24*TbtuToQBtu</f>
        <v>24.107175394542164</v>
      </c>
      <c r="J105" s="464">
        <f>J78*Factors!$D$24*TbtuToQBtu</f>
        <v>24.215244020220286</v>
      </c>
      <c r="K105" s="464">
        <f>K78*Factors!$D$24*TbtuToQBtu</f>
        <v>24.169143235245766</v>
      </c>
      <c r="L105" s="464">
        <f>L78*Factors!$D$24*TbtuToQBtu</f>
        <v>25.148173458819656</v>
      </c>
      <c r="M105" s="464">
        <f>M78*Factors!$D$24*TbtuToQBtu</f>
        <v>25.949459773138251</v>
      </c>
      <c r="N105" s="464">
        <f>N78*Factors!$D$24*TbtuToQBtu</f>
        <v>27.220900102745357</v>
      </c>
      <c r="O105" s="464">
        <f>O78*Factors!$D$24*TbtuToQBtu</f>
        <v>26.219240826894623</v>
      </c>
      <c r="P105" s="464">
        <f>P78*Factors!$D$24*TbtuToQBtu</f>
        <v>25.832573832812752</v>
      </c>
      <c r="Q105" s="464">
        <f>Q78*Factors!$D$24*TbtuToQBtu</f>
        <v>25.485060648528687</v>
      </c>
      <c r="R105" s="464">
        <f>R78*Factors!$D$24*TbtuToQBtu</f>
        <v>25.06538524576689</v>
      </c>
      <c r="S105" s="464">
        <f>S78*Factors!$D$24*TbtuToQBtu</f>
        <v>26.798223935558113</v>
      </c>
      <c r="T105" s="464">
        <f>T78*Factors!$D$24*TbtuToQBtu</f>
        <v>27.196750115074799</v>
      </c>
      <c r="U105" s="464">
        <f>U78*Factors!$D$24*TbtuToQBtu</f>
        <v>25.920973064277494</v>
      </c>
      <c r="V105" s="464">
        <f>V78*Factors!$D$24*TbtuToQBtu</f>
        <v>24.60295922653296</v>
      </c>
      <c r="W105" s="464">
        <f>W78*Factors!$D$24*TbtuToQBtu</f>
        <v>20.799223125924705</v>
      </c>
      <c r="X105" s="464">
        <f>X78*Factors!$D$24*TbtuToQBtu</f>
        <v>17.944632923721844</v>
      </c>
      <c r="Y105" s="464">
        <f>Y78*Factors!$D$24*TbtuToQBtu</f>
        <v>18.040924576689132</v>
      </c>
      <c r="Z105" s="464">
        <f>Z78*Factors!$D$24*TbtuToQBtu</f>
        <v>17.665232981259248</v>
      </c>
      <c r="AA105" s="464">
        <f>AA78*Factors!$D$24*TbtuToQBtu</f>
        <v>16.991253070031235</v>
      </c>
      <c r="AB105" s="464">
        <f>AB78*Factors!$D$24*TbtuToQBtu</f>
        <v>16.10027267384514</v>
      </c>
      <c r="AC105" s="464">
        <f>AC78*Factors!$D$24*TbtuToQBtu</f>
        <v>16.291191172119021</v>
      </c>
      <c r="AD105" s="464">
        <f>AD78*Factors!$D$24*TbtuToQBtu</f>
        <v>17.093258507315465</v>
      </c>
      <c r="AE105" s="464">
        <f>AE78*Factors!$D$24*TbtuToQBtu</f>
        <v>17.539385854019397</v>
      </c>
      <c r="AF105" s="464">
        <f>AF78*Factors!$D$24*TbtuToQBtu</f>
        <v>17.453391344731219</v>
      </c>
      <c r="AG105" s="464">
        <f>AG78*Factors!$D$24*TbtuToQBtu</f>
        <v>16.293801426105539</v>
      </c>
      <c r="AH105" s="464">
        <f>AH78*Factors!$D$24*TbtuToQBtu</f>
        <v>17.344480038632252</v>
      </c>
      <c r="AI105" s="464">
        <f>AI78*Factors!$D$24*TbtuToQBtu</f>
        <v>17.105857607266152</v>
      </c>
      <c r="AJ105" s="466">
        <f>AJ78*Factors!$D$24*TbtuToQBtu</f>
        <v>18.458503554989313</v>
      </c>
      <c r="AK105" s="466">
        <f>AK78*Factors!$D$24*TbtuToQBtu</f>
        <v>18.829467918790069</v>
      </c>
      <c r="AL105" s="552" t="s">
        <v>1917</v>
      </c>
      <c r="AM105" s="552"/>
      <c r="AN105" s="552"/>
      <c r="AO105" s="552"/>
      <c r="AQ105" s="5" t="s">
        <v>1621</v>
      </c>
      <c r="AR105" s="5">
        <f>SUMIF($AL$102:$AL$122,AQ105,$AK$102:$AK$122)</f>
        <v>0.25810397978181815</v>
      </c>
      <c r="AS105" s="5"/>
    </row>
    <row r="106" spans="2:45">
      <c r="C106" s="456">
        <v>7</v>
      </c>
      <c r="D106" s="6" t="s">
        <v>1609</v>
      </c>
      <c r="E106" s="464">
        <f>E79*Factors!J19*TbtuToQBtu</f>
        <v>20.673307045914136</v>
      </c>
      <c r="F106" s="464">
        <f>F79*Factors!K19*TbtuToQBtu</f>
        <v>22.690176400135229</v>
      </c>
      <c r="G106" s="464">
        <f>G79*Factors!L19*TbtuToQBtu</f>
        <v>24.318515422602353</v>
      </c>
      <c r="H106" s="464">
        <f>H79*Factors!M19*TbtuToQBtu</f>
        <v>22.973680361054619</v>
      </c>
      <c r="I106" s="464">
        <f>I79*Factors!N19*TbtuToQBtu</f>
        <v>27.041282483086921</v>
      </c>
      <c r="J106" s="464">
        <f>J79*Factors!O19*TbtuToQBtu</f>
        <v>26.633937201056863</v>
      </c>
      <c r="K106" s="464">
        <f>K79*Factors!P19*TbtuToQBtu</f>
        <v>28.131450987137786</v>
      </c>
      <c r="L106" s="464">
        <f>L79*Factors!Q19*TbtuToQBtu</f>
        <v>28.965709850705434</v>
      </c>
      <c r="M106" s="464">
        <f>M79*Factors!R19*TbtuToQBtu</f>
        <v>28.151813599220269</v>
      </c>
      <c r="N106" s="464">
        <f>N79*Factors!S19*TbtuToQBtu</f>
        <v>32.946942985243219</v>
      </c>
      <c r="O106" s="464">
        <f>O79*Factors!T19*TbtuToQBtu</f>
        <v>28.790047946586256</v>
      </c>
      <c r="P106" s="464">
        <f>P79*Factors!U19*TbtuToQBtu</f>
        <v>27.680673570964121</v>
      </c>
      <c r="Q106" s="464">
        <f>Q79*Factors!V19*TbtuToQBtu</f>
        <v>29.052994430665279</v>
      </c>
      <c r="R106" s="464">
        <f>R79*Factors!W19*TbtuToQBtu</f>
        <v>27.006665228315718</v>
      </c>
      <c r="S106" s="464">
        <f>S79*Factors!X19*TbtuToQBtu</f>
        <v>27.439350666920706</v>
      </c>
      <c r="T106" s="464">
        <f>T79*Factors!Y19*TbtuToQBtu</f>
        <v>27.399771798360206</v>
      </c>
      <c r="U106" s="464">
        <f>U79*Factors!Z19*TbtuToQBtu</f>
        <v>28.965444230477146</v>
      </c>
      <c r="V106" s="464">
        <f>V79*Factors!AA19*TbtuToQBtu</f>
        <v>28.146697267066212</v>
      </c>
      <c r="W106" s="464">
        <f>W79*Factors!AB19*TbtuToQBtu</f>
        <v>26.477763751323934</v>
      </c>
      <c r="X106" s="464">
        <f>X79*Factors!AC19*TbtuToQBtu</f>
        <v>28.143151461821663</v>
      </c>
      <c r="Y106" s="464">
        <f>Y79*Factors!AD19*TbtuToQBtu</f>
        <v>30.979572893737195</v>
      </c>
      <c r="Z106" s="464">
        <f>Z79*Factors!AE19*TbtuToQBtu</f>
        <v>31.67139678429605</v>
      </c>
      <c r="AA106" s="464">
        <f>AA79*Factors!AF19*TbtuToQBtu</f>
        <v>31.741996622842787</v>
      </c>
      <c r="AB106" s="464">
        <f>AB79*Factors!AG19*TbtuToQBtu</f>
        <v>34.964745010878381</v>
      </c>
      <c r="AC106" s="464">
        <f>AC79*Factors!AH19*TbtuToQBtu</f>
        <v>35.518423888506284</v>
      </c>
      <c r="AD106" s="464">
        <f>AD79*Factors!AI19*TbtuToQBtu</f>
        <v>36.466491495316056</v>
      </c>
      <c r="AE106" s="464">
        <f>AE79*Factors!AJ19*TbtuToQBtu</f>
        <v>35.880720128977842</v>
      </c>
      <c r="AF106" s="464">
        <f>AF79*Factors!AK19*TbtuToQBtu</f>
        <v>36.880461300136496</v>
      </c>
      <c r="AG106" s="464">
        <f>AG79*Factors!AL19*TbtuToQBtu</f>
        <v>42.032740683594909</v>
      </c>
      <c r="AH106" s="464">
        <f>AH79*Factors!AM19*TbtuToQBtu</f>
        <v>42.678887749988938</v>
      </c>
      <c r="AI106" s="464">
        <f>AI79*Factors!AN19*TbtuToQBtu</f>
        <v>44.323314596031992</v>
      </c>
      <c r="AJ106" s="466">
        <f>AJ79*Factors!AO19*TbtuToQBtu</f>
        <v>46.98154299730593</v>
      </c>
      <c r="AK106" s="466">
        <f>AK79*Factors!AP19*TbtuToQBtu</f>
        <v>50.059346401229512</v>
      </c>
      <c r="AL106" s="552" t="s">
        <v>1916</v>
      </c>
      <c r="AM106" s="552"/>
      <c r="AN106" s="552"/>
      <c r="AO106" s="552"/>
      <c r="AQ106" s="5" t="s">
        <v>1392</v>
      </c>
      <c r="AR106" s="5">
        <f>SUMIF($AL$102:$AL$122,AQ106,$AK$102:$AK$122)</f>
        <v>0.95393527896639518</v>
      </c>
      <c r="AS106" s="5"/>
    </row>
    <row r="107" spans="2:45">
      <c r="C107" s="456">
        <v>8</v>
      </c>
      <c r="D107" s="6" t="s">
        <v>1918</v>
      </c>
      <c r="E107" s="464">
        <f>E80*Factors!$D$33*TbtuToQBtu</f>
        <v>3.7640084958405144</v>
      </c>
      <c r="F107" s="464">
        <f>F80*Factors!$D$33*TbtuToQBtu</f>
        <v>3.3672931544630131</v>
      </c>
      <c r="G107" s="464">
        <f>G80*Factors!$D$33*TbtuToQBtu</f>
        <v>3.433082455219965</v>
      </c>
      <c r="H107" s="464">
        <f>H80*Factors!$D$33*TbtuToQBtu</f>
        <v>3.4957812545904212</v>
      </c>
      <c r="I107" s="464">
        <f>I80*Factors!$D$33*TbtuToQBtu</f>
        <v>3.6537806130555341</v>
      </c>
      <c r="J107" s="464">
        <f>J80*Factors!$D$33*TbtuToQBtu</f>
        <v>3.5910414149741432</v>
      </c>
      <c r="K107" s="464">
        <f>K80*Factors!$D$33*TbtuToQBtu</f>
        <v>3.4850755961927593</v>
      </c>
      <c r="L107" s="464">
        <f>L80*Factors!$D$33*TbtuToQBtu</f>
        <v>3.68157492617852</v>
      </c>
      <c r="M107" s="464">
        <f>M80*Factors!$D$33*TbtuToQBtu</f>
        <v>3.8540774218691443</v>
      </c>
      <c r="N107" s="464">
        <f>N80*Factors!$D$33*TbtuToQBtu</f>
        <v>3.8944155347373148</v>
      </c>
      <c r="O107" s="464">
        <f>O80*Factors!$D$33*TbtuToQBtu</f>
        <v>3.8359989987259233</v>
      </c>
      <c r="P107" s="464">
        <f>P80*Factors!$D$33*TbtuToQBtu</f>
        <v>3.5146272532413998</v>
      </c>
      <c r="Q107" s="464">
        <f>Q80*Factors!$D$33*TbtuToQBtu</f>
        <v>3.4729761822678551</v>
      </c>
      <c r="R107" s="464">
        <f>R80*Factors!$D$33*TbtuToQBtu</f>
        <v>3.2108289470134146</v>
      </c>
      <c r="S107" s="464">
        <f>S80*Factors!$D$33*TbtuToQBtu</f>
        <v>3.252904204451772</v>
      </c>
      <c r="T107" s="464">
        <f>T80*Factors!$D$33*TbtuToQBtu</f>
        <v>3.2359165465037845</v>
      </c>
      <c r="U107" s="464">
        <f>U80*Factors!$D$33*TbtuToQBtu</f>
        <v>3.1526750026230981</v>
      </c>
      <c r="V107" s="464">
        <f>V80*Factors!$D$33*TbtuToQBtu</f>
        <v>3.2556715161507901</v>
      </c>
      <c r="W107" s="464">
        <f>W80*Factors!$D$33*TbtuToQBtu</f>
        <v>3.0225305553473722</v>
      </c>
      <c r="X107" s="464">
        <f>X80*Factors!$D$33*TbtuToQBtu</f>
        <v>2.7174798890804159</v>
      </c>
      <c r="Y107" s="464">
        <f>Y80*Factors!$D$33*TbtuToQBtu</f>
        <v>2.7446682215393836</v>
      </c>
      <c r="Z107" s="464">
        <f>Z80*Factors!$D$33*TbtuToQBtu</f>
        <v>2.5733170891103945</v>
      </c>
      <c r="AA107" s="464">
        <f>AA80*Factors!$D$33*TbtuToQBtu</f>
        <v>2.3898463434010337</v>
      </c>
      <c r="AB107" s="464">
        <f>AB80*Factors!$D$33*TbtuToQBtu</f>
        <v>2.5267575747583</v>
      </c>
      <c r="AC107" s="464">
        <f>AC80*Factors!$D$33*TbtuToQBtu</f>
        <v>2.6393083834220188</v>
      </c>
      <c r="AD107" s="464">
        <f>AD80*Factors!$D$33*TbtuToQBtu</f>
        <v>2.8710353893427261</v>
      </c>
      <c r="AE107" s="464">
        <f>AE80*Factors!$D$33*TbtuToQBtu</f>
        <v>2.7299024926927973</v>
      </c>
      <c r="AF107" s="464">
        <f>AF80*Factors!$D$33*TbtuToQBtu</f>
        <v>2.5227985010867116</v>
      </c>
      <c r="AG107" s="464">
        <f>AG80*Factors!$D$33*TbtuToQBtu</f>
        <v>2.4640587753878429</v>
      </c>
      <c r="AH107" s="464">
        <f>AH80*Factors!$D$33*TbtuToQBtu</f>
        <v>2.3898463434010337</v>
      </c>
      <c r="AI107" s="464">
        <f>AI80*Factors!$D$33*TbtuToQBtu</f>
        <v>2.2439463988608255</v>
      </c>
      <c r="AJ107" s="466">
        <f>AJ80*Factors!$D$33*TbtuToQBtu</f>
        <v>2.292485450048714</v>
      </c>
      <c r="AK107" s="466">
        <f>AK80*Factors!$D$33*TbtuToQBtu</f>
        <v>2.4147117499812629</v>
      </c>
      <c r="AL107" s="552" t="s">
        <v>1610</v>
      </c>
      <c r="AM107" s="552"/>
      <c r="AN107" s="552"/>
      <c r="AO107" s="552"/>
    </row>
    <row r="108" spans="2:45">
      <c r="C108" s="456">
        <v>9</v>
      </c>
      <c r="D108" s="6" t="s">
        <v>1617</v>
      </c>
      <c r="E108" s="464">
        <f>E81*Factors!$D$46*TbtuToQBtu</f>
        <v>0</v>
      </c>
      <c r="F108" s="464">
        <f>F81*Factors!$D$46*TbtuToQBtu</f>
        <v>0</v>
      </c>
      <c r="G108" s="464">
        <f>G81*Factors!$D$46*TbtuToQBtu</f>
        <v>0</v>
      </c>
      <c r="H108" s="464">
        <f>H81*Factors!$D$46*TbtuToQBtu</f>
        <v>0</v>
      </c>
      <c r="I108" s="464">
        <f>I81*Factors!$D$46*TbtuToQBtu</f>
        <v>0</v>
      </c>
      <c r="J108" s="464">
        <f>J81*Factors!$D$46*TbtuToQBtu</f>
        <v>0</v>
      </c>
      <c r="K108" s="464">
        <f>K81*Factors!$D$46*TbtuToQBtu</f>
        <v>0</v>
      </c>
      <c r="L108" s="464">
        <f>L81*Factors!$D$46*TbtuToQBtu</f>
        <v>0</v>
      </c>
      <c r="M108" s="464">
        <f>M81*Factors!$D$46*TbtuToQBtu</f>
        <v>0</v>
      </c>
      <c r="N108" s="464">
        <f>N81*Factors!$D$46*TbtuToQBtu</f>
        <v>0</v>
      </c>
      <c r="O108" s="464">
        <f>O81*Factors!$D$46*TbtuToQBtu</f>
        <v>0</v>
      </c>
      <c r="P108" s="464">
        <f>P81*Factors!$D$46*TbtuToQBtu</f>
        <v>0</v>
      </c>
      <c r="Q108" s="464">
        <f>Q81*Factors!$D$46*TbtuToQBtu</f>
        <v>0</v>
      </c>
      <c r="R108" s="464">
        <f>R81*Factors!$D$46*TbtuToQBtu</f>
        <v>0</v>
      </c>
      <c r="S108" s="464">
        <f>S81*Factors!$D$46*TbtuToQBtu</f>
        <v>0</v>
      </c>
      <c r="T108" s="464">
        <f>T81*Factors!$D$46*TbtuToQBtu</f>
        <v>0</v>
      </c>
      <c r="U108" s="464">
        <f>U81*Factors!$D$46*TbtuToQBtu</f>
        <v>0</v>
      </c>
      <c r="V108" s="464">
        <f>V81*Factors!$D$46*TbtuToQBtu</f>
        <v>0</v>
      </c>
      <c r="W108" s="464">
        <f>W81*Factors!$D$46*TbtuToQBtu</f>
        <v>0</v>
      </c>
      <c r="X108" s="464">
        <f>X81*Factors!$D$46*TbtuToQBtu</f>
        <v>0</v>
      </c>
      <c r="Y108" s="464">
        <f>Y81*Factors!$D$46*TbtuToQBtu</f>
        <v>0</v>
      </c>
      <c r="Z108" s="464">
        <f>Z81*Factors!$D$46*TbtuToQBtu</f>
        <v>0</v>
      </c>
      <c r="AA108" s="464">
        <f>AA81*Factors!$D$46*TbtuToQBtu</f>
        <v>0</v>
      </c>
      <c r="AB108" s="464">
        <f>AB81*Factors!$D$46*TbtuToQBtu</f>
        <v>0</v>
      </c>
      <c r="AC108" s="464">
        <f>AC81*Factors!$D$46*TbtuToQBtu</f>
        <v>0</v>
      </c>
      <c r="AD108" s="464">
        <f>AD81*Factors!$D$46*TbtuToQBtu</f>
        <v>0</v>
      </c>
      <c r="AE108" s="464">
        <f>AE81*Factors!$D$46*TbtuToQBtu</f>
        <v>0</v>
      </c>
      <c r="AF108" s="464">
        <f>AF81*Factors!$D$46*TbtuToQBtu</f>
        <v>0</v>
      </c>
      <c r="AG108" s="464">
        <f>AG81*Factors!$D$46*TbtuToQBtu</f>
        <v>0</v>
      </c>
      <c r="AH108" s="464">
        <f>AH81*Factors!$D$46*TbtuToQBtu</f>
        <v>0</v>
      </c>
      <c r="AI108" s="464">
        <f>AI81*Factors!$D$46*TbtuToQBtu</f>
        <v>0</v>
      </c>
      <c r="AJ108" s="466">
        <f>AJ81*Factors!$D$46*TbtuToQBtu</f>
        <v>0</v>
      </c>
      <c r="AK108" s="466">
        <f>AK81*Factors!$D$46*TbtuToQBtu</f>
        <v>0</v>
      </c>
      <c r="AL108" s="552" t="s">
        <v>1916</v>
      </c>
      <c r="AM108" s="552"/>
      <c r="AN108" s="552"/>
      <c r="AO108" s="552"/>
    </row>
    <row r="109" spans="2:45">
      <c r="C109" s="456">
        <v>10</v>
      </c>
      <c r="D109" s="6" t="s">
        <v>1615</v>
      </c>
      <c r="E109" s="464">
        <f>E82*Factors!$D$44*TbtuToQBtu</f>
        <v>6.0488619716159855</v>
      </c>
      <c r="F109" s="464">
        <f>F82*Factors!$D$44*TbtuToQBtu</f>
        <v>5.1722095691016774</v>
      </c>
      <c r="G109" s="464">
        <f>G82*Factors!$D$44*TbtuToQBtu</f>
        <v>6.5782296652293422</v>
      </c>
      <c r="H109" s="464">
        <f>H82*Factors!$D$44*TbtuToQBtu</f>
        <v>6.0371958774147645</v>
      </c>
      <c r="I109" s="464">
        <f>I82*Factors!$D$44*TbtuToQBtu</f>
        <v>6.977019404365433</v>
      </c>
      <c r="J109" s="464">
        <f>J82*Factors!$D$44*TbtuToQBtu</f>
        <v>6.5741793731019849</v>
      </c>
      <c r="K109" s="464">
        <f>K82*Factors!$D$44*TbtuToQBtu</f>
        <v>8.4563442409770708</v>
      </c>
      <c r="L109" s="464">
        <f>L82*Factors!$D$44*TbtuToQBtu</f>
        <v>9.4161534754366158</v>
      </c>
      <c r="M109" s="464">
        <f>M82*Factors!$D$44*TbtuToQBtu</f>
        <v>10.455408122285638</v>
      </c>
      <c r="N109" s="464">
        <f>N82*Factors!$D$44*TbtuToQBtu</f>
        <v>9.0131307546765793</v>
      </c>
      <c r="O109" s="464">
        <f>O82*Factors!$D$44*TbtuToQBtu</f>
        <v>10.995461114129053</v>
      </c>
      <c r="P109" s="464">
        <f>P82*Factors!$D$44*TbtuToQBtu</f>
        <v>9.0852131337176587</v>
      </c>
      <c r="Q109" s="464">
        <f>Q82*Factors!$D$44*TbtuToQBtu</f>
        <v>10.480280445613824</v>
      </c>
      <c r="R109" s="464">
        <f>R82*Factors!$D$44*TbtuToQBtu</f>
        <v>10.659889393576817</v>
      </c>
      <c r="S109" s="464">
        <f>S82*Factors!$D$44*TbtuToQBtu</f>
        <v>12.783277316632322</v>
      </c>
      <c r="T109" s="464">
        <f>T82*Factors!$D$44*TbtuToQBtu</f>
        <v>12.605519302368153</v>
      </c>
      <c r="U109" s="464">
        <f>U82*Factors!$D$44*TbtuToQBtu</f>
        <v>11.473885073627445</v>
      </c>
      <c r="V109" s="464">
        <f>V82*Factors!$D$44*TbtuToQBtu</f>
        <v>10.060621006409793</v>
      </c>
      <c r="W109" s="464">
        <f>W82*Factors!$D$44*TbtuToQBtu</f>
        <v>8.671441645144828</v>
      </c>
      <c r="X109" s="464">
        <f>X82*Factors!$D$44*TbtuToQBtu</f>
        <v>8.374545524114831</v>
      </c>
      <c r="Y109" s="464">
        <f>Y82*Factors!$D$44*TbtuToQBtu</f>
        <v>8.8054998467685923</v>
      </c>
      <c r="Z109" s="464">
        <f>Z82*Factors!$D$44*TbtuToQBtu</f>
        <v>8.7168347014850838</v>
      </c>
      <c r="AA109" s="464">
        <f>AA82*Factors!$D$44*TbtuToQBtu</f>
        <v>8.0245636044112789</v>
      </c>
      <c r="AB109" s="464">
        <f>AB82*Factors!$D$44*TbtuToQBtu</f>
        <v>9.2622505815078267</v>
      </c>
      <c r="AC109" s="464">
        <f>AC82*Factors!$D$44*TbtuToQBtu</f>
        <v>8.0823630317058548</v>
      </c>
      <c r="AD109" s="464">
        <f>AD82*Factors!$D$44*TbtuToQBtu</f>
        <v>7.7624291383701092</v>
      </c>
      <c r="AE109" s="464">
        <f>AE82*Factors!$D$44*TbtuToQBtu</f>
        <v>7.3913689553801731</v>
      </c>
      <c r="AF109" s="464">
        <f>AF82*Factors!$D$44*TbtuToQBtu</f>
        <v>7.6631627888665195</v>
      </c>
      <c r="AG109" s="464">
        <f>AG82*Factors!$D$44*TbtuToQBtu</f>
        <v>7.8120270548630186</v>
      </c>
      <c r="AH109" s="464">
        <f>AH82*Factors!$D$44*TbtuToQBtu</f>
        <v>6.8444717757682501</v>
      </c>
      <c r="AI109" s="464">
        <f>AI82*Factors!$D$44*TbtuToQBtu</f>
        <v>6.1040308764239999</v>
      </c>
      <c r="AJ109" s="466">
        <f>AJ82*Factors!$D$44*TbtuToQBtu</f>
        <v>6.1271529853600066</v>
      </c>
      <c r="AK109" s="466">
        <f>AK82*Factors!$D$44*TbtuToQBtu</f>
        <v>4.5876375984254016</v>
      </c>
      <c r="AL109" s="552" t="s">
        <v>1916</v>
      </c>
      <c r="AM109" s="552"/>
      <c r="AN109" s="552"/>
      <c r="AO109" s="552"/>
    </row>
    <row r="110" spans="2:45">
      <c r="C110" s="456">
        <v>11</v>
      </c>
      <c r="D110" s="6" t="s">
        <v>1616</v>
      </c>
      <c r="E110" s="464">
        <f>E83*Factors!$D$45*TbtuToQBtu</f>
        <v>13.347451609500924</v>
      </c>
      <c r="F110" s="464">
        <f>F83*Factors!$D$45*TbtuToQBtu</f>
        <v>14.954915439633259</v>
      </c>
      <c r="G110" s="464">
        <f>G83*Factors!$D$45*TbtuToQBtu</f>
        <v>13.546357029884145</v>
      </c>
      <c r="H110" s="464">
        <f>H83*Factors!$D$45*TbtuToQBtu</f>
        <v>13.416428957354752</v>
      </c>
      <c r="I110" s="464">
        <f>I83*Factors!$D$45*TbtuToQBtu</f>
        <v>12.922251336525322</v>
      </c>
      <c r="J110" s="464">
        <f>J83*Factors!$D$45*TbtuToQBtu</f>
        <v>12.07254207632306</v>
      </c>
      <c r="K110" s="464">
        <f>K83*Factors!$D$45*TbtuToQBtu</f>
        <v>10.538171025081825</v>
      </c>
      <c r="L110" s="464">
        <f>L83*Factors!$D$45*TbtuToQBtu</f>
        <v>12.924894039309695</v>
      </c>
      <c r="M110" s="464">
        <f>M83*Factors!$D$45*TbtuToQBtu</f>
        <v>12.427433262406025</v>
      </c>
      <c r="N110" s="464">
        <f>N83*Factors!$D$45*TbtuToQBtu</f>
        <v>12.859355100414371</v>
      </c>
      <c r="O110" s="464">
        <f>O83*Factors!$D$45*TbtuToQBtu</f>
        <v>10.745107494373</v>
      </c>
      <c r="P110" s="464">
        <f>P83*Factors!$D$45*TbtuToQBtu</f>
        <v>10.215633040553097</v>
      </c>
      <c r="Q110" s="464">
        <f>Q83*Factors!$D$45*TbtuToQBtu</f>
        <v>8.8033575838983413</v>
      </c>
      <c r="R110" s="464">
        <f>R83*Factors!$D$45*TbtuToQBtu</f>
        <v>9.7244482478524858</v>
      </c>
      <c r="S110" s="464">
        <f>S83*Factors!$D$45*TbtuToQBtu</f>
        <v>10.645012242127954</v>
      </c>
      <c r="T110" s="464">
        <f>T83*Factors!$D$45*TbtuToQBtu</f>
        <v>10.074220637845665</v>
      </c>
      <c r="U110" s="464">
        <f>U83*Factors!$D$45*TbtuToQBtu</f>
        <v>11.574369592598519</v>
      </c>
      <c r="V110" s="464">
        <f>V83*Factors!$D$45*TbtuToQBtu</f>
        <v>13.490729988597488</v>
      </c>
      <c r="W110" s="464">
        <f>W83*Factors!$D$45*TbtuToQBtu</f>
        <v>12.089568427169169</v>
      </c>
      <c r="X110" s="464">
        <f>X83*Factors!$D$45*TbtuToQBtu</f>
        <v>7.9295898373849285</v>
      </c>
      <c r="Y110" s="464">
        <f>Y83*Factors!$D$45*TbtuToQBtu</f>
        <v>8.7394685078247054</v>
      </c>
      <c r="Z110" s="464">
        <f>Z83*Factors!$D$45*TbtuToQBtu</f>
        <v>7.4332297965478435</v>
      </c>
      <c r="AA110" s="464">
        <f>AA83*Factors!$D$45*TbtuToQBtu</f>
        <v>5.3974622341374392</v>
      </c>
      <c r="AB110" s="464">
        <f>AB83*Factors!$D$45*TbtuToQBtu</f>
        <v>4.2220636416570549</v>
      </c>
      <c r="AC110" s="464">
        <f>AC83*Factors!$D$45*TbtuToQBtu</f>
        <v>4.7692238452179554</v>
      </c>
      <c r="AD110" s="464">
        <f>AD83*Factors!$D$45*TbtuToQBtu</f>
        <v>4.3786433820492183</v>
      </c>
      <c r="AE110" s="464">
        <f>AE83*Factors!$D$45*TbtuToQBtu</f>
        <v>4.1292650312177681</v>
      </c>
      <c r="AF110" s="464">
        <f>AF83*Factors!$D$45*TbtuToQBtu</f>
        <v>4.8994977749659974</v>
      </c>
      <c r="AG110" s="464">
        <f>AG83*Factors!$D$45*TbtuToQBtu</f>
        <v>4.4190045480304319</v>
      </c>
      <c r="AH110" s="464">
        <f>AH83*Factors!$D$45*TbtuToQBtu</f>
        <v>4.2723734387263175</v>
      </c>
      <c r="AI110" s="464">
        <f>AI83*Factors!$D$45*TbtuToQBtu</f>
        <v>3.9412678985441052</v>
      </c>
      <c r="AJ110" s="466">
        <f>AJ83*Factors!$D$45*TbtuToQBtu</f>
        <v>3.9509991858727407</v>
      </c>
      <c r="AK110" s="466">
        <f>AK83*Factors!$D$45*TbtuToQBtu</f>
        <v>2.2682369575881651</v>
      </c>
      <c r="AL110" s="552" t="s">
        <v>1916</v>
      </c>
      <c r="AM110" s="552"/>
      <c r="AN110" s="552"/>
      <c r="AO110" s="552"/>
    </row>
    <row r="111" spans="2:45">
      <c r="C111" s="456">
        <v>12</v>
      </c>
      <c r="D111" s="6" t="s">
        <v>1618</v>
      </c>
      <c r="E111" s="464">
        <f>E84*Factors!$D$52*TbtuToQBtu</f>
        <v>0.64307226000000162</v>
      </c>
      <c r="F111" s="464">
        <f>F84*Factors!$D$52*TbtuToQBtu</f>
        <v>0.7114663200000001</v>
      </c>
      <c r="G111" s="464">
        <f>G84*Factors!$D$52*TbtuToQBtu</f>
        <v>0.4997704200000006</v>
      </c>
      <c r="H111" s="464">
        <f>H84*Factors!$D$52*TbtuToQBtu</f>
        <v>0.79898130000000167</v>
      </c>
      <c r="I111" s="464">
        <f>I84*Factors!$D$52*TbtuToQBtu</f>
        <v>0.61932870000000073</v>
      </c>
      <c r="J111" s="464">
        <f>J84*Factors!$D$52*TbtuToQBtu</f>
        <v>0.83879903999999672</v>
      </c>
      <c r="K111" s="464">
        <f>K84*Factors!$D$52*TbtuToQBtu</f>
        <v>3.782159999999974E-2</v>
      </c>
      <c r="L111" s="464">
        <f>L84*Factors!$D$52*TbtuToQBtu</f>
        <v>0.21211613999999976</v>
      </c>
      <c r="M111" s="464">
        <f>M84*Factors!$D$52*TbtuToQBtu</f>
        <v>0.10863203999999853</v>
      </c>
      <c r="N111" s="464">
        <f>N84*Factors!$D$52*TbtuToQBtu</f>
        <v>0.40311522000000077</v>
      </c>
      <c r="O111" s="464">
        <f>O84*Factors!$D$52*TbtuToQBtu</f>
        <v>0.29731980000000202</v>
      </c>
      <c r="P111" s="464">
        <f>P84*Factors!$D$52*TbtuToQBtu</f>
        <v>0.86264765999999893</v>
      </c>
      <c r="Q111" s="464">
        <f>Q84*Factors!$D$52*TbtuToQBtu</f>
        <v>1.0807522200000006</v>
      </c>
      <c r="R111" s="464">
        <f>R84*Factors!$D$52*TbtuToQBtu</f>
        <v>1.0333701599999983</v>
      </c>
      <c r="S111" s="464">
        <f>S84*Factors!$D$52*TbtuToQBtu</f>
        <v>1.1006085600000017</v>
      </c>
      <c r="T111" s="464">
        <f>T84*Factors!$D$52*TbtuToQBtu</f>
        <v>1.1848666800000014</v>
      </c>
      <c r="U111" s="464">
        <f>U84*Factors!$D$52*TbtuToQBtu</f>
        <v>1.0017470999999962</v>
      </c>
      <c r="V111" s="464">
        <f>V84*Factors!$D$52*TbtuToQBtu</f>
        <v>0.77429219999999921</v>
      </c>
      <c r="W111" s="464">
        <f>W84*Factors!$D$52*TbtuToQBtu</f>
        <v>0.82881834000000043</v>
      </c>
      <c r="X111" s="464">
        <f>X84*Factors!$D$52*TbtuToQBtu</f>
        <v>2.3440987199999976</v>
      </c>
      <c r="Y111" s="464">
        <f>Y84*Factors!$D$52*TbtuToQBtu</f>
        <v>2.5874648366734188</v>
      </c>
      <c r="Z111" s="464">
        <f>Z84*Factors!$D$52*TbtuToQBtu</f>
        <v>2.8640606214000002</v>
      </c>
      <c r="AA111" s="464">
        <f>AA84*Factors!$D$52*TbtuToQBtu</f>
        <v>2.8124508899754956</v>
      </c>
      <c r="AB111" s="464">
        <f>AB84*Factors!$D$52*TbtuToQBtu</f>
        <v>2.9197170100280854</v>
      </c>
      <c r="AC111" s="464">
        <f>AC84*Factors!$D$52*TbtuToQBtu</f>
        <v>2.8810633736509073</v>
      </c>
      <c r="AD111" s="464">
        <f>AD84*Factors!$D$52*TbtuToQBtu</f>
        <v>2.83943550405013</v>
      </c>
      <c r="AE111" s="464">
        <f>AE84*Factors!$D$52*TbtuToQBtu</f>
        <v>2.9086063686755645</v>
      </c>
      <c r="AF111" s="464">
        <f>AF84*Factors!$D$52*TbtuToQBtu</f>
        <v>2.8689499256942614</v>
      </c>
      <c r="AG111" s="464">
        <f>AG84*Factors!$D$52*TbtuToQBtu</f>
        <v>2.922121466772067</v>
      </c>
      <c r="AH111" s="464">
        <f>AH84*Factors!$D$52*TbtuToQBtu</f>
        <v>2.7795064139240742</v>
      </c>
      <c r="AI111" s="464">
        <f>AI84*Factors!$D$52*TbtuToQBtu</f>
        <v>2.5462513186986975</v>
      </c>
      <c r="AJ111" s="466">
        <f>AJ84*Factors!$D$52*TbtuToQBtu</f>
        <v>2.6757501169859212</v>
      </c>
      <c r="AK111" s="466">
        <f>AK84*Factors!$D$52*TbtuToQBtu</f>
        <v>2.7504592089932278</v>
      </c>
      <c r="AL111" s="552" t="s">
        <v>1916</v>
      </c>
      <c r="AM111" s="552"/>
      <c r="AN111" s="552"/>
      <c r="AO111" s="552"/>
    </row>
    <row r="112" spans="2:45">
      <c r="C112" s="456">
        <v>13</v>
      </c>
      <c r="D112" s="6" t="s">
        <v>1921</v>
      </c>
      <c r="E112" s="464">
        <f>E85*Factors!$D$48*TbtuToQBtu</f>
        <v>0.81084393641580743</v>
      </c>
      <c r="F112" s="464">
        <f>F85*Factors!$D$48*TbtuToQBtu</f>
        <v>0.35708519770250607</v>
      </c>
      <c r="G112" s="464">
        <f>G85*Factors!$D$48*TbtuToQBtu</f>
        <v>2.1666519829774695</v>
      </c>
      <c r="H112" s="464">
        <f>H85*Factors!$D$48*TbtuToQBtu</f>
        <v>0.64503654885413242</v>
      </c>
      <c r="I112" s="464">
        <f>I85*Factors!$D$48*TbtuToQBtu</f>
        <v>1.2296601499134989</v>
      </c>
      <c r="J112" s="464">
        <f>J85*Factors!$D$48*TbtuToQBtu</f>
        <v>0.98909451507103485</v>
      </c>
      <c r="K112" s="464">
        <f>K85*Factors!$D$48*TbtuToQBtu</f>
        <v>0.82596131549488294</v>
      </c>
      <c r="L112" s="464">
        <f>L85*Factors!$D$48*TbtuToQBtu</f>
        <v>0</v>
      </c>
      <c r="M112" s="464">
        <f>M85*Factors!$D$48*TbtuToQBtu</f>
        <v>1.6117468512879938</v>
      </c>
      <c r="N112" s="464">
        <f>N85*Factors!$D$48*TbtuToQBtu</f>
        <v>3.4091172783036718</v>
      </c>
      <c r="O112" s="464">
        <f>O85*Factors!$D$48*TbtuToQBtu</f>
        <v>0.24298287743873703</v>
      </c>
      <c r="P112" s="464">
        <f>P85*Factors!$D$48*TbtuToQBtu</f>
        <v>2.6861696210585846</v>
      </c>
      <c r="Q112" s="464">
        <f>Q85*Factors!$D$48*TbtuToQBtu</f>
        <v>1.8156078779638294</v>
      </c>
      <c r="R112" s="464">
        <f>R85*Factors!$D$48*TbtuToQBtu</f>
        <v>1.1061951278822515</v>
      </c>
      <c r="S112" s="464">
        <f>S85*Factors!$D$48*TbtuToQBtu</f>
        <v>3.7663892352121415</v>
      </c>
      <c r="T112" s="464">
        <f>T85*Factors!$D$48*TbtuToQBtu</f>
        <v>2.901804767527342</v>
      </c>
      <c r="U112" s="464">
        <f>U85*Factors!$D$48*TbtuToQBtu</f>
        <v>3.7239954718925206</v>
      </c>
      <c r="V112" s="464">
        <f>V85*Factors!$D$48*TbtuToQBtu</f>
        <v>3.2205433574885163</v>
      </c>
      <c r="W112" s="464">
        <f>W85*Factors!$D$48*TbtuToQBtu</f>
        <v>3.8516449872487146</v>
      </c>
      <c r="X112" s="464">
        <f>X85*Factors!$D$48*TbtuToQBtu</f>
        <v>3.0215371205563031</v>
      </c>
      <c r="Y112" s="464">
        <f>Y85*Factors!$D$48*TbtuToQBtu</f>
        <v>0</v>
      </c>
      <c r="Z112" s="464">
        <f>Z85*Factors!$D$48*TbtuToQBtu</f>
        <v>0</v>
      </c>
      <c r="AA112" s="464">
        <f>AA85*Factors!$D$48*TbtuToQBtu</f>
        <v>0</v>
      </c>
      <c r="AB112" s="464">
        <f>AB85*Factors!$D$48*TbtuToQBtu</f>
        <v>0</v>
      </c>
      <c r="AC112" s="464">
        <f>AC85*Factors!$D$48*TbtuToQBtu</f>
        <v>0</v>
      </c>
      <c r="AD112" s="464">
        <f>AD85*Factors!$D$48*TbtuToQBtu</f>
        <v>0</v>
      </c>
      <c r="AE112" s="464">
        <f>AE85*Factors!$D$48*TbtuToQBtu</f>
        <v>0</v>
      </c>
      <c r="AF112" s="464">
        <f>AF85*Factors!$D$48*TbtuToQBtu</f>
        <v>0</v>
      </c>
      <c r="AG112" s="464">
        <f>AG85*Factors!$D$48*TbtuToQBtu</f>
        <v>0</v>
      </c>
      <c r="AH112" s="464">
        <f>AH85*Factors!$D$48*TbtuToQBtu</f>
        <v>0</v>
      </c>
      <c r="AI112" s="464">
        <f>AI85*Factors!$D$48*TbtuToQBtu</f>
        <v>0</v>
      </c>
      <c r="AJ112" s="466">
        <f>AJ85*Factors!$D$48*TbtuToQBtu</f>
        <v>0</v>
      </c>
      <c r="AK112" s="466">
        <f>AK85*Factors!$D$48*TbtuToQBtu</f>
        <v>0</v>
      </c>
      <c r="AL112" s="552" t="s">
        <v>1392</v>
      </c>
      <c r="AM112" s="552"/>
      <c r="AN112" s="552"/>
      <c r="AO112" s="552"/>
    </row>
    <row r="113" spans="2:41">
      <c r="C113" s="456">
        <v>14</v>
      </c>
      <c r="D113" s="6" t="s">
        <v>1619</v>
      </c>
      <c r="E113" s="464">
        <f>E86*Factors!$D$37*TbtuToQBtu</f>
        <v>1.9895829690888354</v>
      </c>
      <c r="F113" s="464">
        <f>F86*Factors!$D$37*TbtuToQBtu</f>
        <v>1.6267358230270992</v>
      </c>
      <c r="G113" s="464">
        <f>G86*Factors!$D$37*TbtuToQBtu</f>
        <v>1.948048048910465</v>
      </c>
      <c r="H113" s="464">
        <f>H86*Factors!$D$37*TbtuToQBtu</f>
        <v>1.9250135116507185</v>
      </c>
      <c r="I113" s="464">
        <f>I86*Factors!$D$37*TbtuToQBtu</f>
        <v>1.5158010556195973</v>
      </c>
      <c r="J113" s="464">
        <f>J86*Factors!$D$37*TbtuToQBtu</f>
        <v>1.3324084377044338</v>
      </c>
      <c r="K113" s="464">
        <f>K86*Factors!$D$37*TbtuToQBtu</f>
        <v>1.4035977009487721</v>
      </c>
      <c r="L113" s="464">
        <f>L86*Factors!$D$37*TbtuToQBtu</f>
        <v>1.3543783101600393</v>
      </c>
      <c r="M113" s="464">
        <f>M86*Factors!$D$37*TbtuToQBtu</f>
        <v>2.0478757574681836</v>
      </c>
      <c r="N113" s="464">
        <f>N86*Factors!$D$37*TbtuToQBtu</f>
        <v>2.7826524690306793</v>
      </c>
      <c r="O113" s="464">
        <f>O86*Factors!$D$37*TbtuToQBtu</f>
        <v>1.8607003380471629</v>
      </c>
      <c r="P113" s="464">
        <f>P86*Factors!$D$37*TbtuToQBtu</f>
        <v>1.5374784004354021</v>
      </c>
      <c r="Q113" s="464">
        <f>Q86*Factors!$D$37*TbtuToQBtu</f>
        <v>1.9635000280724602</v>
      </c>
      <c r="R113" s="464">
        <f>R86*Factors!$D$37*TbtuToQBtu</f>
        <v>1.495194814458253</v>
      </c>
      <c r="S113" s="464">
        <f>S86*Factors!$D$37*TbtuToQBtu</f>
        <v>0.93121468828176157</v>
      </c>
      <c r="T113" s="464">
        <f>T86*Factors!$D$37*TbtuToQBtu</f>
        <v>1.2020479601768983</v>
      </c>
      <c r="U113" s="464">
        <f>U86*Factors!$D$37*TbtuToQBtu</f>
        <v>1.3612561596622501</v>
      </c>
      <c r="V113" s="464">
        <f>V86*Factors!$D$37*TbtuToQBtu</f>
        <v>1.4884690074096634</v>
      </c>
      <c r="W113" s="464">
        <f>W86*Factors!$D$37*TbtuToQBtu</f>
        <v>1.6433084611311641</v>
      </c>
      <c r="X113" s="464">
        <f>X86*Factors!$D$37*TbtuToQBtu</f>
        <v>0.87419993319510825</v>
      </c>
      <c r="Y113" s="464">
        <f>Y86*Factors!$D$37*TbtuToQBtu</f>
        <v>0.49950113671126012</v>
      </c>
      <c r="Z113" s="464">
        <f>Z86*Factors!$D$37*TbtuToQBtu</f>
        <v>0.43134453511608628</v>
      </c>
      <c r="AA113" s="464">
        <f>AA86*Factors!$D$37*TbtuToQBtu</f>
        <v>0.27760286673027107</v>
      </c>
      <c r="AB113" s="464">
        <f>AB86*Factors!$D$37*TbtuToQBtu</f>
        <v>1.9076323575030127</v>
      </c>
      <c r="AC113" s="464">
        <f>AC86*Factors!$D$37*TbtuToQBtu</f>
        <v>2.0637755658623176</v>
      </c>
      <c r="AD113" s="464">
        <f>AD86*Factors!$D$37*TbtuToQBtu</f>
        <v>1.9178953446840421</v>
      </c>
      <c r="AE113" s="464">
        <f>AE86*Factors!$D$37*TbtuToQBtu</f>
        <v>1.7577749598528061</v>
      </c>
      <c r="AF113" s="464">
        <f>AF86*Factors!$D$37*TbtuToQBtu</f>
        <v>1.8818782993001693</v>
      </c>
      <c r="AG113" s="464">
        <f>AG86*Factors!$D$37*TbtuToQBtu</f>
        <v>1.7176409660319789</v>
      </c>
      <c r="AH113" s="464">
        <f>AH86*Factors!$D$37*TbtuToQBtu</f>
        <v>1.7632683107811598</v>
      </c>
      <c r="AI113" s="464">
        <f>AI86*Factors!$D$37*TbtuToQBtu</f>
        <v>1.5925403363048241</v>
      </c>
      <c r="AJ113" s="466">
        <f>AJ86*Factors!$D$37*TbtuToQBtu</f>
        <v>1.4990901474342948</v>
      </c>
      <c r="AK113" s="466">
        <f>AK86*Factors!$D$37*TbtuToQBtu</f>
        <v>1.6462277350859118</v>
      </c>
      <c r="AL113" s="552" t="s">
        <v>1916</v>
      </c>
      <c r="AM113" s="552"/>
      <c r="AN113" s="552"/>
      <c r="AO113" s="552"/>
    </row>
    <row r="114" spans="2:41">
      <c r="C114" s="456">
        <v>15</v>
      </c>
      <c r="D114" s="6" t="s">
        <v>1895</v>
      </c>
      <c r="E114" s="464"/>
      <c r="F114" s="464"/>
      <c r="G114" s="464"/>
      <c r="H114" s="464"/>
      <c r="I114" s="464"/>
      <c r="J114" s="464"/>
      <c r="K114" s="464"/>
      <c r="L114" s="464"/>
      <c r="M114" s="464"/>
      <c r="N114" s="464"/>
      <c r="O114" s="464"/>
      <c r="P114" s="464"/>
      <c r="Q114" s="464"/>
      <c r="R114" s="464"/>
      <c r="S114" s="464"/>
      <c r="T114" s="464"/>
      <c r="U114" s="464"/>
      <c r="V114" s="464"/>
      <c r="W114" s="464"/>
      <c r="X114" s="464"/>
      <c r="Y114" s="464"/>
      <c r="Z114" s="464"/>
      <c r="AA114" s="464"/>
      <c r="AB114" s="464"/>
      <c r="AC114" s="464"/>
      <c r="AD114" s="464"/>
      <c r="AE114" s="464"/>
      <c r="AF114" s="464"/>
      <c r="AG114" s="464"/>
      <c r="AH114" s="464"/>
      <c r="AI114" s="464"/>
      <c r="AJ114" s="464"/>
      <c r="AK114" s="464"/>
      <c r="AL114" s="552"/>
      <c r="AM114" s="552"/>
      <c r="AN114" s="552"/>
      <c r="AO114" s="552"/>
    </row>
    <row r="115" spans="2:41">
      <c r="C115" s="456">
        <v>16</v>
      </c>
      <c r="D115" s="463" t="s">
        <v>1738</v>
      </c>
      <c r="E115" s="464">
        <f>E88*Factors!J27*TbtuToQBtu</f>
        <v>0.14208054175863058</v>
      </c>
      <c r="F115" s="464">
        <f>F88*Factors!K27*TbtuToQBtu</f>
        <v>0.142868144</v>
      </c>
      <c r="G115" s="464">
        <f>G88*Factors!L27*TbtuToQBtu</f>
        <v>0.14126244391666665</v>
      </c>
      <c r="H115" s="464">
        <f>H88*Factors!M27*TbtuToQBtu</f>
        <v>0.13965674383333335</v>
      </c>
      <c r="I115" s="464">
        <f>I88*Factors!N27*TbtuToQBtu</f>
        <v>0.13805104374999999</v>
      </c>
      <c r="J115" s="464">
        <f>J88*Factors!O27*TbtuToQBtu</f>
        <v>0.16228340781250003</v>
      </c>
      <c r="K115" s="464">
        <f>K88*Factors!P27*TbtuToQBtu</f>
        <v>0.18651577187500004</v>
      </c>
      <c r="L115" s="464">
        <f>L88*Factors!Q27*TbtuToQBtu</f>
        <v>0.21074813593750005</v>
      </c>
      <c r="M115" s="464">
        <f>M88*Factors!R27*TbtuToQBtu</f>
        <v>0.23498050000000004</v>
      </c>
      <c r="N115" s="464">
        <f>N88*Factors!S27*TbtuToQBtu</f>
        <v>0.23498050000000004</v>
      </c>
      <c r="O115" s="464">
        <f>O88*Factors!T27*TbtuToQBtu</f>
        <v>0.23754350000000002</v>
      </c>
      <c r="P115" s="464">
        <f>P88*Factors!U27*TbtuToQBtu</f>
        <v>0.23719399999999999</v>
      </c>
      <c r="Q115" s="464">
        <f>Q88*Factors!V27*TbtuToQBtu</f>
        <v>0.23719399999999999</v>
      </c>
      <c r="R115" s="464">
        <f>R88*Factors!W27*TbtuToQBtu</f>
        <v>0.26697431249999998</v>
      </c>
      <c r="S115" s="464">
        <f>S88*Factors!X27*TbtuToQBtu</f>
        <v>0.296929375</v>
      </c>
      <c r="T115" s="464">
        <f>T88*Factors!Y27*TbtuToQBtu</f>
        <v>0.32630193749999997</v>
      </c>
      <c r="U115" s="464">
        <f>U88*Factors!Z27*TbtuToQBtu</f>
        <v>0.35526675000000002</v>
      </c>
      <c r="V115" s="464">
        <f>V88*Factors!AA27*TbtuToQBtu</f>
        <v>0.29489062500000002</v>
      </c>
      <c r="W115" s="464">
        <f>W88*Factors!AB27*TbtuToQBtu</f>
        <v>0.2359125</v>
      </c>
      <c r="X115" s="464">
        <f>X88*Factors!AC27*TbtuToQBtu</f>
        <v>0.17675962500000003</v>
      </c>
      <c r="Y115" s="464">
        <f>Y88*Factors!AD27*TbtuToQBtu</f>
        <v>0.117898</v>
      </c>
      <c r="Z115" s="464">
        <f>Z88*Factors!AE27*TbtuToQBtu</f>
        <v>0.1177815</v>
      </c>
      <c r="AA115" s="464">
        <f>AA88*Factors!AF27*TbtuToQBtu</f>
        <v>0.1177815</v>
      </c>
      <c r="AB115" s="464">
        <f>AB88*Factors!AG27*TbtuToQBtu</f>
        <v>0.11783975000000001</v>
      </c>
      <c r="AC115" s="464">
        <f>AC88*Factors!AH27*TbtuToQBtu</f>
        <v>0.11783975000000001</v>
      </c>
      <c r="AD115" s="464">
        <f>AD88*Factors!AI27*TbtuToQBtu</f>
        <v>0.11779106291415949</v>
      </c>
      <c r="AE115" s="464">
        <f>AE88*Factors!AJ27*TbtuToQBtu</f>
        <v>0.11774794335445647</v>
      </c>
      <c r="AF115" s="464">
        <f>AF88*Factors!AK27*TbtuToQBtu</f>
        <v>0.11770243803852584</v>
      </c>
      <c r="AG115" s="464">
        <f>AG88*Factors!AL27*TbtuToQBtu</f>
        <v>0.11779151580731288</v>
      </c>
      <c r="AH115" s="464">
        <f>AH88*Factors!AM27*TbtuToQBtu</f>
        <v>0.11779151580731288</v>
      </c>
      <c r="AI115" s="464">
        <f>AI88*Factors!AN27*TbtuToQBtu</f>
        <v>0.11776339878502338</v>
      </c>
      <c r="AJ115" s="464">
        <f>AJ88*Factors!AO27*TbtuToQBtu</f>
        <v>0.11776339878502338</v>
      </c>
      <c r="AK115" s="464">
        <f>AK88*Factors!AP27*TbtuToQBtu</f>
        <v>0.11776339878502338</v>
      </c>
      <c r="AL115" s="552" t="s">
        <v>1392</v>
      </c>
      <c r="AM115" s="552"/>
      <c r="AN115" s="552"/>
      <c r="AO115" s="552"/>
    </row>
    <row r="116" spans="2:41">
      <c r="C116" s="456">
        <v>17</v>
      </c>
      <c r="D116" s="463" t="s">
        <v>1621</v>
      </c>
      <c r="E116" s="464">
        <f>E89*Factors!$D$55*TbtuToQBtu</f>
        <v>0.65918907272727267</v>
      </c>
      <c r="F116" s="464">
        <f>F89*Factors!$D$55*TbtuToQBtu</f>
        <v>0.69536007272727263</v>
      </c>
      <c r="G116" s="464">
        <f>G89*Factors!$D$55*TbtuToQBtu</f>
        <v>0.73755957272727268</v>
      </c>
      <c r="H116" s="464">
        <f>H89*Factors!$D$55*TbtuToQBtu</f>
        <v>0.79236411818181807</v>
      </c>
      <c r="I116" s="464">
        <f>I89*Factors!$D$55*TbtuToQBtu</f>
        <v>0.80343463636363632</v>
      </c>
      <c r="J116" s="464">
        <f>J89*Factors!$D$55*TbtuToQBtu</f>
        <v>0.80354424545454539</v>
      </c>
      <c r="K116" s="464">
        <f>K89*Factors!$D$55*TbtuToQBtu</f>
        <v>0.96335429999999989</v>
      </c>
      <c r="L116" s="464">
        <f>L89*Factors!$D$55*TbtuToQBtu</f>
        <v>0.86591181818181817</v>
      </c>
      <c r="M116" s="464">
        <f>M89*Factors!$D$55*TbtuToQBtu</f>
        <v>0.83872876363636351</v>
      </c>
      <c r="N116" s="464">
        <f>N89*Factors!$D$55*TbtuToQBtu</f>
        <v>0.74106706363636354</v>
      </c>
      <c r="O116" s="464">
        <f>O89*Factors!$D$55*TbtuToQBtu</f>
        <v>0.65491431818181822</v>
      </c>
      <c r="P116" s="464">
        <f>P89*Factors!$D$55*TbtuToQBtu</f>
        <v>0.71925485454545446</v>
      </c>
      <c r="Q116" s="464">
        <f>Q89*Factors!$D$55*TbtuToQBtu</f>
        <v>0.63682881818181802</v>
      </c>
      <c r="R116" s="464">
        <f>R89*Factors!$D$55*TbtuToQBtu</f>
        <v>0.61457817272727266</v>
      </c>
      <c r="S116" s="464">
        <f>S89*Factors!$D$55*TbtuToQBtu</f>
        <v>0.60909771818181813</v>
      </c>
      <c r="T116" s="464">
        <f>T89*Factors!$D$55*TbtuToQBtu</f>
        <v>0.62094240537272727</v>
      </c>
      <c r="U116" s="464">
        <f>U89*Factors!$D$55*TbtuToQBtu</f>
        <v>0.51757445609999997</v>
      </c>
      <c r="V116" s="464">
        <f>V89*Factors!$D$55*TbtuToQBtu</f>
        <v>0.43326128001818182</v>
      </c>
      <c r="W116" s="464">
        <f>W89*Factors!$D$55*TbtuToQBtu</f>
        <v>0.37893506863636361</v>
      </c>
      <c r="X116" s="464">
        <f>X89*Factors!$D$55*TbtuToQBtu</f>
        <v>0.2419569165545454</v>
      </c>
      <c r="Y116" s="464">
        <f>Y89*Factors!$D$55*TbtuToQBtu</f>
        <v>0.33816541922727272</v>
      </c>
      <c r="Z116" s="464">
        <f>Z89*Factors!$D$55*TbtuToQBtu</f>
        <v>0.29842006677272725</v>
      </c>
      <c r="AA116" s="464">
        <f>AA89*Factors!$D$55*TbtuToQBtu</f>
        <v>0.30269876724545453</v>
      </c>
      <c r="AB116" s="464">
        <f>AB89*Factors!$D$55*TbtuToQBtu</f>
        <v>0.32640787126363635</v>
      </c>
      <c r="AC116" s="464">
        <f>AC89*Factors!$D$55*TbtuToQBtu</f>
        <v>0.29265013461818179</v>
      </c>
      <c r="AD116" s="464">
        <f>AD89*Factors!$D$55*TbtuToQBtu</f>
        <v>0.24462381534545452</v>
      </c>
      <c r="AE116" s="464">
        <f>AE89*Factors!$D$55*TbtuToQBtu</f>
        <v>0.25435776027272727</v>
      </c>
      <c r="AF116" s="464">
        <f>AF89*Factors!$D$55*TbtuToQBtu</f>
        <v>0.20115734386363629</v>
      </c>
      <c r="AG116" s="464">
        <f>AG89*Factors!$D$55*TbtuToQBtu</f>
        <v>0.24569940935454543</v>
      </c>
      <c r="AH116" s="464">
        <f>AH89*Factors!$D$55*TbtuToQBtu</f>
        <v>0.20634481330909085</v>
      </c>
      <c r="AI116" s="464">
        <f>AI89*Factors!$D$55*TbtuToQBtu</f>
        <v>0.18222763464545452</v>
      </c>
      <c r="AJ116" s="464">
        <f>AJ89*Factors!$D$55*TbtuToQBtu</f>
        <v>0.23341551853636361</v>
      </c>
      <c r="AK116" s="464">
        <f>AK89*Factors!$D$55*TbtuToQBtu</f>
        <v>0.25810397978181815</v>
      </c>
      <c r="AL116" s="552" t="s">
        <v>1621</v>
      </c>
      <c r="AM116" s="552"/>
      <c r="AN116" s="552"/>
      <c r="AO116" s="552"/>
    </row>
    <row r="117" spans="2:41">
      <c r="C117" s="456">
        <v>18</v>
      </c>
      <c r="D117" s="463" t="s">
        <v>1614</v>
      </c>
      <c r="E117" s="464">
        <f>E90*Factors!J23*TbtuToQBtu</f>
        <v>0</v>
      </c>
      <c r="F117" s="464">
        <f>F90*Factors!K23*TbtuToQBtu</f>
        <v>0</v>
      </c>
      <c r="G117" s="464">
        <f>G90*Factors!L23*TbtuToQBtu</f>
        <v>0</v>
      </c>
      <c r="H117" s="464">
        <f>H90*Factors!M23*TbtuToQBtu</f>
        <v>0</v>
      </c>
      <c r="I117" s="464">
        <f>I90*Factors!N23*TbtuToQBtu</f>
        <v>0</v>
      </c>
      <c r="J117" s="464">
        <f>J90*Factors!O23*TbtuToQBtu</f>
        <v>0</v>
      </c>
      <c r="K117" s="464">
        <f>K90*Factors!P23*TbtuToQBtu</f>
        <v>0</v>
      </c>
      <c r="L117" s="464">
        <f>L90*Factors!Q23*TbtuToQBtu</f>
        <v>0</v>
      </c>
      <c r="M117" s="464">
        <f>M90*Factors!R23*TbtuToQBtu</f>
        <v>0</v>
      </c>
      <c r="N117" s="464">
        <f>N90*Factors!S23*TbtuToQBtu</f>
        <v>0</v>
      </c>
      <c r="O117" s="464">
        <f>O90*Factors!T23*TbtuToQBtu</f>
        <v>0</v>
      </c>
      <c r="P117" s="464">
        <f>P90*Factors!U23*TbtuToQBtu</f>
        <v>0</v>
      </c>
      <c r="Q117" s="464">
        <f>Q90*Factors!V23*TbtuToQBtu</f>
        <v>0</v>
      </c>
      <c r="R117" s="464">
        <f>R90*Factors!W23*TbtuToQBtu</f>
        <v>0</v>
      </c>
      <c r="S117" s="464">
        <f>S90*Factors!X23*TbtuToQBtu</f>
        <v>0</v>
      </c>
      <c r="T117" s="464">
        <f>T90*Factors!Y23*TbtuToQBtu</f>
        <v>0</v>
      </c>
      <c r="U117" s="464">
        <f>U90*Factors!Z23*TbtuToQBtu</f>
        <v>0</v>
      </c>
      <c r="V117" s="464">
        <f>V90*Factors!AA23*TbtuToQBtu</f>
        <v>0</v>
      </c>
      <c r="W117" s="464">
        <f>W90*Factors!AB23*TbtuToQBtu</f>
        <v>0</v>
      </c>
      <c r="X117" s="464">
        <f>X90*Factors!AC23*TbtuToQBtu</f>
        <v>0</v>
      </c>
      <c r="Y117" s="464">
        <f>Y90*Factors!AD23*TbtuToQBtu</f>
        <v>0</v>
      </c>
      <c r="Z117" s="464">
        <f>Z90*Factors!AE23*TbtuToQBtu</f>
        <v>0</v>
      </c>
      <c r="AA117" s="464">
        <f>AA90*Factors!AF23*TbtuToQBtu</f>
        <v>0</v>
      </c>
      <c r="AB117" s="464">
        <f>AB90*Factors!AG23*TbtuToQBtu</f>
        <v>0</v>
      </c>
      <c r="AC117" s="464">
        <f>AC90*Factors!AH23*TbtuToQBtu</f>
        <v>0</v>
      </c>
      <c r="AD117" s="464">
        <f>AD90*Factors!AI23*TbtuToQBtu</f>
        <v>0</v>
      </c>
      <c r="AE117" s="464">
        <f>AE90*Factors!AJ23*TbtuToQBtu</f>
        <v>0</v>
      </c>
      <c r="AF117" s="464">
        <f>AF90*Factors!AK23*TbtuToQBtu</f>
        <v>0</v>
      </c>
      <c r="AG117" s="464">
        <f>AG90*Factors!AL23*TbtuToQBtu</f>
        <v>0</v>
      </c>
      <c r="AH117" s="464">
        <f>AH90*Factors!AM23*TbtuToQBtu</f>
        <v>0</v>
      </c>
      <c r="AI117" s="464">
        <f>AI90*Factors!AN23*TbtuToQBtu</f>
        <v>0</v>
      </c>
      <c r="AJ117" s="464">
        <f>AJ90*Factors!AO23*TbtuToQBtu</f>
        <v>0</v>
      </c>
      <c r="AK117" s="464">
        <f>AK90*Factors!AP23*TbtuToQBtu</f>
        <v>0</v>
      </c>
      <c r="AL117" s="552" t="s">
        <v>1392</v>
      </c>
      <c r="AM117" s="552"/>
      <c r="AN117" s="552"/>
      <c r="AO117" s="552"/>
    </row>
    <row r="118" spans="2:41">
      <c r="C118" s="456">
        <v>19</v>
      </c>
      <c r="D118" s="5" t="s">
        <v>1445</v>
      </c>
      <c r="E118" s="73">
        <f t="shared" ref="E118:AK118" si="205">SUM(E119)</f>
        <v>3.5550865622423737</v>
      </c>
      <c r="F118" s="73">
        <f t="shared" si="205"/>
        <v>3.1803885183242144</v>
      </c>
      <c r="G118" s="73">
        <f t="shared" si="205"/>
        <v>3.2425419350970532</v>
      </c>
      <c r="H118" s="73">
        <f t="shared" si="205"/>
        <v>3.3017462459716698</v>
      </c>
      <c r="I118" s="73">
        <f t="shared" si="205"/>
        <v>3.4509790841639805</v>
      </c>
      <c r="J118" s="73">
        <f t="shared" si="205"/>
        <v>3.3917343745784301</v>
      </c>
      <c r="K118" s="73">
        <f t="shared" si="205"/>
        <v>3.2916263688825596</v>
      </c>
      <c r="L118" s="73">
        <f t="shared" si="205"/>
        <v>3.4772382462714524</v>
      </c>
      <c r="M118" s="73">
        <f t="shared" si="205"/>
        <v>3.6401662474705834</v>
      </c>
      <c r="N118" s="73">
        <f t="shared" si="205"/>
        <v>3.678242032526418</v>
      </c>
      <c r="O118" s="73">
        <f t="shared" si="205"/>
        <v>3.6230775927452594</v>
      </c>
      <c r="P118" s="73">
        <f t="shared" si="205"/>
        <v>3.3195418781383488</v>
      </c>
      <c r="Q118" s="73">
        <f t="shared" si="205"/>
        <v>3.2802137330435426</v>
      </c>
      <c r="R118" s="73">
        <f t="shared" si="205"/>
        <v>3.0326100337255482</v>
      </c>
      <c r="S118" s="73">
        <f t="shared" si="205"/>
        <v>3.0723623652851679</v>
      </c>
      <c r="T118" s="73">
        <f t="shared" si="205"/>
        <v>3.0563038776886753</v>
      </c>
      <c r="U118" s="73">
        <f t="shared" si="205"/>
        <v>2.9776677868545298</v>
      </c>
      <c r="V118" s="73">
        <f t="shared" si="205"/>
        <v>3.0749680821404479</v>
      </c>
      <c r="W118" s="73">
        <f t="shared" si="205"/>
        <v>2.854774908191561</v>
      </c>
      <c r="X118" s="73">
        <f t="shared" si="205"/>
        <v>2.5666311024507231</v>
      </c>
      <c r="Y118" s="73">
        <f t="shared" si="205"/>
        <v>3.1263148437382893</v>
      </c>
      <c r="Z118" s="73">
        <f t="shared" si="205"/>
        <v>2.9970187693921901</v>
      </c>
      <c r="AA118" s="73">
        <f t="shared" si="205"/>
        <v>2.7351543251142911</v>
      </c>
      <c r="AB118" s="73">
        <f t="shared" si="205"/>
        <v>2.8957997991456188</v>
      </c>
      <c r="AC118" s="73">
        <f t="shared" si="205"/>
        <v>3.016995931949336</v>
      </c>
      <c r="AD118" s="73">
        <f t="shared" si="205"/>
        <v>3.2886772629843359</v>
      </c>
      <c r="AE118" s="73">
        <f t="shared" si="205"/>
        <v>3.1177907157310942</v>
      </c>
      <c r="AF118" s="73">
        <f t="shared" si="205"/>
        <v>2.8679650873116986</v>
      </c>
      <c r="AG118" s="73">
        <f t="shared" si="205"/>
        <v>2.7670289080416692</v>
      </c>
      <c r="AH118" s="73">
        <f t="shared" si="205"/>
        <v>2.6527611541632314</v>
      </c>
      <c r="AI118" s="73">
        <f t="shared" si="205"/>
        <v>2.3353484823502955</v>
      </c>
      <c r="AJ118" s="73">
        <f t="shared" si="205"/>
        <v>2.4044908761148158</v>
      </c>
      <c r="AK118" s="73">
        <f t="shared" si="205"/>
        <v>2.5327163846211493</v>
      </c>
      <c r="AL118" s="552"/>
      <c r="AM118" s="552"/>
      <c r="AN118" s="552"/>
      <c r="AO118" s="552"/>
    </row>
    <row r="119" spans="2:41">
      <c r="C119" s="456">
        <v>20</v>
      </c>
      <c r="D119" s="6" t="s">
        <v>1610</v>
      </c>
      <c r="E119" s="464">
        <f>E92*Factors!$D$33*TbtuToQBtu</f>
        <v>3.5550865622423737</v>
      </c>
      <c r="F119" s="464">
        <f>F92*Factors!$D$33*TbtuToQBtu</f>
        <v>3.1803885183242144</v>
      </c>
      <c r="G119" s="464">
        <f>G92*Factors!$D$33*TbtuToQBtu</f>
        <v>3.2425419350970532</v>
      </c>
      <c r="H119" s="464">
        <f>H92*Factors!$D$33*TbtuToQBtu</f>
        <v>3.3017462459716698</v>
      </c>
      <c r="I119" s="464">
        <f>I92*Factors!$D$33*TbtuToQBtu</f>
        <v>3.4509790841639805</v>
      </c>
      <c r="J119" s="464">
        <f>J92*Factors!$D$33*TbtuToQBtu</f>
        <v>3.3917343745784301</v>
      </c>
      <c r="K119" s="464">
        <f>K92*Factors!$D$33*TbtuToQBtu</f>
        <v>3.2916263688825596</v>
      </c>
      <c r="L119" s="464">
        <f>L92*Factors!$D$33*TbtuToQBtu</f>
        <v>3.4772382462714524</v>
      </c>
      <c r="M119" s="464">
        <f>M92*Factors!$D$33*TbtuToQBtu</f>
        <v>3.6401662474705834</v>
      </c>
      <c r="N119" s="464">
        <f>N92*Factors!$D$33*TbtuToQBtu</f>
        <v>3.678242032526418</v>
      </c>
      <c r="O119" s="464">
        <f>O92*Factors!$D$33*TbtuToQBtu</f>
        <v>3.6230775927452594</v>
      </c>
      <c r="P119" s="464">
        <f>P92*Factors!$D$33*TbtuToQBtu</f>
        <v>3.3195418781383488</v>
      </c>
      <c r="Q119" s="464">
        <f>Q92*Factors!$D$33*TbtuToQBtu</f>
        <v>3.2802137330435426</v>
      </c>
      <c r="R119" s="464">
        <f>R92*Factors!$D$33*TbtuToQBtu</f>
        <v>3.0326100337255482</v>
      </c>
      <c r="S119" s="464">
        <f>S92*Factors!$D$33*TbtuToQBtu</f>
        <v>3.0723623652851679</v>
      </c>
      <c r="T119" s="464">
        <f>T92*Factors!$D$33*TbtuToQBtu</f>
        <v>3.0563038776886753</v>
      </c>
      <c r="U119" s="464">
        <f>U92*Factors!$D$33*TbtuToQBtu</f>
        <v>2.9776677868545298</v>
      </c>
      <c r="V119" s="464">
        <f>V92*Factors!$D$33*TbtuToQBtu</f>
        <v>3.0749680821404479</v>
      </c>
      <c r="W119" s="464">
        <f>W92*Factors!$D$33*TbtuToQBtu</f>
        <v>2.854774908191561</v>
      </c>
      <c r="X119" s="464">
        <f>X92*Factors!$D$33*TbtuToQBtu</f>
        <v>2.5666311024507231</v>
      </c>
      <c r="Y119" s="464">
        <f>Y92*Factors!$D$33*TbtuToQBtu</f>
        <v>3.1263148437382893</v>
      </c>
      <c r="Z119" s="464">
        <f>Z92*Factors!$D$33*TbtuToQBtu</f>
        <v>2.9970187693921901</v>
      </c>
      <c r="AA119" s="464">
        <f>AA92*Factors!$D$33*TbtuToQBtu</f>
        <v>2.7351543251142911</v>
      </c>
      <c r="AB119" s="464">
        <f>AB92*Factors!$D$33*TbtuToQBtu</f>
        <v>2.8957997991456188</v>
      </c>
      <c r="AC119" s="464">
        <f>AC92*Factors!$D$33*TbtuToQBtu</f>
        <v>3.016995931949336</v>
      </c>
      <c r="AD119" s="464">
        <f>AD92*Factors!$D$33*TbtuToQBtu</f>
        <v>3.2886772629843359</v>
      </c>
      <c r="AE119" s="464">
        <f>AE92*Factors!$D$33*TbtuToQBtu</f>
        <v>3.1177907157310942</v>
      </c>
      <c r="AF119" s="464">
        <f>AF92*Factors!$D$33*TbtuToQBtu</f>
        <v>2.8679650873116986</v>
      </c>
      <c r="AG119" s="464">
        <f>AG92*Factors!$D$33*TbtuToQBtu</f>
        <v>2.7670289080416692</v>
      </c>
      <c r="AH119" s="464">
        <f>AH92*Factors!$D$33*TbtuToQBtu</f>
        <v>2.6527611541632314</v>
      </c>
      <c r="AI119" s="464">
        <f>AI92*Factors!$D$33*TbtuToQBtu</f>
        <v>2.3353484823502955</v>
      </c>
      <c r="AJ119" s="464">
        <f>AJ92*Factors!$D$33*TbtuToQBtu</f>
        <v>2.4044908761148158</v>
      </c>
      <c r="AK119" s="464">
        <f>AK92*Factors!$D$33*TbtuToQBtu</f>
        <v>2.5327163846211493</v>
      </c>
      <c r="AL119" s="552" t="s">
        <v>1610</v>
      </c>
      <c r="AM119" s="552"/>
      <c r="AN119" s="552"/>
      <c r="AO119" s="552"/>
    </row>
    <row r="120" spans="2:41">
      <c r="C120" s="456">
        <v>21</v>
      </c>
      <c r="D120" s="5" t="s">
        <v>1476</v>
      </c>
      <c r="E120" s="504">
        <f>SUM(E121:E122)</f>
        <v>1.0164898553132171</v>
      </c>
      <c r="F120" s="504">
        <f t="shared" ref="F120:S120" si="206">SUM(F121:F122)</f>
        <v>1.2879630125157349</v>
      </c>
      <c r="G120" s="504">
        <f t="shared" si="206"/>
        <v>0.71198776137695363</v>
      </c>
      <c r="H120" s="504">
        <f t="shared" si="206"/>
        <v>0.77688174289453138</v>
      </c>
      <c r="I120" s="504">
        <f t="shared" si="206"/>
        <v>0.60807555228983157</v>
      </c>
      <c r="J120" s="504">
        <f t="shared" si="206"/>
        <v>1.1092176519071926</v>
      </c>
      <c r="K120" s="504">
        <f t="shared" si="206"/>
        <v>1.4551232282829609</v>
      </c>
      <c r="L120" s="504">
        <f t="shared" si="206"/>
        <v>1.5485786402296364</v>
      </c>
      <c r="M120" s="504">
        <f t="shared" si="206"/>
        <v>1.5322999248167097</v>
      </c>
      <c r="N120" s="504">
        <f t="shared" si="206"/>
        <v>2.7051596400650495</v>
      </c>
      <c r="O120" s="504">
        <f t="shared" si="206"/>
        <v>2.817106234953354</v>
      </c>
      <c r="P120" s="504">
        <f t="shared" si="206"/>
        <v>1.7107688866129795</v>
      </c>
      <c r="Q120" s="504">
        <f t="shared" si="206"/>
        <v>2.8052380578971357</v>
      </c>
      <c r="R120" s="504">
        <f t="shared" si="206"/>
        <v>2.413429666353855</v>
      </c>
      <c r="S120" s="504">
        <f t="shared" si="206"/>
        <v>2.2688806796158749</v>
      </c>
      <c r="T120" s="504">
        <f t="shared" ref="T120:Y120" si="207">SUM(T121:T122)</f>
        <v>2.2995072125443343</v>
      </c>
      <c r="U120" s="504">
        <f t="shared" si="207"/>
        <v>1.9724168029968836</v>
      </c>
      <c r="V120" s="504">
        <f t="shared" si="207"/>
        <v>2.2207964570611707</v>
      </c>
      <c r="W120" s="504">
        <f t="shared" si="207"/>
        <v>1.560888779176834</v>
      </c>
      <c r="X120" s="504">
        <f t="shared" si="207"/>
        <v>0.80715216026588488</v>
      </c>
      <c r="Y120" s="504">
        <f t="shared" si="207"/>
        <v>0.54855488590199197</v>
      </c>
      <c r="Z120" s="504">
        <f t="shared" ref="Z120:AE120" si="208">SUM(Z121:Z122)</f>
        <v>0.2922079840102117</v>
      </c>
      <c r="AA120" s="504">
        <f t="shared" si="208"/>
        <v>0.35261146563595208</v>
      </c>
      <c r="AB120" s="504">
        <f t="shared" si="208"/>
        <v>0.21090961452980722</v>
      </c>
      <c r="AC120" s="504">
        <f t="shared" si="208"/>
        <v>0.21327662644034856</v>
      </c>
      <c r="AD120" s="504">
        <f t="shared" si="208"/>
        <v>0.20718245520747203</v>
      </c>
      <c r="AE120" s="504">
        <f t="shared" si="208"/>
        <v>0.21045332277271289</v>
      </c>
      <c r="AF120" s="504">
        <f t="shared" ref="AF120:AH120" si="209">SUM(AF121:AF122)</f>
        <v>7.0028778632147501E-2</v>
      </c>
      <c r="AG120" s="504">
        <f t="shared" si="209"/>
        <v>7.1700322741714492E-2</v>
      </c>
      <c r="AH120" s="504">
        <f t="shared" si="209"/>
        <v>7.3058958570712457E-2</v>
      </c>
      <c r="AI120" s="504">
        <f t="shared" ref="AI120:AJ120" si="210">SUM(AI121:AI122)</f>
        <v>2.1103280353636358E-2</v>
      </c>
      <c r="AJ120" s="504">
        <f t="shared" si="210"/>
        <v>2.1114719983636357E-2</v>
      </c>
      <c r="AK120" s="504">
        <f t="shared" ref="AK120" si="211">SUM(AK121:AK122)</f>
        <v>2.1114719983636357E-2</v>
      </c>
      <c r="AL120" s="552"/>
      <c r="AM120" s="552"/>
      <c r="AN120" s="552"/>
      <c r="AO120" s="552"/>
    </row>
    <row r="121" spans="2:41">
      <c r="C121" s="456">
        <v>22</v>
      </c>
      <c r="D121" s="6" t="s">
        <v>1610</v>
      </c>
      <c r="E121" s="464">
        <f>E94*Factors!$D$33*TbtuToQBtu</f>
        <v>1.4318862545454543E-2</v>
      </c>
      <c r="F121" s="464">
        <f>F94*Factors!$D$33*TbtuToQBtu</f>
        <v>1.2036793827272727E-2</v>
      </c>
      <c r="G121" s="464">
        <f>G94*Factors!$D$33*TbtuToQBtu</f>
        <v>2.9711639781818171E-2</v>
      </c>
      <c r="H121" s="464">
        <f>H94*Factors!$D$33*TbtuToQBtu</f>
        <v>3.4869740309215455E-2</v>
      </c>
      <c r="I121" s="464">
        <f>I94*Factors!$D$33*TbtuToQBtu</f>
        <v>3.8123971527272725E-2</v>
      </c>
      <c r="J121" s="464">
        <f>J94*Factors!$D$33*TbtuToQBtu</f>
        <v>4.0585026027272729E-2</v>
      </c>
      <c r="K121" s="464">
        <f>K94*Factors!$D$33*TbtuToQBtu</f>
        <v>2.9678630108941863E-2</v>
      </c>
      <c r="L121" s="464">
        <f>L94*Factors!$D$33*TbtuToQBtu</f>
        <v>4.9892286681818179E-2</v>
      </c>
      <c r="M121" s="464">
        <f>M94*Factors!$D$33*TbtuToQBtu</f>
        <v>2.5594966799999997E-2</v>
      </c>
      <c r="N121" s="464">
        <f>N94*Factors!$D$33*TbtuToQBtu</f>
        <v>2.7832289072727275E-2</v>
      </c>
      <c r="O121" s="464">
        <f>O94*Factors!$D$33*TbtuToQBtu</f>
        <v>6.2701017822205718E-2</v>
      </c>
      <c r="P121" s="464">
        <f>P94*Factors!$D$33*TbtuToQBtu</f>
        <v>5.0793835612976311E-2</v>
      </c>
      <c r="Q121" s="464">
        <f>Q94*Factors!$D$33*TbtuToQBtu</f>
        <v>6.1104152203711029E-2</v>
      </c>
      <c r="R121" s="464">
        <f>R94*Factors!$D$33*TbtuToQBtu</f>
        <v>9.8096590329489447E-2</v>
      </c>
      <c r="S121" s="464">
        <f>S94*Factors!$D$33*TbtuToQBtu</f>
        <v>0.10245224396423248</v>
      </c>
      <c r="T121" s="464">
        <f>T94*Factors!$D$33*TbtuToQBtu</f>
        <v>9.2557715940224161E-2</v>
      </c>
      <c r="U121" s="464">
        <f>U94*Factors!$D$33*TbtuToQBtu</f>
        <v>0.12503873162017431</v>
      </c>
      <c r="V121" s="464">
        <f>V94*Factors!$D$33*TbtuToQBtu</f>
        <v>0.11992082806253965</v>
      </c>
      <c r="W121" s="464">
        <f>W94*Factors!$D$33*TbtuToQBtu</f>
        <v>5.3656635709620468E-2</v>
      </c>
      <c r="X121" s="464">
        <f>X94*Factors!$D$33*TbtuToQBtu</f>
        <v>2.1030829363636358E-2</v>
      </c>
      <c r="Y121" s="464">
        <f>Y94*Factors!$D$33*TbtuToQBtu</f>
        <v>2.1030829363636358E-2</v>
      </c>
      <c r="Z121" s="464">
        <f>Z94*Factors!$D$33*TbtuToQBtu</f>
        <v>2.1030829363636358E-2</v>
      </c>
      <c r="AA121" s="464">
        <f>AA94*Factors!$D$33*TbtuToQBtu</f>
        <v>2.1030829363636358E-2</v>
      </c>
      <c r="AB121" s="464">
        <f>AB94*Factors!$D$33*TbtuToQBtu</f>
        <v>2.1030829363636358E-2</v>
      </c>
      <c r="AC121" s="464">
        <f>AC94*Factors!$D$33*TbtuToQBtu</f>
        <v>2.1030829363636358E-2</v>
      </c>
      <c r="AD121" s="464">
        <f>AD94*Factors!$D$33*TbtuToQBtu</f>
        <v>2.1030829363636358E-2</v>
      </c>
      <c r="AE121" s="464">
        <f>AE94*Factors!$D$33*TbtuToQBtu</f>
        <v>2.1030829363636358E-2</v>
      </c>
      <c r="AF121" s="464">
        <f>AF94*Factors!$D$33*TbtuToQBtu</f>
        <v>2.1030829363636358E-2</v>
      </c>
      <c r="AG121" s="464">
        <f>AG94*Factors!$D$33*TbtuToQBtu</f>
        <v>2.1030829363636358E-2</v>
      </c>
      <c r="AH121" s="464">
        <f>AH94*Factors!$D$33*TbtuToQBtu</f>
        <v>2.1030829363636358E-2</v>
      </c>
      <c r="AI121" s="464">
        <f>AI94*Factors!$D$33*TbtuToQBtu</f>
        <v>2.1030829363636358E-2</v>
      </c>
      <c r="AJ121" s="464">
        <f>AJ94*Factors!$D$33*TbtuToQBtu</f>
        <v>2.1030829363636358E-2</v>
      </c>
      <c r="AK121" s="464">
        <f>AK94*Factors!$D$33*TbtuToQBtu</f>
        <v>2.1030829363636358E-2</v>
      </c>
      <c r="AL121" s="552" t="s">
        <v>1610</v>
      </c>
      <c r="AM121" s="552"/>
      <c r="AN121" s="552"/>
      <c r="AO121" s="552"/>
    </row>
    <row r="122" spans="2:41">
      <c r="C122" s="456">
        <v>23</v>
      </c>
      <c r="D122" s="6" t="s">
        <v>1785</v>
      </c>
      <c r="E122" s="464">
        <f>E95*Factors!$D$43*TbtuToQBtu</f>
        <v>1.0021709927677627</v>
      </c>
      <c r="F122" s="464">
        <f>F95*Factors!$D$43*TbtuToQBtu</f>
        <v>1.2759262186884621</v>
      </c>
      <c r="G122" s="464">
        <f>G95*Factors!$D$43*TbtuToQBtu</f>
        <v>0.68227612159513551</v>
      </c>
      <c r="H122" s="464">
        <f>H95*Factors!$D$43*TbtuToQBtu</f>
        <v>0.74201200258531597</v>
      </c>
      <c r="I122" s="464">
        <f>I95*Factors!$D$43*TbtuToQBtu</f>
        <v>0.56995158076255881</v>
      </c>
      <c r="J122" s="464">
        <f>J95*Factors!$D$43*TbtuToQBtu</f>
        <v>1.0686326258799199</v>
      </c>
      <c r="K122" s="464">
        <f>K95*Factors!$D$43*TbtuToQBtu</f>
        <v>1.4254445981740191</v>
      </c>
      <c r="L122" s="464">
        <f>L95*Factors!$D$43*TbtuToQBtu</f>
        <v>1.4986863535478183</v>
      </c>
      <c r="M122" s="464">
        <f>M95*Factors!$D$43*TbtuToQBtu</f>
        <v>1.5067049580167098</v>
      </c>
      <c r="N122" s="464">
        <f>N95*Factors!$D$43*TbtuToQBtu</f>
        <v>2.6773273509923223</v>
      </c>
      <c r="O122" s="464">
        <f>O95*Factors!$D$43*TbtuToQBtu</f>
        <v>2.7544052171311484</v>
      </c>
      <c r="P122" s="464">
        <f>P95*Factors!$D$43*TbtuToQBtu</f>
        <v>1.6599750510000033</v>
      </c>
      <c r="Q122" s="464">
        <f>Q95*Factors!$D$43*TbtuToQBtu</f>
        <v>2.7441339056934244</v>
      </c>
      <c r="R122" s="464">
        <f>R95*Factors!$D$43*TbtuToQBtu</f>
        <v>2.3153330760243658</v>
      </c>
      <c r="S122" s="464">
        <f>S95*Factors!$D$43*TbtuToQBtu</f>
        <v>2.1664284356516426</v>
      </c>
      <c r="T122" s="464">
        <f>T95*Factors!$D$43*TbtuToQBtu</f>
        <v>2.2069494966041101</v>
      </c>
      <c r="U122" s="464">
        <f>U95*Factors!$D$43*TbtuToQBtu</f>
        <v>1.8473780713767092</v>
      </c>
      <c r="V122" s="464">
        <f>V95*Factors!$D$43*TbtuToQBtu</f>
        <v>2.1008756289986312</v>
      </c>
      <c r="W122" s="464">
        <f>W95*Factors!$D$43*TbtuToQBtu</f>
        <v>1.5072321434672136</v>
      </c>
      <c r="X122" s="464">
        <f>X95*Factors!$D$43*TbtuToQBtu</f>
        <v>0.78612133090224856</v>
      </c>
      <c r="Y122" s="464">
        <f>Y95*Factors!$D$43*TbtuToQBtu</f>
        <v>0.52752405653835566</v>
      </c>
      <c r="Z122" s="464">
        <f>Z95*Factors!$D$43*TbtuToQBtu</f>
        <v>0.27117715464657532</v>
      </c>
      <c r="AA122" s="464">
        <f>AA95*Factors!$D$43*TbtuToQBtu</f>
        <v>0.33158063627231571</v>
      </c>
      <c r="AB122" s="464">
        <f>AB95*Factors!$D$43*TbtuToQBtu</f>
        <v>0.18987878516617088</v>
      </c>
      <c r="AC122" s="464">
        <f>AC95*Factors!$D$43*TbtuToQBtu</f>
        <v>0.19224579707671222</v>
      </c>
      <c r="AD122" s="464">
        <f>AD95*Factors!$D$43*TbtuToQBtu</f>
        <v>0.18615162584383566</v>
      </c>
      <c r="AE122" s="464">
        <f>AE95*Factors!$D$43*TbtuToQBtu</f>
        <v>0.18942249340907655</v>
      </c>
      <c r="AF122" s="464">
        <f>AF95*Factors!$D$43*TbtuToQBtu</f>
        <v>4.8997949268511143E-2</v>
      </c>
      <c r="AG122" s="464">
        <f>AG95*Factors!$D$43*TbtuToQBtu</f>
        <v>5.0669493378078134E-2</v>
      </c>
      <c r="AH122" s="464">
        <f>AH95*Factors!$D$43*TbtuToQBtu</f>
        <v>5.2028129207076092E-2</v>
      </c>
      <c r="AI122" s="464">
        <f>AI95*Factors!$D$43*TbtuToQBtu</f>
        <v>7.2450990000000001E-5</v>
      </c>
      <c r="AJ122" s="464">
        <f>AJ95*Factors!$D$43*TbtuToQBtu</f>
        <v>8.3890620000000001E-5</v>
      </c>
      <c r="AK122" s="464">
        <f>AK95*Factors!$D$43*TbtuToQBtu</f>
        <v>8.3890620000000001E-5</v>
      </c>
      <c r="AL122" s="552" t="s">
        <v>1392</v>
      </c>
      <c r="AM122" s="552"/>
      <c r="AN122" s="552"/>
      <c r="AO122" s="552"/>
    </row>
    <row r="123" spans="2:41">
      <c r="C123" s="456">
        <v>24</v>
      </c>
      <c r="D123" s="4" t="s">
        <v>1480</v>
      </c>
      <c r="E123" s="81">
        <f>E101+E118+E120</f>
        <v>80.965022985741982</v>
      </c>
      <c r="F123" s="81">
        <f t="shared" ref="F123:V123" si="212">F101+F118+F120</f>
        <v>80.490437332088888</v>
      </c>
      <c r="G123" s="81">
        <f t="shared" si="212"/>
        <v>84.462038187764136</v>
      </c>
      <c r="H123" s="81">
        <f t="shared" si="212"/>
        <v>82.592124060139909</v>
      </c>
      <c r="I123" s="81">
        <f t="shared" si="212"/>
        <v>88.307374353363542</v>
      </c>
      <c r="J123" s="81">
        <f t="shared" si="212"/>
        <v>87.973475044276796</v>
      </c>
      <c r="K123" s="81">
        <f t="shared" si="212"/>
        <v>89.103044295847397</v>
      </c>
      <c r="L123" s="81">
        <f t="shared" si="212"/>
        <v>93.546798962425612</v>
      </c>
      <c r="M123" s="81">
        <f t="shared" si="212"/>
        <v>97.269444393982894</v>
      </c>
      <c r="N123" s="81">
        <f t="shared" si="212"/>
        <v>106.91262116706494</v>
      </c>
      <c r="O123" s="81">
        <f t="shared" si="212"/>
        <v>97.546893312828118</v>
      </c>
      <c r="P123" s="81">
        <f t="shared" si="212"/>
        <v>93.912906572609799</v>
      </c>
      <c r="Q123" s="81">
        <f t="shared" si="212"/>
        <v>95.732108189642034</v>
      </c>
      <c r="R123" s="81">
        <f t="shared" si="212"/>
        <v>91.836066819248401</v>
      </c>
      <c r="S123" s="81">
        <f t="shared" si="212"/>
        <v>101.52627885216795</v>
      </c>
      <c r="T123" s="81">
        <f t="shared" si="212"/>
        <v>98.219751770913518</v>
      </c>
      <c r="U123" s="81">
        <f>U101+U118+U120</f>
        <v>98.194290983356822</v>
      </c>
      <c r="V123" s="81">
        <f t="shared" si="212"/>
        <v>94.894022833703332</v>
      </c>
      <c r="W123" s="81">
        <f t="shared" ref="W123:AB123" si="213">W101+W118+W120</f>
        <v>87.279146592295689</v>
      </c>
      <c r="X123" s="81">
        <f t="shared" si="213"/>
        <v>79.567808244981137</v>
      </c>
      <c r="Y123" s="81">
        <f t="shared" si="213"/>
        <v>82.732153231514516</v>
      </c>
      <c r="Z123" s="81">
        <f t="shared" si="213"/>
        <v>81.202038724657697</v>
      </c>
      <c r="AA123" s="81">
        <f t="shared" si="213"/>
        <v>79.120514693020041</v>
      </c>
      <c r="AB123" s="81">
        <f t="shared" si="213"/>
        <v>83.247173817796551</v>
      </c>
      <c r="AC123" s="81">
        <f>AC101+AC118+AC120</f>
        <v>82.067790577187864</v>
      </c>
      <c r="AD123" s="81">
        <f>AD101+AD118+AD120</f>
        <v>86.613453198761988</v>
      </c>
      <c r="AE123" s="81">
        <f>AE101+AE118+AE120</f>
        <v>85.744718338707017</v>
      </c>
      <c r="AF123" s="81">
        <f t="shared" ref="AF123:AG123" si="214">AF101+AF118+AF120</f>
        <v>89.051371851192101</v>
      </c>
      <c r="AG123" s="81">
        <f t="shared" si="214"/>
        <v>94.060530816368598</v>
      </c>
      <c r="AH123" s="81">
        <f>AH101+AH118+AH120</f>
        <v>93.870086841371588</v>
      </c>
      <c r="AI123" s="81">
        <f>AI101+AI118+AI120</f>
        <v>92.381477156600383</v>
      </c>
      <c r="AJ123" s="81">
        <f>AJ101+AJ118+AJ120</f>
        <v>96.619003206485942</v>
      </c>
      <c r="AK123" s="81">
        <f>AK101+AK118+AK120</f>
        <v>96.167010041798775</v>
      </c>
      <c r="AL123" s="5"/>
      <c r="AM123" s="5"/>
      <c r="AN123" s="5"/>
      <c r="AO123" s="5"/>
    </row>
    <row r="124" spans="2:41">
      <c r="B124" s="1122" t="s">
        <v>1922</v>
      </c>
      <c r="E124" s="534"/>
      <c r="F124" s="534"/>
      <c r="G124" s="534"/>
      <c r="H124" s="534"/>
      <c r="I124" s="534"/>
      <c r="J124" s="534"/>
      <c r="K124" s="534"/>
      <c r="L124" s="534"/>
      <c r="M124" s="534"/>
      <c r="O124" s="1"/>
      <c r="W124" s="1"/>
      <c r="X124" s="1"/>
      <c r="Y124" s="1"/>
      <c r="Z124" s="1"/>
    </row>
    <row r="125" spans="2:41">
      <c r="B125" s="1122" t="s">
        <v>1923</v>
      </c>
      <c r="E125" s="398"/>
      <c r="F125" s="398"/>
      <c r="G125" s="398"/>
      <c r="H125" s="398"/>
      <c r="I125" s="398"/>
      <c r="J125" s="398"/>
      <c r="K125" s="398"/>
      <c r="L125" s="398"/>
      <c r="M125" s="398"/>
      <c r="N125" s="398"/>
      <c r="O125" s="398"/>
      <c r="P125" s="398"/>
      <c r="Q125" s="398"/>
      <c r="W125" s="398"/>
      <c r="X125" s="398"/>
      <c r="Y125" s="398"/>
      <c r="Z125" s="398"/>
      <c r="AA125" s="398"/>
      <c r="AB125" s="398"/>
      <c r="AC125" s="398"/>
      <c r="AD125" s="398"/>
      <c r="AE125" s="398"/>
      <c r="AF125" s="398"/>
      <c r="AG125" s="398"/>
      <c r="AH125" s="398"/>
      <c r="AI125" s="398"/>
      <c r="AJ125" s="398"/>
      <c r="AK125" s="398"/>
    </row>
    <row r="126" spans="2:41">
      <c r="B126" s="536" t="s">
        <v>1805</v>
      </c>
      <c r="O126" s="1"/>
      <c r="W126" s="1"/>
      <c r="X126" s="1"/>
      <c r="Y126" s="1"/>
      <c r="Z126" s="1"/>
    </row>
    <row r="127" spans="2:41">
      <c r="B127" s="537" t="s">
        <v>1807</v>
      </c>
      <c r="O127" s="1"/>
      <c r="W127" s="1"/>
      <c r="X127" s="1"/>
      <c r="Y127" s="1"/>
      <c r="Z127" s="1"/>
    </row>
    <row r="128" spans="2:41">
      <c r="B128" s="537" t="s">
        <v>1810</v>
      </c>
      <c r="D128" s="1" t="s">
        <v>1924</v>
      </c>
      <c r="O128" s="1"/>
      <c r="Q128" s="77"/>
      <c r="W128" s="77"/>
      <c r="X128" s="77"/>
      <c r="Y128" s="77"/>
      <c r="Z128" s="77"/>
      <c r="AA128" s="77"/>
      <c r="AB128" s="77"/>
      <c r="AC128" s="77"/>
      <c r="AD128" s="77"/>
      <c r="AE128" s="77"/>
      <c r="AF128" s="77"/>
      <c r="AG128" s="77"/>
      <c r="AH128" s="77"/>
      <c r="AI128" s="77"/>
      <c r="AJ128" s="77"/>
      <c r="AK128" s="77"/>
    </row>
    <row r="129" spans="2:37">
      <c r="B129" s="538" t="s">
        <v>1813</v>
      </c>
      <c r="C129" s="456">
        <v>1</v>
      </c>
      <c r="D129" s="4" t="s">
        <v>1503</v>
      </c>
      <c r="E129" s="460">
        <v>1990</v>
      </c>
      <c r="F129" s="460">
        <v>1991</v>
      </c>
      <c r="G129" s="460">
        <v>1992</v>
      </c>
      <c r="H129" s="460">
        <v>1993</v>
      </c>
      <c r="I129" s="460">
        <v>1994</v>
      </c>
      <c r="J129" s="460">
        <v>1995</v>
      </c>
      <c r="K129" s="460">
        <v>1996</v>
      </c>
      <c r="L129" s="460">
        <v>1997</v>
      </c>
      <c r="M129" s="460">
        <v>1998</v>
      </c>
      <c r="N129" s="460">
        <v>1999</v>
      </c>
      <c r="O129" s="460">
        <v>2000</v>
      </c>
      <c r="P129" s="460">
        <v>2001</v>
      </c>
      <c r="Q129" s="460">
        <v>2002</v>
      </c>
      <c r="R129" s="460">
        <v>2003</v>
      </c>
      <c r="S129" s="460">
        <v>2004</v>
      </c>
      <c r="T129" s="460">
        <v>2005</v>
      </c>
      <c r="U129" s="460">
        <v>2006</v>
      </c>
      <c r="V129" s="460">
        <v>2007</v>
      </c>
      <c r="W129" s="460">
        <v>2008</v>
      </c>
      <c r="X129" s="460">
        <v>2009</v>
      </c>
      <c r="Y129" s="460">
        <v>2010</v>
      </c>
      <c r="Z129" s="460">
        <v>2011</v>
      </c>
      <c r="AA129" s="460">
        <v>2012</v>
      </c>
      <c r="AB129" s="460">
        <v>2013</v>
      </c>
      <c r="AC129" s="460">
        <v>2014</v>
      </c>
      <c r="AD129" s="460">
        <v>2015</v>
      </c>
      <c r="AE129" s="460">
        <v>2016</v>
      </c>
      <c r="AF129" s="460">
        <v>2017</v>
      </c>
      <c r="AG129" s="460">
        <v>2018</v>
      </c>
      <c r="AH129" s="460">
        <v>2019</v>
      </c>
      <c r="AI129" s="460">
        <v>2020</v>
      </c>
      <c r="AJ129" s="460">
        <v>2021</v>
      </c>
      <c r="AK129" s="460">
        <v>2022</v>
      </c>
    </row>
    <row r="130" spans="2:37">
      <c r="B130" s="539"/>
      <c r="C130" s="456">
        <v>2</v>
      </c>
      <c r="D130" s="5" t="s">
        <v>1888</v>
      </c>
      <c r="E130" s="540">
        <f t="shared" ref="E130:V130" si="215">SUM(E131:E146)</f>
        <v>52.310874177010255</v>
      </c>
      <c r="F130" s="540">
        <f t="shared" si="215"/>
        <v>50.825466987505266</v>
      </c>
      <c r="G130" s="540">
        <f t="shared" si="215"/>
        <v>53.35802631784216</v>
      </c>
      <c r="H130" s="540">
        <f t="shared" si="215"/>
        <v>54.623435030697038</v>
      </c>
      <c r="I130" s="540">
        <f t="shared" si="215"/>
        <v>57.483980325912668</v>
      </c>
      <c r="J130" s="540">
        <f t="shared" si="215"/>
        <v>57.81693594188382</v>
      </c>
      <c r="K130" s="540">
        <f t="shared" si="215"/>
        <v>59.885062171220341</v>
      </c>
      <c r="L130" s="540">
        <f t="shared" si="215"/>
        <v>61.080451691060794</v>
      </c>
      <c r="M130" s="540">
        <f t="shared" si="215"/>
        <v>63.094973818925602</v>
      </c>
      <c r="N130" s="540">
        <f t="shared" si="215"/>
        <v>66.914246906338192</v>
      </c>
      <c r="O130" s="540">
        <f t="shared" si="215"/>
        <v>63.383607278974637</v>
      </c>
      <c r="P130" s="540">
        <f t="shared" si="215"/>
        <v>61.061036960881275</v>
      </c>
      <c r="Q130" s="540">
        <f t="shared" si="215"/>
        <v>62.044996807502052</v>
      </c>
      <c r="R130" s="540">
        <f t="shared" si="215"/>
        <v>59.844096348420891</v>
      </c>
      <c r="S130" s="540">
        <f t="shared" si="215"/>
        <v>64.689927959006056</v>
      </c>
      <c r="T130" s="540">
        <f t="shared" si="215"/>
        <v>63.360426266060315</v>
      </c>
      <c r="U130" s="540">
        <f>SUM(U131:U146)</f>
        <v>63.729604304930817</v>
      </c>
      <c r="V130" s="540">
        <f t="shared" si="215"/>
        <v>63.51643975324783</v>
      </c>
      <c r="W130" s="540">
        <f t="shared" ref="W130:AB130" si="216">SUM(W131:W146)</f>
        <v>57.056585639778845</v>
      </c>
      <c r="X130" s="540">
        <f t="shared" si="216"/>
        <v>54.154102221935467</v>
      </c>
      <c r="Y130" s="540">
        <f t="shared" si="216"/>
        <v>57.374801039744426</v>
      </c>
      <c r="Z130" s="540">
        <f t="shared" si="216"/>
        <v>56.610918222742214</v>
      </c>
      <c r="AA130" s="540">
        <f t="shared" si="216"/>
        <v>54.503068308707206</v>
      </c>
      <c r="AB130" s="540">
        <f t="shared" si="216"/>
        <v>55.98082135325005</v>
      </c>
      <c r="AC130" s="540">
        <f>SUM(AC131:AC146)</f>
        <v>55.962476912420669</v>
      </c>
      <c r="AD130" s="540">
        <f>SUM(AD131:AD146)</f>
        <v>58.188232107634654</v>
      </c>
      <c r="AE130" s="540">
        <f>SUM(AE131:AE146)</f>
        <v>59.207070493470532</v>
      </c>
      <c r="AF130" s="540">
        <f t="shared" ref="AF130:AH130" si="217">SUM(AF131:AF146)</f>
        <v>59.611229006843374</v>
      </c>
      <c r="AG130" s="540">
        <f t="shared" si="217"/>
        <v>60.602323515920745</v>
      </c>
      <c r="AH130" s="540">
        <f t="shared" si="217"/>
        <v>61.990149278799159</v>
      </c>
      <c r="AI130" s="540">
        <f t="shared" ref="AI130:AJ130" si="218">SUM(AI131:AI146)</f>
        <v>62.731969185974023</v>
      </c>
      <c r="AJ130" s="540">
        <f t="shared" si="218"/>
        <v>63.435638401468921</v>
      </c>
      <c r="AK130" s="540">
        <f t="shared" ref="AK130" si="219">SUM(AK131:AK146)</f>
        <v>64.288754869473678</v>
      </c>
    </row>
    <row r="131" spans="2:37">
      <c r="B131" s="539">
        <f>Factors!F12</f>
        <v>0.1</v>
      </c>
      <c r="C131" s="456">
        <v>3</v>
      </c>
      <c r="D131" s="6" t="s">
        <v>1734</v>
      </c>
      <c r="E131" s="541">
        <f>E102*$B131</f>
        <v>0</v>
      </c>
      <c r="F131" s="541">
        <f t="shared" ref="F131:T131" si="220">F102*$B131</f>
        <v>0</v>
      </c>
      <c r="G131" s="541">
        <f t="shared" si="220"/>
        <v>0</v>
      </c>
      <c r="H131" s="541">
        <f t="shared" si="220"/>
        <v>2.5271347113147136E-3</v>
      </c>
      <c r="I131" s="541">
        <f t="shared" si="220"/>
        <v>2.27954047455644E-2</v>
      </c>
      <c r="J131" s="541">
        <f t="shared" si="220"/>
        <v>9.6548780233330175E-2</v>
      </c>
      <c r="K131" s="541">
        <f t="shared" si="220"/>
        <v>6.1541109062767232E-2</v>
      </c>
      <c r="L131" s="541">
        <f t="shared" si="220"/>
        <v>0</v>
      </c>
      <c r="M131" s="541">
        <f t="shared" si="220"/>
        <v>2.7950950979870076E-2</v>
      </c>
      <c r="N131" s="541">
        <f t="shared" si="220"/>
        <v>0.10256249835322283</v>
      </c>
      <c r="O131" s="541">
        <f t="shared" si="220"/>
        <v>0.13722409423696036</v>
      </c>
      <c r="P131" s="541">
        <f t="shared" si="220"/>
        <v>6.3470149473343687E-2</v>
      </c>
      <c r="Q131" s="541">
        <f t="shared" si="220"/>
        <v>0.10336049793555194</v>
      </c>
      <c r="R131" s="541">
        <f t="shared" si="220"/>
        <v>0.13299959314145934</v>
      </c>
      <c r="S131" s="541">
        <f t="shared" si="220"/>
        <v>0.43006883003943674</v>
      </c>
      <c r="T131" s="541">
        <f t="shared" si="220"/>
        <v>0.20594244620198277</v>
      </c>
      <c r="U131" s="541">
        <f t="shared" ref="U131:Z131" si="221">U102*$B131</f>
        <v>0.16095039125981747</v>
      </c>
      <c r="V131" s="541">
        <f t="shared" si="221"/>
        <v>5.9433334233459888E-3</v>
      </c>
      <c r="W131" s="541">
        <f>W102*$B131</f>
        <v>7.4670733704888012E-2</v>
      </c>
      <c r="X131" s="541">
        <f t="shared" si="221"/>
        <v>1.6335094772449276E-2</v>
      </c>
      <c r="Y131" s="541">
        <f t="shared" si="221"/>
        <v>0.16565223745895619</v>
      </c>
      <c r="Z131" s="541">
        <f t="shared" si="221"/>
        <v>0.15559761532323554</v>
      </c>
      <c r="AA131" s="541">
        <f t="shared" ref="AA131:AE131" si="222">AA102*$B131</f>
        <v>0.33878421555659072</v>
      </c>
      <c r="AB131" s="541">
        <f t="shared" si="222"/>
        <v>0.30671220936044863</v>
      </c>
      <c r="AC131" s="541">
        <f t="shared" si="222"/>
        <v>0.12554139351078072</v>
      </c>
      <c r="AD131" s="541">
        <f t="shared" si="222"/>
        <v>0.31284099356572537</v>
      </c>
      <c r="AE131" s="541">
        <f t="shared" si="222"/>
        <v>0.22917377470578548</v>
      </c>
      <c r="AF131" s="541">
        <f t="shared" ref="AF131:AH131" si="223">AF102*$B131</f>
        <v>0.28888205833613217</v>
      </c>
      <c r="AG131" s="541">
        <f t="shared" si="223"/>
        <v>0.31910618999445761</v>
      </c>
      <c r="AH131" s="541">
        <f t="shared" si="223"/>
        <v>0.28879678940745646</v>
      </c>
      <c r="AI131" s="541">
        <f t="shared" ref="AI131:AJ131" si="224">AI102*$B131</f>
        <v>0.20449015516355773</v>
      </c>
      <c r="AJ131" s="541">
        <f t="shared" si="224"/>
        <v>0.19935533809953293</v>
      </c>
      <c r="AK131" s="541">
        <f t="shared" ref="AK131" si="225">AK102*$B131</f>
        <v>8.3608798956137181E-2</v>
      </c>
    </row>
    <row r="132" spans="2:37">
      <c r="B132" s="539" t="s">
        <v>1815</v>
      </c>
      <c r="C132" s="456">
        <v>4</v>
      </c>
      <c r="D132" s="6" t="s">
        <v>1701</v>
      </c>
      <c r="E132" s="541">
        <f>E103*Factors!J39</f>
        <v>0.1142630765638926</v>
      </c>
      <c r="F132" s="541">
        <f>F103*Factors!K39</f>
        <v>0.11488119892160739</v>
      </c>
      <c r="G132" s="541">
        <f>G103*Factors!L39</f>
        <v>0.13029058710886263</v>
      </c>
      <c r="H132" s="541">
        <f>H103*Factors!M39</f>
        <v>0.14396040049857411</v>
      </c>
      <c r="I132" s="541">
        <f>I103*Factors!N39</f>
        <v>0.15555155944674751</v>
      </c>
      <c r="J132" s="541">
        <f>J103*Factors!O39</f>
        <v>0.16609273105468905</v>
      </c>
      <c r="K132" s="541">
        <f>K103*Factors!P39</f>
        <v>0.17457005458264857</v>
      </c>
      <c r="L132" s="541">
        <f>L103*Factors!Q39</f>
        <v>0.15974766212993685</v>
      </c>
      <c r="M132" s="541">
        <f>M103*Factors!R39</f>
        <v>0.1504128787973564</v>
      </c>
      <c r="N132" s="541">
        <f>N103*Factors!S39</f>
        <v>0.15668868933463742</v>
      </c>
      <c r="O132" s="541">
        <f>O103*Factors!T39</f>
        <v>0.18320924525119481</v>
      </c>
      <c r="P132" s="541">
        <f>P103*Factors!U39</f>
        <v>0.1642896395525722</v>
      </c>
      <c r="Q132" s="541">
        <f>Q103*Factors!V39</f>
        <v>0.17803413560143061</v>
      </c>
      <c r="R132" s="541">
        <f>R103*Factors!W39</f>
        <v>0.17477257951855282</v>
      </c>
      <c r="S132" s="541">
        <f>S103*Factors!X39</f>
        <v>0.1775518986462363</v>
      </c>
      <c r="T132" s="541">
        <f>T103*Factors!Y39</f>
        <v>0.17319601953695066</v>
      </c>
      <c r="U132" s="541">
        <f>U103*Factors!Z39</f>
        <v>0.17621007515082865</v>
      </c>
      <c r="V132" s="541">
        <f>V103*Factors!AA39</f>
        <v>0.18419184576746897</v>
      </c>
      <c r="W132" s="541">
        <f>W103*Factors!AB39</f>
        <v>0.18248182645821337</v>
      </c>
      <c r="X132" s="541">
        <f>X103*Factors!AC39</f>
        <v>0.19126310040994871</v>
      </c>
      <c r="Y132" s="541">
        <f>Y103*Factors!AD39</f>
        <v>0.17043164609620554</v>
      </c>
      <c r="Z132" s="541">
        <f>Z103*Factors!AE39</f>
        <v>0.17031746858045474</v>
      </c>
      <c r="AA132" s="541">
        <f>AA103*Factors!AF39</f>
        <v>0.1720245425930344</v>
      </c>
      <c r="AB132" s="541">
        <f>AB103*Factors!AG39</f>
        <v>0.16682203102847842</v>
      </c>
      <c r="AC132" s="541">
        <f>AC103*Factors!AH39</f>
        <v>0.16606067773437</v>
      </c>
      <c r="AD132" s="541">
        <f>AD103*Factors!AI39</f>
        <v>0.16726595544794209</v>
      </c>
      <c r="AE132" s="541">
        <f>AE103*Factors!AJ39</f>
        <v>0.17053453652115733</v>
      </c>
      <c r="AF132" s="541">
        <f>AF103*Factors!AK39</f>
        <v>0.16307960001764057</v>
      </c>
      <c r="AG132" s="541">
        <f>AG103*Factors!AL39</f>
        <v>0.15643871576121229</v>
      </c>
      <c r="AH132" s="541">
        <f>AH103*Factors!AM39</f>
        <v>0.1595259530763822</v>
      </c>
      <c r="AI132" s="541">
        <f>AI103*Factors!AN39</f>
        <v>0.16316150060491449</v>
      </c>
      <c r="AJ132" s="541">
        <f>AJ103*Factors!AO39</f>
        <v>0.15447574258221689</v>
      </c>
      <c r="AK132" s="541">
        <f>AK103*Factors!AP39</f>
        <v>0.15639275593428212</v>
      </c>
    </row>
    <row r="133" spans="2:37">
      <c r="B133" s="539" t="s">
        <v>1815</v>
      </c>
      <c r="C133" s="456">
        <v>5</v>
      </c>
      <c r="D133" s="6" t="s">
        <v>1889</v>
      </c>
      <c r="E133" s="541">
        <f>E104*Factors!J39</f>
        <v>2.3663965033512344</v>
      </c>
      <c r="F133" s="541">
        <f>F104*Factors!K39</f>
        <v>2.2483760369800949</v>
      </c>
      <c r="G133" s="541">
        <f>G104*Factors!L39</f>
        <v>2.4305495584514745</v>
      </c>
      <c r="H133" s="541">
        <f>H104*Factors!M39</f>
        <v>2.6622927244320631</v>
      </c>
      <c r="I133" s="541">
        <f>I104*Factors!N39</f>
        <v>2.8305883691323626</v>
      </c>
      <c r="J133" s="541">
        <f>J104*Factors!O39</f>
        <v>3.0897560845664485</v>
      </c>
      <c r="K133" s="541">
        <f>K104*Factors!P39</f>
        <v>3.3641748747910039</v>
      </c>
      <c r="L133" s="541">
        <f>L104*Factors!Q39</f>
        <v>3.2781806823885944</v>
      </c>
      <c r="M133" s="541">
        <f>M104*Factors!R39</f>
        <v>3.5521075003388707</v>
      </c>
      <c r="N133" s="541">
        <f>N104*Factors!S39</f>
        <v>3.3841660801972653</v>
      </c>
      <c r="O133" s="541">
        <f>O104*Factors!T39</f>
        <v>3.4392455041919985</v>
      </c>
      <c r="P133" s="541">
        <f>P104*Factors!U39</f>
        <v>3.4105494070767994</v>
      </c>
      <c r="Q133" s="541">
        <f>Q104*Factors!V39</f>
        <v>3.2745137934603559</v>
      </c>
      <c r="R133" s="541">
        <f>R104*Factors!W39</f>
        <v>2.8190006168969992</v>
      </c>
      <c r="S133" s="541">
        <f>S104*Factors!X39</f>
        <v>2.4801648739694606</v>
      </c>
      <c r="T133" s="541">
        <f>T104*Factors!Y39</f>
        <v>2.2946220419995065</v>
      </c>
      <c r="U133" s="541">
        <f>U104*Factors!Z39</f>
        <v>2.0443461101037519</v>
      </c>
      <c r="V133" s="541">
        <f>V104*Factors!AA39</f>
        <v>2.2554630890446323</v>
      </c>
      <c r="W133" s="541">
        <f>W104*Factors!AB39</f>
        <v>2.456911025458592</v>
      </c>
      <c r="X133" s="541">
        <f>X104*Factors!AC39</f>
        <v>2.672621040255406</v>
      </c>
      <c r="Y133" s="541">
        <f>Y104*Factors!AD39</f>
        <v>2.9666993316482833</v>
      </c>
      <c r="Z133" s="541">
        <f>Z104*Factors!AE39</f>
        <v>2.9906464124231347</v>
      </c>
      <c r="AA133" s="541">
        <f>AA104*Factors!AF39</f>
        <v>3.0234295611595239</v>
      </c>
      <c r="AB133" s="541">
        <f>AB104*Factors!AG39</f>
        <v>3.0240976268448301</v>
      </c>
      <c r="AC133" s="541">
        <f>AC104*Factors!AH39</f>
        <v>3.1451357624377088</v>
      </c>
      <c r="AD133" s="541">
        <f>AD104*Factors!AI39</f>
        <v>4.0963847447785922</v>
      </c>
      <c r="AE133" s="541">
        <f>AE104*Factors!AJ39</f>
        <v>4.9481625532280509</v>
      </c>
      <c r="AF133" s="541">
        <f>AF104*Factors!AK39</f>
        <v>5.6031329779445853</v>
      </c>
      <c r="AG133" s="541">
        <f>AG104*Factors!AL39</f>
        <v>6.1793220806598068</v>
      </c>
      <c r="AH133" s="541">
        <f>AH104*Factors!AM39</f>
        <v>6.2066561542111156</v>
      </c>
      <c r="AI133" s="541">
        <f>AI104*Factors!AN39</f>
        <v>6.3240616989034688</v>
      </c>
      <c r="AJ133" s="541">
        <f>AJ104*Factors!AO39</f>
        <v>6.0125520171548947</v>
      </c>
      <c r="AK133" s="541">
        <f>AK104*Factors!AP39</f>
        <v>6.0736631385936608</v>
      </c>
    </row>
    <row r="134" spans="2:37">
      <c r="B134" s="539">
        <f>Factors!F24</f>
        <v>0.99560852232832731</v>
      </c>
      <c r="C134" s="456">
        <v>6</v>
      </c>
      <c r="D134" s="6" t="s">
        <v>1608</v>
      </c>
      <c r="E134" s="541">
        <f t="shared" ref="E134:T134" si="226">E105*$B134</f>
        <v>23.945568272103937</v>
      </c>
      <c r="F134" s="541">
        <f t="shared" si="226"/>
        <v>22.029051908368462</v>
      </c>
      <c r="G134" s="541">
        <f t="shared" si="226"/>
        <v>22.55464206406841</v>
      </c>
      <c r="H134" s="541">
        <f t="shared" si="226"/>
        <v>23.512306821193484</v>
      </c>
      <c r="I134" s="541">
        <f t="shared" si="226"/>
        <v>24.001309272069935</v>
      </c>
      <c r="J134" s="541">
        <f t="shared" si="226"/>
        <v>24.108903316791384</v>
      </c>
      <c r="K134" s="541">
        <f t="shared" si="226"/>
        <v>24.063004982384726</v>
      </c>
      <c r="L134" s="541">
        <f t="shared" si="226"/>
        <v>25.037735816591898</v>
      </c>
      <c r="M134" s="541">
        <f t="shared" si="226"/>
        <v>25.835503299952546</v>
      </c>
      <c r="N134" s="541">
        <f t="shared" si="226"/>
        <v>27.101360127741319</v>
      </c>
      <c r="O134" s="541">
        <f t="shared" si="226"/>
        <v>26.104099616235107</v>
      </c>
      <c r="P134" s="541">
        <f t="shared" si="226"/>
        <v>25.719130661624117</v>
      </c>
      <c r="Q134" s="541">
        <f t="shared" si="226"/>
        <v>25.37314357372945</v>
      </c>
      <c r="R134" s="541">
        <f t="shared" si="226"/>
        <v>24.955311166128229</v>
      </c>
      <c r="S134" s="541">
        <f t="shared" si="226"/>
        <v>26.680540133504625</v>
      </c>
      <c r="T134" s="541">
        <f t="shared" si="226"/>
        <v>27.077316194202385</v>
      </c>
      <c r="U134" s="541">
        <f t="shared" ref="U134:Z134" si="227">U105*$B134</f>
        <v>25.807141689837689</v>
      </c>
      <c r="V134" s="541">
        <f t="shared" si="227"/>
        <v>24.494915880432565</v>
      </c>
      <c r="W134" s="541">
        <f>W105*$B134</f>
        <v>20.707883801979069</v>
      </c>
      <c r="X134" s="541">
        <f t="shared" si="227"/>
        <v>17.865829468910956</v>
      </c>
      <c r="Y134" s="541">
        <f t="shared" si="227"/>
        <v>17.961698259234272</v>
      </c>
      <c r="Z134" s="541">
        <f t="shared" si="227"/>
        <v>17.587656505057151</v>
      </c>
      <c r="AA134" s="541">
        <f t="shared" ref="AA134:AE134" si="228">AA105*$B134</f>
        <v>16.916636361560453</v>
      </c>
      <c r="AB134" s="541">
        <f t="shared" si="228"/>
        <v>16.029568685890109</v>
      </c>
      <c r="AC134" s="541">
        <f t="shared" si="228"/>
        <v>16.219648769841708</v>
      </c>
      <c r="AD134" s="541">
        <f t="shared" si="228"/>
        <v>17.018193844244461</v>
      </c>
      <c r="AE134" s="541">
        <f t="shared" si="228"/>
        <v>17.462362032666618</v>
      </c>
      <c r="AF134" s="541">
        <f t="shared" ref="AF134:AH134" si="229">AF105*$B134</f>
        <v>17.376745166345867</v>
      </c>
      <c r="AG134" s="541">
        <f t="shared" si="229"/>
        <v>16.222247560956127</v>
      </c>
      <c r="AH134" s="541">
        <f t="shared" si="229"/>
        <v>17.268312141815827</v>
      </c>
      <c r="AI134" s="541">
        <f t="shared" ref="AI134:AJ134" si="230">AI105*$B134</f>
        <v>17.030737615529031</v>
      </c>
      <c r="AJ134" s="541">
        <f t="shared" si="230"/>
        <v>18.377443448775086</v>
      </c>
      <c r="AK134" s="541">
        <f t="shared" ref="AK134" si="231">AK105*$B134</f>
        <v>18.746778730855226</v>
      </c>
    </row>
    <row r="135" spans="2:37">
      <c r="B135" s="539" t="s">
        <v>1815</v>
      </c>
      <c r="C135" s="456">
        <v>7</v>
      </c>
      <c r="D135" s="6" t="s">
        <v>1609</v>
      </c>
      <c r="E135" s="541">
        <f>E106*Factors!J39</f>
        <v>12.027467022475747</v>
      </c>
      <c r="F135" s="541">
        <f>F106*Factors!K39</f>
        <v>12.835290291091839</v>
      </c>
      <c r="G135" s="541">
        <f>G106*Factors!L39</f>
        <v>13.888751078692291</v>
      </c>
      <c r="H135" s="541">
        <f>H106*Factors!M39</f>
        <v>13.870264859616579</v>
      </c>
      <c r="I135" s="541">
        <f>I106*Factors!N39</f>
        <v>16.109276981891846</v>
      </c>
      <c r="J135" s="541">
        <f>J106*Factors!O39</f>
        <v>16.380185832055339</v>
      </c>
      <c r="K135" s="541">
        <f>K106*Factors!P39</f>
        <v>17.958143108395483</v>
      </c>
      <c r="L135" s="541">
        <f>L106*Factors!Q39</f>
        <v>17.34479206734823</v>
      </c>
      <c r="M135" s="541">
        <f>M106*Factors!R39</f>
        <v>16.983437215036588</v>
      </c>
      <c r="N135" s="541">
        <f>N106*Factors!S39</f>
        <v>19.450140847870085</v>
      </c>
      <c r="O135" s="541">
        <f>O106*Factors!T39</f>
        <v>17.81177634389249</v>
      </c>
      <c r="P135" s="541">
        <f>P106*Factors!U39</f>
        <v>16.839130300259402</v>
      </c>
      <c r="Q135" s="541">
        <f>Q106*Factors!V39</f>
        <v>17.96165644347521</v>
      </c>
      <c r="R135" s="541">
        <f>R106*Factors!W39</f>
        <v>16.579884136338197</v>
      </c>
      <c r="S135" s="541">
        <f>S106*Factors!X39</f>
        <v>17.113403283930463</v>
      </c>
      <c r="T135" s="541">
        <f>T106*Factors!Y39</f>
        <v>16.669481313506704</v>
      </c>
      <c r="U135" s="541">
        <f>U106*Factors!Z39</f>
        <v>17.928673734409191</v>
      </c>
      <c r="V135" s="541">
        <f>V106*Factors!AA39</f>
        <v>18.211053747225076</v>
      </c>
      <c r="W135" s="541">
        <f>W106*Factors!AB39</f>
        <v>16.972200596660155</v>
      </c>
      <c r="X135" s="541">
        <f>X106*Factors!AC39</f>
        <v>18.907806694506142</v>
      </c>
      <c r="Y135" s="541">
        <f>Y106*Factors!AD39</f>
        <v>21.371058846357251</v>
      </c>
      <c r="Z135" s="541">
        <f>Z106*Factors!AE39</f>
        <v>21.833672232902671</v>
      </c>
      <c r="AA135" s="541">
        <f>AA106*Factors!AF39</f>
        <v>22.101666858227645</v>
      </c>
      <c r="AB135" s="541">
        <f>AB106*Factors!AG39</f>
        <v>23.609356243253984</v>
      </c>
      <c r="AC135" s="541">
        <f>AC106*Factors!AH39</f>
        <v>23.873762415599735</v>
      </c>
      <c r="AD135" s="541">
        <f>AD106*Factors!AI39</f>
        <v>24.688909760777943</v>
      </c>
      <c r="AE135" s="541">
        <f>AE106*Factors!AJ39</f>
        <v>24.767026657215666</v>
      </c>
      <c r="AF135" s="541">
        <f>AF106*Factors!AK39</f>
        <v>24.344247670656259</v>
      </c>
      <c r="AG135" s="541">
        <f>AG106*Factors!AL39</f>
        <v>26.615358854514557</v>
      </c>
      <c r="AH135" s="541">
        <f>AH106*Factors!AM39</f>
        <v>27.557817285988204</v>
      </c>
      <c r="AI135" s="541">
        <f>AI106*Factors!AN39</f>
        <v>29.27185848764584</v>
      </c>
      <c r="AJ135" s="541">
        <f>AJ106*Factors!AO39</f>
        <v>29.375680988321669</v>
      </c>
      <c r="AK135" s="541">
        <f>AK106*Factors!AP39</f>
        <v>31.677828133177162</v>
      </c>
    </row>
    <row r="136" spans="2:37">
      <c r="B136" s="539">
        <f>Factors!F33</f>
        <v>9.1799999999999993E-2</v>
      </c>
      <c r="C136" s="456">
        <v>8</v>
      </c>
      <c r="D136" s="6" t="s">
        <v>1918</v>
      </c>
      <c r="E136" s="541">
        <f t="shared" ref="E136:T136" si="232">E107*$B136</f>
        <v>0.34553597991815921</v>
      </c>
      <c r="F136" s="541">
        <f t="shared" si="232"/>
        <v>0.30911751157970457</v>
      </c>
      <c r="G136" s="541">
        <f t="shared" si="232"/>
        <v>0.31515696938919274</v>
      </c>
      <c r="H136" s="541">
        <f t="shared" si="232"/>
        <v>0.32091271917140063</v>
      </c>
      <c r="I136" s="541">
        <f t="shared" si="232"/>
        <v>0.33541706027849799</v>
      </c>
      <c r="J136" s="541">
        <f t="shared" si="232"/>
        <v>0.32965760189462634</v>
      </c>
      <c r="K136" s="541">
        <f t="shared" si="232"/>
        <v>0.31992993973049527</v>
      </c>
      <c r="L136" s="541">
        <f t="shared" si="232"/>
        <v>0.3379685782231881</v>
      </c>
      <c r="M136" s="541">
        <f t="shared" si="232"/>
        <v>0.35380430732758744</v>
      </c>
      <c r="N136" s="541">
        <f t="shared" si="232"/>
        <v>0.35750734608888546</v>
      </c>
      <c r="O136" s="541">
        <f t="shared" si="232"/>
        <v>0.35214470808303971</v>
      </c>
      <c r="P136" s="541">
        <f t="shared" si="232"/>
        <v>0.32264278184756046</v>
      </c>
      <c r="Q136" s="541">
        <f t="shared" si="232"/>
        <v>0.31881921353218906</v>
      </c>
      <c r="R136" s="541">
        <f t="shared" si="232"/>
        <v>0.29475409733583141</v>
      </c>
      <c r="S136" s="541">
        <f t="shared" si="232"/>
        <v>0.29861660596867262</v>
      </c>
      <c r="T136" s="541">
        <f t="shared" si="232"/>
        <v>0.2970571389690474</v>
      </c>
      <c r="U136" s="541">
        <f t="shared" ref="U136:Z136" si="233">U107*$B136</f>
        <v>0.28941556524080037</v>
      </c>
      <c r="V136" s="541">
        <f t="shared" si="233"/>
        <v>0.2988706451826425</v>
      </c>
      <c r="W136" s="541">
        <f t="shared" si="233"/>
        <v>0.27746830498088876</v>
      </c>
      <c r="X136" s="541">
        <f t="shared" si="233"/>
        <v>0.24946465381758215</v>
      </c>
      <c r="Y136" s="541">
        <f t="shared" si="233"/>
        <v>0.25196054273731538</v>
      </c>
      <c r="Z136" s="541">
        <f t="shared" si="233"/>
        <v>0.23623050878033419</v>
      </c>
      <c r="AA136" s="541">
        <f t="shared" ref="AA136:AE136" si="234">AA107*$B136</f>
        <v>0.21938789432421488</v>
      </c>
      <c r="AB136" s="541">
        <f t="shared" si="234"/>
        <v>0.23195634536281193</v>
      </c>
      <c r="AC136" s="541">
        <f t="shared" si="234"/>
        <v>0.2422885095981413</v>
      </c>
      <c r="AD136" s="541">
        <f t="shared" si="234"/>
        <v>0.26356104874166225</v>
      </c>
      <c r="AE136" s="541">
        <f t="shared" si="234"/>
        <v>0.25060504882919876</v>
      </c>
      <c r="AF136" s="541">
        <f t="shared" ref="AF136:AH136" si="235">AF107*$B136</f>
        <v>0.2315929023997601</v>
      </c>
      <c r="AG136" s="541">
        <f t="shared" si="235"/>
        <v>0.22620059558060396</v>
      </c>
      <c r="AH136" s="541">
        <f t="shared" si="235"/>
        <v>0.21938789432421488</v>
      </c>
      <c r="AI136" s="541">
        <f t="shared" ref="AI136:AJ136" si="236">AI107*$B136</f>
        <v>0.20599427941542375</v>
      </c>
      <c r="AJ136" s="541">
        <f t="shared" si="236"/>
        <v>0.21045016431447192</v>
      </c>
      <c r="AK136" s="541">
        <f t="shared" ref="AK136" si="237">AK107*$B136</f>
        <v>0.22167053864827993</v>
      </c>
    </row>
    <row r="137" spans="2:37">
      <c r="B137" s="539" t="s">
        <v>1815</v>
      </c>
      <c r="C137" s="456">
        <v>9</v>
      </c>
      <c r="D137" s="6" t="s">
        <v>1617</v>
      </c>
      <c r="E137" s="541">
        <f>E108*Factors!J39</f>
        <v>0</v>
      </c>
      <c r="F137" s="541">
        <f>F108*Factors!K39</f>
        <v>0</v>
      </c>
      <c r="G137" s="541">
        <f>G108*Factors!L39</f>
        <v>0</v>
      </c>
      <c r="H137" s="541">
        <f>H108*Factors!M39</f>
        <v>0</v>
      </c>
      <c r="I137" s="541">
        <f>I108*Factors!N39</f>
        <v>0</v>
      </c>
      <c r="J137" s="541">
        <f>J108*Factors!O39</f>
        <v>0</v>
      </c>
      <c r="K137" s="541">
        <f>K108*Factors!P39</f>
        <v>0</v>
      </c>
      <c r="L137" s="541">
        <f>L108*Factors!Q39</f>
        <v>0</v>
      </c>
      <c r="M137" s="541">
        <f>M108*Factors!R39</f>
        <v>0</v>
      </c>
      <c r="N137" s="541">
        <f>N108*Factors!S39</f>
        <v>0</v>
      </c>
      <c r="O137" s="541">
        <f>O108*Factors!T39</f>
        <v>0</v>
      </c>
      <c r="P137" s="541">
        <f>P108*Factors!U39</f>
        <v>0</v>
      </c>
      <c r="Q137" s="541">
        <f>Q108*Factors!V39</f>
        <v>0</v>
      </c>
      <c r="R137" s="541">
        <f>R108*Factors!W39</f>
        <v>0</v>
      </c>
      <c r="S137" s="541">
        <f>S108*Factors!X39</f>
        <v>0</v>
      </c>
      <c r="T137" s="541">
        <f>T108*Factors!Y39</f>
        <v>0</v>
      </c>
      <c r="U137" s="541">
        <f>U108*Factors!Z39</f>
        <v>0</v>
      </c>
      <c r="V137" s="541">
        <f>V108*Factors!AA39</f>
        <v>0</v>
      </c>
      <c r="W137" s="541">
        <f>W108*Factors!AB39</f>
        <v>0</v>
      </c>
      <c r="X137" s="541">
        <f>X108*Factors!AC39</f>
        <v>0</v>
      </c>
      <c r="Y137" s="541">
        <f>Y108*Factors!AD39</f>
        <v>0</v>
      </c>
      <c r="Z137" s="541">
        <f>Z108*Factors!AE39</f>
        <v>0</v>
      </c>
      <c r="AA137" s="541">
        <f>AA108*Factors!AF39</f>
        <v>0</v>
      </c>
      <c r="AB137" s="541">
        <f>AB108*Factors!AG39</f>
        <v>0</v>
      </c>
      <c r="AC137" s="541">
        <f>AC108*Factors!AH39</f>
        <v>0</v>
      </c>
      <c r="AD137" s="541">
        <f>AD108*Factors!AI39</f>
        <v>0</v>
      </c>
      <c r="AE137" s="541">
        <f>AE108*Factors!AJ39</f>
        <v>0</v>
      </c>
      <c r="AF137" s="541">
        <f>AF108*Factors!AK39</f>
        <v>0</v>
      </c>
      <c r="AG137" s="541">
        <f>AG108*Factors!AL39</f>
        <v>0</v>
      </c>
      <c r="AH137" s="541">
        <f>AH108*Factors!AM39</f>
        <v>0</v>
      </c>
      <c r="AI137" s="541">
        <f>AI108*Factors!AN39</f>
        <v>0</v>
      </c>
      <c r="AJ137" s="541">
        <f>AJ108*Factors!AO39</f>
        <v>0</v>
      </c>
      <c r="AK137" s="541">
        <f>AK108*Factors!AP39</f>
        <v>0</v>
      </c>
    </row>
    <row r="138" spans="2:37">
      <c r="B138" s="539" t="s">
        <v>1815</v>
      </c>
      <c r="C138" s="456">
        <v>10</v>
      </c>
      <c r="D138" s="6" t="s">
        <v>1615</v>
      </c>
      <c r="E138" s="541">
        <f>E109*Factors!J39</f>
        <v>3.5191509382383823</v>
      </c>
      <c r="F138" s="541">
        <f>F109*Factors!K39</f>
        <v>2.9257952911017213</v>
      </c>
      <c r="G138" s="541">
        <f>G109*Factors!L39</f>
        <v>3.7569478552100999</v>
      </c>
      <c r="H138" s="541">
        <f>H109*Factors!M39</f>
        <v>3.6449321359533391</v>
      </c>
      <c r="I138" s="541">
        <f>I109*Factors!N39</f>
        <v>4.1564130016116865</v>
      </c>
      <c r="J138" s="541">
        <f>J109*Factors!O39</f>
        <v>4.0431979324634915</v>
      </c>
      <c r="K138" s="541">
        <f>K109*Factors!P39</f>
        <v>5.3982370167381521</v>
      </c>
      <c r="L138" s="541">
        <f>L109*Factors!Q39</f>
        <v>5.6384333388504526</v>
      </c>
      <c r="M138" s="541">
        <f>M109*Factors!R39</f>
        <v>6.3075427370455408</v>
      </c>
      <c r="N138" s="541">
        <f>N109*Factors!S39</f>
        <v>5.3208779563326436</v>
      </c>
      <c r="O138" s="541">
        <f>O109*Factors!T39</f>
        <v>6.8026525876646255</v>
      </c>
      <c r="P138" s="541">
        <f>P109*Factors!U39</f>
        <v>5.5268556732223741</v>
      </c>
      <c r="Q138" s="541">
        <f>Q109*Factors!V39</f>
        <v>6.4793044739201502</v>
      </c>
      <c r="R138" s="541">
        <f>R109*Factors!W39</f>
        <v>6.5443004368557691</v>
      </c>
      <c r="S138" s="541">
        <f>S109*Factors!X39</f>
        <v>7.9726879351259674</v>
      </c>
      <c r="T138" s="541">
        <f>T109*Factors!Y39</f>
        <v>7.6689495811950339</v>
      </c>
      <c r="U138" s="541">
        <f>U109*Factors!Z39</f>
        <v>7.1019639924847562</v>
      </c>
      <c r="V138" s="541">
        <f>V109*Factors!AA39</f>
        <v>6.5092720520558327</v>
      </c>
      <c r="W138" s="541">
        <f>W109*Factors!AB39</f>
        <v>5.5583790400830901</v>
      </c>
      <c r="X138" s="541">
        <f>X109*Factors!AC39</f>
        <v>5.6263879380783273</v>
      </c>
      <c r="Y138" s="541">
        <f>Y109*Factors!AD39</f>
        <v>6.0744173601865326</v>
      </c>
      <c r="Z138" s="541">
        <f>Z109*Factors!AE39</f>
        <v>6.0092238140562806</v>
      </c>
      <c r="AA138" s="541">
        <f>AA109*Factors!AF39</f>
        <v>5.5874314894143753</v>
      </c>
      <c r="AB138" s="541">
        <f>AB109*Factors!AG39</f>
        <v>6.2541789887233357</v>
      </c>
      <c r="AC138" s="541">
        <f>AC109*Factors!AH39</f>
        <v>5.4325725539305925</v>
      </c>
      <c r="AD138" s="541">
        <f>AD109*Factors!AI39</f>
        <v>5.2553976174611945</v>
      </c>
      <c r="AE138" s="541">
        <f>AE109*Factors!AJ39</f>
        <v>5.1019664960228344</v>
      </c>
      <c r="AF138" s="541">
        <f>AF109*Factors!AK39</f>
        <v>5.0583405493367035</v>
      </c>
      <c r="AG138" s="541">
        <f>AG109*Factors!AL39</f>
        <v>4.946617804713016</v>
      </c>
      <c r="AH138" s="541">
        <f>AH109*Factors!AM39</f>
        <v>4.4194849622287435</v>
      </c>
      <c r="AI138" s="541">
        <f>AI109*Factors!AN39</f>
        <v>4.0312041111406405</v>
      </c>
      <c r="AJ138" s="541">
        <f>AJ109*Factors!AO39</f>
        <v>3.8310638600119935</v>
      </c>
      <c r="AK138" s="541">
        <f>AK109*Factors!AP39</f>
        <v>2.9030821580333721</v>
      </c>
    </row>
    <row r="139" spans="2:37">
      <c r="B139" s="539" t="s">
        <v>1815</v>
      </c>
      <c r="C139" s="456">
        <v>11</v>
      </c>
      <c r="D139" s="6" t="s">
        <v>1616</v>
      </c>
      <c r="E139" s="541">
        <f>E110*Factors!J39</f>
        <v>7.7653775330102048</v>
      </c>
      <c r="F139" s="541">
        <f>F110*Factors!K39</f>
        <v>8.459638107761922</v>
      </c>
      <c r="G139" s="541">
        <f>G110*Factors!L39</f>
        <v>7.7365734520245244</v>
      </c>
      <c r="H139" s="541">
        <f>H110*Factors!M39</f>
        <v>8.1001137033403641</v>
      </c>
      <c r="I139" s="541">
        <f>I110*Factors!N39</f>
        <v>7.6981602533055939</v>
      </c>
      <c r="J139" s="541">
        <f>J110*Factors!O39</f>
        <v>7.4247559113277477</v>
      </c>
      <c r="K139" s="541">
        <f>K110*Factors!P39</f>
        <v>6.7272030673317511</v>
      </c>
      <c r="L139" s="541">
        <f>L110*Factors!Q39</f>
        <v>7.7394823313427459</v>
      </c>
      <c r="M139" s="541">
        <f>M110*Factors!R39</f>
        <v>7.4972268416119325</v>
      </c>
      <c r="N139" s="541">
        <f>N110*Factors!S39</f>
        <v>7.5914863490631577</v>
      </c>
      <c r="O139" s="541">
        <f>O110*Factors!T39</f>
        <v>6.6477642495051379</v>
      </c>
      <c r="P139" s="541">
        <f>P110*Factors!U39</f>
        <v>6.2145299834738514</v>
      </c>
      <c r="Q139" s="541">
        <f>Q110*Factors!V39</f>
        <v>5.4425675414767616</v>
      </c>
      <c r="R139" s="541">
        <f>R110*Factors!W39</f>
        <v>5.9700160636703083</v>
      </c>
      <c r="S139" s="541">
        <f>S110*Factors!X39</f>
        <v>6.6390925089028805</v>
      </c>
      <c r="T139" s="541">
        <f>T110*Factors!Y39</f>
        <v>6.1289573470375451</v>
      </c>
      <c r="U139" s="541">
        <f>U110*Factors!Z39</f>
        <v>7.1641606617868572</v>
      </c>
      <c r="V139" s="541">
        <f>V110*Factors!AA39</f>
        <v>8.7285696996895918</v>
      </c>
      <c r="W139" s="541">
        <f>W110*Factors!AB39</f>
        <v>7.7493923731646204</v>
      </c>
      <c r="X139" s="541">
        <f>X110*Factors!AC39</f>
        <v>5.3274471416389773</v>
      </c>
      <c r="Y139" s="541">
        <f>Y110*Factors!AD39</f>
        <v>6.0288660662705711</v>
      </c>
      <c r="Z139" s="541">
        <f>Z110*Factors!AE39</f>
        <v>5.1243304523324227</v>
      </c>
      <c r="AA139" s="541">
        <f>AA110*Factors!AF39</f>
        <v>3.7582044253927909</v>
      </c>
      <c r="AB139" s="541">
        <f>AB110*Factors!AG39</f>
        <v>2.850877492930628</v>
      </c>
      <c r="AC139" s="541">
        <f>AC110*Factors!AH39</f>
        <v>3.2056410313969814</v>
      </c>
      <c r="AD139" s="541">
        <f>AD110*Factors!AI39</f>
        <v>2.9644730518680724</v>
      </c>
      <c r="AE139" s="541">
        <f>AE110*Factors!AJ39</f>
        <v>2.8502665703268417</v>
      </c>
      <c r="AF139" s="541">
        <f>AF110*Factors!AK39</f>
        <v>3.2340861011724944</v>
      </c>
      <c r="AG139" s="541">
        <f>AG110*Factors!AL39</f>
        <v>2.798137592571154</v>
      </c>
      <c r="AH139" s="541">
        <f>AH110*Factors!AM39</f>
        <v>2.758677482216239</v>
      </c>
      <c r="AI139" s="541">
        <f>AI110*Factors!AN39</f>
        <v>2.602879257554727</v>
      </c>
      <c r="AJ139" s="541">
        <f>AJ110*Factors!AO39</f>
        <v>2.4704018698570991</v>
      </c>
      <c r="AK139" s="541">
        <f>AK110*Factors!AP39</f>
        <v>1.4353527497521175</v>
      </c>
    </row>
    <row r="140" spans="2:37">
      <c r="B140" s="539" t="str">
        <f>Factors!F52</f>
        <v>variable</v>
      </c>
      <c r="C140" s="456">
        <v>12</v>
      </c>
      <c r="D140" s="6" t="s">
        <v>1618</v>
      </c>
      <c r="E140" s="541">
        <f>E111*Factors!J39</f>
        <v>0.37413125935976549</v>
      </c>
      <c r="F140" s="541">
        <f>F111*Factors!K39</f>
        <v>0.40245948680594729</v>
      </c>
      <c r="G140" s="541">
        <f>G111*Factors!L39</f>
        <v>0.28542807154346939</v>
      </c>
      <c r="H140" s="541">
        <f>H111*Factors!M39</f>
        <v>0.48238166783530834</v>
      </c>
      <c r="I140" s="541">
        <f>I111*Factors!N39</f>
        <v>0.36895208566291665</v>
      </c>
      <c r="J140" s="541">
        <f>J111*Factors!O39</f>
        <v>0.51587131287537769</v>
      </c>
      <c r="K140" s="541">
        <f>K111*Factors!P39</f>
        <v>2.4143998320564099E-2</v>
      </c>
      <c r="L140" s="541">
        <f>L111*Factors!Q39</f>
        <v>0.12701606007211044</v>
      </c>
      <c r="M140" s="541">
        <f>M111*Factors!R39</f>
        <v>6.553557995043055E-2</v>
      </c>
      <c r="N140" s="541">
        <f>N111*Factors!S39</f>
        <v>0.23797800634893321</v>
      </c>
      <c r="O140" s="541">
        <f>O111*Factors!T39</f>
        <v>0.18394529213831423</v>
      </c>
      <c r="P140" s="541">
        <f>P111*Factors!U39</f>
        <v>0.52477900556550294</v>
      </c>
      <c r="Q140" s="541">
        <f>Q111*Factors!V39</f>
        <v>0.66816176633668367</v>
      </c>
      <c r="R140" s="541">
        <f>R111*Factors!W39</f>
        <v>0.63440478037198045</v>
      </c>
      <c r="S140" s="541">
        <f>S111*Factors!X39</f>
        <v>0.68642871231397562</v>
      </c>
      <c r="T140" s="541">
        <f>T111*Factors!Y39</f>
        <v>0.7208495430768076</v>
      </c>
      <c r="U140" s="541">
        <f>U111*Factors!Z39</f>
        <v>0.62004907562899314</v>
      </c>
      <c r="V140" s="541">
        <f>V111*Factors!AA39</f>
        <v>0.50097092161345713</v>
      </c>
      <c r="W140" s="541">
        <f>W111*Factors!AB39</f>
        <v>0.53127111703183461</v>
      </c>
      <c r="X140" s="541">
        <f>X111*Factors!AC39</f>
        <v>1.5748685974534551</v>
      </c>
      <c r="Y140" s="541">
        <f>Y111*Factors!AD39</f>
        <v>1.7849459538096653</v>
      </c>
      <c r="Z140" s="541">
        <f>Z111*Factors!AE39</f>
        <v>1.9744301550292693</v>
      </c>
      <c r="AA140" s="541">
        <f>AA111*Factors!AF39</f>
        <v>1.9582842681241919</v>
      </c>
      <c r="AB140" s="541">
        <f>AB111*Factors!AG39</f>
        <v>1.9714898249020496</v>
      </c>
      <c r="AC140" s="541">
        <f>AC111*Factors!AH39</f>
        <v>1.9365111104799251</v>
      </c>
      <c r="AD140" s="541">
        <f>AD111*Factors!AI39</f>
        <v>1.9223830990169983</v>
      </c>
      <c r="AE140" s="541">
        <f>AE111*Factors!AJ39</f>
        <v>2.007694695351343</v>
      </c>
      <c r="AF140" s="541">
        <f>AF111*Factors!AK39</f>
        <v>1.8937514630695109</v>
      </c>
      <c r="AG140" s="541">
        <f>AG111*Factors!AL39</f>
        <v>1.8503031253675399</v>
      </c>
      <c r="AH140" s="541">
        <f>AH111*Factors!AM39</f>
        <v>1.7947311642434212</v>
      </c>
      <c r="AI140" s="541">
        <f>AI111*Factors!AN39</f>
        <v>1.681586969617169</v>
      </c>
      <c r="AJ140" s="541">
        <f>AJ111*Factors!AO39</f>
        <v>1.6730395986685684</v>
      </c>
      <c r="AK140" s="541">
        <f>AK111*Factors!AP39</f>
        <v>1.7405056272900499</v>
      </c>
    </row>
    <row r="141" spans="2:37">
      <c r="B141" s="539">
        <f>Factors!F48</f>
        <v>0.3</v>
      </c>
      <c r="C141" s="456">
        <v>13</v>
      </c>
      <c r="D141" s="6" t="s">
        <v>1921</v>
      </c>
      <c r="E141" s="541">
        <f t="shared" ref="E141:T141" si="238">E112*$B141</f>
        <v>0.24325318092474221</v>
      </c>
      <c r="F141" s="541">
        <f t="shared" si="238"/>
        <v>0.10712555931075182</v>
      </c>
      <c r="G141" s="541">
        <f t="shared" si="238"/>
        <v>0.64999559489324088</v>
      </c>
      <c r="H141" s="541">
        <f t="shared" si="238"/>
        <v>0.19351096465623971</v>
      </c>
      <c r="I141" s="541">
        <f t="shared" si="238"/>
        <v>0.36889804497404965</v>
      </c>
      <c r="J141" s="541">
        <f t="shared" si="238"/>
        <v>0.29672835452131047</v>
      </c>
      <c r="K141" s="541">
        <f t="shared" si="238"/>
        <v>0.24778839464846486</v>
      </c>
      <c r="L141" s="541">
        <f t="shared" si="238"/>
        <v>0</v>
      </c>
      <c r="M141" s="541">
        <f t="shared" si="238"/>
        <v>0.48352405538639809</v>
      </c>
      <c r="N141" s="541">
        <f t="shared" si="238"/>
        <v>1.0227351834911016</v>
      </c>
      <c r="O141" s="541">
        <f t="shared" si="238"/>
        <v>7.2894863231621101E-2</v>
      </c>
      <c r="P141" s="541">
        <f t="shared" si="238"/>
        <v>0.8058508863175754</v>
      </c>
      <c r="Q141" s="541">
        <f t="shared" si="238"/>
        <v>0.54468236338914877</v>
      </c>
      <c r="R141" s="541">
        <f t="shared" si="238"/>
        <v>0.33185853836467544</v>
      </c>
      <c r="S141" s="541">
        <f t="shared" si="238"/>
        <v>1.1299167705636424</v>
      </c>
      <c r="T141" s="541">
        <f t="shared" si="238"/>
        <v>0.87054143025820252</v>
      </c>
      <c r="U141" s="541">
        <f t="shared" ref="U141:Z141" si="239">U112*$B141</f>
        <v>1.1171986415677562</v>
      </c>
      <c r="V141" s="541">
        <f t="shared" si="239"/>
        <v>0.96616300724655479</v>
      </c>
      <c r="W141" s="541">
        <f t="shared" si="239"/>
        <v>1.1554934961746144</v>
      </c>
      <c r="X141" s="541">
        <f t="shared" si="239"/>
        <v>0.90646113616689084</v>
      </c>
      <c r="Y141" s="541">
        <f t="shared" si="239"/>
        <v>0</v>
      </c>
      <c r="Z141" s="541">
        <f t="shared" si="239"/>
        <v>0</v>
      </c>
      <c r="AA141" s="541">
        <f t="shared" ref="AA141:AE141" si="240">AA112*$B141</f>
        <v>0</v>
      </c>
      <c r="AB141" s="541">
        <f t="shared" si="240"/>
        <v>0</v>
      </c>
      <c r="AC141" s="541">
        <f t="shared" si="240"/>
        <v>0</v>
      </c>
      <c r="AD141" s="541">
        <f t="shared" si="240"/>
        <v>0</v>
      </c>
      <c r="AE141" s="541">
        <f t="shared" si="240"/>
        <v>0</v>
      </c>
      <c r="AF141" s="541">
        <f t="shared" ref="AF141:AH141" si="241">AF112*$B141</f>
        <v>0</v>
      </c>
      <c r="AG141" s="541">
        <f t="shared" si="241"/>
        <v>0</v>
      </c>
      <c r="AH141" s="541">
        <f t="shared" si="241"/>
        <v>0</v>
      </c>
      <c r="AI141" s="541">
        <f t="shared" ref="AI141:AJ141" si="242">AI112*$B141</f>
        <v>0</v>
      </c>
      <c r="AJ141" s="541">
        <f t="shared" si="242"/>
        <v>0</v>
      </c>
      <c r="AK141" s="541">
        <f t="shared" ref="AK141" si="243">AK112*$B141</f>
        <v>0</v>
      </c>
    </row>
    <row r="142" spans="2:37">
      <c r="B142" s="539" t="str">
        <f>Factors!F37</f>
        <v>variable</v>
      </c>
      <c r="C142" s="456">
        <v>14</v>
      </c>
      <c r="D142" s="6" t="s">
        <v>1619</v>
      </c>
      <c r="E142" s="541">
        <f>E113*Factors!J39</f>
        <v>1.1575140588803279</v>
      </c>
      <c r="F142" s="541">
        <f>F113*Factors!K39</f>
        <v>0.92020556152867017</v>
      </c>
      <c r="G142" s="541">
        <f>G113*Factors!L39</f>
        <v>1.1125660415727114</v>
      </c>
      <c r="H142" s="541">
        <f>H113*Factors!M39</f>
        <v>1.1622189760330754</v>
      </c>
      <c r="I142" s="541">
        <f>I113*Factors!N39</f>
        <v>0.90300669244118748</v>
      </c>
      <c r="J142" s="541">
        <f>J113*Factors!O39</f>
        <v>0.8194469202597322</v>
      </c>
      <c r="K142" s="541">
        <f>K113*Factors!P39</f>
        <v>0.89600811532180069</v>
      </c>
      <c r="L142" s="541">
        <f>L113*Factors!Q39</f>
        <v>0.8110075772812535</v>
      </c>
      <c r="M142" s="541">
        <f>M113*Factors!R39</f>
        <v>1.2354432949257559</v>
      </c>
      <c r="N142" s="541">
        <f>N113*Factors!S39</f>
        <v>1.6427315419692077</v>
      </c>
      <c r="O142" s="541">
        <f>O113*Factors!T39</f>
        <v>1.1511748200555196</v>
      </c>
      <c r="P142" s="541">
        <f>P113*Factors!U39</f>
        <v>0.93530235282726149</v>
      </c>
      <c r="Q142" s="541">
        <f>Q113*Factors!V39</f>
        <v>1.2139097405314812</v>
      </c>
      <c r="R142" s="541">
        <f>R113*Factors!W39</f>
        <v>0.9179273551693361</v>
      </c>
      <c r="S142" s="541">
        <f>S113*Factors!X39</f>
        <v>0.58078096300205839</v>
      </c>
      <c r="T142" s="541">
        <f>T113*Factors!Y39</f>
        <v>0.73130229541936709</v>
      </c>
      <c r="U142" s="541">
        <f>U113*Factors!Z39</f>
        <v>0.84257356322055188</v>
      </c>
      <c r="V142" s="541">
        <f>V113*Factors!AA39</f>
        <v>0.9630468838961409</v>
      </c>
      <c r="W142" s="541">
        <f>W113*Factors!AB39</f>
        <v>1.0533578706439077</v>
      </c>
      <c r="X142" s="541">
        <f>X113*Factors!AC39</f>
        <v>0.58732595642767371</v>
      </c>
      <c r="Y142" s="541">
        <f>Y113*Factors!AD39</f>
        <v>0.344577642277202</v>
      </c>
      <c r="Z142" s="541">
        <f>Z113*Factors!AE39</f>
        <v>0.29736090464592785</v>
      </c>
      <c r="AA142" s="541">
        <f>AA113*Factors!AF39</f>
        <v>0.19329238019470021</v>
      </c>
      <c r="AB142" s="541">
        <f>AB113*Factors!AG39</f>
        <v>1.2880966783951853</v>
      </c>
      <c r="AC142" s="541">
        <f>AC113*Factors!AH39</f>
        <v>1.3871698725477684</v>
      </c>
      <c r="AD142" s="541">
        <f>AD113*Factors!AI39</f>
        <v>1.2984727390514768</v>
      </c>
      <c r="AE142" s="541">
        <f>AE113*Factors!AJ39</f>
        <v>1.2133217820481033</v>
      </c>
      <c r="AF142" s="541">
        <f>AF113*Factors!AK39</f>
        <v>1.2422000644560036</v>
      </c>
      <c r="AG142" s="541">
        <f>AG113*Factors!AL39</f>
        <v>1.0876195544393485</v>
      </c>
      <c r="AH142" s="541">
        <f>AH113*Factors!AM39</f>
        <v>1.1385448050879174</v>
      </c>
      <c r="AI142" s="541">
        <f>AI113*Factors!AN39</f>
        <v>1.0517402812730083</v>
      </c>
      <c r="AJ142" s="541">
        <f>AJ113*Factors!AO39</f>
        <v>0.93732115069722488</v>
      </c>
      <c r="AK142" s="541">
        <f>AK113*Factors!AP39</f>
        <v>1.0417419125320457</v>
      </c>
    </row>
    <row r="143" spans="2:37">
      <c r="B143" s="539"/>
      <c r="C143" s="456">
        <v>15</v>
      </c>
      <c r="D143" s="6" t="s">
        <v>1895</v>
      </c>
      <c r="E143" s="541">
        <f t="shared" ref="E143:T143" si="244">E114*$B143</f>
        <v>0</v>
      </c>
      <c r="F143" s="541">
        <f t="shared" si="244"/>
        <v>0</v>
      </c>
      <c r="G143" s="541">
        <f t="shared" si="244"/>
        <v>0</v>
      </c>
      <c r="H143" s="541">
        <f t="shared" si="244"/>
        <v>0</v>
      </c>
      <c r="I143" s="541">
        <f t="shared" si="244"/>
        <v>0</v>
      </c>
      <c r="J143" s="541">
        <f t="shared" si="244"/>
        <v>0</v>
      </c>
      <c r="K143" s="541">
        <f t="shared" si="244"/>
        <v>0</v>
      </c>
      <c r="L143" s="541">
        <f t="shared" si="244"/>
        <v>0</v>
      </c>
      <c r="M143" s="541">
        <f t="shared" si="244"/>
        <v>0</v>
      </c>
      <c r="N143" s="541">
        <f t="shared" si="244"/>
        <v>0</v>
      </c>
      <c r="O143" s="541">
        <f t="shared" si="244"/>
        <v>0</v>
      </c>
      <c r="P143" s="541">
        <f t="shared" si="244"/>
        <v>0</v>
      </c>
      <c r="Q143" s="541">
        <f t="shared" si="244"/>
        <v>0</v>
      </c>
      <c r="R143" s="541">
        <f t="shared" si="244"/>
        <v>0</v>
      </c>
      <c r="S143" s="541">
        <f t="shared" si="244"/>
        <v>0</v>
      </c>
      <c r="T143" s="541">
        <f t="shared" si="244"/>
        <v>0</v>
      </c>
      <c r="U143" s="541">
        <f t="shared" ref="U143:W146" si="245">U114*$B143</f>
        <v>0</v>
      </c>
      <c r="V143" s="541">
        <f t="shared" si="245"/>
        <v>0</v>
      </c>
      <c r="W143" s="541">
        <f t="shared" si="245"/>
        <v>0</v>
      </c>
      <c r="X143" s="541">
        <f t="shared" ref="X143:Y146" si="246">X114*$B143</f>
        <v>0</v>
      </c>
      <c r="Y143" s="541">
        <f t="shared" si="246"/>
        <v>0</v>
      </c>
      <c r="Z143" s="541">
        <f t="shared" ref="Z143:AA146" si="247">Z114*$B143</f>
        <v>0</v>
      </c>
      <c r="AA143" s="541">
        <f t="shared" si="247"/>
        <v>0</v>
      </c>
      <c r="AB143" s="541">
        <f t="shared" ref="AB143:AC146" si="248">AB114*$B143</f>
        <v>0</v>
      </c>
      <c r="AC143" s="541">
        <f t="shared" si="248"/>
        <v>0</v>
      </c>
      <c r="AD143" s="541">
        <f t="shared" ref="AD143:AE146" si="249">AD114*$B143</f>
        <v>0</v>
      </c>
      <c r="AE143" s="541">
        <f t="shared" si="249"/>
        <v>0</v>
      </c>
      <c r="AF143" s="541">
        <f t="shared" ref="AF143:AH143" si="250">AF114*$B143</f>
        <v>0</v>
      </c>
      <c r="AG143" s="541">
        <f t="shared" si="250"/>
        <v>0</v>
      </c>
      <c r="AH143" s="541">
        <f t="shared" si="250"/>
        <v>0</v>
      </c>
      <c r="AI143" s="541">
        <f t="shared" ref="AI143:AJ143" si="251">AI114*$B143</f>
        <v>0</v>
      </c>
      <c r="AJ143" s="541">
        <f t="shared" si="251"/>
        <v>0</v>
      </c>
      <c r="AK143" s="541">
        <f t="shared" ref="AK143" si="252">AK114*$B143</f>
        <v>0</v>
      </c>
    </row>
    <row r="144" spans="2:37">
      <c r="B144" s="539">
        <f>Factors!F26</f>
        <v>0.5</v>
      </c>
      <c r="C144" s="456">
        <v>16</v>
      </c>
      <c r="D144" s="463" t="s">
        <v>1738</v>
      </c>
      <c r="E144" s="541">
        <f t="shared" ref="E144:T144" si="253">E115*$B144</f>
        <v>7.104027087931529E-2</v>
      </c>
      <c r="F144" s="541">
        <f t="shared" si="253"/>
        <v>7.1434072000000001E-2</v>
      </c>
      <c r="G144" s="541">
        <f t="shared" si="253"/>
        <v>7.0631221958333323E-2</v>
      </c>
      <c r="H144" s="541">
        <f t="shared" si="253"/>
        <v>6.9828371916666673E-2</v>
      </c>
      <c r="I144" s="541">
        <f t="shared" si="253"/>
        <v>6.9025521874999995E-2</v>
      </c>
      <c r="J144" s="541">
        <f t="shared" si="253"/>
        <v>8.1141703906250015E-2</v>
      </c>
      <c r="K144" s="541">
        <f t="shared" si="253"/>
        <v>9.3257885937500021E-2</v>
      </c>
      <c r="L144" s="541">
        <f t="shared" si="253"/>
        <v>0.10537406796875003</v>
      </c>
      <c r="M144" s="541">
        <f t="shared" si="253"/>
        <v>0.11749025000000002</v>
      </c>
      <c r="N144" s="541">
        <f t="shared" si="253"/>
        <v>0.11749025000000002</v>
      </c>
      <c r="O144" s="541">
        <f t="shared" si="253"/>
        <v>0.11877175000000001</v>
      </c>
      <c r="P144" s="541">
        <f t="shared" si="253"/>
        <v>0.11859699999999999</v>
      </c>
      <c r="Q144" s="541">
        <f t="shared" si="253"/>
        <v>0.11859699999999999</v>
      </c>
      <c r="R144" s="541">
        <f t="shared" si="253"/>
        <v>0.13348715624999999</v>
      </c>
      <c r="S144" s="541">
        <f t="shared" si="253"/>
        <v>0.1484646875</v>
      </c>
      <c r="T144" s="541">
        <f t="shared" si="253"/>
        <v>0.16315096874999999</v>
      </c>
      <c r="U144" s="541">
        <f t="shared" si="245"/>
        <v>0.17763337500000001</v>
      </c>
      <c r="V144" s="541">
        <f t="shared" si="245"/>
        <v>0.14744531250000001</v>
      </c>
      <c r="W144" s="541">
        <f t="shared" si="245"/>
        <v>0.11795625</v>
      </c>
      <c r="X144" s="541">
        <f t="shared" si="246"/>
        <v>8.8379812500000016E-2</v>
      </c>
      <c r="Y144" s="541">
        <f t="shared" si="246"/>
        <v>5.8949000000000001E-2</v>
      </c>
      <c r="Z144" s="541">
        <f t="shared" si="247"/>
        <v>5.8890749999999999E-2</v>
      </c>
      <c r="AA144" s="541">
        <f t="shared" si="247"/>
        <v>5.8890749999999999E-2</v>
      </c>
      <c r="AB144" s="541">
        <f t="shared" si="248"/>
        <v>5.8919875000000003E-2</v>
      </c>
      <c r="AC144" s="541">
        <f t="shared" si="248"/>
        <v>5.8919875000000003E-2</v>
      </c>
      <c r="AD144" s="541">
        <f t="shared" si="249"/>
        <v>5.8895531457079743E-2</v>
      </c>
      <c r="AE144" s="541">
        <f t="shared" si="249"/>
        <v>5.8873971677228236E-2</v>
      </c>
      <c r="AF144" s="541">
        <f t="shared" ref="AF144:AG144" si="254">AF115*$B144</f>
        <v>5.8851219019262921E-2</v>
      </c>
      <c r="AG144" s="541">
        <f t="shared" si="254"/>
        <v>5.8895757903656441E-2</v>
      </c>
      <c r="AH144" s="541">
        <f>AH115*$B144</f>
        <v>5.8895757903656441E-2</v>
      </c>
      <c r="AI144" s="541">
        <f>AI115*$B144</f>
        <v>5.8881699392511692E-2</v>
      </c>
      <c r="AJ144" s="541">
        <f>AJ115*$B144</f>
        <v>5.8881699392511692E-2</v>
      </c>
      <c r="AK144" s="541">
        <f>AK115*$B144</f>
        <v>5.8881699392511692E-2</v>
      </c>
    </row>
    <row r="145" spans="1:46">
      <c r="B145" s="539">
        <f>Factors!F55</f>
        <v>0.57824999999999982</v>
      </c>
      <c r="C145" s="456">
        <v>17</v>
      </c>
      <c r="D145" s="463" t="s">
        <v>1621</v>
      </c>
      <c r="E145" s="541">
        <f t="shared" ref="E145:T145" si="255">E116*$B145</f>
        <v>0.38117608130454528</v>
      </c>
      <c r="F145" s="541">
        <f t="shared" si="255"/>
        <v>0.40209196205454528</v>
      </c>
      <c r="G145" s="541">
        <f t="shared" si="255"/>
        <v>0.4264938229295453</v>
      </c>
      <c r="H145" s="541">
        <f t="shared" si="255"/>
        <v>0.45818455133863617</v>
      </c>
      <c r="I145" s="541">
        <f t="shared" si="255"/>
        <v>0.46458607847727257</v>
      </c>
      <c r="J145" s="541">
        <f t="shared" si="255"/>
        <v>0.46464945993409074</v>
      </c>
      <c r="K145" s="541">
        <f t="shared" si="255"/>
        <v>0.55705962397499975</v>
      </c>
      <c r="L145" s="541">
        <f t="shared" si="255"/>
        <v>0.50071350886363619</v>
      </c>
      <c r="M145" s="541">
        <f t="shared" si="255"/>
        <v>0.48499490757272706</v>
      </c>
      <c r="N145" s="541">
        <f t="shared" si="255"/>
        <v>0.42852202954772711</v>
      </c>
      <c r="O145" s="541">
        <f t="shared" si="255"/>
        <v>0.37870420448863629</v>
      </c>
      <c r="P145" s="541">
        <f t="shared" si="255"/>
        <v>0.41590911964090893</v>
      </c>
      <c r="Q145" s="541">
        <f t="shared" si="255"/>
        <v>0.36824626411363615</v>
      </c>
      <c r="R145" s="541">
        <f t="shared" si="255"/>
        <v>0.35537982837954529</v>
      </c>
      <c r="S145" s="541">
        <f t="shared" si="255"/>
        <v>0.35221075553863623</v>
      </c>
      <c r="T145" s="541">
        <f t="shared" si="255"/>
        <v>0.35905994590677942</v>
      </c>
      <c r="U145" s="541">
        <f t="shared" si="245"/>
        <v>0.29928742923982488</v>
      </c>
      <c r="V145" s="541">
        <f t="shared" si="245"/>
        <v>0.25053333517051357</v>
      </c>
      <c r="W145" s="541">
        <f t="shared" si="245"/>
        <v>0.2191192034389772</v>
      </c>
      <c r="X145" s="541">
        <f t="shared" si="246"/>
        <v>0.13991158699766584</v>
      </c>
      <c r="Y145" s="541">
        <f t="shared" si="246"/>
        <v>0.19554415366817038</v>
      </c>
      <c r="Z145" s="541">
        <f t="shared" si="247"/>
        <v>0.17256140361132949</v>
      </c>
      <c r="AA145" s="541">
        <f t="shared" si="247"/>
        <v>0.17503556215968402</v>
      </c>
      <c r="AB145" s="541">
        <f t="shared" si="248"/>
        <v>0.18874535155819766</v>
      </c>
      <c r="AC145" s="541">
        <f t="shared" si="248"/>
        <v>0.16922494034296356</v>
      </c>
      <c r="AD145" s="541">
        <f t="shared" si="249"/>
        <v>0.14145372122350902</v>
      </c>
      <c r="AE145" s="541">
        <f t="shared" si="249"/>
        <v>0.14708237487770451</v>
      </c>
      <c r="AF145" s="541">
        <f t="shared" ref="AF145:AH145" si="256">AF116*$B145</f>
        <v>0.11631923408914766</v>
      </c>
      <c r="AG145" s="541">
        <f t="shared" si="256"/>
        <v>0.14207568345926586</v>
      </c>
      <c r="AH145" s="541">
        <f t="shared" si="256"/>
        <v>0.11931888829598175</v>
      </c>
      <c r="AI145" s="541">
        <f t="shared" ref="AI145:AJ145" si="257">AI116*$B145</f>
        <v>0.10537312973373404</v>
      </c>
      <c r="AJ145" s="541">
        <f t="shared" si="257"/>
        <v>0.13497252359365222</v>
      </c>
      <c r="AK145" s="541">
        <f t="shared" ref="AK145" si="258">AK116*$B145</f>
        <v>0.14924862630883629</v>
      </c>
    </row>
    <row r="146" spans="1:46">
      <c r="B146" s="539">
        <f>Factors!F42</f>
        <v>0</v>
      </c>
      <c r="C146" s="456">
        <v>18</v>
      </c>
      <c r="D146" s="463" t="s">
        <v>1614</v>
      </c>
      <c r="E146" s="541">
        <f t="shared" ref="E146:T146" si="259">E117*$B146</f>
        <v>0</v>
      </c>
      <c r="F146" s="541">
        <f t="shared" si="259"/>
        <v>0</v>
      </c>
      <c r="G146" s="541">
        <f t="shared" si="259"/>
        <v>0</v>
      </c>
      <c r="H146" s="541">
        <f t="shared" si="259"/>
        <v>0</v>
      </c>
      <c r="I146" s="541">
        <f t="shared" si="259"/>
        <v>0</v>
      </c>
      <c r="J146" s="541">
        <f t="shared" si="259"/>
        <v>0</v>
      </c>
      <c r="K146" s="541">
        <f t="shared" si="259"/>
        <v>0</v>
      </c>
      <c r="L146" s="541">
        <f t="shared" si="259"/>
        <v>0</v>
      </c>
      <c r="M146" s="541">
        <f t="shared" si="259"/>
        <v>0</v>
      </c>
      <c r="N146" s="541">
        <f t="shared" si="259"/>
        <v>0</v>
      </c>
      <c r="O146" s="541">
        <f t="shared" si="259"/>
        <v>0</v>
      </c>
      <c r="P146" s="541">
        <f t="shared" si="259"/>
        <v>0</v>
      </c>
      <c r="Q146" s="541">
        <f t="shared" si="259"/>
        <v>0</v>
      </c>
      <c r="R146" s="541">
        <f t="shared" si="259"/>
        <v>0</v>
      </c>
      <c r="S146" s="541">
        <f t="shared" si="259"/>
        <v>0</v>
      </c>
      <c r="T146" s="541">
        <f t="shared" si="259"/>
        <v>0</v>
      </c>
      <c r="U146" s="541">
        <f t="shared" si="245"/>
        <v>0</v>
      </c>
      <c r="V146" s="541">
        <f t="shared" si="245"/>
        <v>0</v>
      </c>
      <c r="W146" s="541">
        <f t="shared" si="245"/>
        <v>0</v>
      </c>
      <c r="X146" s="541">
        <f t="shared" si="246"/>
        <v>0</v>
      </c>
      <c r="Y146" s="541">
        <f t="shared" si="246"/>
        <v>0</v>
      </c>
      <c r="Z146" s="541">
        <f t="shared" si="247"/>
        <v>0</v>
      </c>
      <c r="AA146" s="541">
        <f t="shared" si="247"/>
        <v>0</v>
      </c>
      <c r="AB146" s="541">
        <f t="shared" si="248"/>
        <v>0</v>
      </c>
      <c r="AC146" s="541">
        <f t="shared" si="248"/>
        <v>0</v>
      </c>
      <c r="AD146" s="541">
        <f t="shared" si="249"/>
        <v>0</v>
      </c>
      <c r="AE146" s="541">
        <f t="shared" si="249"/>
        <v>0</v>
      </c>
      <c r="AF146" s="541">
        <f t="shared" ref="AF146:AH146" si="260">AF117*$B146</f>
        <v>0</v>
      </c>
      <c r="AG146" s="541">
        <f t="shared" si="260"/>
        <v>0</v>
      </c>
      <c r="AH146" s="541">
        <f t="shared" si="260"/>
        <v>0</v>
      </c>
      <c r="AI146" s="541">
        <f t="shared" ref="AI146:AJ146" si="261">AI117*$B146</f>
        <v>0</v>
      </c>
      <c r="AJ146" s="541">
        <f t="shared" si="261"/>
        <v>0</v>
      </c>
      <c r="AK146" s="541">
        <f t="shared" ref="AK146" si="262">AK117*$B146</f>
        <v>0</v>
      </c>
    </row>
    <row r="147" spans="1:46">
      <c r="B147" s="539"/>
      <c r="C147" s="456">
        <v>19</v>
      </c>
      <c r="D147" s="5" t="s">
        <v>1445</v>
      </c>
      <c r="E147" s="540">
        <f t="shared" ref="E147:AK147" si="263">SUM(E148)</f>
        <v>0.32635694641384988</v>
      </c>
      <c r="F147" s="540">
        <f t="shared" si="263"/>
        <v>0.29195966598216289</v>
      </c>
      <c r="G147" s="540">
        <f t="shared" si="263"/>
        <v>0.29766534964190944</v>
      </c>
      <c r="H147" s="540">
        <f t="shared" si="263"/>
        <v>0.30310030538019928</v>
      </c>
      <c r="I147" s="540">
        <f t="shared" si="263"/>
        <v>0.31679987992625336</v>
      </c>
      <c r="J147" s="540">
        <f t="shared" si="263"/>
        <v>0.31136121558629987</v>
      </c>
      <c r="K147" s="540">
        <f t="shared" si="263"/>
        <v>0.30217130066341896</v>
      </c>
      <c r="L147" s="540">
        <f t="shared" si="263"/>
        <v>0.31921047100771932</v>
      </c>
      <c r="M147" s="540">
        <f t="shared" si="263"/>
        <v>0.33416726151779952</v>
      </c>
      <c r="N147" s="540">
        <f t="shared" si="263"/>
        <v>0.33766261858592517</v>
      </c>
      <c r="O147" s="540">
        <f t="shared" si="263"/>
        <v>0.33259852301401477</v>
      </c>
      <c r="P147" s="540">
        <f t="shared" si="263"/>
        <v>0.30473394441310037</v>
      </c>
      <c r="Q147" s="540">
        <f t="shared" si="263"/>
        <v>0.30112362069339721</v>
      </c>
      <c r="R147" s="540">
        <f t="shared" si="263"/>
        <v>0.27839360109600531</v>
      </c>
      <c r="S147" s="540">
        <f t="shared" si="263"/>
        <v>0.28204286513317839</v>
      </c>
      <c r="T147" s="540">
        <f t="shared" si="263"/>
        <v>0.28056869597182038</v>
      </c>
      <c r="U147" s="540">
        <f t="shared" si="263"/>
        <v>0.27334990283324584</v>
      </c>
      <c r="V147" s="540">
        <f t="shared" si="263"/>
        <v>0.2822820699404931</v>
      </c>
      <c r="W147" s="540">
        <f t="shared" si="263"/>
        <v>0.26206833657198531</v>
      </c>
      <c r="X147" s="540">
        <f t="shared" si="263"/>
        <v>0.23561673520497636</v>
      </c>
      <c r="Y147" s="540">
        <f t="shared" si="263"/>
        <v>0.28699570265517493</v>
      </c>
      <c r="Z147" s="540">
        <f t="shared" si="263"/>
        <v>0.27512632303020301</v>
      </c>
      <c r="AA147" s="540">
        <f t="shared" si="263"/>
        <v>0.25108716704549189</v>
      </c>
      <c r="AB147" s="540">
        <f t="shared" si="263"/>
        <v>0.26583442156156778</v>
      </c>
      <c r="AC147" s="540">
        <f t="shared" si="263"/>
        <v>0.27696022655294905</v>
      </c>
      <c r="AD147" s="540">
        <f t="shared" si="263"/>
        <v>0.30190057274196203</v>
      </c>
      <c r="AE147" s="540">
        <f t="shared" si="263"/>
        <v>0.28621318770411441</v>
      </c>
      <c r="AF147" s="540">
        <f t="shared" si="263"/>
        <v>0.26327919501521391</v>
      </c>
      <c r="AG147" s="540">
        <f t="shared" si="263"/>
        <v>0.2540132537582252</v>
      </c>
      <c r="AH147" s="540">
        <f t="shared" si="263"/>
        <v>0.24352347395218463</v>
      </c>
      <c r="AI147" s="540">
        <f t="shared" si="263"/>
        <v>0.21438499067975711</v>
      </c>
      <c r="AJ147" s="540">
        <f t="shared" si="263"/>
        <v>0.22073226242734006</v>
      </c>
      <c r="AK147" s="540">
        <f t="shared" si="263"/>
        <v>0.23250336410822148</v>
      </c>
    </row>
    <row r="148" spans="1:46">
      <c r="B148" s="539">
        <f>Factors!F33</f>
        <v>9.1799999999999993E-2</v>
      </c>
      <c r="C148" s="456">
        <v>20</v>
      </c>
      <c r="D148" s="6" t="s">
        <v>1610</v>
      </c>
      <c r="E148" s="541">
        <f t="shared" ref="E148:T148" si="264">E119*$B148</f>
        <v>0.32635694641384988</v>
      </c>
      <c r="F148" s="541">
        <f t="shared" si="264"/>
        <v>0.29195966598216289</v>
      </c>
      <c r="G148" s="541">
        <f t="shared" si="264"/>
        <v>0.29766534964190944</v>
      </c>
      <c r="H148" s="541">
        <f t="shared" si="264"/>
        <v>0.30310030538019928</v>
      </c>
      <c r="I148" s="541">
        <f t="shared" si="264"/>
        <v>0.31679987992625336</v>
      </c>
      <c r="J148" s="541">
        <f t="shared" si="264"/>
        <v>0.31136121558629987</v>
      </c>
      <c r="K148" s="541">
        <f t="shared" si="264"/>
        <v>0.30217130066341896</v>
      </c>
      <c r="L148" s="541">
        <f t="shared" si="264"/>
        <v>0.31921047100771932</v>
      </c>
      <c r="M148" s="541">
        <f t="shared" si="264"/>
        <v>0.33416726151779952</v>
      </c>
      <c r="N148" s="541">
        <f t="shared" si="264"/>
        <v>0.33766261858592517</v>
      </c>
      <c r="O148" s="541">
        <f t="shared" si="264"/>
        <v>0.33259852301401477</v>
      </c>
      <c r="P148" s="541">
        <f t="shared" si="264"/>
        <v>0.30473394441310037</v>
      </c>
      <c r="Q148" s="541">
        <f t="shared" si="264"/>
        <v>0.30112362069339721</v>
      </c>
      <c r="R148" s="541">
        <f t="shared" si="264"/>
        <v>0.27839360109600531</v>
      </c>
      <c r="S148" s="541">
        <f t="shared" si="264"/>
        <v>0.28204286513317839</v>
      </c>
      <c r="T148" s="541">
        <f t="shared" si="264"/>
        <v>0.28056869597182038</v>
      </c>
      <c r="U148" s="541">
        <f t="shared" ref="U148:Z148" si="265">U119*$B148</f>
        <v>0.27334990283324584</v>
      </c>
      <c r="V148" s="541">
        <f t="shared" si="265"/>
        <v>0.2822820699404931</v>
      </c>
      <c r="W148" s="541">
        <f t="shared" si="265"/>
        <v>0.26206833657198531</v>
      </c>
      <c r="X148" s="541">
        <f t="shared" si="265"/>
        <v>0.23561673520497636</v>
      </c>
      <c r="Y148" s="541">
        <f t="shared" si="265"/>
        <v>0.28699570265517493</v>
      </c>
      <c r="Z148" s="541">
        <f t="shared" si="265"/>
        <v>0.27512632303020301</v>
      </c>
      <c r="AA148" s="541">
        <f t="shared" ref="AA148:AE148" si="266">AA119*$B148</f>
        <v>0.25108716704549189</v>
      </c>
      <c r="AB148" s="541">
        <f t="shared" si="266"/>
        <v>0.26583442156156778</v>
      </c>
      <c r="AC148" s="541">
        <f t="shared" si="266"/>
        <v>0.27696022655294905</v>
      </c>
      <c r="AD148" s="541">
        <f t="shared" si="266"/>
        <v>0.30190057274196203</v>
      </c>
      <c r="AE148" s="541">
        <f t="shared" si="266"/>
        <v>0.28621318770411441</v>
      </c>
      <c r="AF148" s="541">
        <f t="shared" ref="AF148:AH148" si="267">AF119*$B148</f>
        <v>0.26327919501521391</v>
      </c>
      <c r="AG148" s="541">
        <f t="shared" si="267"/>
        <v>0.2540132537582252</v>
      </c>
      <c r="AH148" s="541">
        <f t="shared" si="267"/>
        <v>0.24352347395218463</v>
      </c>
      <c r="AI148" s="541">
        <f t="shared" ref="AI148:AJ148" si="268">AI119*$B148</f>
        <v>0.21438499067975711</v>
      </c>
      <c r="AJ148" s="541">
        <f t="shared" si="268"/>
        <v>0.22073226242734006</v>
      </c>
      <c r="AK148" s="541">
        <f t="shared" ref="AK148" si="269">AK119*$B148</f>
        <v>0.23250336410822148</v>
      </c>
    </row>
    <row r="149" spans="1:46">
      <c r="B149" s="539"/>
      <c r="C149" s="456">
        <v>21</v>
      </c>
      <c r="D149" s="5" t="s">
        <v>1476</v>
      </c>
      <c r="E149" s="540">
        <f t="shared" ref="E149:T149" si="270">SUM(E150:E151)</f>
        <v>0.10153157085844899</v>
      </c>
      <c r="F149" s="540">
        <f t="shared" si="270"/>
        <v>0.12869759954218984</v>
      </c>
      <c r="G149" s="540">
        <f t="shared" si="270"/>
        <v>7.0955140691484453E-2</v>
      </c>
      <c r="H149" s="540">
        <f t="shared" si="270"/>
        <v>7.7402242418917577E-2</v>
      </c>
      <c r="I149" s="540">
        <f t="shared" si="270"/>
        <v>6.0494938662459516E-2</v>
      </c>
      <c r="J149" s="540">
        <f t="shared" si="270"/>
        <v>0.11058896797729564</v>
      </c>
      <c r="K149" s="540">
        <f t="shared" si="270"/>
        <v>0.14526895806140278</v>
      </c>
      <c r="L149" s="540">
        <f t="shared" si="270"/>
        <v>0.15444874727217275</v>
      </c>
      <c r="M149" s="540">
        <f t="shared" si="270"/>
        <v>0.153020113753911</v>
      </c>
      <c r="N149" s="540">
        <f t="shared" si="270"/>
        <v>0.2702877392361086</v>
      </c>
      <c r="O149" s="540">
        <f t="shared" si="270"/>
        <v>0.28119647514919333</v>
      </c>
      <c r="P149" s="540">
        <f t="shared" si="270"/>
        <v>0.17066037920927155</v>
      </c>
      <c r="Q149" s="540">
        <f t="shared" si="270"/>
        <v>0.28002275174164309</v>
      </c>
      <c r="R149" s="540">
        <f t="shared" si="270"/>
        <v>0.24053857459468372</v>
      </c>
      <c r="S149" s="540">
        <f t="shared" si="270"/>
        <v>0.22604795956108081</v>
      </c>
      <c r="T149" s="540">
        <f t="shared" si="270"/>
        <v>0.2291917479837236</v>
      </c>
      <c r="U149" s="540">
        <f t="shared" ref="U149:Z149" si="271">SUM(U150:U151)</f>
        <v>0.19621636270040294</v>
      </c>
      <c r="V149" s="540">
        <f t="shared" si="271"/>
        <v>0.22109629491600427</v>
      </c>
      <c r="W149" s="540">
        <f t="shared" si="271"/>
        <v>0.15564889350486452</v>
      </c>
      <c r="X149" s="540">
        <f t="shared" si="271"/>
        <v>8.0542763225806668E-2</v>
      </c>
      <c r="Y149" s="540">
        <f t="shared" si="271"/>
        <v>5.468303578941739E-2</v>
      </c>
      <c r="Z149" s="540">
        <f t="shared" si="271"/>
        <v>2.9048345600239354E-2</v>
      </c>
      <c r="AA149" s="540">
        <f t="shared" ref="AA149:AE149" si="272">SUM(AA150:AA151)</f>
        <v>3.5088693762813393E-2</v>
      </c>
      <c r="AB149" s="540">
        <f t="shared" si="272"/>
        <v>2.0918508652198908E-2</v>
      </c>
      <c r="AC149" s="540">
        <f t="shared" si="272"/>
        <v>2.1155209843253038E-2</v>
      </c>
      <c r="AD149" s="540">
        <f t="shared" si="272"/>
        <v>2.0545792719965386E-2</v>
      </c>
      <c r="AE149" s="540">
        <f t="shared" si="272"/>
        <v>2.0872879476489477E-2</v>
      </c>
      <c r="AF149" s="540">
        <f t="shared" ref="AF149:AH149" si="273">SUM(AF150:AF151)</f>
        <v>6.8304250624329323E-3</v>
      </c>
      <c r="AG149" s="540">
        <f t="shared" si="273"/>
        <v>6.9975794733896316E-3</v>
      </c>
      <c r="AH149" s="540">
        <f t="shared" si="273"/>
        <v>7.1334430562894268E-3</v>
      </c>
      <c r="AI149" s="540">
        <f t="shared" ref="AI149:AJ149" si="274">SUM(AI150:AI151)</f>
        <v>1.9378752345818174E-3</v>
      </c>
      <c r="AJ149" s="540">
        <f t="shared" si="274"/>
        <v>1.9390191975818174E-3</v>
      </c>
      <c r="AK149" s="540">
        <f t="shared" ref="AK149" si="275">SUM(AK150:AK151)</f>
        <v>1.9390191975818174E-3</v>
      </c>
    </row>
    <row r="150" spans="1:46">
      <c r="B150" s="539">
        <f>Factors!F33</f>
        <v>9.1799999999999993E-2</v>
      </c>
      <c r="C150" s="456">
        <v>22</v>
      </c>
      <c r="D150" s="6" t="s">
        <v>1610</v>
      </c>
      <c r="E150" s="541">
        <f t="shared" ref="E150:T150" si="276">E121*$B150</f>
        <v>1.3144715816727269E-3</v>
      </c>
      <c r="F150" s="541">
        <f t="shared" si="276"/>
        <v>1.1049776733436361E-3</v>
      </c>
      <c r="G150" s="541">
        <f t="shared" si="276"/>
        <v>2.7275285319709078E-3</v>
      </c>
      <c r="H150" s="541">
        <f t="shared" si="276"/>
        <v>3.2010421603859787E-3</v>
      </c>
      <c r="I150" s="541">
        <f t="shared" si="276"/>
        <v>3.4997805862036361E-3</v>
      </c>
      <c r="J150" s="541">
        <f t="shared" si="276"/>
        <v>3.7257053893036364E-3</v>
      </c>
      <c r="K150" s="541">
        <f t="shared" si="276"/>
        <v>2.724498244000863E-3</v>
      </c>
      <c r="L150" s="541">
        <f t="shared" si="276"/>
        <v>4.5801119173909085E-3</v>
      </c>
      <c r="M150" s="541">
        <f t="shared" si="276"/>
        <v>2.3496179522399996E-3</v>
      </c>
      <c r="N150" s="541">
        <f t="shared" si="276"/>
        <v>2.5550041368763636E-3</v>
      </c>
      <c r="O150" s="541">
        <f t="shared" si="276"/>
        <v>5.7559534360784844E-3</v>
      </c>
      <c r="P150" s="541">
        <f t="shared" si="276"/>
        <v>4.6628741092712249E-3</v>
      </c>
      <c r="Q150" s="541">
        <f t="shared" si="276"/>
        <v>5.6093611723006722E-3</v>
      </c>
      <c r="R150" s="541">
        <f t="shared" si="276"/>
        <v>9.0052669922471313E-3</v>
      </c>
      <c r="S150" s="541">
        <f t="shared" si="276"/>
        <v>9.4051159959165406E-3</v>
      </c>
      <c r="T150" s="541">
        <f t="shared" si="276"/>
        <v>8.4967983233125779E-3</v>
      </c>
      <c r="U150" s="541">
        <f t="shared" ref="U150:W151" si="277">U121*$B150</f>
        <v>1.1478555562732001E-2</v>
      </c>
      <c r="V150" s="541">
        <f t="shared" si="277"/>
        <v>1.1008732016141139E-2</v>
      </c>
      <c r="W150" s="541">
        <f t="shared" si="277"/>
        <v>4.9256791581431588E-3</v>
      </c>
      <c r="X150" s="541">
        <f t="shared" ref="X150:Z151" si="278">X121*$B150</f>
        <v>1.9306301355818175E-3</v>
      </c>
      <c r="Y150" s="541">
        <f t="shared" si="278"/>
        <v>1.9306301355818175E-3</v>
      </c>
      <c r="Z150" s="541">
        <f t="shared" si="278"/>
        <v>1.9306301355818175E-3</v>
      </c>
      <c r="AA150" s="541">
        <f t="shared" ref="AA150:AC151" si="279">AA121*$B150</f>
        <v>1.9306301355818175E-3</v>
      </c>
      <c r="AB150" s="541">
        <f t="shared" si="279"/>
        <v>1.9306301355818175E-3</v>
      </c>
      <c r="AC150" s="541">
        <f t="shared" si="279"/>
        <v>1.9306301355818175E-3</v>
      </c>
      <c r="AD150" s="541">
        <f t="shared" ref="AD150:AE151" si="280">AD121*$B150</f>
        <v>1.9306301355818175E-3</v>
      </c>
      <c r="AE150" s="541">
        <f t="shared" si="280"/>
        <v>1.9306301355818175E-3</v>
      </c>
      <c r="AF150" s="541">
        <f t="shared" ref="AF150:AH150" si="281">AF121*$B150</f>
        <v>1.9306301355818175E-3</v>
      </c>
      <c r="AG150" s="541">
        <f t="shared" si="281"/>
        <v>1.9306301355818175E-3</v>
      </c>
      <c r="AH150" s="541">
        <f t="shared" si="281"/>
        <v>1.9306301355818175E-3</v>
      </c>
      <c r="AI150" s="541">
        <f t="shared" ref="AI150:AJ150" si="282">AI121*$B150</f>
        <v>1.9306301355818175E-3</v>
      </c>
      <c r="AJ150" s="541">
        <f t="shared" si="282"/>
        <v>1.9306301355818175E-3</v>
      </c>
      <c r="AK150" s="541">
        <f t="shared" ref="AK150" si="283">AK121*$B150</f>
        <v>1.9306301355818175E-3</v>
      </c>
    </row>
    <row r="151" spans="1:46">
      <c r="B151" s="542">
        <f>Factors!F43</f>
        <v>0.1</v>
      </c>
      <c r="C151" s="456">
        <v>23</v>
      </c>
      <c r="D151" s="6" t="s">
        <v>1785</v>
      </c>
      <c r="E151" s="541">
        <f t="shared" ref="E151:T151" si="284">E122*$B151</f>
        <v>0.10021709927677627</v>
      </c>
      <c r="F151" s="541">
        <f t="shared" si="284"/>
        <v>0.12759262186884621</v>
      </c>
      <c r="G151" s="541">
        <f t="shared" si="284"/>
        <v>6.8227612159513548E-2</v>
      </c>
      <c r="H151" s="541">
        <f t="shared" si="284"/>
        <v>7.4201200258531594E-2</v>
      </c>
      <c r="I151" s="541">
        <f t="shared" si="284"/>
        <v>5.6995158076255881E-2</v>
      </c>
      <c r="J151" s="541">
        <f t="shared" si="284"/>
        <v>0.106863262587992</v>
      </c>
      <c r="K151" s="541">
        <f t="shared" si="284"/>
        <v>0.14254445981740191</v>
      </c>
      <c r="L151" s="541">
        <f t="shared" si="284"/>
        <v>0.14986863535478184</v>
      </c>
      <c r="M151" s="541">
        <f t="shared" si="284"/>
        <v>0.15067049580167099</v>
      </c>
      <c r="N151" s="541">
        <f t="shared" si="284"/>
        <v>0.26773273509923223</v>
      </c>
      <c r="O151" s="541">
        <f t="shared" si="284"/>
        <v>0.27544052171311484</v>
      </c>
      <c r="P151" s="541">
        <f t="shared" si="284"/>
        <v>0.16599750510000033</v>
      </c>
      <c r="Q151" s="541">
        <f t="shared" si="284"/>
        <v>0.27441339056934244</v>
      </c>
      <c r="R151" s="541">
        <f t="shared" si="284"/>
        <v>0.23153330760243659</v>
      </c>
      <c r="S151" s="541">
        <f t="shared" si="284"/>
        <v>0.21664284356516428</v>
      </c>
      <c r="T151" s="541">
        <f t="shared" si="284"/>
        <v>0.22069494966041103</v>
      </c>
      <c r="U151" s="541">
        <f t="shared" si="277"/>
        <v>0.18473780713767093</v>
      </c>
      <c r="V151" s="541">
        <f t="shared" si="277"/>
        <v>0.21008756289986313</v>
      </c>
      <c r="W151" s="541">
        <f t="shared" si="277"/>
        <v>0.15072321434672137</v>
      </c>
      <c r="X151" s="541">
        <f t="shared" si="278"/>
        <v>7.8612133090224856E-2</v>
      </c>
      <c r="Y151" s="541">
        <f t="shared" si="278"/>
        <v>5.2752405653835571E-2</v>
      </c>
      <c r="Z151" s="541">
        <f t="shared" si="278"/>
        <v>2.7117715464657535E-2</v>
      </c>
      <c r="AA151" s="541">
        <f t="shared" si="279"/>
        <v>3.3158063627231574E-2</v>
      </c>
      <c r="AB151" s="541">
        <f t="shared" si="279"/>
        <v>1.8987878516617089E-2</v>
      </c>
      <c r="AC151" s="541">
        <f t="shared" si="279"/>
        <v>1.9224579707671222E-2</v>
      </c>
      <c r="AD151" s="541">
        <f t="shared" si="280"/>
        <v>1.8615162584383567E-2</v>
      </c>
      <c r="AE151" s="541">
        <f t="shared" si="280"/>
        <v>1.8942249340907658E-2</v>
      </c>
      <c r="AF151" s="541">
        <f t="shared" ref="AF151:AH151" si="285">AF122*$B151</f>
        <v>4.8997949268511148E-3</v>
      </c>
      <c r="AG151" s="541">
        <f t="shared" si="285"/>
        <v>5.0669493378078141E-3</v>
      </c>
      <c r="AH151" s="541">
        <f t="shared" si="285"/>
        <v>5.2028129207076093E-3</v>
      </c>
      <c r="AI151" s="541">
        <f t="shared" ref="AI151:AJ151" si="286">AI122*$B151</f>
        <v>7.2450990000000001E-6</v>
      </c>
      <c r="AJ151" s="541">
        <f t="shared" si="286"/>
        <v>8.3890620000000001E-6</v>
      </c>
      <c r="AK151" s="541">
        <f t="shared" ref="AK151" si="287">AK122*$B151</f>
        <v>8.3890620000000001E-6</v>
      </c>
    </row>
    <row r="152" spans="1:46">
      <c r="C152" s="456">
        <v>24</v>
      </c>
      <c r="D152" s="4" t="s">
        <v>1480</v>
      </c>
      <c r="E152" s="543">
        <f t="shared" ref="E152:V152" si="288">E130+E147+E149</f>
        <v>52.738762694282556</v>
      </c>
      <c r="F152" s="543">
        <f t="shared" si="288"/>
        <v>51.24612425302962</v>
      </c>
      <c r="G152" s="543">
        <f t="shared" si="288"/>
        <v>53.726646808175552</v>
      </c>
      <c r="H152" s="543">
        <f t="shared" si="288"/>
        <v>55.003937578496156</v>
      </c>
      <c r="I152" s="543">
        <f t="shared" si="288"/>
        <v>57.861275144501377</v>
      </c>
      <c r="J152" s="543">
        <f t="shared" si="288"/>
        <v>58.238886125447415</v>
      </c>
      <c r="K152" s="543">
        <f t="shared" si="288"/>
        <v>60.332502429945158</v>
      </c>
      <c r="L152" s="543">
        <f t="shared" si="288"/>
        <v>61.554110909340686</v>
      </c>
      <c r="M152" s="543">
        <f t="shared" si="288"/>
        <v>63.582161194197312</v>
      </c>
      <c r="N152" s="543">
        <f t="shared" si="288"/>
        <v>67.522197264160226</v>
      </c>
      <c r="O152" s="543">
        <f t="shared" si="288"/>
        <v>63.997402277137844</v>
      </c>
      <c r="P152" s="543">
        <f t="shared" si="288"/>
        <v>61.536431284503649</v>
      </c>
      <c r="Q152" s="543">
        <f t="shared" si="288"/>
        <v>62.626143179937088</v>
      </c>
      <c r="R152" s="543">
        <f t="shared" si="288"/>
        <v>60.363028524111577</v>
      </c>
      <c r="S152" s="543">
        <f t="shared" si="288"/>
        <v>65.19801878370032</v>
      </c>
      <c r="T152" s="543">
        <f t="shared" si="288"/>
        <v>63.870186710015865</v>
      </c>
      <c r="U152" s="543">
        <f>U130+U147+U149</f>
        <v>64.19917057046446</v>
      </c>
      <c r="V152" s="543">
        <f t="shared" si="288"/>
        <v>64.019818118104325</v>
      </c>
      <c r="W152" s="543">
        <f t="shared" ref="W152:AB152" si="289">W130+W147+W149</f>
        <v>57.474302869855698</v>
      </c>
      <c r="X152" s="543">
        <f t="shared" si="289"/>
        <v>54.470261720366253</v>
      </c>
      <c r="Y152" s="543">
        <f t="shared" si="289"/>
        <v>57.716479778189019</v>
      </c>
      <c r="Z152" s="543">
        <f t="shared" si="289"/>
        <v>56.915092891372652</v>
      </c>
      <c r="AA152" s="543">
        <f t="shared" si="289"/>
        <v>54.789244169515513</v>
      </c>
      <c r="AB152" s="543">
        <f t="shared" si="289"/>
        <v>56.267574283463816</v>
      </c>
      <c r="AC152" s="543">
        <f>AC130+AC147+AC149</f>
        <v>56.260592348816871</v>
      </c>
      <c r="AD152" s="543">
        <f>AD130+AD147+AD149</f>
        <v>58.510678473096583</v>
      </c>
      <c r="AE152" s="543">
        <f>AE130+AE147+AE149</f>
        <v>59.514156560651138</v>
      </c>
      <c r="AF152" s="543">
        <f t="shared" ref="AF152:AH152" si="290">AF130+AF147+AF149</f>
        <v>59.881338626921021</v>
      </c>
      <c r="AG152" s="543">
        <f t="shared" si="290"/>
        <v>60.86333434915236</v>
      </c>
      <c r="AH152" s="543">
        <f t="shared" si="290"/>
        <v>62.240806195807636</v>
      </c>
      <c r="AI152" s="543">
        <f t="shared" ref="AI152:AJ152" si="291">AI130+AI147+AI149</f>
        <v>62.948292051888359</v>
      </c>
      <c r="AJ152" s="543">
        <f t="shared" si="291"/>
        <v>63.65830968309384</v>
      </c>
      <c r="AK152" s="543">
        <f t="shared" ref="AK152" si="292">AK130+AK147+AK149</f>
        <v>64.523197252779482</v>
      </c>
      <c r="AL152" s="73"/>
      <c r="AM152" s="73"/>
      <c r="AN152" s="73"/>
      <c r="AO152" s="73"/>
    </row>
    <row r="153" spans="1:46">
      <c r="O153" s="1"/>
      <c r="P153" s="75"/>
      <c r="Q153" s="75"/>
      <c r="W153" s="75"/>
      <c r="X153" s="75"/>
      <c r="Y153" s="75"/>
      <c r="Z153" s="75"/>
      <c r="AA153" s="75"/>
      <c r="AB153" s="75"/>
      <c r="AC153" s="75"/>
      <c r="AD153" s="75"/>
      <c r="AE153" s="75"/>
      <c r="AF153" s="75"/>
      <c r="AG153" s="75"/>
      <c r="AH153" s="75"/>
      <c r="AI153" s="75"/>
      <c r="AJ153" s="75"/>
      <c r="AK153" s="75"/>
    </row>
    <row r="154" spans="1:46">
      <c r="O154" s="1"/>
      <c r="W154" s="1"/>
      <c r="X154" s="1"/>
      <c r="Y154" s="1"/>
      <c r="Z154" s="1"/>
    </row>
    <row r="155" spans="1:46">
      <c r="A155" s="215"/>
      <c r="B155" s="215"/>
      <c r="D155" s="1" t="s">
        <v>1925</v>
      </c>
      <c r="O155" s="1"/>
      <c r="W155" s="1"/>
      <c r="X155" s="1"/>
      <c r="Y155" s="1"/>
      <c r="Z155" s="1"/>
    </row>
    <row r="156" spans="1:46">
      <c r="A156" s="215"/>
      <c r="B156" s="215"/>
      <c r="C156" s="456">
        <v>1</v>
      </c>
      <c r="D156" s="4" t="s">
        <v>1503</v>
      </c>
      <c r="E156" s="460">
        <v>1990</v>
      </c>
      <c r="F156" s="460">
        <v>1991</v>
      </c>
      <c r="G156" s="460">
        <v>1992</v>
      </c>
      <c r="H156" s="460">
        <v>1993</v>
      </c>
      <c r="I156" s="460">
        <v>1994</v>
      </c>
      <c r="J156" s="460">
        <v>1995</v>
      </c>
      <c r="K156" s="460">
        <v>1996</v>
      </c>
      <c r="L156" s="460">
        <v>1997</v>
      </c>
      <c r="M156" s="460">
        <v>1998</v>
      </c>
      <c r="N156" s="460">
        <v>1999</v>
      </c>
      <c r="O156" s="460">
        <v>2000</v>
      </c>
      <c r="P156" s="460">
        <v>2001</v>
      </c>
      <c r="Q156" s="460">
        <v>2002</v>
      </c>
      <c r="R156" s="460">
        <v>2003</v>
      </c>
      <c r="S156" s="460">
        <v>2004</v>
      </c>
      <c r="T156" s="460">
        <v>2005</v>
      </c>
      <c r="U156" s="460">
        <v>2006</v>
      </c>
      <c r="V156" s="460">
        <v>2007</v>
      </c>
      <c r="W156" s="460">
        <v>2008</v>
      </c>
      <c r="X156" s="460">
        <v>2009</v>
      </c>
      <c r="Y156" s="460">
        <v>2010</v>
      </c>
      <c r="Z156" s="460">
        <v>2011</v>
      </c>
      <c r="AA156" s="460">
        <v>2012</v>
      </c>
      <c r="AB156" s="460">
        <v>2013</v>
      </c>
      <c r="AC156" s="460">
        <v>2014</v>
      </c>
      <c r="AD156" s="460">
        <v>2015</v>
      </c>
      <c r="AE156" s="460">
        <v>2016</v>
      </c>
      <c r="AF156" s="460">
        <v>2017</v>
      </c>
      <c r="AG156" s="460">
        <v>2018</v>
      </c>
      <c r="AH156" s="460">
        <v>2019</v>
      </c>
      <c r="AI156" s="460">
        <v>2020</v>
      </c>
      <c r="AJ156" s="460">
        <v>2021</v>
      </c>
      <c r="AK156" s="460">
        <v>2022</v>
      </c>
      <c r="AL156" s="1" t="s">
        <v>1472</v>
      </c>
      <c r="AM156" s="1" t="s">
        <v>1926</v>
      </c>
      <c r="AN156" s="1" t="s">
        <v>1926</v>
      </c>
      <c r="AO156" s="1" t="s">
        <v>1472</v>
      </c>
    </row>
    <row r="157" spans="1:46">
      <c r="A157" s="215"/>
      <c r="B157" s="215"/>
      <c r="C157" s="456">
        <f t="shared" ref="C157:C179" si="293">C156+1</f>
        <v>2</v>
      </c>
      <c r="D157" s="5" t="s">
        <v>1888</v>
      </c>
      <c r="E157" s="540">
        <f t="shared" ref="E157:T157" si="294">SUM(E158:E173)</f>
        <v>88.302765434312505</v>
      </c>
      <c r="F157" s="540">
        <f t="shared" si="294"/>
        <v>92.387602317060157</v>
      </c>
      <c r="G157" s="540">
        <f t="shared" si="294"/>
        <v>99.548101302642465</v>
      </c>
      <c r="H157" s="540">
        <f t="shared" si="294"/>
        <v>87.596890482114404</v>
      </c>
      <c r="I157" s="540">
        <f t="shared" si="294"/>
        <v>98.135911100322659</v>
      </c>
      <c r="J157" s="540">
        <f t="shared" si="294"/>
        <v>94.070485944993678</v>
      </c>
      <c r="K157" s="540">
        <f t="shared" si="294"/>
        <v>89.727852600692273</v>
      </c>
      <c r="L157" s="540">
        <f t="shared" si="294"/>
        <v>100.61527807783369</v>
      </c>
      <c r="M157" s="540">
        <f t="shared" si="294"/>
        <v>106.34068281015661</v>
      </c>
      <c r="N157" s="540">
        <f t="shared" si="294"/>
        <v>123.25489948982934</v>
      </c>
      <c r="O157" s="540">
        <f t="shared" si="294"/>
        <v>101.65137475590112</v>
      </c>
      <c r="P157" s="540">
        <f t="shared" si="294"/>
        <v>102.01238243891636</v>
      </c>
      <c r="Q157" s="540">
        <f t="shared" si="294"/>
        <v>101.20608516773078</v>
      </c>
      <c r="R157" s="540">
        <f t="shared" si="294"/>
        <v>97.335079492743077</v>
      </c>
      <c r="S157" s="540">
        <f t="shared" si="294"/>
        <v>115.48206211028976</v>
      </c>
      <c r="T157" s="540">
        <f t="shared" si="294"/>
        <v>108.17955285360736</v>
      </c>
      <c r="U157" s="540">
        <f t="shared" ref="U157:Z157" si="295">SUM(U158:U173)</f>
        <v>108.22020765810684</v>
      </c>
      <c r="V157" s="540">
        <f t="shared" si="295"/>
        <v>95.633334651264192</v>
      </c>
      <c r="W157" s="540">
        <f>SUM(W158:W173)</f>
        <v>94.625289972210965</v>
      </c>
      <c r="X157" s="540">
        <f t="shared" si="295"/>
        <v>80.813050121206558</v>
      </c>
      <c r="Y157" s="540">
        <f t="shared" si="295"/>
        <v>79.502435694475977</v>
      </c>
      <c r="Z157" s="540">
        <f t="shared" si="295"/>
        <v>78.10694374454792</v>
      </c>
      <c r="AA157" s="540">
        <f t="shared" ref="AA157:AE157" si="296">SUM(AA158:AA173)</f>
        <v>78.94216217639611</v>
      </c>
      <c r="AB157" s="540">
        <f t="shared" si="296"/>
        <v>88.585357853193855</v>
      </c>
      <c r="AC157" s="540">
        <f t="shared" si="296"/>
        <v>83.875150723384181</v>
      </c>
      <c r="AD157" s="540">
        <f t="shared" si="296"/>
        <v>91.407658367430244</v>
      </c>
      <c r="AE157" s="540">
        <f t="shared" si="296"/>
        <v>85.101147291353129</v>
      </c>
      <c r="AF157" s="540">
        <f t="shared" ref="AF157:AH157" si="297">SUM(AF158:AF173)</f>
        <v>97.174546254151224</v>
      </c>
      <c r="AG157" s="540">
        <f t="shared" si="297"/>
        <v>112.27141958876972</v>
      </c>
      <c r="AH157" s="540">
        <f t="shared" si="297"/>
        <v>106.89843064940777</v>
      </c>
      <c r="AI157" s="540">
        <f t="shared" ref="AI157:AJ157" si="298">SUM(AI158:AI173)</f>
        <v>100.07453942904878</v>
      </c>
      <c r="AJ157" s="540">
        <f t="shared" si="298"/>
        <v>112.77845043270125</v>
      </c>
      <c r="AK157" s="540">
        <f t="shared" ref="AK157" si="299">SUM(AK158:AK173)</f>
        <v>107.52288824830759</v>
      </c>
      <c r="AL157" s="1055">
        <f>AK157/AJ157-1</f>
        <v>-4.6600766052640741E-2</v>
      </c>
      <c r="AM157" s="1055">
        <f>AK157/AI157-1</f>
        <v>7.4428009978897425E-2</v>
      </c>
      <c r="AN157" s="1056">
        <f>AK157-AI157</f>
        <v>7.4483488192588112</v>
      </c>
      <c r="AO157" s="1056">
        <f>AK157-AJ157</f>
        <v>-5.2555621843936535</v>
      </c>
      <c r="AP157" s="5"/>
      <c r="AR157" s="555" t="s">
        <v>1915</v>
      </c>
    </row>
    <row r="158" spans="1:46">
      <c r="C158" s="456">
        <f t="shared" si="293"/>
        <v>3</v>
      </c>
      <c r="D158" s="6" t="s">
        <v>1734</v>
      </c>
      <c r="E158" s="541">
        <f>(E102-E131)*CtoCO2</f>
        <v>0</v>
      </c>
      <c r="F158" s="541">
        <f t="shared" ref="E158:T159" si="300">(F102-F131)*CtoCO2</f>
        <v>0</v>
      </c>
      <c r="G158" s="541">
        <f t="shared" si="300"/>
        <v>0</v>
      </c>
      <c r="H158" s="541">
        <f t="shared" si="300"/>
        <v>8.3395445473385538E-2</v>
      </c>
      <c r="I158" s="541">
        <f t="shared" si="300"/>
        <v>0.7522483566036251</v>
      </c>
      <c r="J158" s="541">
        <f t="shared" si="300"/>
        <v>3.1861097476998954</v>
      </c>
      <c r="K158" s="541">
        <f t="shared" si="300"/>
        <v>2.0308565990713183</v>
      </c>
      <c r="L158" s="541">
        <f t="shared" si="300"/>
        <v>0</v>
      </c>
      <c r="M158" s="541">
        <f t="shared" si="300"/>
        <v>0.92238138233571254</v>
      </c>
      <c r="N158" s="541">
        <f t="shared" si="300"/>
        <v>3.384562445656353</v>
      </c>
      <c r="O158" s="541">
        <f t="shared" si="300"/>
        <v>4.5283951098196908</v>
      </c>
      <c r="P158" s="541">
        <f t="shared" si="300"/>
        <v>2.0945149326203412</v>
      </c>
      <c r="Q158" s="541">
        <f t="shared" si="300"/>
        <v>3.4108964318732138</v>
      </c>
      <c r="R158" s="541">
        <f t="shared" si="300"/>
        <v>4.3889865736681575</v>
      </c>
      <c r="S158" s="541">
        <f t="shared" si="300"/>
        <v>14.192271391301412</v>
      </c>
      <c r="T158" s="541">
        <f t="shared" si="300"/>
        <v>6.7961007246654308</v>
      </c>
      <c r="U158" s="541">
        <f t="shared" ref="U158:W173" si="301">(U102-U131)*CtoCO2</f>
        <v>5.3113629115739753</v>
      </c>
      <c r="V158" s="541">
        <f t="shared" si="301"/>
        <v>0.19613000297041758</v>
      </c>
      <c r="W158" s="541">
        <f>(W102-W131)*CtoCO2</f>
        <v>2.4641342122613041</v>
      </c>
      <c r="X158" s="541">
        <f t="shared" ref="X158:Y173" si="302">(X102-X131)*CtoCO2</f>
        <v>0.53905812749082616</v>
      </c>
      <c r="Y158" s="541">
        <f t="shared" si="302"/>
        <v>5.4665238361455541</v>
      </c>
      <c r="Z158" s="541">
        <f t="shared" ref="Z158:AA173" si="303">(Z102-Z131)*CtoCO2</f>
        <v>5.1347213056667727</v>
      </c>
      <c r="AA158" s="541">
        <f t="shared" si="303"/>
        <v>11.179879113367491</v>
      </c>
      <c r="AB158" s="541">
        <f t="shared" ref="AB158:AC173" si="304">(AB102-AB131)*CtoCO2</f>
        <v>10.121502908894803</v>
      </c>
      <c r="AC158" s="541">
        <f t="shared" si="304"/>
        <v>4.1428659858557628</v>
      </c>
      <c r="AD158" s="541">
        <f t="shared" ref="AD158:AE173" si="305">(AD102-AD131)*CtoCO2</f>
        <v>10.323752787668937</v>
      </c>
      <c r="AE158" s="541">
        <f t="shared" si="305"/>
        <v>7.5627345652909197</v>
      </c>
      <c r="AF158" s="541">
        <f t="shared" ref="AF158:AH158" si="306">(AF102-AF131)*CtoCO2</f>
        <v>9.5331079250923629</v>
      </c>
      <c r="AG158" s="541">
        <f t="shared" si="306"/>
        <v>10.530504269817099</v>
      </c>
      <c r="AH158" s="541">
        <f t="shared" si="306"/>
        <v>9.5302940504460629</v>
      </c>
      <c r="AI158" s="541">
        <f t="shared" ref="AI158" si="307">(AI102-AI131)*CtoCO2</f>
        <v>6.7481751203974039</v>
      </c>
      <c r="AJ158" s="541">
        <f>(AJ102-AJ131)*CtoCO2</f>
        <v>6.5787261572845859</v>
      </c>
      <c r="AK158" s="541">
        <f>(AK102-AK131)*CtoCO2</f>
        <v>2.759090365552527</v>
      </c>
      <c r="AL158" s="1055">
        <f t="shared" ref="AL158:AL179" si="308">AK158/AJ158-1</f>
        <v>-0.58060416263148418</v>
      </c>
      <c r="AM158" s="1055">
        <f t="shared" ref="AM158:AM179" si="309">AK158/AI158-1</f>
        <v>-0.59113533417164155</v>
      </c>
      <c r="AN158" s="1056">
        <f t="shared" ref="AN158:AN179" si="310">AK158-AI158</f>
        <v>-3.9890847548448769</v>
      </c>
      <c r="AO158" s="1056">
        <f t="shared" ref="AO158:AO179" si="311">AK158-AJ158</f>
        <v>-3.8196357917320589</v>
      </c>
      <c r="AP158" s="552" t="s">
        <v>1392</v>
      </c>
      <c r="AR158" s="5" t="s">
        <v>1916</v>
      </c>
      <c r="AS158" s="5">
        <f>SUMIF($AP$158:$AP$178,AR158,$AK$158:$AK$178)</f>
        <v>95.804417224932905</v>
      </c>
      <c r="AT158" s="554">
        <f>AS158-[21]Uncertainty!C5</f>
        <v>0</v>
      </c>
    </row>
    <row r="159" spans="1:46">
      <c r="C159" s="456">
        <f t="shared" si="293"/>
        <v>4</v>
      </c>
      <c r="D159" s="6" t="s">
        <v>1701</v>
      </c>
      <c r="E159" s="541">
        <f t="shared" si="300"/>
        <v>0.3011690675967873</v>
      </c>
      <c r="F159" s="541">
        <f t="shared" si="300"/>
        <v>0.3234195763772223</v>
      </c>
      <c r="G159" s="541">
        <f t="shared" si="300"/>
        <v>0.35875319128967581</v>
      </c>
      <c r="H159" s="541">
        <f t="shared" si="300"/>
        <v>0.34644483246034496</v>
      </c>
      <c r="I159" s="541">
        <f t="shared" si="300"/>
        <v>0.38705224657259868</v>
      </c>
      <c r="J159" s="541">
        <f t="shared" si="300"/>
        <v>0.38122907446109139</v>
      </c>
      <c r="K159" s="541">
        <f t="shared" si="300"/>
        <v>0.36261180439690616</v>
      </c>
      <c r="L159" s="541">
        <f t="shared" si="300"/>
        <v>0.39244361929812677</v>
      </c>
      <c r="M159" s="541">
        <f t="shared" si="300"/>
        <v>0.36267774388747698</v>
      </c>
      <c r="N159" s="541">
        <f t="shared" si="300"/>
        <v>0.39867335306555801</v>
      </c>
      <c r="O159" s="541">
        <f t="shared" si="300"/>
        <v>0.41404310220112633</v>
      </c>
      <c r="P159" s="541">
        <f t="shared" si="300"/>
        <v>0.38784040996885294</v>
      </c>
      <c r="Q159" s="541">
        <f t="shared" si="300"/>
        <v>0.40309950535826133</v>
      </c>
      <c r="R159" s="541">
        <f t="shared" si="300"/>
        <v>0.40300783644175758</v>
      </c>
      <c r="S159" s="541">
        <f t="shared" si="300"/>
        <v>0.39281699964025152</v>
      </c>
      <c r="T159" s="541">
        <f t="shared" si="300"/>
        <v>0.40878855637429889</v>
      </c>
      <c r="U159" s="541">
        <f t="shared" si="301"/>
        <v>0.39773701912341292</v>
      </c>
      <c r="V159" s="541">
        <f t="shared" si="301"/>
        <v>0.3684705268623984</v>
      </c>
      <c r="W159" s="541">
        <f t="shared" si="301"/>
        <v>0.37474059766300227</v>
      </c>
      <c r="X159" s="541">
        <f t="shared" si="302"/>
        <v>0.34254259317330604</v>
      </c>
      <c r="Y159" s="541">
        <f t="shared" si="302"/>
        <v>0.28096476409947452</v>
      </c>
      <c r="Z159" s="541">
        <f t="shared" si="303"/>
        <v>0.28138341499056074</v>
      </c>
      <c r="AA159" s="541">
        <f t="shared" si="303"/>
        <v>0.27512414361110221</v>
      </c>
      <c r="AB159" s="541">
        <f t="shared" si="304"/>
        <v>0.29420001934780732</v>
      </c>
      <c r="AC159" s="541">
        <f t="shared" si="304"/>
        <v>0.29699164809287154</v>
      </c>
      <c r="AD159" s="541">
        <f t="shared" si="305"/>
        <v>0.29257229647644056</v>
      </c>
      <c r="AE159" s="541">
        <f t="shared" si="305"/>
        <v>0.2805874992079847</v>
      </c>
      <c r="AF159" s="541">
        <f t="shared" ref="AF159:AH159" si="312">(AF103-AF132)*CtoCO2</f>
        <v>0.30792226638754611</v>
      </c>
      <c r="AG159" s="541">
        <f t="shared" si="312"/>
        <v>0.33227217532778314</v>
      </c>
      <c r="AH159" s="541">
        <f t="shared" si="312"/>
        <v>0.32095230517216017</v>
      </c>
      <c r="AI159" s="541">
        <f>(AI103-AI132)*CtoCO2</f>
        <v>0.30762196423420851</v>
      </c>
      <c r="AJ159" s="541">
        <f>(AJ103-AJ132)*CtoCO2</f>
        <v>0.33946974365076621</v>
      </c>
      <c r="AK159" s="541">
        <f>(AK103-AK132)*CtoCO2</f>
        <v>0.33274692075084583</v>
      </c>
      <c r="AL159" s="1055">
        <f t="shared" si="308"/>
        <v>-1.9803894236997355E-2</v>
      </c>
      <c r="AM159" s="1055">
        <f t="shared" si="309"/>
        <v>8.167478086027824E-2</v>
      </c>
      <c r="AN159" s="1056">
        <f t="shared" si="310"/>
        <v>2.512495651663732E-2</v>
      </c>
      <c r="AO159" s="1056">
        <f t="shared" si="311"/>
        <v>-6.7228228999203776E-3</v>
      </c>
      <c r="AP159" s="552" t="s">
        <v>1916</v>
      </c>
      <c r="AR159" s="5" t="s">
        <v>1917</v>
      </c>
      <c r="AS159" s="5">
        <f>SUMIF($AP$158:$AP$178,AR159,$AK$158:$AK$178)</f>
        <v>0.30319368909442446</v>
      </c>
      <c r="AT159" s="554">
        <f>IF(TRUNC(AS159,7)=TRUNC([21]Uncertainty!C6,7),0,AS159-[21]Uncertainty!C6)</f>
        <v>0</v>
      </c>
    </row>
    <row r="160" spans="1:46">
      <c r="C160" s="456">
        <f t="shared" si="293"/>
        <v>5</v>
      </c>
      <c r="D160" s="6" t="s">
        <v>1889</v>
      </c>
      <c r="E160" s="541">
        <f t="shared" ref="E160:T160" si="313">(E104-E133)*CtoCO2</f>
        <v>6.2372329707057714</v>
      </c>
      <c r="F160" s="541">
        <f t="shared" si="313"/>
        <v>6.3297461398623254</v>
      </c>
      <c r="G160" s="541">
        <f t="shared" si="313"/>
        <v>6.6924820129455522</v>
      </c>
      <c r="H160" s="541">
        <f t="shared" si="313"/>
        <v>6.4068837936123746</v>
      </c>
      <c r="I160" s="541">
        <f t="shared" si="313"/>
        <v>7.0432311401546519</v>
      </c>
      <c r="J160" s="541">
        <f t="shared" si="313"/>
        <v>7.0918507086378506</v>
      </c>
      <c r="K160" s="541">
        <f t="shared" si="313"/>
        <v>6.9879655166009949</v>
      </c>
      <c r="L160" s="541">
        <f t="shared" si="313"/>
        <v>8.0533328285165009</v>
      </c>
      <c r="M160" s="541">
        <f t="shared" si="313"/>
        <v>8.5648938080914476</v>
      </c>
      <c r="N160" s="541">
        <f t="shared" si="313"/>
        <v>8.6105566665476108</v>
      </c>
      <c r="O160" s="541">
        <f t="shared" si="313"/>
        <v>7.7725110205793229</v>
      </c>
      <c r="P160" s="541">
        <f t="shared" si="313"/>
        <v>8.0513225536441624</v>
      </c>
      <c r="Q160" s="541">
        <f t="shared" si="313"/>
        <v>7.4140550966455594</v>
      </c>
      <c r="R160" s="541">
        <f t="shared" si="313"/>
        <v>6.5003294147926693</v>
      </c>
      <c r="S160" s="541">
        <f t="shared" si="313"/>
        <v>5.4871332372906609</v>
      </c>
      <c r="T160" s="541">
        <f t="shared" si="313"/>
        <v>5.4159168004060421</v>
      </c>
      <c r="U160" s="541">
        <f t="shared" si="301"/>
        <v>4.6144474269886082</v>
      </c>
      <c r="V160" s="541">
        <f t="shared" si="301"/>
        <v>4.5119894926735578</v>
      </c>
      <c r="W160" s="541">
        <f t="shared" si="301"/>
        <v>5.0454575337999756</v>
      </c>
      <c r="X160" s="541">
        <f t="shared" si="302"/>
        <v>4.7865298624585391</v>
      </c>
      <c r="Y160" s="541">
        <f t="shared" si="302"/>
        <v>4.8907465072543594</v>
      </c>
      <c r="Z160" s="541">
        <f t="shared" si="303"/>
        <v>4.9408807421264225</v>
      </c>
      <c r="AA160" s="541">
        <f t="shared" si="303"/>
        <v>4.8354639183687418</v>
      </c>
      <c r="AB160" s="541">
        <f t="shared" si="304"/>
        <v>5.3331659783924312</v>
      </c>
      <c r="AC160" s="541">
        <f t="shared" si="304"/>
        <v>5.6249261794315588</v>
      </c>
      <c r="AD160" s="541">
        <f t="shared" si="305"/>
        <v>7.1651681229533519</v>
      </c>
      <c r="AE160" s="541">
        <f t="shared" si="305"/>
        <v>8.141415720284936</v>
      </c>
      <c r="AF160" s="541">
        <f t="shared" ref="AF160:AH160" si="314">(AF104-AF133)*CtoCO2</f>
        <v>10.579676460163416</v>
      </c>
      <c r="AG160" s="541">
        <f t="shared" si="314"/>
        <v>13.124735650002798</v>
      </c>
      <c r="AH160" s="541">
        <f t="shared" si="314"/>
        <v>12.487250893597411</v>
      </c>
      <c r="AI160" s="541">
        <f t="shared" ref="AI160:AJ160" si="315">(AI104-AI133)*CtoCO2</f>
        <v>11.923280152134209</v>
      </c>
      <c r="AJ160" s="541">
        <f t="shared" si="315"/>
        <v>13.212945008917126</v>
      </c>
      <c r="AK160" s="541">
        <f t="shared" ref="AK160" si="316">(AK104-AK133)*CtoCO2</f>
        <v>12.922546795544683</v>
      </c>
      <c r="AL160" s="1055">
        <f t="shared" si="308"/>
        <v>-2.1978310904681719E-2</v>
      </c>
      <c r="AM160" s="1055">
        <f t="shared" si="309"/>
        <v>8.3808031905684199E-2</v>
      </c>
      <c r="AN160" s="1056">
        <f t="shared" si="310"/>
        <v>0.99926664341047378</v>
      </c>
      <c r="AO160" s="1056">
        <f t="shared" si="311"/>
        <v>-0.29039821337244298</v>
      </c>
      <c r="AP160" s="552" t="s">
        <v>1916</v>
      </c>
      <c r="AR160" s="5" t="s">
        <v>1610</v>
      </c>
      <c r="AS160" s="5">
        <f>SUMIF($AP$158:$AP$178,AR160,$AK$158:$AK$178)</f>
        <v>16.545299580604539</v>
      </c>
      <c r="AT160" s="554">
        <f>AS160-[21]Uncertainty!C7</f>
        <v>0</v>
      </c>
    </row>
    <row r="161" spans="3:46">
      <c r="C161" s="456">
        <f t="shared" si="293"/>
        <v>6</v>
      </c>
      <c r="D161" s="6" t="s">
        <v>1608</v>
      </c>
      <c r="E161" s="541">
        <f t="shared" ref="E161:T161" si="317">(E105-E134)*CtoCO2</f>
        <v>0.38727427714993584</v>
      </c>
      <c r="F161" s="541">
        <f t="shared" si="317"/>
        <v>0.35627824978579997</v>
      </c>
      <c r="G161" s="541">
        <f t="shared" si="317"/>
        <v>0.36477867647490331</v>
      </c>
      <c r="H161" s="541">
        <f t="shared" si="317"/>
        <v>0.38026709263413611</v>
      </c>
      <c r="I161" s="541">
        <f t="shared" si="317"/>
        <v>0.38817578239817152</v>
      </c>
      <c r="J161" s="541">
        <f t="shared" si="317"/>
        <v>0.38991591257264108</v>
      </c>
      <c r="K161" s="541">
        <f t="shared" si="317"/>
        <v>0.38917359382381395</v>
      </c>
      <c r="L161" s="541">
        <f t="shared" si="317"/>
        <v>0.40493802150178004</v>
      </c>
      <c r="M161" s="541">
        <f t="shared" si="317"/>
        <v>0.41784040168092079</v>
      </c>
      <c r="N161" s="541">
        <f t="shared" si="317"/>
        <v>0.43831324168147268</v>
      </c>
      <c r="O161" s="541">
        <f t="shared" si="317"/>
        <v>0.42218443908489195</v>
      </c>
      <c r="P161" s="541">
        <f t="shared" si="317"/>
        <v>0.41595829435832832</v>
      </c>
      <c r="Q161" s="541">
        <f t="shared" si="317"/>
        <v>0.41036260759720256</v>
      </c>
      <c r="R161" s="541">
        <f t="shared" si="317"/>
        <v>0.40360495867509033</v>
      </c>
      <c r="S161" s="541">
        <f t="shared" si="317"/>
        <v>0.43150727419612284</v>
      </c>
      <c r="T161" s="541">
        <f t="shared" si="317"/>
        <v>0.43792437653218386</v>
      </c>
      <c r="U161" s="541">
        <f t="shared" si="301"/>
        <v>0.417381706279284</v>
      </c>
      <c r="V161" s="541">
        <f t="shared" si="301"/>
        <v>0.39615893570144795</v>
      </c>
      <c r="W161" s="541">
        <f t="shared" si="301"/>
        <v>0.33491085446733254</v>
      </c>
      <c r="X161" s="541">
        <f t="shared" si="302"/>
        <v>0.28894600097325684</v>
      </c>
      <c r="Y161" s="541">
        <f t="shared" si="302"/>
        <v>0.29049649733448979</v>
      </c>
      <c r="Z161" s="541">
        <f t="shared" si="303"/>
        <v>0.28444707940768882</v>
      </c>
      <c r="AA161" s="541">
        <f t="shared" si="303"/>
        <v>0.27359459772619843</v>
      </c>
      <c r="AB161" s="541">
        <f t="shared" si="304"/>
        <v>0.25924795583511556</v>
      </c>
      <c r="AC161" s="541">
        <f t="shared" si="304"/>
        <v>0.26232214168348023</v>
      </c>
      <c r="AD161" s="541">
        <f t="shared" si="305"/>
        <v>0.27523709792701345</v>
      </c>
      <c r="AE161" s="541">
        <f t="shared" si="305"/>
        <v>0.28242067829352041</v>
      </c>
      <c r="AF161" s="541">
        <f t="shared" ref="AF161:AH161" si="318">(AF105-AF134)*CtoCO2</f>
        <v>0.28103598741296071</v>
      </c>
      <c r="AG161" s="541">
        <f t="shared" si="318"/>
        <v>0.26236417221450853</v>
      </c>
      <c r="AH161" s="541">
        <f t="shared" si="318"/>
        <v>0.27928228832689328</v>
      </c>
      <c r="AI161" s="541">
        <f t="shared" ref="AI161:AJ161" si="319">(AI105-AI134)*CtoCO2</f>
        <v>0.27543996970277951</v>
      </c>
      <c r="AJ161" s="541">
        <f t="shared" si="319"/>
        <v>0.29722038945216767</v>
      </c>
      <c r="AK161" s="541">
        <f t="shared" ref="AK161" si="320">(AK105-AK134)*CtoCO2</f>
        <v>0.30319368909442446</v>
      </c>
      <c r="AL161" s="1055">
        <f t="shared" si="308"/>
        <v>2.0097206834519987E-2</v>
      </c>
      <c r="AM161" s="1055">
        <f t="shared" si="309"/>
        <v>0.10076140881656825</v>
      </c>
      <c r="AN161" s="1056">
        <f t="shared" si="310"/>
        <v>2.7753719391644949E-2</v>
      </c>
      <c r="AO161" s="1056">
        <f t="shared" si="311"/>
        <v>5.9732996422567908E-3</v>
      </c>
      <c r="AP161" s="552" t="s">
        <v>1917</v>
      </c>
      <c r="AR161" s="5" t="s">
        <v>1621</v>
      </c>
      <c r="AS161" s="5">
        <f>SUMIF($AP$158:$AP$178,AR161,$AK$158:$AK$178)</f>
        <v>0.39913629606760015</v>
      </c>
      <c r="AT161" s="554">
        <f>AS161-[21]Uncertainty!C8</f>
        <v>0</v>
      </c>
    </row>
    <row r="162" spans="3:46">
      <c r="C162" s="456">
        <f t="shared" si="293"/>
        <v>7</v>
      </c>
      <c r="D162" s="6" t="s">
        <v>1609</v>
      </c>
      <c r="E162" s="541">
        <f t="shared" ref="E162:T162" si="321">(E106-E135)*CtoCO2</f>
        <v>31.70141341927409</v>
      </c>
      <c r="F162" s="541">
        <f t="shared" si="321"/>
        <v>36.13458239982576</v>
      </c>
      <c r="G162" s="541">
        <f t="shared" si="321"/>
        <v>38.242469261003556</v>
      </c>
      <c r="H162" s="541">
        <f t="shared" si="321"/>
        <v>33.379190171939477</v>
      </c>
      <c r="I162" s="541">
        <f t="shared" si="321"/>
        <v>40.084020171048607</v>
      </c>
      <c r="J162" s="541">
        <f t="shared" si="321"/>
        <v>37.597088353005589</v>
      </c>
      <c r="K162" s="541">
        <f t="shared" si="321"/>
        <v>37.302128888721775</v>
      </c>
      <c r="L162" s="541">
        <f t="shared" si="321"/>
        <v>42.610031872309747</v>
      </c>
      <c r="M162" s="541">
        <f t="shared" si="321"/>
        <v>40.950713408673494</v>
      </c>
      <c r="N162" s="541">
        <f t="shared" si="321"/>
        <v>49.48827450370149</v>
      </c>
      <c r="O162" s="541">
        <f t="shared" si="321"/>
        <v>40.253662543210474</v>
      </c>
      <c r="P162" s="541">
        <f t="shared" si="321"/>
        <v>39.752325325917298</v>
      </c>
      <c r="Q162" s="541">
        <f t="shared" si="321"/>
        <v>40.668239286363587</v>
      </c>
      <c r="R162" s="541">
        <f t="shared" si="321"/>
        <v>38.231530670584242</v>
      </c>
      <c r="S162" s="541">
        <f t="shared" si="321"/>
        <v>37.861807070964225</v>
      </c>
      <c r="T162" s="541">
        <f t="shared" si="321"/>
        <v>39.34439844446284</v>
      </c>
      <c r="U162" s="541">
        <f t="shared" si="301"/>
        <v>40.468158485582499</v>
      </c>
      <c r="V162" s="541">
        <f t="shared" si="301"/>
        <v>36.430692906084161</v>
      </c>
      <c r="W162" s="541">
        <f t="shared" si="301"/>
        <v>34.853731567100525</v>
      </c>
      <c r="X162" s="541">
        <f t="shared" si="302"/>
        <v>33.862930813490244</v>
      </c>
      <c r="Y162" s="541">
        <f t="shared" si="302"/>
        <v>35.231218173726461</v>
      </c>
      <c r="Z162" s="541">
        <f t="shared" si="303"/>
        <v>36.071656688442388</v>
      </c>
      <c r="AA162" s="541">
        <f t="shared" si="303"/>
        <v>35.347875803588856</v>
      </c>
      <c r="AB162" s="541">
        <f t="shared" si="304"/>
        <v>41.636425481289457</v>
      </c>
      <c r="AC162" s="541">
        <f t="shared" si="304"/>
        <v>42.697092067324007</v>
      </c>
      <c r="AD162" s="541">
        <f t="shared" si="305"/>
        <v>43.184466359973079</v>
      </c>
      <c r="AE162" s="541">
        <f t="shared" si="305"/>
        <v>40.750209396461308</v>
      </c>
      <c r="AF162" s="541">
        <f t="shared" ref="AF162:AH162" si="322">(AF106-AF135)*CtoCO2</f>
        <v>45.966116641427533</v>
      </c>
      <c r="AG162" s="541">
        <f t="shared" si="322"/>
        <v>56.530400039961286</v>
      </c>
      <c r="AH162" s="541">
        <f t="shared" si="322"/>
        <v>55.443925034669356</v>
      </c>
      <c r="AI162" s="541">
        <f t="shared" ref="AI162:AJ162" si="323">(AI106-AI135)*CtoCO2</f>
        <v>55.188672397415885</v>
      </c>
      <c r="AJ162" s="541">
        <f t="shared" si="323"/>
        <v>64.554827366275617</v>
      </c>
      <c r="AK162" s="541">
        <f t="shared" ref="AK162" si="324">(AK106-AK135)*CtoCO2</f>
        <v>67.398900316191941</v>
      </c>
      <c r="AL162" s="1055">
        <f t="shared" si="308"/>
        <v>4.4056704447204664E-2</v>
      </c>
      <c r="AM162" s="1055">
        <f t="shared" si="309"/>
        <v>0.2212451829036528</v>
      </c>
      <c r="AN162" s="1056">
        <f t="shared" si="310"/>
        <v>12.210227918776056</v>
      </c>
      <c r="AO162" s="1056">
        <f t="shared" si="311"/>
        <v>2.844072949916324</v>
      </c>
      <c r="AP162" s="552" t="s">
        <v>1916</v>
      </c>
      <c r="AR162" s="5" t="s">
        <v>1392</v>
      </c>
      <c r="AS162" s="5">
        <f>SUMIF($AP$158:$AP$178,AR162,$AK$158:$AK$178)</f>
        <v>2.9752667690377366</v>
      </c>
      <c r="AT162" s="554">
        <f>AS162-[21]Uncertainty!C9</f>
        <v>0</v>
      </c>
    </row>
    <row r="163" spans="3:46">
      <c r="C163" s="456">
        <f t="shared" si="293"/>
        <v>8</v>
      </c>
      <c r="D163" s="6" t="s">
        <v>1918</v>
      </c>
      <c r="E163" s="541">
        <f t="shared" ref="E163:T163" si="325">(E107-E136)*CtoCO2</f>
        <v>12.534399225048634</v>
      </c>
      <c r="F163" s="541">
        <f t="shared" si="325"/>
        <v>11.213310690572131</v>
      </c>
      <c r="G163" s="541">
        <f t="shared" si="325"/>
        <v>11.432393448046163</v>
      </c>
      <c r="H163" s="541">
        <f t="shared" si="325"/>
        <v>11.641184629869741</v>
      </c>
      <c r="I163" s="541">
        <f t="shared" si="325"/>
        <v>12.167333026849132</v>
      </c>
      <c r="J163" s="541">
        <f t="shared" si="325"/>
        <v>11.958407314624894</v>
      </c>
      <c r="K163" s="541">
        <f t="shared" si="325"/>
        <v>11.605534073694967</v>
      </c>
      <c r="L163" s="541">
        <f t="shared" si="325"/>
        <v>12.259889942502884</v>
      </c>
      <c r="M163" s="541">
        <f t="shared" si="325"/>
        <v>12.834334753319041</v>
      </c>
      <c r="N163" s="541">
        <f t="shared" si="325"/>
        <v>12.968663358377574</v>
      </c>
      <c r="O163" s="541">
        <f t="shared" si="325"/>
        <v>12.774132399023905</v>
      </c>
      <c r="P163" s="541">
        <f t="shared" si="325"/>
        <v>11.703943061777411</v>
      </c>
      <c r="Q163" s="541">
        <f t="shared" si="325"/>
        <v>11.56524221869744</v>
      </c>
      <c r="R163" s="541">
        <f t="shared" si="325"/>
        <v>10.692274448817804</v>
      </c>
      <c r="S163" s="541">
        <f t="shared" si="325"/>
        <v>10.832387861104698</v>
      </c>
      <c r="T163" s="541">
        <f t="shared" si="325"/>
        <v>10.775817827627369</v>
      </c>
      <c r="U163" s="541">
        <f t="shared" si="301"/>
        <v>10.498617937068424</v>
      </c>
      <c r="V163" s="541">
        <f t="shared" si="301"/>
        <v>10.841603193549874</v>
      </c>
      <c r="W163" s="541">
        <f t="shared" si="301"/>
        <v>10.065228251343772</v>
      </c>
      <c r="X163" s="541">
        <f t="shared" si="302"/>
        <v>9.0493891959637249</v>
      </c>
      <c r="Y163" s="541">
        <f t="shared" si="302"/>
        <v>9.1399281556075831</v>
      </c>
      <c r="Z163" s="541">
        <f t="shared" si="303"/>
        <v>8.5693174612102201</v>
      </c>
      <c r="AA163" s="541">
        <f t="shared" si="303"/>
        <v>7.9583476466150023</v>
      </c>
      <c r="AB163" s="541">
        <f t="shared" si="304"/>
        <v>8.4142711744501231</v>
      </c>
      <c r="AC163" s="541">
        <f t="shared" si="304"/>
        <v>8.7890728706875496</v>
      </c>
      <c r="AD163" s="541">
        <f t="shared" si="305"/>
        <v>9.5607392488705667</v>
      </c>
      <c r="AE163" s="541">
        <f t="shared" si="305"/>
        <v>9.0907572941665276</v>
      </c>
      <c r="AF163" s="541">
        <f t="shared" ref="AF163:AH163" si="326">(AF107-AF136)*CtoCO2</f>
        <v>8.4010871951854877</v>
      </c>
      <c r="AG163" s="541">
        <f t="shared" si="326"/>
        <v>8.2054799926265432</v>
      </c>
      <c r="AH163" s="541">
        <f t="shared" si="326"/>
        <v>7.9583476466150023</v>
      </c>
      <c r="AI163" s="541">
        <f t="shared" ref="AI163:AJ163" si="327">(AI107-AI136)*CtoCO2</f>
        <v>7.4724911046331393</v>
      </c>
      <c r="AJ163" s="541">
        <f t="shared" si="327"/>
        <v>7.6341293810255531</v>
      </c>
      <c r="AK163" s="541">
        <f t="shared" ref="AK163" si="328">(AK107-AK136)*CtoCO2</f>
        <v>8.0411511082209373</v>
      </c>
      <c r="AL163" s="1055">
        <f t="shared" si="308"/>
        <v>5.3316063545769454E-2</v>
      </c>
      <c r="AM163" s="1055">
        <f t="shared" si="309"/>
        <v>7.6100459087226513E-2</v>
      </c>
      <c r="AN163" s="1056">
        <f t="shared" si="310"/>
        <v>0.568660003587798</v>
      </c>
      <c r="AO163" s="1056">
        <f t="shared" si="311"/>
        <v>0.40702172719538421</v>
      </c>
      <c r="AP163" s="552" t="s">
        <v>1610</v>
      </c>
    </row>
    <row r="164" spans="3:46">
      <c r="C164" s="456">
        <f t="shared" si="293"/>
        <v>9</v>
      </c>
      <c r="D164" s="6" t="s">
        <v>1617</v>
      </c>
      <c r="E164" s="541">
        <f t="shared" ref="E164:T164" si="329">(E108-E137)*CtoCO2</f>
        <v>0</v>
      </c>
      <c r="F164" s="541">
        <f t="shared" si="329"/>
        <v>0</v>
      </c>
      <c r="G164" s="541">
        <f t="shared" si="329"/>
        <v>0</v>
      </c>
      <c r="H164" s="541">
        <f t="shared" si="329"/>
        <v>0</v>
      </c>
      <c r="I164" s="541">
        <f t="shared" si="329"/>
        <v>0</v>
      </c>
      <c r="J164" s="541">
        <f t="shared" si="329"/>
        <v>0</v>
      </c>
      <c r="K164" s="541">
        <f t="shared" si="329"/>
        <v>0</v>
      </c>
      <c r="L164" s="541">
        <f t="shared" si="329"/>
        <v>0</v>
      </c>
      <c r="M164" s="541">
        <f t="shared" si="329"/>
        <v>0</v>
      </c>
      <c r="N164" s="541">
        <f t="shared" si="329"/>
        <v>0</v>
      </c>
      <c r="O164" s="541">
        <f t="shared" si="329"/>
        <v>0</v>
      </c>
      <c r="P164" s="541">
        <f t="shared" si="329"/>
        <v>0</v>
      </c>
      <c r="Q164" s="541">
        <f t="shared" si="329"/>
        <v>0</v>
      </c>
      <c r="R164" s="541">
        <f t="shared" si="329"/>
        <v>0</v>
      </c>
      <c r="S164" s="541">
        <f t="shared" si="329"/>
        <v>0</v>
      </c>
      <c r="T164" s="541">
        <f t="shared" si="329"/>
        <v>0</v>
      </c>
      <c r="U164" s="541">
        <f t="shared" si="301"/>
        <v>0</v>
      </c>
      <c r="V164" s="541">
        <f t="shared" si="301"/>
        <v>0</v>
      </c>
      <c r="W164" s="541">
        <f t="shared" si="301"/>
        <v>0</v>
      </c>
      <c r="X164" s="541">
        <f t="shared" si="302"/>
        <v>0</v>
      </c>
      <c r="Y164" s="541">
        <f t="shared" si="302"/>
        <v>0</v>
      </c>
      <c r="Z164" s="541">
        <f t="shared" si="303"/>
        <v>0</v>
      </c>
      <c r="AA164" s="541">
        <f t="shared" si="303"/>
        <v>0</v>
      </c>
      <c r="AB164" s="541">
        <f t="shared" si="304"/>
        <v>0</v>
      </c>
      <c r="AC164" s="541">
        <f t="shared" si="304"/>
        <v>0</v>
      </c>
      <c r="AD164" s="541">
        <f t="shared" si="305"/>
        <v>0</v>
      </c>
      <c r="AE164" s="541">
        <f t="shared" si="305"/>
        <v>0</v>
      </c>
      <c r="AF164" s="541">
        <f t="shared" ref="AF164:AH164" si="330">(AF108-AF137)*CtoCO2</f>
        <v>0</v>
      </c>
      <c r="AG164" s="541">
        <f t="shared" si="330"/>
        <v>0</v>
      </c>
      <c r="AH164" s="541">
        <f t="shared" si="330"/>
        <v>0</v>
      </c>
      <c r="AI164" s="541">
        <f>(AI108-AI137)*CtoCO2</f>
        <v>0</v>
      </c>
      <c r="AJ164" s="541">
        <f>(AJ108-AJ137)*CtoCO2</f>
        <v>0</v>
      </c>
      <c r="AK164" s="541">
        <f>(AK108-AK137)*CtoCO2</f>
        <v>0</v>
      </c>
      <c r="AL164" s="1055" t="e">
        <f t="shared" si="308"/>
        <v>#DIV/0!</v>
      </c>
      <c r="AM164" s="1055" t="e">
        <f t="shared" si="309"/>
        <v>#DIV/0!</v>
      </c>
      <c r="AN164" s="1056">
        <f t="shared" si="310"/>
        <v>0</v>
      </c>
      <c r="AO164" s="1056">
        <f t="shared" si="311"/>
        <v>0</v>
      </c>
      <c r="AP164" s="552" t="s">
        <v>1916</v>
      </c>
    </row>
    <row r="165" spans="3:46">
      <c r="C165" s="456">
        <f t="shared" si="293"/>
        <v>10</v>
      </c>
      <c r="D165" s="6" t="s">
        <v>1615</v>
      </c>
      <c r="E165" s="541">
        <f t="shared" ref="E165:T165" si="331">(E109-E138)*CtoCO2</f>
        <v>9.2756071223845442</v>
      </c>
      <c r="F165" s="541">
        <f t="shared" si="331"/>
        <v>8.2368523526665047</v>
      </c>
      <c r="G165" s="541">
        <f t="shared" si="331"/>
        <v>10.344699970070554</v>
      </c>
      <c r="H165" s="541">
        <f t="shared" si="331"/>
        <v>8.7716337186918931</v>
      </c>
      <c r="I165" s="541">
        <f t="shared" si="331"/>
        <v>10.342223476763737</v>
      </c>
      <c r="J165" s="541">
        <f t="shared" si="331"/>
        <v>9.2802652823411425</v>
      </c>
      <c r="K165" s="541">
        <f t="shared" si="331"/>
        <v>11.213059822209368</v>
      </c>
      <c r="L165" s="541">
        <f t="shared" si="331"/>
        <v>13.851640500815931</v>
      </c>
      <c r="M165" s="541">
        <f t="shared" si="331"/>
        <v>15.208839745880356</v>
      </c>
      <c r="N165" s="541">
        <f t="shared" si="331"/>
        <v>13.538260260594431</v>
      </c>
      <c r="O165" s="541">
        <f t="shared" si="331"/>
        <v>15.373631263702901</v>
      </c>
      <c r="P165" s="541">
        <f t="shared" si="331"/>
        <v>13.04731068848271</v>
      </c>
      <c r="Q165" s="541">
        <f t="shared" si="331"/>
        <v>14.670245229543468</v>
      </c>
      <c r="R165" s="541">
        <f t="shared" si="331"/>
        <v>15.090492841310509</v>
      </c>
      <c r="S165" s="541">
        <f t="shared" si="331"/>
        <v>17.638827732189966</v>
      </c>
      <c r="T165" s="541">
        <f t="shared" si="331"/>
        <v>18.100755644301437</v>
      </c>
      <c r="U165" s="541">
        <f t="shared" si="301"/>
        <v>16.030377297523192</v>
      </c>
      <c r="V165" s="541">
        <f t="shared" si="301"/>
        <v>13.021612832631186</v>
      </c>
      <c r="W165" s="541">
        <f t="shared" si="301"/>
        <v>11.414562885226372</v>
      </c>
      <c r="X165" s="541">
        <f t="shared" si="302"/>
        <v>10.07657781546718</v>
      </c>
      <c r="Y165" s="541">
        <f t="shared" si="302"/>
        <v>10.013969117467552</v>
      </c>
      <c r="Z165" s="541">
        <f t="shared" si="303"/>
        <v>9.9279065872389438</v>
      </c>
      <c r="AA165" s="541">
        <f t="shared" si="303"/>
        <v>8.9361510883219797</v>
      </c>
      <c r="AB165" s="541">
        <f t="shared" si="304"/>
        <v>11.029595840209799</v>
      </c>
      <c r="AC165" s="541">
        <f t="shared" si="304"/>
        <v>9.715898418509294</v>
      </c>
      <c r="AD165" s="541">
        <f t="shared" si="305"/>
        <v>9.1924489099993529</v>
      </c>
      <c r="AE165" s="541">
        <f t="shared" si="305"/>
        <v>8.3944756843102422</v>
      </c>
      <c r="AF165" s="541">
        <f t="shared" ref="AF165:AH165" si="332">(AF109-AF138)*CtoCO2</f>
        <v>9.5510148782759909</v>
      </c>
      <c r="AG165" s="541">
        <f t="shared" si="332"/>
        <v>10.506500583883343</v>
      </c>
      <c r="AH165" s="541">
        <f t="shared" si="332"/>
        <v>8.8916183163115239</v>
      </c>
      <c r="AI165" s="541">
        <f t="shared" ref="AI165:AJ165" si="333">(AI109-AI138)*CtoCO2</f>
        <v>7.6003648060389839</v>
      </c>
      <c r="AJ165" s="541">
        <f t="shared" si="333"/>
        <v>8.4189934596093803</v>
      </c>
      <c r="AK165" s="541">
        <f t="shared" ref="AK165" si="334">(AK109-AK138)*CtoCO2</f>
        <v>6.1767032814374412</v>
      </c>
      <c r="AL165" s="1055">
        <f t="shared" si="308"/>
        <v>-0.26633708517882326</v>
      </c>
      <c r="AM165" s="1055">
        <f t="shared" si="309"/>
        <v>-0.18731489355226094</v>
      </c>
      <c r="AN165" s="1056">
        <f t="shared" si="310"/>
        <v>-1.4236615246015427</v>
      </c>
      <c r="AO165" s="1056">
        <f t="shared" si="311"/>
        <v>-2.2422901781719391</v>
      </c>
      <c r="AP165" s="552" t="s">
        <v>1916</v>
      </c>
    </row>
    <row r="166" spans="3:46">
      <c r="C166" s="456">
        <f t="shared" si="293"/>
        <v>11</v>
      </c>
      <c r="D166" s="6" t="s">
        <v>1616</v>
      </c>
      <c r="E166" s="541">
        <f t="shared" ref="E166:T166" si="335">(E110-E139)*CtoCO2</f>
        <v>20.467604947132635</v>
      </c>
      <c r="F166" s="541">
        <f t="shared" si="335"/>
        <v>23.816016883528235</v>
      </c>
      <c r="G166" s="541">
        <f t="shared" si="335"/>
        <v>21.302539785485276</v>
      </c>
      <c r="H166" s="541">
        <f t="shared" si="335"/>
        <v>19.493155931386088</v>
      </c>
      <c r="I166" s="541">
        <f t="shared" si="335"/>
        <v>19.155000638472337</v>
      </c>
      <c r="J166" s="541">
        <f t="shared" si="335"/>
        <v>17.041882604982813</v>
      </c>
      <c r="K166" s="541">
        <f t="shared" si="335"/>
        <v>13.973549178416937</v>
      </c>
      <c r="L166" s="541">
        <f t="shared" si="335"/>
        <v>19.013176262545478</v>
      </c>
      <c r="M166" s="541">
        <f t="shared" si="335"/>
        <v>18.077423542911671</v>
      </c>
      <c r="N166" s="541">
        <f t="shared" si="335"/>
        <v>19.315518754954446</v>
      </c>
      <c r="O166" s="541">
        <f t="shared" si="335"/>
        <v>15.023591897848828</v>
      </c>
      <c r="P166" s="541">
        <f t="shared" si="335"/>
        <v>14.670711209290568</v>
      </c>
      <c r="Q166" s="541">
        <f t="shared" si="335"/>
        <v>12.322896822212458</v>
      </c>
      <c r="R166" s="541">
        <f t="shared" si="335"/>
        <v>13.766251342001317</v>
      </c>
      <c r="S166" s="541">
        <f t="shared" si="335"/>
        <v>14.688372355158604</v>
      </c>
      <c r="T166" s="541">
        <f t="shared" si="335"/>
        <v>14.465965399629772</v>
      </c>
      <c r="U166" s="541">
        <f t="shared" si="301"/>
        <v>16.170766079642757</v>
      </c>
      <c r="V166" s="541">
        <f t="shared" si="301"/>
        <v>17.461254392662287</v>
      </c>
      <c r="W166" s="541">
        <f t="shared" si="301"/>
        <v>15.913978864683346</v>
      </c>
      <c r="X166" s="541">
        <f t="shared" si="302"/>
        <v>9.5411898844018204</v>
      </c>
      <c r="Y166" s="541">
        <f t="shared" si="302"/>
        <v>9.9388756190318261</v>
      </c>
      <c r="Z166" s="541">
        <f t="shared" si="303"/>
        <v>8.4659642621232098</v>
      </c>
      <c r="AA166" s="541">
        <f t="shared" si="303"/>
        <v>6.010611965397044</v>
      </c>
      <c r="AB166" s="541">
        <f t="shared" si="304"/>
        <v>5.0276825453302321</v>
      </c>
      <c r="AC166" s="541">
        <f t="shared" si="304"/>
        <v>5.7331369840102377</v>
      </c>
      <c r="AD166" s="541">
        <f t="shared" si="305"/>
        <v>5.1852912106642011</v>
      </c>
      <c r="AE166" s="541">
        <f t="shared" si="305"/>
        <v>4.68966102326673</v>
      </c>
      <c r="AF166" s="541">
        <f t="shared" ref="AF166:AH166" si="336">(AF110-AF139)*CtoCO2</f>
        <v>6.1065094705761771</v>
      </c>
      <c r="AG166" s="541">
        <f t="shared" si="336"/>
        <v>5.9431788366840186</v>
      </c>
      <c r="AH166" s="541">
        <f t="shared" si="336"/>
        <v>5.5502185072036205</v>
      </c>
      <c r="AI166" s="541">
        <f t="shared" ref="AI166:AJ166" si="337">(AI110-AI139)*CtoCO2</f>
        <v>4.9074250169610529</v>
      </c>
      <c r="AJ166" s="541">
        <f t="shared" si="337"/>
        <v>5.4288568253906853</v>
      </c>
      <c r="AK166" s="541">
        <f t="shared" ref="AK166" si="338">(AK110-AK139)*CtoCO2</f>
        <v>3.0539087620655079</v>
      </c>
      <c r="AL166" s="1055">
        <f t="shared" si="308"/>
        <v>-0.43746743369940788</v>
      </c>
      <c r="AM166" s="1055">
        <f t="shared" si="309"/>
        <v>-0.37769629662998783</v>
      </c>
      <c r="AN166" s="1056">
        <f t="shared" si="310"/>
        <v>-1.8535162548955451</v>
      </c>
      <c r="AO166" s="1056">
        <f t="shared" si="311"/>
        <v>-2.3749480633251774</v>
      </c>
      <c r="AP166" s="552" t="s">
        <v>1916</v>
      </c>
    </row>
    <row r="167" spans="3:46">
      <c r="C167" s="456">
        <f t="shared" si="293"/>
        <v>12</v>
      </c>
      <c r="D167" s="6" t="s">
        <v>1618</v>
      </c>
      <c r="E167" s="541">
        <f t="shared" ref="E167:T167" si="339">(E111-E140)*CtoCO2</f>
        <v>0.98611700234753241</v>
      </c>
      <c r="F167" s="541">
        <f t="shared" si="339"/>
        <v>1.1330250550448602</v>
      </c>
      <c r="G167" s="541">
        <f t="shared" si="339"/>
        <v>0.78592194434061446</v>
      </c>
      <c r="H167" s="541">
        <f t="shared" si="339"/>
        <v>1.1608653179372088</v>
      </c>
      <c r="I167" s="541">
        <f t="shared" si="339"/>
        <v>0.91804758590264157</v>
      </c>
      <c r="J167" s="541">
        <f t="shared" si="339"/>
        <v>1.1840683327902697</v>
      </c>
      <c r="K167" s="541">
        <f t="shared" si="339"/>
        <v>5.0151206157930679E-2</v>
      </c>
      <c r="L167" s="541">
        <f t="shared" si="339"/>
        <v>0.31203362640226079</v>
      </c>
      <c r="M167" s="541">
        <f t="shared" si="339"/>
        <v>0.15802035351508259</v>
      </c>
      <c r="N167" s="541">
        <f t="shared" si="339"/>
        <v>0.6055031167205811</v>
      </c>
      <c r="O167" s="541">
        <f t="shared" si="339"/>
        <v>0.41570652882618853</v>
      </c>
      <c r="P167" s="541">
        <f t="shared" si="339"/>
        <v>1.2388517329264852</v>
      </c>
      <c r="Q167" s="541">
        <f t="shared" si="339"/>
        <v>1.5128316634321619</v>
      </c>
      <c r="R167" s="541">
        <f t="shared" si="339"/>
        <v>1.4628730586360652</v>
      </c>
      <c r="S167" s="541">
        <f t="shared" si="339"/>
        <v>1.5186594415154291</v>
      </c>
      <c r="T167" s="541">
        <f t="shared" si="339"/>
        <v>1.7013961687183772</v>
      </c>
      <c r="U167" s="541">
        <f t="shared" si="301"/>
        <v>1.3995594226936778</v>
      </c>
      <c r="V167" s="541">
        <f t="shared" si="301"/>
        <v>1.0021780207506543</v>
      </c>
      <c r="W167" s="541">
        <f t="shared" si="301"/>
        <v>1.0910064842166081</v>
      </c>
      <c r="X167" s="541">
        <f t="shared" si="302"/>
        <v>2.8205104493373225</v>
      </c>
      <c r="Y167" s="541">
        <f t="shared" si="302"/>
        <v>2.942569237167096</v>
      </c>
      <c r="Z167" s="541">
        <f t="shared" si="303"/>
        <v>3.2619783766926798</v>
      </c>
      <c r="AA167" s="541">
        <f t="shared" si="303"/>
        <v>3.1319442801214472</v>
      </c>
      <c r="AB167" s="541">
        <f t="shared" si="304"/>
        <v>3.4768330121287976</v>
      </c>
      <c r="AC167" s="541">
        <f t="shared" si="304"/>
        <v>3.4633582982936013</v>
      </c>
      <c r="AD167" s="541">
        <f t="shared" si="305"/>
        <v>3.3625254851214827</v>
      </c>
      <c r="AE167" s="541">
        <f t="shared" si="305"/>
        <v>3.303342802188812</v>
      </c>
      <c r="AF167" s="541">
        <f t="shared" ref="AF167:AH167" si="340">(AF111-AF140)*CtoCO2</f>
        <v>3.5757276962907518</v>
      </c>
      <c r="AG167" s="541">
        <f t="shared" si="340"/>
        <v>3.9300005851499322</v>
      </c>
      <c r="AH167" s="541">
        <f t="shared" si="340"/>
        <v>3.6108425821623942</v>
      </c>
      <c r="AI167" s="541">
        <f t="shared" ref="AI167:AJ167" si="341">(AI111-AI140)*CtoCO2</f>
        <v>3.1704359466322707</v>
      </c>
      <c r="AJ167" s="541">
        <f t="shared" si="341"/>
        <v>3.6766052338302933</v>
      </c>
      <c r="AK167" s="541">
        <f t="shared" ref="AK167" si="342">(AK111-AK140)*CtoCO2</f>
        <v>3.7031631329116523</v>
      </c>
      <c r="AL167" s="1055">
        <f t="shared" si="308"/>
        <v>7.2234840001277334E-3</v>
      </c>
      <c r="AM167" s="1055">
        <f t="shared" si="309"/>
        <v>0.16802963227983203</v>
      </c>
      <c r="AN167" s="1056">
        <f t="shared" si="310"/>
        <v>0.53272718627938165</v>
      </c>
      <c r="AO167" s="1056">
        <f t="shared" si="311"/>
        <v>2.6557899081359082E-2</v>
      </c>
      <c r="AP167" s="552" t="s">
        <v>1916</v>
      </c>
    </row>
    <row r="168" spans="3:46">
      <c r="C168" s="456">
        <f t="shared" si="293"/>
        <v>13</v>
      </c>
      <c r="D168" s="6" t="s">
        <v>1921</v>
      </c>
      <c r="E168" s="541">
        <f t="shared" ref="E168:T168" si="343">(E112-E141)*CtoCO2</f>
        <v>2.0811661034672388</v>
      </c>
      <c r="F168" s="541">
        <f t="shared" si="343"/>
        <v>0.91651867410309884</v>
      </c>
      <c r="G168" s="541">
        <f t="shared" si="343"/>
        <v>5.5610734229755048</v>
      </c>
      <c r="H168" s="541">
        <f t="shared" si="343"/>
        <v>1.6555938087256064</v>
      </c>
      <c r="I168" s="541">
        <f t="shared" si="343"/>
        <v>3.1561277181113137</v>
      </c>
      <c r="J168" s="541">
        <f t="shared" si="343"/>
        <v>2.5386759220156563</v>
      </c>
      <c r="K168" s="541">
        <f t="shared" si="343"/>
        <v>2.1199673764368665</v>
      </c>
      <c r="L168" s="541">
        <f t="shared" si="343"/>
        <v>0</v>
      </c>
      <c r="M168" s="541">
        <f t="shared" si="343"/>
        <v>4.1368169183058514</v>
      </c>
      <c r="N168" s="541">
        <f t="shared" si="343"/>
        <v>8.7500676809794253</v>
      </c>
      <c r="O168" s="541">
        <f t="shared" si="343"/>
        <v>0.62365605209275843</v>
      </c>
      <c r="P168" s="541">
        <f t="shared" si="343"/>
        <v>6.8945020273837008</v>
      </c>
      <c r="Q168" s="541">
        <f t="shared" si="343"/>
        <v>4.6600602201071624</v>
      </c>
      <c r="R168" s="541">
        <f t="shared" si="343"/>
        <v>2.8392341615644452</v>
      </c>
      <c r="S168" s="541">
        <f t="shared" si="343"/>
        <v>9.6670657037111631</v>
      </c>
      <c r="T168" s="541">
        <f t="shared" si="343"/>
        <v>7.4479655699868434</v>
      </c>
      <c r="U168" s="541">
        <f t="shared" si="301"/>
        <v>9.5582550445241363</v>
      </c>
      <c r="V168" s="541">
        <f t="shared" si="301"/>
        <v>8.266061284220525</v>
      </c>
      <c r="W168" s="541">
        <f t="shared" si="301"/>
        <v>9.8858888006050325</v>
      </c>
      <c r="X168" s="541">
        <f t="shared" si="302"/>
        <v>7.7552786094278447</v>
      </c>
      <c r="Y168" s="541">
        <f t="shared" si="302"/>
        <v>0</v>
      </c>
      <c r="Z168" s="541">
        <f t="shared" si="303"/>
        <v>0</v>
      </c>
      <c r="AA168" s="541">
        <f t="shared" si="303"/>
        <v>0</v>
      </c>
      <c r="AB168" s="541">
        <f t="shared" si="304"/>
        <v>0</v>
      </c>
      <c r="AC168" s="541">
        <f t="shared" si="304"/>
        <v>0</v>
      </c>
      <c r="AD168" s="541">
        <f t="shared" si="305"/>
        <v>0</v>
      </c>
      <c r="AE168" s="541">
        <f t="shared" si="305"/>
        <v>0</v>
      </c>
      <c r="AF168" s="541">
        <f t="shared" ref="AF168:AH168" si="344">(AF112-AF141)*CtoCO2</f>
        <v>0</v>
      </c>
      <c r="AG168" s="541">
        <f t="shared" si="344"/>
        <v>0</v>
      </c>
      <c r="AH168" s="541">
        <f t="shared" si="344"/>
        <v>0</v>
      </c>
      <c r="AI168" s="541">
        <f>(AI112-AI141)*CtoCO2</f>
        <v>0</v>
      </c>
      <c r="AJ168" s="541">
        <f>(AJ112-AJ141)*CtoCO2</f>
        <v>0</v>
      </c>
      <c r="AK168" s="541">
        <f>(AK112-AK141)*CtoCO2</f>
        <v>0</v>
      </c>
      <c r="AL168" s="1055" t="e">
        <f t="shared" si="308"/>
        <v>#DIV/0!</v>
      </c>
      <c r="AM168" s="1055" t="e">
        <f t="shared" si="309"/>
        <v>#DIV/0!</v>
      </c>
      <c r="AN168" s="1056">
        <f t="shared" si="310"/>
        <v>0</v>
      </c>
      <c r="AO168" s="1056">
        <f t="shared" si="311"/>
        <v>0</v>
      </c>
      <c r="AP168" s="552" t="s">
        <v>1392</v>
      </c>
    </row>
    <row r="169" spans="3:46">
      <c r="C169" s="456">
        <f t="shared" si="293"/>
        <v>14</v>
      </c>
      <c r="D169" s="6" t="s">
        <v>1619</v>
      </c>
      <c r="E169" s="541">
        <f t="shared" ref="E169:T169" si="345">(E113-E142)*CtoCO2</f>
        <v>3.050919337431194</v>
      </c>
      <c r="F169" s="541">
        <f t="shared" si="345"/>
        <v>2.5906109588275728</v>
      </c>
      <c r="G169" s="541">
        <f t="shared" si="345"/>
        <v>3.0634340269050964</v>
      </c>
      <c r="H169" s="541">
        <f t="shared" si="345"/>
        <v>2.7969132972646911</v>
      </c>
      <c r="I169" s="541">
        <f t="shared" si="345"/>
        <v>2.2469126649875029</v>
      </c>
      <c r="J169" s="541">
        <f t="shared" si="345"/>
        <v>1.8808588972972393</v>
      </c>
      <c r="K169" s="541">
        <f t="shared" si="345"/>
        <v>1.8611618139655619</v>
      </c>
      <c r="L169" s="541">
        <f t="shared" si="345"/>
        <v>1.9923593538888811</v>
      </c>
      <c r="M169" s="541">
        <f t="shared" si="345"/>
        <v>2.9789190293222347</v>
      </c>
      <c r="N169" s="541">
        <f t="shared" si="345"/>
        <v>4.1797100658920625</v>
      </c>
      <c r="O169" s="541">
        <f t="shared" si="345"/>
        <v>2.6015935659693588</v>
      </c>
      <c r="P169" s="541">
        <f t="shared" si="345"/>
        <v>2.2079788412298487</v>
      </c>
      <c r="Q169" s="541">
        <f t="shared" si="345"/>
        <v>2.7484977209835897</v>
      </c>
      <c r="R169" s="541">
        <f t="shared" si="345"/>
        <v>2.1166473507260286</v>
      </c>
      <c r="S169" s="541">
        <f t="shared" si="345"/>
        <v>1.2849236593589115</v>
      </c>
      <c r="T169" s="541">
        <f t="shared" si="345"/>
        <v>1.726067437444281</v>
      </c>
      <c r="U169" s="541">
        <f t="shared" si="301"/>
        <v>1.9018361869528935</v>
      </c>
      <c r="V169" s="541">
        <f t="shared" si="301"/>
        <v>1.926547786216249</v>
      </c>
      <c r="W169" s="541">
        <f t="shared" si="301"/>
        <v>2.1631521651199401</v>
      </c>
      <c r="X169" s="541">
        <f t="shared" si="302"/>
        <v>1.0518712481472599</v>
      </c>
      <c r="Y169" s="541">
        <f t="shared" si="302"/>
        <v>0.56805281292487975</v>
      </c>
      <c r="Z169" s="541">
        <f t="shared" si="303"/>
        <v>0.49127331172391425</v>
      </c>
      <c r="AA169" s="541">
        <f t="shared" si="303"/>
        <v>0.30913845063042644</v>
      </c>
      <c r="AB169" s="541">
        <f t="shared" si="304"/>
        <v>2.2716308233953675</v>
      </c>
      <c r="AC169" s="541">
        <f t="shared" si="304"/>
        <v>2.4808875421533472</v>
      </c>
      <c r="AD169" s="541">
        <f t="shared" si="305"/>
        <v>2.2712162206527395</v>
      </c>
      <c r="AE169" s="541">
        <f t="shared" si="305"/>
        <v>1.9963283186172436</v>
      </c>
      <c r="AF169" s="541">
        <f t="shared" ref="AF169:AH169" si="346">(AF113-AF142)*CtoCO2</f>
        <v>2.3454868610952739</v>
      </c>
      <c r="AG169" s="541">
        <f t="shared" si="346"/>
        <v>2.3100785091729779</v>
      </c>
      <c r="AH169" s="541">
        <f t="shared" si="346"/>
        <v>2.2906528542085551</v>
      </c>
      <c r="AI169" s="541">
        <f t="shared" ref="AI169:AJ169" si="347">(AI113-AI142)*CtoCO2</f>
        <v>1.9829335351166575</v>
      </c>
      <c r="AJ169" s="541">
        <f t="shared" si="347"/>
        <v>2.0598196547025895</v>
      </c>
      <c r="AK169" s="541">
        <f t="shared" ref="AK169" si="348">(AK113-AK142)*CtoCO2</f>
        <v>2.2164480160308422</v>
      </c>
      <c r="AL169" s="1055">
        <f t="shared" si="308"/>
        <v>7.6039842114657308E-2</v>
      </c>
      <c r="AM169" s="1055">
        <f t="shared" si="309"/>
        <v>0.11776213210315545</v>
      </c>
      <c r="AN169" s="1056">
        <f t="shared" si="310"/>
        <v>0.2335144809141847</v>
      </c>
      <c r="AO169" s="1056">
        <f t="shared" si="311"/>
        <v>0.15662836132825264</v>
      </c>
      <c r="AP169" s="552" t="s">
        <v>1916</v>
      </c>
    </row>
    <row r="170" spans="3:46">
      <c r="C170" s="456">
        <f t="shared" si="293"/>
        <v>15</v>
      </c>
      <c r="D170" s="6" t="s">
        <v>1895</v>
      </c>
      <c r="E170" s="541">
        <f t="shared" ref="E170:T170" si="349">(E114-E143)*CtoCO2</f>
        <v>0</v>
      </c>
      <c r="F170" s="541">
        <f t="shared" si="349"/>
        <v>0</v>
      </c>
      <c r="G170" s="541">
        <f t="shared" si="349"/>
        <v>0</v>
      </c>
      <c r="H170" s="541">
        <f t="shared" si="349"/>
        <v>0</v>
      </c>
      <c r="I170" s="541">
        <f t="shared" si="349"/>
        <v>0</v>
      </c>
      <c r="J170" s="541">
        <f t="shared" si="349"/>
        <v>0</v>
      </c>
      <c r="K170" s="541">
        <f t="shared" si="349"/>
        <v>0</v>
      </c>
      <c r="L170" s="541">
        <f t="shared" si="349"/>
        <v>0</v>
      </c>
      <c r="M170" s="541">
        <f t="shared" si="349"/>
        <v>0</v>
      </c>
      <c r="N170" s="541">
        <f t="shared" si="349"/>
        <v>0</v>
      </c>
      <c r="O170" s="541">
        <f t="shared" si="349"/>
        <v>0</v>
      </c>
      <c r="P170" s="541">
        <f t="shared" si="349"/>
        <v>0</v>
      </c>
      <c r="Q170" s="541">
        <f t="shared" si="349"/>
        <v>0</v>
      </c>
      <c r="R170" s="541">
        <f t="shared" si="349"/>
        <v>0</v>
      </c>
      <c r="S170" s="541">
        <f t="shared" si="349"/>
        <v>0</v>
      </c>
      <c r="T170" s="541">
        <f t="shared" si="349"/>
        <v>0</v>
      </c>
      <c r="U170" s="541">
        <f t="shared" si="301"/>
        <v>0</v>
      </c>
      <c r="V170" s="541">
        <f t="shared" si="301"/>
        <v>0</v>
      </c>
      <c r="W170" s="541">
        <f t="shared" si="301"/>
        <v>0</v>
      </c>
      <c r="X170" s="541">
        <f t="shared" si="302"/>
        <v>0</v>
      </c>
      <c r="Y170" s="541">
        <f t="shared" si="302"/>
        <v>0</v>
      </c>
      <c r="Z170" s="541">
        <f t="shared" si="303"/>
        <v>0</v>
      </c>
      <c r="AA170" s="541">
        <f t="shared" si="303"/>
        <v>0</v>
      </c>
      <c r="AB170" s="541">
        <f t="shared" si="304"/>
        <v>0</v>
      </c>
      <c r="AC170" s="541">
        <f t="shared" si="304"/>
        <v>0</v>
      </c>
      <c r="AD170" s="541">
        <f t="shared" si="305"/>
        <v>0</v>
      </c>
      <c r="AE170" s="541">
        <f t="shared" si="305"/>
        <v>0</v>
      </c>
      <c r="AF170" s="541">
        <f t="shared" ref="AF170:AH170" si="350">(AF114-AF143)*CtoCO2</f>
        <v>0</v>
      </c>
      <c r="AG170" s="541">
        <f t="shared" si="350"/>
        <v>0</v>
      </c>
      <c r="AH170" s="541">
        <f t="shared" si="350"/>
        <v>0</v>
      </c>
      <c r="AI170" s="541">
        <f t="shared" ref="AI170:AJ170" si="351">(AI114-AI143)*CtoCO2</f>
        <v>0</v>
      </c>
      <c r="AJ170" s="541">
        <f t="shared" si="351"/>
        <v>0</v>
      </c>
      <c r="AK170" s="541">
        <f t="shared" ref="AK170" si="352">(AK114-AK143)*CtoCO2</f>
        <v>0</v>
      </c>
      <c r="AL170" s="1055" t="e">
        <f t="shared" si="308"/>
        <v>#DIV/0!</v>
      </c>
      <c r="AM170" s="1055" t="e">
        <f t="shared" si="309"/>
        <v>#DIV/0!</v>
      </c>
      <c r="AN170" s="1056">
        <f t="shared" si="310"/>
        <v>0</v>
      </c>
      <c r="AO170" s="1056">
        <f t="shared" si="311"/>
        <v>0</v>
      </c>
      <c r="AP170" s="552"/>
    </row>
    <row r="171" spans="3:46">
      <c r="C171" s="456">
        <f t="shared" si="293"/>
        <v>16</v>
      </c>
      <c r="D171" s="463" t="s">
        <v>1738</v>
      </c>
      <c r="E171" s="541">
        <f t="shared" ref="E171:T171" si="353">(E115-E144)*CtoCO2</f>
        <v>0.26048099322415608</v>
      </c>
      <c r="F171" s="541">
        <f t="shared" si="353"/>
        <v>0.26192493066666667</v>
      </c>
      <c r="G171" s="541">
        <f t="shared" si="353"/>
        <v>0.25898114718055548</v>
      </c>
      <c r="H171" s="541">
        <f t="shared" si="353"/>
        <v>0.25603736369444446</v>
      </c>
      <c r="I171" s="541">
        <f t="shared" si="353"/>
        <v>0.25309358020833328</v>
      </c>
      <c r="J171" s="541">
        <f t="shared" si="353"/>
        <v>0.29751958098958337</v>
      </c>
      <c r="K171" s="541">
        <f t="shared" si="353"/>
        <v>0.3419455817708334</v>
      </c>
      <c r="L171" s="541">
        <f t="shared" si="353"/>
        <v>0.38637158255208343</v>
      </c>
      <c r="M171" s="541">
        <f t="shared" si="353"/>
        <v>0.4307975833333334</v>
      </c>
      <c r="N171" s="541">
        <f t="shared" si="353"/>
        <v>0.4307975833333334</v>
      </c>
      <c r="O171" s="541">
        <f t="shared" si="353"/>
        <v>0.43549641666666666</v>
      </c>
      <c r="P171" s="541">
        <f t="shared" si="353"/>
        <v>0.43485566666666664</v>
      </c>
      <c r="Q171" s="541">
        <f t="shared" si="353"/>
        <v>0.43485566666666664</v>
      </c>
      <c r="R171" s="541">
        <f t="shared" si="353"/>
        <v>0.48945290624999993</v>
      </c>
      <c r="S171" s="541">
        <f t="shared" si="353"/>
        <v>0.54437052083333326</v>
      </c>
      <c r="T171" s="541">
        <f t="shared" si="353"/>
        <v>0.59822021874999998</v>
      </c>
      <c r="U171" s="541">
        <f t="shared" si="301"/>
        <v>0.65132237500000001</v>
      </c>
      <c r="V171" s="541">
        <f t="shared" si="301"/>
        <v>0.54063281250000006</v>
      </c>
      <c r="W171" s="541">
        <f t="shared" si="301"/>
        <v>0.43250624999999998</v>
      </c>
      <c r="X171" s="541">
        <f t="shared" si="302"/>
        <v>0.32405931250000003</v>
      </c>
      <c r="Y171" s="541">
        <f t="shared" si="302"/>
        <v>0.21614633333333333</v>
      </c>
      <c r="Z171" s="541">
        <f t="shared" si="303"/>
        <v>0.21593274999999998</v>
      </c>
      <c r="AA171" s="541">
        <f t="shared" si="303"/>
        <v>0.21593274999999998</v>
      </c>
      <c r="AB171" s="541">
        <f t="shared" si="304"/>
        <v>0.21603954166666667</v>
      </c>
      <c r="AC171" s="541">
        <f t="shared" si="304"/>
        <v>0.21603954166666667</v>
      </c>
      <c r="AD171" s="541">
        <f t="shared" si="305"/>
        <v>0.21595028200929239</v>
      </c>
      <c r="AE171" s="541">
        <f t="shared" si="305"/>
        <v>0.2158712294831702</v>
      </c>
      <c r="AF171" s="541">
        <f t="shared" ref="AF171:AG171" si="354">(AF115-AF144)*CtoCO2</f>
        <v>0.2157878030706307</v>
      </c>
      <c r="AG171" s="541">
        <f t="shared" si="354"/>
        <v>0.21595111231340694</v>
      </c>
      <c r="AH171" s="541">
        <f>(AH115-AH144)*CtoCO2</f>
        <v>0.21595111231340694</v>
      </c>
      <c r="AI171" s="541">
        <f>(AI115-AI144)*CtoCO2</f>
        <v>0.21589956443920952</v>
      </c>
      <c r="AJ171" s="541">
        <f>(AJ115-AJ144)*CtoCO2</f>
        <v>0.21589956443920952</v>
      </c>
      <c r="AK171" s="541">
        <f>(AK115-AK144)*CtoCO2</f>
        <v>0.21589956443920952</v>
      </c>
      <c r="AL171" s="1055">
        <f t="shared" si="308"/>
        <v>0</v>
      </c>
      <c r="AM171" s="1055">
        <f t="shared" si="309"/>
        <v>0</v>
      </c>
      <c r="AN171" s="1056">
        <f t="shared" si="310"/>
        <v>0</v>
      </c>
      <c r="AO171" s="1056">
        <f t="shared" si="311"/>
        <v>0</v>
      </c>
      <c r="AP171" s="552" t="s">
        <v>1392</v>
      </c>
    </row>
    <row r="172" spans="3:46">
      <c r="C172" s="456">
        <f t="shared" si="293"/>
        <v>17</v>
      </c>
      <c r="D172" s="463" t="s">
        <v>1621</v>
      </c>
      <c r="E172" s="541">
        <f t="shared" ref="E172:T172" si="355">(E116-E145)*CtoCO2</f>
        <v>1.0193809685500004</v>
      </c>
      <c r="F172" s="541">
        <f t="shared" si="355"/>
        <v>1.0753164058000002</v>
      </c>
      <c r="G172" s="541">
        <f t="shared" si="355"/>
        <v>1.1405744159250004</v>
      </c>
      <c r="H172" s="541">
        <f t="shared" si="355"/>
        <v>1.2253250784250003</v>
      </c>
      <c r="I172" s="541">
        <f t="shared" si="355"/>
        <v>1.2424447122500004</v>
      </c>
      <c r="J172" s="541">
        <f t="shared" si="355"/>
        <v>1.2426142135750005</v>
      </c>
      <c r="K172" s="541">
        <f t="shared" si="355"/>
        <v>1.4897471454250004</v>
      </c>
      <c r="L172" s="541">
        <f t="shared" si="355"/>
        <v>1.3390604675000006</v>
      </c>
      <c r="M172" s="541">
        <f t="shared" si="355"/>
        <v>1.2970241389000003</v>
      </c>
      <c r="N172" s="541">
        <f t="shared" si="355"/>
        <v>1.1459984583250002</v>
      </c>
      <c r="O172" s="541">
        <f t="shared" si="355"/>
        <v>1.0127704168750005</v>
      </c>
      <c r="P172" s="541">
        <f t="shared" si="355"/>
        <v>1.1122676946500003</v>
      </c>
      <c r="Q172" s="541">
        <f t="shared" si="355"/>
        <v>0.98480269825000022</v>
      </c>
      <c r="R172" s="541">
        <f t="shared" si="355"/>
        <v>0.95039392927500033</v>
      </c>
      <c r="S172" s="541">
        <f t="shared" si="355"/>
        <v>0.94191886302500027</v>
      </c>
      <c r="T172" s="541">
        <f t="shared" si="355"/>
        <v>0.96023568470847542</v>
      </c>
      <c r="U172" s="541">
        <f t="shared" si="301"/>
        <v>0.8003857651539753</v>
      </c>
      <c r="V172" s="541">
        <f t="shared" si="301"/>
        <v>0.67000246444145017</v>
      </c>
      <c r="W172" s="541">
        <f t="shared" si="301"/>
        <v>0.58599150572375014</v>
      </c>
      <c r="X172" s="541">
        <f t="shared" si="302"/>
        <v>0.37416620837522502</v>
      </c>
      <c r="Y172" s="541">
        <f t="shared" si="302"/>
        <v>0.52294464038337529</v>
      </c>
      <c r="Z172" s="541">
        <f t="shared" si="303"/>
        <v>0.4614817649251251</v>
      </c>
      <c r="AA172" s="541">
        <f t="shared" si="303"/>
        <v>0.46809841864782514</v>
      </c>
      <c r="AB172" s="541">
        <f t="shared" si="304"/>
        <v>0.50476257225327514</v>
      </c>
      <c r="AC172" s="541">
        <f t="shared" si="304"/>
        <v>0.45255904567580013</v>
      </c>
      <c r="AD172" s="541">
        <f t="shared" si="305"/>
        <v>0.37829034511380016</v>
      </c>
      <c r="AE172" s="541">
        <f t="shared" si="305"/>
        <v>0.39334307978175015</v>
      </c>
      <c r="AF172" s="541">
        <f t="shared" ref="AF172:AH172" si="356">(AF116-AF145)*CtoCO2</f>
        <v>0.31107306917312499</v>
      </c>
      <c r="AG172" s="541">
        <f t="shared" si="356"/>
        <v>0.37995366161602506</v>
      </c>
      <c r="AH172" s="541">
        <f t="shared" si="356"/>
        <v>0.31909505838140001</v>
      </c>
      <c r="AI172" s="541">
        <f t="shared" ref="AI172:AJ172" si="357">(AI116-AI145)*CtoCO2</f>
        <v>0.28179985134297508</v>
      </c>
      <c r="AJ172" s="541">
        <f t="shared" si="357"/>
        <v>0.36095764812327508</v>
      </c>
      <c r="AK172" s="541">
        <f t="shared" ref="AK172" si="358">(AK116-AK145)*CtoCO2</f>
        <v>0.39913629606760015</v>
      </c>
      <c r="AL172" s="1055">
        <f t="shared" si="308"/>
        <v>0.10577043634572392</v>
      </c>
      <c r="AM172" s="1055">
        <f t="shared" si="309"/>
        <v>0.41638220944913251</v>
      </c>
      <c r="AN172" s="1056">
        <f t="shared" si="310"/>
        <v>0.11733644472462507</v>
      </c>
      <c r="AO172" s="1056">
        <f t="shared" si="311"/>
        <v>3.8178647944325073E-2</v>
      </c>
      <c r="AP172" s="552" t="s">
        <v>1621</v>
      </c>
    </row>
    <row r="173" spans="3:46">
      <c r="C173" s="456">
        <f t="shared" si="293"/>
        <v>18</v>
      </c>
      <c r="D173" s="463" t="s">
        <v>1614</v>
      </c>
      <c r="E173" s="541">
        <f t="shared" ref="E173:T173" si="359">(E117-E146)*CtoCO2</f>
        <v>0</v>
      </c>
      <c r="F173" s="541">
        <f t="shared" si="359"/>
        <v>0</v>
      </c>
      <c r="G173" s="541">
        <f t="shared" si="359"/>
        <v>0</v>
      </c>
      <c r="H173" s="541">
        <f t="shared" si="359"/>
        <v>0</v>
      </c>
      <c r="I173" s="541">
        <f t="shared" si="359"/>
        <v>0</v>
      </c>
      <c r="J173" s="541">
        <f t="shared" si="359"/>
        <v>0</v>
      </c>
      <c r="K173" s="541">
        <f t="shared" si="359"/>
        <v>0</v>
      </c>
      <c r="L173" s="541">
        <f t="shared" si="359"/>
        <v>0</v>
      </c>
      <c r="M173" s="541">
        <f t="shared" si="359"/>
        <v>0</v>
      </c>
      <c r="N173" s="541">
        <f t="shared" si="359"/>
        <v>0</v>
      </c>
      <c r="O173" s="541">
        <f t="shared" si="359"/>
        <v>0</v>
      </c>
      <c r="P173" s="541">
        <f t="shared" si="359"/>
        <v>0</v>
      </c>
      <c r="Q173" s="541">
        <f t="shared" si="359"/>
        <v>0</v>
      </c>
      <c r="R173" s="541">
        <f t="shared" si="359"/>
        <v>0</v>
      </c>
      <c r="S173" s="541">
        <f t="shared" si="359"/>
        <v>0</v>
      </c>
      <c r="T173" s="541">
        <f t="shared" si="359"/>
        <v>0</v>
      </c>
      <c r="U173" s="541">
        <f t="shared" si="301"/>
        <v>0</v>
      </c>
      <c r="V173" s="541">
        <f t="shared" si="301"/>
        <v>0</v>
      </c>
      <c r="W173" s="541">
        <f t="shared" si="301"/>
        <v>0</v>
      </c>
      <c r="X173" s="541">
        <f t="shared" si="302"/>
        <v>0</v>
      </c>
      <c r="Y173" s="541">
        <f t="shared" si="302"/>
        <v>0</v>
      </c>
      <c r="Z173" s="541">
        <f t="shared" si="303"/>
        <v>0</v>
      </c>
      <c r="AA173" s="541">
        <f t="shared" si="303"/>
        <v>0</v>
      </c>
      <c r="AB173" s="541">
        <f t="shared" si="304"/>
        <v>0</v>
      </c>
      <c r="AC173" s="541">
        <f t="shared" si="304"/>
        <v>0</v>
      </c>
      <c r="AD173" s="541">
        <f t="shared" si="305"/>
        <v>0</v>
      </c>
      <c r="AE173" s="541">
        <f t="shared" si="305"/>
        <v>0</v>
      </c>
      <c r="AF173" s="541">
        <f t="shared" ref="AF173:AH173" si="360">(AF117-AF146)*CtoCO2</f>
        <v>0</v>
      </c>
      <c r="AG173" s="541">
        <f t="shared" si="360"/>
        <v>0</v>
      </c>
      <c r="AH173" s="541">
        <f t="shared" si="360"/>
        <v>0</v>
      </c>
      <c r="AI173" s="541">
        <f t="shared" ref="AI173:AJ173" si="361">(AI117-AI146)*CtoCO2</f>
        <v>0</v>
      </c>
      <c r="AJ173" s="541">
        <f t="shared" si="361"/>
        <v>0</v>
      </c>
      <c r="AK173" s="541">
        <f t="shared" ref="AK173" si="362">(AK117-AK146)*CtoCO2</f>
        <v>0</v>
      </c>
      <c r="AL173" s="1055" t="e">
        <f t="shared" si="308"/>
        <v>#DIV/0!</v>
      </c>
      <c r="AM173" s="1055" t="e">
        <f t="shared" si="309"/>
        <v>#DIV/0!</v>
      </c>
      <c r="AN173" s="1056">
        <f t="shared" si="310"/>
        <v>0</v>
      </c>
      <c r="AO173" s="1056">
        <f t="shared" si="311"/>
        <v>0</v>
      </c>
      <c r="AP173" s="552" t="s">
        <v>1392</v>
      </c>
    </row>
    <row r="174" spans="3:46">
      <c r="C174" s="456">
        <f t="shared" si="293"/>
        <v>19</v>
      </c>
      <c r="D174" s="5" t="s">
        <v>1445</v>
      </c>
      <c r="E174" s="540">
        <f t="shared" ref="E174:AK174" si="363">SUM(E175)</f>
        <v>11.83867525803792</v>
      </c>
      <c r="F174" s="540">
        <f t="shared" si="363"/>
        <v>10.590905791920855</v>
      </c>
      <c r="G174" s="540">
        <f t="shared" si="363"/>
        <v>10.797880813335526</v>
      </c>
      <c r="H174" s="540">
        <f t="shared" si="363"/>
        <v>10.995035115502057</v>
      </c>
      <c r="I174" s="540">
        <f t="shared" si="363"/>
        <v>11.491990415538332</v>
      </c>
      <c r="J174" s="540">
        <f t="shared" si="363"/>
        <v>11.294701582971145</v>
      </c>
      <c r="K174" s="540">
        <f t="shared" si="363"/>
        <v>10.961335250136848</v>
      </c>
      <c r="L174" s="540">
        <f t="shared" si="363"/>
        <v>11.579435175967021</v>
      </c>
      <c r="M174" s="540">
        <f t="shared" si="363"/>
        <v>12.121996281826874</v>
      </c>
      <c r="N174" s="540">
        <f t="shared" si="363"/>
        <v>12.248791184448473</v>
      </c>
      <c r="O174" s="540">
        <f t="shared" si="363"/>
        <v>12.065089922347896</v>
      </c>
      <c r="P174" s="540">
        <f t="shared" si="363"/>
        <v>11.054295756992577</v>
      </c>
      <c r="Q174" s="540">
        <f t="shared" si="363"/>
        <v>10.923330411950532</v>
      </c>
      <c r="R174" s="540">
        <f t="shared" si="363"/>
        <v>10.098793586308323</v>
      </c>
      <c r="S174" s="540">
        <f t="shared" si="363"/>
        <v>10.231171500557293</v>
      </c>
      <c r="T174" s="540">
        <f t="shared" si="363"/>
        <v>10.177695666295135</v>
      </c>
      <c r="U174" s="540">
        <f t="shared" si="363"/>
        <v>9.9158322414113744</v>
      </c>
      <c r="V174" s="540">
        <f t="shared" si="363"/>
        <v>10.239848711399834</v>
      </c>
      <c r="W174" s="540">
        <f t="shared" si="363"/>
        <v>9.5065907626051107</v>
      </c>
      <c r="X174" s="540">
        <f t="shared" si="363"/>
        <v>8.5470526799010713</v>
      </c>
      <c r="Y174" s="540">
        <f t="shared" si="363"/>
        <v>10.410836850638086</v>
      </c>
      <c r="Z174" s="540">
        <f t="shared" si="363"/>
        <v>9.9802723033272844</v>
      </c>
      <c r="AA174" s="540">
        <f t="shared" si="363"/>
        <v>9.1082462462522642</v>
      </c>
      <c r="AB174" s="540">
        <f t="shared" si="363"/>
        <v>9.643206384474853</v>
      </c>
      <c r="AC174" s="540">
        <f t="shared" si="363"/>
        <v>10.046797586453419</v>
      </c>
      <c r="AD174" s="540">
        <f t="shared" si="363"/>
        <v>10.951514530888703</v>
      </c>
      <c r="AE174" s="540">
        <f t="shared" si="363"/>
        <v>10.382450936098925</v>
      </c>
      <c r="AF174" s="540">
        <f t="shared" si="363"/>
        <v>9.5505149384204433</v>
      </c>
      <c r="AG174" s="540">
        <f t="shared" si="363"/>
        <v>9.2143907323726282</v>
      </c>
      <c r="AH174" s="540">
        <f t="shared" si="363"/>
        <v>8.8338714941071714</v>
      </c>
      <c r="AI174" s="540">
        <f t="shared" si="363"/>
        <v>7.7768661361253066</v>
      </c>
      <c r="AJ174" s="540">
        <f t="shared" si="363"/>
        <v>8.0071149168540767</v>
      </c>
      <c r="AK174" s="540">
        <f t="shared" si="363"/>
        <v>8.4341144085474014</v>
      </c>
      <c r="AL174" s="1055">
        <f t="shared" si="308"/>
        <v>5.3327508862716311E-2</v>
      </c>
      <c r="AM174" s="1055">
        <f t="shared" si="309"/>
        <v>8.4513255200449944E-2</v>
      </c>
      <c r="AN174" s="1056">
        <f t="shared" si="310"/>
        <v>0.65724827242209471</v>
      </c>
      <c r="AO174" s="1056">
        <f t="shared" si="311"/>
        <v>0.42699949169332463</v>
      </c>
      <c r="AP174" s="552"/>
    </row>
    <row r="175" spans="3:46">
      <c r="C175" s="456">
        <f t="shared" si="293"/>
        <v>20</v>
      </c>
      <c r="D175" s="6" t="s">
        <v>1610</v>
      </c>
      <c r="E175" s="541">
        <f t="shared" ref="E175:T175" si="364">(E119-E148)*CtoCO2</f>
        <v>11.83867525803792</v>
      </c>
      <c r="F175" s="541">
        <f t="shared" si="364"/>
        <v>10.590905791920855</v>
      </c>
      <c r="G175" s="541">
        <f t="shared" si="364"/>
        <v>10.797880813335526</v>
      </c>
      <c r="H175" s="541">
        <f t="shared" si="364"/>
        <v>10.995035115502057</v>
      </c>
      <c r="I175" s="541">
        <f t="shared" si="364"/>
        <v>11.491990415538332</v>
      </c>
      <c r="J175" s="541">
        <f t="shared" si="364"/>
        <v>11.294701582971145</v>
      </c>
      <c r="K175" s="541">
        <f t="shared" si="364"/>
        <v>10.961335250136848</v>
      </c>
      <c r="L175" s="541">
        <f t="shared" si="364"/>
        <v>11.579435175967021</v>
      </c>
      <c r="M175" s="541">
        <f t="shared" si="364"/>
        <v>12.121996281826874</v>
      </c>
      <c r="N175" s="541">
        <f t="shared" si="364"/>
        <v>12.248791184448473</v>
      </c>
      <c r="O175" s="541">
        <f t="shared" si="364"/>
        <v>12.065089922347896</v>
      </c>
      <c r="P175" s="541">
        <f t="shared" si="364"/>
        <v>11.054295756992577</v>
      </c>
      <c r="Q175" s="541">
        <f t="shared" si="364"/>
        <v>10.923330411950532</v>
      </c>
      <c r="R175" s="541">
        <f t="shared" si="364"/>
        <v>10.098793586308323</v>
      </c>
      <c r="S175" s="541">
        <f t="shared" si="364"/>
        <v>10.231171500557293</v>
      </c>
      <c r="T175" s="541">
        <f t="shared" si="364"/>
        <v>10.177695666295135</v>
      </c>
      <c r="U175" s="541">
        <f t="shared" ref="U175:Z175" si="365">(U119-U148)*CtoCO2</f>
        <v>9.9158322414113744</v>
      </c>
      <c r="V175" s="541">
        <f t="shared" si="365"/>
        <v>10.239848711399834</v>
      </c>
      <c r="W175" s="541">
        <f t="shared" si="365"/>
        <v>9.5065907626051107</v>
      </c>
      <c r="X175" s="541">
        <f t="shared" si="365"/>
        <v>8.5470526799010713</v>
      </c>
      <c r="Y175" s="541">
        <f t="shared" si="365"/>
        <v>10.410836850638086</v>
      </c>
      <c r="Z175" s="541">
        <f t="shared" si="365"/>
        <v>9.9802723033272844</v>
      </c>
      <c r="AA175" s="541">
        <f t="shared" ref="AA175:AE175" si="366">(AA119-AA148)*CtoCO2</f>
        <v>9.1082462462522642</v>
      </c>
      <c r="AB175" s="541">
        <f t="shared" si="366"/>
        <v>9.643206384474853</v>
      </c>
      <c r="AC175" s="541">
        <f t="shared" si="366"/>
        <v>10.046797586453419</v>
      </c>
      <c r="AD175" s="541">
        <f t="shared" si="366"/>
        <v>10.951514530888703</v>
      </c>
      <c r="AE175" s="541">
        <f t="shared" si="366"/>
        <v>10.382450936098925</v>
      </c>
      <c r="AF175" s="541">
        <f t="shared" ref="AF175:AH175" si="367">(AF119-AF148)*CtoCO2</f>
        <v>9.5505149384204433</v>
      </c>
      <c r="AG175" s="541">
        <f t="shared" si="367"/>
        <v>9.2143907323726282</v>
      </c>
      <c r="AH175" s="541">
        <f t="shared" si="367"/>
        <v>8.8338714941071714</v>
      </c>
      <c r="AI175" s="541">
        <f t="shared" ref="AI175:AJ175" si="368">(AI119-AI148)*CtoCO2</f>
        <v>7.7768661361253066</v>
      </c>
      <c r="AJ175" s="541">
        <f t="shared" si="368"/>
        <v>8.0071149168540767</v>
      </c>
      <c r="AK175" s="541">
        <f t="shared" ref="AK175" si="369">(AK119-AK148)*CtoCO2</f>
        <v>8.4341144085474014</v>
      </c>
      <c r="AL175" s="1055">
        <f t="shared" si="308"/>
        <v>5.3327508862716311E-2</v>
      </c>
      <c r="AM175" s="1055">
        <f t="shared" si="309"/>
        <v>8.4513255200449944E-2</v>
      </c>
      <c r="AN175" s="1056">
        <f t="shared" si="310"/>
        <v>0.65724827242209471</v>
      </c>
      <c r="AO175" s="1056">
        <f t="shared" si="311"/>
        <v>0.42699949169332463</v>
      </c>
      <c r="AP175" s="552" t="s">
        <v>1610</v>
      </c>
    </row>
    <row r="176" spans="3:46">
      <c r="C176" s="456">
        <f t="shared" si="293"/>
        <v>21</v>
      </c>
      <c r="D176" s="5" t="s">
        <v>1476</v>
      </c>
      <c r="E176" s="540">
        <f t="shared" ref="E176:T176" si="370">SUM(E177:E178)</f>
        <v>3.3548470430008166</v>
      </c>
      <c r="F176" s="540">
        <f t="shared" si="370"/>
        <v>4.2506398475696647</v>
      </c>
      <c r="G176" s="540">
        <f t="shared" si="370"/>
        <v>2.3504529425133871</v>
      </c>
      <c r="H176" s="540">
        <f t="shared" si="370"/>
        <v>2.564758168410584</v>
      </c>
      <c r="I176" s="540">
        <f t="shared" si="370"/>
        <v>2.0077955833003638</v>
      </c>
      <c r="J176" s="540">
        <f t="shared" si="370"/>
        <v>3.6616385077429556</v>
      </c>
      <c r="K176" s="540">
        <f t="shared" si="370"/>
        <v>4.8027989908123798</v>
      </c>
      <c r="L176" s="540">
        <f t="shared" si="370"/>
        <v>5.1118096075107005</v>
      </c>
      <c r="M176" s="540">
        <f t="shared" si="370"/>
        <v>5.0573593072302625</v>
      </c>
      <c r="N176" s="540">
        <f t="shared" si="370"/>
        <v>8.9278636363727841</v>
      </c>
      <c r="O176" s="540">
        <f t="shared" si="370"/>
        <v>9.2983357859485896</v>
      </c>
      <c r="P176" s="540">
        <f t="shared" si="370"/>
        <v>5.64706452714693</v>
      </c>
      <c r="Q176" s="540">
        <f t="shared" si="370"/>
        <v>9.2591227892368035</v>
      </c>
      <c r="R176" s="540">
        <f t="shared" si="370"/>
        <v>7.9672673364502948</v>
      </c>
      <c r="S176" s="540">
        <f t="shared" si="370"/>
        <v>7.4903866402009127</v>
      </c>
      <c r="T176" s="540">
        <f t="shared" si="370"/>
        <v>7.5911567033889051</v>
      </c>
      <c r="U176" s="540">
        <f t="shared" ref="U176:Z176" si="371">SUM(U177:U178)</f>
        <v>6.5127349477537626</v>
      </c>
      <c r="V176" s="540">
        <f t="shared" si="371"/>
        <v>7.3322339278656106</v>
      </c>
      <c r="W176" s="540">
        <f t="shared" si="371"/>
        <v>5.1525462474638886</v>
      </c>
      <c r="X176" s="540">
        <f t="shared" si="371"/>
        <v>2.6642344558136202</v>
      </c>
      <c r="Y176" s="540">
        <f t="shared" si="371"/>
        <v>1.8108634504127736</v>
      </c>
      <c r="Z176" s="540">
        <f t="shared" si="371"/>
        <v>0.96491867416989852</v>
      </c>
      <c r="AA176" s="540">
        <f t="shared" ref="AA176:AE176" si="372">SUM(AA177:AA178)</f>
        <v>1.1642501635348419</v>
      </c>
      <c r="AB176" s="540">
        <f t="shared" si="372"/>
        <v>0.69663405488456376</v>
      </c>
      <c r="AC176" s="540">
        <f t="shared" si="372"/>
        <v>0.70444519418935037</v>
      </c>
      <c r="AD176" s="540">
        <f t="shared" si="372"/>
        <v>0.68433442912085773</v>
      </c>
      <c r="AE176" s="540">
        <f t="shared" si="372"/>
        <v>0.69512829208615257</v>
      </c>
      <c r="AF176" s="540">
        <f t="shared" ref="AF176:AH176" si="373">SUM(AF177:AF178)</f>
        <v>0.23172729642228673</v>
      </c>
      <c r="AG176" s="540">
        <f t="shared" si="373"/>
        <v>0.23724339198385783</v>
      </c>
      <c r="AH176" s="540">
        <f t="shared" si="373"/>
        <v>0.24172689021955107</v>
      </c>
      <c r="AI176" s="540">
        <f t="shared" ref="AI176:AJ176" si="374">SUM(AI177:AI178)</f>
        <v>7.0273152103199982E-2</v>
      </c>
      <c r="AJ176" s="540">
        <f t="shared" si="374"/>
        <v>7.0310902882199974E-2</v>
      </c>
      <c r="AK176" s="540">
        <f t="shared" ref="AK176" si="375">SUM(AK177:AK178)</f>
        <v>7.0310902882199974E-2</v>
      </c>
      <c r="AL176" s="1055">
        <f t="shared" si="308"/>
        <v>0</v>
      </c>
      <c r="AM176" s="1055">
        <f t="shared" si="309"/>
        <v>5.3720059325867986E-4</v>
      </c>
      <c r="AN176" s="1056">
        <f t="shared" si="310"/>
        <v>3.7750778999992574E-5</v>
      </c>
      <c r="AO176" s="1056">
        <f t="shared" si="311"/>
        <v>0</v>
      </c>
      <c r="AP176" s="552"/>
    </row>
    <row r="177" spans="2:42">
      <c r="C177" s="456">
        <f t="shared" si="293"/>
        <v>22</v>
      </c>
      <c r="D177" s="6" t="s">
        <v>1610</v>
      </c>
      <c r="E177" s="541">
        <f t="shared" ref="E177:T177" si="376">(E121-E150)*CtoCO2</f>
        <v>4.7682766867199987E-2</v>
      </c>
      <c r="F177" s="541">
        <f t="shared" si="376"/>
        <v>4.0083325897739996E-2</v>
      </c>
      <c r="G177" s="541">
        <f t="shared" si="376"/>
        <v>9.8941741249439955E-2</v>
      </c>
      <c r="H177" s="541">
        <f t="shared" si="376"/>
        <v>0.11611855987904142</v>
      </c>
      <c r="I177" s="541">
        <f t="shared" si="376"/>
        <v>0.12695536678392</v>
      </c>
      <c r="J177" s="541">
        <f t="shared" si="376"/>
        <v>0.13515084233922001</v>
      </c>
      <c r="K177" s="541">
        <f t="shared" si="376"/>
        <v>9.8831816838116995E-2</v>
      </c>
      <c r="L177" s="541">
        <f t="shared" si="376"/>
        <v>0.16614464080289998</v>
      </c>
      <c r="M177" s="541">
        <f t="shared" si="376"/>
        <v>8.5232945775119986E-2</v>
      </c>
      <c r="N177" s="541">
        <f t="shared" si="376"/>
        <v>9.2683378098120009E-2</v>
      </c>
      <c r="O177" s="541">
        <f t="shared" si="376"/>
        <v>0.20879856941579983</v>
      </c>
      <c r="P177" s="541">
        <f t="shared" si="376"/>
        <v>0.16914685884691866</v>
      </c>
      <c r="Q177" s="541">
        <f t="shared" si="376"/>
        <v>0.20348090044850461</v>
      </c>
      <c r="R177" s="541">
        <f t="shared" si="376"/>
        <v>0.32666818556988847</v>
      </c>
      <c r="S177" s="541">
        <f t="shared" si="376"/>
        <v>0.34117280255049182</v>
      </c>
      <c r="T177" s="541">
        <f t="shared" si="376"/>
        <v>0.3082233645953425</v>
      </c>
      <c r="U177" s="541">
        <f t="shared" ref="U177:W178" si="377">(U121-U150)*CtoCO2</f>
        <v>0.41638731221062181</v>
      </c>
      <c r="V177" s="541">
        <f t="shared" si="377"/>
        <v>0.39934435217012787</v>
      </c>
      <c r="W177" s="541">
        <f t="shared" si="377"/>
        <v>0.17868017402208344</v>
      </c>
      <c r="X177" s="541">
        <f t="shared" ref="X177:Z178" si="378">(X121-X150)*CtoCO2</f>
        <v>7.0034063836199978E-2</v>
      </c>
      <c r="Y177" s="541">
        <f t="shared" si="378"/>
        <v>7.0034063836199978E-2</v>
      </c>
      <c r="Z177" s="541">
        <f t="shared" si="378"/>
        <v>7.0034063836199978E-2</v>
      </c>
      <c r="AA177" s="541">
        <f t="shared" ref="AA177:AC178" si="379">(AA121-AA150)*CtoCO2</f>
        <v>7.0034063836199978E-2</v>
      </c>
      <c r="AB177" s="541">
        <f t="shared" si="379"/>
        <v>7.0034063836199978E-2</v>
      </c>
      <c r="AC177" s="541">
        <f t="shared" si="379"/>
        <v>7.0034063836199978E-2</v>
      </c>
      <c r="AD177" s="541">
        <f t="shared" ref="AD177:AE178" si="380">(AD121-AD150)*CtoCO2</f>
        <v>7.0034063836199978E-2</v>
      </c>
      <c r="AE177" s="541">
        <f t="shared" si="380"/>
        <v>7.0034063836199978E-2</v>
      </c>
      <c r="AF177" s="541">
        <f t="shared" ref="AF177:AH177" si="381">(AF121-AF150)*CtoCO2</f>
        <v>7.0034063836199978E-2</v>
      </c>
      <c r="AG177" s="541">
        <f t="shared" si="381"/>
        <v>7.0034063836199978E-2</v>
      </c>
      <c r="AH177" s="541">
        <f t="shared" si="381"/>
        <v>7.0034063836199978E-2</v>
      </c>
      <c r="AI177" s="541">
        <f t="shared" ref="AI177:AJ177" si="382">(AI121-AI150)*CtoCO2</f>
        <v>7.0034063836199978E-2</v>
      </c>
      <c r="AJ177" s="541">
        <f t="shared" si="382"/>
        <v>7.0034063836199978E-2</v>
      </c>
      <c r="AK177" s="541">
        <f t="shared" ref="AK177" si="383">(AK121-AK150)*CtoCO2</f>
        <v>7.0034063836199978E-2</v>
      </c>
      <c r="AL177" s="1055">
        <f t="shared" si="308"/>
        <v>0</v>
      </c>
      <c r="AM177" s="1055">
        <f t="shared" si="309"/>
        <v>0</v>
      </c>
      <c r="AN177" s="1056">
        <f t="shared" si="310"/>
        <v>0</v>
      </c>
      <c r="AO177" s="1056">
        <f t="shared" si="311"/>
        <v>0</v>
      </c>
      <c r="AP177" s="552" t="s">
        <v>1610</v>
      </c>
    </row>
    <row r="178" spans="2:42">
      <c r="C178" s="456">
        <f t="shared" si="293"/>
        <v>23</v>
      </c>
      <c r="D178" s="6" t="s">
        <v>1785</v>
      </c>
      <c r="E178" s="541">
        <f t="shared" ref="E178:T178" si="384">(E122-E151)*CtoCO2</f>
        <v>3.3071642761336166</v>
      </c>
      <c r="F178" s="541">
        <f t="shared" si="384"/>
        <v>4.2105565216719247</v>
      </c>
      <c r="G178" s="541">
        <f t="shared" si="384"/>
        <v>2.2515112012639471</v>
      </c>
      <c r="H178" s="541">
        <f t="shared" si="384"/>
        <v>2.4486396085315425</v>
      </c>
      <c r="I178" s="541">
        <f t="shared" si="384"/>
        <v>1.880840216516444</v>
      </c>
      <c r="J178" s="541">
        <f t="shared" si="384"/>
        <v>3.5264876654037356</v>
      </c>
      <c r="K178" s="541">
        <f t="shared" si="384"/>
        <v>4.703967173974263</v>
      </c>
      <c r="L178" s="541">
        <f t="shared" si="384"/>
        <v>4.9456649667078008</v>
      </c>
      <c r="M178" s="541">
        <f t="shared" si="384"/>
        <v>4.9721263614551425</v>
      </c>
      <c r="N178" s="541">
        <f t="shared" si="384"/>
        <v>8.8351802582746632</v>
      </c>
      <c r="O178" s="541">
        <f t="shared" si="384"/>
        <v>9.0895372165327899</v>
      </c>
      <c r="P178" s="541">
        <f t="shared" si="384"/>
        <v>5.4779176683000115</v>
      </c>
      <c r="Q178" s="541">
        <f t="shared" si="384"/>
        <v>9.0556418887882995</v>
      </c>
      <c r="R178" s="541">
        <f t="shared" si="384"/>
        <v>7.6405991508804068</v>
      </c>
      <c r="S178" s="541">
        <f t="shared" si="384"/>
        <v>7.1492138376504206</v>
      </c>
      <c r="T178" s="541">
        <f t="shared" si="384"/>
        <v>7.2829333387935629</v>
      </c>
      <c r="U178" s="541">
        <f t="shared" si="377"/>
        <v>6.0963476355431405</v>
      </c>
      <c r="V178" s="541">
        <f t="shared" si="377"/>
        <v>6.9328895756954827</v>
      </c>
      <c r="W178" s="541">
        <f t="shared" si="377"/>
        <v>4.9738660734418048</v>
      </c>
      <c r="X178" s="541">
        <f t="shared" si="378"/>
        <v>2.5942003919774201</v>
      </c>
      <c r="Y178" s="541">
        <f t="shared" si="378"/>
        <v>1.7408293865765736</v>
      </c>
      <c r="Z178" s="541">
        <f t="shared" si="378"/>
        <v>0.89488461033369859</v>
      </c>
      <c r="AA178" s="541">
        <f t="shared" si="379"/>
        <v>1.0942160996986419</v>
      </c>
      <c r="AB178" s="541">
        <f t="shared" si="379"/>
        <v>0.62659999104836384</v>
      </c>
      <c r="AC178" s="541">
        <f t="shared" si="379"/>
        <v>0.63441113035315033</v>
      </c>
      <c r="AD178" s="541">
        <f t="shared" si="380"/>
        <v>0.6143003652846577</v>
      </c>
      <c r="AE178" s="541">
        <f t="shared" si="380"/>
        <v>0.62509422824995253</v>
      </c>
      <c r="AF178" s="541">
        <f t="shared" ref="AF178:AH178" si="385">(AF122-AF151)*CtoCO2</f>
        <v>0.16169323258608675</v>
      </c>
      <c r="AG178" s="541">
        <f t="shared" si="385"/>
        <v>0.16720932814765785</v>
      </c>
      <c r="AH178" s="541">
        <f t="shared" si="385"/>
        <v>0.17169282638335109</v>
      </c>
      <c r="AI178" s="541">
        <f t="shared" ref="AI178:AJ178" si="386">(AI122-AI151)*CtoCO2</f>
        <v>2.39088267E-4</v>
      </c>
      <c r="AJ178" s="541">
        <f t="shared" si="386"/>
        <v>2.76839046E-4</v>
      </c>
      <c r="AK178" s="541">
        <f t="shared" ref="AK178" si="387">(AK122-AK151)*CtoCO2</f>
        <v>2.76839046E-4</v>
      </c>
      <c r="AL178" s="1055">
        <f t="shared" si="308"/>
        <v>0</v>
      </c>
      <c r="AM178" s="1055">
        <f t="shared" si="309"/>
        <v>0.15789473684210531</v>
      </c>
      <c r="AN178" s="1056">
        <f t="shared" si="310"/>
        <v>3.7750779E-5</v>
      </c>
      <c r="AO178" s="1056">
        <f t="shared" si="311"/>
        <v>0</v>
      </c>
      <c r="AP178" s="552" t="s">
        <v>1392</v>
      </c>
    </row>
    <row r="179" spans="2:42">
      <c r="C179" s="456">
        <f t="shared" si="293"/>
        <v>24</v>
      </c>
      <c r="D179" s="4" t="s">
        <v>1480</v>
      </c>
      <c r="E179" s="543">
        <f t="shared" ref="E179:V179" si="388">E157+E174+E176</f>
        <v>103.49628773535125</v>
      </c>
      <c r="F179" s="543">
        <f t="shared" si="388"/>
        <v>107.22914795655068</v>
      </c>
      <c r="G179" s="543">
        <f t="shared" si="388"/>
        <v>112.69643505849137</v>
      </c>
      <c r="H179" s="543">
        <f t="shared" si="388"/>
        <v>101.15668376602704</v>
      </c>
      <c r="I179" s="543">
        <f t="shared" si="388"/>
        <v>111.63569709916136</v>
      </c>
      <c r="J179" s="543">
        <f t="shared" si="388"/>
        <v>109.02682603570777</v>
      </c>
      <c r="K179" s="543">
        <f t="shared" si="388"/>
        <v>105.49198684164149</v>
      </c>
      <c r="L179" s="543">
        <f t="shared" si="388"/>
        <v>117.30652286131141</v>
      </c>
      <c r="M179" s="543">
        <f t="shared" si="388"/>
        <v>123.52003839921375</v>
      </c>
      <c r="N179" s="543">
        <f t="shared" si="388"/>
        <v>144.4315543106506</v>
      </c>
      <c r="O179" s="543">
        <f t="shared" si="388"/>
        <v>123.01480046419761</v>
      </c>
      <c r="P179" s="543">
        <f t="shared" si="388"/>
        <v>118.71374272305586</v>
      </c>
      <c r="Q179" s="543">
        <f t="shared" si="388"/>
        <v>121.38853836891811</v>
      </c>
      <c r="R179" s="543">
        <f t="shared" si="388"/>
        <v>115.40114041550169</v>
      </c>
      <c r="S179" s="543">
        <f t="shared" si="388"/>
        <v>133.20362025104797</v>
      </c>
      <c r="T179" s="543">
        <f t="shared" si="388"/>
        <v>125.9484052232914</v>
      </c>
      <c r="U179" s="543">
        <f>U157+U174+U176</f>
        <v>124.64877484727198</v>
      </c>
      <c r="V179" s="543">
        <f t="shared" si="388"/>
        <v>113.20541729052964</v>
      </c>
      <c r="W179" s="543">
        <f t="shared" ref="W179:AB179" si="389">W157+W174+W176</f>
        <v>109.28442698227997</v>
      </c>
      <c r="X179" s="543">
        <f t="shared" si="389"/>
        <v>92.024337256921257</v>
      </c>
      <c r="Y179" s="543">
        <f t="shared" si="389"/>
        <v>91.724135995526836</v>
      </c>
      <c r="Z179" s="543">
        <f t="shared" si="389"/>
        <v>89.052134722045096</v>
      </c>
      <c r="AA179" s="543">
        <f t="shared" si="389"/>
        <v>89.214658586183219</v>
      </c>
      <c r="AB179" s="543">
        <f t="shared" si="389"/>
        <v>98.925198292553276</v>
      </c>
      <c r="AC179" s="543">
        <f>AC157+AC174+AC176</f>
        <v>94.62639350402695</v>
      </c>
      <c r="AD179" s="543">
        <f>AD157+AD174+AD176</f>
        <v>103.0435073274398</v>
      </c>
      <c r="AE179" s="543">
        <f>AE157+AE174+AE176</f>
        <v>96.178726519538202</v>
      </c>
      <c r="AF179" s="543">
        <f t="shared" ref="AF179:AH179" si="390">AF157+AF174+AF176</f>
        <v>106.95678848899396</v>
      </c>
      <c r="AG179" s="543">
        <f t="shared" si="390"/>
        <v>121.72305371312619</v>
      </c>
      <c r="AH179" s="543">
        <f t="shared" si="390"/>
        <v>115.9740290337345</v>
      </c>
      <c r="AI179" s="543">
        <f t="shared" ref="AI179" si="391">AI157+AI174+AI176</f>
        <v>107.92167871727729</v>
      </c>
      <c r="AJ179" s="543">
        <f>AJ157+AJ174+AJ176</f>
        <v>120.85587625243753</v>
      </c>
      <c r="AK179" s="543">
        <f>AK157+AK174+AK176</f>
        <v>116.02731355973719</v>
      </c>
      <c r="AL179" s="1055">
        <f t="shared" si="308"/>
        <v>-3.9953065108846442E-2</v>
      </c>
      <c r="AM179" s="1055">
        <f t="shared" si="309"/>
        <v>7.510664158305258E-2</v>
      </c>
      <c r="AN179" s="1056">
        <f t="shared" si="310"/>
        <v>8.1056348424599065</v>
      </c>
      <c r="AO179" s="1056">
        <f t="shared" si="311"/>
        <v>-4.8285626927003307</v>
      </c>
      <c r="AP179" s="544"/>
    </row>
    <row r="180" spans="2:42">
      <c r="E180" s="88"/>
      <c r="F180" s="88"/>
      <c r="G180" s="88"/>
      <c r="H180" s="88"/>
      <c r="I180" s="88"/>
      <c r="J180" s="3"/>
      <c r="K180" s="88"/>
      <c r="L180" s="88"/>
      <c r="M180" s="88"/>
      <c r="N180" s="88"/>
      <c r="O180" s="88"/>
      <c r="W180" s="1"/>
      <c r="X180" s="88"/>
      <c r="Y180" s="1"/>
      <c r="Z180" s="1"/>
      <c r="AP180" s="5"/>
    </row>
    <row r="181" spans="2:42">
      <c r="W181" s="1"/>
      <c r="X181" s="47"/>
      <c r="Y181" s="1"/>
      <c r="Z181" s="1"/>
    </row>
    <row r="182" spans="2:42">
      <c r="D182" s="1" t="s">
        <v>1927</v>
      </c>
      <c r="O182" s="77"/>
      <c r="P182" s="77"/>
      <c r="Q182" s="77"/>
      <c r="W182" s="77"/>
      <c r="X182" s="77"/>
      <c r="Y182" s="77"/>
      <c r="Z182" s="77"/>
      <c r="AA182" s="77"/>
      <c r="AB182" s="77"/>
      <c r="AC182" s="77"/>
      <c r="AD182" s="77"/>
      <c r="AE182" s="77"/>
      <c r="AF182" s="77"/>
      <c r="AG182" s="77"/>
      <c r="AH182" s="77"/>
      <c r="AI182" s="77"/>
      <c r="AJ182" s="77"/>
      <c r="AK182" s="77"/>
    </row>
    <row r="183" spans="2:42">
      <c r="B183" s="76"/>
      <c r="C183" s="456"/>
      <c r="D183" s="4" t="s">
        <v>1503</v>
      </c>
      <c r="E183" s="460">
        <v>1990</v>
      </c>
      <c r="F183" s="460">
        <v>1991</v>
      </c>
      <c r="G183" s="460">
        <v>1992</v>
      </c>
      <c r="H183" s="460">
        <v>1993</v>
      </c>
      <c r="I183" s="460">
        <v>1994</v>
      </c>
      <c r="J183" s="460">
        <v>1995</v>
      </c>
      <c r="K183" s="460">
        <v>1996</v>
      </c>
      <c r="L183" s="460">
        <v>1997</v>
      </c>
      <c r="M183" s="460">
        <v>1998</v>
      </c>
      <c r="N183" s="460">
        <v>1999</v>
      </c>
      <c r="O183" s="460">
        <v>2000</v>
      </c>
      <c r="P183" s="460">
        <v>2001</v>
      </c>
      <c r="Q183" s="460">
        <v>2002</v>
      </c>
      <c r="R183" s="460">
        <v>2003</v>
      </c>
      <c r="S183" s="460">
        <v>2004</v>
      </c>
      <c r="T183" s="460">
        <v>2005</v>
      </c>
      <c r="U183" s="460">
        <v>2006</v>
      </c>
      <c r="V183" s="460">
        <v>2007</v>
      </c>
      <c r="W183" s="460">
        <v>2008</v>
      </c>
      <c r="X183" s="460">
        <v>2009</v>
      </c>
      <c r="Y183" s="460">
        <v>2010</v>
      </c>
      <c r="Z183" s="460">
        <v>2011</v>
      </c>
      <c r="AA183" s="460">
        <v>2012</v>
      </c>
      <c r="AB183" s="460">
        <v>2013</v>
      </c>
      <c r="AC183" s="460">
        <v>2014</v>
      </c>
      <c r="AD183" s="460">
        <v>2015</v>
      </c>
      <c r="AE183" s="460">
        <v>2016</v>
      </c>
      <c r="AF183" s="460">
        <v>2017</v>
      </c>
      <c r="AG183" s="460">
        <v>2018</v>
      </c>
      <c r="AH183" s="460">
        <v>2019</v>
      </c>
      <c r="AI183" s="460">
        <v>2020</v>
      </c>
      <c r="AJ183" s="460">
        <v>2021</v>
      </c>
      <c r="AK183" s="460">
        <v>2022</v>
      </c>
    </row>
    <row r="184" spans="2:42">
      <c r="B184" s="545"/>
      <c r="C184" s="456"/>
      <c r="D184" s="5" t="s">
        <v>1888</v>
      </c>
      <c r="E184" s="546">
        <f t="shared" ref="E184:T184" si="392">SUM(E185:E200)</f>
        <v>191.80653864903755</v>
      </c>
      <c r="F184" s="546">
        <f t="shared" si="392"/>
        <v>186.36004562085267</v>
      </c>
      <c r="G184" s="546">
        <f t="shared" si="392"/>
        <v>195.64609649875453</v>
      </c>
      <c r="H184" s="546">
        <f t="shared" si="392"/>
        <v>200.28592844588911</v>
      </c>
      <c r="I184" s="546">
        <f t="shared" si="392"/>
        <v>210.7745945283464</v>
      </c>
      <c r="J184" s="546">
        <f t="shared" si="392"/>
        <v>211.99543178690735</v>
      </c>
      <c r="K184" s="546">
        <f t="shared" si="392"/>
        <v>219.57856129447461</v>
      </c>
      <c r="L184" s="546">
        <f t="shared" si="392"/>
        <v>223.96165620055623</v>
      </c>
      <c r="M184" s="546">
        <f t="shared" si="392"/>
        <v>231.34823733606052</v>
      </c>
      <c r="N184" s="546">
        <f t="shared" si="392"/>
        <v>245.35223865657338</v>
      </c>
      <c r="O184" s="546">
        <f t="shared" si="392"/>
        <v>232.406560022907</v>
      </c>
      <c r="P184" s="546">
        <f t="shared" si="392"/>
        <v>223.89046885656464</v>
      </c>
      <c r="Q184" s="546">
        <f t="shared" si="392"/>
        <v>227.49832162750749</v>
      </c>
      <c r="R184" s="546">
        <f t="shared" si="392"/>
        <v>219.42835327754324</v>
      </c>
      <c r="S184" s="546">
        <f t="shared" si="392"/>
        <v>237.1964025163555</v>
      </c>
      <c r="T184" s="546">
        <f t="shared" si="392"/>
        <v>232.32156297555443</v>
      </c>
      <c r="U184" s="546">
        <f t="shared" ref="U184:Z184" si="393">SUM(U185:U200)</f>
        <v>233.67521578474634</v>
      </c>
      <c r="V184" s="546">
        <f t="shared" si="393"/>
        <v>232.89361242857538</v>
      </c>
      <c r="W184" s="546">
        <f t="shared" si="393"/>
        <v>209.20748067918913</v>
      </c>
      <c r="X184" s="546">
        <f t="shared" si="393"/>
        <v>198.56504148043001</v>
      </c>
      <c r="Y184" s="546">
        <f t="shared" si="393"/>
        <v>210.37427047906289</v>
      </c>
      <c r="Z184" s="546">
        <f t="shared" si="393"/>
        <v>207.57336681672143</v>
      </c>
      <c r="AA184" s="546">
        <f t="shared" ref="AA184:AE184" si="394">SUM(AA185:AA200)</f>
        <v>199.84458379859308</v>
      </c>
      <c r="AB184" s="546">
        <f t="shared" si="394"/>
        <v>205.26301162858354</v>
      </c>
      <c r="AC184" s="546">
        <f t="shared" si="394"/>
        <v>205.19574867887579</v>
      </c>
      <c r="AD184" s="546">
        <f t="shared" si="394"/>
        <v>213.35685106132701</v>
      </c>
      <c r="AE184" s="546">
        <f t="shared" si="394"/>
        <v>217.09259180939193</v>
      </c>
      <c r="AF184" s="546">
        <f t="shared" ref="AF184:AH184" si="395">SUM(AF185:AF200)</f>
        <v>218.57450635842568</v>
      </c>
      <c r="AG184" s="546">
        <f t="shared" si="395"/>
        <v>222.20851955837605</v>
      </c>
      <c r="AH184" s="546">
        <f t="shared" si="395"/>
        <v>227.29721402226355</v>
      </c>
      <c r="AI184" s="546">
        <f t="shared" ref="AI184:AJ184" si="396">SUM(AI185:AI200)</f>
        <v>230.01722034857136</v>
      </c>
      <c r="AJ184" s="546">
        <f t="shared" si="396"/>
        <v>232.59734080538604</v>
      </c>
      <c r="AK184" s="546">
        <f t="shared" ref="AK184" si="397">SUM(AK185:AK200)</f>
        <v>235.72543452140349</v>
      </c>
    </row>
    <row r="185" spans="2:42">
      <c r="C185" s="456" t="s">
        <v>1928</v>
      </c>
      <c r="D185" s="6" t="s">
        <v>1734</v>
      </c>
      <c r="E185" s="547">
        <f t="shared" ref="E185:T186" si="398">E131*CtoCO2</f>
        <v>0</v>
      </c>
      <c r="F185" s="547">
        <f t="shared" si="398"/>
        <v>0</v>
      </c>
      <c r="G185" s="547">
        <f t="shared" si="398"/>
        <v>0</v>
      </c>
      <c r="H185" s="547">
        <f t="shared" si="398"/>
        <v>9.2661606081539498E-3</v>
      </c>
      <c r="I185" s="547">
        <f t="shared" si="398"/>
        <v>8.3583150733736136E-2</v>
      </c>
      <c r="J185" s="547">
        <f t="shared" si="398"/>
        <v>0.3540121941888773</v>
      </c>
      <c r="K185" s="547">
        <f t="shared" si="398"/>
        <v>0.22565073323014651</v>
      </c>
      <c r="L185" s="547">
        <f t="shared" si="398"/>
        <v>0</v>
      </c>
      <c r="M185" s="547">
        <f t="shared" si="398"/>
        <v>0.1024868202595236</v>
      </c>
      <c r="N185" s="547">
        <f t="shared" si="398"/>
        <v>0.37606249396181701</v>
      </c>
      <c r="O185" s="547">
        <f t="shared" si="398"/>
        <v>0.50315501220218795</v>
      </c>
      <c r="P185" s="547">
        <f t="shared" si="398"/>
        <v>0.23272388140226016</v>
      </c>
      <c r="Q185" s="547">
        <f t="shared" si="398"/>
        <v>0.37898849243035709</v>
      </c>
      <c r="R185" s="547">
        <f t="shared" si="398"/>
        <v>0.48766517485201755</v>
      </c>
      <c r="S185" s="547">
        <f t="shared" si="398"/>
        <v>1.5769190434779348</v>
      </c>
      <c r="T185" s="547">
        <f t="shared" si="398"/>
        <v>0.75512230274060343</v>
      </c>
      <c r="U185" s="547">
        <f t="shared" ref="U185:Y196" si="399">U131*CtoCO2</f>
        <v>0.59015143461933073</v>
      </c>
      <c r="V185" s="547">
        <f t="shared" si="399"/>
        <v>2.1792222552268623E-2</v>
      </c>
      <c r="W185" s="547">
        <f>W131*CtoCO2</f>
        <v>0.27379269025125602</v>
      </c>
      <c r="X185" s="547">
        <f t="shared" si="399"/>
        <v>5.9895347498980678E-2</v>
      </c>
      <c r="Y185" s="547">
        <f t="shared" si="399"/>
        <v>0.60739153734950602</v>
      </c>
      <c r="Z185" s="547">
        <f t="shared" ref="Z185:AA196" si="400">Z131*CtoCO2</f>
        <v>0.57052458951853036</v>
      </c>
      <c r="AA185" s="547">
        <f t="shared" si="400"/>
        <v>1.2422087903741659</v>
      </c>
      <c r="AB185" s="547">
        <f t="shared" ref="AB185:AC196" si="401">AB131*CtoCO2</f>
        <v>1.1246114343216449</v>
      </c>
      <c r="AC185" s="547">
        <f t="shared" si="401"/>
        <v>0.46031844287286261</v>
      </c>
      <c r="AD185" s="547">
        <f t="shared" ref="AD185:AE196" si="402">AD131*CtoCO2</f>
        <v>1.1470836430743263</v>
      </c>
      <c r="AE185" s="547">
        <f t="shared" si="402"/>
        <v>0.8403038405878801</v>
      </c>
      <c r="AF185" s="547">
        <f t="shared" ref="AF185:AH185" si="403">AF131*CtoCO2</f>
        <v>1.0592342138991513</v>
      </c>
      <c r="AG185" s="547">
        <f t="shared" si="403"/>
        <v>1.1700560299796778</v>
      </c>
      <c r="AH185" s="547">
        <f t="shared" si="403"/>
        <v>1.0589215611606737</v>
      </c>
      <c r="AI185" s="547">
        <f t="shared" ref="AI185:AJ185" si="404">AI131*CtoCO2</f>
        <v>0.74979723559971168</v>
      </c>
      <c r="AJ185" s="547">
        <f t="shared" si="404"/>
        <v>0.73096957303162069</v>
      </c>
      <c r="AK185" s="547">
        <f t="shared" ref="AK185" si="405">AK131*CtoCO2</f>
        <v>0.30656559617250301</v>
      </c>
    </row>
    <row r="186" spans="2:42">
      <c r="C186" s="456" t="s">
        <v>1928</v>
      </c>
      <c r="D186" s="6" t="s">
        <v>1701</v>
      </c>
      <c r="E186" s="547">
        <f t="shared" si="398"/>
        <v>0.41896461406760621</v>
      </c>
      <c r="F186" s="547">
        <f t="shared" si="398"/>
        <v>0.42123106271256044</v>
      </c>
      <c r="G186" s="547">
        <f t="shared" si="398"/>
        <v>0.47773215273249625</v>
      </c>
      <c r="H186" s="547">
        <f t="shared" si="398"/>
        <v>0.52785480182810507</v>
      </c>
      <c r="I186" s="547">
        <f t="shared" si="398"/>
        <v>0.57035571797140749</v>
      </c>
      <c r="J186" s="547">
        <f t="shared" si="398"/>
        <v>0.60900668053385987</v>
      </c>
      <c r="K186" s="547">
        <f t="shared" si="398"/>
        <v>0.64009020013637807</v>
      </c>
      <c r="L186" s="547">
        <f t="shared" si="398"/>
        <v>0.58574142780976846</v>
      </c>
      <c r="M186" s="547">
        <f t="shared" si="398"/>
        <v>0.55151388892364017</v>
      </c>
      <c r="N186" s="547">
        <f t="shared" si="398"/>
        <v>0.57452519422700388</v>
      </c>
      <c r="O186" s="547">
        <f t="shared" si="398"/>
        <v>0.67176723258771431</v>
      </c>
      <c r="P186" s="547">
        <f t="shared" si="398"/>
        <v>0.60239534502609804</v>
      </c>
      <c r="Q186" s="547">
        <f t="shared" si="398"/>
        <v>0.65279183053857892</v>
      </c>
      <c r="R186" s="547">
        <f t="shared" si="398"/>
        <v>0.64083279156802697</v>
      </c>
      <c r="S186" s="547">
        <f t="shared" si="398"/>
        <v>0.65102362836953309</v>
      </c>
      <c r="T186" s="547">
        <f t="shared" si="398"/>
        <v>0.63505207163548572</v>
      </c>
      <c r="U186" s="547">
        <f t="shared" si="399"/>
        <v>0.64610360888637164</v>
      </c>
      <c r="V186" s="547">
        <f t="shared" si="399"/>
        <v>0.67537010114738616</v>
      </c>
      <c r="W186" s="547">
        <f t="shared" si="399"/>
        <v>0.66910003034678234</v>
      </c>
      <c r="X186" s="547">
        <f t="shared" si="399"/>
        <v>0.70129803483647857</v>
      </c>
      <c r="Y186" s="547">
        <f t="shared" si="399"/>
        <v>0.62491603568608689</v>
      </c>
      <c r="Z186" s="547">
        <f t="shared" si="400"/>
        <v>0.62449738479500072</v>
      </c>
      <c r="AA186" s="547">
        <f t="shared" si="400"/>
        <v>0.63075665617445942</v>
      </c>
      <c r="AB186" s="547">
        <f t="shared" si="401"/>
        <v>0.6116807804377542</v>
      </c>
      <c r="AC186" s="547">
        <f t="shared" si="401"/>
        <v>0.60888915169268998</v>
      </c>
      <c r="AD186" s="547">
        <f t="shared" si="402"/>
        <v>0.61330850330912101</v>
      </c>
      <c r="AE186" s="547">
        <f t="shared" si="402"/>
        <v>0.62529330057757682</v>
      </c>
      <c r="AF186" s="547">
        <f t="shared" ref="AF186:AH186" si="406">AF132*CtoCO2</f>
        <v>0.59795853339801541</v>
      </c>
      <c r="AG186" s="547">
        <f t="shared" si="406"/>
        <v>0.57360862445777838</v>
      </c>
      <c r="AH186" s="547">
        <f t="shared" si="406"/>
        <v>0.58492849461340135</v>
      </c>
      <c r="AI186" s="547">
        <f t="shared" ref="AI186:AJ186" si="407">AI132*CtoCO2</f>
        <v>0.59825883555135317</v>
      </c>
      <c r="AJ186" s="547">
        <f t="shared" si="407"/>
        <v>0.56641105613479525</v>
      </c>
      <c r="AK186" s="547">
        <f t="shared" ref="AK186" si="408">AK132*CtoCO2</f>
        <v>0.57344010509236776</v>
      </c>
    </row>
    <row r="187" spans="2:42">
      <c r="C187" s="456" t="s">
        <v>1928</v>
      </c>
      <c r="D187" s="6" t="s">
        <v>1889</v>
      </c>
      <c r="E187" s="547">
        <f t="shared" ref="E187:T187" si="409">E133*CtoCO2</f>
        <v>8.676787178954525</v>
      </c>
      <c r="F187" s="547">
        <f t="shared" si="409"/>
        <v>8.2440454689270144</v>
      </c>
      <c r="G187" s="547">
        <f t="shared" si="409"/>
        <v>8.9120150476554052</v>
      </c>
      <c r="H187" s="547">
        <f t="shared" si="409"/>
        <v>9.7617399895842318</v>
      </c>
      <c r="I187" s="547">
        <f t="shared" si="409"/>
        <v>10.378824020151995</v>
      </c>
      <c r="J187" s="547">
        <f t="shared" si="409"/>
        <v>11.32910564341031</v>
      </c>
      <c r="K187" s="547">
        <f t="shared" si="409"/>
        <v>12.335307874233679</v>
      </c>
      <c r="L187" s="547">
        <f t="shared" si="409"/>
        <v>12.019995835424846</v>
      </c>
      <c r="M187" s="547">
        <f t="shared" si="409"/>
        <v>13.024394167909191</v>
      </c>
      <c r="N187" s="547">
        <f t="shared" si="409"/>
        <v>12.408608960723306</v>
      </c>
      <c r="O187" s="547">
        <f t="shared" si="409"/>
        <v>12.610566848703995</v>
      </c>
      <c r="P187" s="547">
        <f t="shared" si="409"/>
        <v>12.505347825948265</v>
      </c>
      <c r="Q187" s="547">
        <f t="shared" si="409"/>
        <v>12.006550576021304</v>
      </c>
      <c r="R187" s="547">
        <f t="shared" si="409"/>
        <v>10.336335595288997</v>
      </c>
      <c r="S187" s="547">
        <f t="shared" si="409"/>
        <v>9.093937871221355</v>
      </c>
      <c r="T187" s="547">
        <f t="shared" si="409"/>
        <v>8.4136141539981892</v>
      </c>
      <c r="U187" s="547">
        <f t="shared" si="399"/>
        <v>7.4959357370470903</v>
      </c>
      <c r="V187" s="547">
        <f t="shared" si="399"/>
        <v>8.2700313264969854</v>
      </c>
      <c r="W187" s="547">
        <f t="shared" si="399"/>
        <v>9.0086737600148368</v>
      </c>
      <c r="X187" s="547">
        <f t="shared" si="399"/>
        <v>9.7996104809364883</v>
      </c>
      <c r="Y187" s="547">
        <f t="shared" si="399"/>
        <v>10.877897549377039</v>
      </c>
      <c r="Z187" s="547">
        <f t="shared" si="400"/>
        <v>10.965703512218161</v>
      </c>
      <c r="AA187" s="547">
        <f t="shared" si="400"/>
        <v>11.085908390918254</v>
      </c>
      <c r="AB187" s="547">
        <f t="shared" si="401"/>
        <v>11.08835796509771</v>
      </c>
      <c r="AC187" s="547">
        <f t="shared" si="401"/>
        <v>11.532164462271599</v>
      </c>
      <c r="AD187" s="547">
        <f t="shared" si="402"/>
        <v>15.020077397521504</v>
      </c>
      <c r="AE187" s="547">
        <f t="shared" si="402"/>
        <v>18.143262695169518</v>
      </c>
      <c r="AF187" s="547">
        <f t="shared" ref="AF187:AH187" si="410">AF133*CtoCO2</f>
        <v>20.544820919130146</v>
      </c>
      <c r="AG187" s="547">
        <f t="shared" si="410"/>
        <v>22.657514295752623</v>
      </c>
      <c r="AH187" s="547">
        <f t="shared" si="410"/>
        <v>22.757739232107422</v>
      </c>
      <c r="AI187" s="547">
        <f t="shared" ref="AI187:AJ187" si="411">AI133*CtoCO2</f>
        <v>23.188226229312718</v>
      </c>
      <c r="AJ187" s="547">
        <f t="shared" si="411"/>
        <v>22.046024062901278</v>
      </c>
      <c r="AK187" s="547">
        <f t="shared" ref="AK187" si="412">AK133*CtoCO2</f>
        <v>22.270098174843422</v>
      </c>
    </row>
    <row r="188" spans="2:42">
      <c r="C188" s="456" t="s">
        <v>1928</v>
      </c>
      <c r="D188" s="6" t="s">
        <v>1608</v>
      </c>
      <c r="E188" s="547">
        <f t="shared" ref="E188:T188" si="413">E134*CtoCO2</f>
        <v>87.800416997714436</v>
      </c>
      <c r="F188" s="547">
        <f t="shared" si="413"/>
        <v>80.773190330684358</v>
      </c>
      <c r="G188" s="547">
        <f t="shared" si="413"/>
        <v>82.700354234917498</v>
      </c>
      <c r="H188" s="547">
        <f t="shared" si="413"/>
        <v>86.211791677709442</v>
      </c>
      <c r="I188" s="547">
        <f t="shared" si="413"/>
        <v>88.004800664256422</v>
      </c>
      <c r="J188" s="547">
        <f t="shared" si="413"/>
        <v>88.399312161568403</v>
      </c>
      <c r="K188" s="547">
        <f t="shared" si="413"/>
        <v>88.231018268743995</v>
      </c>
      <c r="L188" s="547">
        <f t="shared" si="413"/>
        <v>91.805031327503627</v>
      </c>
      <c r="M188" s="547">
        <f t="shared" si="413"/>
        <v>94.730178766492656</v>
      </c>
      <c r="N188" s="547">
        <f t="shared" si="413"/>
        <v>99.371653801718168</v>
      </c>
      <c r="O188" s="547">
        <f t="shared" si="413"/>
        <v>95.715031926195394</v>
      </c>
      <c r="P188" s="547">
        <f t="shared" si="413"/>
        <v>94.303479092621757</v>
      </c>
      <c r="Q188" s="547">
        <f t="shared" si="413"/>
        <v>93.034859770341313</v>
      </c>
      <c r="R188" s="547">
        <f t="shared" si="413"/>
        <v>91.502807609136838</v>
      </c>
      <c r="S188" s="547">
        <f t="shared" si="413"/>
        <v>97.828647156183621</v>
      </c>
      <c r="T188" s="547">
        <f t="shared" si="413"/>
        <v>99.283492712075414</v>
      </c>
      <c r="U188" s="547">
        <f t="shared" si="399"/>
        <v>94.626186196071515</v>
      </c>
      <c r="V188" s="547">
        <f t="shared" si="399"/>
        <v>89.814691561586073</v>
      </c>
      <c r="W188" s="547">
        <f t="shared" si="399"/>
        <v>75.928907273923244</v>
      </c>
      <c r="X188" s="547">
        <f t="shared" si="399"/>
        <v>65.508041386006838</v>
      </c>
      <c r="Y188" s="547">
        <f t="shared" si="399"/>
        <v>65.859560283858997</v>
      </c>
      <c r="Z188" s="547">
        <f t="shared" si="400"/>
        <v>64.488073851876223</v>
      </c>
      <c r="AA188" s="547">
        <f t="shared" si="400"/>
        <v>62.027666659054994</v>
      </c>
      <c r="AB188" s="547">
        <f t="shared" si="401"/>
        <v>58.775085181597063</v>
      </c>
      <c r="AC188" s="547">
        <f t="shared" si="401"/>
        <v>59.472045489419592</v>
      </c>
      <c r="AD188" s="547">
        <f t="shared" si="402"/>
        <v>62.400044095563018</v>
      </c>
      <c r="AE188" s="547">
        <f t="shared" si="402"/>
        <v>64.028660786444263</v>
      </c>
      <c r="AF188" s="547">
        <f t="shared" ref="AF188:AH188" si="414">AF134*CtoCO2</f>
        <v>63.714732276601509</v>
      </c>
      <c r="AG188" s="547">
        <f t="shared" si="414"/>
        <v>59.481574390172462</v>
      </c>
      <c r="AH188" s="547">
        <f t="shared" si="414"/>
        <v>63.317144519991359</v>
      </c>
      <c r="AI188" s="547">
        <f t="shared" ref="AI188:AJ188" si="415">AI134*CtoCO2</f>
        <v>62.44603792360644</v>
      </c>
      <c r="AJ188" s="547">
        <f t="shared" si="415"/>
        <v>67.383959312175307</v>
      </c>
      <c r="AK188" s="547">
        <f t="shared" ref="AK188" si="416">AK134*CtoCO2</f>
        <v>68.738188679802491</v>
      </c>
    </row>
    <row r="189" spans="2:42">
      <c r="C189" s="456" t="s">
        <v>1928</v>
      </c>
      <c r="D189" s="6" t="s">
        <v>1609</v>
      </c>
      <c r="E189" s="547">
        <f t="shared" ref="E189:T189" si="417">E135*CtoCO2</f>
        <v>44.100712415744404</v>
      </c>
      <c r="F189" s="547">
        <f t="shared" si="417"/>
        <v>47.062731067336742</v>
      </c>
      <c r="G189" s="547">
        <f t="shared" si="417"/>
        <v>50.92542062187173</v>
      </c>
      <c r="H189" s="547">
        <f t="shared" si="417"/>
        <v>50.857637818594121</v>
      </c>
      <c r="I189" s="547">
        <f t="shared" si="417"/>
        <v>59.067348933603434</v>
      </c>
      <c r="J189" s="547">
        <f t="shared" si="417"/>
        <v>60.060681384202908</v>
      </c>
      <c r="K189" s="547">
        <f t="shared" si="417"/>
        <v>65.846524730783429</v>
      </c>
      <c r="L189" s="547">
        <f t="shared" si="417"/>
        <v>63.597570913610177</v>
      </c>
      <c r="M189" s="547">
        <f t="shared" si="417"/>
        <v>62.27260312180082</v>
      </c>
      <c r="N189" s="547">
        <f t="shared" si="417"/>
        <v>71.31718310885698</v>
      </c>
      <c r="O189" s="547">
        <f t="shared" si="417"/>
        <v>65.309846594272457</v>
      </c>
      <c r="P189" s="547">
        <f t="shared" si="417"/>
        <v>61.743477767617804</v>
      </c>
      <c r="Q189" s="547">
        <f t="shared" si="417"/>
        <v>65.8594069594091</v>
      </c>
      <c r="R189" s="547">
        <f t="shared" si="417"/>
        <v>60.792908499906723</v>
      </c>
      <c r="S189" s="547">
        <f t="shared" si="417"/>
        <v>62.749145374411697</v>
      </c>
      <c r="T189" s="547">
        <f t="shared" si="417"/>
        <v>61.121431482857915</v>
      </c>
      <c r="U189" s="547">
        <f t="shared" si="399"/>
        <v>65.738470359500369</v>
      </c>
      <c r="V189" s="547">
        <f t="shared" si="399"/>
        <v>66.773863739825273</v>
      </c>
      <c r="W189" s="547">
        <f t="shared" si="399"/>
        <v>62.231402187753901</v>
      </c>
      <c r="X189" s="547">
        <f t="shared" si="399"/>
        <v>69.328624546522519</v>
      </c>
      <c r="Y189" s="547">
        <f t="shared" si="399"/>
        <v>78.360549103309921</v>
      </c>
      <c r="Z189" s="547">
        <f t="shared" si="400"/>
        <v>80.056798187309795</v>
      </c>
      <c r="AA189" s="547">
        <f t="shared" si="400"/>
        <v>81.039445146834694</v>
      </c>
      <c r="AB189" s="547">
        <f t="shared" si="401"/>
        <v>86.567639558597932</v>
      </c>
      <c r="AC189" s="547">
        <f t="shared" si="401"/>
        <v>87.537128857199022</v>
      </c>
      <c r="AD189" s="547">
        <f t="shared" si="402"/>
        <v>90.526002456185779</v>
      </c>
      <c r="AE189" s="547">
        <f t="shared" si="402"/>
        <v>90.812431076457443</v>
      </c>
      <c r="AF189" s="547">
        <f t="shared" ref="AF189:AH189" si="418">AF135*CtoCO2</f>
        <v>89.262241459072939</v>
      </c>
      <c r="AG189" s="547">
        <f t="shared" si="418"/>
        <v>97.589649133220036</v>
      </c>
      <c r="AH189" s="547">
        <f t="shared" si="418"/>
        <v>101.04533004862341</v>
      </c>
      <c r="AI189" s="547">
        <f t="shared" ref="AI189:AJ189" si="419">AI135*CtoCO2</f>
        <v>107.33014778803474</v>
      </c>
      <c r="AJ189" s="547">
        <f t="shared" si="419"/>
        <v>107.71083029051279</v>
      </c>
      <c r="AK189" s="547">
        <f t="shared" ref="AK189" si="420">AK135*CtoCO2</f>
        <v>116.15203648831626</v>
      </c>
    </row>
    <row r="190" spans="2:42">
      <c r="C190" s="456" t="s">
        <v>1928</v>
      </c>
      <c r="D190" s="6" t="s">
        <v>1918</v>
      </c>
      <c r="E190" s="547">
        <f t="shared" ref="E190:T190" si="421">E136*CtoCO2</f>
        <v>1.266965259699917</v>
      </c>
      <c r="F190" s="547">
        <f t="shared" si="421"/>
        <v>1.13343087579225</v>
      </c>
      <c r="G190" s="547">
        <f t="shared" si="421"/>
        <v>1.1555755544270401</v>
      </c>
      <c r="H190" s="547">
        <f t="shared" si="421"/>
        <v>1.1766799702951356</v>
      </c>
      <c r="I190" s="547">
        <f t="shared" si="421"/>
        <v>1.2298625543544925</v>
      </c>
      <c r="J190" s="547">
        <f t="shared" si="421"/>
        <v>1.2087445402802965</v>
      </c>
      <c r="K190" s="547">
        <f t="shared" si="421"/>
        <v>1.1730764456784826</v>
      </c>
      <c r="L190" s="547">
        <f t="shared" si="421"/>
        <v>1.2392181201516896</v>
      </c>
      <c r="M190" s="547">
        <f t="shared" si="421"/>
        <v>1.2972824602011539</v>
      </c>
      <c r="N190" s="547">
        <f t="shared" si="421"/>
        <v>1.3108602689925799</v>
      </c>
      <c r="O190" s="547">
        <f t="shared" si="421"/>
        <v>1.2911972629711457</v>
      </c>
      <c r="P190" s="547">
        <f t="shared" si="421"/>
        <v>1.183023533441055</v>
      </c>
      <c r="Q190" s="547">
        <f t="shared" si="421"/>
        <v>1.1690037829513598</v>
      </c>
      <c r="R190" s="547">
        <f t="shared" si="421"/>
        <v>1.080765023564715</v>
      </c>
      <c r="S190" s="547">
        <f t="shared" si="421"/>
        <v>1.0949275552184663</v>
      </c>
      <c r="T190" s="547">
        <f t="shared" si="421"/>
        <v>1.0892095095531737</v>
      </c>
      <c r="U190" s="547">
        <f t="shared" si="399"/>
        <v>1.0611904058829347</v>
      </c>
      <c r="V190" s="547">
        <f t="shared" si="399"/>
        <v>1.0958590323363557</v>
      </c>
      <c r="W190" s="547">
        <f t="shared" si="399"/>
        <v>1.0173837849299254</v>
      </c>
      <c r="X190" s="547">
        <f t="shared" si="399"/>
        <v>0.91470373066446786</v>
      </c>
      <c r="Y190" s="547">
        <f t="shared" si="399"/>
        <v>0.92385532337015641</v>
      </c>
      <c r="Z190" s="547">
        <f t="shared" si="400"/>
        <v>0.86617853219455865</v>
      </c>
      <c r="AA190" s="547">
        <f t="shared" si="400"/>
        <v>0.80442227918878784</v>
      </c>
      <c r="AB190" s="547">
        <f t="shared" si="401"/>
        <v>0.85050659966364373</v>
      </c>
      <c r="AC190" s="547">
        <f t="shared" si="401"/>
        <v>0.88839120185985143</v>
      </c>
      <c r="AD190" s="547">
        <f t="shared" si="402"/>
        <v>0.9663905120527615</v>
      </c>
      <c r="AE190" s="547">
        <f t="shared" si="402"/>
        <v>0.91888517904039546</v>
      </c>
      <c r="AF190" s="547">
        <f t="shared" ref="AF190:AH190" si="422">AF136*CtoCO2</f>
        <v>0.84917397546578699</v>
      </c>
      <c r="AG190" s="547">
        <f t="shared" si="422"/>
        <v>0.82940218379554786</v>
      </c>
      <c r="AH190" s="547">
        <f t="shared" si="422"/>
        <v>0.80442227918878784</v>
      </c>
      <c r="AI190" s="547">
        <f t="shared" ref="AI190:AJ190" si="423">AI136*CtoCO2</f>
        <v>0.75531235785655371</v>
      </c>
      <c r="AJ190" s="547">
        <f t="shared" si="423"/>
        <v>0.77165060248639694</v>
      </c>
      <c r="AK190" s="547">
        <f t="shared" ref="AK190" si="424">AK136*CtoCO2</f>
        <v>0.81279197504369305</v>
      </c>
    </row>
    <row r="191" spans="2:42">
      <c r="C191" s="456" t="s">
        <v>1928</v>
      </c>
      <c r="D191" s="6" t="s">
        <v>1617</v>
      </c>
      <c r="E191" s="547">
        <f>E137*CtoCO2</f>
        <v>0</v>
      </c>
      <c r="F191" s="547">
        <f t="shared" ref="F191:T191" si="425">F137*CtoCO2</f>
        <v>0</v>
      </c>
      <c r="G191" s="547">
        <f t="shared" si="425"/>
        <v>0</v>
      </c>
      <c r="H191" s="547">
        <f t="shared" si="425"/>
        <v>0</v>
      </c>
      <c r="I191" s="547">
        <f t="shared" si="425"/>
        <v>0</v>
      </c>
      <c r="J191" s="547">
        <f t="shared" si="425"/>
        <v>0</v>
      </c>
      <c r="K191" s="547">
        <f t="shared" si="425"/>
        <v>0</v>
      </c>
      <c r="L191" s="547">
        <f t="shared" si="425"/>
        <v>0</v>
      </c>
      <c r="M191" s="547">
        <f t="shared" si="425"/>
        <v>0</v>
      </c>
      <c r="N191" s="547">
        <f t="shared" si="425"/>
        <v>0</v>
      </c>
      <c r="O191" s="547">
        <f t="shared" si="425"/>
        <v>0</v>
      </c>
      <c r="P191" s="547">
        <f t="shared" si="425"/>
        <v>0</v>
      </c>
      <c r="Q191" s="547">
        <f t="shared" si="425"/>
        <v>0</v>
      </c>
      <c r="R191" s="547">
        <f t="shared" si="425"/>
        <v>0</v>
      </c>
      <c r="S191" s="547">
        <f t="shared" si="425"/>
        <v>0</v>
      </c>
      <c r="T191" s="547">
        <f t="shared" si="425"/>
        <v>0</v>
      </c>
      <c r="U191" s="547">
        <f t="shared" si="399"/>
        <v>0</v>
      </c>
      <c r="V191" s="547">
        <f t="shared" si="399"/>
        <v>0</v>
      </c>
      <c r="W191" s="547">
        <f t="shared" si="399"/>
        <v>0</v>
      </c>
      <c r="X191" s="547">
        <f t="shared" si="399"/>
        <v>0</v>
      </c>
      <c r="Y191" s="547">
        <f t="shared" si="399"/>
        <v>0</v>
      </c>
      <c r="Z191" s="547">
        <f t="shared" si="400"/>
        <v>0</v>
      </c>
      <c r="AA191" s="547">
        <f t="shared" si="400"/>
        <v>0</v>
      </c>
      <c r="AB191" s="547">
        <f t="shared" si="401"/>
        <v>0</v>
      </c>
      <c r="AC191" s="547">
        <f t="shared" si="401"/>
        <v>0</v>
      </c>
      <c r="AD191" s="547">
        <f t="shared" si="402"/>
        <v>0</v>
      </c>
      <c r="AE191" s="547">
        <f t="shared" si="402"/>
        <v>0</v>
      </c>
      <c r="AF191" s="547">
        <f t="shared" ref="AF191:AH191" si="426">AF137*CtoCO2</f>
        <v>0</v>
      </c>
      <c r="AG191" s="547">
        <f t="shared" si="426"/>
        <v>0</v>
      </c>
      <c r="AH191" s="547">
        <f t="shared" si="426"/>
        <v>0</v>
      </c>
      <c r="AI191" s="547">
        <f t="shared" ref="AI191:AJ191" si="427">AI137*CtoCO2</f>
        <v>0</v>
      </c>
      <c r="AJ191" s="547">
        <f t="shared" si="427"/>
        <v>0</v>
      </c>
      <c r="AK191" s="547">
        <f t="shared" ref="AK191" si="428">AK137*CtoCO2</f>
        <v>0</v>
      </c>
    </row>
    <row r="192" spans="2:42">
      <c r="C192" s="456"/>
      <c r="D192" s="6" t="s">
        <v>1615</v>
      </c>
      <c r="E192" s="547">
        <f t="shared" ref="E192:T192" si="429">E138*CtoCO2</f>
        <v>12.903553440207402</v>
      </c>
      <c r="F192" s="547">
        <f t="shared" si="429"/>
        <v>10.727916067372977</v>
      </c>
      <c r="G192" s="547">
        <f t="shared" si="429"/>
        <v>13.775475469103698</v>
      </c>
      <c r="H192" s="547">
        <f t="shared" si="429"/>
        <v>13.364751165162243</v>
      </c>
      <c r="I192" s="547">
        <f t="shared" si="429"/>
        <v>15.240181005909516</v>
      </c>
      <c r="J192" s="547">
        <f t="shared" si="429"/>
        <v>14.825059085699468</v>
      </c>
      <c r="K192" s="547">
        <f t="shared" si="429"/>
        <v>19.793535728039892</v>
      </c>
      <c r="L192" s="547">
        <f t="shared" si="429"/>
        <v>20.674255575784994</v>
      </c>
      <c r="M192" s="547">
        <f t="shared" si="429"/>
        <v>23.127656702500314</v>
      </c>
      <c r="N192" s="547">
        <f t="shared" si="429"/>
        <v>19.509885839886358</v>
      </c>
      <c r="O192" s="547">
        <f t="shared" si="429"/>
        <v>24.943059488103625</v>
      </c>
      <c r="P192" s="547">
        <f t="shared" si="429"/>
        <v>20.265137468482038</v>
      </c>
      <c r="Q192" s="547">
        <f t="shared" si="429"/>
        <v>23.757449737707216</v>
      </c>
      <c r="R192" s="547">
        <f t="shared" si="429"/>
        <v>23.995768268471153</v>
      </c>
      <c r="S192" s="547">
        <f t="shared" si="429"/>
        <v>29.233189095461878</v>
      </c>
      <c r="T192" s="547">
        <f t="shared" si="429"/>
        <v>28.119481797715125</v>
      </c>
      <c r="U192" s="547">
        <f t="shared" si="399"/>
        <v>26.040534639110771</v>
      </c>
      <c r="V192" s="547">
        <f t="shared" si="399"/>
        <v>23.867330857538054</v>
      </c>
      <c r="W192" s="547">
        <f t="shared" si="399"/>
        <v>20.380723146971331</v>
      </c>
      <c r="X192" s="547">
        <f t="shared" si="399"/>
        <v>20.630089106287198</v>
      </c>
      <c r="Y192" s="547">
        <f t="shared" si="399"/>
        <v>22.272863654017286</v>
      </c>
      <c r="Z192" s="547">
        <f t="shared" si="400"/>
        <v>22.033820651539695</v>
      </c>
      <c r="AA192" s="547">
        <f t="shared" si="400"/>
        <v>20.487248794519374</v>
      </c>
      <c r="AB192" s="547">
        <f t="shared" si="401"/>
        <v>22.931989625318895</v>
      </c>
      <c r="AC192" s="547">
        <f t="shared" si="401"/>
        <v>19.919432697745506</v>
      </c>
      <c r="AD192" s="547">
        <f t="shared" si="402"/>
        <v>19.269791264024381</v>
      </c>
      <c r="AE192" s="547">
        <f t="shared" si="402"/>
        <v>18.707210485417058</v>
      </c>
      <c r="AF192" s="547">
        <f t="shared" ref="AF192:AH192" si="430">AF138*CtoCO2</f>
        <v>18.547248680901244</v>
      </c>
      <c r="AG192" s="547">
        <f t="shared" si="430"/>
        <v>18.137598617281057</v>
      </c>
      <c r="AH192" s="547">
        <f t="shared" si="430"/>
        <v>16.204778194838724</v>
      </c>
      <c r="AI192" s="547">
        <f t="shared" ref="AI192:AJ192" si="431">AI138*CtoCO2</f>
        <v>14.781081740849014</v>
      </c>
      <c r="AJ192" s="547">
        <f t="shared" si="431"/>
        <v>14.047234153377309</v>
      </c>
      <c r="AK192" s="547">
        <f t="shared" ref="AK192" si="432">AK138*CtoCO2</f>
        <v>10.644634579455698</v>
      </c>
    </row>
    <row r="193" spans="3:37">
      <c r="C193" s="456"/>
      <c r="D193" s="6" t="s">
        <v>1616</v>
      </c>
      <c r="E193" s="547">
        <f t="shared" ref="E193:T193" si="433">E139*CtoCO2</f>
        <v>28.473050954370748</v>
      </c>
      <c r="F193" s="547">
        <f t="shared" si="433"/>
        <v>31.018673061793713</v>
      </c>
      <c r="G193" s="547">
        <f t="shared" si="433"/>
        <v>28.36743599075659</v>
      </c>
      <c r="H193" s="547">
        <f t="shared" si="433"/>
        <v>29.700416912247999</v>
      </c>
      <c r="I193" s="547">
        <f t="shared" si="433"/>
        <v>28.226587595453843</v>
      </c>
      <c r="J193" s="547">
        <f t="shared" si="433"/>
        <v>27.22410500820174</v>
      </c>
      <c r="K193" s="547">
        <f t="shared" si="433"/>
        <v>24.666411246883087</v>
      </c>
      <c r="L193" s="547">
        <f t="shared" si="433"/>
        <v>28.378101881590066</v>
      </c>
      <c r="M193" s="547">
        <f t="shared" si="433"/>
        <v>27.489831752577086</v>
      </c>
      <c r="N193" s="547">
        <f t="shared" si="433"/>
        <v>27.835449946564911</v>
      </c>
      <c r="O193" s="547">
        <f t="shared" si="433"/>
        <v>24.375135581518837</v>
      </c>
      <c r="P193" s="547">
        <f t="shared" si="433"/>
        <v>22.786609939404119</v>
      </c>
      <c r="Q193" s="547">
        <f t="shared" si="433"/>
        <v>19.956080985414793</v>
      </c>
      <c r="R193" s="547">
        <f t="shared" si="433"/>
        <v>21.890058900124462</v>
      </c>
      <c r="S193" s="547">
        <f t="shared" si="433"/>
        <v>24.343339199310559</v>
      </c>
      <c r="T193" s="547">
        <f t="shared" si="433"/>
        <v>22.472843605804332</v>
      </c>
      <c r="U193" s="547">
        <f t="shared" si="399"/>
        <v>26.268589093218477</v>
      </c>
      <c r="V193" s="547">
        <f t="shared" si="399"/>
        <v>32.004755565528505</v>
      </c>
      <c r="W193" s="547">
        <f t="shared" si="399"/>
        <v>28.414438701603608</v>
      </c>
      <c r="X193" s="547">
        <f t="shared" si="399"/>
        <v>19.53397285267625</v>
      </c>
      <c r="Y193" s="547">
        <f t="shared" si="399"/>
        <v>22.105842242992093</v>
      </c>
      <c r="Z193" s="547">
        <f t="shared" si="400"/>
        <v>18.789211658552215</v>
      </c>
      <c r="AA193" s="547">
        <f t="shared" si="400"/>
        <v>13.780082893106899</v>
      </c>
      <c r="AB193" s="547">
        <f t="shared" si="401"/>
        <v>10.453217474078969</v>
      </c>
      <c r="AC193" s="547">
        <f t="shared" si="401"/>
        <v>11.754017115122265</v>
      </c>
      <c r="AD193" s="547">
        <f t="shared" si="402"/>
        <v>10.869734523516264</v>
      </c>
      <c r="AE193" s="547">
        <f t="shared" si="402"/>
        <v>10.450977424531752</v>
      </c>
      <c r="AF193" s="547">
        <f t="shared" ref="AF193:AH193" si="434">AF139*CtoCO2</f>
        <v>11.858315704299146</v>
      </c>
      <c r="AG193" s="547">
        <f t="shared" si="434"/>
        <v>10.259837839427565</v>
      </c>
      <c r="AH193" s="547">
        <f t="shared" si="434"/>
        <v>10.11515076812621</v>
      </c>
      <c r="AI193" s="547">
        <f t="shared" ref="AI193:AJ193" si="435">AI139*CtoCO2</f>
        <v>9.5438906110339996</v>
      </c>
      <c r="AJ193" s="547">
        <f t="shared" si="435"/>
        <v>9.0581401894760294</v>
      </c>
      <c r="AK193" s="547">
        <f t="shared" ref="AK193" si="436">AK139*CtoCO2</f>
        <v>5.2629600824244305</v>
      </c>
    </row>
    <row r="194" spans="3:37">
      <c r="C194" s="456"/>
      <c r="D194" s="6" t="s">
        <v>1618</v>
      </c>
      <c r="E194" s="547">
        <f t="shared" ref="E194:T194" si="437">E140*CtoCO2</f>
        <v>1.3718146176524735</v>
      </c>
      <c r="F194" s="547">
        <f t="shared" si="437"/>
        <v>1.47568478495514</v>
      </c>
      <c r="G194" s="547">
        <f t="shared" si="437"/>
        <v>1.0465695956593877</v>
      </c>
      <c r="H194" s="547">
        <f t="shared" si="437"/>
        <v>1.7687327820627972</v>
      </c>
      <c r="I194" s="547">
        <f t="shared" si="437"/>
        <v>1.352824314097361</v>
      </c>
      <c r="J194" s="547">
        <f t="shared" si="437"/>
        <v>1.8915281472097181</v>
      </c>
      <c r="K194" s="547">
        <f t="shared" si="437"/>
        <v>8.8527993842068359E-2</v>
      </c>
      <c r="L194" s="547">
        <f t="shared" si="437"/>
        <v>0.46572555359773826</v>
      </c>
      <c r="M194" s="547">
        <f t="shared" si="437"/>
        <v>0.240297126484912</v>
      </c>
      <c r="N194" s="547">
        <f t="shared" si="437"/>
        <v>0.8725860232794217</v>
      </c>
      <c r="O194" s="547">
        <f t="shared" si="437"/>
        <v>0.67446607117381885</v>
      </c>
      <c r="P194" s="547">
        <f t="shared" si="437"/>
        <v>1.9241896870735107</v>
      </c>
      <c r="Q194" s="547">
        <f t="shared" si="437"/>
        <v>2.4499264765678399</v>
      </c>
      <c r="R194" s="547">
        <f t="shared" si="437"/>
        <v>2.3261508613639283</v>
      </c>
      <c r="S194" s="547">
        <f t="shared" si="437"/>
        <v>2.5169052784845771</v>
      </c>
      <c r="T194" s="547">
        <f t="shared" si="437"/>
        <v>2.6431149912816276</v>
      </c>
      <c r="U194" s="547">
        <f t="shared" si="399"/>
        <v>2.273513277306308</v>
      </c>
      <c r="V194" s="547">
        <f t="shared" si="399"/>
        <v>1.8368933792493427</v>
      </c>
      <c r="W194" s="547">
        <f t="shared" si="399"/>
        <v>1.9479940957833934</v>
      </c>
      <c r="X194" s="547">
        <f t="shared" si="399"/>
        <v>5.7745181906626684</v>
      </c>
      <c r="Y194" s="547">
        <f t="shared" si="399"/>
        <v>6.5448018306354392</v>
      </c>
      <c r="Z194" s="547">
        <f t="shared" si="400"/>
        <v>7.2395772351073209</v>
      </c>
      <c r="AA194" s="547">
        <f t="shared" si="400"/>
        <v>7.1803756497887035</v>
      </c>
      <c r="AB194" s="547">
        <f t="shared" si="401"/>
        <v>7.2287960246408485</v>
      </c>
      <c r="AC194" s="547">
        <f t="shared" si="401"/>
        <v>7.1005407384263917</v>
      </c>
      <c r="AD194" s="547">
        <f t="shared" si="402"/>
        <v>7.0487380297289937</v>
      </c>
      <c r="AE194" s="547">
        <f t="shared" si="402"/>
        <v>7.3615472162882574</v>
      </c>
      <c r="AF194" s="547">
        <f t="shared" ref="AF194:AH194" si="438">AF140*CtoCO2</f>
        <v>6.9437553645882062</v>
      </c>
      <c r="AG194" s="547">
        <f t="shared" si="438"/>
        <v>6.7844447930143126</v>
      </c>
      <c r="AH194" s="547">
        <f t="shared" si="438"/>
        <v>6.5806809355592106</v>
      </c>
      <c r="AI194" s="547">
        <f t="shared" ref="AI194:AJ194" si="439">AI140*CtoCO2</f>
        <v>6.1658188885962861</v>
      </c>
      <c r="AJ194" s="547">
        <f t="shared" si="439"/>
        <v>6.1344785284514174</v>
      </c>
      <c r="AK194" s="547">
        <f t="shared" ref="AK194" si="440">AK140*CtoCO2</f>
        <v>6.3818539667301826</v>
      </c>
    </row>
    <row r="195" spans="3:37">
      <c r="C195" s="456" t="s">
        <v>1928</v>
      </c>
      <c r="D195" s="6" t="s">
        <v>1921</v>
      </c>
      <c r="E195" s="547">
        <f t="shared" ref="E195:T195" si="441">E141*CtoCO2</f>
        <v>0.89192833005738803</v>
      </c>
      <c r="F195" s="547">
        <f t="shared" si="441"/>
        <v>0.39279371747275665</v>
      </c>
      <c r="G195" s="547">
        <f t="shared" si="441"/>
        <v>2.3833171812752165</v>
      </c>
      <c r="H195" s="547">
        <f t="shared" si="441"/>
        <v>0.70954020373954552</v>
      </c>
      <c r="I195" s="547">
        <f t="shared" si="441"/>
        <v>1.3526261649048488</v>
      </c>
      <c r="J195" s="547">
        <f t="shared" si="441"/>
        <v>1.0880039665781382</v>
      </c>
      <c r="K195" s="547">
        <f t="shared" si="441"/>
        <v>0.90855744704437114</v>
      </c>
      <c r="L195" s="547">
        <f t="shared" si="441"/>
        <v>0</v>
      </c>
      <c r="M195" s="547">
        <f t="shared" si="441"/>
        <v>1.772921536416793</v>
      </c>
      <c r="N195" s="547">
        <f t="shared" si="441"/>
        <v>3.7500290061340391</v>
      </c>
      <c r="O195" s="547">
        <f t="shared" si="441"/>
        <v>0.26728116518261069</v>
      </c>
      <c r="P195" s="547">
        <f t="shared" si="441"/>
        <v>2.9547865831644429</v>
      </c>
      <c r="Q195" s="547">
        <f t="shared" si="441"/>
        <v>1.9971686657602121</v>
      </c>
      <c r="R195" s="547">
        <f t="shared" si="441"/>
        <v>1.2168146406704765</v>
      </c>
      <c r="S195" s="547">
        <f t="shared" si="441"/>
        <v>4.1430281587333555</v>
      </c>
      <c r="T195" s="547">
        <f t="shared" si="441"/>
        <v>3.1919852442800756</v>
      </c>
      <c r="U195" s="547">
        <f t="shared" si="399"/>
        <v>4.0963950190817728</v>
      </c>
      <c r="V195" s="547">
        <f t="shared" si="399"/>
        <v>3.5425976932373673</v>
      </c>
      <c r="W195" s="547">
        <f t="shared" si="399"/>
        <v>4.2368094859735859</v>
      </c>
      <c r="X195" s="547">
        <f t="shared" si="399"/>
        <v>3.3236908326119328</v>
      </c>
      <c r="Y195" s="547">
        <f t="shared" si="399"/>
        <v>0</v>
      </c>
      <c r="Z195" s="547">
        <f t="shared" si="400"/>
        <v>0</v>
      </c>
      <c r="AA195" s="547">
        <f t="shared" si="400"/>
        <v>0</v>
      </c>
      <c r="AB195" s="547">
        <f t="shared" si="401"/>
        <v>0</v>
      </c>
      <c r="AC195" s="547">
        <f t="shared" si="401"/>
        <v>0</v>
      </c>
      <c r="AD195" s="547">
        <f t="shared" si="402"/>
        <v>0</v>
      </c>
      <c r="AE195" s="547">
        <f t="shared" si="402"/>
        <v>0</v>
      </c>
      <c r="AF195" s="547">
        <f t="shared" ref="AF195:AH195" si="442">AF141*CtoCO2</f>
        <v>0</v>
      </c>
      <c r="AG195" s="547">
        <f t="shared" si="442"/>
        <v>0</v>
      </c>
      <c r="AH195" s="547">
        <f t="shared" si="442"/>
        <v>0</v>
      </c>
      <c r="AI195" s="547">
        <f t="shared" ref="AI195:AJ195" si="443">AI141*CtoCO2</f>
        <v>0</v>
      </c>
      <c r="AJ195" s="547">
        <f t="shared" si="443"/>
        <v>0</v>
      </c>
      <c r="AK195" s="547">
        <f t="shared" ref="AK195" si="444">AK141*CtoCO2</f>
        <v>0</v>
      </c>
    </row>
    <row r="196" spans="3:37">
      <c r="C196" s="456" t="s">
        <v>1928</v>
      </c>
      <c r="D196" s="6" t="s">
        <v>1619</v>
      </c>
      <c r="E196" s="547">
        <f t="shared" ref="E196:T196" si="445">E142*CtoCO2</f>
        <v>4.2442182158945352</v>
      </c>
      <c r="F196" s="547">
        <f t="shared" si="445"/>
        <v>3.3740870589384571</v>
      </c>
      <c r="G196" s="547">
        <f t="shared" si="445"/>
        <v>4.0794088190999416</v>
      </c>
      <c r="H196" s="547">
        <f t="shared" si="445"/>
        <v>4.2614695787879429</v>
      </c>
      <c r="I196" s="547">
        <f t="shared" si="445"/>
        <v>3.3110245389510204</v>
      </c>
      <c r="J196" s="547">
        <f t="shared" si="445"/>
        <v>3.004638707619018</v>
      </c>
      <c r="K196" s="547">
        <f t="shared" si="445"/>
        <v>3.2853630895132691</v>
      </c>
      <c r="L196" s="547">
        <f t="shared" si="445"/>
        <v>2.9736944500312625</v>
      </c>
      <c r="M196" s="547">
        <f t="shared" si="445"/>
        <v>4.5299587480611043</v>
      </c>
      <c r="N196" s="547">
        <f t="shared" si="445"/>
        <v>6.0233489872204276</v>
      </c>
      <c r="O196" s="547">
        <f t="shared" si="445"/>
        <v>4.220974340203572</v>
      </c>
      <c r="P196" s="547">
        <f t="shared" si="445"/>
        <v>3.4294419603666255</v>
      </c>
      <c r="Q196" s="547">
        <f t="shared" si="445"/>
        <v>4.4510023819487641</v>
      </c>
      <c r="R196" s="547">
        <f t="shared" si="445"/>
        <v>3.3657336356208991</v>
      </c>
      <c r="S196" s="547">
        <f t="shared" si="445"/>
        <v>2.1295301976742138</v>
      </c>
      <c r="T196" s="547">
        <f t="shared" si="445"/>
        <v>2.6814417498710124</v>
      </c>
      <c r="U196" s="547">
        <f t="shared" si="399"/>
        <v>3.0894363984753568</v>
      </c>
      <c r="V196" s="547">
        <f t="shared" si="399"/>
        <v>3.531171907619183</v>
      </c>
      <c r="W196" s="547">
        <f t="shared" si="399"/>
        <v>3.8623121923609949</v>
      </c>
      <c r="X196" s="547">
        <f t="shared" si="399"/>
        <v>2.1535285069014702</v>
      </c>
      <c r="Y196" s="547">
        <f t="shared" si="399"/>
        <v>1.2634513550164073</v>
      </c>
      <c r="Z196" s="547">
        <f t="shared" si="400"/>
        <v>1.0903233170350688</v>
      </c>
      <c r="AA196" s="547">
        <f t="shared" si="400"/>
        <v>0.70873872738056742</v>
      </c>
      <c r="AB196" s="547">
        <f t="shared" si="401"/>
        <v>4.7230211541156795</v>
      </c>
      <c r="AC196" s="547">
        <f t="shared" si="401"/>
        <v>5.08628953267515</v>
      </c>
      <c r="AD196" s="547">
        <f t="shared" si="402"/>
        <v>4.7610667098554149</v>
      </c>
      <c r="AE196" s="547">
        <f t="shared" si="402"/>
        <v>4.4488465341763783</v>
      </c>
      <c r="AF196" s="547">
        <f t="shared" ref="AF196:AH196" si="446">AF142*CtoCO2</f>
        <v>4.5547335696720133</v>
      </c>
      <c r="AG196" s="547">
        <f t="shared" si="446"/>
        <v>3.9879383662776111</v>
      </c>
      <c r="AH196" s="547">
        <f t="shared" si="446"/>
        <v>4.1746642853223639</v>
      </c>
      <c r="AI196" s="547">
        <f t="shared" ref="AI196:AJ196" si="447">AI142*CtoCO2</f>
        <v>3.8563810313343638</v>
      </c>
      <c r="AJ196" s="547">
        <f t="shared" si="447"/>
        <v>3.4368442192231576</v>
      </c>
      <c r="AK196" s="547">
        <f t="shared" ref="AK196" si="448">AK142*CtoCO2</f>
        <v>3.819720345950834</v>
      </c>
    </row>
    <row r="197" spans="3:37">
      <c r="C197" s="456" t="s">
        <v>1928</v>
      </c>
      <c r="D197" s="6" t="s">
        <v>1895</v>
      </c>
      <c r="E197" s="547"/>
      <c r="F197" s="547"/>
      <c r="G197" s="547"/>
      <c r="H197" s="547"/>
      <c r="I197" s="547"/>
      <c r="J197" s="547"/>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row>
    <row r="198" spans="3:37">
      <c r="C198" s="456" t="s">
        <v>1928</v>
      </c>
      <c r="D198" s="463" t="s">
        <v>1738</v>
      </c>
      <c r="E198" s="547">
        <f t="shared" ref="E198:T198" si="449">E144*CtoCO2</f>
        <v>0.26048099322415608</v>
      </c>
      <c r="F198" s="547">
        <f t="shared" si="449"/>
        <v>0.26192493066666667</v>
      </c>
      <c r="G198" s="547">
        <f t="shared" si="449"/>
        <v>0.25898114718055548</v>
      </c>
      <c r="H198" s="547">
        <f t="shared" si="449"/>
        <v>0.25603736369444446</v>
      </c>
      <c r="I198" s="547">
        <f t="shared" si="449"/>
        <v>0.25309358020833328</v>
      </c>
      <c r="J198" s="547">
        <f t="shared" si="449"/>
        <v>0.29751958098958337</v>
      </c>
      <c r="K198" s="547">
        <f t="shared" si="449"/>
        <v>0.3419455817708334</v>
      </c>
      <c r="L198" s="547">
        <f t="shared" si="449"/>
        <v>0.38637158255208343</v>
      </c>
      <c r="M198" s="547">
        <f t="shared" si="449"/>
        <v>0.4307975833333334</v>
      </c>
      <c r="N198" s="547">
        <f t="shared" si="449"/>
        <v>0.4307975833333334</v>
      </c>
      <c r="O198" s="547">
        <f t="shared" si="449"/>
        <v>0.43549641666666666</v>
      </c>
      <c r="P198" s="547">
        <f t="shared" si="449"/>
        <v>0.43485566666666664</v>
      </c>
      <c r="Q198" s="547">
        <f t="shared" si="449"/>
        <v>0.43485566666666664</v>
      </c>
      <c r="R198" s="547">
        <f t="shared" si="449"/>
        <v>0.48945290624999993</v>
      </c>
      <c r="S198" s="547">
        <f t="shared" si="449"/>
        <v>0.54437052083333326</v>
      </c>
      <c r="T198" s="547">
        <f t="shared" si="449"/>
        <v>0.59822021874999998</v>
      </c>
      <c r="U198" s="547">
        <f t="shared" ref="U198:Y200" si="450">U144*CtoCO2</f>
        <v>0.65132237500000001</v>
      </c>
      <c r="V198" s="547">
        <f t="shared" si="450"/>
        <v>0.54063281250000006</v>
      </c>
      <c r="W198" s="547">
        <f t="shared" si="450"/>
        <v>0.43250624999999998</v>
      </c>
      <c r="X198" s="547">
        <f t="shared" si="450"/>
        <v>0.32405931250000003</v>
      </c>
      <c r="Y198" s="547">
        <f t="shared" si="450"/>
        <v>0.21614633333333333</v>
      </c>
      <c r="Z198" s="547">
        <f t="shared" ref="Z198:AA200" si="451">Z144*CtoCO2</f>
        <v>0.21593274999999998</v>
      </c>
      <c r="AA198" s="547">
        <f t="shared" si="451"/>
        <v>0.21593274999999998</v>
      </c>
      <c r="AB198" s="547">
        <f t="shared" ref="AB198:AC200" si="452">AB144*CtoCO2</f>
        <v>0.21603954166666667</v>
      </c>
      <c r="AC198" s="547">
        <f t="shared" si="452"/>
        <v>0.21603954166666667</v>
      </c>
      <c r="AD198" s="547">
        <f t="shared" ref="AD198:AE200" si="453">AD144*CtoCO2</f>
        <v>0.21595028200929239</v>
      </c>
      <c r="AE198" s="547">
        <f t="shared" si="453"/>
        <v>0.2158712294831702</v>
      </c>
      <c r="AF198" s="547">
        <f t="shared" ref="AF198:AH198" si="454">AF144*CtoCO2</f>
        <v>0.2157878030706307</v>
      </c>
      <c r="AG198" s="547">
        <f t="shared" si="454"/>
        <v>0.21595111231340694</v>
      </c>
      <c r="AH198" s="547">
        <f t="shared" si="454"/>
        <v>0.21595111231340694</v>
      </c>
      <c r="AI198" s="547">
        <f t="shared" ref="AI198:AJ198" si="455">AI144*CtoCO2</f>
        <v>0.21589956443920952</v>
      </c>
      <c r="AJ198" s="547">
        <f t="shared" si="455"/>
        <v>0.21589956443920952</v>
      </c>
      <c r="AK198" s="547">
        <f t="shared" ref="AK198" si="456">AK144*CtoCO2</f>
        <v>0.21589956443920952</v>
      </c>
    </row>
    <row r="199" spans="3:37">
      <c r="C199" s="456" t="s">
        <v>1928</v>
      </c>
      <c r="D199" s="463" t="s">
        <v>1621</v>
      </c>
      <c r="E199" s="547">
        <f t="shared" ref="E199:T199" si="457">E145*CtoCO2</f>
        <v>1.3976456314499992</v>
      </c>
      <c r="F199" s="547">
        <f t="shared" si="457"/>
        <v>1.4743371941999992</v>
      </c>
      <c r="G199" s="547">
        <f t="shared" si="457"/>
        <v>1.5638106840749995</v>
      </c>
      <c r="H199" s="547">
        <f t="shared" si="457"/>
        <v>1.6800100215749991</v>
      </c>
      <c r="I199" s="547">
        <f t="shared" si="457"/>
        <v>1.7034822877499993</v>
      </c>
      <c r="J199" s="547">
        <f t="shared" si="457"/>
        <v>1.7037146864249992</v>
      </c>
      <c r="K199" s="547">
        <f t="shared" si="457"/>
        <v>2.0425519545749991</v>
      </c>
      <c r="L199" s="547">
        <f t="shared" si="457"/>
        <v>1.8359495324999993</v>
      </c>
      <c r="M199" s="547">
        <f t="shared" si="457"/>
        <v>1.7783146610999991</v>
      </c>
      <c r="N199" s="547">
        <f t="shared" si="457"/>
        <v>1.5712474416749993</v>
      </c>
      <c r="O199" s="547">
        <f t="shared" si="457"/>
        <v>1.3885820831249998</v>
      </c>
      <c r="P199" s="547">
        <f t="shared" si="457"/>
        <v>1.5250001053499993</v>
      </c>
      <c r="Q199" s="547">
        <f t="shared" si="457"/>
        <v>1.3502363017499992</v>
      </c>
      <c r="R199" s="547">
        <f t="shared" si="457"/>
        <v>1.3030593707249993</v>
      </c>
      <c r="S199" s="547">
        <f t="shared" si="457"/>
        <v>1.2914394369749995</v>
      </c>
      <c r="T199" s="547">
        <f t="shared" si="457"/>
        <v>1.3165531349915245</v>
      </c>
      <c r="U199" s="547">
        <f t="shared" si="450"/>
        <v>1.0973872405460245</v>
      </c>
      <c r="V199" s="547">
        <f t="shared" si="450"/>
        <v>0.91862222895854972</v>
      </c>
      <c r="W199" s="547">
        <f t="shared" si="450"/>
        <v>0.80343707927624974</v>
      </c>
      <c r="X199" s="547">
        <f t="shared" si="450"/>
        <v>0.51300915232477473</v>
      </c>
      <c r="Y199" s="547">
        <f t="shared" si="450"/>
        <v>0.71699523011662469</v>
      </c>
      <c r="Z199" s="547">
        <f t="shared" si="451"/>
        <v>0.63272514657487477</v>
      </c>
      <c r="AA199" s="547">
        <f t="shared" si="451"/>
        <v>0.64179706125217473</v>
      </c>
      <c r="AB199" s="547">
        <f t="shared" si="452"/>
        <v>0.69206628904672474</v>
      </c>
      <c r="AC199" s="547">
        <f t="shared" si="452"/>
        <v>0.62049144792419975</v>
      </c>
      <c r="AD199" s="547">
        <f t="shared" si="453"/>
        <v>0.51866364448619973</v>
      </c>
      <c r="AE199" s="547">
        <f t="shared" si="453"/>
        <v>0.53930204121824987</v>
      </c>
      <c r="AF199" s="547">
        <f t="shared" ref="AF199:AH199" si="458">AF145*CtoCO2</f>
        <v>0.42650385832687471</v>
      </c>
      <c r="AG199" s="547">
        <f t="shared" si="458"/>
        <v>0.52094417268397475</v>
      </c>
      <c r="AH199" s="547">
        <f t="shared" si="458"/>
        <v>0.43750259041859973</v>
      </c>
      <c r="AI199" s="547">
        <f t="shared" ref="AI199:AJ199" si="459">AI145*CtoCO2</f>
        <v>0.38636814235702482</v>
      </c>
      <c r="AJ199" s="547">
        <f t="shared" si="459"/>
        <v>0.49489925317672478</v>
      </c>
      <c r="AK199" s="547">
        <f t="shared" ref="AK199" si="460">AK145*CtoCO2</f>
        <v>0.54724496313239968</v>
      </c>
    </row>
    <row r="200" spans="3:37">
      <c r="C200" s="456" t="s">
        <v>1928</v>
      </c>
      <c r="D200" s="463" t="s">
        <v>1614</v>
      </c>
      <c r="E200" s="547">
        <f t="shared" ref="E200:T200" si="461">E146*CtoCO2</f>
        <v>0</v>
      </c>
      <c r="F200" s="547">
        <f t="shared" si="461"/>
        <v>0</v>
      </c>
      <c r="G200" s="547">
        <f t="shared" si="461"/>
        <v>0</v>
      </c>
      <c r="H200" s="547">
        <f t="shared" si="461"/>
        <v>0</v>
      </c>
      <c r="I200" s="547">
        <f t="shared" si="461"/>
        <v>0</v>
      </c>
      <c r="J200" s="547">
        <f t="shared" si="461"/>
        <v>0</v>
      </c>
      <c r="K200" s="547">
        <f t="shared" si="461"/>
        <v>0</v>
      </c>
      <c r="L200" s="547">
        <f t="shared" si="461"/>
        <v>0</v>
      </c>
      <c r="M200" s="547">
        <f t="shared" si="461"/>
        <v>0</v>
      </c>
      <c r="N200" s="547">
        <f t="shared" si="461"/>
        <v>0</v>
      </c>
      <c r="O200" s="547">
        <f t="shared" si="461"/>
        <v>0</v>
      </c>
      <c r="P200" s="547">
        <f t="shared" si="461"/>
        <v>0</v>
      </c>
      <c r="Q200" s="547">
        <f t="shared" si="461"/>
        <v>0</v>
      </c>
      <c r="R200" s="547">
        <f t="shared" si="461"/>
        <v>0</v>
      </c>
      <c r="S200" s="547">
        <f t="shared" si="461"/>
        <v>0</v>
      </c>
      <c r="T200" s="547">
        <f t="shared" si="461"/>
        <v>0</v>
      </c>
      <c r="U200" s="547">
        <f t="shared" si="450"/>
        <v>0</v>
      </c>
      <c r="V200" s="547">
        <f t="shared" si="450"/>
        <v>0</v>
      </c>
      <c r="W200" s="547">
        <f t="shared" si="450"/>
        <v>0</v>
      </c>
      <c r="X200" s="547">
        <f t="shared" si="450"/>
        <v>0</v>
      </c>
      <c r="Y200" s="547">
        <f t="shared" si="450"/>
        <v>0</v>
      </c>
      <c r="Z200" s="547">
        <f t="shared" si="451"/>
        <v>0</v>
      </c>
      <c r="AA200" s="547">
        <f t="shared" si="451"/>
        <v>0</v>
      </c>
      <c r="AB200" s="547">
        <f t="shared" si="452"/>
        <v>0</v>
      </c>
      <c r="AC200" s="547">
        <f t="shared" si="452"/>
        <v>0</v>
      </c>
      <c r="AD200" s="547">
        <f t="shared" si="453"/>
        <v>0</v>
      </c>
      <c r="AE200" s="547">
        <f t="shared" si="453"/>
        <v>0</v>
      </c>
      <c r="AF200" s="547">
        <f t="shared" ref="AF200:AH200" si="462">AF146*CtoCO2</f>
        <v>0</v>
      </c>
      <c r="AG200" s="547">
        <f t="shared" si="462"/>
        <v>0</v>
      </c>
      <c r="AH200" s="547">
        <f t="shared" si="462"/>
        <v>0</v>
      </c>
      <c r="AI200" s="547">
        <f t="shared" ref="AI200:AJ200" si="463">AI146*CtoCO2</f>
        <v>0</v>
      </c>
      <c r="AJ200" s="547">
        <f t="shared" si="463"/>
        <v>0</v>
      </c>
      <c r="AK200" s="547">
        <f t="shared" ref="AK200" si="464">AK146*CtoCO2</f>
        <v>0</v>
      </c>
    </row>
    <row r="201" spans="3:37">
      <c r="C201" s="456"/>
      <c r="D201" s="5" t="s">
        <v>1445</v>
      </c>
      <c r="E201" s="546">
        <f t="shared" ref="E201:AK201" si="465">SUM(E202)</f>
        <v>1.1966421368507829</v>
      </c>
      <c r="F201" s="546">
        <f t="shared" si="465"/>
        <v>1.0705187752679306</v>
      </c>
      <c r="G201" s="546">
        <f t="shared" si="465"/>
        <v>1.0914396153536678</v>
      </c>
      <c r="H201" s="546">
        <f t="shared" si="465"/>
        <v>1.1113677863940639</v>
      </c>
      <c r="I201" s="546">
        <f t="shared" si="465"/>
        <v>1.1615995597295956</v>
      </c>
      <c r="J201" s="546">
        <f t="shared" si="465"/>
        <v>1.1416577904830996</v>
      </c>
      <c r="K201" s="546">
        <f t="shared" si="465"/>
        <v>1.1079614357658696</v>
      </c>
      <c r="L201" s="546">
        <f t="shared" si="465"/>
        <v>1.1704383936949707</v>
      </c>
      <c r="M201" s="546">
        <f t="shared" si="465"/>
        <v>1.2252799588985981</v>
      </c>
      <c r="N201" s="546">
        <f t="shared" si="465"/>
        <v>1.2380962681483922</v>
      </c>
      <c r="O201" s="546">
        <f t="shared" si="465"/>
        <v>1.219527917718054</v>
      </c>
      <c r="P201" s="546">
        <f t="shared" si="465"/>
        <v>1.1173577961813679</v>
      </c>
      <c r="Q201" s="546">
        <f t="shared" si="465"/>
        <v>1.1041199425424564</v>
      </c>
      <c r="R201" s="546">
        <f t="shared" si="465"/>
        <v>1.0207765373520195</v>
      </c>
      <c r="S201" s="546">
        <f t="shared" si="465"/>
        <v>1.0341571721549874</v>
      </c>
      <c r="T201" s="546">
        <f t="shared" si="465"/>
        <v>1.0287518852300079</v>
      </c>
      <c r="U201" s="546">
        <f t="shared" si="465"/>
        <v>1.0022829770552346</v>
      </c>
      <c r="V201" s="546">
        <f t="shared" si="465"/>
        <v>1.0350342564484747</v>
      </c>
      <c r="W201" s="546">
        <f t="shared" si="465"/>
        <v>0.96091723409727936</v>
      </c>
      <c r="X201" s="546">
        <f t="shared" si="465"/>
        <v>0.86392802908491328</v>
      </c>
      <c r="Y201" s="546">
        <f t="shared" si="465"/>
        <v>1.0523175764023081</v>
      </c>
      <c r="Z201" s="546">
        <f t="shared" si="465"/>
        <v>1.008796517777411</v>
      </c>
      <c r="AA201" s="546">
        <f t="shared" si="465"/>
        <v>0.92065294583347024</v>
      </c>
      <c r="AB201" s="546">
        <f t="shared" si="465"/>
        <v>0.97472621239241519</v>
      </c>
      <c r="AC201" s="546">
        <f t="shared" si="465"/>
        <v>1.0155208306941466</v>
      </c>
      <c r="AD201" s="546">
        <f t="shared" si="465"/>
        <v>1.1069687667205275</v>
      </c>
      <c r="AE201" s="546">
        <f t="shared" si="465"/>
        <v>1.0494483549150861</v>
      </c>
      <c r="AF201" s="546">
        <f t="shared" si="465"/>
        <v>0.96535704838911762</v>
      </c>
      <c r="AG201" s="546">
        <f t="shared" si="465"/>
        <v>0.93138193044682571</v>
      </c>
      <c r="AH201" s="546">
        <f t="shared" si="465"/>
        <v>0.89291940449134355</v>
      </c>
      <c r="AI201" s="546">
        <f t="shared" si="465"/>
        <v>0.78607829915910932</v>
      </c>
      <c r="AJ201" s="546">
        <f t="shared" si="465"/>
        <v>0.80935162890024692</v>
      </c>
      <c r="AK201" s="546">
        <f t="shared" si="465"/>
        <v>0.85251233506347868</v>
      </c>
    </row>
    <row r="202" spans="3:37">
      <c r="C202" s="456"/>
      <c r="D202" s="6" t="s">
        <v>1610</v>
      </c>
      <c r="E202" s="547">
        <f t="shared" ref="E202:T202" si="466">E148*CtoCO2</f>
        <v>1.1966421368507829</v>
      </c>
      <c r="F202" s="547">
        <f t="shared" si="466"/>
        <v>1.0705187752679306</v>
      </c>
      <c r="G202" s="547">
        <f t="shared" si="466"/>
        <v>1.0914396153536678</v>
      </c>
      <c r="H202" s="547">
        <f t="shared" si="466"/>
        <v>1.1113677863940639</v>
      </c>
      <c r="I202" s="547">
        <f t="shared" si="466"/>
        <v>1.1615995597295956</v>
      </c>
      <c r="J202" s="547">
        <f t="shared" si="466"/>
        <v>1.1416577904830996</v>
      </c>
      <c r="K202" s="547">
        <f t="shared" si="466"/>
        <v>1.1079614357658696</v>
      </c>
      <c r="L202" s="547">
        <f t="shared" si="466"/>
        <v>1.1704383936949707</v>
      </c>
      <c r="M202" s="547">
        <f t="shared" si="466"/>
        <v>1.2252799588985981</v>
      </c>
      <c r="N202" s="547">
        <f t="shared" si="466"/>
        <v>1.2380962681483922</v>
      </c>
      <c r="O202" s="547">
        <f t="shared" si="466"/>
        <v>1.219527917718054</v>
      </c>
      <c r="P202" s="547">
        <f t="shared" si="466"/>
        <v>1.1173577961813679</v>
      </c>
      <c r="Q202" s="547">
        <f t="shared" si="466"/>
        <v>1.1041199425424564</v>
      </c>
      <c r="R202" s="547">
        <f t="shared" si="466"/>
        <v>1.0207765373520195</v>
      </c>
      <c r="S202" s="547">
        <f t="shared" si="466"/>
        <v>1.0341571721549874</v>
      </c>
      <c r="T202" s="547">
        <f t="shared" si="466"/>
        <v>1.0287518852300079</v>
      </c>
      <c r="U202" s="547">
        <f t="shared" ref="U202:Z202" si="467">U148*CtoCO2</f>
        <v>1.0022829770552346</v>
      </c>
      <c r="V202" s="547">
        <f t="shared" si="467"/>
        <v>1.0350342564484747</v>
      </c>
      <c r="W202" s="547">
        <f t="shared" si="467"/>
        <v>0.96091723409727936</v>
      </c>
      <c r="X202" s="547">
        <f t="shared" si="467"/>
        <v>0.86392802908491328</v>
      </c>
      <c r="Y202" s="547">
        <f t="shared" si="467"/>
        <v>1.0523175764023081</v>
      </c>
      <c r="Z202" s="547">
        <f t="shared" si="467"/>
        <v>1.008796517777411</v>
      </c>
      <c r="AA202" s="547">
        <f t="shared" ref="AA202:AE202" si="468">AA148*CtoCO2</f>
        <v>0.92065294583347024</v>
      </c>
      <c r="AB202" s="547">
        <f t="shared" si="468"/>
        <v>0.97472621239241519</v>
      </c>
      <c r="AC202" s="547">
        <f t="shared" si="468"/>
        <v>1.0155208306941466</v>
      </c>
      <c r="AD202" s="547">
        <f t="shared" si="468"/>
        <v>1.1069687667205275</v>
      </c>
      <c r="AE202" s="547">
        <f t="shared" si="468"/>
        <v>1.0494483549150861</v>
      </c>
      <c r="AF202" s="547">
        <f t="shared" ref="AF202:AH202" si="469">AF148*CtoCO2</f>
        <v>0.96535704838911762</v>
      </c>
      <c r="AG202" s="547">
        <f t="shared" si="469"/>
        <v>0.93138193044682571</v>
      </c>
      <c r="AH202" s="547">
        <f t="shared" si="469"/>
        <v>0.89291940449134355</v>
      </c>
      <c r="AI202" s="547">
        <f t="shared" ref="AI202:AJ202" si="470">AI148*CtoCO2</f>
        <v>0.78607829915910932</v>
      </c>
      <c r="AJ202" s="547">
        <f t="shared" si="470"/>
        <v>0.80935162890024692</v>
      </c>
      <c r="AK202" s="547">
        <f t="shared" ref="AK202" si="471">AK148*CtoCO2</f>
        <v>0.85251233506347868</v>
      </c>
    </row>
    <row r="203" spans="3:37">
      <c r="C203" s="456"/>
      <c r="D203" s="5" t="s">
        <v>1476</v>
      </c>
      <c r="E203" s="546">
        <f t="shared" ref="E203:T203" si="472">SUM(E204:E205)</f>
        <v>0.37228242648097964</v>
      </c>
      <c r="F203" s="546">
        <f t="shared" si="472"/>
        <v>0.47189119832136273</v>
      </c>
      <c r="G203" s="546">
        <f t="shared" si="472"/>
        <v>0.2601688492021097</v>
      </c>
      <c r="H203" s="546">
        <f t="shared" si="472"/>
        <v>0.2838082222026978</v>
      </c>
      <c r="I203" s="546">
        <f t="shared" si="472"/>
        <v>0.22181477509568487</v>
      </c>
      <c r="J203" s="546">
        <f t="shared" si="472"/>
        <v>0.40549288258341731</v>
      </c>
      <c r="K203" s="546">
        <f t="shared" si="472"/>
        <v>0.53265284622514353</v>
      </c>
      <c r="L203" s="546">
        <f t="shared" si="472"/>
        <v>0.56631207333130007</v>
      </c>
      <c r="M203" s="546">
        <f t="shared" si="472"/>
        <v>0.56107375043100705</v>
      </c>
      <c r="N203" s="546">
        <f t="shared" si="472"/>
        <v>0.9910550438657314</v>
      </c>
      <c r="O203" s="546">
        <f t="shared" si="472"/>
        <v>1.0310537422137087</v>
      </c>
      <c r="P203" s="546">
        <f t="shared" si="472"/>
        <v>0.62575472376732899</v>
      </c>
      <c r="Q203" s="546">
        <f t="shared" si="472"/>
        <v>1.026750089719358</v>
      </c>
      <c r="R203" s="546">
        <f t="shared" si="472"/>
        <v>0.88197477351384035</v>
      </c>
      <c r="S203" s="546">
        <f t="shared" si="472"/>
        <v>0.82884251839062961</v>
      </c>
      <c r="T203" s="546">
        <f t="shared" si="472"/>
        <v>0.84036974260698649</v>
      </c>
      <c r="U203" s="546">
        <f t="shared" ref="U203:Z203" si="473">SUM(U204:U205)</f>
        <v>0.71945999656814408</v>
      </c>
      <c r="V203" s="546">
        <f t="shared" si="473"/>
        <v>0.81068641469201563</v>
      </c>
      <c r="W203" s="546">
        <f t="shared" si="473"/>
        <v>0.57071260951783664</v>
      </c>
      <c r="X203" s="546">
        <f t="shared" si="473"/>
        <v>0.29532346516129115</v>
      </c>
      <c r="Y203" s="546">
        <f t="shared" si="473"/>
        <v>0.20050446456119708</v>
      </c>
      <c r="Z203" s="546">
        <f t="shared" si="473"/>
        <v>0.10651060053421096</v>
      </c>
      <c r="AA203" s="546">
        <f t="shared" ref="AA203:AE203" si="474">SUM(AA204:AA205)</f>
        <v>0.12865854379698244</v>
      </c>
      <c r="AB203" s="546">
        <f t="shared" si="474"/>
        <v>7.6701198391395997E-2</v>
      </c>
      <c r="AC203" s="546">
        <f t="shared" si="474"/>
        <v>7.756910275859448E-2</v>
      </c>
      <c r="AD203" s="546">
        <f t="shared" si="474"/>
        <v>7.533457330653974E-2</v>
      </c>
      <c r="AE203" s="546">
        <f t="shared" si="474"/>
        <v>7.6533891413794741E-2</v>
      </c>
      <c r="AF203" s="546">
        <f t="shared" ref="AF203:AH203" si="475">SUM(AF204:AF205)</f>
        <v>2.504489189558742E-2</v>
      </c>
      <c r="AG203" s="546">
        <f t="shared" si="475"/>
        <v>2.5657791402428649E-2</v>
      </c>
      <c r="AH203" s="546">
        <f t="shared" si="475"/>
        <v>2.6155957873061231E-2</v>
      </c>
      <c r="AI203" s="546">
        <f t="shared" ref="AI203:AJ203" si="476">SUM(AI204:AI205)</f>
        <v>7.1055425267999971E-3</v>
      </c>
      <c r="AJ203" s="546">
        <f t="shared" si="476"/>
        <v>7.1097370577999971E-3</v>
      </c>
      <c r="AK203" s="546">
        <f t="shared" ref="AK203" si="477">SUM(AK204:AK205)</f>
        <v>7.1097370577999971E-3</v>
      </c>
    </row>
    <row r="204" spans="3:37">
      <c r="C204" s="456"/>
      <c r="D204" s="6" t="s">
        <v>1610</v>
      </c>
      <c r="E204" s="547">
        <f t="shared" ref="E204:T204" si="478">E150*CtoCO2</f>
        <v>4.8197291327999985E-3</v>
      </c>
      <c r="F204" s="547">
        <f t="shared" si="478"/>
        <v>4.0515848022599985E-3</v>
      </c>
      <c r="G204" s="547">
        <f t="shared" si="478"/>
        <v>1.0000937950559995E-2</v>
      </c>
      <c r="H204" s="547">
        <f t="shared" si="478"/>
        <v>1.1737154588081921E-2</v>
      </c>
      <c r="I204" s="547">
        <f t="shared" si="478"/>
        <v>1.2832528816079998E-2</v>
      </c>
      <c r="J204" s="547">
        <f t="shared" si="478"/>
        <v>1.366091976078E-2</v>
      </c>
      <c r="K204" s="547">
        <f t="shared" si="478"/>
        <v>9.9898268946698315E-3</v>
      </c>
      <c r="L204" s="547">
        <f t="shared" si="478"/>
        <v>1.6793743697099996E-2</v>
      </c>
      <c r="M204" s="547">
        <f t="shared" si="478"/>
        <v>8.6152658248799981E-3</v>
      </c>
      <c r="N204" s="547">
        <f t="shared" si="478"/>
        <v>9.3683485018799997E-3</v>
      </c>
      <c r="O204" s="547">
        <f t="shared" si="478"/>
        <v>2.1105162598954442E-2</v>
      </c>
      <c r="P204" s="547">
        <f t="shared" si="478"/>
        <v>1.7097205067327825E-2</v>
      </c>
      <c r="Q204" s="547">
        <f t="shared" si="478"/>
        <v>2.056765763176913E-2</v>
      </c>
      <c r="R204" s="547">
        <f t="shared" si="478"/>
        <v>3.3019312304906144E-2</v>
      </c>
      <c r="S204" s="547">
        <f t="shared" si="478"/>
        <v>3.448542531836065E-2</v>
      </c>
      <c r="T204" s="547">
        <f t="shared" si="478"/>
        <v>3.115492718547945E-2</v>
      </c>
      <c r="U204" s="547">
        <f t="shared" ref="U204:Y205" si="479">U150*CtoCO2</f>
        <v>4.2088037063350667E-2</v>
      </c>
      <c r="V204" s="547">
        <f t="shared" si="479"/>
        <v>4.0365350725850839E-2</v>
      </c>
      <c r="W204" s="547">
        <f t="shared" si="479"/>
        <v>1.8060823579858248E-2</v>
      </c>
      <c r="X204" s="547">
        <f t="shared" si="479"/>
        <v>7.0789771637999972E-3</v>
      </c>
      <c r="Y204" s="547">
        <f t="shared" si="479"/>
        <v>7.0789771637999972E-3</v>
      </c>
      <c r="Z204" s="547">
        <f t="shared" ref="Z204:AB205" si="480">Z150*CtoCO2</f>
        <v>7.0789771637999972E-3</v>
      </c>
      <c r="AA204" s="547">
        <f t="shared" si="480"/>
        <v>7.0789771637999972E-3</v>
      </c>
      <c r="AB204" s="547">
        <f t="shared" si="480"/>
        <v>7.0789771637999972E-3</v>
      </c>
      <c r="AC204" s="547">
        <f t="shared" ref="AC204:AE205" si="481">AC150*CtoCO2</f>
        <v>7.0789771637999972E-3</v>
      </c>
      <c r="AD204" s="547">
        <f t="shared" si="481"/>
        <v>7.0789771637999972E-3</v>
      </c>
      <c r="AE204" s="547">
        <f t="shared" si="481"/>
        <v>7.0789771637999972E-3</v>
      </c>
      <c r="AF204" s="547">
        <f t="shared" ref="AF204:AH204" si="482">AF150*CtoCO2</f>
        <v>7.0789771637999972E-3</v>
      </c>
      <c r="AG204" s="547">
        <f t="shared" si="482"/>
        <v>7.0789771637999972E-3</v>
      </c>
      <c r="AH204" s="547">
        <f t="shared" si="482"/>
        <v>7.0789771637999972E-3</v>
      </c>
      <c r="AI204" s="547">
        <f t="shared" ref="AI204:AJ204" si="483">AI150*CtoCO2</f>
        <v>7.0789771637999972E-3</v>
      </c>
      <c r="AJ204" s="547">
        <f t="shared" si="483"/>
        <v>7.0789771637999972E-3</v>
      </c>
      <c r="AK204" s="547">
        <f t="shared" ref="AK204" si="484">AK150*CtoCO2</f>
        <v>7.0789771637999972E-3</v>
      </c>
    </row>
    <row r="205" spans="3:37">
      <c r="C205" s="456"/>
      <c r="D205" s="6" t="s">
        <v>1785</v>
      </c>
      <c r="E205" s="547">
        <f t="shared" ref="E205:T205" si="485">E151*CtoCO2</f>
        <v>0.36746269734817966</v>
      </c>
      <c r="F205" s="547">
        <f t="shared" si="485"/>
        <v>0.46783961351910275</v>
      </c>
      <c r="G205" s="547">
        <f t="shared" si="485"/>
        <v>0.25016791125154969</v>
      </c>
      <c r="H205" s="547">
        <f t="shared" si="485"/>
        <v>0.27207106761461586</v>
      </c>
      <c r="I205" s="547">
        <f t="shared" si="485"/>
        <v>0.20898224627960488</v>
      </c>
      <c r="J205" s="547">
        <f t="shared" si="485"/>
        <v>0.39183196282263733</v>
      </c>
      <c r="K205" s="547">
        <f t="shared" si="485"/>
        <v>0.52266301933047365</v>
      </c>
      <c r="L205" s="547">
        <f t="shared" si="485"/>
        <v>0.54951832963420011</v>
      </c>
      <c r="M205" s="547">
        <f t="shared" si="485"/>
        <v>0.55245848460612701</v>
      </c>
      <c r="N205" s="547">
        <f t="shared" si="485"/>
        <v>0.98168669536385145</v>
      </c>
      <c r="O205" s="547">
        <f t="shared" si="485"/>
        <v>1.0099485796147543</v>
      </c>
      <c r="P205" s="547">
        <f t="shared" si="485"/>
        <v>0.60865751870000118</v>
      </c>
      <c r="Q205" s="547">
        <f t="shared" si="485"/>
        <v>1.006182432087589</v>
      </c>
      <c r="R205" s="547">
        <f t="shared" si="485"/>
        <v>0.84895546120893417</v>
      </c>
      <c r="S205" s="547">
        <f t="shared" si="485"/>
        <v>0.79435709307226898</v>
      </c>
      <c r="T205" s="547">
        <f t="shared" si="485"/>
        <v>0.80921481542150708</v>
      </c>
      <c r="U205" s="547">
        <f t="shared" si="479"/>
        <v>0.67737195950479345</v>
      </c>
      <c r="V205" s="547">
        <f t="shared" si="479"/>
        <v>0.77032106396616484</v>
      </c>
      <c r="W205" s="547">
        <f t="shared" si="479"/>
        <v>0.55265178593797837</v>
      </c>
      <c r="X205" s="547">
        <f t="shared" si="479"/>
        <v>0.28824448799749114</v>
      </c>
      <c r="Y205" s="547">
        <f t="shared" si="479"/>
        <v>0.19342548739739709</v>
      </c>
      <c r="Z205" s="547">
        <f t="shared" si="480"/>
        <v>9.9431623370410963E-2</v>
      </c>
      <c r="AA205" s="547">
        <f t="shared" si="480"/>
        <v>0.12157956663318244</v>
      </c>
      <c r="AB205" s="547">
        <f t="shared" si="480"/>
        <v>6.9622221227595996E-2</v>
      </c>
      <c r="AC205" s="547">
        <f t="shared" si="481"/>
        <v>7.0490125594794478E-2</v>
      </c>
      <c r="AD205" s="547">
        <f t="shared" si="481"/>
        <v>6.8255596142739738E-2</v>
      </c>
      <c r="AE205" s="547">
        <f t="shared" si="481"/>
        <v>6.945491424999474E-2</v>
      </c>
      <c r="AF205" s="547">
        <f t="shared" ref="AF205:AH205" si="486">AF151*CtoCO2</f>
        <v>1.7965914731787422E-2</v>
      </c>
      <c r="AG205" s="547">
        <f t="shared" si="486"/>
        <v>1.8578814238628651E-2</v>
      </c>
      <c r="AH205" s="547">
        <f t="shared" si="486"/>
        <v>1.9076980709261233E-2</v>
      </c>
      <c r="AI205" s="547">
        <f t="shared" ref="AI205:AJ205" si="487">AI151*CtoCO2</f>
        <v>2.6565363E-5</v>
      </c>
      <c r="AJ205" s="547">
        <f t="shared" si="487"/>
        <v>3.0759894E-5</v>
      </c>
      <c r="AK205" s="547">
        <f t="shared" ref="AK205" si="488">AK151*CtoCO2</f>
        <v>3.0759894E-5</v>
      </c>
    </row>
    <row r="206" spans="3:37">
      <c r="C206" s="456"/>
      <c r="D206" s="4" t="s">
        <v>1480</v>
      </c>
      <c r="E206" s="548">
        <f t="shared" ref="E206:V206" si="489">E184+E201+E203</f>
        <v>193.37546321236931</v>
      </c>
      <c r="F206" s="548">
        <f t="shared" si="489"/>
        <v>187.90245559444199</v>
      </c>
      <c r="G206" s="548">
        <f t="shared" si="489"/>
        <v>196.9977049633103</v>
      </c>
      <c r="H206" s="548">
        <f t="shared" si="489"/>
        <v>201.68110445448588</v>
      </c>
      <c r="I206" s="548">
        <f t="shared" si="489"/>
        <v>212.15800886317169</v>
      </c>
      <c r="J206" s="548">
        <f t="shared" si="489"/>
        <v>213.54258245997386</v>
      </c>
      <c r="K206" s="548">
        <f t="shared" si="489"/>
        <v>221.21917557646563</v>
      </c>
      <c r="L206" s="548">
        <f t="shared" si="489"/>
        <v>225.6984066675825</v>
      </c>
      <c r="M206" s="548">
        <f t="shared" si="489"/>
        <v>233.13459104539012</v>
      </c>
      <c r="N206" s="548">
        <f t="shared" si="489"/>
        <v>247.5813899685875</v>
      </c>
      <c r="O206" s="548">
        <f t="shared" si="489"/>
        <v>234.65714168283878</v>
      </c>
      <c r="P206" s="548">
        <f t="shared" si="489"/>
        <v>225.63358137651335</v>
      </c>
      <c r="Q206" s="548">
        <f t="shared" si="489"/>
        <v>229.62919165976933</v>
      </c>
      <c r="R206" s="548">
        <f t="shared" si="489"/>
        <v>221.33110458840909</v>
      </c>
      <c r="S206" s="548">
        <f t="shared" si="489"/>
        <v>239.0594022069011</v>
      </c>
      <c r="T206" s="548">
        <f t="shared" si="489"/>
        <v>234.19068460339142</v>
      </c>
      <c r="U206" s="548">
        <f>U184+U201+U203</f>
        <v>235.39695875836972</v>
      </c>
      <c r="V206" s="548">
        <f t="shared" si="489"/>
        <v>234.73933309971588</v>
      </c>
      <c r="W206" s="548">
        <f t="shared" ref="W206:AB206" si="490">W184+W201+W203</f>
        <v>210.73911052280425</v>
      </c>
      <c r="X206" s="548">
        <f t="shared" si="490"/>
        <v>199.72429297467622</v>
      </c>
      <c r="Y206" s="548">
        <f t="shared" si="490"/>
        <v>211.62709252002639</v>
      </c>
      <c r="Z206" s="548">
        <f t="shared" si="490"/>
        <v>208.68867393503305</v>
      </c>
      <c r="AA206" s="548">
        <f t="shared" si="490"/>
        <v>200.89389528822352</v>
      </c>
      <c r="AB206" s="548">
        <f t="shared" si="490"/>
        <v>206.31443903936736</v>
      </c>
      <c r="AC206" s="548">
        <f>AC184+AC201+AC203</f>
        <v>206.28883861232853</v>
      </c>
      <c r="AD206" s="548">
        <f>AD184+AD201+AD203</f>
        <v>214.5391544013541</v>
      </c>
      <c r="AE206" s="548">
        <f>AE184+AE201+AE203</f>
        <v>218.21857405572081</v>
      </c>
      <c r="AF206" s="548">
        <f t="shared" ref="AF206:AH206" si="491">AF184+AF201+AF203</f>
        <v>219.56490829871038</v>
      </c>
      <c r="AG206" s="548">
        <f t="shared" si="491"/>
        <v>223.16555928022532</v>
      </c>
      <c r="AH206" s="548">
        <f t="shared" si="491"/>
        <v>228.21628938462797</v>
      </c>
      <c r="AI206" s="548">
        <f t="shared" ref="AI206:AJ206" si="492">AI184+AI201+AI203</f>
        <v>230.81040419025726</v>
      </c>
      <c r="AJ206" s="548">
        <f t="shared" si="492"/>
        <v>233.41380217134409</v>
      </c>
      <c r="AK206" s="548">
        <f t="shared" ref="AK206" si="493">AK184+AK201+AK203</f>
        <v>236.58505659352474</v>
      </c>
    </row>
    <row r="207" spans="3:37">
      <c r="W207" s="1"/>
      <c r="X207" s="47"/>
      <c r="Y207" s="1"/>
      <c r="Z207" s="1"/>
    </row>
    <row r="208" spans="3:37">
      <c r="W208" s="1"/>
      <c r="X208" s="47"/>
      <c r="Y208" s="1"/>
      <c r="Z208" s="1"/>
    </row>
    <row r="209" spans="4:37">
      <c r="D209" s="1" t="s">
        <v>1925</v>
      </c>
      <c r="O209" s="77"/>
      <c r="P209" s="77"/>
      <c r="Q209" s="77"/>
      <c r="W209" s="77"/>
      <c r="X209" s="77"/>
      <c r="Y209" s="77"/>
      <c r="Z209" s="77"/>
      <c r="AA209" s="77"/>
      <c r="AB209" s="77"/>
      <c r="AC209" s="77"/>
      <c r="AD209" s="77"/>
      <c r="AE209" s="77"/>
      <c r="AF209" s="77"/>
      <c r="AG209" s="77"/>
      <c r="AH209" s="77"/>
      <c r="AI209" s="77"/>
      <c r="AJ209" s="77"/>
      <c r="AK209" s="77"/>
    </row>
    <row r="210" spans="4:37">
      <c r="D210" s="4" t="s">
        <v>1583</v>
      </c>
      <c r="E210" s="460">
        <v>1990</v>
      </c>
      <c r="F210" s="460">
        <v>1991</v>
      </c>
      <c r="G210" s="460">
        <v>1992</v>
      </c>
      <c r="H210" s="460">
        <v>1993</v>
      </c>
      <c r="I210" s="460">
        <v>1994</v>
      </c>
      <c r="J210" s="460">
        <v>1995</v>
      </c>
      <c r="K210" s="460">
        <v>1996</v>
      </c>
      <c r="L210" s="460">
        <v>1997</v>
      </c>
      <c r="M210" s="460">
        <v>1998</v>
      </c>
      <c r="N210" s="460">
        <v>1999</v>
      </c>
      <c r="O210" s="460">
        <v>2000</v>
      </c>
      <c r="P210" s="460">
        <v>2001</v>
      </c>
      <c r="Q210" s="460">
        <v>2002</v>
      </c>
      <c r="R210" s="460">
        <v>2003</v>
      </c>
      <c r="S210" s="460">
        <v>2004</v>
      </c>
      <c r="T210" s="460">
        <v>2005</v>
      </c>
      <c r="U210" s="460">
        <v>2006</v>
      </c>
      <c r="V210" s="460">
        <v>2007</v>
      </c>
      <c r="W210" s="460">
        <v>2008</v>
      </c>
      <c r="X210" s="460">
        <v>2009</v>
      </c>
      <c r="Y210" s="460">
        <v>2010</v>
      </c>
      <c r="Z210" s="460">
        <v>2011</v>
      </c>
      <c r="AA210" s="460">
        <v>2012</v>
      </c>
      <c r="AB210" s="460">
        <v>2013</v>
      </c>
      <c r="AC210" s="460">
        <v>2014</v>
      </c>
      <c r="AD210" s="460">
        <v>2015</v>
      </c>
      <c r="AE210" s="460">
        <v>2016</v>
      </c>
      <c r="AF210" s="460">
        <v>2017</v>
      </c>
      <c r="AG210" s="460">
        <v>2018</v>
      </c>
      <c r="AH210" s="460">
        <v>2019</v>
      </c>
      <c r="AI210" s="460">
        <v>2020</v>
      </c>
      <c r="AJ210" s="460">
        <v>2021</v>
      </c>
      <c r="AK210" s="460">
        <v>2022</v>
      </c>
    </row>
    <row r="211" spans="4:37">
      <c r="D211" s="1" t="s">
        <v>1929</v>
      </c>
      <c r="E211" s="541">
        <f>E158+E159</f>
        <v>0.3011690675967873</v>
      </c>
      <c r="F211" s="541">
        <f t="shared" ref="F211:T211" si="494">F158+F159</f>
        <v>0.3234195763772223</v>
      </c>
      <c r="G211" s="541">
        <f t="shared" si="494"/>
        <v>0.35875319128967581</v>
      </c>
      <c r="H211" s="541">
        <f t="shared" si="494"/>
        <v>0.42984027793373047</v>
      </c>
      <c r="I211" s="541">
        <f t="shared" si="494"/>
        <v>1.1393006031762238</v>
      </c>
      <c r="J211" s="541">
        <f t="shared" si="494"/>
        <v>3.5673388221609867</v>
      </c>
      <c r="K211" s="541">
        <f t="shared" si="494"/>
        <v>2.3934684034682245</v>
      </c>
      <c r="L211" s="541">
        <f t="shared" si="494"/>
        <v>0.39244361929812677</v>
      </c>
      <c r="M211" s="541">
        <f t="shared" si="494"/>
        <v>1.2850591262231896</v>
      </c>
      <c r="N211" s="541">
        <f t="shared" si="494"/>
        <v>3.7832357987219112</v>
      </c>
      <c r="O211" s="541">
        <f t="shared" si="494"/>
        <v>4.942438212020817</v>
      </c>
      <c r="P211" s="541">
        <f t="shared" si="494"/>
        <v>2.482355342589194</v>
      </c>
      <c r="Q211" s="541">
        <f t="shared" si="494"/>
        <v>3.8139959372314749</v>
      </c>
      <c r="R211" s="541">
        <f t="shared" si="494"/>
        <v>4.7919944101099148</v>
      </c>
      <c r="S211" s="541">
        <f t="shared" si="494"/>
        <v>14.585088390941664</v>
      </c>
      <c r="T211" s="541">
        <f t="shared" si="494"/>
        <v>7.2048892810397298</v>
      </c>
      <c r="U211" s="541">
        <f t="shared" ref="U211:Z211" si="495">U158+U159</f>
        <v>5.7090999306973886</v>
      </c>
      <c r="V211" s="541">
        <f t="shared" si="495"/>
        <v>0.56460052983281594</v>
      </c>
      <c r="W211" s="541">
        <f>W158+W159</f>
        <v>2.8388748099243064</v>
      </c>
      <c r="X211" s="541">
        <f t="shared" si="495"/>
        <v>0.8816007206641322</v>
      </c>
      <c r="Y211" s="541">
        <f t="shared" si="495"/>
        <v>5.7474886002450285</v>
      </c>
      <c r="Z211" s="541">
        <f t="shared" si="495"/>
        <v>5.4161047206573336</v>
      </c>
      <c r="AA211" s="541">
        <f t="shared" ref="AA211:AE211" si="496">AA158+AA159</f>
        <v>11.455003256978593</v>
      </c>
      <c r="AB211" s="541">
        <f t="shared" si="496"/>
        <v>10.415702928242609</v>
      </c>
      <c r="AC211" s="541">
        <f t="shared" si="496"/>
        <v>4.439857633948634</v>
      </c>
      <c r="AD211" s="541">
        <f t="shared" si="496"/>
        <v>10.616325084145377</v>
      </c>
      <c r="AE211" s="541">
        <f t="shared" si="496"/>
        <v>7.8433220644989046</v>
      </c>
      <c r="AF211" s="541">
        <f t="shared" ref="AF211:AH211" si="497">AF158+AF159</f>
        <v>9.8410301914799092</v>
      </c>
      <c r="AG211" s="541">
        <f t="shared" si="497"/>
        <v>10.862776445144883</v>
      </c>
      <c r="AH211" s="541">
        <f t="shared" si="497"/>
        <v>9.8512463556182226</v>
      </c>
      <c r="AI211" s="541">
        <f>AI158+AI159</f>
        <v>7.055797084631612</v>
      </c>
      <c r="AJ211" s="541">
        <f>AJ158+AJ159</f>
        <v>6.918195900935352</v>
      </c>
      <c r="AK211" s="541">
        <f>AK158+AK159</f>
        <v>3.091837286303373</v>
      </c>
    </row>
    <row r="212" spans="4:37">
      <c r="D212" s="1" t="s">
        <v>1439</v>
      </c>
      <c r="E212" s="541">
        <f>E160</f>
        <v>6.2372329707057714</v>
      </c>
      <c r="F212" s="541">
        <f t="shared" ref="F212:T212" si="498">F160</f>
        <v>6.3297461398623254</v>
      </c>
      <c r="G212" s="541">
        <f t="shared" si="498"/>
        <v>6.6924820129455522</v>
      </c>
      <c r="H212" s="541">
        <f t="shared" si="498"/>
        <v>6.4068837936123746</v>
      </c>
      <c r="I212" s="541">
        <f t="shared" si="498"/>
        <v>7.0432311401546519</v>
      </c>
      <c r="J212" s="541">
        <f t="shared" si="498"/>
        <v>7.0918507086378506</v>
      </c>
      <c r="K212" s="541">
        <f t="shared" si="498"/>
        <v>6.9879655166009949</v>
      </c>
      <c r="L212" s="541">
        <f t="shared" si="498"/>
        <v>8.0533328285165009</v>
      </c>
      <c r="M212" s="541">
        <f t="shared" si="498"/>
        <v>8.5648938080914476</v>
      </c>
      <c r="N212" s="541">
        <f t="shared" si="498"/>
        <v>8.6105566665476108</v>
      </c>
      <c r="O212" s="541">
        <f t="shared" si="498"/>
        <v>7.7725110205793229</v>
      </c>
      <c r="P212" s="541">
        <f t="shared" si="498"/>
        <v>8.0513225536441624</v>
      </c>
      <c r="Q212" s="541">
        <f t="shared" si="498"/>
        <v>7.4140550966455594</v>
      </c>
      <c r="R212" s="541">
        <f t="shared" si="498"/>
        <v>6.5003294147926693</v>
      </c>
      <c r="S212" s="541">
        <f t="shared" si="498"/>
        <v>5.4871332372906609</v>
      </c>
      <c r="T212" s="541">
        <f t="shared" si="498"/>
        <v>5.4159168004060421</v>
      </c>
      <c r="U212" s="541">
        <f t="shared" ref="U212:Z212" si="499">U160</f>
        <v>4.6144474269886082</v>
      </c>
      <c r="V212" s="541">
        <f t="shared" si="499"/>
        <v>4.5119894926735578</v>
      </c>
      <c r="W212" s="541">
        <f>W160</f>
        <v>5.0454575337999756</v>
      </c>
      <c r="X212" s="541">
        <f t="shared" si="499"/>
        <v>4.7865298624585391</v>
      </c>
      <c r="Y212" s="541">
        <f t="shared" si="499"/>
        <v>4.8907465072543594</v>
      </c>
      <c r="Z212" s="541">
        <f t="shared" si="499"/>
        <v>4.9408807421264225</v>
      </c>
      <c r="AA212" s="541">
        <f t="shared" ref="AA212:AE212" si="500">AA160</f>
        <v>4.8354639183687418</v>
      </c>
      <c r="AB212" s="541">
        <f t="shared" si="500"/>
        <v>5.3331659783924312</v>
      </c>
      <c r="AC212" s="541">
        <f t="shared" si="500"/>
        <v>5.6249261794315588</v>
      </c>
      <c r="AD212" s="541">
        <f t="shared" si="500"/>
        <v>7.1651681229533519</v>
      </c>
      <c r="AE212" s="541">
        <f t="shared" si="500"/>
        <v>8.141415720284936</v>
      </c>
      <c r="AF212" s="541">
        <f t="shared" ref="AF212:AH212" si="501">AF160</f>
        <v>10.579676460163416</v>
      </c>
      <c r="AG212" s="541">
        <f t="shared" si="501"/>
        <v>13.124735650002798</v>
      </c>
      <c r="AH212" s="541">
        <f t="shared" si="501"/>
        <v>12.487250893597411</v>
      </c>
      <c r="AI212" s="541">
        <f t="shared" ref="AI212:AJ212" si="502">AI160</f>
        <v>11.923280152134209</v>
      </c>
      <c r="AJ212" s="541">
        <f t="shared" si="502"/>
        <v>13.212945008917126</v>
      </c>
      <c r="AK212" s="541">
        <f t="shared" ref="AK212" si="503">AK160</f>
        <v>12.922546795544683</v>
      </c>
    </row>
    <row r="213" spans="4:37">
      <c r="D213" s="1" t="s">
        <v>1440</v>
      </c>
      <c r="E213" s="541">
        <f>SUM(E161:E173,E175,E177:E178)</f>
        <v>96.957885697048681</v>
      </c>
      <c r="F213" s="541">
        <f t="shared" ref="F213:T213" si="504">SUM(F161:F173,F175,F177:F178)</f>
        <v>100.57598224031113</v>
      </c>
      <c r="G213" s="541">
        <f t="shared" si="504"/>
        <v>105.64519985425615</v>
      </c>
      <c r="H213" s="541">
        <f t="shared" si="504"/>
        <v>94.319959694480943</v>
      </c>
      <c r="I213" s="541">
        <f t="shared" si="504"/>
        <v>103.45316535583048</v>
      </c>
      <c r="J213" s="541">
        <f t="shared" si="504"/>
        <v>98.36763650490893</v>
      </c>
      <c r="K213" s="541">
        <f t="shared" si="504"/>
        <v>96.110552921572278</v>
      </c>
      <c r="L213" s="541">
        <f t="shared" si="504"/>
        <v>108.86074641349677</v>
      </c>
      <c r="M213" s="541">
        <f t="shared" si="504"/>
        <v>113.67008546489913</v>
      </c>
      <c r="N213" s="541">
        <f t="shared" si="504"/>
        <v>132.03776184538108</v>
      </c>
      <c r="O213" s="541">
        <f t="shared" si="504"/>
        <v>110.29985123159746</v>
      </c>
      <c r="P213" s="541">
        <f t="shared" si="504"/>
        <v>108.18006482682252</v>
      </c>
      <c r="Q213" s="541">
        <f t="shared" si="504"/>
        <v>110.16048733504107</v>
      </c>
      <c r="R213" s="541">
        <f t="shared" si="504"/>
        <v>104.10881659059909</v>
      </c>
      <c r="S213" s="541">
        <f t="shared" si="504"/>
        <v>113.13139862281565</v>
      </c>
      <c r="T213" s="541">
        <f t="shared" si="504"/>
        <v>113.32759914184564</v>
      </c>
      <c r="U213" s="541">
        <f t="shared" ref="U213:Z213" si="505">SUM(U161:U173,U175,U177:U178)</f>
        <v>114.32522748958598</v>
      </c>
      <c r="V213" s="541">
        <f t="shared" si="505"/>
        <v>108.12882726802327</v>
      </c>
      <c r="W213" s="541">
        <f>SUM(W161:W173,W175,W177:W178)</f>
        <v>101.40009463855569</v>
      </c>
      <c r="X213" s="541">
        <f t="shared" si="505"/>
        <v>86.356206673798582</v>
      </c>
      <c r="Y213" s="541">
        <f t="shared" si="505"/>
        <v>81.085900888027453</v>
      </c>
      <c r="Z213" s="541">
        <f t="shared" si="505"/>
        <v>78.695149259261356</v>
      </c>
      <c r="AA213" s="541">
        <f t="shared" ref="AA213:AE213" si="506">SUM(AA161:AA173,AA175,AA177:AA178)</f>
        <v>72.924191410835888</v>
      </c>
      <c r="AB213" s="541">
        <f t="shared" si="506"/>
        <v>83.176329385918237</v>
      </c>
      <c r="AC213" s="541">
        <f t="shared" si="506"/>
        <v>84.561609690646762</v>
      </c>
      <c r="AD213" s="541">
        <f t="shared" si="506"/>
        <v>85.262014120341092</v>
      </c>
      <c r="AE213" s="541">
        <f t="shared" si="506"/>
        <v>80.19398873475437</v>
      </c>
      <c r="AF213" s="541">
        <f t="shared" ref="AF213:AH213" si="507">SUM(AF161:AF173,AF175,AF177:AF178)</f>
        <v>86.53608183735065</v>
      </c>
      <c r="AG213" s="541">
        <f t="shared" si="507"/>
        <v>97.735541617978527</v>
      </c>
      <c r="AH213" s="541">
        <f t="shared" si="507"/>
        <v>93.635531784518875</v>
      </c>
      <c r="AI213" s="541">
        <f t="shared" ref="AI213:AJ213" si="508">SUM(AI161:AI173,AI175,AI177:AI178)</f>
        <v>88.94260148051147</v>
      </c>
      <c r="AJ213" s="541">
        <f t="shared" si="508"/>
        <v>100.72473534258505</v>
      </c>
      <c r="AK213" s="541">
        <f t="shared" ref="AK213" si="509">SUM(AK161:AK173,AK175,AK177:AK178)</f>
        <v>100.01292947788914</v>
      </c>
    </row>
    <row r="214" spans="4:37">
      <c r="D214" s="4" t="s">
        <v>1480</v>
      </c>
      <c r="E214" s="543">
        <f>SUM(E211:E213)</f>
        <v>103.49628773535125</v>
      </c>
      <c r="F214" s="543">
        <f t="shared" ref="F214:W214" si="510">SUM(F211:F213)</f>
        <v>107.22914795655068</v>
      </c>
      <c r="G214" s="543">
        <f t="shared" si="510"/>
        <v>112.69643505849137</v>
      </c>
      <c r="H214" s="543">
        <f t="shared" si="510"/>
        <v>101.15668376602704</v>
      </c>
      <c r="I214" s="543">
        <f t="shared" si="510"/>
        <v>111.63569709916135</v>
      </c>
      <c r="J214" s="543">
        <f t="shared" si="510"/>
        <v>109.02682603570777</v>
      </c>
      <c r="K214" s="543">
        <f t="shared" si="510"/>
        <v>105.49198684164151</v>
      </c>
      <c r="L214" s="543">
        <f t="shared" si="510"/>
        <v>117.30652286131139</v>
      </c>
      <c r="M214" s="543">
        <f t="shared" si="510"/>
        <v>123.52003839921377</v>
      </c>
      <c r="N214" s="543">
        <f t="shared" si="510"/>
        <v>144.4315543106506</v>
      </c>
      <c r="O214" s="543">
        <f t="shared" si="510"/>
        <v>123.01480046419761</v>
      </c>
      <c r="P214" s="543">
        <f t="shared" si="510"/>
        <v>118.71374272305587</v>
      </c>
      <c r="Q214" s="543">
        <f t="shared" si="510"/>
        <v>121.38853836891811</v>
      </c>
      <c r="R214" s="543">
        <f t="shared" si="510"/>
        <v>115.40114041550167</v>
      </c>
      <c r="S214" s="543">
        <f t="shared" si="510"/>
        <v>133.20362025104797</v>
      </c>
      <c r="T214" s="543">
        <f t="shared" si="510"/>
        <v>125.94840522329142</v>
      </c>
      <c r="U214" s="543">
        <f t="shared" si="510"/>
        <v>124.64877484727198</v>
      </c>
      <c r="V214" s="543">
        <f t="shared" si="510"/>
        <v>113.20541729052965</v>
      </c>
      <c r="W214" s="543">
        <f t="shared" si="510"/>
        <v>109.28442698227997</v>
      </c>
      <c r="X214" s="543">
        <f t="shared" ref="X214:AC214" si="511">SUM(X211:X213)</f>
        <v>92.024337256921257</v>
      </c>
      <c r="Y214" s="543">
        <f t="shared" si="511"/>
        <v>91.724135995526836</v>
      </c>
      <c r="Z214" s="543">
        <f t="shared" si="511"/>
        <v>89.05213472204511</v>
      </c>
      <c r="AA214" s="543">
        <f t="shared" si="511"/>
        <v>89.214658586183219</v>
      </c>
      <c r="AB214" s="543">
        <f t="shared" si="511"/>
        <v>98.925198292553276</v>
      </c>
      <c r="AC214" s="543">
        <f t="shared" si="511"/>
        <v>94.62639350402695</v>
      </c>
      <c r="AD214" s="543">
        <f>SUM(AD211:AD213)</f>
        <v>103.04350732743981</v>
      </c>
      <c r="AE214" s="543">
        <f>SUM(AE211:AE213)</f>
        <v>96.178726519538216</v>
      </c>
      <c r="AF214" s="543">
        <f t="shared" ref="AF214:AH214" si="512">SUM(AF211:AF213)</f>
        <v>106.95678848899398</v>
      </c>
      <c r="AG214" s="543">
        <f t="shared" si="512"/>
        <v>121.72305371312621</v>
      </c>
      <c r="AH214" s="543">
        <f t="shared" si="512"/>
        <v>115.97402903373451</v>
      </c>
      <c r="AI214" s="543">
        <f t="shared" ref="AI214:AJ214" si="513">SUM(AI211:AI213)</f>
        <v>107.92167871727729</v>
      </c>
      <c r="AJ214" s="543">
        <f t="shared" si="513"/>
        <v>120.85587625243753</v>
      </c>
      <c r="AK214" s="543">
        <f t="shared" ref="AK214" si="514">SUM(AK211:AK213)</f>
        <v>116.02731355973719</v>
      </c>
    </row>
    <row r="215" spans="4:37">
      <c r="D215" s="550" t="s">
        <v>1919</v>
      </c>
      <c r="E215" s="531">
        <f>E214-E179</f>
        <v>0</v>
      </c>
      <c r="F215" s="531">
        <f>F214-F179</f>
        <v>0</v>
      </c>
      <c r="G215" s="531">
        <f t="shared" ref="G215:W215" si="515">G214-G179</f>
        <v>0</v>
      </c>
      <c r="H215" s="531">
        <f t="shared" si="515"/>
        <v>0</v>
      </c>
      <c r="I215" s="531">
        <f t="shared" si="515"/>
        <v>0</v>
      </c>
      <c r="J215" s="531">
        <f t="shared" si="515"/>
        <v>0</v>
      </c>
      <c r="K215" s="531">
        <f t="shared" si="515"/>
        <v>0</v>
      </c>
      <c r="L215" s="531">
        <f t="shared" si="515"/>
        <v>0</v>
      </c>
      <c r="M215" s="531">
        <f t="shared" si="515"/>
        <v>0</v>
      </c>
      <c r="N215" s="531">
        <f t="shared" si="515"/>
        <v>0</v>
      </c>
      <c r="O215" s="531">
        <f t="shared" si="515"/>
        <v>0</v>
      </c>
      <c r="P215" s="531">
        <f t="shared" si="515"/>
        <v>0</v>
      </c>
      <c r="Q215" s="531">
        <f t="shared" si="515"/>
        <v>0</v>
      </c>
      <c r="R215" s="531">
        <f t="shared" si="515"/>
        <v>0</v>
      </c>
      <c r="S215" s="531">
        <f t="shared" si="515"/>
        <v>0</v>
      </c>
      <c r="T215" s="531">
        <f t="shared" si="515"/>
        <v>0</v>
      </c>
      <c r="U215" s="531">
        <f t="shared" si="515"/>
        <v>0</v>
      </c>
      <c r="V215" s="531">
        <f t="shared" si="515"/>
        <v>0</v>
      </c>
      <c r="W215" s="531">
        <f t="shared" si="515"/>
        <v>0</v>
      </c>
      <c r="X215" s="531">
        <f t="shared" ref="X215:AC215" si="516">X214-X179</f>
        <v>0</v>
      </c>
      <c r="Y215" s="531">
        <f t="shared" si="516"/>
        <v>0</v>
      </c>
      <c r="Z215" s="531">
        <f t="shared" si="516"/>
        <v>0</v>
      </c>
      <c r="AA215" s="531">
        <f t="shared" si="516"/>
        <v>0</v>
      </c>
      <c r="AB215" s="531">
        <f t="shared" si="516"/>
        <v>0</v>
      </c>
      <c r="AC215" s="531">
        <f t="shared" si="516"/>
        <v>0</v>
      </c>
      <c r="AD215" s="531">
        <f>AD214-AD179</f>
        <v>0</v>
      </c>
      <c r="AE215" s="531">
        <f>AE214-AE179</f>
        <v>0</v>
      </c>
      <c r="AF215" s="531">
        <f t="shared" ref="AF215:AH215" si="517">AF214-AF179</f>
        <v>0</v>
      </c>
      <c r="AG215" s="531">
        <f t="shared" si="517"/>
        <v>0</v>
      </c>
      <c r="AH215" s="531">
        <f t="shared" si="517"/>
        <v>0</v>
      </c>
      <c r="AI215" s="531">
        <f t="shared" ref="AI215:AJ215" si="518">AI214-AI179</f>
        <v>0</v>
      </c>
      <c r="AJ215" s="531">
        <f t="shared" si="518"/>
        <v>0</v>
      </c>
      <c r="AK215" s="531">
        <f t="shared" ref="AK215" si="519">AK214-AK179</f>
        <v>0</v>
      </c>
    </row>
    <row r="216" spans="4:37">
      <c r="E216" s="398"/>
      <c r="F216" s="398"/>
      <c r="G216" s="398"/>
      <c r="H216" s="398"/>
      <c r="I216" s="398"/>
      <c r="J216" s="398"/>
      <c r="K216" s="398"/>
      <c r="L216" s="398"/>
      <c r="M216" s="398"/>
      <c r="N216" s="398"/>
      <c r="O216" s="398"/>
      <c r="P216" s="398"/>
      <c r="Q216" s="398"/>
      <c r="R216" s="398"/>
      <c r="S216" s="398"/>
      <c r="T216" s="398"/>
      <c r="U216" s="398"/>
      <c r="V216" s="398"/>
      <c r="W216" s="398"/>
      <c r="X216" s="398"/>
      <c r="Y216" s="398"/>
      <c r="Z216" s="10"/>
      <c r="AA216" s="88"/>
      <c r="AB216" s="88"/>
      <c r="AC216" s="88"/>
      <c r="AD216" s="88"/>
      <c r="AE216" s="88"/>
      <c r="AF216" s="88"/>
      <c r="AG216" s="88"/>
      <c r="AH216" s="88"/>
      <c r="AI216" s="88"/>
      <c r="AJ216" s="88"/>
      <c r="AK216" s="88"/>
    </row>
    <row r="217" spans="4:37">
      <c r="E217" s="563"/>
      <c r="F217" s="563"/>
      <c r="G217" s="563"/>
      <c r="H217" s="563"/>
      <c r="I217" s="563"/>
      <c r="J217" s="563"/>
      <c r="K217" s="563"/>
      <c r="L217" s="563"/>
      <c r="M217" s="563"/>
      <c r="N217" s="563"/>
      <c r="O217" s="563"/>
      <c r="P217" s="563"/>
      <c r="Q217" s="563"/>
      <c r="R217" s="563"/>
      <c r="S217" s="563"/>
      <c r="T217" s="563"/>
      <c r="U217" s="563"/>
      <c r="V217" s="563"/>
      <c r="W217" s="563"/>
      <c r="X217" s="563"/>
      <c r="Y217" s="563"/>
      <c r="Z217" s="563"/>
      <c r="AA217" s="563"/>
      <c r="AB217" s="563"/>
      <c r="AC217" s="563"/>
      <c r="AD217" s="563"/>
      <c r="AE217" s="563"/>
      <c r="AF217" s="563"/>
      <c r="AG217" s="563"/>
      <c r="AH217" s="563"/>
      <c r="AI217" s="563"/>
      <c r="AJ217" s="563"/>
      <c r="AK217" s="563"/>
    </row>
    <row r="218" spans="4:37">
      <c r="E218" s="563"/>
      <c r="F218" s="563"/>
      <c r="G218" s="563"/>
      <c r="H218" s="563"/>
      <c r="I218" s="563"/>
      <c r="J218" s="563"/>
      <c r="K218" s="563"/>
      <c r="L218" s="563"/>
      <c r="M218" s="563"/>
      <c r="N218" s="563"/>
      <c r="O218" s="563"/>
      <c r="P218" s="563"/>
      <c r="Q218" s="563"/>
      <c r="R218" s="563"/>
      <c r="S218" s="563"/>
      <c r="T218" s="563"/>
      <c r="U218" s="563"/>
      <c r="V218" s="563"/>
      <c r="W218" s="563"/>
      <c r="X218" s="563"/>
      <c r="Y218" s="563"/>
      <c r="Z218" s="563"/>
      <c r="AA218" s="563"/>
      <c r="AB218" s="563"/>
      <c r="AC218" s="563"/>
      <c r="AD218" s="563"/>
      <c r="AE218" s="563"/>
      <c r="AF218" s="563"/>
      <c r="AG218" s="563"/>
      <c r="AH218" s="563"/>
      <c r="AI218" s="563"/>
      <c r="AJ218" s="563"/>
      <c r="AK218" s="563"/>
    </row>
    <row r="219" spans="4:37">
      <c r="E219" s="563"/>
      <c r="F219" s="563"/>
      <c r="G219" s="563"/>
      <c r="H219" s="563"/>
      <c r="I219" s="563"/>
      <c r="J219" s="563"/>
      <c r="K219" s="563"/>
      <c r="L219" s="563"/>
      <c r="M219" s="563"/>
      <c r="N219" s="563"/>
      <c r="O219" s="563"/>
      <c r="P219" s="563"/>
      <c r="Q219" s="563"/>
      <c r="R219" s="563"/>
      <c r="S219" s="563"/>
      <c r="T219" s="563"/>
      <c r="U219" s="563"/>
      <c r="V219" s="563"/>
      <c r="W219" s="563"/>
      <c r="X219" s="563"/>
      <c r="Y219" s="563"/>
      <c r="Z219" s="563"/>
      <c r="AA219" s="563"/>
      <c r="AB219" s="563"/>
      <c r="AC219" s="563"/>
      <c r="AD219" s="563"/>
      <c r="AE219" s="563"/>
      <c r="AF219" s="563"/>
      <c r="AG219" s="563"/>
      <c r="AH219" s="563"/>
      <c r="AI219" s="563"/>
      <c r="AJ219" s="563"/>
      <c r="AK219" s="563"/>
    </row>
    <row r="220" spans="4:37">
      <c r="E220" s="563"/>
      <c r="F220" s="563"/>
      <c r="G220" s="563"/>
      <c r="H220" s="563"/>
      <c r="I220" s="563"/>
      <c r="J220" s="563"/>
      <c r="K220" s="563"/>
      <c r="L220" s="563"/>
      <c r="M220" s="563"/>
      <c r="N220" s="563"/>
      <c r="O220" s="563"/>
      <c r="P220" s="563"/>
      <c r="Q220" s="563"/>
      <c r="R220" s="563"/>
      <c r="S220" s="563"/>
      <c r="T220" s="563"/>
      <c r="U220" s="563"/>
      <c r="V220" s="563"/>
      <c r="W220" s="563"/>
      <c r="X220" s="563"/>
      <c r="Y220" s="563"/>
      <c r="Z220" s="563"/>
      <c r="AA220" s="563"/>
      <c r="AB220" s="563"/>
      <c r="AC220" s="563"/>
      <c r="AD220" s="563"/>
      <c r="AE220" s="563"/>
      <c r="AF220" s="563"/>
      <c r="AG220" s="563"/>
      <c r="AH220" s="563"/>
      <c r="AI220" s="563"/>
      <c r="AJ220" s="563"/>
      <c r="AK220" s="563"/>
    </row>
    <row r="224" spans="4:37">
      <c r="E224" s="563"/>
      <c r="F224" s="563"/>
      <c r="G224" s="563"/>
      <c r="H224" s="563"/>
      <c r="I224" s="563"/>
      <c r="J224" s="563"/>
      <c r="K224" s="563"/>
      <c r="L224" s="563"/>
      <c r="M224" s="563"/>
      <c r="N224" s="563"/>
      <c r="O224" s="563"/>
      <c r="P224" s="563"/>
      <c r="Q224" s="563"/>
      <c r="R224" s="563"/>
      <c r="S224" s="563"/>
      <c r="T224" s="563"/>
      <c r="U224" s="563"/>
      <c r="V224" s="563"/>
      <c r="W224" s="563"/>
      <c r="X224" s="563"/>
      <c r="Y224" s="563"/>
      <c r="Z224" s="563"/>
      <c r="AA224" s="563"/>
      <c r="AB224" s="563"/>
      <c r="AC224" s="563"/>
      <c r="AD224" s="563"/>
      <c r="AE224" s="563"/>
      <c r="AF224" s="563"/>
      <c r="AG224" s="563"/>
      <c r="AH224" s="563"/>
      <c r="AI224" s="563"/>
      <c r="AJ224" s="563"/>
      <c r="AK224" s="563"/>
    </row>
  </sheetData>
  <phoneticPr fontId="3" type="noConversion"/>
  <pageMargins left="0.5" right="0.5" top="0.5" bottom="0.75" header="0.27" footer="0.21"/>
  <pageSetup scale="73" orientation="landscape" r:id="rId1"/>
  <headerFooter alignWithMargins="0">
    <oddHeader>&amp;L&amp;12GREENHOUSE GAS INVENTORY:  ENERGY</oddHeader>
    <oddFooter>&amp;LPage &amp;P of &amp;N&amp;C&amp;F  &amp;A&amp;R&amp;D  &amp;T</oddFooter>
  </headerFooter>
  <rowBreaks count="4" manualBreakCount="4">
    <brk id="30" max="19" man="1"/>
    <brk id="70" max="19" man="1"/>
    <brk id="123" max="19" man="1"/>
    <brk id="152" max="19" man="1"/>
  </rowBreaks>
  <ignoredErrors>
    <ignoredError sqref="M77:AH77 E79" formula="1"/>
  </ignoredErrors>
  <legacy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52"/>
  <dimension ref="A1:AJ93"/>
  <sheetViews>
    <sheetView workbookViewId="0">
      <selection activeCell="D7" sqref="D7"/>
    </sheetView>
  </sheetViews>
  <sheetFormatPr defaultColWidth="9" defaultRowHeight="12.95"/>
  <cols>
    <col min="1" max="1" width="4" style="1" customWidth="1"/>
    <col min="2" max="2" width="5.6640625" style="598" customWidth="1"/>
    <col min="3" max="3" width="32" style="1" customWidth="1"/>
    <col min="4" max="32" width="13" style="1" customWidth="1"/>
    <col min="33" max="36" width="13.6640625" style="1" customWidth="1"/>
    <col min="37" max="16384" width="9" style="1"/>
  </cols>
  <sheetData>
    <row r="1" spans="1:36" ht="17.45">
      <c r="A1" s="619" t="s">
        <v>1930</v>
      </c>
    </row>
    <row r="2" spans="1:36">
      <c r="A2" s="1123" t="s">
        <v>1931</v>
      </c>
      <c r="B2" s="1"/>
    </row>
    <row r="3" spans="1:36">
      <c r="A3" s="598" t="s">
        <v>1932</v>
      </c>
      <c r="B3" s="1"/>
    </row>
    <row r="4" spans="1:36">
      <c r="A4" s="215"/>
      <c r="B4" s="1"/>
      <c r="D4" s="466"/>
      <c r="E4" s="466"/>
      <c r="F4" s="466"/>
      <c r="G4" s="466"/>
      <c r="H4" s="466"/>
      <c r="I4" s="466"/>
      <c r="J4" s="466"/>
      <c r="K4" s="468"/>
      <c r="L4" s="468"/>
    </row>
    <row r="5" spans="1:36">
      <c r="B5" s="614"/>
      <c r="D5" s="466"/>
      <c r="E5" s="466"/>
      <c r="F5" s="466"/>
      <c r="G5" s="466"/>
      <c r="H5" s="466"/>
      <c r="I5" s="466"/>
      <c r="J5" s="466"/>
      <c r="K5" s="468"/>
      <c r="L5" s="468"/>
    </row>
    <row r="6" spans="1:36" ht="26.1">
      <c r="C6" s="758" t="s">
        <v>1933</v>
      </c>
      <c r="D6" s="460">
        <v>1990</v>
      </c>
      <c r="E6" s="460">
        <v>1991</v>
      </c>
      <c r="F6" s="460">
        <v>1992</v>
      </c>
      <c r="G6" s="460">
        <v>1993</v>
      </c>
      <c r="H6" s="460">
        <v>1994</v>
      </c>
      <c r="I6" s="460">
        <v>1995</v>
      </c>
      <c r="J6" s="460">
        <v>1996</v>
      </c>
      <c r="K6" s="460">
        <v>1997</v>
      </c>
      <c r="L6" s="460">
        <v>1998</v>
      </c>
      <c r="M6" s="460">
        <v>1999</v>
      </c>
      <c r="N6" s="460">
        <v>2000</v>
      </c>
      <c r="O6" s="460">
        <v>2001</v>
      </c>
      <c r="P6" s="460">
        <v>2002</v>
      </c>
      <c r="Q6" s="460">
        <v>2003</v>
      </c>
      <c r="R6" s="460">
        <v>2004</v>
      </c>
      <c r="S6" s="460">
        <v>2005</v>
      </c>
      <c r="T6" s="460">
        <v>2006</v>
      </c>
      <c r="U6" s="460">
        <v>2007</v>
      </c>
      <c r="V6" s="460">
        <v>2008</v>
      </c>
      <c r="W6" s="460">
        <v>2009</v>
      </c>
      <c r="X6" s="460">
        <v>2010</v>
      </c>
      <c r="Y6" s="460">
        <v>2011</v>
      </c>
      <c r="Z6" s="460">
        <v>2012</v>
      </c>
      <c r="AA6" s="460">
        <v>2013</v>
      </c>
      <c r="AB6" s="460">
        <v>2014</v>
      </c>
      <c r="AC6" s="460">
        <v>2015</v>
      </c>
      <c r="AD6" s="460">
        <v>2016</v>
      </c>
      <c r="AE6" s="460">
        <v>2017</v>
      </c>
      <c r="AF6" s="460">
        <v>2018</v>
      </c>
      <c r="AG6" s="460">
        <v>2019</v>
      </c>
      <c r="AH6" s="460">
        <v>2020</v>
      </c>
      <c r="AI6" s="460">
        <v>2021</v>
      </c>
      <c r="AJ6" s="460">
        <v>2022</v>
      </c>
    </row>
    <row r="7" spans="1:36">
      <c r="C7" s="759" t="s">
        <v>1877</v>
      </c>
      <c r="D7" s="761">
        <f>'[24]New Geothermal Calcs'!C7</f>
        <v>78742.951000000001</v>
      </c>
      <c r="E7" s="761">
        <f>'[24]New Geothermal Calcs'!D7</f>
        <v>351574.56</v>
      </c>
      <c r="F7" s="761">
        <f>'[24]New Geothermal Calcs'!E7</f>
        <v>354525.20299999998</v>
      </c>
      <c r="G7" s="761">
        <f>'[24]New Geothermal Calcs'!F7</f>
        <v>344084.22</v>
      </c>
      <c r="H7" s="761">
        <f>'[24]New Geothermal Calcs'!G7</f>
        <v>304645.95999999996</v>
      </c>
      <c r="I7" s="761">
        <f>'[24]New Geothermal Calcs'!H7</f>
        <v>281712.25</v>
      </c>
      <c r="J7" s="761">
        <f>'[24]New Geothermal Calcs'!I7</f>
        <v>278552.95999999996</v>
      </c>
      <c r="K7" s="761">
        <f>'[24]New Geothermal Calcs'!J7</f>
        <v>234972.79999999999</v>
      </c>
      <c r="L7" s="761">
        <f>'[24]New Geothermal Calcs'!K7</f>
        <v>322445.45999999996</v>
      </c>
      <c r="M7" s="761">
        <f>'[24]New Geothermal Calcs'!L7</f>
        <v>249274.61465110988</v>
      </c>
      <c r="N7" s="761">
        <f>'[24]New Geothermal Calcs'!M7</f>
        <v>236936.90223831372</v>
      </c>
      <c r="O7" s="761">
        <f>'[24]New Geothermal Calcs'!N7</f>
        <v>231008</v>
      </c>
      <c r="P7" s="761">
        <f>'[24]New Geothermal Calcs'!O7</f>
        <v>224388</v>
      </c>
      <c r="Q7" s="761">
        <f>'[24]New Geothermal Calcs'!P7</f>
        <v>219265</v>
      </c>
      <c r="R7" s="761">
        <f>'[24]New Geothermal Calcs'!Q7</f>
        <v>586015.53999999992</v>
      </c>
      <c r="S7" s="761">
        <f>'[24]New Geothermal Calcs'!R7</f>
        <v>675562.00399999996</v>
      </c>
      <c r="T7" s="761">
        <f>'[24]New Geothermal Calcs'!S7</f>
        <v>752684.00300000003</v>
      </c>
      <c r="U7" s="761">
        <f>'[24]New Geothermal Calcs'!T7</f>
        <v>782583.99699999997</v>
      </c>
      <c r="V7" s="761">
        <f>'[24]New Geothermal Calcs'!U7</f>
        <v>1494187</v>
      </c>
      <c r="W7" s="761">
        <f>'[24]New Geothermal Calcs'!V7</f>
        <v>1915850</v>
      </c>
      <c r="X7" s="761">
        <f>'[24]New Geothermal Calcs'!W7</f>
        <v>2412638.12</v>
      </c>
      <c r="Y7" s="761">
        <f>'[24]New Geothermal Calcs'!X7</f>
        <v>2162984</v>
      </c>
      <c r="Z7" s="761">
        <f>'[24]New Geothermal Calcs'!Y7</f>
        <v>2425570.6260000002</v>
      </c>
      <c r="AA7" s="761">
        <f>'[24]New Geothermal Calcs'!Z7</f>
        <v>2745237.08</v>
      </c>
      <c r="AB7" s="761">
        <f>'[24]New Geothermal Calcs'!AA7</f>
        <v>3124700</v>
      </c>
      <c r="AC7" s="761">
        <f>'[24]New Geothermal Calcs'!AB7</f>
        <v>3359437</v>
      </c>
      <c r="AD7" s="761">
        <f>'[24]New Geothermal Calcs'!AC7</f>
        <v>3621279</v>
      </c>
      <c r="AE7" s="761">
        <f>'[24]New Geothermal Calcs'!AD7</f>
        <v>3560175</v>
      </c>
      <c r="AF7" s="761">
        <f>'[24]New Geothermal Calcs'!AE7</f>
        <v>3844588</v>
      </c>
      <c r="AG7" s="761">
        <f>'[24]New Geothermal Calcs'!AF7</f>
        <v>4340131</v>
      </c>
      <c r="AH7" s="761">
        <f>'[24]New Geothermal Calcs'!AG7</f>
        <v>4222968</v>
      </c>
      <c r="AI7" s="761">
        <f>'[24]New Geothermal Calcs'!AH7</f>
        <v>4770859</v>
      </c>
      <c r="AJ7" s="761">
        <f>'[24]New Geothermal Calcs'!AI7</f>
        <v>4764842</v>
      </c>
    </row>
    <row r="8" spans="1:36">
      <c r="C8" s="759" t="s">
        <v>1934</v>
      </c>
      <c r="D8" s="761">
        <f>'[24]New Geothermal Calcs'!C8</f>
        <v>6147576.7129999995</v>
      </c>
      <c r="E8" s="761">
        <f>'[24]New Geothermal Calcs'!D8</f>
        <v>6875305.3839999996</v>
      </c>
      <c r="F8" s="761">
        <f>'[24]New Geothermal Calcs'!E8</f>
        <v>7016967.6959999986</v>
      </c>
      <c r="G8" s="761">
        <f>'[24]New Geothermal Calcs'!F8</f>
        <v>8180554.4680000003</v>
      </c>
      <c r="H8" s="761">
        <f>'[24]New Geothermal Calcs'!G8</f>
        <v>7602342.1270000003</v>
      </c>
      <c r="I8" s="761">
        <f>'[24]New Geothermal Calcs'!H8</f>
        <v>7625556.2850000001</v>
      </c>
      <c r="J8" s="761">
        <f>'[24]New Geothermal Calcs'!I8</f>
        <v>7918659.5929999994</v>
      </c>
      <c r="K8" s="761">
        <f>'[24]New Geothermal Calcs'!J8</f>
        <v>7930614.4759999989</v>
      </c>
      <c r="L8" s="761">
        <f>'[24]New Geothermal Calcs'!K8</f>
        <v>7961512.4400000013</v>
      </c>
      <c r="M8" s="761">
        <f>'[24]New Geothermal Calcs'!L8</f>
        <v>7816070.5835416922</v>
      </c>
      <c r="N8" s="761">
        <f>'[24]New Geothermal Calcs'!M8</f>
        <v>7429218.3916615751</v>
      </c>
      <c r="O8" s="761">
        <f>'[24]New Geothermal Calcs'!N8</f>
        <v>7243316.1150000002</v>
      </c>
      <c r="P8" s="761">
        <f>'[24]New Geothermal Calcs'!O8</f>
        <v>8102059.8909999998</v>
      </c>
      <c r="Q8" s="761">
        <f>'[24]New Geothermal Calcs'!P8</f>
        <v>8073805.0949999997</v>
      </c>
      <c r="R8" s="761">
        <f>'[24]New Geothermal Calcs'!Q8</f>
        <v>8085221.0010000002</v>
      </c>
      <c r="S8" s="761">
        <f>'[24]New Geothermal Calcs'!R8</f>
        <v>7925753.1959999995</v>
      </c>
      <c r="T8" s="761">
        <f>'[24]New Geothermal Calcs'!S8</f>
        <v>7772487.9979999997</v>
      </c>
      <c r="U8" s="761">
        <f>'[24]New Geothermal Calcs'!T8</f>
        <v>7665335.9959999993</v>
      </c>
      <c r="V8" s="761">
        <f>'[24]New Geothermal Calcs'!U8</f>
        <v>7325189.5600000005</v>
      </c>
      <c r="W8" s="761">
        <f>'[24]New Geothermal Calcs'!V8</f>
        <v>7143373</v>
      </c>
      <c r="X8" s="761">
        <f>'[24]New Geothermal Calcs'!W8</f>
        <v>6825519</v>
      </c>
      <c r="Y8" s="761">
        <f>'[24]New Geothermal Calcs'!X8</f>
        <v>7172118</v>
      </c>
      <c r="Z8" s="761">
        <f>'[24]New Geothermal Calcs'!Y8</f>
        <v>7021925</v>
      </c>
      <c r="AA8" s="761">
        <f>'[24]New Geothermal Calcs'!Z8</f>
        <v>7026778</v>
      </c>
      <c r="AB8" s="761">
        <f>'[24]New Geothermal Calcs'!AA8</f>
        <v>6915926</v>
      </c>
      <c r="AC8" s="761">
        <f>'[24]New Geothermal Calcs'!AB8</f>
        <v>6999576</v>
      </c>
      <c r="AD8" s="761">
        <f>'[24]New Geothermal Calcs'!AC8</f>
        <v>6650140</v>
      </c>
      <c r="AE8" s="761">
        <f>'[24]New Geothermal Calcs'!AD8</f>
        <v>6692952.2249999996</v>
      </c>
      <c r="AF8" s="761">
        <f>'[24]New Geothermal Calcs'!AE8</f>
        <v>6394150</v>
      </c>
      <c r="AG8" s="761">
        <f>'[24]New Geothermal Calcs'!AF8</f>
        <v>5924392</v>
      </c>
      <c r="AH8" s="761">
        <f>'[24]New Geothermal Calcs'!AG8</f>
        <v>6054766</v>
      </c>
      <c r="AI8" s="761">
        <f>'[24]New Geothermal Calcs'!AH8</f>
        <v>5684740</v>
      </c>
      <c r="AJ8" s="761">
        <f>'[24]New Geothermal Calcs'!AI8</f>
        <v>5778197</v>
      </c>
    </row>
    <row r="9" spans="1:36">
      <c r="C9" s="759" t="s">
        <v>1935</v>
      </c>
      <c r="D9" s="761">
        <f>'[24]New Geothermal Calcs'!C9</f>
        <v>9207951.4130000006</v>
      </c>
      <c r="E9" s="761">
        <f>'[24]New Geothermal Calcs'!D9</f>
        <v>8739564.5199999996</v>
      </c>
      <c r="F9" s="761">
        <f>'[24]New Geothermal Calcs'!E9</f>
        <v>8766469.5390000008</v>
      </c>
      <c r="G9" s="761">
        <f>'[24]New Geothermal Calcs'!F9</f>
        <v>8263926.642</v>
      </c>
      <c r="H9" s="761">
        <f>'[24]New Geothermal Calcs'!G9</f>
        <v>7628465.3939999994</v>
      </c>
      <c r="I9" s="761">
        <f>'[24]New Geothermal Calcs'!H9</f>
        <v>5470989.0779999997</v>
      </c>
      <c r="J9" s="761">
        <f>'[24]New Geothermal Calcs'!I9</f>
        <v>6131471.2390000001</v>
      </c>
      <c r="K9" s="761">
        <f>'[24]New Geothermal Calcs'!J9</f>
        <v>6560514.7000000002</v>
      </c>
      <c r="L9" s="761">
        <f>'[24]New Geothermal Calcs'!K9</f>
        <v>6489960.557</v>
      </c>
      <c r="M9" s="761">
        <f>'[24]New Geothermal Calcs'!L9</f>
        <v>6761667.8018071977</v>
      </c>
      <c r="N9" s="761">
        <f>'[24]New Geothermal Calcs'!M9</f>
        <v>6427002.7061001109</v>
      </c>
      <c r="O9" s="761">
        <f>'[24]New Geothermal Calcs'!N9</f>
        <v>6266179</v>
      </c>
      <c r="P9" s="761">
        <f>'[24]New Geothermal Calcs'!O9</f>
        <v>6164862</v>
      </c>
      <c r="Q9" s="761">
        <f>'[24]New Geothermal Calcs'!P9</f>
        <v>6131161</v>
      </c>
      <c r="R9" s="761">
        <f>'[24]New Geothermal Calcs'!Q9</f>
        <v>6139737.9989999998</v>
      </c>
      <c r="S9" s="761">
        <f>'[24]New Geothermal Calcs'!R9</f>
        <v>6090430.0010000002</v>
      </c>
      <c r="T9" s="761">
        <f>'[24]New Geothermal Calcs'!S9</f>
        <v>6042857</v>
      </c>
      <c r="U9" s="761">
        <f>'[24]New Geothermal Calcs'!T9</f>
        <v>6189292.9989999998</v>
      </c>
      <c r="V9" s="761">
        <f>'[24]New Geothermal Calcs'!U9</f>
        <v>6020600</v>
      </c>
      <c r="W9" s="761">
        <f>'[24]New Geothermal Calcs'!V9</f>
        <v>5949435</v>
      </c>
      <c r="X9" s="761">
        <f>'[24]New Geothermal Calcs'!W9</f>
        <v>5981056</v>
      </c>
      <c r="Y9" s="761">
        <f>'[24]New Geothermal Calcs'!X9</f>
        <v>5980966</v>
      </c>
      <c r="Z9" s="761">
        <f>'[24]New Geothermal Calcs'!Y9</f>
        <v>6114930</v>
      </c>
      <c r="AA9" s="761">
        <f>'[24]New Geothermal Calcs'!Z9</f>
        <v>6002659</v>
      </c>
      <c r="AB9" s="761">
        <f>'[24]New Geothermal Calcs'!AA9</f>
        <v>5836315</v>
      </c>
      <c r="AC9" s="761">
        <f>'[24]New Geothermal Calcs'!AB9</f>
        <v>5558562</v>
      </c>
      <c r="AD9" s="761">
        <f>'[24]New Geothermal Calcs'!AC9</f>
        <v>5554388</v>
      </c>
      <c r="AE9" s="761">
        <f>'[24]New Geothermal Calcs'!AD9</f>
        <v>5673647</v>
      </c>
      <c r="AF9" s="761">
        <f>'[24]New Geothermal Calcs'!AE9</f>
        <v>5728396</v>
      </c>
      <c r="AG9" s="761">
        <f>'[24]New Geothermal Calcs'!AF9</f>
        <v>5208194</v>
      </c>
      <c r="AH9" s="761">
        <f>'[24]New Geothermal Calcs'!AG9</f>
        <v>5611963</v>
      </c>
      <c r="AI9" s="761">
        <f>'[24]New Geothermal Calcs'!AH9</f>
        <v>5519168</v>
      </c>
      <c r="AJ9" s="761">
        <f>'[24]New Geothermal Calcs'!AI9</f>
        <v>5543890</v>
      </c>
    </row>
    <row r="10" spans="1:36">
      <c r="C10" s="760" t="s">
        <v>1480</v>
      </c>
      <c r="D10" s="762">
        <f>SUM(D7:D9)</f>
        <v>15434271.077</v>
      </c>
      <c r="E10" s="762">
        <f t="shared" ref="E10:AE10" si="0">SUM(E7:E9)</f>
        <v>15966444.463999998</v>
      </c>
      <c r="F10" s="762">
        <f t="shared" si="0"/>
        <v>16137962.437999999</v>
      </c>
      <c r="G10" s="762">
        <f t="shared" si="0"/>
        <v>16788565.330000002</v>
      </c>
      <c r="H10" s="762">
        <f t="shared" si="0"/>
        <v>15535453.480999999</v>
      </c>
      <c r="I10" s="762">
        <f t="shared" si="0"/>
        <v>13378257.613</v>
      </c>
      <c r="J10" s="762">
        <f t="shared" si="0"/>
        <v>14328683.791999999</v>
      </c>
      <c r="K10" s="762">
        <f t="shared" si="0"/>
        <v>14726101.976</v>
      </c>
      <c r="L10" s="762">
        <f t="shared" si="0"/>
        <v>14773918.457000002</v>
      </c>
      <c r="M10" s="762">
        <f t="shared" si="0"/>
        <v>14827013</v>
      </c>
      <c r="N10" s="762">
        <f t="shared" si="0"/>
        <v>14093158</v>
      </c>
      <c r="O10" s="762">
        <f t="shared" si="0"/>
        <v>13740503.115</v>
      </c>
      <c r="P10" s="762">
        <f t="shared" si="0"/>
        <v>14491309.890999999</v>
      </c>
      <c r="Q10" s="762">
        <f t="shared" si="0"/>
        <v>14424231.094999999</v>
      </c>
      <c r="R10" s="762">
        <f t="shared" si="0"/>
        <v>14810974.539999999</v>
      </c>
      <c r="S10" s="762">
        <f t="shared" si="0"/>
        <v>14691745.200999999</v>
      </c>
      <c r="T10" s="762">
        <f t="shared" si="0"/>
        <v>14568029.001</v>
      </c>
      <c r="U10" s="762">
        <f t="shared" si="0"/>
        <v>14637212.991999999</v>
      </c>
      <c r="V10" s="762">
        <f t="shared" si="0"/>
        <v>14839976.560000001</v>
      </c>
      <c r="W10" s="762">
        <f t="shared" si="0"/>
        <v>15008658</v>
      </c>
      <c r="X10" s="762">
        <f t="shared" si="0"/>
        <v>15219213.120000001</v>
      </c>
      <c r="Y10" s="762">
        <f t="shared" si="0"/>
        <v>15316068</v>
      </c>
      <c r="Z10" s="762">
        <f t="shared" si="0"/>
        <v>15562425.626</v>
      </c>
      <c r="AA10" s="762">
        <f t="shared" si="0"/>
        <v>15774674.08</v>
      </c>
      <c r="AB10" s="762">
        <f t="shared" si="0"/>
        <v>15876941</v>
      </c>
      <c r="AC10" s="762">
        <f t="shared" si="0"/>
        <v>15917575</v>
      </c>
      <c r="AD10" s="762">
        <f t="shared" si="0"/>
        <v>15825807</v>
      </c>
      <c r="AE10" s="762">
        <f t="shared" si="0"/>
        <v>15926774.225</v>
      </c>
      <c r="AF10" s="762">
        <f t="shared" ref="AF10:AG10" si="1">SUM(AF7:AF9)</f>
        <v>15967134</v>
      </c>
      <c r="AG10" s="762">
        <f t="shared" si="1"/>
        <v>15472717</v>
      </c>
      <c r="AH10" s="762">
        <f t="shared" ref="AH10:AI10" si="2">SUM(AH7:AH9)</f>
        <v>15889697</v>
      </c>
      <c r="AI10" s="762">
        <f t="shared" si="2"/>
        <v>15974767</v>
      </c>
      <c r="AJ10" s="762">
        <f t="shared" ref="AJ10" si="3">SUM(AJ7:AJ9)</f>
        <v>16086929</v>
      </c>
    </row>
    <row r="11" spans="1:36">
      <c r="C11" s="1" t="s">
        <v>1932</v>
      </c>
    </row>
    <row r="12" spans="1:36">
      <c r="C12" s="763"/>
    </row>
    <row r="13" spans="1:36">
      <c r="B13" s="456"/>
    </row>
    <row r="14" spans="1:36" ht="30">
      <c r="B14" s="456"/>
      <c r="C14" s="764" t="s">
        <v>1936</v>
      </c>
      <c r="D14" s="460">
        <v>1990</v>
      </c>
      <c r="E14" s="460">
        <v>1991</v>
      </c>
      <c r="F14" s="460">
        <v>1992</v>
      </c>
      <c r="G14" s="460">
        <v>1993</v>
      </c>
      <c r="H14" s="460">
        <v>1994</v>
      </c>
      <c r="I14" s="460">
        <v>1995</v>
      </c>
      <c r="J14" s="460">
        <v>1996</v>
      </c>
      <c r="K14" s="460">
        <v>1997</v>
      </c>
      <c r="L14" s="460">
        <v>1998</v>
      </c>
      <c r="M14" s="460">
        <v>1999</v>
      </c>
      <c r="N14" s="460">
        <v>2000</v>
      </c>
      <c r="O14" s="460">
        <v>2001</v>
      </c>
      <c r="P14" s="460">
        <v>2002</v>
      </c>
      <c r="Q14" s="460">
        <v>2003</v>
      </c>
      <c r="R14" s="460">
        <v>2004</v>
      </c>
      <c r="S14" s="460">
        <v>2005</v>
      </c>
      <c r="T14" s="460">
        <v>2006</v>
      </c>
      <c r="U14" s="460">
        <v>2007</v>
      </c>
      <c r="V14" s="460">
        <v>2008</v>
      </c>
      <c r="W14" s="460">
        <v>2009</v>
      </c>
      <c r="X14" s="460">
        <v>2010</v>
      </c>
      <c r="Y14" s="460">
        <v>2011</v>
      </c>
      <c r="Z14" s="460">
        <v>2012</v>
      </c>
      <c r="AA14" s="460">
        <v>2013</v>
      </c>
      <c r="AB14" s="460">
        <v>2014</v>
      </c>
      <c r="AC14" s="460">
        <v>2015</v>
      </c>
      <c r="AD14" s="460">
        <v>2016</v>
      </c>
      <c r="AE14" s="460">
        <v>2017</v>
      </c>
      <c r="AF14" s="460">
        <v>2018</v>
      </c>
      <c r="AG14" s="460">
        <v>2019</v>
      </c>
      <c r="AH14" s="460">
        <v>2020</v>
      </c>
      <c r="AI14" s="460">
        <v>2021</v>
      </c>
      <c r="AJ14" s="460">
        <v>2022</v>
      </c>
    </row>
    <row r="15" spans="1:36">
      <c r="B15" s="456"/>
      <c r="C15" s="759" t="s">
        <v>1877</v>
      </c>
      <c r="D15" s="466">
        <f>D7*Factors!$J$67*Factors!$J$52*Factors!$J$53*Factors!$J$54</f>
        <v>0</v>
      </c>
      <c r="E15" s="466">
        <f>E7*Factors!$J$67*Factors!$J$52*Factors!$J$53*Factors!$J$54</f>
        <v>0</v>
      </c>
      <c r="F15" s="466">
        <f>F7*Factors!$J$67*Factors!$J$52*Factors!$J$53*Factors!$J$54</f>
        <v>0</v>
      </c>
      <c r="G15" s="466">
        <f>G7*Factors!$J$67*Factors!$J$52*Factors!$J$53*Factors!$J$54</f>
        <v>0</v>
      </c>
      <c r="H15" s="466">
        <f>H7*Factors!$J$67*Factors!$J$52*Factors!$J$53*Factors!$J$54</f>
        <v>0</v>
      </c>
      <c r="I15" s="466">
        <f>I7*Factors!$J$67*Factors!$J$52*Factors!$J$53*Factors!$J$54</f>
        <v>0</v>
      </c>
      <c r="J15" s="466">
        <f>J7*Factors!$J$67*Factors!$J$52*Factors!$J$53*Factors!$J$54</f>
        <v>0</v>
      </c>
      <c r="K15" s="466">
        <f>K7*Factors!$J$67*Factors!$J$52*Factors!$J$53*Factors!$J$54</f>
        <v>0</v>
      </c>
      <c r="L15" s="466">
        <f>L7*Factors!$J$67*Factors!$J$52*Factors!$J$53*Factors!$J$54</f>
        <v>0</v>
      </c>
      <c r="M15" s="466">
        <f>M7*Factors!$J$67*Factors!$J$52*Factors!$J$53*Factors!$J$54</f>
        <v>0</v>
      </c>
      <c r="N15" s="466">
        <f>N7*Factors!$J$67*Factors!$J$52*Factors!$J$53*Factors!$J$54</f>
        <v>0</v>
      </c>
      <c r="O15" s="466">
        <f>O7*Factors!$J$67*Factors!$J$52*Factors!$J$53*Factors!$J$54</f>
        <v>0</v>
      </c>
      <c r="P15" s="466">
        <f>P7*Factors!$J$67*Factors!$J$52*Factors!$J$53*Factors!$J$54</f>
        <v>0</v>
      </c>
      <c r="Q15" s="466">
        <f>Q7*Factors!$J$67*Factors!$J$52*Factors!$J$53*Factors!$J$54</f>
        <v>0</v>
      </c>
      <c r="R15" s="466">
        <f>R7*Factors!$J$67*Factors!$J$52*Factors!$J$53*Factors!$J$54</f>
        <v>0</v>
      </c>
      <c r="S15" s="466">
        <f>S7*Factors!$J$67*Factors!$J$52*Factors!$J$53*Factors!$J$54</f>
        <v>0</v>
      </c>
      <c r="T15" s="466">
        <f>T7*Factors!$J$67*Factors!$J$52*Factors!$J$53*Factors!$J$54</f>
        <v>0</v>
      </c>
      <c r="U15" s="466">
        <f>U7*Factors!$J$67*Factors!$J$52*Factors!$J$53*Factors!$J$54</f>
        <v>0</v>
      </c>
      <c r="V15" s="466">
        <f>V7*Factors!$J$67*Factors!$J$52*Factors!$J$53*Factors!$J$54</f>
        <v>0</v>
      </c>
      <c r="W15" s="466">
        <f>W7*Factors!$J$67*Factors!$J$52*Factors!$J$53*Factors!$J$54</f>
        <v>0</v>
      </c>
      <c r="X15" s="466">
        <f>X7*Factors!$J$67*Factors!$J$52*Factors!$J$53*Factors!$J$54</f>
        <v>0</v>
      </c>
      <c r="Y15" s="466">
        <f>Y7*Factors!$J$67*Factors!$J$52*Factors!$J$53*Factors!$J$54</f>
        <v>0</v>
      </c>
      <c r="Z15" s="466">
        <f>Z7*Factors!$J$67*Factors!$J$52*Factors!$J$53*Factors!$J$54</f>
        <v>0</v>
      </c>
      <c r="AA15" s="466">
        <f>AA7*Factors!$J$67*Factors!$J$52*Factors!$J$53*Factors!$J$54</f>
        <v>0</v>
      </c>
      <c r="AB15" s="466">
        <f>AB7*Factors!$J$67*Factors!$J$52*Factors!$J$53*Factors!$J$54</f>
        <v>0</v>
      </c>
      <c r="AC15" s="466">
        <f>AC7*Factors!$J$67*Factors!$J$52*Factors!$J$53*Factors!$J$54</f>
        <v>0</v>
      </c>
      <c r="AD15" s="466">
        <f>AD7*Factors!$J$67*Factors!$J$52*Factors!$J$53*Factors!$J$54</f>
        <v>0</v>
      </c>
      <c r="AE15" s="466">
        <f>AE7*Factors!$J$67*Factors!$J$52*Factors!$J$53*Factors!$J$54</f>
        <v>0</v>
      </c>
      <c r="AF15" s="466">
        <f>AF7*Factors!$J$67*Factors!$J$52*Factors!$J$53*Factors!$J$54</f>
        <v>0</v>
      </c>
      <c r="AG15" s="466">
        <f>AG7*Factors!$J$67*Factors!$J$52*Factors!$J$53*Factors!$J$54</f>
        <v>0</v>
      </c>
      <c r="AH15" s="466">
        <f>AH7*Factors!$J$67*Factors!$J$52*Factors!$J$53*Factors!$J$54</f>
        <v>0</v>
      </c>
      <c r="AI15" s="466">
        <f>AI7*Factors!$J$67*Factors!$J$52*Factors!$J$53*Factors!$J$54</f>
        <v>0</v>
      </c>
      <c r="AJ15" s="466">
        <f>AJ7*Factors!$J$67*Factors!$J$52*Factors!$J$53*Factors!$J$54</f>
        <v>0</v>
      </c>
    </row>
    <row r="16" spans="1:36">
      <c r="B16" s="456"/>
      <c r="C16" s="759" t="s">
        <v>1934</v>
      </c>
      <c r="D16" s="466">
        <f>D8*Factors!$J$65*Factors!$J$52*Factors!$J$53*Factors!$J$54</f>
        <v>0.16730875927498018</v>
      </c>
      <c r="E16" s="466">
        <f>E8*Factors!$J$65*Factors!$J$52*Factors!$J$53*Factors!$J$54</f>
        <v>0.18711418614771355</v>
      </c>
      <c r="F16" s="466">
        <f>F8*Factors!$J$65*Factors!$J$52*Factors!$J$53*Factors!$J$54</f>
        <v>0.19096958263371838</v>
      </c>
      <c r="G16" s="466">
        <f>G8*Factors!$J$65*Factors!$J$52*Factors!$J$53*Factors!$J$54</f>
        <v>0.22263706206840722</v>
      </c>
      <c r="H16" s="466">
        <f>H8*Factors!$J$65*Factors!$J$52*Factors!$J$53*Factors!$J$54</f>
        <v>0.20690078192315578</v>
      </c>
      <c r="I16" s="466">
        <f>I8*Factors!$J$65*Factors!$J$52*Factors!$J$53*Factors!$J$54</f>
        <v>0.20753256451878899</v>
      </c>
      <c r="J16" s="466">
        <f>J8*Factors!$J$65*Factors!$J$52*Factors!$J$53*Factors!$J$54</f>
        <v>0.21550948828733216</v>
      </c>
      <c r="K16" s="466">
        <f>K8*Factors!$J$65*Factors!$J$52*Factors!$J$53*Factors!$J$54</f>
        <v>0.21583484521013035</v>
      </c>
      <c r="L16" s="466">
        <f>L8*Factors!$J$65*Factors!$J$52*Factors!$J$53*Factors!$J$54</f>
        <v>0.21667574565957601</v>
      </c>
      <c r="M16" s="466">
        <f>M8*Factors!$J$65*Factors!$J$52*Factors!$J$53*Factors!$J$54</f>
        <v>0.21271748735932058</v>
      </c>
      <c r="N16" s="466">
        <f>N8*Factors!$J$65*Factors!$J$52*Factors!$J$53*Factors!$J$54</f>
        <v>0.20218915021642642</v>
      </c>
      <c r="O16" s="466">
        <f>O8*Factors!$J$65*Factors!$J$52*Factors!$J$53*Factors!$J$54</f>
        <v>0.19712974539617098</v>
      </c>
      <c r="P16" s="466">
        <f>P8*Factors!$J$65*Factors!$J$52*Factors!$J$53*Factors!$J$54</f>
        <v>0.22050080075752138</v>
      </c>
      <c r="Q16" s="466">
        <f>Q8*Factors!$J$65*Factors!$J$52*Factors!$J$53*Factors!$J$54</f>
        <v>0.21973183518246298</v>
      </c>
      <c r="R16" s="466">
        <f>R8*Factors!$J$65*Factors!$J$52*Factors!$J$53*Factors!$J$54</f>
        <v>0.22004252363061538</v>
      </c>
      <c r="S16" s="466">
        <f>S8*Factors!$J$65*Factors!$J$52*Factors!$J$53*Factors!$J$54</f>
        <v>0.21570254353041837</v>
      </c>
      <c r="T16" s="466">
        <f>T8*Factors!$J$65*Factors!$J$52*Factors!$J$53*Factors!$J$54</f>
        <v>0.21153136986076918</v>
      </c>
      <c r="U16" s="466">
        <f>U8*Factors!$J$65*Factors!$J$52*Factors!$J$53*Factors!$J$54</f>
        <v>0.20861518526553838</v>
      </c>
      <c r="V16" s="466">
        <f>V8*Factors!$J$65*Factors!$J$52*Factors!$J$53*Factors!$J$54</f>
        <v>0.19935796395122399</v>
      </c>
      <c r="W16" s="466">
        <f>W8*Factors!$J$65*Factors!$J$52*Factors!$J$53*Factors!$J$54</f>
        <v>0.19440975354420001</v>
      </c>
      <c r="X16" s="466">
        <f>X8*Factors!$J$65*Factors!$J$52*Factors!$J$53*Factors!$J$54</f>
        <v>0.18575922979259998</v>
      </c>
      <c r="Y16" s="466">
        <f>Y8*Factors!$J$65*Factors!$J$52*Factors!$J$53*Factors!$J$54</f>
        <v>0.19519206021720001</v>
      </c>
      <c r="Z16" s="466">
        <f>Z8*Factors!$J$65*Factors!$J$52*Factors!$J$53*Factors!$J$54</f>
        <v>0.19110449764500001</v>
      </c>
      <c r="AA16" s="466">
        <f>AA8*Factors!$J$65*Factors!$J$52*Factors!$J$53*Factors!$J$54</f>
        <v>0.1912365739812</v>
      </c>
      <c r="AB16" s="466">
        <f>AB8*Factors!$J$65*Factors!$J$52*Factors!$J$53*Factors!$J$54</f>
        <v>0.18821969246039999</v>
      </c>
      <c r="AC16" s="466">
        <f>AC8*Factors!$J$65*Factors!$J$52*Factors!$J$53*Factors!$J$54</f>
        <v>0.19049626067039999</v>
      </c>
      <c r="AD16" s="466">
        <f>AD8*Factors!$J$65*Factors!$J$52*Factors!$J$53*Factors!$J$54</f>
        <v>0.18098622015599999</v>
      </c>
      <c r="AE16" s="466">
        <f>AE8*Factors!$J$65*Factors!$J$52*Factors!$J$53*Factors!$J$54</f>
        <v>0.18215137198426501</v>
      </c>
      <c r="AF16" s="466">
        <f>AF8*Factors!$J$65*Factors!$J$52*Factors!$J$53*Factors!$J$54</f>
        <v>0.17401934990999998</v>
      </c>
      <c r="AG16" s="466">
        <f>AG8*Factors!$J$65*Factors!$J$52*Factors!$J$53*Factors!$J$54</f>
        <v>0.16123469803679999</v>
      </c>
      <c r="AH16" s="466">
        <f>AH8*Factors!$J$65*Factors!$J$52*Factors!$J$53*Factors!$J$54</f>
        <v>0.16478287859639998</v>
      </c>
      <c r="AI16" s="466">
        <f>AI8*Factors!$J$65*Factors!$J$52*Factors!$J$53*Factors!$J$54</f>
        <v>0.15471247299599999</v>
      </c>
      <c r="AJ16" s="466">
        <f>AJ8*Factors!$J$65*Factors!$J$52*Factors!$J$53*Factors!$J$54</f>
        <v>0.15725594263379999</v>
      </c>
    </row>
    <row r="17" spans="2:36">
      <c r="B17" s="456"/>
      <c r="C17" s="759" t="s">
        <v>1935</v>
      </c>
      <c r="D17" s="466">
        <f>D9*Factors!$J$66*Factors!$J$52*Factors!$J$53*Factors!$J$54</f>
        <v>0.37088515971033309</v>
      </c>
      <c r="E17" s="466">
        <f>E9*Factors!$J$66*Factors!$J$52*Factors!$J$53*Factors!$J$54</f>
        <v>0.35201910147165977</v>
      </c>
      <c r="F17" s="466">
        <f>F9*Factors!$J$66*Factors!$J$52*Factors!$J$53*Factors!$J$54</f>
        <v>0.35310280313571685</v>
      </c>
      <c r="G17" s="466">
        <f>G9*Factors!$J$66*Factors!$J$52*Factors!$J$53*Factors!$J$54</f>
        <v>0.33286098231637645</v>
      </c>
      <c r="H17" s="466">
        <f>H9*Factors!$J$66*Factors!$J$52*Factors!$J$53*Factors!$J$54</f>
        <v>0.30726537088412398</v>
      </c>
      <c r="I17" s="466">
        <f>I9*Factors!$J$66*Factors!$J$52*Factors!$J$53*Factors!$J$54</f>
        <v>0.22036483110703373</v>
      </c>
      <c r="J17" s="466">
        <f>J9*Factors!$J$66*Factors!$J$52*Factors!$J$53*Factors!$J$54</f>
        <v>0.2469682546896633</v>
      </c>
      <c r="K17" s="466">
        <f>K9*Factors!$J$66*Factors!$J$52*Factors!$J$53*Factors!$J$54</f>
        <v>0.26424960701424244</v>
      </c>
      <c r="L17" s="466">
        <f>L9*Factors!$J$66*Factors!$J$52*Factors!$J$53*Factors!$J$54</f>
        <v>0.2614077713636071</v>
      </c>
      <c r="M17" s="466">
        <f>M9*Factors!$J$66*Factors!$J$52*Factors!$J$53*Factors!$J$54</f>
        <v>0.27235181096208932</v>
      </c>
      <c r="N17" s="466">
        <f>N9*Factors!$J$66*Factors!$J$52*Factors!$J$53*Factors!$J$54</f>
        <v>0.25887190518244346</v>
      </c>
      <c r="O17" s="466">
        <f>O9*Factors!$J$66*Factors!$J$52*Factors!$J$53*Factors!$J$54</f>
        <v>0.25239412057576793</v>
      </c>
      <c r="P17" s="466">
        <f>P9*Factors!$J$66*Factors!$J$52*Factors!$J$53*Factors!$J$54</f>
        <v>0.24831319420670403</v>
      </c>
      <c r="Q17" s="466">
        <f>Q9*Factors!$J$66*Factors!$J$52*Factors!$J$53*Factors!$J$54</f>
        <v>0.24695575863751199</v>
      </c>
      <c r="R17" s="466">
        <f>R9*Factors!$J$66*Factors!$J$52*Factors!$J$53*Factors!$J$54</f>
        <v>0.24730122979621719</v>
      </c>
      <c r="S17" s="466">
        <f>S9*Factors!$J$66*Factors!$J$52*Factors!$J$53*Factors!$J$54</f>
        <v>0.24531516320083877</v>
      </c>
      <c r="T17" s="466">
        <f>T9*Factors!$J$66*Factors!$J$52*Factors!$J$53*Factors!$J$54</f>
        <v>0.24339898018874398</v>
      </c>
      <c r="U17" s="466">
        <f>U9*Factors!$J$66*Factors!$J$52*Factors!$J$53*Factors!$J$54</f>
        <v>0.2492972453337772</v>
      </c>
      <c r="V17" s="466">
        <f>V9*Factors!$J$66*Factors!$J$52*Factors!$J$53*Factors!$J$54</f>
        <v>0.2425024951152</v>
      </c>
      <c r="W17" s="466">
        <f>W9*Factors!$J$66*Factors!$J$52*Factors!$J$53*Factors!$J$54</f>
        <v>0.23963605488251999</v>
      </c>
      <c r="X17" s="466">
        <f>X9*Factors!$J$66*Factors!$J$52*Factors!$J$53*Factors!$J$54</f>
        <v>0.24090971056435201</v>
      </c>
      <c r="Y17" s="466">
        <f>Y9*Factors!$J$66*Factors!$J$52*Factors!$J$53*Factors!$J$54</f>
        <v>0.24090608547307199</v>
      </c>
      <c r="Z17" s="466">
        <f>Z9*Factors!$J$66*Factors!$J$52*Factors!$J$53*Factors!$J$54</f>
        <v>0.24630199356455998</v>
      </c>
      <c r="AA17" s="466">
        <f>AA9*Factors!$J$66*Factors!$J$52*Factors!$J$53*Factors!$J$54</f>
        <v>0.24177985330792798</v>
      </c>
      <c r="AB17" s="466">
        <f>AB9*Factors!$J$66*Factors!$J$52*Factors!$J$53*Factors!$J$54</f>
        <v>0.23507971793148</v>
      </c>
      <c r="AC17" s="466">
        <f>AC9*Factors!$J$66*Factors!$J$52*Factors!$J$53*Factors!$J$54</f>
        <v>0.22389216261710401</v>
      </c>
      <c r="AD17" s="466">
        <f>AD9*Factors!$J$66*Factors!$J$52*Factors!$J$53*Factors!$J$54</f>
        <v>0.22372403893929596</v>
      </c>
      <c r="AE17" s="466">
        <f>AE9*Factors!$J$66*Factors!$J$52*Factors!$J$53*Factors!$J$54</f>
        <v>0.22852764739442397</v>
      </c>
      <c r="AF17" s="466">
        <f>AF9*Factors!$J$66*Factors!$J$52*Factors!$J$53*Factors!$J$54</f>
        <v>0.23073287097763201</v>
      </c>
      <c r="AG17" s="466">
        <f>AG9*Factors!$J$66*Factors!$J$52*Factors!$J$53*Factors!$J$54</f>
        <v>0.20977976282164801</v>
      </c>
      <c r="AH17" s="466">
        <f>AH9*Factors!$J$66*Factors!$J$52*Factors!$J$53*Factors!$J$54</f>
        <v>0.22604309038869599</v>
      </c>
      <c r="AI17" s="466">
        <f>AI9*Factors!$J$66*Factors!$J$52*Factors!$J$53*Factors!$J$54</f>
        <v>0.222305419885056</v>
      </c>
      <c r="AJ17" s="466">
        <f>AJ9*Factors!$J$66*Factors!$J$52*Factors!$J$53*Factors!$J$54</f>
        <v>0.22330119218088001</v>
      </c>
    </row>
    <row r="18" spans="2:36">
      <c r="B18" s="456"/>
      <c r="C18" s="760" t="s">
        <v>1480</v>
      </c>
      <c r="D18" s="772">
        <f>SUM(D15:D17)</f>
        <v>0.53819391898531332</v>
      </c>
      <c r="E18" s="772">
        <f t="shared" ref="E18:AE18" si="4">SUM(E15:E17)</f>
        <v>0.53913328761937329</v>
      </c>
      <c r="F18" s="772">
        <f t="shared" si="4"/>
        <v>0.54407238576943517</v>
      </c>
      <c r="G18" s="772">
        <f t="shared" si="4"/>
        <v>0.55549804438478367</v>
      </c>
      <c r="H18" s="772">
        <f t="shared" si="4"/>
        <v>0.51416615280727973</v>
      </c>
      <c r="I18" s="772">
        <f t="shared" si="4"/>
        <v>0.42789739562582274</v>
      </c>
      <c r="J18" s="772">
        <f t="shared" si="4"/>
        <v>0.46247774297699545</v>
      </c>
      <c r="K18" s="772">
        <f t="shared" si="4"/>
        <v>0.48008445222437279</v>
      </c>
      <c r="L18" s="772">
        <f t="shared" si="4"/>
        <v>0.47808351702318308</v>
      </c>
      <c r="M18" s="772">
        <f t="shared" si="4"/>
        <v>0.48506929832140988</v>
      </c>
      <c r="N18" s="772">
        <f t="shared" si="4"/>
        <v>0.46106105539886988</v>
      </c>
      <c r="O18" s="772">
        <f t="shared" si="4"/>
        <v>0.44952386597193894</v>
      </c>
      <c r="P18" s="772">
        <f t="shared" si="4"/>
        <v>0.46881399496422538</v>
      </c>
      <c r="Q18" s="772">
        <f t="shared" si="4"/>
        <v>0.46668759381997493</v>
      </c>
      <c r="R18" s="772">
        <f t="shared" si="4"/>
        <v>0.46734375342683254</v>
      </c>
      <c r="S18" s="772">
        <f t="shared" si="4"/>
        <v>0.46101770673125714</v>
      </c>
      <c r="T18" s="772">
        <f t="shared" si="4"/>
        <v>0.45493035004951315</v>
      </c>
      <c r="U18" s="772">
        <f t="shared" si="4"/>
        <v>0.45791243059931558</v>
      </c>
      <c r="V18" s="772">
        <f t="shared" si="4"/>
        <v>0.44186045906642402</v>
      </c>
      <c r="W18" s="772">
        <f t="shared" si="4"/>
        <v>0.43404580842672003</v>
      </c>
      <c r="X18" s="772">
        <f t="shared" si="4"/>
        <v>0.42666894035695202</v>
      </c>
      <c r="Y18" s="772">
        <f t="shared" si="4"/>
        <v>0.436098145690272</v>
      </c>
      <c r="Z18" s="772">
        <f t="shared" si="4"/>
        <v>0.43740649120955999</v>
      </c>
      <c r="AA18" s="772">
        <f t="shared" si="4"/>
        <v>0.43301642728912798</v>
      </c>
      <c r="AB18" s="772">
        <f t="shared" si="4"/>
        <v>0.42329941039188002</v>
      </c>
      <c r="AC18" s="772">
        <f t="shared" si="4"/>
        <v>0.41438842328750403</v>
      </c>
      <c r="AD18" s="772">
        <f t="shared" si="4"/>
        <v>0.40471025909529595</v>
      </c>
      <c r="AE18" s="772">
        <f t="shared" si="4"/>
        <v>0.410679019378689</v>
      </c>
      <c r="AF18" s="772">
        <f t="shared" ref="AF18:AG18" si="5">SUM(AF15:AF17)</f>
        <v>0.40475222088763196</v>
      </c>
      <c r="AG18" s="772">
        <f t="shared" si="5"/>
        <v>0.37101446085844803</v>
      </c>
      <c r="AH18" s="772">
        <f t="shared" ref="AH18:AI18" si="6">SUM(AH15:AH17)</f>
        <v>0.39082596898509597</v>
      </c>
      <c r="AI18" s="772">
        <f t="shared" si="6"/>
        <v>0.37701789288105603</v>
      </c>
      <c r="AJ18" s="772">
        <f t="shared" ref="AJ18" si="7">SUM(AJ15:AJ17)</f>
        <v>0.38055713481468001</v>
      </c>
    </row>
    <row r="19" spans="2:36">
      <c r="P19" s="301"/>
    </row>
    <row r="20" spans="2:36" ht="26.1">
      <c r="B20" s="1"/>
      <c r="C20" s="758" t="s">
        <v>1937</v>
      </c>
      <c r="D20" s="460">
        <v>1990</v>
      </c>
      <c r="E20" s="460">
        <v>1991</v>
      </c>
      <c r="F20" s="460">
        <v>1992</v>
      </c>
      <c r="G20" s="460">
        <v>1993</v>
      </c>
      <c r="H20" s="460">
        <v>1994</v>
      </c>
      <c r="I20" s="460">
        <v>1995</v>
      </c>
      <c r="J20" s="460">
        <v>1996</v>
      </c>
      <c r="K20" s="460">
        <v>1997</v>
      </c>
      <c r="L20" s="460">
        <v>1998</v>
      </c>
      <c r="M20" s="460">
        <v>1999</v>
      </c>
      <c r="N20" s="460">
        <v>2000</v>
      </c>
      <c r="O20" s="460">
        <v>2001</v>
      </c>
      <c r="P20" s="460">
        <v>2002</v>
      </c>
      <c r="Q20" s="460">
        <v>2003</v>
      </c>
      <c r="R20" s="460">
        <v>2004</v>
      </c>
      <c r="S20" s="460">
        <v>2005</v>
      </c>
      <c r="T20" s="460">
        <v>2006</v>
      </c>
      <c r="U20" s="460">
        <v>2007</v>
      </c>
      <c r="V20" s="460">
        <v>2008</v>
      </c>
      <c r="W20" s="460">
        <v>2009</v>
      </c>
      <c r="X20" s="460">
        <v>2010</v>
      </c>
      <c r="Y20" s="460">
        <v>2011</v>
      </c>
      <c r="Z20" s="460">
        <v>2012</v>
      </c>
      <c r="AA20" s="460">
        <v>2013</v>
      </c>
      <c r="AB20" s="460">
        <v>2014</v>
      </c>
      <c r="AC20" s="460">
        <v>2015</v>
      </c>
      <c r="AD20" s="460">
        <v>2016</v>
      </c>
      <c r="AE20" s="460">
        <v>2017</v>
      </c>
      <c r="AF20" s="460">
        <v>2018</v>
      </c>
      <c r="AG20" s="460">
        <v>2019</v>
      </c>
      <c r="AH20" s="460">
        <v>2020</v>
      </c>
      <c r="AI20" s="460">
        <v>2021</v>
      </c>
      <c r="AJ20" s="460">
        <v>2022</v>
      </c>
    </row>
    <row r="21" spans="2:36">
      <c r="B21" s="1"/>
      <c r="C21" s="759" t="s">
        <v>1877</v>
      </c>
      <c r="D21" s="1">
        <f>D7/1000000</f>
        <v>7.8742951000000005E-2</v>
      </c>
      <c r="E21" s="1">
        <f t="shared" ref="E21:AE24" si="8">E7/1000000</f>
        <v>0.35157455999999998</v>
      </c>
      <c r="F21" s="1">
        <f t="shared" si="8"/>
        <v>0.35452520299999996</v>
      </c>
      <c r="G21" s="1">
        <f t="shared" si="8"/>
        <v>0.34408422</v>
      </c>
      <c r="H21" s="1">
        <f t="shared" si="8"/>
        <v>0.30464595999999994</v>
      </c>
      <c r="I21" s="1">
        <f t="shared" si="8"/>
        <v>0.28171225</v>
      </c>
      <c r="J21" s="1">
        <f t="shared" si="8"/>
        <v>0.27855295999999996</v>
      </c>
      <c r="K21" s="1">
        <f t="shared" si="8"/>
        <v>0.23497279999999998</v>
      </c>
      <c r="L21" s="1">
        <f t="shared" si="8"/>
        <v>0.32244545999999996</v>
      </c>
      <c r="M21" s="1">
        <f t="shared" si="8"/>
        <v>0.24927461465110987</v>
      </c>
      <c r="N21" s="1">
        <f t="shared" si="8"/>
        <v>0.23693690223831371</v>
      </c>
      <c r="O21" s="1">
        <f t="shared" si="8"/>
        <v>0.23100799999999999</v>
      </c>
      <c r="P21" s="1">
        <f t="shared" si="8"/>
        <v>0.224388</v>
      </c>
      <c r="Q21" s="1">
        <f t="shared" si="8"/>
        <v>0.21926499999999999</v>
      </c>
      <c r="R21" s="1">
        <f t="shared" si="8"/>
        <v>0.58601553999999989</v>
      </c>
      <c r="S21" s="1">
        <f t="shared" si="8"/>
        <v>0.67556200399999999</v>
      </c>
      <c r="T21" s="1">
        <f t="shared" si="8"/>
        <v>0.75268400300000005</v>
      </c>
      <c r="U21" s="1">
        <f t="shared" si="8"/>
        <v>0.78258399699999992</v>
      </c>
      <c r="V21" s="1">
        <f t="shared" si="8"/>
        <v>1.4941869999999999</v>
      </c>
      <c r="W21" s="1">
        <f t="shared" si="8"/>
        <v>1.9158500000000001</v>
      </c>
      <c r="X21" s="1">
        <f t="shared" si="8"/>
        <v>2.41263812</v>
      </c>
      <c r="Y21" s="1">
        <f t="shared" si="8"/>
        <v>2.1629839999999998</v>
      </c>
      <c r="Z21" s="1">
        <f t="shared" si="8"/>
        <v>2.4255706260000003</v>
      </c>
      <c r="AA21" s="1">
        <f t="shared" si="8"/>
        <v>2.7452370799999999</v>
      </c>
      <c r="AB21" s="1">
        <f t="shared" si="8"/>
        <v>3.1246999999999998</v>
      </c>
      <c r="AC21" s="1">
        <f t="shared" si="8"/>
        <v>3.3594369999999998</v>
      </c>
      <c r="AD21" s="1">
        <f t="shared" si="8"/>
        <v>3.6212789999999999</v>
      </c>
      <c r="AE21" s="1">
        <f t="shared" si="8"/>
        <v>3.5601750000000001</v>
      </c>
      <c r="AF21" s="1">
        <f t="shared" ref="AF21:AG21" si="9">AF7/1000000</f>
        <v>3.8445879999999999</v>
      </c>
      <c r="AG21" s="1">
        <f t="shared" si="9"/>
        <v>4.3401310000000004</v>
      </c>
      <c r="AH21" s="1">
        <f t="shared" ref="AH21:AI21" si="10">AH7/1000000</f>
        <v>4.2229679999999998</v>
      </c>
      <c r="AI21" s="1">
        <f t="shared" si="10"/>
        <v>4.7708589999999997</v>
      </c>
      <c r="AJ21" s="1">
        <f t="shared" ref="AJ21" si="11">AJ7/1000000</f>
        <v>4.7648419999999998</v>
      </c>
    </row>
    <row r="22" spans="2:36">
      <c r="B22" s="1"/>
      <c r="C22" s="759" t="s">
        <v>1934</v>
      </c>
      <c r="D22" s="1">
        <f t="shared" ref="D22:S24" si="12">D8/1000000</f>
        <v>6.1475767129999994</v>
      </c>
      <c r="E22" s="1">
        <f t="shared" si="12"/>
        <v>6.8753053839999998</v>
      </c>
      <c r="F22" s="1">
        <f t="shared" si="12"/>
        <v>7.0169676959999983</v>
      </c>
      <c r="G22" s="1">
        <f t="shared" si="12"/>
        <v>8.1805544680000004</v>
      </c>
      <c r="H22" s="1">
        <f t="shared" si="12"/>
        <v>7.602342127</v>
      </c>
      <c r="I22" s="1">
        <f t="shared" si="12"/>
        <v>7.625556285</v>
      </c>
      <c r="J22" s="1">
        <f t="shared" si="12"/>
        <v>7.9186595929999992</v>
      </c>
      <c r="K22" s="1">
        <f t="shared" si="12"/>
        <v>7.9306144759999988</v>
      </c>
      <c r="L22" s="1">
        <f t="shared" si="12"/>
        <v>7.9615124400000017</v>
      </c>
      <c r="M22" s="1">
        <f t="shared" si="12"/>
        <v>7.8160705835416922</v>
      </c>
      <c r="N22" s="1">
        <f t="shared" si="12"/>
        <v>7.4292183916615748</v>
      </c>
      <c r="O22" s="1">
        <f t="shared" si="12"/>
        <v>7.2433161149999998</v>
      </c>
      <c r="P22" s="1">
        <f t="shared" si="12"/>
        <v>8.1020598909999997</v>
      </c>
      <c r="Q22" s="1">
        <f t="shared" si="12"/>
        <v>8.0738050949999991</v>
      </c>
      <c r="R22" s="1">
        <f t="shared" si="12"/>
        <v>8.0852210010000007</v>
      </c>
      <c r="S22" s="1">
        <f t="shared" si="12"/>
        <v>7.9257531959999996</v>
      </c>
      <c r="T22" s="1">
        <f t="shared" si="8"/>
        <v>7.7724879979999999</v>
      </c>
      <c r="U22" s="1">
        <f t="shared" si="8"/>
        <v>7.6653359959999996</v>
      </c>
      <c r="V22" s="1">
        <f t="shared" si="8"/>
        <v>7.3251895600000001</v>
      </c>
      <c r="W22" s="1">
        <f t="shared" si="8"/>
        <v>7.1433730000000004</v>
      </c>
      <c r="X22" s="1">
        <f t="shared" si="8"/>
        <v>6.8255189999999999</v>
      </c>
      <c r="Y22" s="1">
        <f t="shared" si="8"/>
        <v>7.1721180000000002</v>
      </c>
      <c r="Z22" s="1">
        <f t="shared" si="8"/>
        <v>7.0219250000000004</v>
      </c>
      <c r="AA22" s="1">
        <f t="shared" si="8"/>
        <v>7.0267780000000002</v>
      </c>
      <c r="AB22" s="1">
        <f t="shared" si="8"/>
        <v>6.9159259999999998</v>
      </c>
      <c r="AC22" s="1">
        <f t="shared" si="8"/>
        <v>6.9995760000000002</v>
      </c>
      <c r="AD22" s="1">
        <f t="shared" si="8"/>
        <v>6.6501400000000004</v>
      </c>
      <c r="AE22" s="1">
        <f t="shared" si="8"/>
        <v>6.692952225</v>
      </c>
      <c r="AF22" s="1">
        <f t="shared" ref="AF22:AG22" si="13">AF8/1000000</f>
        <v>6.3941499999999998</v>
      </c>
      <c r="AG22" s="1">
        <f t="shared" si="13"/>
        <v>5.9243920000000001</v>
      </c>
      <c r="AH22" s="1">
        <f t="shared" ref="AH22:AI22" si="14">AH8/1000000</f>
        <v>6.0547659999999999</v>
      </c>
      <c r="AI22" s="1">
        <f t="shared" si="14"/>
        <v>5.6847399999999997</v>
      </c>
      <c r="AJ22" s="1">
        <f t="shared" ref="AJ22" si="15">AJ8/1000000</f>
        <v>5.7781969999999996</v>
      </c>
    </row>
    <row r="23" spans="2:36">
      <c r="B23" s="1"/>
      <c r="C23" s="759" t="s">
        <v>1935</v>
      </c>
      <c r="D23" s="1">
        <f t="shared" si="12"/>
        <v>9.207951413</v>
      </c>
      <c r="E23" s="1">
        <f t="shared" si="8"/>
        <v>8.7395645200000001</v>
      </c>
      <c r="F23" s="1">
        <f t="shared" si="8"/>
        <v>8.7664695390000009</v>
      </c>
      <c r="G23" s="1">
        <f t="shared" si="8"/>
        <v>8.2639266419999995</v>
      </c>
      <c r="H23" s="1">
        <f t="shared" si="8"/>
        <v>7.6284653939999991</v>
      </c>
      <c r="I23" s="1">
        <f t="shared" si="8"/>
        <v>5.4709890779999997</v>
      </c>
      <c r="J23" s="1">
        <f t="shared" si="8"/>
        <v>6.1314712389999997</v>
      </c>
      <c r="K23" s="1">
        <f t="shared" si="8"/>
        <v>6.5605147000000006</v>
      </c>
      <c r="L23" s="1">
        <f t="shared" si="8"/>
        <v>6.4899605569999999</v>
      </c>
      <c r="M23" s="1">
        <f t="shared" si="8"/>
        <v>6.7616678018071976</v>
      </c>
      <c r="N23" s="1">
        <f t="shared" si="8"/>
        <v>6.4270027061001107</v>
      </c>
      <c r="O23" s="1">
        <f t="shared" si="8"/>
        <v>6.2661790000000002</v>
      </c>
      <c r="P23" s="1">
        <f t="shared" si="8"/>
        <v>6.1648620000000003</v>
      </c>
      <c r="Q23" s="1">
        <f t="shared" si="8"/>
        <v>6.1311609999999996</v>
      </c>
      <c r="R23" s="1">
        <f t="shared" si="8"/>
        <v>6.1397379990000003</v>
      </c>
      <c r="S23" s="1">
        <f t="shared" si="8"/>
        <v>6.0904300010000005</v>
      </c>
      <c r="T23" s="1">
        <f t="shared" si="8"/>
        <v>6.0428569999999997</v>
      </c>
      <c r="U23" s="1">
        <f t="shared" si="8"/>
        <v>6.1892929990000001</v>
      </c>
      <c r="V23" s="1">
        <f t="shared" si="8"/>
        <v>6.0206</v>
      </c>
      <c r="W23" s="1">
        <f t="shared" si="8"/>
        <v>5.9494350000000003</v>
      </c>
      <c r="X23" s="1">
        <f t="shared" si="8"/>
        <v>5.9810559999999997</v>
      </c>
      <c r="Y23" s="1">
        <f t="shared" si="8"/>
        <v>5.9809659999999996</v>
      </c>
      <c r="Z23" s="1">
        <f t="shared" si="8"/>
        <v>6.1149300000000002</v>
      </c>
      <c r="AA23" s="1">
        <f t="shared" si="8"/>
        <v>6.0026590000000004</v>
      </c>
      <c r="AB23" s="1">
        <f t="shared" si="8"/>
        <v>5.8363149999999999</v>
      </c>
      <c r="AC23" s="1">
        <f t="shared" si="8"/>
        <v>5.5585620000000002</v>
      </c>
      <c r="AD23" s="1">
        <f t="shared" si="8"/>
        <v>5.5543880000000003</v>
      </c>
      <c r="AE23" s="1">
        <f t="shared" si="8"/>
        <v>5.6736469999999999</v>
      </c>
      <c r="AF23" s="1">
        <f t="shared" ref="AF23:AG23" si="16">AF9/1000000</f>
        <v>5.728396</v>
      </c>
      <c r="AG23" s="1">
        <f t="shared" si="16"/>
        <v>5.2081939999999998</v>
      </c>
      <c r="AH23" s="1">
        <f t="shared" ref="AH23:AI23" si="17">AH9/1000000</f>
        <v>5.6119630000000003</v>
      </c>
      <c r="AI23" s="1">
        <f t="shared" si="17"/>
        <v>5.5191679999999996</v>
      </c>
      <c r="AJ23" s="1">
        <f t="shared" ref="AJ23" si="18">AJ9/1000000</f>
        <v>5.5438900000000002</v>
      </c>
    </row>
    <row r="24" spans="2:36">
      <c r="B24" s="1"/>
      <c r="C24" s="760" t="s">
        <v>1480</v>
      </c>
      <c r="D24" s="744">
        <f t="shared" si="12"/>
        <v>15.434271077</v>
      </c>
      <c r="E24" s="744">
        <f t="shared" si="12"/>
        <v>15.966444463999999</v>
      </c>
      <c r="F24" s="744">
        <f t="shared" si="12"/>
        <v>16.137962437999999</v>
      </c>
      <c r="G24" s="744">
        <f t="shared" si="12"/>
        <v>16.788565330000001</v>
      </c>
      <c r="H24" s="744">
        <f t="shared" si="12"/>
        <v>15.535453480999999</v>
      </c>
      <c r="I24" s="744">
        <f t="shared" si="12"/>
        <v>13.378257613000001</v>
      </c>
      <c r="J24" s="744">
        <f t="shared" si="12"/>
        <v>14.328683792</v>
      </c>
      <c r="K24" s="744">
        <f t="shared" si="12"/>
        <v>14.726101975999999</v>
      </c>
      <c r="L24" s="744">
        <f t="shared" si="12"/>
        <v>14.773918457000002</v>
      </c>
      <c r="M24" s="744">
        <f t="shared" si="12"/>
        <v>14.827013000000001</v>
      </c>
      <c r="N24" s="744">
        <f t="shared" si="12"/>
        <v>14.093158000000001</v>
      </c>
      <c r="O24" s="744">
        <f t="shared" si="12"/>
        <v>13.740503115000001</v>
      </c>
      <c r="P24" s="744">
        <f t="shared" si="12"/>
        <v>14.491309890999998</v>
      </c>
      <c r="Q24" s="744">
        <f t="shared" si="12"/>
        <v>14.424231095</v>
      </c>
      <c r="R24" s="744">
        <f t="shared" si="12"/>
        <v>14.810974539999998</v>
      </c>
      <c r="S24" s="744">
        <f t="shared" si="12"/>
        <v>14.691745201</v>
      </c>
      <c r="T24" s="744">
        <f t="shared" si="8"/>
        <v>14.568029000999999</v>
      </c>
      <c r="U24" s="744">
        <f t="shared" si="8"/>
        <v>14.637212991999998</v>
      </c>
      <c r="V24" s="744">
        <f t="shared" si="8"/>
        <v>14.83997656</v>
      </c>
      <c r="W24" s="744">
        <f t="shared" si="8"/>
        <v>15.008658</v>
      </c>
      <c r="X24" s="744">
        <f t="shared" si="8"/>
        <v>15.219213120000001</v>
      </c>
      <c r="Y24" s="744">
        <f t="shared" si="8"/>
        <v>15.316068</v>
      </c>
      <c r="Z24" s="744">
        <f t="shared" si="8"/>
        <v>15.562425626</v>
      </c>
      <c r="AA24" s="744">
        <f t="shared" si="8"/>
        <v>15.77467408</v>
      </c>
      <c r="AB24" s="744">
        <f t="shared" si="8"/>
        <v>15.876941</v>
      </c>
      <c r="AC24" s="744">
        <f t="shared" si="8"/>
        <v>15.917574999999999</v>
      </c>
      <c r="AD24" s="744">
        <f t="shared" si="8"/>
        <v>15.825806999999999</v>
      </c>
      <c r="AE24" s="744">
        <f t="shared" si="8"/>
        <v>15.926774224999999</v>
      </c>
      <c r="AF24" s="744">
        <f t="shared" ref="AF24:AG24" si="19">AF10/1000000</f>
        <v>15.967134</v>
      </c>
      <c r="AG24" s="744">
        <f t="shared" si="19"/>
        <v>15.472716999999999</v>
      </c>
      <c r="AH24" s="744">
        <f t="shared" ref="AH24:AI24" si="20">AH10/1000000</f>
        <v>15.889697</v>
      </c>
      <c r="AI24" s="744">
        <f t="shared" si="20"/>
        <v>15.974767</v>
      </c>
      <c r="AJ24" s="744">
        <f t="shared" ref="AJ24" si="21">AJ10/1000000</f>
        <v>16.086929000000001</v>
      </c>
    </row>
    <row r="25" spans="2:36">
      <c r="B25" s="1"/>
      <c r="N25" s="301"/>
      <c r="P25" s="301"/>
    </row>
    <row r="26" spans="2:36">
      <c r="B26" s="1"/>
      <c r="N26" s="301"/>
      <c r="P26" s="301"/>
    </row>
    <row r="27" spans="2:36">
      <c r="B27" s="1"/>
      <c r="N27" s="301"/>
      <c r="P27" s="301"/>
    </row>
    <row r="28" spans="2:36">
      <c r="B28" s="1"/>
      <c r="N28" s="301"/>
      <c r="P28" s="301"/>
    </row>
    <row r="29" spans="2:36">
      <c r="B29" s="1"/>
      <c r="N29" s="301"/>
      <c r="P29" s="301"/>
    </row>
    <row r="30" spans="2:36">
      <c r="B30" s="1"/>
      <c r="N30" s="301"/>
      <c r="P30" s="301"/>
    </row>
    <row r="31" spans="2:36">
      <c r="B31" s="1"/>
      <c r="N31" s="301"/>
      <c r="P31" s="301"/>
    </row>
    <row r="32" spans="2:36">
      <c r="B32" s="1"/>
      <c r="N32" s="301"/>
      <c r="P32" s="301"/>
    </row>
    <row r="33" spans="2:16">
      <c r="B33" s="1"/>
      <c r="N33" s="301"/>
      <c r="P33" s="301"/>
    </row>
    <row r="34" spans="2:16">
      <c r="B34" s="1"/>
      <c r="N34" s="301"/>
      <c r="P34" s="301"/>
    </row>
    <row r="35" spans="2:16">
      <c r="B35" s="1"/>
      <c r="N35" s="301"/>
      <c r="P35" s="301"/>
    </row>
    <row r="36" spans="2:16">
      <c r="B36" s="1"/>
      <c r="N36" s="301"/>
      <c r="P36" s="301"/>
    </row>
    <row r="37" spans="2:16">
      <c r="B37" s="1"/>
      <c r="N37" s="301"/>
      <c r="P37" s="301"/>
    </row>
    <row r="38" spans="2:16">
      <c r="B38" s="1"/>
      <c r="P38" s="301"/>
    </row>
    <row r="39" spans="2:16">
      <c r="B39" s="1"/>
    </row>
    <row r="40" spans="2:16">
      <c r="B40" s="1"/>
    </row>
    <row r="41" spans="2:16">
      <c r="B41" s="1"/>
    </row>
    <row r="42" spans="2:16">
      <c r="B42" s="1"/>
    </row>
    <row r="43" spans="2:16">
      <c r="B43" s="1"/>
    </row>
    <row r="44" spans="2:16">
      <c r="B44" s="1"/>
    </row>
    <row r="45" spans="2:16">
      <c r="B45" s="1"/>
    </row>
    <row r="46" spans="2:16">
      <c r="B46" s="1"/>
    </row>
    <row r="47" spans="2:16">
      <c r="B47" s="1"/>
    </row>
    <row r="48" spans="2:16">
      <c r="B48" s="1"/>
    </row>
    <row r="49" spans="2:2">
      <c r="B49" s="1"/>
    </row>
    <row r="50" spans="2:2">
      <c r="B50" s="1"/>
    </row>
    <row r="51" spans="2:2">
      <c r="B51" s="1"/>
    </row>
    <row r="52" spans="2:2">
      <c r="B52" s="1"/>
    </row>
    <row r="53" spans="2:2">
      <c r="B53" s="1"/>
    </row>
    <row r="54" spans="2:2">
      <c r="B54" s="1"/>
    </row>
    <row r="55" spans="2:2">
      <c r="B55" s="1"/>
    </row>
    <row r="56" spans="2:2">
      <c r="B56" s="1"/>
    </row>
    <row r="57" spans="2:2">
      <c r="B57" s="1"/>
    </row>
    <row r="58" spans="2:2">
      <c r="B58" s="1"/>
    </row>
    <row r="59" spans="2:2">
      <c r="B59" s="1"/>
    </row>
    <row r="60" spans="2:2">
      <c r="B60" s="1"/>
    </row>
    <row r="61" spans="2:2">
      <c r="B61" s="1"/>
    </row>
    <row r="62" spans="2:2">
      <c r="B62" s="1"/>
    </row>
    <row r="63" spans="2:2">
      <c r="B63" s="1"/>
    </row>
    <row r="64" spans="2:2">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sheetData>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3">
    <pageSetUpPr fitToPage="1"/>
  </sheetPr>
  <dimension ref="A1:AW135"/>
  <sheetViews>
    <sheetView topLeftCell="A95" workbookViewId="0"/>
  </sheetViews>
  <sheetFormatPr defaultColWidth="9" defaultRowHeight="12.95"/>
  <cols>
    <col min="1" max="1" width="5" style="1" customWidth="1"/>
    <col min="2" max="2" width="31" style="1" customWidth="1"/>
    <col min="3" max="3" width="15.6640625" style="1" customWidth="1"/>
    <col min="4" max="4" width="16" style="1" customWidth="1"/>
    <col min="5" max="5" width="12" style="1" customWidth="1"/>
    <col min="6" max="6" width="14.6640625" style="1" customWidth="1"/>
    <col min="7" max="7" width="13" style="1" customWidth="1"/>
    <col min="8" max="8" width="11" style="1" customWidth="1"/>
    <col min="9" max="9" width="11.6640625" style="1" customWidth="1"/>
    <col min="10" max="10" width="9" style="1"/>
    <col min="11" max="11" width="30" style="1" customWidth="1"/>
    <col min="12" max="12" width="9.6640625" style="1" customWidth="1"/>
    <col min="13" max="13" width="10" style="1" customWidth="1"/>
    <col min="14" max="16" width="9" style="1" customWidth="1"/>
    <col min="17" max="22" width="10" style="1" customWidth="1"/>
    <col min="23" max="26" width="9" style="1" customWidth="1"/>
    <col min="27" max="27" width="10" style="1" customWidth="1"/>
    <col min="28" max="28" width="9" style="1" customWidth="1"/>
    <col min="29" max="30" width="10" style="1" customWidth="1"/>
    <col min="31" max="44" width="9.6640625" style="1" customWidth="1"/>
    <col min="45" max="46" width="18.6640625" style="1" bestFit="1" customWidth="1"/>
    <col min="47" max="47" width="15.6640625" style="1" bestFit="1" customWidth="1"/>
    <col min="48" max="48" width="13" style="1" customWidth="1"/>
    <col min="49" max="50" width="14" style="1" customWidth="1"/>
    <col min="51" max="16384" width="9" style="1"/>
  </cols>
  <sheetData>
    <row r="1" spans="1:48" ht="17.45">
      <c r="A1" s="497" t="s">
        <v>84</v>
      </c>
    </row>
    <row r="2" spans="1:48">
      <c r="A2" s="479" t="s">
        <v>1938</v>
      </c>
    </row>
    <row r="3" spans="1:48">
      <c r="G3" s="112"/>
      <c r="L3" s="10"/>
      <c r="M3" s="10"/>
      <c r="N3" s="10"/>
      <c r="O3" s="10"/>
      <c r="P3" s="10"/>
      <c r="Q3" s="10"/>
      <c r="R3" s="10"/>
      <c r="S3" s="10"/>
      <c r="T3" s="10"/>
      <c r="U3" s="10"/>
      <c r="V3" s="10"/>
      <c r="W3" s="10"/>
      <c r="X3" s="10"/>
      <c r="AU3" s="17"/>
    </row>
    <row r="4" spans="1:48">
      <c r="B4" s="1" t="str">
        <f>"Table 3-13:  "&amp;D4&amp;" Carbon In Non-Energy Products"</f>
        <v>Table 3-13:  2022 Carbon In Non-Energy Products</v>
      </c>
      <c r="D4" s="21">
        <v>2022</v>
      </c>
      <c r="K4" s="408"/>
      <c r="L4" s="708" t="s">
        <v>1496</v>
      </c>
      <c r="M4" s="709">
        <f>(M7-L7)/L7</f>
        <v>-3.1703911671568559E-2</v>
      </c>
      <c r="N4" s="709">
        <f t="shared" ref="N4:Y4" si="0">(N7-M7)/M7</f>
        <v>3.8793351566784283E-2</v>
      </c>
      <c r="O4" s="709">
        <f t="shared" si="0"/>
        <v>2.095129293575489E-2</v>
      </c>
      <c r="P4" s="709">
        <f t="shared" si="0"/>
        <v>3.005944363229654E-2</v>
      </c>
      <c r="Q4" s="709">
        <f t="shared" si="0"/>
        <v>1.7123475950116891E-2</v>
      </c>
      <c r="R4" s="709">
        <f t="shared" si="0"/>
        <v>2.9474763048809898E-2</v>
      </c>
      <c r="S4" s="709">
        <f t="shared" si="0"/>
        <v>9.9351578049771978E-3</v>
      </c>
      <c r="T4" s="709">
        <f t="shared" si="0"/>
        <v>2.1532128198892133E-2</v>
      </c>
      <c r="U4" s="709">
        <f t="shared" si="0"/>
        <v>4.0124922629381839E-2</v>
      </c>
      <c r="V4" s="709">
        <f t="shared" si="0"/>
        <v>2.6335354661652901E-2</v>
      </c>
      <c r="W4" s="709">
        <f t="shared" si="0"/>
        <v>-1.6453895303602917E-2</v>
      </c>
      <c r="X4" s="709">
        <f t="shared" si="0"/>
        <v>2.286047384338297E-2</v>
      </c>
      <c r="Y4" s="709">
        <f t="shared" si="0"/>
        <v>5.423717605940531E-3</v>
      </c>
      <c r="Z4" s="709">
        <f t="shared" ref="Z4:AE4" si="1">(Z7-Y7)/Y7</f>
        <v>1.8439962355568114E-2</v>
      </c>
      <c r="AA4" s="709">
        <f t="shared" si="1"/>
        <v>7.3087557882091205E-3</v>
      </c>
      <c r="AB4" s="709">
        <f t="shared" si="1"/>
        <v>2.0003881625131229E-4</v>
      </c>
      <c r="AC4" s="709">
        <f t="shared" si="1"/>
        <v>1.1539881063896207E-3</v>
      </c>
      <c r="AD4" s="709">
        <f t="shared" si="1"/>
        <v>-5.43739685896861E-2</v>
      </c>
      <c r="AE4" s="709">
        <f t="shared" si="1"/>
        <v>-4.0465730929072324E-2</v>
      </c>
      <c r="AF4" s="709">
        <f t="shared" ref="AF4:AL4" si="2">(AF7-AE7)/AE7</f>
        <v>4.8184765122307243E-3</v>
      </c>
      <c r="AG4" s="709">
        <f t="shared" si="2"/>
        <v>-1.5530809924026397E-2</v>
      </c>
      <c r="AH4" s="709">
        <f t="shared" si="2"/>
        <v>-6.7577568596938016E-3</v>
      </c>
      <c r="AI4" s="709">
        <f t="shared" si="2"/>
        <v>5.9673958877900623E-3</v>
      </c>
      <c r="AJ4" s="709">
        <f t="shared" si="2"/>
        <v>2.3001228558104429E-2</v>
      </c>
      <c r="AK4" s="709">
        <f t="shared" si="2"/>
        <v>6.3379693934924762E-3</v>
      </c>
      <c r="AL4" s="709">
        <f t="shared" si="2"/>
        <v>2.2910890923040193E-2</v>
      </c>
      <c r="AM4" s="709">
        <f>(AM7-AL7)/AL7</f>
        <v>1.2778654852051909E-2</v>
      </c>
      <c r="AN4" s="709"/>
      <c r="AO4" s="709">
        <f>(AO7-AM7)/AM7</f>
        <v>2.0633327286811907E-2</v>
      </c>
      <c r="AP4" s="709">
        <f>(AP7-AN7)/AN7</f>
        <v>-0.1325609328639567</v>
      </c>
      <c r="AQ4" s="709">
        <f>(AQ7-AO7)/AO7</f>
        <v>-3.4514436699303347E-2</v>
      </c>
      <c r="AR4" s="709">
        <f>(AR7-AP7)/AP7</f>
        <v>0.1331281549055881</v>
      </c>
      <c r="AS4" s="710">
        <f>AVERAGE(M4:AR4)</f>
        <v>6.0300478200841249E-3</v>
      </c>
    </row>
    <row r="5" spans="1:48" ht="54">
      <c r="B5" s="4" t="s">
        <v>1503</v>
      </c>
      <c r="C5" s="256" t="s">
        <v>1939</v>
      </c>
      <c r="D5" s="256" t="s">
        <v>1940</v>
      </c>
      <c r="E5" s="256" t="s">
        <v>1941</v>
      </c>
      <c r="F5" s="256" t="s">
        <v>1942</v>
      </c>
      <c r="G5" s="256" t="s">
        <v>1943</v>
      </c>
      <c r="H5" s="256" t="s">
        <v>1944</v>
      </c>
      <c r="I5" s="256" t="s">
        <v>1945</v>
      </c>
      <c r="K5" s="500" t="s">
        <v>1946</v>
      </c>
    </row>
    <row r="6" spans="1:48">
      <c r="B6" s="5" t="s">
        <v>1888</v>
      </c>
      <c r="C6" s="73">
        <f>INDEX('Non-Energy Use'!$D$73:$AL$96,MATCH($B6,'Non-Energy Use'!$D$73:$D$96,0),MATCH($D$4,'Non-Energy Use'!$D$73:$AL$73,0))</f>
        <v>5548.4791866054302</v>
      </c>
      <c r="D6" s="286" t="s">
        <v>1731</v>
      </c>
      <c r="E6" s="72">
        <f>INDEX('Non-Energy Use'!$D$100:$AL$123,MATCH($B6,'Non-Energy Use'!$D$100:$D$123,0),MATCH($D$4,'Non-Energy Use'!$D$100:$AL$100,0))</f>
        <v>93.613178937193979</v>
      </c>
      <c r="F6" s="286" t="s">
        <v>1731</v>
      </c>
      <c r="G6" s="72">
        <f>INDEX('Non-Energy Use'!$D$129:$AL$152,MATCH($B6,'Non-Energy Use'!$D$129:$D$152,0),MATCH($D$4,'Non-Energy Use'!$D$129:$AL$129,0))</f>
        <v>64.288754869473678</v>
      </c>
      <c r="H6" s="72">
        <f>INDEX('Non-Energy Use'!$D$156:$AL$179,MATCH($B6,'Non-Energy Use'!$D$156:$D$179,0),MATCH($D$4,'Non-Energy Use'!$D$156:$AL$156,0))*CO2toC</f>
        <v>29.324424067720251</v>
      </c>
      <c r="I6" s="72">
        <f>INDEX('Non-Energy Use'!$D$156:$AL$179,MATCH($B6,'Non-Energy Use'!$D$156:$D$179,0),MATCH($D$4,'Non-Energy Use'!$D$156:$AL$156,0))</f>
        <v>107.52288824830759</v>
      </c>
      <c r="J6" s="72"/>
      <c r="K6" s="4" t="s">
        <v>1947</v>
      </c>
      <c r="L6" s="83">
        <v>1990</v>
      </c>
      <c r="M6" s="83">
        <v>1991</v>
      </c>
      <c r="N6" s="83">
        <v>1992</v>
      </c>
      <c r="O6" s="83">
        <v>1993</v>
      </c>
      <c r="P6" s="83">
        <v>1994</v>
      </c>
      <c r="Q6" s="83">
        <v>1995</v>
      </c>
      <c r="R6" s="83">
        <v>1996</v>
      </c>
      <c r="S6" s="83">
        <v>1997</v>
      </c>
      <c r="T6" s="83">
        <v>1998</v>
      </c>
      <c r="U6" s="83">
        <v>1999</v>
      </c>
      <c r="V6" s="83">
        <v>2000</v>
      </c>
      <c r="W6" s="83">
        <v>2001</v>
      </c>
      <c r="X6" s="83">
        <v>2002</v>
      </c>
      <c r="Y6" s="83">
        <v>2003</v>
      </c>
      <c r="Z6" s="83">
        <v>2004</v>
      </c>
      <c r="AA6" s="83">
        <v>2005</v>
      </c>
      <c r="AB6" s="83">
        <v>2006</v>
      </c>
      <c r="AC6" s="83">
        <v>2007</v>
      </c>
      <c r="AD6" s="83">
        <v>2008</v>
      </c>
      <c r="AE6" s="83">
        <v>2009</v>
      </c>
      <c r="AF6" s="83">
        <v>2010</v>
      </c>
      <c r="AG6" s="83">
        <v>2011</v>
      </c>
      <c r="AH6" s="83">
        <v>2012</v>
      </c>
      <c r="AI6" s="83">
        <v>2013</v>
      </c>
      <c r="AJ6" s="83">
        <v>2014</v>
      </c>
      <c r="AK6" s="83">
        <v>2015</v>
      </c>
      <c r="AL6" s="83">
        <v>2016</v>
      </c>
      <c r="AM6" s="83">
        <v>2017</v>
      </c>
      <c r="AN6" s="83">
        <v>2018</v>
      </c>
      <c r="AO6" s="83">
        <v>2019</v>
      </c>
      <c r="AP6" s="83">
        <v>2020</v>
      </c>
      <c r="AQ6" s="83">
        <v>2021</v>
      </c>
      <c r="AR6" s="83">
        <v>2022</v>
      </c>
      <c r="AS6" s="711" t="s">
        <v>1948</v>
      </c>
      <c r="AT6" s="646" t="s">
        <v>1528</v>
      </c>
      <c r="AU6" s="5" t="s">
        <v>1949</v>
      </c>
      <c r="AV6" s="5" t="s">
        <v>1950</v>
      </c>
    </row>
    <row r="7" spans="1:48">
      <c r="B7" s="1" t="s">
        <v>1734</v>
      </c>
      <c r="C7" s="73">
        <f>INDEX('Non-Energy Use'!$D$73:$AL$96,MATCH($B7,'Non-Energy Use'!$D$73:$D$96,0),MATCH($D$4,'Non-Energy Use'!$D$73:$AL$73,0))</f>
        <v>32.653210448454558</v>
      </c>
      <c r="D7" s="1">
        <f>INDEX(Factors!$I$12:$BA$28,MATCH($B7,Factors!$I$12:$I$28,0),MATCH(D$4,Factors!$I$12:$BA$12,0))</f>
        <v>25.605077665523787</v>
      </c>
      <c r="E7" s="72">
        <f>INDEX('Non-Energy Use'!$D$100:$AL$123,MATCH($B7,'Non-Energy Use'!$D$100:$D$123,0),MATCH($D$4,'Non-Energy Use'!$D$100:$AL$100,0))</f>
        <v>0.83608798956137176</v>
      </c>
      <c r="F7" s="1">
        <f>'Non-Energy Use'!B131</f>
        <v>0.1</v>
      </c>
      <c r="G7" s="72">
        <f>INDEX('Non-Energy Use'!$D$129:$AL$152,MATCH($B7,'Non-Energy Use'!$D$129:$D$152,0),MATCH($D$4,'Non-Energy Use'!$D$129:$AL$129,0))</f>
        <v>8.3608798956137181E-2</v>
      </c>
      <c r="H7" s="72">
        <f>INDEX('Non-Energy Use'!$D$156:$AL$179,MATCH($B7,'Non-Energy Use'!$D$156:$D$179,0),MATCH($D$4,'Non-Energy Use'!$D$156:$AL$156,0))*CO2toC</f>
        <v>0.7524791906052346</v>
      </c>
      <c r="I7" s="72">
        <f>INDEX('Non-Energy Use'!$D$156:$AL$179,MATCH($B7,'Non-Energy Use'!$D$156:$D$179,0),MATCH($D$4,'Non-Energy Use'!$D$156:$AL$156,0))</f>
        <v>2.759090365552527</v>
      </c>
      <c r="J7" s="72"/>
      <c r="K7" s="76" t="s">
        <v>1445</v>
      </c>
      <c r="L7" s="73">
        <f>SUM(L8:L9)</f>
        <v>1471.9917019177849</v>
      </c>
      <c r="M7" s="73">
        <f t="shared" ref="M7:U7" si="3">SUM(M8:M9)</f>
        <v>1425.3238070189016</v>
      </c>
      <c r="N7" s="73">
        <f t="shared" si="3"/>
        <v>1480.6168945610932</v>
      </c>
      <c r="O7" s="73">
        <f t="shared" si="3"/>
        <v>1511.6377328446704</v>
      </c>
      <c r="P7" s="73">
        <f t="shared" si="3"/>
        <v>1557.0767220675673</v>
      </c>
      <c r="Q7" s="73">
        <f t="shared" si="3"/>
        <v>1583.7392878703781</v>
      </c>
      <c r="R7" s="73">
        <f t="shared" si="3"/>
        <v>1630.4196281114484</v>
      </c>
      <c r="S7" s="73">
        <f t="shared" si="3"/>
        <v>1646.6181044050679</v>
      </c>
      <c r="T7" s="73">
        <f t="shared" si="3"/>
        <v>1682.0732965237346</v>
      </c>
      <c r="U7" s="73">
        <f t="shared" si="3"/>
        <v>1749.5663574036987</v>
      </c>
      <c r="V7" s="73">
        <f t="shared" ref="V7:AC7" si="4">SUM(V8:V9)</f>
        <v>1795.6418079300213</v>
      </c>
      <c r="W7" s="73">
        <f t="shared" si="4"/>
        <v>1766.0965056195685</v>
      </c>
      <c r="X7" s="73">
        <f t="shared" si="4"/>
        <v>1806.4703085911747</v>
      </c>
      <c r="Y7" s="73">
        <f t="shared" si="4"/>
        <v>1816.2680934084894</v>
      </c>
      <c r="Z7" s="73">
        <f t="shared" si="4"/>
        <v>1849.7600086785615</v>
      </c>
      <c r="AA7" s="73">
        <f t="shared" si="4"/>
        <v>1863.2794528487887</v>
      </c>
      <c r="AB7" s="73">
        <f>SUM(AB8:AB9)</f>
        <v>1863.6521810648819</v>
      </c>
      <c r="AC7" s="73">
        <f t="shared" si="4"/>
        <v>1865.8028135162779</v>
      </c>
      <c r="AD7" s="73">
        <f t="shared" ref="AD7:AI7" si="5">SUM(AD8:AD9)</f>
        <v>1764.3517099395958</v>
      </c>
      <c r="AE7" s="73">
        <f t="shared" si="5"/>
        <v>1692.9559283809315</v>
      </c>
      <c r="AF7" s="73">
        <f t="shared" si="5"/>
        <v>1701.1133967580768</v>
      </c>
      <c r="AG7" s="73">
        <f t="shared" si="5"/>
        <v>1674.6937279338122</v>
      </c>
      <c r="AH7" s="73">
        <f t="shared" si="5"/>
        <v>1663.3765549059813</v>
      </c>
      <c r="AI7" s="73">
        <f t="shared" si="5"/>
        <v>1673.3025813195736</v>
      </c>
      <c r="AJ7" s="73">
        <f t="shared" ref="AJ7:AO7" si="6">SUM(AJ8:AJ9)</f>
        <v>1711.7905964393713</v>
      </c>
      <c r="AK7" s="73">
        <f t="shared" si="6"/>
        <v>1722.6398728476722</v>
      </c>
      <c r="AL7" s="73">
        <f t="shared" si="6"/>
        <v>1762.1070870741651</v>
      </c>
      <c r="AM7" s="73">
        <f t="shared" si="6"/>
        <v>1784.6244453522404</v>
      </c>
      <c r="AN7" s="73">
        <f t="shared" si="6"/>
        <v>1817.8999754381921</v>
      </c>
      <c r="AO7" s="73">
        <f t="shared" si="6"/>
        <v>1821.4471856172383</v>
      </c>
      <c r="AP7" s="73">
        <f t="shared" ref="AP7:AR7" si="7">SUM(AP8:AP9)</f>
        <v>1576.9174588407413</v>
      </c>
      <c r="AQ7" s="73">
        <f t="shared" ref="AQ7" si="8">SUM(AQ8:AQ9)</f>
        <v>1758.5809620281279</v>
      </c>
      <c r="AR7" s="73">
        <f t="shared" si="7"/>
        <v>1786.8495705746179</v>
      </c>
      <c r="AS7" s="63">
        <f>(AR7-L7)/L7</f>
        <v>0.21389921440903528</v>
      </c>
      <c r="AT7" s="283">
        <f>(AR7-AQ7)/AQ7</f>
        <v>1.6074669950872492E-2</v>
      </c>
      <c r="AV7" s="283">
        <f>AR7/AR$20</f>
        <v>0.38100090021933714</v>
      </c>
    </row>
    <row r="8" spans="1:48">
      <c r="B8" s="1" t="s">
        <v>1701</v>
      </c>
      <c r="C8" s="73">
        <f>INDEX('Non-Energy Use'!$D$73:$AL$96,MATCH($B8,'Non-Energy Use'!$D$73:$D$96,0),MATCH($D$4,'Non-Energy Use'!$D$73:$AL$73,0))</f>
        <v>9.4672439396515937</v>
      </c>
      <c r="D8" s="1">
        <f>INDEX(Factors!$I$12:$BA$28,MATCH($B8,Factors!$I$12:$I$28,0),MATCH(D$4,Factors!$I$12:$BA$12,0))</f>
        <v>26.104948569451711</v>
      </c>
      <c r="E8" s="72">
        <f>INDEX('Non-Energy Use'!$D$100:$AL$123,MATCH($B8,'Non-Energy Use'!$D$100:$D$123,0),MATCH($D$4,'Non-Energy Use'!$D$100:$AL$100,0))</f>
        <v>0.24714191613905825</v>
      </c>
      <c r="F8" s="1">
        <f>INDEX(Factors!I38:BA39,2,MATCH('Inventory Table'!D4,Factors!I38:BA38))</f>
        <v>0.63280546811931848</v>
      </c>
      <c r="G8" s="72">
        <f>INDEX('Non-Energy Use'!$D$129:$AL$152,MATCH($B8,'Non-Energy Use'!$D$129:$D$152,0),MATCH($D$4,'Non-Energy Use'!$D$129:$AL$129,0))</f>
        <v>0.15639275593428212</v>
      </c>
      <c r="H8" s="72">
        <f>INDEX('Non-Energy Use'!$D$156:$AL$179,MATCH($B8,'Non-Energy Use'!$D$156:$D$179,0),MATCH($D$4,'Non-Energy Use'!$D$156:$AL$156,0))*CO2toC</f>
        <v>9.0749160204776136E-2</v>
      </c>
      <c r="I8" s="72">
        <f>INDEX('Non-Energy Use'!$D$156:$AL$179,MATCH($B8,'Non-Energy Use'!$D$156:$D$179,0),MATCH($D$4,'Non-Energy Use'!$D$156:$AL$156,0))</f>
        <v>0.33274692075084583</v>
      </c>
      <c r="J8" s="72"/>
      <c r="K8" s="6" t="s">
        <v>1951</v>
      </c>
      <c r="L8" s="74">
        <f>'Summary Table'!C115</f>
        <v>1468.9438941173537</v>
      </c>
      <c r="M8" s="74">
        <f>'Summary Table'!D115</f>
        <v>1422.3274046383631</v>
      </c>
      <c r="N8" s="74">
        <f>'Summary Table'!E115</f>
        <v>1477.6434261606043</v>
      </c>
      <c r="O8" s="74">
        <f>'Summary Table'!F115</f>
        <v>1508.6070344452598</v>
      </c>
      <c r="P8" s="74">
        <f>'Summary Table'!G115</f>
        <v>1553.9473535757436</v>
      </c>
      <c r="Q8" s="74">
        <f>'Summary Table'!H115</f>
        <v>1580.6778576891738</v>
      </c>
      <c r="R8" s="74">
        <f>'Summary Table'!I115</f>
        <v>1627.3631051220618</v>
      </c>
      <c r="S8" s="74">
        <f>'Summary Table'!J115</f>
        <v>1643.5155537383682</v>
      </c>
      <c r="T8" s="74">
        <f>'Summary Table'!K115</f>
        <v>1678.920337578081</v>
      </c>
      <c r="U8" s="74">
        <f>'Summary Table'!L115</f>
        <v>1746.3443236253372</v>
      </c>
      <c r="V8" s="74">
        <f>'Summary Table'!M115</f>
        <v>1792.2018918567805</v>
      </c>
      <c r="W8" s="74">
        <f>'Summary Table'!N115</f>
        <v>1762.4640682225681</v>
      </c>
      <c r="X8" s="74">
        <f>'Summary Table'!O115</f>
        <v>1803.0183444033823</v>
      </c>
      <c r="Y8" s="74">
        <f>'Summary Table'!P115</f>
        <v>1811.9842870520733</v>
      </c>
      <c r="Z8" s="74">
        <f>'Summary Table'!Q115</f>
        <v>1845.2207109142666</v>
      </c>
      <c r="AA8" s="74">
        <f>'Summary Table'!R115</f>
        <v>1858.552169370907</v>
      </c>
      <c r="AB8" s="74">
        <f>'Summary Table'!S115</f>
        <v>1859.1330064813542</v>
      </c>
      <c r="AC8" s="74">
        <f>'Summary Table'!T115</f>
        <v>1860.7374975187065</v>
      </c>
      <c r="AD8" s="74">
        <f>'Summary Table'!U115</f>
        <v>1759.6813237613826</v>
      </c>
      <c r="AE8" s="74">
        <f>'Summary Table'!V115</f>
        <v>1688.4805744963917</v>
      </c>
      <c r="AF8" s="74">
        <f>'Summary Table'!W115</f>
        <v>1696.6145225409641</v>
      </c>
      <c r="AG8" s="74">
        <f>'Summary Table'!X115</f>
        <v>1670.3775602619514</v>
      </c>
      <c r="AH8" s="74">
        <f>'Summary Table'!Y115</f>
        <v>1659.4013314710517</v>
      </c>
      <c r="AI8" s="74">
        <f>'Summary Table'!Z115</f>
        <v>1669.0459202266231</v>
      </c>
      <c r="AJ8" s="74">
        <f>'Summary Table'!AA115</f>
        <v>1707.346729717802</v>
      </c>
      <c r="AK8" s="74">
        <f>'Summary Table'!AB115</f>
        <v>1718.3811610352532</v>
      </c>
      <c r="AL8" s="74">
        <f>'Summary Table'!AC115</f>
        <v>1757.9065450174912</v>
      </c>
      <c r="AM8" s="74">
        <f>'Summary Table'!AD115</f>
        <v>1780.3078241762498</v>
      </c>
      <c r="AN8" s="74">
        <f>'Summary Table'!AE115</f>
        <v>1813.1346487828462</v>
      </c>
      <c r="AO8" s="74">
        <f>'Summary Table'!AF115</f>
        <v>1816.6356739090588</v>
      </c>
      <c r="AP8" s="74">
        <f>'Summary Table'!AG115</f>
        <v>1572.8202060743611</v>
      </c>
      <c r="AQ8" s="74">
        <f>'Summary Table'!AH115</f>
        <v>1753.5459249194487</v>
      </c>
      <c r="AR8" s="74">
        <f>'Summary Table'!AI115</f>
        <v>1780.7631943085448</v>
      </c>
      <c r="AS8" s="63">
        <f t="shared" ref="AS8:AS21" si="9">(AR8-L8)/L8</f>
        <v>0.21227447926358986</v>
      </c>
      <c r="AT8" s="283">
        <f t="shared" ref="AT8:AT21" si="10">(AR8-AQ8)/AQ8</f>
        <v>1.5521275492312187E-2</v>
      </c>
      <c r="AU8" s="63"/>
      <c r="AV8" s="63"/>
    </row>
    <row r="9" spans="1:48">
      <c r="B9" s="257" t="s">
        <v>1889</v>
      </c>
      <c r="C9" s="73">
        <f>INDEX('Non-Energy Use'!$D$73:$AL$96,MATCH($B9,'Non-Energy Use'!$D$73:$D$96,0),MATCH($D$4,'Non-Energy Use'!$D$73:$AL$73,0))</f>
        <v>665.05133792434879</v>
      </c>
      <c r="D9" s="1">
        <f>Factors!$D$21</f>
        <v>14.47</v>
      </c>
      <c r="E9" s="72">
        <f>INDEX('Non-Energy Use'!$D$100:$AL$123,MATCH($B9,'Non-Energy Use'!$D$100:$D$123,0),MATCH($D$4,'Non-Energy Use'!$D$100:$AL$100,0))</f>
        <v>9.5979940828331198</v>
      </c>
      <c r="F9" s="1">
        <f>INDEX(Factors!I38:BA39,2,MATCH('Inventory Table'!D4,Factors!I38:BA38))</f>
        <v>0.63280546811931848</v>
      </c>
      <c r="G9" s="72">
        <f>INDEX('Non-Energy Use'!$D$129:$AL$152,MATCH($B9,'Non-Energy Use'!$D$129:$D$152,0),MATCH($D$4,'Non-Energy Use'!$D$129:$AL$129,0))</f>
        <v>6.0736631385936608</v>
      </c>
      <c r="H9" s="72">
        <f>INDEX('Non-Energy Use'!$D$156:$AL$179,MATCH($B9,'Non-Energy Use'!$D$156:$D$179,0),MATCH($D$4,'Non-Energy Use'!$D$156:$AL$156,0))*CO2toC</f>
        <v>3.5243309442394586</v>
      </c>
      <c r="I9" s="72">
        <f>INDEX('Non-Energy Use'!$D$156:$AL$179,MATCH($B9,'Non-Energy Use'!$D$156:$D$179,0),MATCH($D$4,'Non-Energy Use'!$D$156:$AL$156,0))</f>
        <v>12.922546795544683</v>
      </c>
      <c r="J9" s="72"/>
      <c r="K9" s="6" t="s">
        <v>1952</v>
      </c>
      <c r="L9" s="74">
        <f>'Electricity Distributed'!C47</f>
        <v>3.0478078004311948</v>
      </c>
      <c r="M9" s="74">
        <f>'Electricity Distributed'!D47</f>
        <v>2.9964023805385849</v>
      </c>
      <c r="N9" s="74">
        <f>'Electricity Distributed'!E47</f>
        <v>2.9734684004888496</v>
      </c>
      <c r="O9" s="74">
        <f>'Electricity Distributed'!F47</f>
        <v>3.0306983994105288</v>
      </c>
      <c r="P9" s="74">
        <f>'Electricity Distributed'!G47</f>
        <v>3.1293684918237497</v>
      </c>
      <c r="Q9" s="74">
        <f>'Electricity Distributed'!H47</f>
        <v>3.0614301812042424</v>
      </c>
      <c r="R9" s="74">
        <f>'Electricity Distributed'!I47</f>
        <v>3.0565229893866466</v>
      </c>
      <c r="S9" s="74">
        <f>'Electricity Distributed'!J47</f>
        <v>3.1025506666998042</v>
      </c>
      <c r="T9" s="74">
        <f>'Electricity Distributed'!K47</f>
        <v>3.1529589456535567</v>
      </c>
      <c r="U9" s="74">
        <f>'Electricity Distributed'!L47</f>
        <v>3.2220337783615247</v>
      </c>
      <c r="V9" s="74">
        <f>'Electricity Distributed'!M47</f>
        <v>3.4399160732406937</v>
      </c>
      <c r="W9" s="74">
        <f>'Electricity Distributed'!N47</f>
        <v>3.6324373970003858</v>
      </c>
      <c r="X9" s="74">
        <f>'Electricity Distributed'!O47</f>
        <v>3.4519641877923997</v>
      </c>
      <c r="Y9" s="74">
        <f>'Electricity Distributed'!P47</f>
        <v>4.2838063564161679</v>
      </c>
      <c r="Z9" s="74">
        <f>'Electricity Distributed'!Q47</f>
        <v>4.5392977642948242</v>
      </c>
      <c r="AA9" s="74">
        <f>'Electricity Distributed'!R47</f>
        <v>4.7272834778815946</v>
      </c>
      <c r="AB9" s="74">
        <f>'Electricity Distributed'!S47</f>
        <v>4.5191745835277208</v>
      </c>
      <c r="AC9" s="74">
        <f>'Electricity Distributed'!T47</f>
        <v>5.0653159975713491</v>
      </c>
      <c r="AD9" s="74">
        <f>'Electricity Distributed'!U47</f>
        <v>4.670386178213243</v>
      </c>
      <c r="AE9" s="74">
        <f>'Electricity Distributed'!V47</f>
        <v>4.475353884539695</v>
      </c>
      <c r="AF9" s="74">
        <f>'Electricity Distributed'!W47</f>
        <v>4.4988742171125962</v>
      </c>
      <c r="AG9" s="74">
        <f>'Electricity Distributed'!X47</f>
        <v>4.3161676718606765</v>
      </c>
      <c r="AH9" s="74">
        <f>'Electricity Distributed'!Y47</f>
        <v>3.9752234349295001</v>
      </c>
      <c r="AI9" s="74">
        <f>'Electricity Distributed'!Z47</f>
        <v>4.2566610929504423</v>
      </c>
      <c r="AJ9" s="74">
        <f>'Electricity Distributed'!AA47</f>
        <v>4.4438667215693011</v>
      </c>
      <c r="AK9" s="74">
        <f>'Electricity Distributed'!AB47</f>
        <v>4.2587118124190182</v>
      </c>
      <c r="AL9" s="74">
        <f>'Electricity Distributed'!AC47</f>
        <v>4.200542056673827</v>
      </c>
      <c r="AM9" s="74">
        <f>'Electricity Distributed'!AD47</f>
        <v>4.3166211759904849</v>
      </c>
      <c r="AN9" s="74">
        <f>'Electricity Distributed'!AE47</f>
        <v>4.7653266553458336</v>
      </c>
      <c r="AO9" s="74">
        <f>'Electricity Distributed'!AF47</f>
        <v>4.8115117081795677</v>
      </c>
      <c r="AP9" s="74">
        <f>'Electricity Distributed'!AG47</f>
        <v>4.0972527663802349</v>
      </c>
      <c r="AQ9" s="74">
        <f>'Electricity Distributed'!AH47</f>
        <v>5.0350371086792869</v>
      </c>
      <c r="AR9" s="74">
        <f>'Electricity Distributed'!AI47</f>
        <v>6.0863762660731098</v>
      </c>
      <c r="AS9" s="63">
        <f t="shared" si="9"/>
        <v>0.99696853102483274</v>
      </c>
      <c r="AT9" s="283">
        <f t="shared" si="10"/>
        <v>0.20880464924112424</v>
      </c>
      <c r="AU9" s="283"/>
      <c r="AV9" s="63"/>
    </row>
    <row r="10" spans="1:48">
      <c r="B10" s="1" t="s">
        <v>1608</v>
      </c>
      <c r="C10" s="73">
        <f>INDEX('Non-Energy Use'!$D$73:$AL$96,MATCH($B10,'Non-Energy Use'!$D$73:$D$96,0),MATCH($D$4,'Non-Energy Use'!$D$73:$AL$73,0))</f>
        <v>916.13400000000001</v>
      </c>
      <c r="D10" s="1">
        <f>Factors!$D$24</f>
        <v>20.55318099621897</v>
      </c>
      <c r="E10" s="72">
        <f>INDEX('Non-Energy Use'!$D$100:$AL$123,MATCH($B10,'Non-Energy Use'!$D$100:$D$123,0),MATCH($D$4,'Non-Energy Use'!$D$100:$AL$100,0))</f>
        <v>18.829467918790069</v>
      </c>
      <c r="F10" s="1">
        <f>'Non-Energy Use'!B134</f>
        <v>0.99560852232832731</v>
      </c>
      <c r="G10" s="72">
        <f>INDEX('Non-Energy Use'!$D$129:$AL$152,MATCH($B10,'Non-Energy Use'!$D$129:$D$152,0),MATCH($D$4,'Non-Energy Use'!$D$129:$AL$129,0))</f>
        <v>18.746778730855226</v>
      </c>
      <c r="H10" s="72">
        <f>INDEX('Non-Energy Use'!$D$156:$AL$179,MATCH($B10,'Non-Energy Use'!$D$156:$D$179,0),MATCH($D$4,'Non-Energy Use'!$D$156:$AL$156,0))*CO2toC</f>
        <v>8.2689187934843034E-2</v>
      </c>
      <c r="I10" s="72">
        <f>INDEX('Non-Energy Use'!$D$156:$AL$179,MATCH($B10,'Non-Energy Use'!$D$156:$D$179,0),MATCH($D$4,'Non-Energy Use'!$D$156:$AL$156,0))</f>
        <v>0.30319368909442446</v>
      </c>
      <c r="J10" s="72"/>
      <c r="K10" s="76" t="s">
        <v>1443</v>
      </c>
      <c r="L10" s="73">
        <f t="shared" ref="L10:AO10" si="11">SUM(L11:L12)</f>
        <v>1557.5709328892033</v>
      </c>
      <c r="M10" s="73">
        <f t="shared" si="11"/>
        <v>1535.2025090441894</v>
      </c>
      <c r="N10" s="73">
        <f t="shared" si="11"/>
        <v>1579.8238303970604</v>
      </c>
      <c r="O10" s="73">
        <f t="shared" si="11"/>
        <v>1591.8253402762612</v>
      </c>
      <c r="P10" s="73">
        <f t="shared" si="11"/>
        <v>1603.8820159591726</v>
      </c>
      <c r="Q10" s="73">
        <f t="shared" si="11"/>
        <v>1616.6335481630549</v>
      </c>
      <c r="R10" s="73">
        <f t="shared" si="11"/>
        <v>1654.00277016368</v>
      </c>
      <c r="S10" s="73">
        <f t="shared" si="11"/>
        <v>1667.4376956416904</v>
      </c>
      <c r="T10" s="73">
        <f t="shared" si="11"/>
        <v>1672.8904796704078</v>
      </c>
      <c r="U10" s="73">
        <f t="shared" si="11"/>
        <v>1624.0572105905655</v>
      </c>
      <c r="V10" s="73">
        <f t="shared" si="11"/>
        <v>1676.4409943922044</v>
      </c>
      <c r="W10" s="73">
        <f t="shared" si="11"/>
        <v>1598.909499518393</v>
      </c>
      <c r="X10" s="73">
        <f t="shared" si="11"/>
        <v>1578.3215628198409</v>
      </c>
      <c r="Y10" s="73">
        <f t="shared" si="11"/>
        <v>1590.9208638453538</v>
      </c>
      <c r="Z10" s="73">
        <f t="shared" si="11"/>
        <v>1618.8570767583938</v>
      </c>
      <c r="AA10" s="73">
        <f t="shared" si="11"/>
        <v>1579.8162051068753</v>
      </c>
      <c r="AB10" s="73">
        <f t="shared" si="11"/>
        <v>1575.190301330171</v>
      </c>
      <c r="AC10" s="73">
        <f t="shared" si="11"/>
        <v>1568.5813050613606</v>
      </c>
      <c r="AD10" s="73">
        <f t="shared" si="11"/>
        <v>1513.0280959284123</v>
      </c>
      <c r="AE10" s="73">
        <f t="shared" si="11"/>
        <v>1344.7736169775987</v>
      </c>
      <c r="AF10" s="73">
        <f t="shared" si="11"/>
        <v>1429.0810698338848</v>
      </c>
      <c r="AG10" s="73">
        <f t="shared" si="11"/>
        <v>1415.8980241286965</v>
      </c>
      <c r="AH10" s="73">
        <f t="shared" si="11"/>
        <v>1392.3546406616963</v>
      </c>
      <c r="AI10" s="73">
        <f t="shared" si="11"/>
        <v>1424.920621452251</v>
      </c>
      <c r="AJ10" s="73">
        <f t="shared" si="11"/>
        <v>1410.0195300882015</v>
      </c>
      <c r="AK10" s="73">
        <f t="shared" si="11"/>
        <v>1343.8996644831122</v>
      </c>
      <c r="AL10" s="73">
        <f t="shared" si="11"/>
        <v>1306.9015855972996</v>
      </c>
      <c r="AM10" s="73">
        <f t="shared" si="11"/>
        <v>1283.178908394184</v>
      </c>
      <c r="AN10" s="73">
        <f t="shared" si="11"/>
        <v>1306.5609937789206</v>
      </c>
      <c r="AO10" s="73">
        <f t="shared" si="11"/>
        <v>1263.6035013061817</v>
      </c>
      <c r="AP10" s="73">
        <f t="shared" ref="AP10:AR10" si="12">SUM(AP11:AP12)</f>
        <v>1159.3150400010802</v>
      </c>
      <c r="AQ10" s="73">
        <f t="shared" ref="AQ10" si="13">SUM(AQ11:AQ12)</f>
        <v>1213.9016941481375</v>
      </c>
      <c r="AR10" s="73">
        <f t="shared" si="12"/>
        <v>1213.7877424118888</v>
      </c>
      <c r="AS10" s="63">
        <f>(AR10-L10)/L10</f>
        <v>-0.22071751803920528</v>
      </c>
      <c r="AT10" s="283">
        <f t="shared" si="10"/>
        <v>-9.3872293611636372E-5</v>
      </c>
      <c r="AU10" s="63"/>
      <c r="AV10" s="283">
        <f>AR10/AR$20</f>
        <v>0.25880982380929229</v>
      </c>
    </row>
    <row r="11" spans="1:48">
      <c r="A11" s="1026" t="s">
        <v>1822</v>
      </c>
      <c r="B11" s="1" t="s">
        <v>1609</v>
      </c>
      <c r="C11" s="73">
        <f>INDEX('Non-Energy Use'!$D$73:$AL$96,MATCH($B11,'Non-Energy Use'!$D$73:$D$96,0),MATCH($D$4,'Non-Energy Use'!$D$73:$AL$73,0))</f>
        <v>3003.1323302819897</v>
      </c>
      <c r="D11" s="1">
        <f>INDEX(Factors!$I$12:$BA$28,MATCH($A11,Factors!$I$12:$I$28,0),MATCH(D$4,Factors!$I$12:$BA$12,0))</f>
        <v>16.669044482808058</v>
      </c>
      <c r="E11" s="72">
        <f>INDEX('Non-Energy Use'!$D$100:$AL$123,MATCH($B11,'Non-Energy Use'!$D$100:$D$123,0),MATCH($D$4,'Non-Energy Use'!$D$100:$AL$100,0))</f>
        <v>50.059346401229512</v>
      </c>
      <c r="F11" s="1">
        <f>INDEX(Factors!I38:BA39,2,MATCH('Inventory Table'!D4,Factors!I38:BA38))</f>
        <v>0.63280546811931848</v>
      </c>
      <c r="G11" s="72">
        <f>INDEX('Non-Energy Use'!$D$129:$AL$152,MATCH($B11,'Non-Energy Use'!$D$129:$D$152,0),MATCH($D$4,'Non-Energy Use'!$D$129:$AL$129,0))</f>
        <v>31.677828133177162</v>
      </c>
      <c r="H11" s="72">
        <f>INDEX('Non-Energy Use'!$D$156:$AL$179,MATCH($B11,'Non-Energy Use'!$D$156:$D$179,0),MATCH($D$4,'Non-Energy Use'!$D$156:$AL$156,0))*CO2toC</f>
        <v>18.381518268052346</v>
      </c>
      <c r="I11" s="72">
        <f>INDEX('Non-Energy Use'!$D$156:$AL$179,MATCH($B11,'Non-Energy Use'!$D$156:$D$179,0),MATCH($D$4,'Non-Energy Use'!$D$156:$AL$156,0))</f>
        <v>67.398900316191941</v>
      </c>
      <c r="J11" s="72"/>
      <c r="K11" s="6" t="s">
        <v>1951</v>
      </c>
      <c r="L11" s="74">
        <f>'Summary Table'!C111</f>
        <v>871.14798773588757</v>
      </c>
      <c r="M11" s="74">
        <f>'Summary Table'!D111</f>
        <v>861.01770686221812</v>
      </c>
      <c r="N11" s="74">
        <f>'Summary Table'!E111</f>
        <v>880.61332866268185</v>
      </c>
      <c r="O11" s="74">
        <f>'Summary Table'!F111</f>
        <v>882.63934907005455</v>
      </c>
      <c r="P11" s="74">
        <f>'Summary Table'!G111</f>
        <v>880.59953483440188</v>
      </c>
      <c r="Q11" s="74">
        <f>'Summary Table'!H111</f>
        <v>900.66985857084114</v>
      </c>
      <c r="R11" s="74">
        <f>'Summary Table'!I111</f>
        <v>917.45530156632162</v>
      </c>
      <c r="S11" s="74">
        <f>'Summary Table'!J111</f>
        <v>912.28259273862545</v>
      </c>
      <c r="T11" s="74">
        <f>'Summary Table'!K111</f>
        <v>902.65399739323789</v>
      </c>
      <c r="U11" s="74">
        <f>'Summary Table'!L111</f>
        <v>851.04608197834489</v>
      </c>
      <c r="V11" s="74">
        <f>'Summary Table'!M111</f>
        <v>886.9343082673322</v>
      </c>
      <c r="W11" s="74">
        <f>'Summary Table'!N111</f>
        <v>863.28882117831472</v>
      </c>
      <c r="X11" s="74">
        <f>'Summary Table'!O111</f>
        <v>854.77909108294148</v>
      </c>
      <c r="Y11" s="74">
        <f>'Summary Table'!P111</f>
        <v>848.1963217207458</v>
      </c>
      <c r="Z11" s="74">
        <f>'Summary Table'!Q111</f>
        <v>873.38026486413344</v>
      </c>
      <c r="AA11" s="74">
        <f>'Summary Table'!R111</f>
        <v>843.50269432319647</v>
      </c>
      <c r="AB11" s="74">
        <f>'Summary Table'!S111</f>
        <v>863.78198645591374</v>
      </c>
      <c r="AC11" s="74">
        <f>'Summary Table'!T111</f>
        <v>853.64893767801323</v>
      </c>
      <c r="AD11" s="74">
        <f>'Summary Table'!U111</f>
        <v>816.29570806618426</v>
      </c>
      <c r="AE11" s="74">
        <f>'Summary Table'!V111</f>
        <v>743.09207015314723</v>
      </c>
      <c r="AF11" s="74">
        <f>'Summary Table'!W111</f>
        <v>788.03787367775101</v>
      </c>
      <c r="AG11" s="74">
        <f>'Summary Table'!X111</f>
        <v>791.10599449061897</v>
      </c>
      <c r="AH11" s="74">
        <f>'Summary Table'!Y111</f>
        <v>799.27427390614753</v>
      </c>
      <c r="AI11" s="74">
        <f>'Summary Table'!Z111</f>
        <v>830.13485745036496</v>
      </c>
      <c r="AJ11" s="74">
        <f>'Summary Table'!AA111</f>
        <v>817.04913278609956</v>
      </c>
      <c r="AK11" s="74">
        <f>'Summary Table'!AB111</f>
        <v>794.35753123025074</v>
      </c>
      <c r="AL11" s="74">
        <f>'Summary Table'!AC111</f>
        <v>789.33508463540647</v>
      </c>
      <c r="AM11" s="74">
        <f>'Summary Table'!AD111</f>
        <v>778.82500968816032</v>
      </c>
      <c r="AN11" s="74">
        <f>'Summary Table'!AE111</f>
        <v>805.21388172793172</v>
      </c>
      <c r="AO11" s="74">
        <f>'Summary Table'!AF111</f>
        <v>798.12532100200428</v>
      </c>
      <c r="AP11" s="74">
        <f>'Summary Table'!AG111</f>
        <v>749.5177051610093</v>
      </c>
      <c r="AQ11" s="74">
        <f>'Summary Table'!AH111</f>
        <v>768.83330400406851</v>
      </c>
      <c r="AR11" s="74">
        <f>'Summary Table'!AI111</f>
        <v>775.85903359367535</v>
      </c>
      <c r="AS11" s="63">
        <f t="shared" si="9"/>
        <v>-0.10938319950651333</v>
      </c>
      <c r="AT11" s="283">
        <f>(AR11-AQ11)/AQ11</f>
        <v>9.1381702028475887E-3</v>
      </c>
      <c r="AU11" s="63">
        <f>AR11/$AR$10</f>
        <v>0.63920486793842912</v>
      </c>
      <c r="AV11" s="63"/>
    </row>
    <row r="12" spans="1:48">
      <c r="B12" s="1" t="s">
        <v>1918</v>
      </c>
      <c r="C12" s="73">
        <f>INDEX('Non-Energy Use'!$D$73:$AL$96,MATCH($B12,'Non-Energy Use'!$D$73:$D$96,0),MATCH($D$4,'Non-Energy Use'!$D$73:$AL$73,0))</f>
        <v>119.544</v>
      </c>
      <c r="D12" s="1">
        <f>Factors!$D$33</f>
        <v>20.199355467286214</v>
      </c>
      <c r="E12" s="72">
        <f>INDEX('Non-Energy Use'!$D$100:$AL$123,MATCH($B12,'Non-Energy Use'!$D$100:$D$123,0),MATCH($D$4,'Non-Energy Use'!$D$100:$AL$100,0))</f>
        <v>2.4147117499812629</v>
      </c>
      <c r="F12" s="1">
        <f>'Non-Energy Use'!B136</f>
        <v>9.1799999999999993E-2</v>
      </c>
      <c r="G12" s="72">
        <f>INDEX('Non-Energy Use'!$D$129:$AL$152,MATCH($B12,'Non-Energy Use'!$D$129:$D$152,0),MATCH($D$4,'Non-Energy Use'!$D$129:$AL$129,0))</f>
        <v>0.22167053864827993</v>
      </c>
      <c r="H12" s="72">
        <f>INDEX('Non-Energy Use'!$D$156:$AL$179,MATCH($B12,'Non-Energy Use'!$D$156:$D$179,0),MATCH($D$4,'Non-Energy Use'!$D$156:$AL$156,0))*CO2toC</f>
        <v>2.1930412113329827</v>
      </c>
      <c r="I12" s="72">
        <f>INDEX('Non-Energy Use'!$D$156:$AL$179,MATCH($B12,'Non-Energy Use'!$D$156:$D$179,0),MATCH($D$4,'Non-Energy Use'!$D$156:$AL$156,0))</f>
        <v>8.0411511082209373</v>
      </c>
      <c r="J12" s="72"/>
      <c r="K12" s="6" t="s">
        <v>1952</v>
      </c>
      <c r="L12" s="74">
        <f>'Electricity Distributed'!C46</f>
        <v>686.42294515331571</v>
      </c>
      <c r="M12" s="74">
        <f>'Electricity Distributed'!D46</f>
        <v>674.18480218197135</v>
      </c>
      <c r="N12" s="74">
        <f>'Electricity Distributed'!E46</f>
        <v>699.21050173437857</v>
      </c>
      <c r="O12" s="74">
        <f>'Electricity Distributed'!F46</f>
        <v>709.1859912062065</v>
      </c>
      <c r="P12" s="74">
        <f>'Electricity Distributed'!G46</f>
        <v>723.2824811247707</v>
      </c>
      <c r="Q12" s="74">
        <f>'Electricity Distributed'!H46</f>
        <v>715.96368959221365</v>
      </c>
      <c r="R12" s="74">
        <f>'Electricity Distributed'!I46</f>
        <v>736.54746859735826</v>
      </c>
      <c r="S12" s="74">
        <f>'Electricity Distributed'!J46</f>
        <v>755.15510290306497</v>
      </c>
      <c r="T12" s="74">
        <f>'Electricity Distributed'!K46</f>
        <v>770.23648227717001</v>
      </c>
      <c r="U12" s="74">
        <f>'Electricity Distributed'!L46</f>
        <v>773.01112861222066</v>
      </c>
      <c r="V12" s="74">
        <f>'Electricity Distributed'!M46</f>
        <v>789.5066861248722</v>
      </c>
      <c r="W12" s="74">
        <f>'Electricity Distributed'!N46</f>
        <v>735.62067834007826</v>
      </c>
      <c r="X12" s="74">
        <f>'Electricity Distributed'!O46</f>
        <v>723.5424717368993</v>
      </c>
      <c r="Y12" s="74">
        <f>'Electricity Distributed'!P46</f>
        <v>742.72454212460809</v>
      </c>
      <c r="Z12" s="74">
        <f>'Electricity Distributed'!Q46</f>
        <v>745.47681189426021</v>
      </c>
      <c r="AA12" s="74">
        <f>'Electricity Distributed'!R46</f>
        <v>736.31351078367891</v>
      </c>
      <c r="AB12" s="74">
        <f>'Electricity Distributed'!S46</f>
        <v>711.40831487425726</v>
      </c>
      <c r="AC12" s="74">
        <f>'Electricity Distributed'!T46</f>
        <v>714.93236738334724</v>
      </c>
      <c r="AD12" s="74">
        <f>'Electricity Distributed'!U46</f>
        <v>696.73238786222805</v>
      </c>
      <c r="AE12" s="74">
        <f>'Electricity Distributed'!V46</f>
        <v>601.68154682445152</v>
      </c>
      <c r="AF12" s="74">
        <f>'Electricity Distributed'!W46</f>
        <v>641.04319615613383</v>
      </c>
      <c r="AG12" s="74">
        <f>'Electricity Distributed'!X46</f>
        <v>624.79202963807757</v>
      </c>
      <c r="AH12" s="74">
        <f>'Electricity Distributed'!Y46</f>
        <v>593.08036675554877</v>
      </c>
      <c r="AI12" s="74">
        <f>'Electricity Distributed'!Z46</f>
        <v>594.78576400188615</v>
      </c>
      <c r="AJ12" s="74">
        <f>'Electricity Distributed'!AA46</f>
        <v>592.9703973021019</v>
      </c>
      <c r="AK12" s="74">
        <f>'Electricity Distributed'!AB46</f>
        <v>549.54213325286162</v>
      </c>
      <c r="AL12" s="74">
        <f>'Electricity Distributed'!AC46</f>
        <v>517.5665009618931</v>
      </c>
      <c r="AM12" s="74">
        <f>'Electricity Distributed'!AD46</f>
        <v>504.35389870602353</v>
      </c>
      <c r="AN12" s="74">
        <f>'Electricity Distributed'!AE46</f>
        <v>501.34711205098887</v>
      </c>
      <c r="AO12" s="74">
        <f>'Electricity Distributed'!AF46</f>
        <v>465.47818030417739</v>
      </c>
      <c r="AP12" s="74">
        <f>'Electricity Distributed'!AG46</f>
        <v>409.79733484007096</v>
      </c>
      <c r="AQ12" s="74">
        <f>'Electricity Distributed'!AH46</f>
        <v>445.06839014406899</v>
      </c>
      <c r="AR12" s="74">
        <f>'Electricity Distributed'!AI46</f>
        <v>437.92870881821341</v>
      </c>
      <c r="AS12" s="63">
        <f t="shared" si="9"/>
        <v>-0.36201330111364499</v>
      </c>
      <c r="AT12" s="283">
        <f t="shared" si="10"/>
        <v>-1.604176230880934E-2</v>
      </c>
      <c r="AU12" s="63">
        <f>AR12/$AR$10</f>
        <v>0.36079513206157088</v>
      </c>
      <c r="AV12" s="63"/>
    </row>
    <row r="13" spans="1:48">
      <c r="B13" s="1" t="s">
        <v>1617</v>
      </c>
      <c r="C13" s="73">
        <f>INDEX('Non-Energy Use'!$D$73:$AL$96,MATCH($B13,'Non-Energy Use'!$D$73:$D$96,0),MATCH($D$4,'Non-Energy Use'!$D$73:$AL$73,0))</f>
        <v>0</v>
      </c>
      <c r="D13" s="1">
        <f>Factors!$D$46</f>
        <v>18.239999999999998</v>
      </c>
      <c r="E13" s="72">
        <f>INDEX('Non-Energy Use'!$D$100:$AL$123,MATCH($B13,'Non-Energy Use'!$D$100:$D$123,0),MATCH($D$4,'Non-Energy Use'!$D$100:$AL$100,0))</f>
        <v>0</v>
      </c>
      <c r="F13" s="287">
        <f>INDEX(Factors!I38:BA39,2,MATCH('Inventory Table'!D4,Factors!I38:BA38))</f>
        <v>0.63280546811931848</v>
      </c>
      <c r="G13" s="72">
        <f>INDEX('Non-Energy Use'!$D$129:$AL$152,MATCH($B13,'Non-Energy Use'!$D$129:$D$152,0),MATCH($D$4,'Non-Energy Use'!$D$129:$AL$129,0))</f>
        <v>0</v>
      </c>
      <c r="H13" s="72">
        <f>INDEX('Non-Energy Use'!$D$156:$AL$179,MATCH($B13,'Non-Energy Use'!$D$156:$D$179,0),MATCH($D$4,'Non-Energy Use'!$D$156:$AL$156,0))*CO2toC</f>
        <v>0</v>
      </c>
      <c r="I13" s="72">
        <f>INDEX('Non-Energy Use'!$D$156:$AL$179,MATCH($B13,'Non-Energy Use'!$D$156:$D$179,0),MATCH($D$4,'Non-Energy Use'!$D$156:$AL$156,0))</f>
        <v>0</v>
      </c>
      <c r="J13" s="72"/>
      <c r="K13" s="76" t="s">
        <v>1434</v>
      </c>
      <c r="L13" s="73">
        <f>SUM(L14:L15)</f>
        <v>931.31306277964427</v>
      </c>
      <c r="M13" s="73">
        <f t="shared" ref="M13:V13" si="14">SUM(M14:M15)</f>
        <v>949.33888588450918</v>
      </c>
      <c r="N13" s="73">
        <f t="shared" si="14"/>
        <v>945.36913683163345</v>
      </c>
      <c r="O13" s="73">
        <f t="shared" si="14"/>
        <v>998.00873848732488</v>
      </c>
      <c r="P13" s="73">
        <f t="shared" si="14"/>
        <v>988.95658292137637</v>
      </c>
      <c r="Q13" s="73">
        <f t="shared" si="14"/>
        <v>994.71215351490434</v>
      </c>
      <c r="R13" s="73">
        <f t="shared" si="14"/>
        <v>1055.599402858898</v>
      </c>
      <c r="S13" s="73">
        <f t="shared" si="14"/>
        <v>1045.2342898136208</v>
      </c>
      <c r="T13" s="73">
        <f t="shared" si="14"/>
        <v>1049.7633949656122</v>
      </c>
      <c r="U13" s="73">
        <f t="shared" si="14"/>
        <v>1070.5402579774973</v>
      </c>
      <c r="V13" s="73">
        <f t="shared" si="14"/>
        <v>1133.8938917163525</v>
      </c>
      <c r="W13" s="73">
        <f t="shared" ref="W13:AC13" si="15">SUM(W14:W15)</f>
        <v>1125.5136681815302</v>
      </c>
      <c r="X13" s="73">
        <f t="shared" si="15"/>
        <v>1152.6184869553806</v>
      </c>
      <c r="Y13" s="73">
        <f t="shared" si="15"/>
        <v>1182.6639198846428</v>
      </c>
      <c r="Z13" s="73">
        <f t="shared" si="15"/>
        <v>1180.84406074147</v>
      </c>
      <c r="AA13" s="73">
        <f t="shared" si="15"/>
        <v>1214.6147745129836</v>
      </c>
      <c r="AB13" s="73">
        <f t="shared" si="15"/>
        <v>1151.1172360888077</v>
      </c>
      <c r="AC13" s="73">
        <f t="shared" si="15"/>
        <v>1203.0476478201435</v>
      </c>
      <c r="AD13" s="73">
        <f t="shared" ref="AD13:AI13" si="16">SUM(AD14:AD15)</f>
        <v>1189.5719882760729</v>
      </c>
      <c r="AE13" s="73">
        <f t="shared" si="16"/>
        <v>1122.2027289953273</v>
      </c>
      <c r="AF13" s="73">
        <f t="shared" si="16"/>
        <v>1174.5997295871398</v>
      </c>
      <c r="AG13" s="73">
        <f t="shared" si="16"/>
        <v>1117.1249750463776</v>
      </c>
      <c r="AH13" s="73">
        <f t="shared" si="16"/>
        <v>1008.1089431001139</v>
      </c>
      <c r="AI13" s="73">
        <f t="shared" si="16"/>
        <v>1064.0052645208489</v>
      </c>
      <c r="AJ13" s="73">
        <f>SUM(AJ14:AJ15)</f>
        <v>1080.8370434492858</v>
      </c>
      <c r="AK13" s="73">
        <f>SUM(AK14:AK15)</f>
        <v>1001.4091538296726</v>
      </c>
      <c r="AL13" s="73">
        <f>SUM(AL14:AL15)</f>
        <v>946.65653651210357</v>
      </c>
      <c r="AM13" s="73">
        <f>SUM(AM14:AM15)</f>
        <v>911.08896100278503</v>
      </c>
      <c r="AN13" s="73">
        <f t="shared" ref="AN13:AO13" si="17">SUM(AN14:AN15)</f>
        <v>981.23477542869614</v>
      </c>
      <c r="AO13" s="73">
        <f t="shared" si="17"/>
        <v>926.65475759921389</v>
      </c>
      <c r="AP13" s="73">
        <f t="shared" ref="AP13:AR13" si="18">SUM(AP14:AP15)</f>
        <v>860.11952525953416</v>
      </c>
      <c r="AQ13" s="73">
        <f t="shared" ref="AQ13" si="19">SUM(AQ14:AQ15)</f>
        <v>890.29721476749273</v>
      </c>
      <c r="AR13" s="73">
        <f t="shared" si="18"/>
        <v>897.92632920320239</v>
      </c>
      <c r="AS13" s="63">
        <f t="shared" si="9"/>
        <v>-3.5849098343788008E-2</v>
      </c>
      <c r="AT13" s="283">
        <f t="shared" si="10"/>
        <v>8.5691770221948283E-3</v>
      </c>
      <c r="AU13" s="63">
        <f>AR13/$AR$10</f>
        <v>0.739772118162072</v>
      </c>
      <c r="AV13" s="283">
        <f>AR13/AR$20</f>
        <v>0.19146029156055283</v>
      </c>
    </row>
    <row r="14" spans="1:48">
      <c r="B14" s="1" t="s">
        <v>1615</v>
      </c>
      <c r="C14" s="73">
        <f>INDEX('Non-Energy Use'!$D$73:$AL$96,MATCH($B14,'Non-Energy Use'!$D$73:$D$96,0),MATCH($D$4,'Non-Energy Use'!$D$73:$AL$73,0))</f>
        <v>247.30334295628398</v>
      </c>
      <c r="D14" s="1">
        <f>Factors!$D$44</f>
        <v>18.550649350649344</v>
      </c>
      <c r="E14" s="72">
        <f>INDEX('Non-Energy Use'!$D$100:$AL$123,MATCH($B14,'Non-Energy Use'!$D$100:$D$123,0),MATCH($D$4,'Non-Energy Use'!$D$100:$AL$100,0))</f>
        <v>4.5876375984254016</v>
      </c>
      <c r="F14" s="287">
        <f>INDEX(Factors!I38:BA39,2,MATCH('Inventory Table'!D4,Factors!I38:BA38))</f>
        <v>0.63280546811931848</v>
      </c>
      <c r="G14" s="72">
        <f>INDEX('Non-Energy Use'!$D$129:$AL$152,MATCH($B14,'Non-Energy Use'!$D$129:$D$152,0),MATCH($D$4,'Non-Energy Use'!$D$129:$AL$129,0))</f>
        <v>2.9030821580333721</v>
      </c>
      <c r="H14" s="72">
        <f>INDEX('Non-Energy Use'!$D$156:$AL$179,MATCH($B14,'Non-Energy Use'!$D$156:$D$179,0),MATCH($D$4,'Non-Energy Use'!$D$156:$AL$156,0))*CO2toC</f>
        <v>1.6845554403920293</v>
      </c>
      <c r="I14" s="72">
        <f>INDEX('Non-Energy Use'!$D$156:$AL$179,MATCH($B14,'Non-Energy Use'!$D$156:$D$179,0),MATCH($D$4,'Non-Energy Use'!$D$156:$AL$156,0))</f>
        <v>6.1767032814374412</v>
      </c>
      <c r="J14" s="72"/>
      <c r="K14" s="6" t="s">
        <v>1951</v>
      </c>
      <c r="L14" s="74">
        <f>'Summary Table'!C103</f>
        <v>338.56762064987532</v>
      </c>
      <c r="M14" s="74">
        <f>'Summary Table'!D103</f>
        <v>347.71040742046836</v>
      </c>
      <c r="N14" s="74">
        <f>'Summary Table'!E103</f>
        <v>353.96781365995514</v>
      </c>
      <c r="O14" s="74">
        <f>'Summary Table'!F103</f>
        <v>366.08176219068184</v>
      </c>
      <c r="P14" s="74">
        <f>'Summary Table'!G103</f>
        <v>357.04722158190327</v>
      </c>
      <c r="Q14" s="74">
        <f>'Summary Table'!H103</f>
        <v>353.13357562814963</v>
      </c>
      <c r="R14" s="74">
        <f>'Summary Table'!I103</f>
        <v>383.47442583247692</v>
      </c>
      <c r="S14" s="74">
        <f>'Summary Table'!J103</f>
        <v>365.03335255680571</v>
      </c>
      <c r="T14" s="74">
        <f>'Summary Table'!K103</f>
        <v>331.61015895804616</v>
      </c>
      <c r="U14" s="74">
        <f>'Summary Table'!L103</f>
        <v>350.90678356718252</v>
      </c>
      <c r="V14" s="74">
        <f>'Summary Table'!M103</f>
        <v>371.70293408973146</v>
      </c>
      <c r="W14" s="74">
        <f>'Summary Table'!N103</f>
        <v>363.02014712962938</v>
      </c>
      <c r="X14" s="74">
        <f>'Summary Table'!O103</f>
        <v>361.02906078218899</v>
      </c>
      <c r="Y14" s="74">
        <f>'Summary Table'!P103</f>
        <v>380.07935625365371</v>
      </c>
      <c r="Z14" s="74">
        <f>'Summary Table'!Q103</f>
        <v>368.96978893709502</v>
      </c>
      <c r="AA14" s="74">
        <f>'Summary Table'!R103</f>
        <v>358.60930317623939</v>
      </c>
      <c r="AB14" s="74">
        <f>'Summary Table'!S103</f>
        <v>320.9820950750655</v>
      </c>
      <c r="AC14" s="74">
        <f>'Summary Table'!T103</f>
        <v>340.14662439815004</v>
      </c>
      <c r="AD14" s="74">
        <f>'Summary Table'!U103</f>
        <v>347.02060289864409</v>
      </c>
      <c r="AE14" s="74">
        <f>'Summary Table'!V103</f>
        <v>335.92770961955716</v>
      </c>
      <c r="AF14" s="74">
        <f>'Summary Table'!W103</f>
        <v>334.4953937384131</v>
      </c>
      <c r="AG14" s="74">
        <f>'Summary Table'!X103</f>
        <v>326.33292949338357</v>
      </c>
      <c r="AH14" s="74">
        <f>'Summary Table'!Y103</f>
        <v>282.53163356617171</v>
      </c>
      <c r="AI14" s="74">
        <f>'Summary Table'!Z103</f>
        <v>329.26483655164748</v>
      </c>
      <c r="AJ14" s="74">
        <f>'Summary Table'!AA103</f>
        <v>346.73389586521466</v>
      </c>
      <c r="AK14" s="74">
        <f>'Summary Table'!AB103</f>
        <v>317.61720155576893</v>
      </c>
      <c r="AL14" s="74">
        <f>'Summary Table'!AC103</f>
        <v>293.19119704544096</v>
      </c>
      <c r="AM14" s="74">
        <f>'Summary Table'!AD103</f>
        <v>293.9655962500521</v>
      </c>
      <c r="AN14" s="74">
        <f>'Summary Table'!AE103</f>
        <v>338.93967247435245</v>
      </c>
      <c r="AO14" s="74">
        <f>'Summary Table'!AF103</f>
        <v>342.90486060752039</v>
      </c>
      <c r="AP14" s="74">
        <f>'Summary Table'!AG103</f>
        <v>314.79502820823041</v>
      </c>
      <c r="AQ14" s="74">
        <f>'Summary Table'!AH103</f>
        <v>318.03359189887266</v>
      </c>
      <c r="AR14" s="74">
        <f>'Summary Table'!AI103</f>
        <v>333.09983042067904</v>
      </c>
      <c r="AS14" s="63">
        <f t="shared" si="9"/>
        <v>-1.6149773031162707E-2</v>
      </c>
      <c r="AT14" s="283">
        <f t="shared" si="10"/>
        <v>4.7373104305903316E-2</v>
      </c>
      <c r="AU14" s="63"/>
      <c r="AV14" s="63"/>
    </row>
    <row r="15" spans="1:48">
      <c r="B15" s="1" t="s">
        <v>1616</v>
      </c>
      <c r="C15" s="73">
        <f>INDEX('Non-Energy Use'!$D$73:$AL$96,MATCH($B15,'Non-Energy Use'!$D$73:$D$96,0),MATCH($D$4,'Non-Energy Use'!$D$73:$AL$73,0))</f>
        <v>112.45597211641869</v>
      </c>
      <c r="D15" s="1">
        <f>Factors!$D$45</f>
        <v>20.170000000000002</v>
      </c>
      <c r="E15" s="72">
        <f>INDEX('Non-Energy Use'!$D$100:$AL$123,MATCH($B15,'Non-Energy Use'!$D$100:$D$123,0),MATCH($D$4,'Non-Energy Use'!$D$100:$AL$100,0))</f>
        <v>2.2682369575881651</v>
      </c>
      <c r="F15" s="287">
        <f>INDEX(Factors!I38:BA39,2,MATCH('Inventory Table'!D4,Factors!I38:BA38))</f>
        <v>0.63280546811931848</v>
      </c>
      <c r="G15" s="72">
        <f>INDEX('Non-Energy Use'!$D$129:$AL$152,MATCH($B15,'Non-Energy Use'!$D$129:$D$152,0),MATCH($D$4,'Non-Energy Use'!$D$129:$AL$129,0))</f>
        <v>1.4353527497521175</v>
      </c>
      <c r="H15" s="72">
        <f>INDEX('Non-Energy Use'!$D$156:$AL$179,MATCH($B15,'Non-Energy Use'!$D$156:$D$179,0),MATCH($D$4,'Non-Energy Use'!$D$156:$AL$156,0))*CO2toC</f>
        <v>0.83288420783604755</v>
      </c>
      <c r="I15" s="72">
        <f>INDEX('Non-Energy Use'!$D$156:$AL$179,MATCH($B15,'Non-Energy Use'!$D$156:$D$179,0),MATCH($D$4,'Non-Energy Use'!$D$156:$AL$156,0))</f>
        <v>3.0539087620655079</v>
      </c>
      <c r="J15" s="72"/>
      <c r="K15" s="6" t="s">
        <v>1952</v>
      </c>
      <c r="L15" s="74">
        <f>'Electricity Distributed'!C44</f>
        <v>592.745442129769</v>
      </c>
      <c r="M15" s="74">
        <f>'Electricity Distributed'!D44</f>
        <v>601.62847846404088</v>
      </c>
      <c r="N15" s="74">
        <f>'Electricity Distributed'!E44</f>
        <v>591.40132317167831</v>
      </c>
      <c r="O15" s="74">
        <f>'Electricity Distributed'!F44</f>
        <v>631.92697629664303</v>
      </c>
      <c r="P15" s="74">
        <f>'Electricity Distributed'!G44</f>
        <v>631.90936133947309</v>
      </c>
      <c r="Q15" s="74">
        <f>'Electricity Distributed'!H44</f>
        <v>641.57857788675472</v>
      </c>
      <c r="R15" s="74">
        <f>'Electricity Distributed'!I44</f>
        <v>672.12497702642099</v>
      </c>
      <c r="S15" s="74">
        <f>'Electricity Distributed'!J44</f>
        <v>680.200937256815</v>
      </c>
      <c r="T15" s="74">
        <f>'Electricity Distributed'!K44</f>
        <v>718.15323600756608</v>
      </c>
      <c r="U15" s="74">
        <f>'Electricity Distributed'!L44</f>
        <v>719.63347441031488</v>
      </c>
      <c r="V15" s="74">
        <f>'Electricity Distributed'!M44</f>
        <v>762.19095762662107</v>
      </c>
      <c r="W15" s="74">
        <f>'Electricity Distributed'!N44</f>
        <v>762.49352105190076</v>
      </c>
      <c r="X15" s="74">
        <f>'Electricity Distributed'!O44</f>
        <v>791.58942617319155</v>
      </c>
      <c r="Y15" s="74">
        <f>'Electricity Distributed'!P44</f>
        <v>802.58456363098924</v>
      </c>
      <c r="Z15" s="74">
        <f>'Electricity Distributed'!Q44</f>
        <v>811.8742718043751</v>
      </c>
      <c r="AA15" s="74">
        <f>'Electricity Distributed'!R44</f>
        <v>856.00547133674411</v>
      </c>
      <c r="AB15" s="74">
        <f>'Electricity Distributed'!S44</f>
        <v>830.13514101374221</v>
      </c>
      <c r="AC15" s="74">
        <f>'Electricity Distributed'!T44</f>
        <v>862.90102342199361</v>
      </c>
      <c r="AD15" s="74">
        <f>'Electricity Distributed'!U44</f>
        <v>842.5513853774288</v>
      </c>
      <c r="AE15" s="74">
        <f>'Electricity Distributed'!V44</f>
        <v>786.27501937577017</v>
      </c>
      <c r="AF15" s="74">
        <f>'Electricity Distributed'!W44</f>
        <v>840.10433584872681</v>
      </c>
      <c r="AG15" s="74">
        <f>'Electricity Distributed'!X44</f>
        <v>790.79204555299407</v>
      </c>
      <c r="AH15" s="74">
        <f>'Electricity Distributed'!Y44</f>
        <v>725.57730953394218</v>
      </c>
      <c r="AI15" s="74">
        <f>'Electricity Distributed'!Z44</f>
        <v>734.74042796920128</v>
      </c>
      <c r="AJ15" s="74">
        <f>'Electricity Distributed'!AA44</f>
        <v>734.10314758407117</v>
      </c>
      <c r="AK15" s="74">
        <f>'Electricity Distributed'!AB44</f>
        <v>683.79195227390369</v>
      </c>
      <c r="AL15" s="74">
        <f>'Electricity Distributed'!AC44</f>
        <v>653.46533946666261</v>
      </c>
      <c r="AM15" s="74">
        <f>'Electricity Distributed'!AD44</f>
        <v>617.12336475273298</v>
      </c>
      <c r="AN15" s="74">
        <f>'Electricity Distributed'!AE44</f>
        <v>642.29510295434375</v>
      </c>
      <c r="AO15" s="74">
        <f>'Electricity Distributed'!AF44</f>
        <v>583.7498969916935</v>
      </c>
      <c r="AP15" s="74">
        <f>'Electricity Distributed'!AG44</f>
        <v>545.32449705130375</v>
      </c>
      <c r="AQ15" s="74">
        <f>'Electricity Distributed'!AH44</f>
        <v>572.26362286862002</v>
      </c>
      <c r="AR15" s="74">
        <f>'Electricity Distributed'!AI44</f>
        <v>564.82649878252334</v>
      </c>
      <c r="AS15" s="63">
        <f t="shared" si="9"/>
        <v>-4.7101067950739976E-2</v>
      </c>
      <c r="AT15" s="283">
        <f t="shared" si="10"/>
        <v>-1.2995975611408179E-2</v>
      </c>
      <c r="AU15" s="63"/>
      <c r="AV15" s="63"/>
    </row>
    <row r="16" spans="1:48">
      <c r="B16" s="1" t="s">
        <v>1618</v>
      </c>
      <c r="C16" s="73">
        <f>INDEX('Non-Energy Use'!$D$73:$AL$96,MATCH($B16,'Non-Energy Use'!$D$73:$D$96,0),MATCH($D$4,'Non-Energy Use'!$D$73:$AL$73,0))</f>
        <v>157.07933803502155</v>
      </c>
      <c r="D16" s="1">
        <f>Factors!$D$52</f>
        <v>17.510000000000002</v>
      </c>
      <c r="E16" s="72">
        <f>INDEX('Non-Energy Use'!$D$100:$AL$123,MATCH($B16,'Non-Energy Use'!$D$100:$D$123,0),MATCH($D$4,'Non-Energy Use'!$D$100:$AL$100,0))</f>
        <v>2.7504592089932278</v>
      </c>
      <c r="F16" s="287">
        <f>INDEX(Factors!I38:BA39,2,MATCH('Inventory Table'!D4,Factors!I38:BA38))</f>
        <v>0.63280546811931848</v>
      </c>
      <c r="G16" s="72">
        <f>INDEX('Non-Energy Use'!$D$129:$AL$152,MATCH($B16,'Non-Energy Use'!$D$129:$D$152,0),MATCH($D$4,'Non-Energy Use'!$D$129:$AL$129,0))</f>
        <v>1.7405056272900499</v>
      </c>
      <c r="H16" s="72">
        <f>INDEX('Non-Energy Use'!$D$156:$AL$179,MATCH($B16,'Non-Energy Use'!$D$156:$D$179,0),MATCH($D$4,'Non-Energy Use'!$D$156:$AL$156,0))*CO2toC</f>
        <v>1.0099535817031777</v>
      </c>
      <c r="I16" s="72">
        <f>INDEX('Non-Energy Use'!$D$156:$AL$179,MATCH($B16,'Non-Energy Use'!$D$156:$D$179,0),MATCH($D$4,'Non-Energy Use'!$D$156:$AL$156,0))</f>
        <v>3.7031631329116523</v>
      </c>
      <c r="J16" s="72"/>
      <c r="K16" s="76" t="s">
        <v>1441</v>
      </c>
      <c r="L16" s="73">
        <f>SUM(L17:L18)</f>
        <v>766.02691994731072</v>
      </c>
      <c r="M16" s="73">
        <f t="shared" ref="M16:V16" si="20">SUM(M17:M18)</f>
        <v>771.2092202993839</v>
      </c>
      <c r="N16" s="73">
        <f t="shared" si="20"/>
        <v>765.14047227879439</v>
      </c>
      <c r="O16" s="73">
        <f t="shared" si="20"/>
        <v>785.01388590711531</v>
      </c>
      <c r="P16" s="73">
        <f t="shared" si="20"/>
        <v>796.84487236257098</v>
      </c>
      <c r="Q16" s="73">
        <f t="shared" si="20"/>
        <v>814.35663325609789</v>
      </c>
      <c r="R16" s="73">
        <f t="shared" si="20"/>
        <v>846.07230311718195</v>
      </c>
      <c r="S16" s="73">
        <f t="shared" si="20"/>
        <v>886.88007365871078</v>
      </c>
      <c r="T16" s="73">
        <f t="shared" si="20"/>
        <v>905.12995542141925</v>
      </c>
      <c r="U16" s="73">
        <f t="shared" si="20"/>
        <v>914.52956492226315</v>
      </c>
      <c r="V16" s="73">
        <f t="shared" si="20"/>
        <v>977.5647701748602</v>
      </c>
      <c r="W16" s="73">
        <f t="shared" ref="W16:AC16" si="21">SUM(W17:W18)</f>
        <v>983.8950852816306</v>
      </c>
      <c r="X16" s="73">
        <f t="shared" si="21"/>
        <v>982.62298746802696</v>
      </c>
      <c r="Y16" s="73">
        <f t="shared" si="21"/>
        <v>994.19672122563452</v>
      </c>
      <c r="Z16" s="73">
        <f t="shared" si="21"/>
        <v>1011.1221161604907</v>
      </c>
      <c r="AA16" s="73">
        <f t="shared" si="21"/>
        <v>1029.990271758958</v>
      </c>
      <c r="AB16" s="73">
        <f t="shared" si="21"/>
        <v>1009.7193770610378</v>
      </c>
      <c r="AC16" s="73">
        <f t="shared" si="21"/>
        <v>1050.7858709956513</v>
      </c>
      <c r="AD16" s="73">
        <f t="shared" ref="AD16:AI16" si="22">SUM(AD17:AD18)</f>
        <v>1042.4436497395661</v>
      </c>
      <c r="AE16" s="73">
        <f t="shared" si="22"/>
        <v>980.62158197007898</v>
      </c>
      <c r="AF16" s="73">
        <f t="shared" si="22"/>
        <v>997.27408816918569</v>
      </c>
      <c r="AG16" s="73">
        <f t="shared" si="22"/>
        <v>962.76543320375924</v>
      </c>
      <c r="AH16" s="73">
        <f t="shared" si="22"/>
        <v>901.05203110893808</v>
      </c>
      <c r="AI16" s="73">
        <f t="shared" si="22"/>
        <v>928.81295318445063</v>
      </c>
      <c r="AJ16" s="73">
        <f>SUM(AJ17:AJ18)</f>
        <v>938.20061771932103</v>
      </c>
      <c r="AK16" s="73">
        <f>SUM(AK17:AK18)</f>
        <v>907.85011647502529</v>
      </c>
      <c r="AL16" s="73">
        <f>SUM(AL17:AL18)</f>
        <v>865.49984173305415</v>
      </c>
      <c r="AM16" s="73">
        <f>SUM(AM17:AM18)</f>
        <v>838.65206371340219</v>
      </c>
      <c r="AN16" s="73">
        <f t="shared" ref="AN16:AO16" si="23">SUM(AN17:AN18)</f>
        <v>851.32189302300719</v>
      </c>
      <c r="AO16" s="73">
        <f t="shared" si="23"/>
        <v>804.43052120748075</v>
      </c>
      <c r="AP16" s="73">
        <f t="shared" ref="AP16:AR16" si="24">SUM(AP17:AP18)</f>
        <v>709.61034812093942</v>
      </c>
      <c r="AQ16" s="73">
        <f t="shared" ref="AQ16" si="25">SUM(AQ17:AQ18)</f>
        <v>756.09336430601104</v>
      </c>
      <c r="AR16" s="73">
        <f t="shared" si="24"/>
        <v>767.5525103513263</v>
      </c>
      <c r="AS16" s="63">
        <f t="shared" si="9"/>
        <v>1.9915623906801112E-3</v>
      </c>
      <c r="AT16" s="283">
        <f t="shared" si="10"/>
        <v>1.5155728890483219E-2</v>
      </c>
      <c r="AU16" s="63">
        <f>AR16/$AR$10</f>
        <v>0.63236139526845192</v>
      </c>
      <c r="AV16" s="283">
        <f>AR16/AR$20</f>
        <v>0.16366134129322629</v>
      </c>
    </row>
    <row r="17" spans="1:48">
      <c r="A17" s="1026" t="s">
        <v>1921</v>
      </c>
      <c r="B17" s="1" t="s">
        <v>1604</v>
      </c>
      <c r="C17" s="73">
        <f>INDEX('Non-Energy Use'!$D$73:$AL$96,MATCH($B17,'Non-Energy Use'!$D$73:$D$96,0),MATCH($D$4,'Non-Energy Use'!$D$73:$AL$73,0))</f>
        <v>0</v>
      </c>
      <c r="D17" s="1">
        <f>Factors!$D$48</f>
        <v>27.84770010865628</v>
      </c>
      <c r="E17" s="1085">
        <f>INDEX('Non-Energy Use'!$D$100:$AL$123,MATCH($A17,'Non-Energy Use'!$D$100:$D$123,0),MATCH($D$4,'Non-Energy Use'!$D$100:$AL$100,0))</f>
        <v>0</v>
      </c>
      <c r="F17" s="1">
        <f>'Non-Energy Use'!B141</f>
        <v>0.3</v>
      </c>
      <c r="G17" s="1085">
        <f>INDEX('Non-Energy Use'!$D$129:$AL$152,MATCH($A17,'Non-Energy Use'!$D$129:$D$152,0),MATCH($D$4,'Non-Energy Use'!$D$129:$AL$129,0))</f>
        <v>0</v>
      </c>
      <c r="H17" s="1085">
        <f>INDEX('Non-Energy Use'!$D$156:$AL$179,MATCH($A17,'Non-Energy Use'!$D$156:$D$179,0),MATCH($D$4,'Non-Energy Use'!$D$156:$AL$156,0))*CO2toC</f>
        <v>0</v>
      </c>
      <c r="I17" s="1085">
        <f>INDEX('Non-Energy Use'!$D$156:$AL$179,MATCH($A17,'Non-Energy Use'!$D$156:$D$179,0),MATCH($D$4,'Non-Energy Use'!$D$156:$AL$156,0))</f>
        <v>0</v>
      </c>
      <c r="J17" s="72"/>
      <c r="K17" s="6" t="s">
        <v>1951</v>
      </c>
      <c r="L17" s="74">
        <f>'Summary Table'!C107</f>
        <v>228.29252569232682</v>
      </c>
      <c r="M17" s="74">
        <f>'Summary Table'!D107</f>
        <v>232.6602188593333</v>
      </c>
      <c r="N17" s="74">
        <f>'Summary Table'!E107</f>
        <v>228.03780614173755</v>
      </c>
      <c r="O17" s="74">
        <f>'Summary Table'!F107</f>
        <v>222.98547793099596</v>
      </c>
      <c r="P17" s="74">
        <f>'Summary Table'!G107</f>
        <v>224.69760946836189</v>
      </c>
      <c r="Q17" s="74">
        <f>'Summary Table'!H107</f>
        <v>227.78709302839189</v>
      </c>
      <c r="R17" s="74">
        <f>'Summary Table'!I107</f>
        <v>237.55830122079288</v>
      </c>
      <c r="S17" s="74">
        <f>'Summary Table'!J107</f>
        <v>237.81886128140263</v>
      </c>
      <c r="T17" s="74">
        <f>'Summary Table'!K107</f>
        <v>220.11800749855348</v>
      </c>
      <c r="U17" s="74">
        <f>'Summary Table'!L107</f>
        <v>220.7303790366158</v>
      </c>
      <c r="V17" s="74">
        <f>'Summary Table'!M107</f>
        <v>236.53065884817806</v>
      </c>
      <c r="W17" s="74">
        <f>'Summary Table'!N107</f>
        <v>228.4380393277641</v>
      </c>
      <c r="X17" s="74">
        <f>'Summary Table'!O107</f>
        <v>228.9797512545434</v>
      </c>
      <c r="Y17" s="74">
        <f>'Summary Table'!P107</f>
        <v>240.11125455570209</v>
      </c>
      <c r="Z17" s="74">
        <f>'Summary Table'!Q107</f>
        <v>237.92983578981887</v>
      </c>
      <c r="AA17" s="74">
        <f>'Summary Table'!R107</f>
        <v>226.97905171661546</v>
      </c>
      <c r="AB17" s="74">
        <f>'Summary Table'!S107</f>
        <v>211.38647278247549</v>
      </c>
      <c r="AC17" s="74">
        <f>'Summary Table'!T107</f>
        <v>222.54725889062303</v>
      </c>
      <c r="AD17" s="74">
        <f>'Summary Table'!U107</f>
        <v>227.06571744527918</v>
      </c>
      <c r="AE17" s="74">
        <f>'Summary Table'!V107</f>
        <v>227.70760129838843</v>
      </c>
      <c r="AF17" s="74">
        <f>'Summary Table'!W107</f>
        <v>224.28150233779189</v>
      </c>
      <c r="AG17" s="74">
        <f>'Summary Table'!X107</f>
        <v>224.59853530013848</v>
      </c>
      <c r="AH17" s="74">
        <f>'Summary Table'!Y107</f>
        <v>200.42911388421356</v>
      </c>
      <c r="AI17" s="74">
        <f>'Summary Table'!Z107</f>
        <v>224.32567870195237</v>
      </c>
      <c r="AJ17" s="74">
        <f>'Summary Table'!AA107</f>
        <v>232.55218038119722</v>
      </c>
      <c r="AK17" s="74">
        <f>'Summary Table'!AB107</f>
        <v>244.80512423914416</v>
      </c>
      <c r="AL17" s="74">
        <f>'Summary Table'!AC107</f>
        <v>231.8607082346536</v>
      </c>
      <c r="AM17" s="74">
        <f>'Summary Table'!AD107</f>
        <v>232.4132299027589</v>
      </c>
      <c r="AN17" s="74">
        <f>'Summary Table'!AE107</f>
        <v>246.29706654436893</v>
      </c>
      <c r="AO17" s="74">
        <f>'Summary Table'!AF107</f>
        <v>251.74931449629253</v>
      </c>
      <c r="AP17" s="74">
        <f>'Summary Table'!AG107</f>
        <v>229.26371887598955</v>
      </c>
      <c r="AQ17" s="74">
        <f>'Summary Table'!AH107</f>
        <v>237.52763457689494</v>
      </c>
      <c r="AR17" s="74">
        <f>'Summary Table'!AI107</f>
        <v>244.71401681716131</v>
      </c>
      <c r="AS17" s="63">
        <f t="shared" si="9"/>
        <v>7.1931794854142417E-2</v>
      </c>
      <c r="AT17" s="283">
        <f t="shared" si="10"/>
        <v>3.0254931191763784E-2</v>
      </c>
      <c r="AU17" s="63"/>
      <c r="AV17" s="63"/>
    </row>
    <row r="18" spans="1:48">
      <c r="B18" s="1" t="s">
        <v>1619</v>
      </c>
      <c r="C18" s="73">
        <f>INDEX('Non-Energy Use'!$D$73:$AL$96,MATCH($B18,'Non-Energy Use'!$D$73:$D$96,0),MATCH($D$4,'Non-Energy Use'!$D$73:$AL$73,0))</f>
        <v>83.406560199262358</v>
      </c>
      <c r="D18" s="1">
        <f>Factors!$D$37</f>
        <v>19.737389135254986</v>
      </c>
      <c r="E18" s="72">
        <f>INDEX('Non-Energy Use'!$D$100:$AL$123,MATCH($B18,'Non-Energy Use'!$D$100:$D$123,0),MATCH($D$4,'Non-Energy Use'!$D$100:$AL$100,0))</f>
        <v>1.6462277350859118</v>
      </c>
      <c r="F18" s="287">
        <f>INDEX(Factors!I38:BA39,2,MATCH('Inventory Table'!D4,Factors!I38:BA38))</f>
        <v>0.63280546811931848</v>
      </c>
      <c r="G18" s="72">
        <f>INDEX('Non-Energy Use'!$D$129:$AL$152,MATCH($B18,'Non-Energy Use'!$D$129:$D$152,0),MATCH($D$4,'Non-Energy Use'!$D$129:$AL$129,0))</f>
        <v>1.0417419125320457</v>
      </c>
      <c r="H18" s="72">
        <f>INDEX('Non-Energy Use'!$D$156:$AL$179,MATCH($B18,'Non-Energy Use'!$D$156:$D$179,0),MATCH($D$4,'Non-Energy Use'!$D$156:$AL$156,0))*CO2toC</f>
        <v>0.60448582255386596</v>
      </c>
      <c r="I18" s="72">
        <f>INDEX('Non-Energy Use'!$D$156:$AL$179,MATCH($B18,'Non-Energy Use'!$D$156:$D$179,0),MATCH($D$4,'Non-Energy Use'!$D$156:$AL$156,0))</f>
        <v>2.2164480160308422</v>
      </c>
      <c r="J18" s="72"/>
      <c r="K18" s="6" t="s">
        <v>1952</v>
      </c>
      <c r="L18" s="74">
        <f>'Electricity Distributed'!C45</f>
        <v>537.73439425498395</v>
      </c>
      <c r="M18" s="74">
        <f>'Electricity Distributed'!D45</f>
        <v>538.54900144005057</v>
      </c>
      <c r="N18" s="74">
        <f>'Electricity Distributed'!E45</f>
        <v>537.10266613705687</v>
      </c>
      <c r="O18" s="74">
        <f>'Electricity Distributed'!F45</f>
        <v>562.0284079761193</v>
      </c>
      <c r="P18" s="74">
        <f>'Electricity Distributed'!G45</f>
        <v>572.14726289420912</v>
      </c>
      <c r="Q18" s="74">
        <f>'Electricity Distributed'!H45</f>
        <v>586.56954022770606</v>
      </c>
      <c r="R18" s="74">
        <f>'Electricity Distributed'!I45</f>
        <v>608.514001896389</v>
      </c>
      <c r="S18" s="74">
        <f>'Electricity Distributed'!J45</f>
        <v>649.06121237730815</v>
      </c>
      <c r="T18" s="74">
        <f>'Electricity Distributed'!K45</f>
        <v>685.01194792286583</v>
      </c>
      <c r="U18" s="74">
        <f>'Electricity Distributed'!L45</f>
        <v>693.79918588564738</v>
      </c>
      <c r="V18" s="74">
        <f>'Electricity Distributed'!M45</f>
        <v>741.03411132668214</v>
      </c>
      <c r="W18" s="74">
        <f>'Electricity Distributed'!N45</f>
        <v>755.45704595386644</v>
      </c>
      <c r="X18" s="74">
        <f>'Electricity Distributed'!O45</f>
        <v>753.64323621348353</v>
      </c>
      <c r="Y18" s="74">
        <f>'Electricity Distributed'!P45</f>
        <v>754.08546666993243</v>
      </c>
      <c r="Z18" s="74">
        <f>'Electricity Distributed'!Q45</f>
        <v>773.19228037067182</v>
      </c>
      <c r="AA18" s="74">
        <f>'Electricity Distributed'!R45</f>
        <v>803.01122004234253</v>
      </c>
      <c r="AB18" s="74">
        <f>'Electricity Distributed'!S45</f>
        <v>798.3329042785623</v>
      </c>
      <c r="AC18" s="74">
        <f>'Electricity Distributed'!T45</f>
        <v>828.23861210502821</v>
      </c>
      <c r="AD18" s="74">
        <f>'Electricity Distributed'!U45</f>
        <v>815.37793229428689</v>
      </c>
      <c r="AE18" s="74">
        <f>'Electricity Distributed'!V45</f>
        <v>752.91398067169052</v>
      </c>
      <c r="AF18" s="74">
        <f>'Electricity Distributed'!W45</f>
        <v>772.99258583139374</v>
      </c>
      <c r="AG18" s="74">
        <f>'Electricity Distributed'!X45</f>
        <v>738.16689790362079</v>
      </c>
      <c r="AH18" s="74">
        <f>'Electricity Distributed'!Y45</f>
        <v>700.62291722472457</v>
      </c>
      <c r="AI18" s="74">
        <f>'Electricity Distributed'!Z45</f>
        <v>704.48727448249826</v>
      </c>
      <c r="AJ18" s="74">
        <f>'Electricity Distributed'!AA45</f>
        <v>705.64843733812381</v>
      </c>
      <c r="AK18" s="74">
        <f>'Electricity Distributed'!AB45</f>
        <v>663.04499223588107</v>
      </c>
      <c r="AL18" s="74">
        <f>'Electricity Distributed'!AC45</f>
        <v>633.63913349840061</v>
      </c>
      <c r="AM18" s="74">
        <f>'Electricity Distributed'!AD45</f>
        <v>606.23883381064331</v>
      </c>
      <c r="AN18" s="74">
        <f>'Electricity Distributed'!AE45</f>
        <v>605.02482647863826</v>
      </c>
      <c r="AO18" s="74">
        <f>'Electricity Distributed'!AF45</f>
        <v>552.68120671118822</v>
      </c>
      <c r="AP18" s="74">
        <f>'Electricity Distributed'!AG45</f>
        <v>480.3466292449499</v>
      </c>
      <c r="AQ18" s="74">
        <f>'Electricity Distributed'!AH45</f>
        <v>518.56572972911613</v>
      </c>
      <c r="AR18" s="74">
        <f>'Electricity Distributed'!AI45</f>
        <v>522.83849353416497</v>
      </c>
      <c r="AS18" s="63">
        <f t="shared" si="9"/>
        <v>-2.7701223652351347E-2</v>
      </c>
      <c r="AT18" s="283">
        <f t="shared" si="10"/>
        <v>8.2395799801132426E-3</v>
      </c>
      <c r="AU18" s="63"/>
      <c r="AV18" s="63"/>
    </row>
    <row r="19" spans="1:48">
      <c r="B19" s="1" t="s">
        <v>1738</v>
      </c>
      <c r="C19" s="73">
        <f>INDEX('Non-Energy Use'!$D$73:$AL$96,MATCH($B19,'Non-Energy Use'!$D$73:$D$96,0),MATCH($D$4,'Non-Energy Use'!$D$73:$AL$73,0))</f>
        <v>5.8250000000000002</v>
      </c>
      <c r="D19" s="1">
        <f>INDEX(Factors!$I$12:$BA$28,MATCH($B19,Factors!$I$12:$I$28,0),MATCH(D$4,Factors!$I$12:$BA$12,0))</f>
        <v>20.216892495282984</v>
      </c>
      <c r="E19" s="72">
        <f>INDEX('Non-Energy Use'!$D$100:$AL$123,MATCH($B19,'Non-Energy Use'!$D$100:$D$123,0),MATCH($D$4,'Non-Energy Use'!$D$100:$AL$100,0))</f>
        <v>0.11776339878502338</v>
      </c>
      <c r="F19" s="1">
        <f>'Non-Energy Use'!B144</f>
        <v>0.5</v>
      </c>
      <c r="G19" s="72">
        <f>INDEX('Non-Energy Use'!$D$129:$AL$152,MATCH($B19,'Non-Energy Use'!$D$129:$D$152,0),MATCH($D$4,'Non-Energy Use'!$D$129:$AL$129,0))</f>
        <v>5.8881699392511692E-2</v>
      </c>
      <c r="H19" s="72">
        <f>INDEX('Non-Energy Use'!$D$156:$AL$179,MATCH($B19,'Non-Energy Use'!$D$156:$D$179,0),MATCH($D$4,'Non-Energy Use'!$D$156:$AL$156,0))*CO2toC</f>
        <v>5.8881699392511685E-2</v>
      </c>
      <c r="I19" s="72">
        <f>INDEX('Non-Energy Use'!$D$156:$AL$179,MATCH($B19,'Non-Energy Use'!$D$156:$D$179,0),MATCH($D$4,'Non-Energy Use'!$D$156:$AL$156,0))</f>
        <v>0.21589956443920952</v>
      </c>
      <c r="J19" s="72"/>
      <c r="K19" s="5" t="s">
        <v>1476</v>
      </c>
      <c r="L19" s="73">
        <f>'Summary Table'!C124</f>
        <v>20.008143642447322</v>
      </c>
      <c r="M19" s="73">
        <f>'Summary Table'!D124</f>
        <v>19.182444782042232</v>
      </c>
      <c r="N19" s="73">
        <f>'Summary Table'!E124</f>
        <v>21.945857376420101</v>
      </c>
      <c r="O19" s="73">
        <f>'Summary Table'!F124</f>
        <v>22.624230404024768</v>
      </c>
      <c r="P19" s="73">
        <f>'Summary Table'!G124</f>
        <v>24.731925088050001</v>
      </c>
      <c r="Q19" s="73">
        <f>'Summary Table'!H124</f>
        <v>21.548589138159482</v>
      </c>
      <c r="R19" s="73">
        <f>'Summary Table'!I124</f>
        <v>19.778093969996299</v>
      </c>
      <c r="S19" s="73">
        <f>'Summary Table'!J124</f>
        <v>20.081919262735433</v>
      </c>
      <c r="T19" s="73">
        <f>'Summary Table'!K124</f>
        <v>19.445266094299622</v>
      </c>
      <c r="U19" s="73">
        <f>'Summary Table'!L124</f>
        <v>15.47129524021522</v>
      </c>
      <c r="V19" s="73">
        <f>'Summary Table'!M124</f>
        <v>37.029575784692575</v>
      </c>
      <c r="W19" s="73">
        <f>'Summary Table'!N124</f>
        <v>49.650607268994591</v>
      </c>
      <c r="X19" s="73">
        <f>'Summary Table'!O124</f>
        <v>45.151214460026296</v>
      </c>
      <c r="Y19" s="73">
        <f>'Summary Table'!P124</f>
        <v>50.364017021263976</v>
      </c>
      <c r="Z19" s="73">
        <f>'Summary Table'!Q124</f>
        <v>52.914993432602749</v>
      </c>
      <c r="AA19" s="73">
        <f>'Summary Table'!R124</f>
        <v>51.855854281144033</v>
      </c>
      <c r="AB19" s="73">
        <f>'Summary Table'!S124</f>
        <v>51.260969486928559</v>
      </c>
      <c r="AC19" s="73">
        <f>'Summary Table'!T124</f>
        <v>46.646544089766849</v>
      </c>
      <c r="AD19" s="73">
        <f>'Summary Table'!U124</f>
        <v>38.463690403077933</v>
      </c>
      <c r="AE19" s="73">
        <f>'Summary Table'!V124</f>
        <v>38.958018298003807</v>
      </c>
      <c r="AF19" s="73">
        <f>'Summary Table'!W124</f>
        <v>34.503300949717527</v>
      </c>
      <c r="AG19" s="73">
        <f>'Summary Table'!X124</f>
        <v>34.062393532029155</v>
      </c>
      <c r="AH19" s="73">
        <f>'Summary Table'!Y124</f>
        <v>32.953900270838638</v>
      </c>
      <c r="AI19" s="73">
        <f>'Summary Table'!Z124</f>
        <v>28.128373261572971</v>
      </c>
      <c r="AJ19" s="73">
        <f>'Summary Table'!AA124</f>
        <v>28.278251679990841</v>
      </c>
      <c r="AK19" s="73">
        <f>'Summary Table'!AB124</f>
        <v>28.534286210610869</v>
      </c>
      <c r="AL19" s="73">
        <f>'Summary Table'!AC124</f>
        <v>26.164722536961889</v>
      </c>
      <c r="AM19" s="73">
        <f>'Summary Table'!AD124</f>
        <v>25.945684640650551</v>
      </c>
      <c r="AN19" s="73">
        <f>'Summary Table'!AE124</f>
        <v>25.922517672840033</v>
      </c>
      <c r="AO19" s="73">
        <f>'Summary Table'!AF124</f>
        <v>24.81274635601731</v>
      </c>
      <c r="AP19" s="73">
        <f>'Summary Table'!AG124</f>
        <v>23.278828306241024</v>
      </c>
      <c r="AQ19" s="73">
        <f>'Summary Table'!AH124</f>
        <v>23.771703899344374</v>
      </c>
      <c r="AR19" s="73">
        <f>'Summary Table'!AI124</f>
        <v>23.766652318356165</v>
      </c>
      <c r="AS19" s="63">
        <f t="shared" si="9"/>
        <v>0.18784894506330702</v>
      </c>
      <c r="AT19" s="283">
        <f t="shared" si="10"/>
        <v>-2.125039504781941E-4</v>
      </c>
      <c r="AU19" s="63"/>
      <c r="AV19" s="283">
        <f>AR19/AR$20</f>
        <v>5.0676431175914471E-3</v>
      </c>
    </row>
    <row r="20" spans="1:48">
      <c r="B20" s="1" t="s">
        <v>1621</v>
      </c>
      <c r="C20" s="73">
        <f>INDEX('Non-Energy Use'!$D$73:$AL$96,MATCH($B20,'Non-Energy Use'!$D$73:$D$96,0),MATCH($D$4,'Non-Energy Use'!$D$73:$AL$73,0))</f>
        <v>13.038350416</v>
      </c>
      <c r="D20" s="1">
        <f>Factors!$D$55</f>
        <v>19.795754182606267</v>
      </c>
      <c r="E20" s="72">
        <f>INDEX('Non-Energy Use'!$D$100:$AL$123,MATCH($B20,'Non-Energy Use'!$D$100:$D$123,0),MATCH($D$4,'Non-Energy Use'!$D$100:$AL$100,0))</f>
        <v>0.25810397978181815</v>
      </c>
      <c r="F20" s="1">
        <f>'Non-Energy Use'!B145</f>
        <v>0.57824999999999982</v>
      </c>
      <c r="G20" s="72">
        <f>INDEX('Non-Energy Use'!$D$129:$AL$152,MATCH($B20,'Non-Energy Use'!$D$129:$D$152,0),MATCH($D$4,'Non-Energy Use'!$D$129:$AL$129,0))</f>
        <v>0.14924862630883629</v>
      </c>
      <c r="H20" s="72">
        <f>INDEX('Non-Energy Use'!$D$156:$AL$179,MATCH($B20,'Non-Energy Use'!$D$156:$D$179,0),MATCH($D$4,'Non-Energy Use'!$D$156:$AL$156,0))*CO2toC</f>
        <v>0.10885535347298185</v>
      </c>
      <c r="I20" s="72">
        <f>INDEX('Non-Energy Use'!$D$156:$AL$179,MATCH($B20,'Non-Energy Use'!$D$156:$D$179,0),MATCH($D$4,'Non-Energy Use'!$D$156:$AL$156,0))</f>
        <v>0.39913629606760015</v>
      </c>
      <c r="J20" s="72"/>
      <c r="K20" s="4" t="s">
        <v>1480</v>
      </c>
      <c r="L20" s="81">
        <f t="shared" ref="L20:AO20" si="26">L10+L7+L13+L16+L19</f>
        <v>4746.9107611763902</v>
      </c>
      <c r="M20" s="81">
        <f t="shared" si="26"/>
        <v>4700.2568670290257</v>
      </c>
      <c r="N20" s="81">
        <f t="shared" si="26"/>
        <v>4792.8961914450019</v>
      </c>
      <c r="O20" s="81">
        <f t="shared" si="26"/>
        <v>4909.1099279193977</v>
      </c>
      <c r="P20" s="81">
        <f t="shared" si="26"/>
        <v>4971.4921183987371</v>
      </c>
      <c r="Q20" s="81">
        <f t="shared" si="26"/>
        <v>5030.9902119425942</v>
      </c>
      <c r="R20" s="81">
        <f t="shared" si="26"/>
        <v>5205.8721982212037</v>
      </c>
      <c r="S20" s="81">
        <f t="shared" si="26"/>
        <v>5266.2520827818244</v>
      </c>
      <c r="T20" s="81">
        <f t="shared" si="26"/>
        <v>5329.3023926754731</v>
      </c>
      <c r="U20" s="81">
        <f t="shared" si="26"/>
        <v>5374.1646861342406</v>
      </c>
      <c r="V20" s="81">
        <f t="shared" si="26"/>
        <v>5620.5710399981308</v>
      </c>
      <c r="W20" s="81">
        <f t="shared" si="26"/>
        <v>5524.0653658701167</v>
      </c>
      <c r="X20" s="81">
        <f t="shared" si="26"/>
        <v>5565.1845602944495</v>
      </c>
      <c r="Y20" s="81">
        <f t="shared" si="26"/>
        <v>5634.4136153853851</v>
      </c>
      <c r="Z20" s="81">
        <f t="shared" si="26"/>
        <v>5713.4982557715184</v>
      </c>
      <c r="AA20" s="81">
        <f t="shared" si="26"/>
        <v>5739.5565585087497</v>
      </c>
      <c r="AB20" s="81">
        <f t="shared" si="26"/>
        <v>5650.9400650318266</v>
      </c>
      <c r="AC20" s="81">
        <f t="shared" si="26"/>
        <v>5734.864181483199</v>
      </c>
      <c r="AD20" s="81">
        <f t="shared" si="26"/>
        <v>5547.8591342867248</v>
      </c>
      <c r="AE20" s="81">
        <f t="shared" si="26"/>
        <v>5179.5118746219405</v>
      </c>
      <c r="AF20" s="81">
        <f t="shared" si="26"/>
        <v>5336.5715852980056</v>
      </c>
      <c r="AG20" s="81">
        <f t="shared" si="26"/>
        <v>5204.5445538446747</v>
      </c>
      <c r="AH20" s="81">
        <f t="shared" si="26"/>
        <v>4997.846070047568</v>
      </c>
      <c r="AI20" s="81">
        <f t="shared" si="26"/>
        <v>5119.1697937386971</v>
      </c>
      <c r="AJ20" s="81">
        <f t="shared" si="26"/>
        <v>5169.1260393761704</v>
      </c>
      <c r="AK20" s="81">
        <f t="shared" si="26"/>
        <v>5004.3330938460931</v>
      </c>
      <c r="AL20" s="81">
        <f t="shared" si="26"/>
        <v>4907.3297734535836</v>
      </c>
      <c r="AM20" s="81">
        <f t="shared" si="26"/>
        <v>4843.4900631032615</v>
      </c>
      <c r="AN20" s="81">
        <f t="shared" si="26"/>
        <v>4982.9401553416556</v>
      </c>
      <c r="AO20" s="81">
        <f t="shared" si="26"/>
        <v>4840.9487120861322</v>
      </c>
      <c r="AP20" s="81">
        <f t="shared" ref="AP20:AR20" si="27">AP10+AP7+AP13+AP16+AP19</f>
        <v>4329.241200528536</v>
      </c>
      <c r="AQ20" s="81">
        <f t="shared" ref="AQ20" si="28">AQ10+AQ7+AQ13+AQ16+AQ19</f>
        <v>4642.6449391491133</v>
      </c>
      <c r="AR20" s="81">
        <f t="shared" si="27"/>
        <v>4689.8828048593914</v>
      </c>
      <c r="AS20" s="63">
        <f t="shared" si="9"/>
        <v>-1.201369884250068E-2</v>
      </c>
      <c r="AT20" s="283">
        <f t="shared" si="10"/>
        <v>1.0174774579883274E-2</v>
      </c>
      <c r="AU20" s="63"/>
      <c r="AV20" s="63"/>
    </row>
    <row r="21" spans="1:48">
      <c r="A21" s="1026" t="s">
        <v>1739</v>
      </c>
      <c r="B21" s="1" t="s">
        <v>1614</v>
      </c>
      <c r="C21" s="73">
        <f>INDEX('Non-Energy Use'!$D$73:$AL$96,MATCH($B21,'Non-Energy Use'!$D$73:$D$96,0),MATCH($D$4,'Non-Energy Use'!$D$73:$AL$73,0))</f>
        <v>183.38850028799999</v>
      </c>
      <c r="D21" s="1">
        <f>INDEX(Factors!$I$12:$BA$28,MATCH($A21,Factors!$I$12:$I$28,0),MATCH(D$4,Factors!$I$12:$BA$12,0))</f>
        <v>0</v>
      </c>
      <c r="E21" s="72">
        <f>INDEX('Non-Energy Use'!$D$100:$AL$123,MATCH($B21,'Non-Energy Use'!$D$100:$D$123,0),MATCH($D$4,'Non-Energy Use'!$D$100:$AL$100,0))</f>
        <v>0</v>
      </c>
      <c r="F21" s="1">
        <f>'Non-Energy Use'!B146</f>
        <v>0</v>
      </c>
      <c r="G21" s="72">
        <f>INDEX('Non-Energy Use'!$D$129:$AL$152,MATCH($B21,'Non-Energy Use'!$D$129:$D$152,0),MATCH($D$4,'Non-Energy Use'!$D$129:$AL$129,0))</f>
        <v>0</v>
      </c>
      <c r="H21" s="72">
        <f>INDEX('Non-Energy Use'!$D$156:$AL$179,MATCH($B21,'Non-Energy Use'!$D$156:$D$179,0),MATCH($D$4,'Non-Energy Use'!$D$156:$AL$156,0))*CO2toC</f>
        <v>0</v>
      </c>
      <c r="I21" s="72">
        <f>INDEX('Non-Energy Use'!$D$156:$AL$179,MATCH($B21,'Non-Energy Use'!$D$156:$D$179,0),MATCH($D$4,'Non-Energy Use'!$D$156:$AL$156,0))</f>
        <v>0</v>
      </c>
      <c r="J21" s="72"/>
      <c r="K21" s="4" t="s">
        <v>1474</v>
      </c>
      <c r="L21" s="236">
        <f>'Electricity Distributed'!C49</f>
        <v>1819.9505893384999</v>
      </c>
      <c r="M21" s="236">
        <f>'Electricity Distributed'!D49</f>
        <v>1817.3586844666013</v>
      </c>
      <c r="N21" s="236">
        <f>'Electricity Distributed'!E49</f>
        <v>1830.6879594436025</v>
      </c>
      <c r="O21" s="236">
        <f>'Electricity Distributed'!F49</f>
        <v>1906.1720738783793</v>
      </c>
      <c r="P21" s="236">
        <f>'Electricity Distributed'!G49</f>
        <v>1930.4684738502765</v>
      </c>
      <c r="Q21" s="236">
        <f>'Electricity Distributed'!H49</f>
        <v>1947.1732378878787</v>
      </c>
      <c r="R21" s="236">
        <f>'Electricity Distributed'!I49</f>
        <v>2020.2429705095549</v>
      </c>
      <c r="S21" s="236">
        <f>'Electricity Distributed'!J49</f>
        <v>2087.5198032038875</v>
      </c>
      <c r="T21" s="236">
        <f>'Electricity Distributed'!K49</f>
        <v>2176.5546251532555</v>
      </c>
      <c r="U21" s="236">
        <f>'Electricity Distributed'!L49</f>
        <v>2189.6658226865443</v>
      </c>
      <c r="V21" s="236">
        <f>'Electricity Distributed'!M49</f>
        <v>2296.1716711514159</v>
      </c>
      <c r="W21" s="236">
        <f>'Electricity Distributed'!N49</f>
        <v>2257.203682742846</v>
      </c>
      <c r="X21" s="236">
        <f>'Electricity Distributed'!O49</f>
        <v>2272.2270983113667</v>
      </c>
      <c r="Y21" s="236">
        <f>'Electricity Distributed'!P49</f>
        <v>2303.6783787819459</v>
      </c>
      <c r="Z21" s="236">
        <f>'Electricity Distributed'!Q49</f>
        <v>2335.0826618336023</v>
      </c>
      <c r="AA21" s="236">
        <f>'Electricity Distributed'!R49</f>
        <v>2400.057485640647</v>
      </c>
      <c r="AB21" s="236">
        <f>'Electricity Distributed'!S49</f>
        <v>2344.3955347500892</v>
      </c>
      <c r="AC21" s="236">
        <f>'Electricity Distributed'!T49</f>
        <v>2411.1373189079404</v>
      </c>
      <c r="AD21" s="236">
        <f>'Electricity Distributed'!U49</f>
        <v>2359.3320917121573</v>
      </c>
      <c r="AE21" s="236">
        <f>'Electricity Distributed'!V49</f>
        <v>2145.345900756452</v>
      </c>
      <c r="AF21" s="236">
        <f>'Electricity Distributed'!W49</f>
        <v>2258.638992053367</v>
      </c>
      <c r="AG21" s="236">
        <f>'Electricity Distributed'!X49</f>
        <v>2158.0671407665527</v>
      </c>
      <c r="AH21" s="236">
        <f>'Electricity Distributed'!Y49</f>
        <v>2023.2558169491451</v>
      </c>
      <c r="AI21" s="236">
        <f>'Electricity Distributed'!Z49</f>
        <v>2038.2701275465363</v>
      </c>
      <c r="AJ21" s="236">
        <f>'Electricity Distributed'!AA49</f>
        <v>2037.1658489458662</v>
      </c>
      <c r="AK21" s="236">
        <f>'Electricity Distributed'!AB49</f>
        <v>1900.6377895750654</v>
      </c>
      <c r="AL21" s="236">
        <f>'Electricity Distributed'!AC49</f>
        <v>1808.8715159836302</v>
      </c>
      <c r="AM21" s="236">
        <f>'Electricity Distributed'!AD49</f>
        <v>1732.0327184453904</v>
      </c>
      <c r="AN21" s="236">
        <f>'Electricity Distributed'!AE49</f>
        <v>1753.4323681393168</v>
      </c>
      <c r="AO21" s="236">
        <f>'Electricity Distributed'!AF49</f>
        <v>1606.7207957152386</v>
      </c>
      <c r="AP21" s="236">
        <f>'Electricity Distributed'!AG49</f>
        <v>1439.5657139027048</v>
      </c>
      <c r="AQ21" s="236">
        <f>'Electricity Distributed'!AH49</f>
        <v>1540.9327798504842</v>
      </c>
      <c r="AR21" s="236">
        <f>'Electricity Distributed'!AI49</f>
        <v>1531.6800774009748</v>
      </c>
      <c r="AS21" s="63">
        <f t="shared" si="9"/>
        <v>-0.15839469138681569</v>
      </c>
      <c r="AT21" s="283">
        <f t="shared" si="10"/>
        <v>-6.004611343531239E-3</v>
      </c>
      <c r="AV21" s="283">
        <f>AR21/AR$20</f>
        <v>0.3265923992416046</v>
      </c>
    </row>
    <row r="22" spans="1:48">
      <c r="B22" s="5" t="s">
        <v>1445</v>
      </c>
      <c r="C22" s="73">
        <f>INDEX('Non-Energy Use'!$D$73:$AL$96,MATCH($B22,'Non-Energy Use'!$D$73:$D$96,0),MATCH($D$4,'Non-Energy Use'!$D$73:$AL$73,0))</f>
        <v>125.386</v>
      </c>
      <c r="D22" s="286" t="s">
        <v>1731</v>
      </c>
      <c r="E22" s="72">
        <f>INDEX('Non-Energy Use'!$D$100:$AL$123,MATCH($B22,'Non-Energy Use'!$D$100:$D$123,0),MATCH($D$4,'Non-Energy Use'!$D$100:$AL$100,0))</f>
        <v>2.5327163846211493</v>
      </c>
      <c r="F22" s="286" t="s">
        <v>1731</v>
      </c>
      <c r="G22" s="72">
        <f>INDEX('Non-Energy Use'!$D$129:$AL$152,MATCH($B22,'Non-Energy Use'!$D$129:$D$152,0),MATCH($D$4,'Non-Energy Use'!$D$129:$AL$129,0))</f>
        <v>0.23250336410822148</v>
      </c>
      <c r="H22" s="72">
        <f>INDEX('Non-Energy Use'!$D$156:$AL$179,MATCH($B22,'Non-Energy Use'!$D$156:$D$179,0),MATCH($D$4,'Non-Energy Use'!$D$156:$AL$156,0))*CO2toC</f>
        <v>2.3002130205129276</v>
      </c>
      <c r="I22" s="72">
        <f>INDEX('Non-Energy Use'!$D$156:$AL$179,MATCH($B22,'Non-Energy Use'!$D$156:$D$179,0),MATCH($D$4,'Non-Energy Use'!$D$156:$AL$156,0))</f>
        <v>8.4341144085474014</v>
      </c>
      <c r="J22" s="72"/>
      <c r="L22" s="10"/>
      <c r="M22" s="10"/>
      <c r="N22" s="10"/>
      <c r="O22" s="10"/>
      <c r="P22" s="10"/>
      <c r="Q22" s="10"/>
      <c r="R22" s="10"/>
      <c r="S22" s="10"/>
      <c r="T22" s="10"/>
      <c r="U22" s="10"/>
      <c r="V22" s="10"/>
      <c r="W22" s="10"/>
      <c r="X22" s="10"/>
      <c r="AS22" s="10"/>
    </row>
    <row r="23" spans="1:48" ht="15">
      <c r="B23" s="1" t="s">
        <v>1610</v>
      </c>
      <c r="C23" s="73">
        <f>INDEX('Non-Energy Use'!$D$73:$AL$96,MATCH($B23,'Non-Energy Use'!$D$73:$D$96,0),MATCH($D$4,'Non-Energy Use'!$D$73:$AL$73,0))</f>
        <v>125.386</v>
      </c>
      <c r="D23" s="1">
        <f>Factors!$D$33</f>
        <v>20.199355467286214</v>
      </c>
      <c r="E23" s="72">
        <f>INDEX('Non-Energy Use'!$D$100:$AL$123,MATCH($B23,'Non-Energy Use'!$D$100:$D$123,0),MATCH($D$4,'Non-Energy Use'!$D$100:$AL$100,0))</f>
        <v>2.5327163846211493</v>
      </c>
      <c r="F23" s="1">
        <f>'Non-Energy Use'!B148</f>
        <v>9.1799999999999993E-2</v>
      </c>
      <c r="G23" s="72">
        <f>INDEX('Non-Energy Use'!$D$129:$AL$152,MATCH($B23,'Non-Energy Use'!$D$129:$D$152,0),MATCH($D$4,'Non-Energy Use'!$D$129:$AL$129,0))</f>
        <v>0.23250336410822148</v>
      </c>
      <c r="H23" s="72">
        <f>INDEX('Non-Energy Use'!$D$156:$AL$179,MATCH($B23,'Non-Energy Use'!$D$156:$D$179,0),MATCH($D$4,'Non-Energy Use'!$D$156:$AL$156,0))*CO2toC</f>
        <v>2.3002130205129276</v>
      </c>
      <c r="I23" s="72">
        <f>INDEX('Non-Energy Use'!$D$156:$AL$179,MATCH($B23,'Non-Energy Use'!$D$156:$D$179,0),MATCH($D$4,'Non-Energy Use'!$D$156:$AL$156,0))</f>
        <v>8.4341144085474014</v>
      </c>
      <c r="J23" s="72"/>
      <c r="K23" s="1" t="s">
        <v>1953</v>
      </c>
      <c r="S23" s="21"/>
      <c r="T23" s="21"/>
      <c r="U23" s="21"/>
      <c r="V23" s="21"/>
    </row>
    <row r="24" spans="1:48">
      <c r="B24" s="5" t="s">
        <v>1476</v>
      </c>
      <c r="C24" s="73">
        <f>INDEX('Non-Energy Use'!$D$73:$AL$96,MATCH($B24,'Non-Energy Use'!$D$73:$D$96,0),MATCH($D$4,'Non-Energy Use'!$D$73:$AL$73,0))</f>
        <v>1.0453579184999999</v>
      </c>
      <c r="D24" s="286" t="s">
        <v>1731</v>
      </c>
      <c r="E24" s="72">
        <f>INDEX('Non-Energy Use'!$D$100:$AL$123,MATCH($B24,'Non-Energy Use'!$D$100:$D$123,0),MATCH($D$4,'Non-Energy Use'!$D$100:$AL$100,0))</f>
        <v>2.1114719983636357E-2</v>
      </c>
      <c r="F24" s="286" t="s">
        <v>1731</v>
      </c>
      <c r="G24" s="72">
        <f>INDEX('Non-Energy Use'!$D$129:$AL$152,MATCH($B24,'Non-Energy Use'!$D$129:$D$152,0),MATCH($D$4,'Non-Energy Use'!$D$129:$AL$129,0))</f>
        <v>1.9390191975818174E-3</v>
      </c>
      <c r="H24" s="72">
        <f>INDEX('Non-Energy Use'!$D$156:$AL$179,MATCH($B24,'Non-Energy Use'!$D$156:$D$179,0),MATCH($D$4,'Non-Energy Use'!$D$156:$AL$156,0))*CO2toC</f>
        <v>1.9175700786054538E-2</v>
      </c>
      <c r="I24" s="72">
        <f>INDEX('Non-Energy Use'!$D$156:$AL$179,MATCH($B24,'Non-Energy Use'!$D$156:$D$179,0),MATCH($D$4,'Non-Energy Use'!$D$156:$AL$156,0))</f>
        <v>7.0310902882199974E-2</v>
      </c>
      <c r="J24" s="72"/>
      <c r="K24" s="4" t="s">
        <v>1503</v>
      </c>
      <c r="L24" s="23">
        <v>1990</v>
      </c>
      <c r="M24" s="23">
        <v>1991</v>
      </c>
      <c r="N24" s="23">
        <v>1992</v>
      </c>
      <c r="O24" s="23">
        <v>1993</v>
      </c>
      <c r="P24" s="23">
        <v>1994</v>
      </c>
      <c r="Q24" s="23">
        <v>1995</v>
      </c>
      <c r="R24" s="23">
        <v>1996</v>
      </c>
      <c r="S24" s="23">
        <v>1997</v>
      </c>
      <c r="T24" s="23">
        <v>1998</v>
      </c>
      <c r="U24" s="23">
        <v>1999</v>
      </c>
      <c r="V24" s="23">
        <v>2000</v>
      </c>
      <c r="W24" s="23">
        <v>2001</v>
      </c>
      <c r="X24" s="23">
        <v>2002</v>
      </c>
      <c r="Y24" s="23">
        <v>2003</v>
      </c>
      <c r="Z24" s="23">
        <v>2004</v>
      </c>
      <c r="AA24" s="23">
        <v>2005</v>
      </c>
      <c r="AB24" s="23">
        <v>2006</v>
      </c>
      <c r="AC24" s="23">
        <v>2007</v>
      </c>
      <c r="AD24" s="23">
        <v>2008</v>
      </c>
      <c r="AE24" s="23">
        <v>2009</v>
      </c>
      <c r="AF24" s="23">
        <v>2010</v>
      </c>
      <c r="AG24" s="23">
        <v>2011</v>
      </c>
      <c r="AH24" s="23">
        <v>2012</v>
      </c>
      <c r="AI24" s="23">
        <v>2013</v>
      </c>
      <c r="AJ24" s="23">
        <v>2014</v>
      </c>
      <c r="AK24" s="23">
        <v>2015</v>
      </c>
      <c r="AL24" s="83">
        <v>2016</v>
      </c>
      <c r="AM24" s="83">
        <v>2017</v>
      </c>
      <c r="AN24" s="83">
        <v>2018</v>
      </c>
      <c r="AO24" s="83">
        <v>2019</v>
      </c>
      <c r="AP24" s="83">
        <v>2020</v>
      </c>
      <c r="AQ24" s="83">
        <v>2021</v>
      </c>
      <c r="AR24" s="83">
        <v>2022</v>
      </c>
      <c r="AS24" s="711" t="s">
        <v>1948</v>
      </c>
    </row>
    <row r="25" spans="1:48">
      <c r="A25" s="1027">
        <v>22</v>
      </c>
      <c r="B25" s="1" t="s">
        <v>1610</v>
      </c>
      <c r="C25" s="1084">
        <f>INDEX('Non-Energy Use'!$C$73:$AL$96,MATCH($A25,'Non-Energy Use'!$C$73:$C$96,0),MATCH($D$4,'Non-Energy Use'!$C$73:$AL$73,0))</f>
        <v>1.0411633874999999</v>
      </c>
      <c r="D25" s="1">
        <f>Factors!$D$33</f>
        <v>20.199355467286214</v>
      </c>
      <c r="E25" s="1085">
        <f>INDEX('Non-Energy Use'!$D$100:$AL$123,MATCH($A25,'Non-Energy Use'!$C$100:$C$123,0),MATCH($D$4,'Non-Energy Use'!$D$100:$AL$100,0))</f>
        <v>2.1030829363636358E-2</v>
      </c>
      <c r="F25" s="1">
        <f>'Non-Energy Use'!B150</f>
        <v>9.1799999999999993E-2</v>
      </c>
      <c r="G25" s="1085">
        <f>INDEX('Non-Energy Use'!$D$129:$AL$152,MATCH($A25,'Non-Energy Use'!$C$129:$C$152,0),MATCH($D$4,'Non-Energy Use'!$D$129:$AL$129,0))</f>
        <v>1.9306301355818175E-3</v>
      </c>
      <c r="H25" s="1085">
        <f>INDEX('Non-Energy Use'!$D$156:$AL$179,MATCH($A25,'Non-Energy Use'!$C$156:$C$179,0),MATCH($D$4,'Non-Energy Use'!$D$156:$AL$156,0))*CO2toC</f>
        <v>1.9100199228054539E-2</v>
      </c>
      <c r="I25" s="1085">
        <f>INDEX('Non-Energy Use'!$D$156:$AL$179,MATCH($A25,'Non-Energy Use'!$C$156:$C$179,0),MATCH($D$4,'Non-Energy Use'!$D$156:$AL$156,0))</f>
        <v>7.0034063836199978E-2</v>
      </c>
      <c r="J25" s="72"/>
      <c r="K25" s="5" t="s">
        <v>1434</v>
      </c>
      <c r="L25" s="78">
        <f>'Summary Table'!C103-'Summary Table'!$C103</f>
        <v>0</v>
      </c>
      <c r="M25" s="78">
        <f>'Summary Table'!D103-'Summary Table'!$C103</f>
        <v>9.1427867705930339</v>
      </c>
      <c r="N25" s="78">
        <f>'Summary Table'!E103-'Summary Table'!$C103</f>
        <v>15.400193010079818</v>
      </c>
      <c r="O25" s="78">
        <f>'Summary Table'!F103-'Summary Table'!$C103</f>
        <v>27.51414154080652</v>
      </c>
      <c r="P25" s="78">
        <f>'Summary Table'!G103-'Summary Table'!$C103</f>
        <v>18.47960093202795</v>
      </c>
      <c r="Q25" s="78">
        <f>'Summary Table'!H103-'Summary Table'!$C103</f>
        <v>14.565954978274306</v>
      </c>
      <c r="R25" s="78">
        <f>'Summary Table'!I103-'Summary Table'!$C103</f>
        <v>44.906805182601602</v>
      </c>
      <c r="S25" s="78">
        <f>'Summary Table'!J103-'Summary Table'!$C103</f>
        <v>26.465731906930387</v>
      </c>
      <c r="T25" s="78">
        <f>'Summary Table'!K103-'Summary Table'!$C103</f>
        <v>-6.9574616918291667</v>
      </c>
      <c r="U25" s="78">
        <f>'Summary Table'!L103-'Summary Table'!$C103</f>
        <v>12.339162917307192</v>
      </c>
      <c r="V25" s="78">
        <f>'Summary Table'!M103-'Summary Table'!$C103</f>
        <v>33.135313439856134</v>
      </c>
      <c r="W25" s="78">
        <f>'Summary Table'!N103-'Summary Table'!$C103</f>
        <v>24.452526479754056</v>
      </c>
      <c r="X25" s="78">
        <f>'Summary Table'!O103-'Summary Table'!$C103</f>
        <v>22.461440132313669</v>
      </c>
      <c r="Y25" s="78">
        <f>'Summary Table'!P103-'Summary Table'!$C103</f>
        <v>41.511735603778391</v>
      </c>
      <c r="Z25" s="78">
        <f>'Summary Table'!Q103-'Summary Table'!$C103</f>
        <v>30.402168287219695</v>
      </c>
      <c r="AA25" s="78">
        <f>'Summary Table'!R103-'Summary Table'!$C103</f>
        <v>20.04168252636407</v>
      </c>
      <c r="AB25" s="78">
        <f>'Summary Table'!S103-'Summary Table'!$C103</f>
        <v>-17.585525574809822</v>
      </c>
      <c r="AC25" s="78">
        <f>'Summary Table'!T103-'Summary Table'!$C103</f>
        <v>1.5790037482747152</v>
      </c>
      <c r="AD25" s="78">
        <f>'Summary Table'!U103-'Summary Table'!$C103</f>
        <v>8.4529822487687625</v>
      </c>
      <c r="AE25" s="78">
        <f>'Summary Table'!V103-'Summary Table'!$C103</f>
        <v>-2.6399110303181601</v>
      </c>
      <c r="AF25" s="78">
        <f>'Summary Table'!W103-'Summary Table'!$C103</f>
        <v>-4.0722269114622236</v>
      </c>
      <c r="AG25" s="78">
        <f>'Summary Table'!X103-'Summary Table'!$C103</f>
        <v>-12.234691156491749</v>
      </c>
      <c r="AH25" s="78">
        <f>'Summary Table'!Y103-'Summary Table'!$C103</f>
        <v>-56.035987083703617</v>
      </c>
      <c r="AI25" s="78">
        <f>'Summary Table'!Z103-'Summary Table'!$C103</f>
        <v>-9.3027840982278462</v>
      </c>
      <c r="AJ25" s="78">
        <f>'Summary Table'!AA103-'Summary Table'!$C103</f>
        <v>8.1662752153393399</v>
      </c>
      <c r="AK25" s="78">
        <f>'Summary Table'!AB103-'Summary Table'!$C103</f>
        <v>-20.950419094106394</v>
      </c>
      <c r="AL25" s="78">
        <f>'Summary Table'!AC103-'Summary Table'!$C103</f>
        <v>-45.376423604434365</v>
      </c>
      <c r="AM25" s="78">
        <f>'Summary Table'!AD103-'Summary Table'!$C103</f>
        <v>-44.602024399823222</v>
      </c>
      <c r="AN25" s="78">
        <f>'Summary Table'!AE103-'Summary Table'!$C103</f>
        <v>0.37205182447712559</v>
      </c>
      <c r="AO25" s="78">
        <f>'Summary Table'!AF103-'Summary Table'!$C103</f>
        <v>4.3372399576450675</v>
      </c>
      <c r="AP25" s="78">
        <f>'Summary Table'!AG103-'Summary Table'!$C103</f>
        <v>-23.772592441644917</v>
      </c>
      <c r="AQ25" s="78">
        <f>'Summary Table'!AH103-'Summary Table'!$C103</f>
        <v>-20.534028751002666</v>
      </c>
      <c r="AR25" s="78">
        <f>'Summary Table'!AI103-'Summary Table'!$C103</f>
        <v>-5.4677902291962823</v>
      </c>
    </row>
    <row r="26" spans="1:48">
      <c r="B26" s="1" t="s">
        <v>1785</v>
      </c>
      <c r="C26" s="73">
        <f>INDEX('Non-Energy Use'!$D$73:$AL$96,MATCH($B26,'Non-Energy Use'!$D$73:$D$96,0),MATCH($D$4,'Non-Energy Use'!$D$73:$AL$73,0))</f>
        <v>4.1945309999999996E-3</v>
      </c>
      <c r="D26" s="1">
        <f>Factors!$D$43</f>
        <v>20</v>
      </c>
      <c r="E26" s="72">
        <f>INDEX('Non-Energy Use'!$D$100:$AL$123,MATCH($B26,'Non-Energy Use'!$D$100:$D$123,0),MATCH($D$4,'Non-Energy Use'!$D$100:$AL$100,0))</f>
        <v>8.3890620000000001E-5</v>
      </c>
      <c r="F26" s="1">
        <f>'Non-Energy Use'!B151</f>
        <v>0.1</v>
      </c>
      <c r="G26" s="72">
        <f>INDEX('Non-Energy Use'!$D$129:$AL$152,MATCH($B26,'Non-Energy Use'!$D$129:$D$152,0),MATCH($D$4,'Non-Energy Use'!$D$129:$AL$129,0))</f>
        <v>8.3890620000000001E-6</v>
      </c>
      <c r="H26" s="72">
        <f>INDEX('Non-Energy Use'!$D$156:$AL$179,MATCH($B26,'Non-Energy Use'!$D$156:$D$179,0),MATCH($D$4,'Non-Energy Use'!$D$156:$AL$156,0))*CO2toC</f>
        <v>7.5501558000000001E-5</v>
      </c>
      <c r="I26" s="72">
        <f>INDEX('Non-Energy Use'!$D$156:$AL$179,MATCH($B26,'Non-Energy Use'!$D$156:$D$179,0),MATCH($D$4,'Non-Energy Use'!$D$156:$AL$156,0))</f>
        <v>2.76839046E-4</v>
      </c>
      <c r="J26" s="72"/>
      <c r="K26" s="6" t="s">
        <v>1435</v>
      </c>
      <c r="L26" s="79">
        <f>'Summary Table'!C104-'Summary Table'!$C104</f>
        <v>0</v>
      </c>
      <c r="M26" s="79">
        <f>'Summary Table'!D104-'Summary Table'!$C104</f>
        <v>-0.54582868473303492</v>
      </c>
      <c r="N26" s="79">
        <f>'Summary Table'!E104-'Summary Table'!$C104</f>
        <v>-0.51225703267204192</v>
      </c>
      <c r="O26" s="79">
        <f>'Summary Table'!F104-'Summary Table'!$C104</f>
        <v>-0.51794246536547295</v>
      </c>
      <c r="P26" s="79">
        <f>'Summary Table'!G104-'Summary Table'!$C104</f>
        <v>-0.99351316805789813</v>
      </c>
      <c r="Q26" s="79">
        <f>'Summary Table'!H104-'Summary Table'!$C104</f>
        <v>-1.3160234371024666</v>
      </c>
      <c r="R26" s="79">
        <f>'Summary Table'!I104-'Summary Table'!$C104</f>
        <v>-1.4051150589791126</v>
      </c>
      <c r="S26" s="79">
        <f>'Summary Table'!J104-'Summary Table'!$C104</f>
        <v>-1.4695236821041355</v>
      </c>
      <c r="T26" s="79">
        <f>'Summary Table'!K104-'Summary Table'!$C104</f>
        <v>-1.884449891643091</v>
      </c>
      <c r="U26" s="79">
        <f>'Summary Table'!L104-'Summary Table'!$C104</f>
        <v>-1.6562571733304803</v>
      </c>
      <c r="V26" s="79">
        <f>'Summary Table'!M104-'Summary Table'!$C104</f>
        <v>-1.9049383755771729</v>
      </c>
      <c r="W26" s="79">
        <f>'Summary Table'!N104-'Summary Table'!$C104</f>
        <v>-1.8468502336919888</v>
      </c>
      <c r="X26" s="79">
        <f>'Summary Table'!O104-'Summary Table'!$C104</f>
        <v>-1.8216445433757824</v>
      </c>
      <c r="Y26" s="79">
        <f>'Summary Table'!P104-'Summary Table'!$C104</f>
        <v>-1.8189279692325453</v>
      </c>
      <c r="Z26" s="79">
        <f>'Summary Table'!Q104-'Summary Table'!$C104</f>
        <v>-1.9024418832516323</v>
      </c>
      <c r="AA26" s="79">
        <f>'Summary Table'!R104-'Summary Table'!$C104</f>
        <v>-2.1824399174861142</v>
      </c>
      <c r="AB26" s="79">
        <f>'Summary Table'!S104-'Summary Table'!$C104</f>
        <v>-2.3706435888287367</v>
      </c>
      <c r="AC26" s="79">
        <f>'Summary Table'!T104-'Summary Table'!$C104</f>
        <v>-2.248260378812982</v>
      </c>
      <c r="AD26" s="79">
        <f>'Summary Table'!U104-'Summary Table'!$C104</f>
        <v>-2.9876952520607118</v>
      </c>
      <c r="AE26" s="79">
        <f>'Summary Table'!V104-'Summary Table'!$C104</f>
        <v>-2.9876952520607118</v>
      </c>
      <c r="AF26" s="79">
        <f>'Summary Table'!W104-'Summary Table'!$C104</f>
        <v>-2.9876952520607118</v>
      </c>
      <c r="AG26" s="79">
        <f>'Summary Table'!X104-'Summary Table'!$C104</f>
        <v>-2.9876952520607118</v>
      </c>
      <c r="AH26" s="79">
        <f>'Summary Table'!Y104-'Summary Table'!$C104</f>
        <v>-2.9876952520607118</v>
      </c>
      <c r="AI26" s="79">
        <f>'Summary Table'!Z104-'Summary Table'!$C104</f>
        <v>-2.9876952520607118</v>
      </c>
      <c r="AJ26" s="79">
        <f>'Summary Table'!AA104-'Summary Table'!$C104</f>
        <v>-2.9876952520607118</v>
      </c>
      <c r="AK26" s="79">
        <f>'Summary Table'!AB104-'Summary Table'!$C104</f>
        <v>-2.9876952520607118</v>
      </c>
      <c r="AL26" s="79">
        <f>'Summary Table'!AC104-'Summary Table'!$C104</f>
        <v>-2.9876952520607118</v>
      </c>
      <c r="AM26" s="79">
        <f>'Summary Table'!AD104-'Summary Table'!$C104</f>
        <v>-2.9876952520607118</v>
      </c>
      <c r="AN26" s="79">
        <f>'Summary Table'!AE104-'Summary Table'!$C104</f>
        <v>-2.9876952520607118</v>
      </c>
      <c r="AO26" s="79">
        <f>'Summary Table'!AF104-'Summary Table'!$C104</f>
        <v>-2.9876952520607118</v>
      </c>
      <c r="AP26" s="79">
        <f>'Summary Table'!AG104-'Summary Table'!$C104</f>
        <v>-2.9876952520607118</v>
      </c>
      <c r="AQ26" s="79">
        <f>'Summary Table'!AH104-'Summary Table'!$C104</f>
        <v>-2.9876952520607118</v>
      </c>
      <c r="AR26" s="79">
        <f>'Summary Table'!AI104-'Summary Table'!$C104</f>
        <v>-2.9876952520607118</v>
      </c>
    </row>
    <row r="27" spans="1:48">
      <c r="B27" s="4" t="s">
        <v>1480</v>
      </c>
      <c r="C27" s="81">
        <f>SUM(C6,C22,C24)</f>
        <v>5674.9105445239302</v>
      </c>
      <c r="D27" s="4"/>
      <c r="E27" s="82">
        <f>SUM(E6,E22,E24)</f>
        <v>96.167010041798775</v>
      </c>
      <c r="F27" s="4"/>
      <c r="G27" s="81">
        <f>SUM(G24,G22,G6)</f>
        <v>64.523197252779482</v>
      </c>
      <c r="H27" s="81">
        <f>SUM(H6,H22,H24)</f>
        <v>31.643812789019233</v>
      </c>
      <c r="I27" s="82">
        <f>SUM(I24,I22,I6)</f>
        <v>116.02731355973719</v>
      </c>
      <c r="J27" s="72"/>
      <c r="K27" s="6" t="s">
        <v>1439</v>
      </c>
      <c r="L27" s="79">
        <f>'Summary Table'!C105-'Summary Table'!$C105</f>
        <v>0</v>
      </c>
      <c r="M27" s="79">
        <f>'Summary Table'!D105-'Summary Table'!$C105</f>
        <v>9.5188576976540276</v>
      </c>
      <c r="N27" s="79">
        <f>'Summary Table'!E105-'Summary Table'!$C105</f>
        <v>16.79746471283832</v>
      </c>
      <c r="O27" s="79">
        <f>'Summary Table'!F105-'Summary Table'!$C105</f>
        <v>30.431812984135632</v>
      </c>
      <c r="P27" s="79">
        <f>'Summary Table'!G105-'Summary Table'!$C105</f>
        <v>25.146046278339298</v>
      </c>
      <c r="Q27" s="79">
        <f>'Summary Table'!H105-'Summary Table'!$C105</f>
        <v>24.968195337943911</v>
      </c>
      <c r="R27" s="79">
        <f>'Summary Table'!I105-'Summary Table'!$C105</f>
        <v>46.194441761664535</v>
      </c>
      <c r="S27" s="79">
        <f>'Summary Table'!J105-'Summary Table'!$C105</f>
        <v>32.326309196921358</v>
      </c>
      <c r="T27" s="79">
        <f>'Summary Table'!K105-'Summary Table'!$C105</f>
        <v>8.3421654368511611</v>
      </c>
      <c r="U27" s="79">
        <f>'Summary Table'!L105-'Summary Table'!$C105</f>
        <v>18.581702201023546</v>
      </c>
      <c r="V27" s="79">
        <f>'Summary Table'!M105-'Summary Table'!$C105</f>
        <v>33.008386094996609</v>
      </c>
      <c r="W27" s="79">
        <f>'Summary Table'!N105-'Summary Table'!$C105</f>
        <v>21.391451620640822</v>
      </c>
      <c r="X27" s="79">
        <f>'Summary Table'!O105-'Summary Table'!$C105</f>
        <v>27.255671908387086</v>
      </c>
      <c r="Y27" s="79">
        <f>'Summary Table'!P105-'Summary Table'!$C105</f>
        <v>38.377835431789407</v>
      </c>
      <c r="Z27" s="79">
        <f>'Summary Table'!Q105-'Summary Table'!$C105</f>
        <v>26.381262947191232</v>
      </c>
      <c r="AA27" s="79">
        <f>'Summary Table'!R105-'Summary Table'!$C105</f>
        <v>24.431092400254528</v>
      </c>
      <c r="AB27" s="79">
        <f>'Summary Table'!S105-'Summary Table'!$C105</f>
        <v>-0.5091135436941272</v>
      </c>
      <c r="AC27" s="79">
        <f>'Summary Table'!T105-'Summary Table'!$C105</f>
        <v>18.610389699048625</v>
      </c>
      <c r="AD27" s="79">
        <f>'Summary Table'!U105-'Summary Table'!$C105</f>
        <v>27.86998229173426</v>
      </c>
      <c r="AE27" s="79">
        <f>'Summary Table'!V105-'Summary Table'!$C105</f>
        <v>21.258504885182134</v>
      </c>
      <c r="AF27" s="79">
        <f>'Summary Table'!W105-'Summary Table'!$C105</f>
        <v>21.113762855727572</v>
      </c>
      <c r="AG27" s="79">
        <f>'Summary Table'!X105-'Summary Table'!$C105</f>
        <v>17.270518161244638</v>
      </c>
      <c r="AH27" s="79">
        <f>'Summary Table'!Y105-'Summary Table'!$C105</f>
        <v>-12.696036350576435</v>
      </c>
      <c r="AI27" s="79">
        <f>'Summary Table'!Z105-'Summary Table'!$C105</f>
        <v>28.553020484084385</v>
      </c>
      <c r="AJ27" s="79">
        <f>'Summary Table'!AA105-'Summary Table'!$C105</f>
        <v>39.874092252125223</v>
      </c>
      <c r="AK27" s="79">
        <f>'Summary Table'!AB105-'Summary Table'!$C105</f>
        <v>14.926400391780078</v>
      </c>
      <c r="AL27" s="79">
        <f>'Summary Table'!AC105-'Summary Table'!$C105</f>
        <v>0.5847207598200157</v>
      </c>
      <c r="AM27" s="79">
        <f>'Summary Table'!AD105-'Summary Table'!$C105</f>
        <v>3.6885808682890797</v>
      </c>
      <c r="AN27" s="79">
        <f>'Summary Table'!AE105-'Summary Table'!$C105</f>
        <v>36.016853626451933</v>
      </c>
      <c r="AO27" s="79">
        <f>'Summary Table'!AF105-'Summary Table'!$C105</f>
        <v>37.671366565006139</v>
      </c>
      <c r="AP27" s="79">
        <f>'Summary Table'!AG105-'Summary Table'!$C105</f>
        <v>18.563839262590051</v>
      </c>
      <c r="AQ27" s="79">
        <f>'Summary Table'!AH105-'Summary Table'!$C105</f>
        <v>20.849552224373696</v>
      </c>
      <c r="AR27" s="79">
        <f>'Summary Table'!AI105-'Summary Table'!$C105</f>
        <v>34.189305710390755</v>
      </c>
      <c r="AS27" s="281">
        <f>AR27/'Summary Table'!C105</f>
        <v>0.14377486650324042</v>
      </c>
    </row>
    <row r="28" spans="1:48" ht="15.6">
      <c r="B28" s="739" t="s">
        <v>1954</v>
      </c>
      <c r="C28" s="739"/>
      <c r="D28" s="739"/>
      <c r="E28" s="739"/>
      <c r="F28" s="739"/>
      <c r="G28" s="1124"/>
      <c r="H28" s="1124"/>
      <c r="I28" s="73"/>
      <c r="J28" s="5"/>
      <c r="K28" s="6" t="s">
        <v>1440</v>
      </c>
      <c r="L28" s="79">
        <f>'Summary Table'!C106-'Summary Table'!$C106</f>
        <v>0</v>
      </c>
      <c r="M28" s="79">
        <f>'Summary Table'!D106-'Summary Table'!$C106</f>
        <v>0.16975775767203061</v>
      </c>
      <c r="N28" s="79">
        <f>'Summary Table'!E106-'Summary Table'!$C106</f>
        <v>-0.88501467008644852</v>
      </c>
      <c r="O28" s="79">
        <f>'Summary Table'!F106-'Summary Table'!$C106</f>
        <v>-2.3997289779636901</v>
      </c>
      <c r="P28" s="79">
        <f>'Summary Table'!G106-'Summary Table'!$C106</f>
        <v>-5.6729321782534328</v>
      </c>
      <c r="Q28" s="79">
        <f>'Summary Table'!H106-'Summary Table'!$C106</f>
        <v>-9.0862169225671181</v>
      </c>
      <c r="R28" s="79">
        <f>'Summary Table'!I106-'Summary Table'!$C106</f>
        <v>0.1174784799162012</v>
      </c>
      <c r="S28" s="79">
        <f>'Summary Table'!J106-'Summary Table'!$C106</f>
        <v>-4.3910536078868034</v>
      </c>
      <c r="T28" s="79">
        <f>'Summary Table'!K106-'Summary Table'!$C106</f>
        <v>-13.415177237037227</v>
      </c>
      <c r="U28" s="79">
        <f>'Summary Table'!L106-'Summary Table'!$C106</f>
        <v>-4.5862821103858806</v>
      </c>
      <c r="V28" s="79">
        <f>'Summary Table'!M106-'Summary Table'!$C106</f>
        <v>2.0318657204366986</v>
      </c>
      <c r="W28" s="79">
        <f>'Summary Table'!N106-'Summary Table'!$C106</f>
        <v>4.9079250928052005</v>
      </c>
      <c r="X28" s="79">
        <f>'Summary Table'!O106-'Summary Table'!$C106</f>
        <v>-2.9725872326976059</v>
      </c>
      <c r="Y28" s="79">
        <f>'Summary Table'!P106-'Summary Table'!$C106</f>
        <v>4.9528281412215449</v>
      </c>
      <c r="Z28" s="79">
        <f>'Summary Table'!Q106-'Summary Table'!$C106</f>
        <v>5.9233472232801034</v>
      </c>
      <c r="AA28" s="79">
        <f>'Summary Table'!R106-'Summary Table'!$C106</f>
        <v>-2.2069699564043646</v>
      </c>
      <c r="AB28" s="79">
        <f>'Summary Table'!S106-'Summary Table'!$C106</f>
        <v>-14.705768442286939</v>
      </c>
      <c r="AC28" s="79">
        <f>'Summary Table'!T106-'Summary Table'!$C106</f>
        <v>-14.783125571960895</v>
      </c>
      <c r="AD28" s="79">
        <f>'Summary Table'!U106-'Summary Table'!$C106</f>
        <v>-16.42930479090478</v>
      </c>
      <c r="AE28" s="79">
        <f>'Summary Table'!V106-'Summary Table'!$C106</f>
        <v>-20.910720663439577</v>
      </c>
      <c r="AF28" s="79">
        <f>'Summary Table'!W106-'Summary Table'!$C106</f>
        <v>-22.198294515129106</v>
      </c>
      <c r="AG28" s="79">
        <f>'Summary Table'!X106-'Summary Table'!$C106</f>
        <v>-26.51751406567567</v>
      </c>
      <c r="AH28" s="79">
        <f>'Summary Table'!Y106-'Summary Table'!$C106</f>
        <v>-40.352255481066472</v>
      </c>
      <c r="AI28" s="79">
        <f>'Summary Table'!Z106-'Summary Table'!$C106</f>
        <v>-34.868109330251514</v>
      </c>
      <c r="AJ28" s="79">
        <f>'Summary Table'!AA106-'Summary Table'!$C106</f>
        <v>-28.720121784725137</v>
      </c>
      <c r="AK28" s="79">
        <f>'Summary Table'!AB106-'Summary Table'!$C106</f>
        <v>-32.889124233825783</v>
      </c>
      <c r="AL28" s="79">
        <f>'Summary Table'!AC106-'Summary Table'!$C106</f>
        <v>-42.973449112193684</v>
      </c>
      <c r="AM28" s="79">
        <f>'Summary Table'!AD106-'Summary Table'!$C106</f>
        <v>-45.302910016051605</v>
      </c>
      <c r="AN28" s="79">
        <f>'Summary Table'!AE106-'Summary Table'!$C106</f>
        <v>-32.65710654991409</v>
      </c>
      <c r="AO28" s="79">
        <f>'Summary Table'!AF106-'Summary Table'!$C106</f>
        <v>-30.346431355300339</v>
      </c>
      <c r="AP28" s="79">
        <f>'Summary Table'!AG106-'Summary Table'!$C106</f>
        <v>-39.348736452174229</v>
      </c>
      <c r="AQ28" s="79">
        <f>'Summary Table'!AH106-'Summary Table'!$C106</f>
        <v>-38.395885723315651</v>
      </c>
      <c r="AR28" s="79">
        <f>'Summary Table'!AI106-'Summary Table'!$C106</f>
        <v>-36.669400687526306</v>
      </c>
    </row>
    <row r="29" spans="1:48" ht="15.6">
      <c r="B29" s="45" t="s">
        <v>1955</v>
      </c>
      <c r="C29" s="1124"/>
      <c r="D29" s="1124"/>
      <c r="E29" s="1124"/>
      <c r="F29" s="1124"/>
      <c r="G29" s="17"/>
      <c r="H29" s="17"/>
      <c r="K29" s="5" t="s">
        <v>1441</v>
      </c>
      <c r="L29" s="78">
        <f>'Summary Table'!C107-'Summary Table'!$C107</f>
        <v>0</v>
      </c>
      <c r="M29" s="78">
        <f>'Summary Table'!D107-'Summary Table'!$C107</f>
        <v>4.3676931670064789</v>
      </c>
      <c r="N29" s="78">
        <f>'Summary Table'!E107-'Summary Table'!$C107</f>
        <v>-0.25471955058927165</v>
      </c>
      <c r="O29" s="78">
        <f>'Summary Table'!F107-'Summary Table'!$C107</f>
        <v>-5.307047761330864</v>
      </c>
      <c r="P29" s="78">
        <f>'Summary Table'!G107-'Summary Table'!$C107</f>
        <v>-3.5949162239649297</v>
      </c>
      <c r="Q29" s="78">
        <f>'Summary Table'!H107-'Summary Table'!$C107</f>
        <v>-0.50543266393492559</v>
      </c>
      <c r="R29" s="78">
        <f>'Summary Table'!I107-'Summary Table'!$C107</f>
        <v>9.2657755284660652</v>
      </c>
      <c r="S29" s="78">
        <f>'Summary Table'!J107-'Summary Table'!$C107</f>
        <v>9.5263355890758135</v>
      </c>
      <c r="T29" s="78">
        <f>'Summary Table'!K107-'Summary Table'!$C107</f>
        <v>-8.1745181937733378</v>
      </c>
      <c r="U29" s="78">
        <f>'Summary Table'!L107-'Summary Table'!$C107</f>
        <v>-7.5621466557110182</v>
      </c>
      <c r="V29" s="78">
        <f>'Summary Table'!M107-'Summary Table'!$C107</f>
        <v>8.2381331558512443</v>
      </c>
      <c r="W29" s="78">
        <f>'Summary Table'!N107-'Summary Table'!$C107</f>
        <v>0.14551363543728257</v>
      </c>
      <c r="X29" s="78">
        <f>'Summary Table'!O107-'Summary Table'!$C107</f>
        <v>0.68722556221658238</v>
      </c>
      <c r="Y29" s="78">
        <f>'Summary Table'!P107-'Summary Table'!$C107</f>
        <v>11.81872886337527</v>
      </c>
      <c r="Z29" s="78">
        <f>'Summary Table'!Q107-'Summary Table'!$C107</f>
        <v>9.6373100974920476</v>
      </c>
      <c r="AA29" s="78">
        <f>'Summary Table'!R107-'Summary Table'!$C107</f>
        <v>-1.3134739757113607</v>
      </c>
      <c r="AB29" s="78">
        <f>'Summary Table'!S107-'Summary Table'!$C107</f>
        <v>-16.906052909851326</v>
      </c>
      <c r="AC29" s="78">
        <f>'Summary Table'!T107-'Summary Table'!$C107</f>
        <v>-5.7452668017037922</v>
      </c>
      <c r="AD29" s="78">
        <f>'Summary Table'!U107-'Summary Table'!$C107</f>
        <v>-1.2268082470476429</v>
      </c>
      <c r="AE29" s="78">
        <f>'Summary Table'!V107-'Summary Table'!$C107</f>
        <v>-0.58492439393839391</v>
      </c>
      <c r="AF29" s="78">
        <f>'Summary Table'!W107-'Summary Table'!$C107</f>
        <v>-4.0110233545349274</v>
      </c>
      <c r="AG29" s="78">
        <f>'Summary Table'!X107-'Summary Table'!$C107</f>
        <v>-3.6939903921883399</v>
      </c>
      <c r="AH29" s="78">
        <f>'Summary Table'!Y107-'Summary Table'!$C107</f>
        <v>-27.863411808113256</v>
      </c>
      <c r="AI29" s="78">
        <f>'Summary Table'!Z107-'Summary Table'!$C107</f>
        <v>-3.9668469903744494</v>
      </c>
      <c r="AJ29" s="78">
        <f>'Summary Table'!AA107-'Summary Table'!$C107</f>
        <v>4.2596546888703983</v>
      </c>
      <c r="AK29" s="78">
        <f>'Summary Table'!AB107-'Summary Table'!$C107</f>
        <v>16.512598546817344</v>
      </c>
      <c r="AL29" s="78">
        <f>'Summary Table'!AC107-'Summary Table'!$C107</f>
        <v>3.568182542326781</v>
      </c>
      <c r="AM29" s="78">
        <f>'Summary Table'!AD107-'Summary Table'!$C107</f>
        <v>4.1207042104320806</v>
      </c>
      <c r="AN29" s="78">
        <f>'Summary Table'!AE107-'Summary Table'!$C107</f>
        <v>18.004540852042112</v>
      </c>
      <c r="AO29" s="78">
        <f>'Summary Table'!AF107-'Summary Table'!$C107</f>
        <v>23.456788803965708</v>
      </c>
      <c r="AP29" s="78">
        <f>'Summary Table'!AG107-'Summary Table'!$C107</f>
        <v>0.97119318366273433</v>
      </c>
      <c r="AQ29" s="78">
        <f>'Summary Table'!AH107-'Summary Table'!$C107</f>
        <v>9.2351088845681204</v>
      </c>
      <c r="AR29" s="78">
        <f>'Summary Table'!AI107-'Summary Table'!$C107</f>
        <v>16.421491124834489</v>
      </c>
    </row>
    <row r="30" spans="1:48" ht="15.6">
      <c r="B30" s="45" t="s">
        <v>1956</v>
      </c>
      <c r="C30" s="1124"/>
      <c r="D30" s="1124"/>
      <c r="E30" s="1124"/>
      <c r="F30" s="1124"/>
      <c r="G30" s="1124"/>
      <c r="H30" s="1124"/>
      <c r="K30" s="6" t="s">
        <v>1435</v>
      </c>
      <c r="L30" s="79">
        <f>'Summary Table'!C108-'Summary Table'!$C108</f>
        <v>0</v>
      </c>
      <c r="M30" s="79">
        <f>'Summary Table'!D108-'Summary Table'!$C108</f>
        <v>-0.82682920941881122</v>
      </c>
      <c r="N30" s="79">
        <f>'Summary Table'!E108-'Summary Table'!$C108</f>
        <v>-0.67398890092574781</v>
      </c>
      <c r="O30" s="79">
        <f>'Summary Table'!F108-'Summary Table'!$C108</f>
        <v>-0.69958906351004657</v>
      </c>
      <c r="P30" s="79">
        <f>'Summary Table'!G108-'Summary Table'!$C108</f>
        <v>-0.65067097800401896</v>
      </c>
      <c r="Q30" s="79">
        <f>'Summary Table'!H108-'Summary Table'!$C108</f>
        <v>-0.7633872815026308</v>
      </c>
      <c r="R30" s="79">
        <f>'Summary Table'!I108-'Summary Table'!$C108</f>
        <v>-0.34547921004985582</v>
      </c>
      <c r="S30" s="79">
        <f>'Summary Table'!J108-'Summary Table'!$C108</f>
        <v>0.33271934244820578</v>
      </c>
      <c r="T30" s="79">
        <f>'Summary Table'!K108-'Summary Table'!$C108</f>
        <v>-3.0243146507800098</v>
      </c>
      <c r="U30" s="79">
        <f>'Summary Table'!L108-'Summary Table'!$C108</f>
        <v>-2.1872192040987741</v>
      </c>
      <c r="V30" s="79">
        <f>'Summary Table'!M108-'Summary Table'!$C108</f>
        <v>-3.1904408810677491</v>
      </c>
      <c r="W30" s="79">
        <f>'Summary Table'!N108-'Summary Table'!$C108</f>
        <v>-2.7201430674561315</v>
      </c>
      <c r="X30" s="79">
        <f>'Summary Table'!O108-'Summary Table'!$C108</f>
        <v>-3.3996155400782193</v>
      </c>
      <c r="Y30" s="79">
        <f>'Summary Table'!P108-'Summary Table'!$C108</f>
        <v>-4.1288105009802507</v>
      </c>
      <c r="Z30" s="79">
        <f>'Summary Table'!Q108-'Summary Table'!$C108</f>
        <v>-2.1836905181318169</v>
      </c>
      <c r="AA30" s="79">
        <f>'Summary Table'!R108-'Summary Table'!$C108</f>
        <v>-2.690678791479197</v>
      </c>
      <c r="AB30" s="79">
        <f>'Summary Table'!S108-'Summary Table'!$C108</f>
        <v>-5.7119919618732435</v>
      </c>
      <c r="AC30" s="79">
        <f>'Summary Table'!T108-'Summary Table'!$C108</f>
        <v>-5.2961522048626453</v>
      </c>
      <c r="AD30" s="79">
        <f>'Summary Table'!U108-'Summary Table'!$C108</f>
        <v>-4.3390924275381177</v>
      </c>
      <c r="AE30" s="79">
        <f>'Summary Table'!V108-'Summary Table'!$C108</f>
        <v>-5.029486520290102</v>
      </c>
      <c r="AF30" s="79">
        <f>'Summary Table'!W108-'Summary Table'!$C108</f>
        <v>-5.3743307931937805</v>
      </c>
      <c r="AG30" s="79">
        <f>'Summary Table'!X108-'Summary Table'!$C108</f>
        <v>-6.1096755337047775</v>
      </c>
      <c r="AH30" s="79">
        <f>'Summary Table'!Y108-'Summary Table'!$C108</f>
        <v>-7.8175030705065005</v>
      </c>
      <c r="AI30" s="79">
        <f>'Summary Table'!Z108-'Summary Table'!$C108</f>
        <v>-8.0158218995666033</v>
      </c>
      <c r="AJ30" s="79">
        <f>'Summary Table'!AA108-'Summary Table'!$C108</f>
        <v>-8.1350336554155334</v>
      </c>
      <c r="AK30" s="79">
        <f>'Summary Table'!AB108-'Summary Table'!$C108</f>
        <v>-8.9862088826752444</v>
      </c>
      <c r="AL30" s="79">
        <f>'Summary Table'!AC108-'Summary Table'!$C108</f>
        <v>-9.6857891684454671</v>
      </c>
      <c r="AM30" s="79">
        <f>'Summary Table'!AD108-'Summary Table'!$C108</f>
        <v>-9.974864058215875</v>
      </c>
      <c r="AN30" s="79">
        <f>'Summary Table'!AE108-'Summary Table'!$C108</f>
        <v>-10.159586910309852</v>
      </c>
      <c r="AO30" s="79">
        <f>'Summary Table'!AF108-'Summary Table'!$C108</f>
        <v>-10.350681814026405</v>
      </c>
      <c r="AP30" s="79">
        <f>'Summary Table'!AG108-'Summary Table'!$C108</f>
        <v>-10.556189334159404</v>
      </c>
      <c r="AQ30" s="79">
        <f>'Summary Table'!AH108-'Summary Table'!$C108</f>
        <v>-10.520364075344576</v>
      </c>
      <c r="AR30" s="79">
        <f>'Summary Table'!AI108-'Summary Table'!$C108</f>
        <v>-10.562651324320672</v>
      </c>
    </row>
    <row r="31" spans="1:48">
      <c r="B31" s="45"/>
      <c r="K31" s="6" t="s">
        <v>1439</v>
      </c>
      <c r="L31" s="79">
        <f>'Summary Table'!C109-'Summary Table'!$C109</f>
        <v>0</v>
      </c>
      <c r="M31" s="79">
        <f>'Summary Table'!D109-'Summary Table'!$C109</f>
        <v>6.1036977638801773</v>
      </c>
      <c r="N31" s="79">
        <f>'Summary Table'!E109-'Summary Table'!$C109</f>
        <v>10.119548552663872</v>
      </c>
      <c r="O31" s="79">
        <f>'Summary Table'!F109-'Summary Table'!$C109</f>
        <v>12.835575519731293</v>
      </c>
      <c r="P31" s="79">
        <f>'Summary Table'!G109-'Summary Table'!$C109</f>
        <v>15.00327899582436</v>
      </c>
      <c r="Q31" s="79">
        <f>'Summary Table'!H109-'Summary Table'!$C109</f>
        <v>22.183723922059698</v>
      </c>
      <c r="R31" s="79">
        <f>'Summary Table'!I109-'Summary Table'!$C109</f>
        <v>29.09620329215133</v>
      </c>
      <c r="S31" s="79">
        <f>'Summary Table'!J109-'Summary Table'!$C109</f>
        <v>32.225669103592566</v>
      </c>
      <c r="T31" s="79">
        <f>'Summary Table'!K109-'Summary Table'!$C109</f>
        <v>21.304637345212711</v>
      </c>
      <c r="U31" s="79">
        <f>'Summary Table'!L109-'Summary Table'!$C109</f>
        <v>23.155385922978951</v>
      </c>
      <c r="V31" s="79">
        <f>'Summary Table'!M109-'Summary Table'!$C109</f>
        <v>30.473330982298933</v>
      </c>
      <c r="W31" s="79">
        <f>'Summary Table'!N109-'Summary Table'!$C109</f>
        <v>22.175136891508004</v>
      </c>
      <c r="X31" s="79">
        <f>'Summary Table'!O109-'Summary Table'!$C109</f>
        <v>28.440273063362099</v>
      </c>
      <c r="Y31" s="79">
        <f>'Summary Table'!P109-'Summary Table'!$C109</f>
        <v>30.851175892256151</v>
      </c>
      <c r="Z31" s="79">
        <f>'Summary Table'!Q109-'Summary Table'!$C109</f>
        <v>27.751927391078851</v>
      </c>
      <c r="AA31" s="79">
        <f>'Summary Table'!R109-'Summary Table'!$C109</f>
        <v>20.900349634172443</v>
      </c>
      <c r="AB31" s="79">
        <f>'Summary Table'!S109-'Summary Table'!$C109</f>
        <v>11.806821252591021</v>
      </c>
      <c r="AC31" s="79">
        <f>'Summary Table'!T109-'Summary Table'!$C109</f>
        <v>21.565695528718692</v>
      </c>
      <c r="AD31" s="79">
        <f>'Summary Table'!U109-'Summary Table'!$C109</f>
        <v>29.168518826955932</v>
      </c>
      <c r="AE31" s="79">
        <f>'Summary Table'!V109-'Summary Table'!$C109</f>
        <v>27.028596279477142</v>
      </c>
      <c r="AF31" s="79">
        <f>'Summary Table'!W109-'Summary Table'!$C109</f>
        <v>25.944140043044086</v>
      </c>
      <c r="AG31" s="79">
        <f>'Summary Table'!X109-'Summary Table'!$C109</f>
        <v>28.713282506136295</v>
      </c>
      <c r="AH31" s="79">
        <f>'Summary Table'!Y109-'Summary Table'!$C109</f>
        <v>15.018059163025356</v>
      </c>
      <c r="AI31" s="79">
        <f>'Summary Table'!Z109-'Summary Table'!$C109</f>
        <v>37.194867165353145</v>
      </c>
      <c r="AJ31" s="79">
        <f>'Summary Table'!AA109-'Summary Table'!$C109</f>
        <v>47.164652328146559</v>
      </c>
      <c r="AK31" s="79">
        <f>'Summary Table'!AB109-'Summary Table'!$C109</f>
        <v>33.387016351748372</v>
      </c>
      <c r="AL31" s="79">
        <f>'Summary Table'!AC109-'Summary Table'!$C109</f>
        <v>28.515829997631414</v>
      </c>
      <c r="AM31" s="79">
        <f>'Summary Table'!AD109-'Summary Table'!$C109</f>
        <v>31.165380727670708</v>
      </c>
      <c r="AN31" s="79">
        <f>'Summary Table'!AE109-'Summary Table'!$C109</f>
        <v>50.503648640487768</v>
      </c>
      <c r="AO31" s="79">
        <f>'Summary Table'!AF109-'Summary Table'!$C109</f>
        <v>50.891473302697449</v>
      </c>
      <c r="AP31" s="79">
        <f>'Summary Table'!AG109-'Summary Table'!$C109</f>
        <v>31.425347272265554</v>
      </c>
      <c r="AQ31" s="79">
        <f>'Summary Table'!AH109-'Summary Table'!$C109</f>
        <v>38.338089442563188</v>
      </c>
      <c r="AR31" s="79">
        <f>'Summary Table'!AI109-'Summary Table'!$C109</f>
        <v>50.23768686650925</v>
      </c>
      <c r="AS31" s="281">
        <f>AR31/'Summary Table'!C109</f>
        <v>0.35372491072573037</v>
      </c>
    </row>
    <row r="32" spans="1:48">
      <c r="K32" s="6" t="s">
        <v>1440</v>
      </c>
      <c r="L32" s="79">
        <f>'Summary Table'!C110-'Summary Table'!$C110</f>
        <v>0</v>
      </c>
      <c r="M32" s="79">
        <f>'Summary Table'!D110-'Summary Table'!$C110</f>
        <v>-0.90917538745488002</v>
      </c>
      <c r="N32" s="79">
        <f>'Summary Table'!E110-'Summary Table'!$C110</f>
        <v>-9.700279202327394</v>
      </c>
      <c r="O32" s="79">
        <f>'Summary Table'!F110-'Summary Table'!$C110</f>
        <v>-17.443034217552089</v>
      </c>
      <c r="P32" s="79">
        <f>'Summary Table'!G110-'Summary Table'!$C110</f>
        <v>-17.947524241785274</v>
      </c>
      <c r="Q32" s="79">
        <f>'Summary Table'!H110-'Summary Table'!$C110</f>
        <v>-21.925769304492</v>
      </c>
      <c r="R32" s="79">
        <f>'Summary Table'!I110-'Summary Table'!$C110</f>
        <v>-19.484948553635377</v>
      </c>
      <c r="S32" s="79">
        <f>'Summary Table'!J110-'Summary Table'!$C110</f>
        <v>-23.032052856964938</v>
      </c>
      <c r="T32" s="79">
        <f>'Summary Table'!K110-'Summary Table'!$C110</f>
        <v>-26.454840888206029</v>
      </c>
      <c r="U32" s="79">
        <f>'Summary Table'!L110-'Summary Table'!$C110</f>
        <v>-28.530313374591195</v>
      </c>
      <c r="V32" s="79">
        <f>'Summary Table'!M110-'Summary Table'!$C110</f>
        <v>-19.044756945379937</v>
      </c>
      <c r="W32" s="79">
        <f>'Summary Table'!N110-'Summary Table'!$C110</f>
        <v>-19.309480188614593</v>
      </c>
      <c r="X32" s="79">
        <f>'Summary Table'!O110-'Summary Table'!$C110</f>
        <v>-24.353431961067301</v>
      </c>
      <c r="Y32" s="79">
        <f>'Summary Table'!P110-'Summary Table'!$C110</f>
        <v>-14.903636527900616</v>
      </c>
      <c r="Z32" s="79">
        <f>'Summary Table'!Q110-'Summary Table'!$C110</f>
        <v>-15.930926775454978</v>
      </c>
      <c r="AA32" s="79">
        <f>'Summary Table'!R110-'Summary Table'!$C110</f>
        <v>-19.523144818404596</v>
      </c>
      <c r="AB32" s="79">
        <f>'Summary Table'!S110-'Summary Table'!$C110</f>
        <v>-23.000882200569094</v>
      </c>
      <c r="AC32" s="79">
        <f>'Summary Table'!T110-'Summary Table'!$C110</f>
        <v>-22.014810125559841</v>
      </c>
      <c r="AD32" s="79">
        <f>'Summary Table'!U110-'Summary Table'!$C110</f>
        <v>-26.056234646465441</v>
      </c>
      <c r="AE32" s="79">
        <f>'Summary Table'!V110-'Summary Table'!$C110</f>
        <v>-22.584034153125415</v>
      </c>
      <c r="AF32" s="79">
        <f>'Summary Table'!W110-'Summary Table'!$C110</f>
        <v>-24.580832604385222</v>
      </c>
      <c r="AG32" s="79">
        <f>'Summary Table'!X110-'Summary Table'!$C110</f>
        <v>-26.297597364619847</v>
      </c>
      <c r="AH32" s="79">
        <f>'Summary Table'!Y110-'Summary Table'!$C110</f>
        <v>-35.063967900632093</v>
      </c>
      <c r="AI32" s="79">
        <f>'Summary Table'!Z110-'Summary Table'!$C110</f>
        <v>-33.145892256160977</v>
      </c>
      <c r="AJ32" s="79">
        <f>'Summary Table'!AA110-'Summary Table'!$C110</f>
        <v>-34.769963983860627</v>
      </c>
      <c r="AK32" s="79">
        <f>'Summary Table'!AB110-'Summary Table'!$C110</f>
        <v>-7.8882089222557852</v>
      </c>
      <c r="AL32" s="79">
        <f>'Summary Table'!AC110-'Summary Table'!$C110</f>
        <v>-15.261858286859137</v>
      </c>
      <c r="AM32" s="79">
        <f>'Summary Table'!AD110-'Summary Table'!$C110</f>
        <v>-17.069812459022742</v>
      </c>
      <c r="AN32" s="79">
        <f>'Summary Table'!AE110-'Summary Table'!$C110</f>
        <v>-22.339520878135794</v>
      </c>
      <c r="AO32" s="79">
        <f>'Summary Table'!AF110-'Summary Table'!$C110</f>
        <v>-17.084002684705354</v>
      </c>
      <c r="AP32" s="79">
        <f>'Summary Table'!AG110-'Summary Table'!$C110</f>
        <v>-19.897964754443414</v>
      </c>
      <c r="AQ32" s="79">
        <f>'Summary Table'!AH110-'Summary Table'!$C110</f>
        <v>-18.582616482650486</v>
      </c>
      <c r="AR32" s="79">
        <f>'Summary Table'!AI110-'Summary Table'!$C110</f>
        <v>-23.253544417354099</v>
      </c>
    </row>
    <row r="33" spans="2:45">
      <c r="B33" s="140"/>
      <c r="C33" s="288"/>
      <c r="D33" s="288"/>
      <c r="E33" s="288"/>
      <c r="F33" s="499"/>
      <c r="G33" s="127"/>
      <c r="H33" s="127"/>
      <c r="I33" s="127"/>
      <c r="K33" s="5" t="s">
        <v>1443</v>
      </c>
      <c r="L33" s="78">
        <f>'Summary Table'!C111-'Summary Table'!$C111</f>
        <v>0</v>
      </c>
      <c r="M33" s="78">
        <f>'Summary Table'!D111-'Summary Table'!$C111</f>
        <v>-10.130280873669449</v>
      </c>
      <c r="N33" s="78">
        <f>'Summary Table'!E111-'Summary Table'!$C111</f>
        <v>9.4653409267942834</v>
      </c>
      <c r="O33" s="78">
        <f>'Summary Table'!F111-'Summary Table'!$C111</f>
        <v>11.491361334166982</v>
      </c>
      <c r="P33" s="78">
        <f>'Summary Table'!G111-'Summary Table'!$C111</f>
        <v>9.4515470985143111</v>
      </c>
      <c r="Q33" s="78">
        <f>'Summary Table'!H111-'Summary Table'!$C111</f>
        <v>29.521870834953575</v>
      </c>
      <c r="R33" s="78">
        <f>'Summary Table'!I111-'Summary Table'!$C111</f>
        <v>46.307313830434055</v>
      </c>
      <c r="S33" s="78">
        <f>'Summary Table'!J111-'Summary Table'!$C111</f>
        <v>41.134605002737885</v>
      </c>
      <c r="T33" s="78">
        <f>'Summary Table'!K111-'Summary Table'!$C111</f>
        <v>31.506009657350319</v>
      </c>
      <c r="U33" s="78">
        <f>'Summary Table'!L111-'Summary Table'!$C111</f>
        <v>-20.101905757542681</v>
      </c>
      <c r="V33" s="78">
        <f>'Summary Table'!M111-'Summary Table'!$C111</f>
        <v>15.78632053144463</v>
      </c>
      <c r="W33" s="78">
        <f>'Summary Table'!N111-'Summary Table'!$C111</f>
        <v>-7.8591665575728484</v>
      </c>
      <c r="X33" s="78">
        <f>'Summary Table'!O111-'Summary Table'!$C111</f>
        <v>-16.368896652946091</v>
      </c>
      <c r="Y33" s="78">
        <f>'Summary Table'!P111-'Summary Table'!$C111</f>
        <v>-22.951666015141768</v>
      </c>
      <c r="Z33" s="78">
        <f>'Summary Table'!Q111-'Summary Table'!$C111</f>
        <v>2.2322771282458689</v>
      </c>
      <c r="AA33" s="78">
        <f>'Summary Table'!R111-'Summary Table'!$C111</f>
        <v>-27.645293412691103</v>
      </c>
      <c r="AB33" s="78">
        <f>'Summary Table'!S111-'Summary Table'!$C111</f>
        <v>-7.3660012799738297</v>
      </c>
      <c r="AC33" s="78">
        <f>'Summary Table'!T111-'Summary Table'!$C111</f>
        <v>-17.499050057874342</v>
      </c>
      <c r="AD33" s="78">
        <f>'Summary Table'!U111-'Summary Table'!$C111</f>
        <v>-54.852279669703307</v>
      </c>
      <c r="AE33" s="78">
        <f>'Summary Table'!V111-'Summary Table'!$C111</f>
        <v>-128.05591758274034</v>
      </c>
      <c r="AF33" s="78">
        <f>'Summary Table'!W111-'Summary Table'!$C111</f>
        <v>-83.11011405813656</v>
      </c>
      <c r="AG33" s="78">
        <f>'Summary Table'!X111-'Summary Table'!$C111</f>
        <v>-80.0419932452686</v>
      </c>
      <c r="AH33" s="78">
        <f>'Summary Table'!Y111-'Summary Table'!$C111</f>
        <v>-71.873713829740041</v>
      </c>
      <c r="AI33" s="78">
        <f>'Summary Table'!Z111-'Summary Table'!$C111</f>
        <v>-41.013130285522607</v>
      </c>
      <c r="AJ33" s="78">
        <f>'Summary Table'!AA111-'Summary Table'!$C111</f>
        <v>-54.098854949788006</v>
      </c>
      <c r="AK33" s="78">
        <f>'Summary Table'!AB111-'Summary Table'!$C111</f>
        <v>-76.790456505636826</v>
      </c>
      <c r="AL33" s="78">
        <f>'Summary Table'!AC111-'Summary Table'!$C111</f>
        <v>-81.812903100481094</v>
      </c>
      <c r="AM33" s="78">
        <f>'Summary Table'!AD111-'Summary Table'!$C111</f>
        <v>-92.322978047727247</v>
      </c>
      <c r="AN33" s="78">
        <f>'Summary Table'!AE111-'Summary Table'!$C111</f>
        <v>-65.934106007955847</v>
      </c>
      <c r="AO33" s="78">
        <f>'Summary Table'!AF111-'Summary Table'!$C111</f>
        <v>-73.022666733883284</v>
      </c>
      <c r="AP33" s="78">
        <f>'Summary Table'!AG111-'Summary Table'!$C111</f>
        <v>-121.63028257487827</v>
      </c>
      <c r="AQ33" s="78">
        <f>'Summary Table'!AH111-'Summary Table'!$C111</f>
        <v>-102.31468373181906</v>
      </c>
      <c r="AR33" s="78">
        <f>'Summary Table'!AI111-'Summary Table'!$C111</f>
        <v>-95.288954142212219</v>
      </c>
    </row>
    <row r="34" spans="2:45">
      <c r="B34" s="118"/>
      <c r="C34" s="127"/>
      <c r="D34" s="127"/>
      <c r="E34" s="127"/>
      <c r="F34" s="127"/>
      <c r="G34" s="127"/>
      <c r="H34" s="127"/>
      <c r="I34" s="119"/>
      <c r="K34" s="6" t="s">
        <v>1435</v>
      </c>
      <c r="L34" s="79">
        <f>'Summary Table'!C112-'Summary Table'!$C112</f>
        <v>0</v>
      </c>
      <c r="M34" s="79">
        <f>'Summary Table'!D112-'Summary Table'!$C112</f>
        <v>-3.200825168450848</v>
      </c>
      <c r="N34" s="79">
        <f>'Summary Table'!E112-'Summary Table'!$C112</f>
        <v>-7.5640770421460388</v>
      </c>
      <c r="O34" s="79">
        <f>'Summary Table'!F112-'Summary Table'!$C112</f>
        <v>-5.2912522334876826</v>
      </c>
      <c r="P34" s="79">
        <f>'Summary Table'!G112-'Summary Table'!$C112</f>
        <v>-4.3700158560684486</v>
      </c>
      <c r="Q34" s="79">
        <f>'Summary Table'!H112-'Summary Table'!$C112</f>
        <v>-10.623355348562029</v>
      </c>
      <c r="R34" s="79">
        <f>'Summary Table'!I112-'Summary Table'!$C112</f>
        <v>-17.74966301416481</v>
      </c>
      <c r="S34" s="79">
        <f>'Summary Table'!J112-'Summary Table'!$C112</f>
        <v>-17.599388664026577</v>
      </c>
      <c r="T34" s="79">
        <f>'Summary Table'!K112-'Summary Table'!$C112</f>
        <v>-16.08343830161877</v>
      </c>
      <c r="U34" s="79">
        <f>'Summary Table'!L112-'Summary Table'!$C112</f>
        <v>-25.358352312227908</v>
      </c>
      <c r="V34" s="79">
        <f>'Summary Table'!M112-'Summary Table'!$C112</f>
        <v>-29.355134140969881</v>
      </c>
      <c r="W34" s="79">
        <f>'Summary Table'!N112-'Summary Table'!$C112</f>
        <v>-27.657430518482187</v>
      </c>
      <c r="X34" s="79">
        <f>'Summary Table'!O112-'Summary Table'!$C112</f>
        <v>-38.78129892275085</v>
      </c>
      <c r="Y34" s="79">
        <f>'Summary Table'!P112-'Summary Table'!$C112</f>
        <v>-38.400501715897164</v>
      </c>
      <c r="Z34" s="79">
        <f>'Summary Table'!Q112-'Summary Table'!$C112</f>
        <v>-37.404801300692696</v>
      </c>
      <c r="AA34" s="79">
        <f>'Summary Table'!R112-'Summary Table'!$C112</f>
        <v>-39.997678550735017</v>
      </c>
      <c r="AB34" s="79">
        <f>'Summary Table'!S112-'Summary Table'!$C112</f>
        <v>-42.259662968896265</v>
      </c>
      <c r="AC34" s="79">
        <f>'Summary Table'!T112-'Summary Table'!$C112</f>
        <v>-47.064808312789737</v>
      </c>
      <c r="AD34" s="79">
        <f>'Summary Table'!U112-'Summary Table'!$C112</f>
        <v>-51.764172585463541</v>
      </c>
      <c r="AE34" s="79">
        <f>'Summary Table'!V112-'Summary Table'!$C112</f>
        <v>-70.77204689817242</v>
      </c>
      <c r="AF34" s="79">
        <f>'Summary Table'!W112-'Summary Table'!$C112</f>
        <v>-63.674615248119366</v>
      </c>
      <c r="AG34" s="79">
        <f>'Summary Table'!X112-'Summary Table'!$C112</f>
        <v>-71.885350871541064</v>
      </c>
      <c r="AH34" s="79">
        <f>'Summary Table'!Y112-'Summary Table'!$C112</f>
        <v>-79.614732017565501</v>
      </c>
      <c r="AI34" s="79">
        <f>'Summary Table'!Z112-'Summary Table'!$C112</f>
        <v>-78.295220655197326</v>
      </c>
      <c r="AJ34" s="79">
        <f>'Summary Table'!AA112-'Summary Table'!$C112</f>
        <v>-78.596253140910818</v>
      </c>
      <c r="AK34" s="79">
        <f>'Summary Table'!AB112-'Summary Table'!$C112</f>
        <v>-87.868637850714734</v>
      </c>
      <c r="AL34" s="79">
        <f>'Summary Table'!AC112-'Summary Table'!$C112</f>
        <v>-94.688737296086614</v>
      </c>
      <c r="AM34" s="79">
        <f>'Summary Table'!AD112-'Summary Table'!$C112</f>
        <v>-99.166175617705875</v>
      </c>
      <c r="AN34" s="79">
        <f>'Summary Table'!AE112-'Summary Table'!$C112</f>
        <v>-103.42228662587276</v>
      </c>
      <c r="AO34" s="79">
        <f>'Summary Table'!AF112-'Summary Table'!$C112</f>
        <v>-108.3808518293495</v>
      </c>
      <c r="AP34" s="79">
        <f>'Summary Table'!AG112-'Summary Table'!$C112</f>
        <v>-114.87274736061212</v>
      </c>
      <c r="AQ34" s="79">
        <f>'Summary Table'!AH112-'Summary Table'!$C112</f>
        <v>-114.81264044673989</v>
      </c>
      <c r="AR34" s="79">
        <f>'Summary Table'!AI112-'Summary Table'!$C112</f>
        <v>-115.17904918247163</v>
      </c>
    </row>
    <row r="35" spans="2:45" ht="17.25" customHeight="1">
      <c r="B35" s="140"/>
      <c r="C35" s="216"/>
      <c r="D35" s="216"/>
      <c r="E35" s="216"/>
      <c r="F35" s="216"/>
      <c r="G35" s="216"/>
      <c r="H35" s="216"/>
      <c r="I35" s="216"/>
      <c r="J35" s="127"/>
      <c r="K35" s="6" t="s">
        <v>1439</v>
      </c>
      <c r="L35" s="79">
        <f>'Summary Table'!C113-'Summary Table'!$C113</f>
        <v>0</v>
      </c>
      <c r="M35" s="79">
        <f>'Summary Table'!D113-'Summary Table'!$C113</f>
        <v>6.1538780400965152</v>
      </c>
      <c r="N35" s="79">
        <f>'Summary Table'!E113-'Summary Table'!$C113</f>
        <v>21.866801718270494</v>
      </c>
      <c r="O35" s="79">
        <f>'Summary Table'!F113-'Summary Table'!$C113</f>
        <v>29.541619623208533</v>
      </c>
      <c r="P35" s="79">
        <f>'Summary Table'!G113-'Summary Table'!$C113</f>
        <v>30.768078015981757</v>
      </c>
      <c r="Q35" s="79">
        <f>'Summary Table'!H113-'Summary Table'!$C113</f>
        <v>54.027427389865636</v>
      </c>
      <c r="R35" s="79">
        <f>'Summary Table'!I113-'Summary Table'!$C113</f>
        <v>69.786470022464528</v>
      </c>
      <c r="S35" s="79">
        <f>'Summary Table'!J113-'Summary Table'!$C113</f>
        <v>70.445554264438044</v>
      </c>
      <c r="T35" s="79">
        <f>'Summary Table'!K113-'Summary Table'!$C113</f>
        <v>58.788003482569763</v>
      </c>
      <c r="U35" s="79">
        <f>'Summary Table'!L113-'Summary Table'!$C113</f>
        <v>38.180877197066991</v>
      </c>
      <c r="V35" s="79">
        <f>'Summary Table'!M113-'Summary Table'!$C113</f>
        <v>50.744133788099191</v>
      </c>
      <c r="W35" s="79">
        <f>'Summary Table'!N113-'Summary Table'!$C113</f>
        <v>13.159552999755419</v>
      </c>
      <c r="X35" s="79">
        <f>'Summary Table'!O113-'Summary Table'!$C113</f>
        <v>20.669368799664824</v>
      </c>
      <c r="Y35" s="79">
        <f>'Summary Table'!P113-'Summary Table'!$C113</f>
        <v>7.6454670663905517</v>
      </c>
      <c r="Z35" s="79">
        <f>'Summary Table'!Q113-'Summary Table'!$C113</f>
        <v>11.445512167344816</v>
      </c>
      <c r="AA35" s="79">
        <f>'Summary Table'!R113-'Summary Table'!$C113</f>
        <v>-19.65618522182217</v>
      </c>
      <c r="AB35" s="79">
        <f>'Summary Table'!S113-'Summary Table'!$C113</f>
        <v>-20.005006766923373</v>
      </c>
      <c r="AC35" s="79">
        <f>'Summary Table'!T113-'Summary Table'!$C113</f>
        <v>-10.471489036710636</v>
      </c>
      <c r="AD35" s="79">
        <f>'Summary Table'!U113-'Summary Table'!$C113</f>
        <v>-8.7894412829950852</v>
      </c>
      <c r="AE35" s="79">
        <f>'Summary Table'!V113-'Summary Table'!$C113</f>
        <v>-33.240935837680354</v>
      </c>
      <c r="AF35" s="79">
        <f>'Summary Table'!W113-'Summary Table'!$C113</f>
        <v>-0.35109053119714417</v>
      </c>
      <c r="AG35" s="79">
        <f>'Summary Table'!X113-'Summary Table'!$C113</f>
        <v>9.7291149257487746</v>
      </c>
      <c r="AH35" s="79">
        <f>'Summary Table'!Y113-'Summary Table'!$C113</f>
        <v>26.433537662538868</v>
      </c>
      <c r="AI35" s="79">
        <f>'Summary Table'!Z113-'Summary Table'!$C113</f>
        <v>43.495539807298428</v>
      </c>
      <c r="AJ35" s="79">
        <f>'Summary Table'!AA113-'Summary Table'!$C113</f>
        <v>58.495498448600642</v>
      </c>
      <c r="AK35" s="79">
        <f>'Summary Table'!AB113-'Summary Table'!$C113</f>
        <v>52.205703865985413</v>
      </c>
      <c r="AL35" s="79">
        <f>'Summary Table'!AC113-'Summary Table'!$C113</f>
        <v>56.542003002812692</v>
      </c>
      <c r="AM35" s="79">
        <f>'Summary Table'!AD113-'Summary Table'!$C113</f>
        <v>60.692582180700867</v>
      </c>
      <c r="AN35" s="79">
        <f>'Summary Table'!AE113-'Summary Table'!$C113</f>
        <v>86.028403814443379</v>
      </c>
      <c r="AO35" s="79">
        <f>'Summary Table'!AF113-'Summary Table'!$C113</f>
        <v>94.067939852394375</v>
      </c>
      <c r="AP35" s="79">
        <f>'Summary Table'!AG113-'Summary Table'!$C113</f>
        <v>82.276388606050773</v>
      </c>
      <c r="AQ35" s="79">
        <f>'Summary Table'!AH113-'Summary Table'!$C113</f>
        <v>93.726090179348034</v>
      </c>
      <c r="AR35" s="79">
        <f>'Summary Table'!AI113-'Summary Table'!$C113</f>
        <v>104.0053186908483</v>
      </c>
    </row>
    <row r="36" spans="2:45">
      <c r="B36" s="217"/>
      <c r="C36" s="135"/>
      <c r="D36" s="135"/>
      <c r="E36" s="135"/>
      <c r="F36" s="135"/>
      <c r="G36" s="218"/>
      <c r="H36" s="135"/>
      <c r="I36" s="135"/>
      <c r="J36" s="127"/>
      <c r="K36" s="6" t="s">
        <v>1440</v>
      </c>
      <c r="L36" s="79">
        <f>'Summary Table'!C114-'Summary Table'!$C114</f>
        <v>0</v>
      </c>
      <c r="M36" s="79">
        <f>'Summary Table'!D114-'Summary Table'!$C114</f>
        <v>-13.083333745315144</v>
      </c>
      <c r="N36" s="79">
        <f>'Summary Table'!E114-'Summary Table'!$C114</f>
        <v>-4.837383749330229</v>
      </c>
      <c r="O36" s="79">
        <f>'Summary Table'!F114-'Summary Table'!$C114</f>
        <v>-12.759006055553925</v>
      </c>
      <c r="P36" s="79">
        <f>'Summary Table'!G114-'Summary Table'!$C114</f>
        <v>-16.946515061399055</v>
      </c>
      <c r="Q36" s="79">
        <f>'Summary Table'!H114-'Summary Table'!$C114</f>
        <v>-13.882201206350032</v>
      </c>
      <c r="R36" s="79">
        <f>'Summary Table'!I114-'Summary Table'!$C114</f>
        <v>-5.7294931778657769</v>
      </c>
      <c r="S36" s="79">
        <f>'Summary Table'!J114-'Summary Table'!$C114</f>
        <v>-11.711560597673667</v>
      </c>
      <c r="T36" s="79">
        <f>'Summary Table'!K114-'Summary Table'!$C114</f>
        <v>-11.198555523600646</v>
      </c>
      <c r="U36" s="79">
        <f>'Summary Table'!L114-'Summary Table'!$C114</f>
        <v>-32.924430642381822</v>
      </c>
      <c r="V36" s="79">
        <f>'Summary Table'!M114-'Summary Table'!$C114</f>
        <v>-5.6026791156846798</v>
      </c>
      <c r="W36" s="79">
        <f>'Summary Table'!N114-'Summary Table'!$C114</f>
        <v>6.6387109611538335</v>
      </c>
      <c r="X36" s="79">
        <f>'Summary Table'!O114-'Summary Table'!$C114</f>
        <v>1.7430334701398351</v>
      </c>
      <c r="Y36" s="79">
        <f>'Summary Table'!P114-'Summary Table'!$C114</f>
        <v>7.8033686343648014</v>
      </c>
      <c r="Z36" s="79">
        <f>'Summary Table'!Q114-'Summary Table'!$C114</f>
        <v>28.191566261593721</v>
      </c>
      <c r="AA36" s="79">
        <f>'Summary Table'!R114-'Summary Table'!$C114</f>
        <v>32.008570359866098</v>
      </c>
      <c r="AB36" s="79">
        <f>'Summary Table'!S114-'Summary Table'!$C114</f>
        <v>54.89866845584578</v>
      </c>
      <c r="AC36" s="79">
        <f>'Summary Table'!T114-'Summary Table'!$C114</f>
        <v>40.037247291625988</v>
      </c>
      <c r="AD36" s="79">
        <f>'Summary Table'!U114-'Summary Table'!$C114</f>
        <v>5.701334198755319</v>
      </c>
      <c r="AE36" s="79">
        <f>'Summary Table'!V114-'Summary Table'!$C114</f>
        <v>-24.042934846887647</v>
      </c>
      <c r="AF36" s="79">
        <f>'Summary Table'!W114-'Summary Table'!$C114</f>
        <v>-19.084408278820092</v>
      </c>
      <c r="AG36" s="79">
        <f>'Summary Table'!X114-'Summary Table'!$C114</f>
        <v>-17.885757299476438</v>
      </c>
      <c r="AH36" s="79">
        <f>'Summary Table'!Y114-'Summary Table'!$C114</f>
        <v>-18.692519474713492</v>
      </c>
      <c r="AI36" s="79">
        <f>'Summary Table'!Z114-'Summary Table'!$C114</f>
        <v>-6.2134494376238649</v>
      </c>
      <c r="AJ36" s="79">
        <f>'Summary Table'!AA114-'Summary Table'!$C114</f>
        <v>-33.998100257477915</v>
      </c>
      <c r="AK36" s="79">
        <f>'Summary Table'!AB114-'Summary Table'!$C114</f>
        <v>-41.127522520907576</v>
      </c>
      <c r="AL36" s="79">
        <f>'Summary Table'!AC114-'Summary Table'!$C114</f>
        <v>-43.666168807207271</v>
      </c>
      <c r="AM36" s="79">
        <f>'Summary Table'!AD114-'Summary Table'!$C114</f>
        <v>-53.84938461072224</v>
      </c>
      <c r="AN36" s="79">
        <f>'Summary Table'!AE114-'Summary Table'!$C114</f>
        <v>-48.540223196526483</v>
      </c>
      <c r="AO36" s="79">
        <f>'Summary Table'!AF114-'Summary Table'!$C114</f>
        <v>-58.709754756928248</v>
      </c>
      <c r="AP36" s="79">
        <f>'Summary Table'!AG114-'Summary Table'!$C114</f>
        <v>-89.033923820317</v>
      </c>
      <c r="AQ36" s="79">
        <f>'Summary Table'!AH114-'Summary Table'!$C114</f>
        <v>-81.228133464427287</v>
      </c>
      <c r="AR36" s="79">
        <f>'Summary Table'!AI114-'Summary Table'!$C114</f>
        <v>-84.115223650588916</v>
      </c>
    </row>
    <row r="37" spans="2:45">
      <c r="B37" s="217"/>
      <c r="C37" s="135"/>
      <c r="D37" s="135"/>
      <c r="E37" s="135"/>
      <c r="F37" s="135"/>
      <c r="G37" s="218"/>
      <c r="H37" s="135"/>
      <c r="I37" s="135"/>
      <c r="J37" s="119"/>
      <c r="K37" s="5" t="s">
        <v>1445</v>
      </c>
      <c r="L37" s="78">
        <f>'Summary Table'!C115-'Summary Table'!$C115</f>
        <v>0</v>
      </c>
      <c r="M37" s="78">
        <f>'Summary Table'!D115-'Summary Table'!$C115</f>
        <v>-46.616489478990616</v>
      </c>
      <c r="N37" s="78">
        <f>'Summary Table'!E115-'Summary Table'!$C115</f>
        <v>8.699532043250656</v>
      </c>
      <c r="O37" s="78">
        <f>'Summary Table'!F115-'Summary Table'!$C115</f>
        <v>39.663140327906149</v>
      </c>
      <c r="P37" s="78">
        <f>'Summary Table'!G115-'Summary Table'!$C115</f>
        <v>85.003459458389898</v>
      </c>
      <c r="Q37" s="78">
        <f>'Summary Table'!H115-'Summary Table'!$C115</f>
        <v>111.73396357182014</v>
      </c>
      <c r="R37" s="78">
        <f>'Summary Table'!I115-'Summary Table'!$C115</f>
        <v>158.41921100470813</v>
      </c>
      <c r="S37" s="78">
        <f>'Summary Table'!J115-'Summary Table'!$C115</f>
        <v>174.57165962101453</v>
      </c>
      <c r="T37" s="78">
        <f>'Summary Table'!K115-'Summary Table'!$C115</f>
        <v>209.9764434607273</v>
      </c>
      <c r="U37" s="78">
        <f>'Summary Table'!L115-'Summary Table'!$C115</f>
        <v>277.40042950798352</v>
      </c>
      <c r="V37" s="78">
        <f>'Summary Table'!M115-'Summary Table'!$C115</f>
        <v>323.25799773942686</v>
      </c>
      <c r="W37" s="78">
        <f>'Summary Table'!N115-'Summary Table'!$C115</f>
        <v>293.52017410521444</v>
      </c>
      <c r="X37" s="78">
        <f>'Summary Table'!O115-'Summary Table'!$C115</f>
        <v>334.07445028602865</v>
      </c>
      <c r="Y37" s="78">
        <f>'Summary Table'!P115-'Summary Table'!$C115</f>
        <v>343.04039293471965</v>
      </c>
      <c r="Z37" s="78">
        <f>'Summary Table'!Q115-'Summary Table'!$C115</f>
        <v>376.27681679691295</v>
      </c>
      <c r="AA37" s="78">
        <f>'Summary Table'!R115-'Summary Table'!$C115</f>
        <v>389.6082752535533</v>
      </c>
      <c r="AB37" s="78">
        <f>'Summary Table'!S115-'Summary Table'!$C115</f>
        <v>390.18911236400049</v>
      </c>
      <c r="AC37" s="78">
        <f>'Summary Table'!T115-'Summary Table'!$C115</f>
        <v>391.79360340135281</v>
      </c>
      <c r="AD37" s="78">
        <f>'Summary Table'!U115-'Summary Table'!$C115</f>
        <v>290.73742964402891</v>
      </c>
      <c r="AE37" s="78">
        <f>'Summary Table'!V115-'Summary Table'!$C115</f>
        <v>219.53668037903799</v>
      </c>
      <c r="AF37" s="78">
        <f>'Summary Table'!W115-'Summary Table'!$C115</f>
        <v>227.67062842361042</v>
      </c>
      <c r="AG37" s="78">
        <f>'Summary Table'!X115-'Summary Table'!$C115</f>
        <v>201.43366614459774</v>
      </c>
      <c r="AH37" s="78">
        <f>'Summary Table'!Y115-'Summary Table'!$C115</f>
        <v>190.45743735369797</v>
      </c>
      <c r="AI37" s="78">
        <f>'Summary Table'!Z115-'Summary Table'!$C115</f>
        <v>200.10202610926945</v>
      </c>
      <c r="AJ37" s="78">
        <f>'Summary Table'!AA115-'Summary Table'!$C115</f>
        <v>238.40283560044827</v>
      </c>
      <c r="AK37" s="78">
        <f>'Summary Table'!AB115-'Summary Table'!$C115</f>
        <v>249.43726691789948</v>
      </c>
      <c r="AL37" s="78">
        <f>'Summary Table'!AC115-'Summary Table'!$C115</f>
        <v>288.96265090013753</v>
      </c>
      <c r="AM37" s="78">
        <f>'Summary Table'!AD115-'Summary Table'!$C115</f>
        <v>311.36393005889613</v>
      </c>
      <c r="AN37" s="78">
        <f>'Summary Table'!AE115-'Summary Table'!$C115</f>
        <v>344.19075466549248</v>
      </c>
      <c r="AO37" s="78">
        <f>'Summary Table'!AF115-'Summary Table'!$C115</f>
        <v>347.69177979170513</v>
      </c>
      <c r="AP37" s="78">
        <f>'Summary Table'!AG115-'Summary Table'!$C115</f>
        <v>103.87631195700737</v>
      </c>
      <c r="AQ37" s="78">
        <f>'Summary Table'!AH115-'Summary Table'!$C115</f>
        <v>284.60203080209499</v>
      </c>
      <c r="AR37" s="78">
        <f>'Summary Table'!AI115-'Summary Table'!$C115</f>
        <v>311.81930019119113</v>
      </c>
    </row>
    <row r="38" spans="2:45">
      <c r="B38" s="217"/>
      <c r="C38" s="135"/>
      <c r="D38" s="135"/>
      <c r="E38" s="135"/>
      <c r="F38" s="135"/>
      <c r="G38" s="218"/>
      <c r="H38" s="135"/>
      <c r="I38" s="135"/>
      <c r="J38" s="119"/>
      <c r="K38" s="6" t="s">
        <v>1435</v>
      </c>
      <c r="L38" s="79" t="s">
        <v>1731</v>
      </c>
      <c r="M38" s="79" t="s">
        <v>1731</v>
      </c>
      <c r="N38" s="79" t="s">
        <v>1731</v>
      </c>
      <c r="O38" s="79" t="s">
        <v>1731</v>
      </c>
      <c r="P38" s="79" t="s">
        <v>1731</v>
      </c>
      <c r="Q38" s="79" t="s">
        <v>1731</v>
      </c>
      <c r="R38" s="79" t="s">
        <v>1731</v>
      </c>
      <c r="S38" s="79" t="s">
        <v>1731</v>
      </c>
      <c r="T38" s="79" t="s">
        <v>1731</v>
      </c>
      <c r="U38" s="79" t="s">
        <v>1731</v>
      </c>
      <c r="V38" s="79" t="s">
        <v>1731</v>
      </c>
      <c r="W38" s="79" t="s">
        <v>1731</v>
      </c>
      <c r="X38" s="79" t="s">
        <v>1731</v>
      </c>
      <c r="Y38" s="79" t="s">
        <v>1731</v>
      </c>
      <c r="Z38" s="79" t="s">
        <v>1731</v>
      </c>
      <c r="AA38" s="79" t="s">
        <v>1731</v>
      </c>
      <c r="AB38" s="79" t="s">
        <v>1731</v>
      </c>
      <c r="AC38" s="79" t="s">
        <v>1731</v>
      </c>
      <c r="AD38" s="79" t="s">
        <v>1731</v>
      </c>
      <c r="AE38" s="79" t="s">
        <v>1731</v>
      </c>
      <c r="AF38" s="79" t="s">
        <v>1731</v>
      </c>
      <c r="AG38" s="79" t="s">
        <v>1731</v>
      </c>
      <c r="AH38" s="79" t="s">
        <v>1731</v>
      </c>
      <c r="AI38" s="79" t="s">
        <v>1731</v>
      </c>
      <c r="AJ38" s="79" t="s">
        <v>1731</v>
      </c>
      <c r="AK38" s="79" t="s">
        <v>1731</v>
      </c>
      <c r="AL38" s="79" t="s">
        <v>1731</v>
      </c>
      <c r="AM38" s="79" t="s">
        <v>1731</v>
      </c>
      <c r="AN38" s="79" t="s">
        <v>1731</v>
      </c>
      <c r="AO38" s="79" t="s">
        <v>1731</v>
      </c>
      <c r="AP38" s="79" t="s">
        <v>1731</v>
      </c>
      <c r="AQ38" s="79" t="s">
        <v>1731</v>
      </c>
      <c r="AR38" s="79" t="s">
        <v>1731</v>
      </c>
    </row>
    <row r="39" spans="2:45">
      <c r="B39" s="217"/>
      <c r="C39" s="135"/>
      <c r="D39" s="135"/>
      <c r="E39" s="135"/>
      <c r="F39" s="135"/>
      <c r="G39" s="218"/>
      <c r="H39" s="135"/>
      <c r="I39" s="135"/>
      <c r="J39" s="119"/>
      <c r="K39" s="6" t="s">
        <v>1439</v>
      </c>
      <c r="L39" s="79">
        <f>'Summary Table'!C117-'Summary Table'!$C117</f>
        <v>0</v>
      </c>
      <c r="M39" s="79">
        <f>'Summary Table'!D117-'Summary Table'!$C117</f>
        <v>-3.1296302841403829</v>
      </c>
      <c r="N39" s="79">
        <f>'Summary Table'!E117-'Summary Table'!$C117</f>
        <v>-3.7770626907823157</v>
      </c>
      <c r="O39" s="79">
        <f>'Summary Table'!F117-'Summary Table'!$C117</f>
        <v>-1.8460148444895879</v>
      </c>
      <c r="P39" s="79">
        <f>'Summary Table'!G117-'Summary Table'!$C117</f>
        <v>1.5621763670654616</v>
      </c>
      <c r="Q39" s="79">
        <f>'Summary Table'!H117-'Summary Table'!$C117</f>
        <v>2.3971311686386514</v>
      </c>
      <c r="R39" s="79">
        <f>'Summary Table'!I117-'Summary Table'!$C117</f>
        <v>3.0831388429125184</v>
      </c>
      <c r="S39" s="79">
        <f>'Summary Table'!J117-'Summary Table'!$C117</f>
        <v>5.3864146480012067</v>
      </c>
      <c r="T39" s="79">
        <f>'Summary Table'!K117-'Summary Table'!$C117</f>
        <v>-0.71224496957717065</v>
      </c>
      <c r="U39" s="79">
        <f>'Summary Table'!L117-'Summary Table'!$C117</f>
        <v>-0.18977581802689514</v>
      </c>
      <c r="V39" s="79">
        <f>'Summary Table'!M117-'Summary Table'!$C117</f>
        <v>-0.35055309281910496</v>
      </c>
      <c r="W39" s="79">
        <f>'Summary Table'!N117-'Summary Table'!$C117</f>
        <v>-1.1146330065262262</v>
      </c>
      <c r="X39" s="79">
        <f>'Summary Table'!O117-'Summary Table'!$C117</f>
        <v>1.0864851698416871</v>
      </c>
      <c r="Y39" s="79">
        <f>'Summary Table'!P117-'Summary Table'!$C117</f>
        <v>-2.736877457764173</v>
      </c>
      <c r="Z39" s="79">
        <f>'Summary Table'!Q117-'Summary Table'!$C117</f>
        <v>-4.073479488419455</v>
      </c>
      <c r="AA39" s="79">
        <f>'Summary Table'!R117-'Summary Table'!$C117</f>
        <v>-2.9247079182457441</v>
      </c>
      <c r="AB39" s="79">
        <f>'Summary Table'!S117-'Summary Table'!$C117</f>
        <v>-2.8678763479278615</v>
      </c>
      <c r="AC39" s="79">
        <f>'Summary Table'!T117-'Summary Table'!$C117</f>
        <v>-0.81936299742087471</v>
      </c>
      <c r="AD39" s="79">
        <f>'Summary Table'!U117-'Summary Table'!$C117</f>
        <v>0.70102137111143747</v>
      </c>
      <c r="AE39" s="79">
        <f>'Summary Table'!V117-'Summary Table'!$C117</f>
        <v>1.9243447817527723</v>
      </c>
      <c r="AF39" s="79">
        <f>'Summary Table'!W117-'Summary Table'!$C117</f>
        <v>2.1585642931822164</v>
      </c>
      <c r="AG39" s="79">
        <f>'Summary Table'!X117-'Summary Table'!$C117</f>
        <v>2.9423554046031342</v>
      </c>
      <c r="AH39" s="79">
        <f>'Summary Table'!Y117-'Summary Table'!$C117</f>
        <v>5.3773803550516419</v>
      </c>
      <c r="AI39" s="79">
        <f>'Summary Table'!Z117-'Summary Table'!$C117</f>
        <v>11.048617816808544</v>
      </c>
      <c r="AJ39" s="79">
        <f>'Summary Table'!AA117-'Summary Table'!$C117</f>
        <v>4.2374938280634851</v>
      </c>
      <c r="AK39" s="79">
        <f>'Summary Table'!AB117-'Summary Table'!$C117</f>
        <v>3.4052763691236976</v>
      </c>
      <c r="AL39" s="79">
        <f>'Summary Table'!AC117-'Summary Table'!$C117</f>
        <v>4.0581784999766839</v>
      </c>
      <c r="AM39" s="79">
        <f>'Summary Table'!AD117-'Summary Table'!$C117</f>
        <v>6.257130438167934</v>
      </c>
      <c r="AN39" s="79">
        <f>'Summary Table'!AE117-'Summary Table'!$C117</f>
        <v>14.914805312239416</v>
      </c>
      <c r="AO39" s="79">
        <f>'Summary Table'!AF117-'Summary Table'!$C117</f>
        <v>22.928139094959072</v>
      </c>
      <c r="AP39" s="79">
        <f>'Summary Table'!AG117-'Summary Table'!$C117</f>
        <v>22.65316554705101</v>
      </c>
      <c r="AQ39" s="79">
        <f>'Summary Table'!AH117-'Summary Table'!$C117</f>
        <v>29.190387149745185</v>
      </c>
      <c r="AR39" s="79">
        <f>'Summary Table'!AI117-'Summary Table'!$C117</f>
        <v>34.160679819293158</v>
      </c>
    </row>
    <row r="40" spans="2:45">
      <c r="B40" s="217"/>
      <c r="C40" s="135"/>
      <c r="D40" s="135"/>
      <c r="E40" s="135"/>
      <c r="F40" s="135"/>
      <c r="G40" s="218"/>
      <c r="H40" s="135"/>
      <c r="I40" s="135"/>
      <c r="J40" s="119"/>
      <c r="K40" s="6" t="s">
        <v>1440</v>
      </c>
      <c r="L40" s="79">
        <f>'Summary Table'!C118-'Summary Table'!$C118</f>
        <v>0</v>
      </c>
      <c r="M40" s="79">
        <f>'Summary Table'!D118-'Summary Table'!$C118</f>
        <v>-43.48685919485024</v>
      </c>
      <c r="N40" s="79">
        <f>'Summary Table'!E118-'Summary Table'!$C118</f>
        <v>12.476594734032915</v>
      </c>
      <c r="O40" s="79">
        <f>'Summary Table'!F118-'Summary Table'!$C118</f>
        <v>41.509155172395594</v>
      </c>
      <c r="P40" s="79">
        <f>'Summary Table'!G118-'Summary Table'!$C118</f>
        <v>83.441283091324294</v>
      </c>
      <c r="Q40" s="79">
        <f>'Summary Table'!H118-'Summary Table'!$C118</f>
        <v>109.33683240318146</v>
      </c>
      <c r="R40" s="79">
        <f>'Summary Table'!I118-'Summary Table'!$C118</f>
        <v>155.33607216179553</v>
      </c>
      <c r="S40" s="79">
        <f>'Summary Table'!J118-'Summary Table'!$C118</f>
        <v>169.18524497301314</v>
      </c>
      <c r="T40" s="79">
        <f>'Summary Table'!K118-'Summary Table'!$C118</f>
        <v>210.68868843030441</v>
      </c>
      <c r="U40" s="79">
        <f>'Summary Table'!L118-'Summary Table'!$C118</f>
        <v>277.59020532601039</v>
      </c>
      <c r="V40" s="79">
        <f>'Summary Table'!M118-'Summary Table'!$C118</f>
        <v>323.60855083224578</v>
      </c>
      <c r="W40" s="79">
        <f>'Summary Table'!N118-'Summary Table'!$C118</f>
        <v>294.63480711174066</v>
      </c>
      <c r="X40" s="79">
        <f>'Summary Table'!O118-'Summary Table'!$C118</f>
        <v>332.98796511618684</v>
      </c>
      <c r="Y40" s="79">
        <f>'Summary Table'!P118-'Summary Table'!$C118</f>
        <v>345.77727039248362</v>
      </c>
      <c r="Z40" s="79">
        <f>'Summary Table'!Q118-'Summary Table'!$C118</f>
        <v>380.35029628533221</v>
      </c>
      <c r="AA40" s="79">
        <f>'Summary Table'!R118-'Summary Table'!$C118</f>
        <v>392.53298317179883</v>
      </c>
      <c r="AB40" s="79">
        <f>'Summary Table'!S118-'Summary Table'!$C118</f>
        <v>393.05698871192817</v>
      </c>
      <c r="AC40" s="79">
        <f>'Summary Table'!T118-'Summary Table'!$C118</f>
        <v>392.61296639877355</v>
      </c>
      <c r="AD40" s="79">
        <f>'Summary Table'!U118-'Summary Table'!$C118</f>
        <v>290.03640827291747</v>
      </c>
      <c r="AE40" s="79">
        <f>'Summary Table'!V118-'Summary Table'!$C118</f>
        <v>217.61233559728521</v>
      </c>
      <c r="AF40" s="79">
        <f>'Summary Table'!W118-'Summary Table'!$C118</f>
        <v>225.51206413042814</v>
      </c>
      <c r="AG40" s="79">
        <f>'Summary Table'!X118-'Summary Table'!$C118</f>
        <v>198.49131073999456</v>
      </c>
      <c r="AH40" s="79">
        <f>'Summary Table'!Y118-'Summary Table'!$C118</f>
        <v>185.08005699864611</v>
      </c>
      <c r="AI40" s="79">
        <f>'Summary Table'!Z118-'Summary Table'!$C118</f>
        <v>189.05340829246074</v>
      </c>
      <c r="AJ40" s="79">
        <f>'Summary Table'!AA118-'Summary Table'!$C118</f>
        <v>234.16534177238464</v>
      </c>
      <c r="AK40" s="79">
        <f>'Summary Table'!AB118-'Summary Table'!$C118</f>
        <v>246.03199054877564</v>
      </c>
      <c r="AL40" s="79">
        <f>'Summary Table'!AC118-'Summary Table'!$C118</f>
        <v>284.90447240016078</v>
      </c>
      <c r="AM40" s="79">
        <f>'Summary Table'!AD118-'Summary Table'!$C118</f>
        <v>305.106799620728</v>
      </c>
      <c r="AN40" s="79">
        <f>'Summary Table'!AE118-'Summary Table'!$C118</f>
        <v>329.27594935325305</v>
      </c>
      <c r="AO40" s="79">
        <f>'Summary Table'!AF118-'Summary Table'!$C118</f>
        <v>324.76364069674605</v>
      </c>
      <c r="AP40" s="79">
        <f>'Summary Table'!AG118-'Summary Table'!$C118</f>
        <v>81.223146409956144</v>
      </c>
      <c r="AQ40" s="79">
        <f>'Summary Table'!AH118-'Summary Table'!$C118</f>
        <v>255.41164365234977</v>
      </c>
      <c r="AR40" s="79">
        <f>'Summary Table'!AI118-'Summary Table'!$C118</f>
        <v>277.65862037189777</v>
      </c>
    </row>
    <row r="41" spans="2:45">
      <c r="B41" s="217"/>
      <c r="C41" s="135"/>
      <c r="D41" s="135"/>
      <c r="E41" s="135"/>
      <c r="F41" s="135"/>
      <c r="G41" s="218"/>
      <c r="H41" s="135"/>
      <c r="I41" s="135"/>
      <c r="J41" s="119"/>
      <c r="K41" s="5" t="s">
        <v>1474</v>
      </c>
      <c r="L41" s="78">
        <f>'Summary Table'!C119-'Summary Table'!$C119</f>
        <v>0</v>
      </c>
      <c r="M41" s="78">
        <f>'Summary Table'!D119-'Summary Table'!$C119</f>
        <v>-2.5919048718983504</v>
      </c>
      <c r="N41" s="78">
        <f>'Summary Table'!E119-'Summary Table'!$C119</f>
        <v>10.737370105102627</v>
      </c>
      <c r="O41" s="78">
        <f>'Summary Table'!F119-'Summary Table'!$C119</f>
        <v>86.221484539879611</v>
      </c>
      <c r="P41" s="78">
        <f>'Summary Table'!G119-'Summary Table'!$C119</f>
        <v>110.51788451177686</v>
      </c>
      <c r="Q41" s="78">
        <f>'Summary Table'!H119-'Summary Table'!$C119</f>
        <v>127.22264854937885</v>
      </c>
      <c r="R41" s="78">
        <f>'Summary Table'!I119-'Summary Table'!$C119</f>
        <v>200.29238117105524</v>
      </c>
      <c r="S41" s="78">
        <f>'Summary Table'!J119-'Summary Table'!$C119</f>
        <v>267.56921386538806</v>
      </c>
      <c r="T41" s="78">
        <f>'Summary Table'!K119-'Summary Table'!$C119</f>
        <v>356.60403581475566</v>
      </c>
      <c r="U41" s="78">
        <f>'Summary Table'!L119-'Summary Table'!$C119</f>
        <v>369.71523334804442</v>
      </c>
      <c r="V41" s="78">
        <f>'Summary Table'!M119-'Summary Table'!$C119</f>
        <v>476.22108181291605</v>
      </c>
      <c r="W41" s="78">
        <f>'Summary Table'!N119-'Summary Table'!$C119</f>
        <v>437.25309340434615</v>
      </c>
      <c r="X41" s="78">
        <f>'Summary Table'!O119-'Summary Table'!$C119</f>
        <v>452.27650897286685</v>
      </c>
      <c r="Y41" s="78">
        <f>'Summary Table'!P119-'Summary Table'!$C119</f>
        <v>483.727789443446</v>
      </c>
      <c r="Z41" s="78">
        <f>'Summary Table'!Q119-'Summary Table'!$C119</f>
        <v>515.13207249510242</v>
      </c>
      <c r="AA41" s="78">
        <f>'Summary Table'!R119-'Summary Table'!$C119</f>
        <v>580.10689630214711</v>
      </c>
      <c r="AB41" s="78">
        <f>'Summary Table'!S119-'Summary Table'!$C119</f>
        <v>524.44494541158974</v>
      </c>
      <c r="AC41" s="78">
        <f>'Summary Table'!T119-'Summary Table'!$C119</f>
        <v>591.18672956944056</v>
      </c>
      <c r="AD41" s="78">
        <f>'Summary Table'!U119-'Summary Table'!$C119</f>
        <v>539.38150237365699</v>
      </c>
      <c r="AE41" s="78">
        <f>'Summary Table'!V119-'Summary Table'!$C119</f>
        <v>325.39531141795169</v>
      </c>
      <c r="AF41" s="78">
        <f>'Summary Table'!W119-'Summary Table'!$C119</f>
        <v>438.68840271486715</v>
      </c>
      <c r="AG41" s="78">
        <f>'Summary Table'!X119-'Summary Table'!$C119</f>
        <v>338.1165514280533</v>
      </c>
      <c r="AH41" s="78">
        <f>'Summary Table'!Y119-'Summary Table'!$C119</f>
        <v>203.30522761064526</v>
      </c>
      <c r="AI41" s="78">
        <f>'Summary Table'!Z119-'Summary Table'!$C119</f>
        <v>218.31953820803619</v>
      </c>
      <c r="AJ41" s="78">
        <f>'Summary Table'!AA119-'Summary Table'!$C119</f>
        <v>217.21525960736653</v>
      </c>
      <c r="AK41" s="78">
        <f>'Summary Table'!AB119-'Summary Table'!$C119</f>
        <v>80.687200236565559</v>
      </c>
      <c r="AL41" s="78">
        <f>'Summary Table'!AC119-'Summary Table'!$C119</f>
        <v>-11.079073354869706</v>
      </c>
      <c r="AM41" s="78">
        <f>'Summary Table'!AD119-'Summary Table'!$C119</f>
        <v>-87.917870893109466</v>
      </c>
      <c r="AN41" s="78">
        <f>'Summary Table'!AE119-'Summary Table'!$C119</f>
        <v>-66.518221199183245</v>
      </c>
      <c r="AO41" s="78">
        <f>'Summary Table'!AF119-'Summary Table'!$C119</f>
        <v>-213.229793623261</v>
      </c>
      <c r="AP41" s="78">
        <f>'Summary Table'!AG119-'Summary Table'!$C119</f>
        <v>-380.38487543579481</v>
      </c>
      <c r="AQ41" s="78">
        <f>'Summary Table'!AH119-'Summary Table'!$C119</f>
        <v>-279.01780948801547</v>
      </c>
      <c r="AR41" s="78">
        <f>'Summary Table'!AI119-'Summary Table'!$C119</f>
        <v>-288.27051193752504</v>
      </c>
    </row>
    <row r="42" spans="2:45">
      <c r="B42" s="217"/>
      <c r="D42" s="135"/>
      <c r="E42" s="135"/>
      <c r="F42" s="135"/>
      <c r="G42" s="218"/>
      <c r="H42" s="135"/>
      <c r="I42" s="135"/>
      <c r="J42" s="119"/>
      <c r="K42" s="6" t="s">
        <v>1435</v>
      </c>
      <c r="L42" s="79">
        <f>'Summary Table'!C120-'Summary Table'!$C120</f>
        <v>0</v>
      </c>
      <c r="M42" s="79">
        <f>'Summary Table'!D120-'Summary Table'!$C120</f>
        <v>0.66060786293269302</v>
      </c>
      <c r="N42" s="79">
        <f>'Summary Table'!E120-'Summary Table'!$C120</f>
        <v>22.027618280753359</v>
      </c>
      <c r="O42" s="79">
        <f>'Summary Table'!F120-'Summary Table'!$C120</f>
        <v>85.104944297671409</v>
      </c>
      <c r="P42" s="79">
        <f>'Summary Table'!G120-'Summary Table'!$C120</f>
        <v>91.338976380656959</v>
      </c>
      <c r="Q42" s="79">
        <f>'Summary Table'!H120-'Summary Table'!$C120</f>
        <v>113.34704453585573</v>
      </c>
      <c r="R42" s="79">
        <f>'Summary Table'!I120-'Summary Table'!$C120</f>
        <v>205.00952889046812</v>
      </c>
      <c r="S42" s="79">
        <f>'Summary Table'!J120-'Summary Table'!$C120</f>
        <v>249.50501955500886</v>
      </c>
      <c r="T42" s="79">
        <f>'Summary Table'!K120-'Summary Table'!$C120</f>
        <v>280.63383073706791</v>
      </c>
      <c r="U42" s="79">
        <f>'Summary Table'!L120-'Summary Table'!$C120</f>
        <v>288.88836819273774</v>
      </c>
      <c r="V42" s="79">
        <f>'Summary Table'!M120-'Summary Table'!$C120</f>
        <v>379.85126837938287</v>
      </c>
      <c r="W42" s="79">
        <f>'Summary Table'!N120-'Summary Table'!$C120</f>
        <v>322.32064772287117</v>
      </c>
      <c r="X42" s="79">
        <f>'Summary Table'!O120-'Summary Table'!$C120</f>
        <v>342.38080327068042</v>
      </c>
      <c r="Y42" s="79">
        <f>'Summary Table'!P120-'Summary Table'!$C120</f>
        <v>383.44279412644869</v>
      </c>
      <c r="Z42" s="79">
        <f>'Summary Table'!Q120-'Summary Table'!$C120</f>
        <v>395.50593270440913</v>
      </c>
      <c r="AA42" s="79">
        <f>'Summary Table'!R120-'Summary Table'!$C120</f>
        <v>436.25750179380316</v>
      </c>
      <c r="AB42" s="79">
        <f>'Summary Table'!S120-'Summary Table'!$C120</f>
        <v>406.17565310178247</v>
      </c>
      <c r="AC42" s="79">
        <f>'Summary Table'!T120-'Summary Table'!$C120</f>
        <v>439.73591951268281</v>
      </c>
      <c r="AD42" s="79">
        <f>'Summary Table'!U120-'Summary Table'!$C120</f>
        <v>411.8737402970728</v>
      </c>
      <c r="AE42" s="79">
        <f>'Summary Table'!V120-'Summary Table'!$C120</f>
        <v>193.63880340790001</v>
      </c>
      <c r="AF42" s="79">
        <f>'Summary Table'!W120-'Summary Table'!$C120</f>
        <v>280.73137379088848</v>
      </c>
      <c r="AG42" s="79">
        <f>'Summary Table'!X120-'Summary Table'!$C120</f>
        <v>175.85600472637952</v>
      </c>
      <c r="AH42" s="79">
        <f>'Summary Table'!Y120-'Summary Table'!$C120</f>
        <v>-34.820760267869218</v>
      </c>
      <c r="AI42" s="79">
        <f>'Summary Table'!Z120-'Summary Table'!$C120</f>
        <v>24.737261559389708</v>
      </c>
      <c r="AJ42" s="79">
        <f>'Summary Table'!AA120-'Summary Table'!$C120</f>
        <v>22.042308071607295</v>
      </c>
      <c r="AK42" s="79">
        <f>'Summary Table'!AB120-'Summary Table'!$C120</f>
        <v>-195.12545422192215</v>
      </c>
      <c r="AL42" s="79">
        <f>'Summary Table'!AC120-'Summary Table'!$C120</f>
        <v>-304.49720351052497</v>
      </c>
      <c r="AM42" s="79">
        <f>'Summary Table'!AD120-'Summary Table'!$C120</f>
        <v>-339.44712654446084</v>
      </c>
      <c r="AN42" s="79">
        <f>'Summary Table'!AE120-'Summary Table'!$C120</f>
        <v>-393.63744279009961</v>
      </c>
      <c r="AO42" s="79">
        <f>'Summary Table'!AF120-'Summary Table'!$C120</f>
        <v>-572.9740834484536</v>
      </c>
      <c r="AP42" s="79">
        <f>'Summary Table'!AG120-'Summary Table'!$C120</f>
        <v>-758.35423943810144</v>
      </c>
      <c r="AQ42" s="79">
        <f>'Summary Table'!AH120-'Summary Table'!$C120</f>
        <v>-636.44940763834063</v>
      </c>
      <c r="AR42" s="79">
        <f>'Summary Table'!AI120-'Summary Table'!$C120</f>
        <v>-695.04180943510266</v>
      </c>
      <c r="AS42" s="10"/>
    </row>
    <row r="43" spans="2:45">
      <c r="B43" s="219"/>
      <c r="C43" s="135"/>
      <c r="D43" s="135"/>
      <c r="E43" s="135"/>
      <c r="F43" s="135"/>
      <c r="G43" s="218"/>
      <c r="H43" s="135"/>
      <c r="I43" s="135"/>
      <c r="J43" s="119"/>
      <c r="K43" s="6" t="s">
        <v>1439</v>
      </c>
      <c r="L43" s="79">
        <f>'Summary Table'!C121-'Summary Table'!$C121</f>
        <v>0</v>
      </c>
      <c r="M43" s="79">
        <f>'Summary Table'!D121-'Summary Table'!$C121</f>
        <v>3.6063766698153472</v>
      </c>
      <c r="N43" s="79">
        <f>'Summary Table'!E121-'Summary Table'!$C121</f>
        <v>10.714620680632919</v>
      </c>
      <c r="O43" s="79">
        <f>'Summary Table'!F121-'Summary Table'!$C121</f>
        <v>12.22231405733973</v>
      </c>
      <c r="P43" s="79">
        <f>'Summary Table'!G121-'Summary Table'!$C121</f>
        <v>35.494576576620631</v>
      </c>
      <c r="Q43" s="79">
        <f>'Summary Table'!H121-'Summary Table'!$C121</f>
        <v>52.81261615412015</v>
      </c>
      <c r="R43" s="79">
        <f>'Summary Table'!I121-'Summary Table'!$C121</f>
        <v>29.500766377392154</v>
      </c>
      <c r="S43" s="79">
        <f>'Summary Table'!J121-'Summary Table'!$C121</f>
        <v>43.453390222877459</v>
      </c>
      <c r="T43" s="79">
        <f>'Summary Table'!K121-'Summary Table'!$C121</f>
        <v>72.306090359556919</v>
      </c>
      <c r="U43" s="79">
        <f>'Summary Table'!L121-'Summary Table'!$C121</f>
        <v>84.585175642318745</v>
      </c>
      <c r="V43" s="79">
        <f>'Summary Table'!M121-'Summary Table'!$C121</f>
        <v>105.46101323731904</v>
      </c>
      <c r="W43" s="79">
        <f>'Summary Table'!N121-'Summary Table'!$C121</f>
        <v>113.99859055969387</v>
      </c>
      <c r="X43" s="79">
        <f>'Summary Table'!O121-'Summary Table'!$C121</f>
        <v>130.64871472774814</v>
      </c>
      <c r="Y43" s="79">
        <f>'Summary Table'!P121-'Summary Table'!$C121</f>
        <v>102.76735750467225</v>
      </c>
      <c r="Z43" s="79">
        <f>'Summary Table'!Q121-'Summary Table'!$C121</f>
        <v>121.39025853542842</v>
      </c>
      <c r="AA43" s="79">
        <f>'Summary Table'!R121-'Summary Table'!$C121</f>
        <v>143.49836370211204</v>
      </c>
      <c r="AB43" s="79">
        <f>'Summary Table'!S121-'Summary Table'!$C121</f>
        <v>162.61492412421461</v>
      </c>
      <c r="AC43" s="79">
        <f>'Summary Table'!T121-'Summary Table'!$C121</f>
        <v>196.10509333481161</v>
      </c>
      <c r="AD43" s="79">
        <f>'Summary Table'!U121-'Summary Table'!$C121</f>
        <v>186.7559384793451</v>
      </c>
      <c r="AE43" s="79">
        <f>'Summary Table'!V121-'Summary Table'!$C121</f>
        <v>197.18771150934867</v>
      </c>
      <c r="AF43" s="79">
        <f>'Summary Table'!W121-'Summary Table'!$C121</f>
        <v>224.17804802308478</v>
      </c>
      <c r="AG43" s="79">
        <f>'Summary Table'!X121-'Summary Table'!$C121</f>
        <v>234.06957949892632</v>
      </c>
      <c r="AH43" s="79">
        <f>'Summary Table'!Y121-'Summary Table'!$C121</f>
        <v>317.43215740153596</v>
      </c>
      <c r="AI43" s="79">
        <f>'Summary Table'!Z121-'Summary Table'!$C121</f>
        <v>268.80589470706241</v>
      </c>
      <c r="AJ43" s="79">
        <f>'Summary Table'!AA121-'Summary Table'!$C121</f>
        <v>267.52196706151085</v>
      </c>
      <c r="AK43" s="79">
        <f>'Summary Table'!AB121-'Summary Table'!$C121</f>
        <v>349.80050180923394</v>
      </c>
      <c r="AL43" s="79">
        <f>'Summary Table'!AC121-'Summary Table'!$C121</f>
        <v>369.63209321629171</v>
      </c>
      <c r="AM43" s="79">
        <f>'Summary Table'!AD121-'Summary Table'!$C121</f>
        <v>330.27462175245176</v>
      </c>
      <c r="AN43" s="79">
        <f>'Summary Table'!AE121-'Summary Table'!$C121</f>
        <v>402.57542512465085</v>
      </c>
      <c r="AO43" s="79">
        <f>'Summary Table'!AF121-'Summary Table'!$C121</f>
        <v>441.28865142782757</v>
      </c>
      <c r="AP43" s="79">
        <f>'Summary Table'!AG121-'Summary Table'!$C121</f>
        <v>459.48911789500772</v>
      </c>
      <c r="AQ43" s="79">
        <f>'Summary Table'!AH121-'Summary Table'!$C121</f>
        <v>437.41805260422819</v>
      </c>
      <c r="AR43" s="79">
        <f>'Summary Table'!AI121-'Summary Table'!$C121</f>
        <v>483.94517573609477</v>
      </c>
      <c r="AS43" s="10"/>
    </row>
    <row r="44" spans="2:45">
      <c r="B44" s="219"/>
      <c r="C44" s="135"/>
      <c r="D44" s="135"/>
      <c r="E44" s="135"/>
      <c r="F44" s="135"/>
      <c r="G44" s="218"/>
      <c r="H44" s="135"/>
      <c r="I44" s="135"/>
      <c r="J44" s="119"/>
      <c r="K44" s="6" t="s">
        <v>1440</v>
      </c>
      <c r="L44" s="79">
        <f>'Summary Table'!C122-'Summary Table'!$C122</f>
        <v>0</v>
      </c>
      <c r="M44" s="79">
        <f>'Summary Table'!D122-'Summary Table'!$C122</f>
        <v>-6.8598287732802135</v>
      </c>
      <c r="N44" s="79">
        <f>'Summary Table'!E122-'Summary Table'!$C122</f>
        <v>-22.010747323067733</v>
      </c>
      <c r="O44" s="79">
        <f>'Summary Table'!F122-'Summary Table'!$C122</f>
        <v>-11.123077940531218</v>
      </c>
      <c r="P44" s="79">
        <f>'Summary Table'!G122-'Summary Table'!$C122</f>
        <v>-16.291640679322725</v>
      </c>
      <c r="Q44" s="79">
        <f>'Summary Table'!H122-'Summary Table'!$C122</f>
        <v>-38.826715617237731</v>
      </c>
      <c r="R44" s="79">
        <f>'Summary Table'!I122-'Summary Table'!$C122</f>
        <v>-34.142197920796811</v>
      </c>
      <c r="S44" s="79">
        <f>'Summary Table'!J122-'Summary Table'!$C122</f>
        <v>-25.331086445737057</v>
      </c>
      <c r="T44" s="79">
        <f>'Summary Table'!K122-'Summary Table'!$C122</f>
        <v>3.724225120092953</v>
      </c>
      <c r="U44" s="79">
        <f>'Summary Table'!L122-'Summary Table'!$C122</f>
        <v>-3.7051858663479607</v>
      </c>
      <c r="V44" s="79">
        <f>'Summary Table'!M122-'Summary Table'!$C122</f>
        <v>-9.0140669401992142</v>
      </c>
      <c r="W44" s="79">
        <f>'Summary Table'!N122-'Summary Table'!$C122</f>
        <v>1.0225251747941542</v>
      </c>
      <c r="X44" s="79">
        <f>'Summary Table'!O122-'Summary Table'!$C122</f>
        <v>-20.683629101540518</v>
      </c>
      <c r="Y44" s="79">
        <f>'Summary Table'!P122-'Summary Table'!$C122</f>
        <v>-2.4108558625099619</v>
      </c>
      <c r="Z44" s="79">
        <f>'Summary Table'!Q122-'Summary Table'!$C122</f>
        <v>-1.6932685791766175</v>
      </c>
      <c r="AA44" s="79">
        <f>'Summary Table'!R122-'Summary Table'!$C122</f>
        <v>0.4282070184860487</v>
      </c>
      <c r="AB44" s="79">
        <f>'Summary Table'!S122-'Summary Table'!$C122</f>
        <v>-44.26236824547145</v>
      </c>
      <c r="AC44" s="79">
        <f>'Summary Table'!T122-'Summary Table'!$C122</f>
        <v>-44.574001789668003</v>
      </c>
      <c r="AD44" s="79">
        <f>'Summary Table'!U122-'Summary Table'!$C122</f>
        <v>-59.151842942841974</v>
      </c>
      <c r="AE44" s="79">
        <f>'Summary Table'!V122-'Summary Table'!$C122</f>
        <v>-65.327055388738387</v>
      </c>
      <c r="AF44" s="79">
        <f>'Summary Table'!W122-'Summary Table'!$C122</f>
        <v>-66.109494120478104</v>
      </c>
      <c r="AG44" s="79">
        <f>'Summary Table'!X122-'Summary Table'!$C122</f>
        <v>-71.706937023957508</v>
      </c>
      <c r="AH44" s="79">
        <f>'Summary Table'!Y122-'Summary Table'!$C122</f>
        <v>-79.205382095245682</v>
      </c>
      <c r="AI44" s="79">
        <f>'Summary Table'!Z122-'Summary Table'!$C122</f>
        <v>-75.118440566719798</v>
      </c>
      <c r="AJ44" s="79">
        <f>'Summary Table'!AA122-'Summary Table'!$C122</f>
        <v>-72.234121017158046</v>
      </c>
      <c r="AK44" s="79">
        <f>'Summary Table'!AB122-'Summary Table'!$C122</f>
        <v>-73.864041855048242</v>
      </c>
      <c r="AL44" s="79">
        <f>'Summary Table'!AC122-'Summary Table'!$C122</f>
        <v>-76.080479400746427</v>
      </c>
      <c r="AM44" s="79">
        <f>'Summary Table'!AD122-'Summary Table'!$C122</f>
        <v>-78.617851201493878</v>
      </c>
      <c r="AN44" s="79">
        <f>'Summary Table'!AE122-'Summary Table'!$C122</f>
        <v>-75.322761835636896</v>
      </c>
      <c r="AO44" s="79">
        <f>'Summary Table'!AF122-'Summary Table'!$C122</f>
        <v>-81.377182144508311</v>
      </c>
      <c r="AP44" s="79">
        <f>'Summary Table'!AG122-'Summary Table'!$C122</f>
        <v>-81.372385942701015</v>
      </c>
      <c r="AQ44" s="79">
        <f>'Summary Table'!AH122-'Summary Table'!$C122</f>
        <v>-79.825278427798835</v>
      </c>
      <c r="AR44" s="79">
        <f>'Summary Table'!AI122-'Summary Table'!$C122</f>
        <v>-77.016241454346471</v>
      </c>
      <c r="AS44" s="10"/>
    </row>
    <row r="45" spans="2:45">
      <c r="B45" s="217"/>
      <c r="C45" s="135"/>
      <c r="D45" s="135"/>
      <c r="E45" s="135"/>
      <c r="F45" s="135"/>
      <c r="G45" s="218"/>
      <c r="H45" s="135"/>
      <c r="I45" s="135"/>
      <c r="J45" s="119"/>
      <c r="K45" s="6" t="s">
        <v>1479</v>
      </c>
      <c r="L45" s="79">
        <f>'Summary Table'!C123-'Summary Table'!$C123</f>
        <v>0</v>
      </c>
      <c r="M45" s="79">
        <f>'Summary Table'!D123-'Summary Table'!$C123</f>
        <v>9.3936863405996718E-4</v>
      </c>
      <c r="N45" s="79">
        <f>'Summary Table'!E123-'Summary Table'!$C123</f>
        <v>5.8784667841218496E-3</v>
      </c>
      <c r="O45" s="79">
        <f>'Summary Table'!F123-'Summary Table'!$C123</f>
        <v>1.7304125399470349E-2</v>
      </c>
      <c r="P45" s="79">
        <f>'Summary Table'!G123-'Summary Table'!$C123</f>
        <v>-2.4027766178033594E-2</v>
      </c>
      <c r="Q45" s="79">
        <f>'Summary Table'!H123-'Summary Table'!$C123</f>
        <v>-0.11029652335949058</v>
      </c>
      <c r="R45" s="79">
        <f>'Summary Table'!I123-'Summary Table'!$C123</f>
        <v>-7.5716176008317815E-2</v>
      </c>
      <c r="S45" s="79">
        <f>'Summary Table'!J123-'Summary Table'!$C123</f>
        <v>-5.8109466760940587E-2</v>
      </c>
      <c r="T45" s="79">
        <f>'Summary Table'!K123-'Summary Table'!$C123</f>
        <v>-6.0110401962130244E-2</v>
      </c>
      <c r="U45" s="79">
        <f>'Summary Table'!L123-'Summary Table'!$C123</f>
        <v>-5.3124620663903444E-2</v>
      </c>
      <c r="V45" s="79">
        <f>'Summary Table'!M123-'Summary Table'!$C123</f>
        <v>-7.7132863586443445E-2</v>
      </c>
      <c r="W45" s="79">
        <f>'Summary Table'!N123-'Summary Table'!$C123</f>
        <v>-8.8670053013374384E-2</v>
      </c>
      <c r="X45" s="79">
        <f>'Summary Table'!O123-'Summary Table'!$C123</f>
        <v>-6.9379924021087946E-2</v>
      </c>
      <c r="Y45" s="79">
        <f>'Summary Table'!P123-'Summary Table'!$C123</f>
        <v>-7.1506325165338391E-2</v>
      </c>
      <c r="Z45" s="79">
        <f>'Summary Table'!Q123-'Summary Table'!$C123</f>
        <v>-7.0850165558480782E-2</v>
      </c>
      <c r="AA45" s="79">
        <f>'Summary Table'!R123-'Summary Table'!$C123</f>
        <v>-7.7176212254056131E-2</v>
      </c>
      <c r="AB45" s="79">
        <f>'Summary Table'!S123-'Summary Table'!$C123</f>
        <v>-8.326356893580017E-2</v>
      </c>
      <c r="AC45" s="79">
        <f>'Summary Table'!T123-'Summary Table'!$C123</f>
        <v>-8.0281488385997746E-2</v>
      </c>
      <c r="AD45" s="79">
        <f>'Summary Table'!U123-'Summary Table'!$C123</f>
        <v>-9.6333459918889308E-2</v>
      </c>
      <c r="AE45" s="79">
        <f>'Summary Table'!V123-'Summary Table'!$C123</f>
        <v>-0.1041481105585933</v>
      </c>
      <c r="AF45" s="79">
        <f>'Summary Table'!W123-'Summary Table'!$C123</f>
        <v>-0.1115249786283613</v>
      </c>
      <c r="AG45" s="79">
        <f>'Summary Table'!X123-'Summary Table'!$C123</f>
        <v>-0.10209577329504133</v>
      </c>
      <c r="AH45" s="79">
        <f>'Summary Table'!Y123-'Summary Table'!$C123</f>
        <v>-0.10078742777575334</v>
      </c>
      <c r="AI45" s="79">
        <f>'Summary Table'!Z123-'Summary Table'!$C123</f>
        <v>-0.10517749169618534</v>
      </c>
      <c r="AJ45" s="79">
        <f>'Summary Table'!AA123-'Summary Table'!$C123</f>
        <v>-0.11489450859343331</v>
      </c>
      <c r="AK45" s="79">
        <f>'Summary Table'!AB123-'Summary Table'!$C123</f>
        <v>-0.1238054956978093</v>
      </c>
      <c r="AL45" s="79">
        <f>'Summary Table'!AC123-'Summary Table'!$C123</f>
        <v>-0.13348365989001737</v>
      </c>
      <c r="AM45" s="79">
        <f>'Summary Table'!AD123-'Summary Table'!$C123</f>
        <v>-0.12751489960662432</v>
      </c>
      <c r="AN45" s="79">
        <f>'Summary Table'!AE123-'Summary Table'!$C123</f>
        <v>-0.13344169809768136</v>
      </c>
      <c r="AO45" s="79">
        <f>'Summary Table'!AF123-'Summary Table'!$C123</f>
        <v>-0.1671794581268653</v>
      </c>
      <c r="AP45" s="79">
        <f>'Summary Table'!AG123-'Summary Table'!$C123</f>
        <v>-0.14736795000021735</v>
      </c>
      <c r="AQ45" s="79">
        <f>'Summary Table'!AH123-'Summary Table'!$C123</f>
        <v>-0.1611760261042573</v>
      </c>
      <c r="AR45" s="79">
        <f>'Summary Table'!AI123-'Summary Table'!$C123</f>
        <v>-0.15763678417063332</v>
      </c>
      <c r="AS45" s="10"/>
    </row>
    <row r="46" spans="2:45">
      <c r="B46" s="217"/>
      <c r="C46" s="135"/>
      <c r="D46" s="135"/>
      <c r="E46" s="135"/>
      <c r="F46" s="135"/>
      <c r="G46" s="218"/>
      <c r="H46" s="135"/>
      <c r="I46" s="135"/>
      <c r="J46" s="119"/>
      <c r="K46" s="5" t="s">
        <v>1476</v>
      </c>
      <c r="L46" s="78">
        <f>'Summary Table'!C124-'Summary Table'!$C124</f>
        <v>0</v>
      </c>
      <c r="M46" s="78">
        <f>'Summary Table'!D124-'Summary Table'!$C124</f>
        <v>-0.82569886040509033</v>
      </c>
      <c r="N46" s="78">
        <f>'Summary Table'!E124-'Summary Table'!$C124</f>
        <v>1.9377137339727781</v>
      </c>
      <c r="O46" s="78">
        <f>'Summary Table'!F124-'Summary Table'!$C124</f>
        <v>2.6160867615774457</v>
      </c>
      <c r="P46" s="78">
        <f>'Summary Table'!G124-'Summary Table'!$C124</f>
        <v>4.723781445602679</v>
      </c>
      <c r="Q46" s="78">
        <f>'Summary Table'!H124-'Summary Table'!$C124</f>
        <v>1.5404454957121594</v>
      </c>
      <c r="R46" s="78">
        <f>'Summary Table'!I124-'Summary Table'!$C124</f>
        <v>-0.23004967245102392</v>
      </c>
      <c r="S46" s="78">
        <f>'Summary Table'!J124-'Summary Table'!$C124</f>
        <v>7.3775620288110133E-2</v>
      </c>
      <c r="T46" s="78">
        <f>'Summary Table'!K124-'Summary Table'!$C124</f>
        <v>-0.56287754814769997</v>
      </c>
      <c r="U46" s="78">
        <f>'Summary Table'!L124-'Summary Table'!$C124</f>
        <v>-4.5368484022321027</v>
      </c>
      <c r="V46" s="78">
        <f>'Summary Table'!M124-'Summary Table'!$C124</f>
        <v>17.021432142245253</v>
      </c>
      <c r="W46" s="78">
        <f>'Summary Table'!N124-'Summary Table'!$C124</f>
        <v>29.642463626547269</v>
      </c>
      <c r="X46" s="78">
        <f>'Summary Table'!O124-'Summary Table'!$C124</f>
        <v>25.143070817578973</v>
      </c>
      <c r="Y46" s="78">
        <f>'Summary Table'!P124-'Summary Table'!$C124</f>
        <v>30.355873378816653</v>
      </c>
      <c r="Z46" s="78">
        <f>'Summary Table'!Q124-'Summary Table'!$C124</f>
        <v>32.906849790155427</v>
      </c>
      <c r="AA46" s="78">
        <f>'Summary Table'!R124-'Summary Table'!$C124</f>
        <v>31.847710638696711</v>
      </c>
      <c r="AB46" s="78">
        <f>'Summary Table'!S124-'Summary Table'!$C124</f>
        <v>31.252825844481237</v>
      </c>
      <c r="AC46" s="78">
        <f>'Summary Table'!T124-'Summary Table'!$C124</f>
        <v>26.638400447319526</v>
      </c>
      <c r="AD46" s="78">
        <f>'Summary Table'!U124-'Summary Table'!$C124</f>
        <v>18.455546760630611</v>
      </c>
      <c r="AE46" s="78">
        <f>'Summary Table'!V124-'Summary Table'!$C124</f>
        <v>18.949874655556485</v>
      </c>
      <c r="AF46" s="78">
        <f>'Summary Table'!W124-'Summary Table'!$C124</f>
        <v>14.495157307270205</v>
      </c>
      <c r="AG46" s="78">
        <f>'Summary Table'!X124-'Summary Table'!$C124</f>
        <v>14.054249889581833</v>
      </c>
      <c r="AH46" s="78">
        <f>'Summary Table'!Y124-'Summary Table'!$C124</f>
        <v>12.945756628391315</v>
      </c>
      <c r="AI46" s="78">
        <f>'Summary Table'!Z124-'Summary Table'!$C124</f>
        <v>8.1202296191256487</v>
      </c>
      <c r="AJ46" s="78">
        <f>'Summary Table'!AA124-'Summary Table'!$C124</f>
        <v>8.270108037543519</v>
      </c>
      <c r="AK46" s="78">
        <f>'Summary Table'!AB124-'Summary Table'!$C124</f>
        <v>8.5261425681635465</v>
      </c>
      <c r="AL46" s="78">
        <f>'Summary Table'!AC124-'Summary Table'!$C124</f>
        <v>6.156578894514567</v>
      </c>
      <c r="AM46" s="78">
        <f>'Summary Table'!AD124-'Summary Table'!$C124</f>
        <v>5.9375409982032288</v>
      </c>
      <c r="AN46" s="78">
        <f>'Summary Table'!AE124-'Summary Table'!$C124</f>
        <v>5.914374030392711</v>
      </c>
      <c r="AO46" s="78">
        <f>'Summary Table'!AF124-'Summary Table'!$C124</f>
        <v>4.804602713569988</v>
      </c>
      <c r="AP46" s="78">
        <f>'Summary Table'!AG124-'Summary Table'!$C124</f>
        <v>3.2706846637937019</v>
      </c>
      <c r="AQ46" s="78">
        <f>'Summary Table'!AH124-'Summary Table'!$C124</f>
        <v>3.7635602568970512</v>
      </c>
      <c r="AR46" s="78">
        <f>'Summary Table'!AI124-'Summary Table'!$C124</f>
        <v>3.7585086759088426</v>
      </c>
    </row>
    <row r="47" spans="2:45">
      <c r="B47" s="217"/>
      <c r="C47" s="135"/>
      <c r="D47" s="135"/>
      <c r="E47" s="135"/>
      <c r="F47" s="135"/>
      <c r="G47" s="220"/>
      <c r="H47" s="135"/>
      <c r="I47" s="135"/>
      <c r="J47" s="119"/>
      <c r="K47" s="6" t="s">
        <v>1435</v>
      </c>
      <c r="L47" s="79">
        <f>'Summary Table'!C125-'Summary Table'!$C125</f>
        <v>0</v>
      </c>
      <c r="M47" s="79">
        <f>'Summary Table'!D125-'Summary Table'!$C125</f>
        <v>-3.6201650438386024E-2</v>
      </c>
      <c r="N47" s="79">
        <f>'Summary Table'!E125-'Summary Table'!$C125</f>
        <v>-0.10377944061804406</v>
      </c>
      <c r="O47" s="79">
        <f>'Summary Table'!F125-'Summary Table'!$C125</f>
        <v>-8.4519061014167951E-2</v>
      </c>
      <c r="P47" s="79">
        <f>'Summary Table'!G125-'Summary Table'!$C125</f>
        <v>-7.658832336375615E-2</v>
      </c>
      <c r="Q47" s="79">
        <f>'Summary Table'!H125-'Summary Table'!$C125</f>
        <v>-6.8657587768939821E-2</v>
      </c>
      <c r="R47" s="79">
        <f>'Summary Table'!I125-'Summary Table'!$C125</f>
        <v>-5.7327947871112062E-2</v>
      </c>
      <c r="S47" s="79">
        <f>'Summary Table'!J125-'Summary Table'!$C125</f>
        <v>-5.0076970936273835E-2</v>
      </c>
      <c r="T47" s="79">
        <f>'Summary Table'!K125-'Summary Table'!$C125</f>
        <v>-4.5091936370315999E-2</v>
      </c>
      <c r="U47" s="79">
        <f>'Summary Table'!L125-'Summary Table'!$C125</f>
        <v>-7.8854243120861978E-2</v>
      </c>
      <c r="V47" s="79">
        <f>'Summary Table'!M125-'Summary Table'!$C125</f>
        <v>-2.4179757858667883E-2</v>
      </c>
      <c r="W47" s="79">
        <f>'Summary Table'!N125-'Summary Table'!$C125</f>
        <v>9.7645379494504136E-2</v>
      </c>
      <c r="X47" s="79">
        <f>'Summary Table'!O125-'Summary Table'!$C125</f>
        <v>1.5241859939164899</v>
      </c>
      <c r="Y47" s="79">
        <f>'Summary Table'!P125-'Summary Table'!$C125</f>
        <v>2.1647111799387391</v>
      </c>
      <c r="Z47" s="79">
        <f>'Summary Table'!Q125-'Summary Table'!$C125</f>
        <v>2.4465210223993603</v>
      </c>
      <c r="AA47" s="79">
        <f>'Summary Table'!R125-'Summary Table'!$C125</f>
        <v>2.5144988206739765</v>
      </c>
      <c r="AB47" s="79">
        <f>'Summary Table'!S125-'Summary Table'!$C125</f>
        <v>2.8997063510829966</v>
      </c>
      <c r="AC47" s="79">
        <f>'Summary Table'!T125-'Summary Table'!$C125</f>
        <v>2.9031872424082614</v>
      </c>
      <c r="AD47" s="79">
        <f>'Summary Table'!U125-'Summary Table'!$C125</f>
        <v>2.9342335028958777</v>
      </c>
      <c r="AE47" s="79">
        <f>'Summary Table'!V125-'Summary Table'!$C125</f>
        <v>2.910397517272437</v>
      </c>
      <c r="AF47" s="79">
        <f>'Summary Table'!W125-'Summary Table'!$C125</f>
        <v>2.6965293810985802</v>
      </c>
      <c r="AG47" s="79">
        <f>'Summary Table'!X125-'Summary Table'!$C125</f>
        <v>2.9390979999404161</v>
      </c>
      <c r="AH47" s="79">
        <f>'Summary Table'!Y125-'Summary Table'!$C125</f>
        <v>2.7886628243863028</v>
      </c>
      <c r="AI47" s="79">
        <f>'Summary Table'!Z125-'Summary Table'!$C125</f>
        <v>2.7763656555528833</v>
      </c>
      <c r="AJ47" s="79">
        <f>'Summary Table'!AA125-'Summary Table'!$C125</f>
        <v>2.9431693462184629</v>
      </c>
      <c r="AK47" s="79">
        <f>'Summary Table'!AB125-'Summary Table'!$C125</f>
        <v>2.8108929877260564</v>
      </c>
      <c r="AL47" s="79">
        <f>'Summary Table'!AC125-'Summary Table'!$C125</f>
        <v>2.7715036539344036</v>
      </c>
      <c r="AM47" s="79">
        <f>'Summary Table'!AD125-'Summary Table'!$C125</f>
        <v>1.8012992060284982</v>
      </c>
      <c r="AN47" s="79">
        <f>'Summary Table'!AE125-'Summary Table'!$C125</f>
        <v>2.0575952151624985</v>
      </c>
      <c r="AO47" s="79">
        <f>'Summary Table'!AF125-'Summary Table'!$C125</f>
        <v>3.0612898629424983</v>
      </c>
      <c r="AP47" s="79">
        <f>'Summary Table'!AG125-'Summary Table'!$C125</f>
        <v>2.5834054219256197</v>
      </c>
      <c r="AQ47" s="79">
        <f>'Summary Table'!AH125-'Summary Table'!$C125</f>
        <v>2.3893853343172085</v>
      </c>
      <c r="AR47" s="79">
        <f>'Summary Table'!AI125-'Summary Table'!$C125</f>
        <v>2.3893853343172085</v>
      </c>
    </row>
    <row r="48" spans="2:45">
      <c r="B48" s="217"/>
      <c r="C48" s="135"/>
      <c r="D48" s="135"/>
      <c r="E48" s="135"/>
      <c r="F48" s="135"/>
      <c r="G48" s="218"/>
      <c r="H48" s="135"/>
      <c r="I48" s="135"/>
      <c r="J48" s="119"/>
      <c r="K48" s="6" t="s">
        <v>1439</v>
      </c>
      <c r="L48" s="79" t="s">
        <v>1731</v>
      </c>
      <c r="M48" s="79" t="s">
        <v>1731</v>
      </c>
      <c r="N48" s="79" t="s">
        <v>1731</v>
      </c>
      <c r="O48" s="79" t="s">
        <v>1731</v>
      </c>
      <c r="P48" s="79" t="s">
        <v>1731</v>
      </c>
      <c r="Q48" s="79" t="s">
        <v>1731</v>
      </c>
      <c r="R48" s="79" t="s">
        <v>1731</v>
      </c>
      <c r="S48" s="79" t="s">
        <v>1731</v>
      </c>
      <c r="T48" s="79" t="s">
        <v>1731</v>
      </c>
      <c r="U48" s="79" t="s">
        <v>1731</v>
      </c>
      <c r="V48" s="79">
        <f>'Summary Table'!M126</f>
        <v>0.67212201477417799</v>
      </c>
      <c r="W48" s="79">
        <f>'Summary Table'!N126</f>
        <v>1.2125167466946647</v>
      </c>
      <c r="X48" s="79">
        <f>'Summary Table'!O126</f>
        <v>1.2089205865598054</v>
      </c>
      <c r="Y48" s="79">
        <f>'Summary Table'!P126</f>
        <v>1.4242260199270667</v>
      </c>
      <c r="Z48" s="79">
        <f>'Summary Table'!Q126</f>
        <v>1.3068074496928888</v>
      </c>
      <c r="AA48" s="79">
        <f>'Summary Table'!R126</f>
        <v>1.2895019369609928</v>
      </c>
      <c r="AB48" s="79">
        <f>'Summary Table'!S126</f>
        <v>1.3857334247939026</v>
      </c>
      <c r="AC48" s="79">
        <f>'Summary Table'!T126</f>
        <v>1.415921575354</v>
      </c>
      <c r="AD48" s="79">
        <f>'Summary Table'!U126</f>
        <v>1.5513054613666941</v>
      </c>
      <c r="AE48" s="79">
        <f>'Summary Table'!V126</f>
        <v>1.4531353816314685</v>
      </c>
      <c r="AF48" s="79">
        <f>'Summary Table'!W126</f>
        <v>1.4764952126860063</v>
      </c>
      <c r="AG48" s="79">
        <f>'Summary Table'!X126</f>
        <v>1.4370506029671137</v>
      </c>
      <c r="AH48" s="79">
        <f>'Summary Table'!Y126</f>
        <v>2.6097333297164047</v>
      </c>
      <c r="AI48" s="79">
        <f>'Summary Table'!Z126</f>
        <v>3.0881755478141319</v>
      </c>
      <c r="AJ48" s="79">
        <f>'Summary Table'!AA126</f>
        <v>3.2092986456579755</v>
      </c>
      <c r="AK48" s="79">
        <f>'Summary Table'!AB126</f>
        <v>3.0379310176521801</v>
      </c>
      <c r="AL48" s="79">
        <f>'Summary Table'!AC126</f>
        <v>3.3649958579027071</v>
      </c>
      <c r="AM48" s="79">
        <f>'Summary Table'!AD126</f>
        <v>2.5455513992585312</v>
      </c>
      <c r="AN48" s="79">
        <f>'Summary Table'!AE126</f>
        <v>3.3040677421953082</v>
      </c>
      <c r="AO48" s="79">
        <f>'Summary Table'!AF126</f>
        <v>3.773022660515549</v>
      </c>
      <c r="AP48" s="79">
        <f>'Summary Table'!AG126</f>
        <v>2.647583744073164</v>
      </c>
      <c r="AQ48" s="79">
        <f>'Summary Table'!AH126</f>
        <v>3.9226452440549542</v>
      </c>
      <c r="AR48" s="79">
        <f>'Summary Table'!AI126</f>
        <v>3.9197560160609353</v>
      </c>
    </row>
    <row r="49" spans="2:45">
      <c r="B49" s="217"/>
      <c r="C49" s="135"/>
      <c r="D49" s="135"/>
      <c r="E49" s="135"/>
      <c r="F49" s="135"/>
      <c r="G49" s="218"/>
      <c r="H49" s="135"/>
      <c r="I49" s="135"/>
      <c r="J49" s="119"/>
      <c r="K49" s="6" t="s">
        <v>1440</v>
      </c>
      <c r="L49" s="79">
        <f>'Summary Table'!C127-'Summary Table'!$C127</f>
        <v>0</v>
      </c>
      <c r="M49" s="79">
        <f>'Summary Table'!D127-'Summary Table'!$C127</f>
        <v>-0.78949720996670436</v>
      </c>
      <c r="N49" s="79">
        <f>'Summary Table'!E127-'Summary Table'!$C127</f>
        <v>2.0414931745908227</v>
      </c>
      <c r="O49" s="79">
        <f>'Summary Table'!F127-'Summary Table'!$C127</f>
        <v>2.7006058225916121</v>
      </c>
      <c r="P49" s="79">
        <f>'Summary Table'!G127-'Summary Table'!$C127</f>
        <v>4.8003697689664335</v>
      </c>
      <c r="Q49" s="79">
        <f>'Summary Table'!H127-'Summary Table'!$C127</f>
        <v>1.6091030834810987</v>
      </c>
      <c r="R49" s="79">
        <f>'Summary Table'!I127-'Summary Table'!$C127</f>
        <v>-0.17272172457991175</v>
      </c>
      <c r="S49" s="79">
        <f>'Summary Table'!J127-'Summary Table'!$C127</f>
        <v>0.12385259122438441</v>
      </c>
      <c r="T49" s="79">
        <f>'Summary Table'!K127-'Summary Table'!$C127</f>
        <v>-0.51778561177738425</v>
      </c>
      <c r="U49" s="79">
        <f>'Summary Table'!L127-'Summary Table'!$C127</f>
        <v>-4.4579941591112409</v>
      </c>
      <c r="V49" s="79">
        <f>'Summary Table'!M127-'Summary Table'!$C127</f>
        <v>16.373489885329739</v>
      </c>
      <c r="W49" s="79">
        <f>'Summary Table'!N127-'Summary Table'!$C127</f>
        <v>28.332301500358099</v>
      </c>
      <c r="X49" s="79">
        <f>'Summary Table'!O127-'Summary Table'!$C127</f>
        <v>22.409964237102677</v>
      </c>
      <c r="Y49" s="79">
        <f>'Summary Table'!P127-'Summary Table'!$C127</f>
        <v>26.766936178950843</v>
      </c>
      <c r="Z49" s="79">
        <f>'Summary Table'!Q127-'Summary Table'!$C127</f>
        <v>29.153521318063177</v>
      </c>
      <c r="AA49" s="79">
        <f>'Summary Table'!R127-'Summary Table'!$C127</f>
        <v>28.043709881061744</v>
      </c>
      <c r="AB49" s="79">
        <f>'Summary Table'!S127-'Summary Table'!$C127</f>
        <v>26.967386068604334</v>
      </c>
      <c r="AC49" s="79">
        <f>'Summary Table'!T127-'Summary Table'!$C127</f>
        <v>22.319291629557263</v>
      </c>
      <c r="AD49" s="79">
        <f>'Summary Table'!U127-'Summary Table'!$C127</f>
        <v>13.970007796368037</v>
      </c>
      <c r="AE49" s="79">
        <f>'Summary Table'!V127-'Summary Table'!$C127</f>
        <v>14.58634175665258</v>
      </c>
      <c r="AF49" s="79">
        <f>'Summary Table'!W127-'Summary Table'!$C127</f>
        <v>10.322132713485615</v>
      </c>
      <c r="AG49" s="79">
        <f>'Summary Table'!X127-'Summary Table'!$C127</f>
        <v>9.6781012866743019</v>
      </c>
      <c r="AH49" s="79">
        <f>'Summary Table'!Y127-'Summary Table'!$C127</f>
        <v>7.5473604742886096</v>
      </c>
      <c r="AI49" s="79">
        <f>'Summary Table'!Z127-'Summary Table'!$C127</f>
        <v>2.2556884157586339</v>
      </c>
      <c r="AJ49" s="79">
        <f>'Summary Table'!AA127-'Summary Table'!$C127</f>
        <v>2.1176400456670805</v>
      </c>
      <c r="AK49" s="79">
        <f>'Summary Table'!AB127-'Summary Table'!$C127</f>
        <v>2.6773185627853096</v>
      </c>
      <c r="AL49" s="79">
        <f>'Summary Table'!AC127-'Summary Table'!$C127</f>
        <v>2.0079382677455015E-2</v>
      </c>
      <c r="AM49" s="79">
        <f>'Summary Table'!AD127-'Summary Table'!$C127</f>
        <v>1.5906903929161977</v>
      </c>
      <c r="AN49" s="79">
        <f>'Summary Table'!AE127-'Summary Table'!$C127</f>
        <v>0.55271107303490297</v>
      </c>
      <c r="AO49" s="79">
        <f>'Summary Table'!AF127-'Summary Table'!$C127</f>
        <v>-2.029709809888061</v>
      </c>
      <c r="AP49" s="79">
        <f>'Summary Table'!AG127-'Summary Table'!$C127</f>
        <v>-1.96030450220508</v>
      </c>
      <c r="AQ49" s="79">
        <f>'Summary Table'!AH127-'Summary Table'!$C127</f>
        <v>-2.5484703214751114</v>
      </c>
      <c r="AR49" s="79">
        <f>'Summary Table'!AI127-'Summary Table'!$C127</f>
        <v>-2.550632674469302</v>
      </c>
    </row>
    <row r="50" spans="2:45">
      <c r="B50" s="217"/>
      <c r="C50" s="135"/>
      <c r="D50" s="135"/>
      <c r="E50" s="135"/>
      <c r="F50" s="135"/>
      <c r="G50" s="218"/>
      <c r="H50" s="135"/>
      <c r="I50" s="135"/>
      <c r="J50" s="119"/>
      <c r="K50" s="4" t="s">
        <v>1480</v>
      </c>
      <c r="L50" s="80">
        <f>'Summary Table'!C128-'Summary Table'!$C128</f>
        <v>0</v>
      </c>
      <c r="M50" s="80">
        <f>'Summary Table'!D128-'Summary Table'!$C128</f>
        <v>-46.653894147365463</v>
      </c>
      <c r="N50" s="80">
        <f>'Summary Table'!E128-'Summary Table'!$C128</f>
        <v>45.985430268610799</v>
      </c>
      <c r="O50" s="80">
        <f>'Summary Table'!F128-'Summary Table'!$C128</f>
        <v>162.19916674300566</v>
      </c>
      <c r="P50" s="80">
        <f>'Summary Table'!G128-'Summary Table'!$C128</f>
        <v>224.58135722234601</v>
      </c>
      <c r="Q50" s="80">
        <f>'Summary Table'!H128-'Summary Table'!$C128</f>
        <v>284.07945076620399</v>
      </c>
      <c r="R50" s="80">
        <f>'Summary Table'!I128-'Summary Table'!$C128</f>
        <v>458.96143704481256</v>
      </c>
      <c r="S50" s="80">
        <f>'Summary Table'!J128-'Summary Table'!$C128</f>
        <v>519.34132160543413</v>
      </c>
      <c r="T50" s="80">
        <f>'Summary Table'!K128-'Summary Table'!$C128</f>
        <v>582.391631499082</v>
      </c>
      <c r="U50" s="80">
        <f>'Summary Table'!L128-'Summary Table'!$C128</f>
        <v>627.25392495784854</v>
      </c>
      <c r="V50" s="80">
        <f>'Summary Table'!M128-'Summary Table'!$C128</f>
        <v>873.66027882173967</v>
      </c>
      <c r="W50" s="80">
        <f>'Summary Table'!N128-'Summary Table'!$C128</f>
        <v>777.15460469372556</v>
      </c>
      <c r="X50" s="80">
        <f>'Summary Table'!O128-'Summary Table'!$C128</f>
        <v>818.27379911805838</v>
      </c>
      <c r="Y50" s="80">
        <f>'Summary Table'!P128-'Summary Table'!$C128</f>
        <v>887.50285420899399</v>
      </c>
      <c r="Z50" s="80">
        <f>'Summary Table'!Q128-'Summary Table'!$C128</f>
        <v>966.58749459512728</v>
      </c>
      <c r="AA50" s="80">
        <f>'Summary Table'!R128-'Summary Table'!$C128</f>
        <v>992.6457973323586</v>
      </c>
      <c r="AB50" s="80">
        <f>'Summary Table'!S128-'Summary Table'!$C128</f>
        <v>904.02930385543641</v>
      </c>
      <c r="AC50" s="80">
        <f>'Summary Table'!T128-'Summary Table'!$C128</f>
        <v>987.95342030680968</v>
      </c>
      <c r="AD50" s="80">
        <f>'Summary Table'!U128-'Summary Table'!$C128</f>
        <v>800.9483731103328</v>
      </c>
      <c r="AE50" s="80">
        <f>'Summary Table'!V128-'Summary Table'!$C128</f>
        <v>432.60111344554844</v>
      </c>
      <c r="AF50" s="80">
        <f>'Summary Table'!W128-'Summary Table'!$C128</f>
        <v>589.66082412161359</v>
      </c>
      <c r="AG50" s="80">
        <f>'Summary Table'!X128-'Summary Table'!$C128</f>
        <v>457.6337926682836</v>
      </c>
      <c r="AH50" s="80">
        <f>'Summary Table'!Y128-'Summary Table'!$C128</f>
        <v>250.93530887117686</v>
      </c>
      <c r="AI50" s="80">
        <f>'Summary Table'!Z128-'Summary Table'!$C128</f>
        <v>372.25903256230595</v>
      </c>
      <c r="AJ50" s="80">
        <f>'Summary Table'!AA128-'Summary Table'!$C128</f>
        <v>422.21527819978019</v>
      </c>
      <c r="AK50" s="80">
        <f>'Summary Table'!AB128-'Summary Table'!$C128</f>
        <v>257.42233266970197</v>
      </c>
      <c r="AL50" s="80">
        <f>'Summary Table'!AC128-'Summary Table'!$C128</f>
        <v>160.41901227719336</v>
      </c>
      <c r="AM50" s="80">
        <f>'Summary Table'!AD128-'Summary Table'!$C128</f>
        <v>96.579301926870357</v>
      </c>
      <c r="AN50" s="80">
        <f>'Summary Table'!AE128-'Summary Table'!$C128</f>
        <v>236.02939416526442</v>
      </c>
      <c r="AO50" s="80">
        <f>'Summary Table'!AF128-'Summary Table'!$C128</f>
        <v>94.037950909741085</v>
      </c>
      <c r="AP50" s="80">
        <f>'Summary Table'!AG128-'Summary Table'!$C128</f>
        <v>-417.66956064785518</v>
      </c>
      <c r="AQ50" s="80">
        <f>'Summary Table'!AH128-'Summary Table'!$C128</f>
        <v>-104.26582202727786</v>
      </c>
      <c r="AR50" s="80">
        <f>'Summary Table'!AI128-'Summary Table'!$C128</f>
        <v>-57.027956316999735</v>
      </c>
    </row>
    <row r="51" spans="2:45">
      <c r="B51" s="140"/>
      <c r="C51" s="216"/>
      <c r="D51" s="216"/>
      <c r="E51" s="216"/>
      <c r="F51" s="216"/>
      <c r="G51" s="221"/>
      <c r="H51" s="216"/>
      <c r="I51" s="216"/>
      <c r="J51" s="119"/>
    </row>
    <row r="52" spans="2:45">
      <c r="B52" s="217"/>
      <c r="C52" s="135"/>
      <c r="D52" s="135"/>
      <c r="E52" s="135"/>
      <c r="F52" s="135"/>
      <c r="G52" s="218"/>
      <c r="H52" s="135"/>
      <c r="I52" s="135"/>
      <c r="J52" s="119"/>
    </row>
    <row r="53" spans="2:45">
      <c r="B53" s="140"/>
      <c r="C53" s="216"/>
      <c r="D53" s="216"/>
      <c r="E53" s="216"/>
      <c r="F53" s="216"/>
      <c r="G53" s="221"/>
      <c r="H53" s="216"/>
      <c r="I53" s="216"/>
      <c r="J53" s="119"/>
    </row>
    <row r="54" spans="2:45" ht="15">
      <c r="B54" s="217"/>
      <c r="C54" s="222"/>
      <c r="D54" s="135"/>
      <c r="E54" s="135"/>
      <c r="F54" s="135"/>
      <c r="G54" s="218"/>
      <c r="H54" s="135"/>
      <c r="I54" s="135"/>
      <c r="J54" s="119"/>
      <c r="K54" s="1" t="s">
        <v>1957</v>
      </c>
    </row>
    <row r="55" spans="2:45">
      <c r="B55" s="217"/>
      <c r="C55" s="135"/>
      <c r="D55" s="135"/>
      <c r="E55" s="135"/>
      <c r="F55" s="135"/>
      <c r="G55" s="218"/>
      <c r="H55" s="135"/>
      <c r="I55" s="135"/>
      <c r="J55" s="119"/>
      <c r="K55" s="4" t="s">
        <v>1958</v>
      </c>
      <c r="L55" s="83">
        <v>1990</v>
      </c>
      <c r="M55" s="83">
        <v>1991</v>
      </c>
      <c r="N55" s="83">
        <v>1992</v>
      </c>
      <c r="O55" s="83">
        <v>1993</v>
      </c>
      <c r="P55" s="83">
        <v>1994</v>
      </c>
      <c r="Q55" s="83">
        <v>1995</v>
      </c>
      <c r="R55" s="83">
        <v>1996</v>
      </c>
      <c r="S55" s="83">
        <v>1997</v>
      </c>
      <c r="T55" s="83">
        <v>1998</v>
      </c>
      <c r="U55" s="83">
        <v>1999</v>
      </c>
      <c r="V55" s="83">
        <v>2000</v>
      </c>
      <c r="W55" s="83">
        <v>2001</v>
      </c>
      <c r="X55" s="83">
        <v>2002</v>
      </c>
      <c r="Y55" s="83">
        <v>2003</v>
      </c>
      <c r="Z55" s="83">
        <v>2004</v>
      </c>
      <c r="AA55" s="83">
        <v>2005</v>
      </c>
      <c r="AB55" s="83">
        <v>2006</v>
      </c>
      <c r="AC55" s="83">
        <v>2007</v>
      </c>
      <c r="AD55" s="83">
        <v>2008</v>
      </c>
      <c r="AE55" s="83">
        <v>2009</v>
      </c>
      <c r="AF55" s="83">
        <v>2010</v>
      </c>
      <c r="AG55" s="83">
        <v>2011</v>
      </c>
      <c r="AH55" s="83">
        <v>2012</v>
      </c>
      <c r="AI55" s="83">
        <v>2013</v>
      </c>
      <c r="AJ55" s="83">
        <v>2014</v>
      </c>
      <c r="AK55" s="83">
        <v>2015</v>
      </c>
      <c r="AL55" s="83">
        <v>2016</v>
      </c>
      <c r="AM55" s="83">
        <v>2017</v>
      </c>
      <c r="AN55" s="83">
        <v>2018</v>
      </c>
      <c r="AO55" s="83">
        <v>2019</v>
      </c>
      <c r="AP55" s="83">
        <v>2020</v>
      </c>
      <c r="AQ55" s="83">
        <v>2021</v>
      </c>
      <c r="AR55" s="83">
        <v>2022</v>
      </c>
      <c r="AS55" s="711" t="s">
        <v>1948</v>
      </c>
    </row>
    <row r="56" spans="2:45">
      <c r="B56" s="140"/>
      <c r="C56" s="216"/>
      <c r="D56" s="216"/>
      <c r="E56" s="216"/>
      <c r="F56" s="216"/>
      <c r="G56" s="223"/>
      <c r="H56" s="216"/>
      <c r="I56" s="224"/>
      <c r="J56" s="119"/>
      <c r="K56" s="136" t="s">
        <v>1443</v>
      </c>
      <c r="L56" s="137">
        <f>'Non-Energy Use'!E184</f>
        <v>191.80653864903755</v>
      </c>
      <c r="M56" s="137">
        <f>'Non-Energy Use'!F184</f>
        <v>186.36004562085267</v>
      </c>
      <c r="N56" s="137">
        <f>'Non-Energy Use'!G184</f>
        <v>195.64609649875453</v>
      </c>
      <c r="O56" s="137">
        <f>'Non-Energy Use'!H184</f>
        <v>200.28592844588911</v>
      </c>
      <c r="P56" s="137">
        <f>'Non-Energy Use'!I184</f>
        <v>210.7745945283464</v>
      </c>
      <c r="Q56" s="137">
        <f>'Non-Energy Use'!J184</f>
        <v>211.99543178690735</v>
      </c>
      <c r="R56" s="137">
        <f>'Non-Energy Use'!K184</f>
        <v>219.57856129447461</v>
      </c>
      <c r="S56" s="137">
        <f>'Non-Energy Use'!L184</f>
        <v>223.96165620055623</v>
      </c>
      <c r="T56" s="137">
        <f>'Non-Energy Use'!M184</f>
        <v>231.34823733606052</v>
      </c>
      <c r="U56" s="137">
        <f>'Non-Energy Use'!N184</f>
        <v>245.35223865657338</v>
      </c>
      <c r="V56" s="137">
        <f>'Non-Energy Use'!O184</f>
        <v>232.406560022907</v>
      </c>
      <c r="W56" s="137">
        <f>'Non-Energy Use'!P184</f>
        <v>223.89046885656464</v>
      </c>
      <c r="X56" s="137">
        <f>'Non-Energy Use'!Q184</f>
        <v>227.49832162750749</v>
      </c>
      <c r="Y56" s="137">
        <f>'Non-Energy Use'!R184</f>
        <v>219.42835327754324</v>
      </c>
      <c r="Z56" s="137">
        <f>'Non-Energy Use'!S184</f>
        <v>237.1964025163555</v>
      </c>
      <c r="AA56" s="137">
        <f>'Non-Energy Use'!T184</f>
        <v>232.32156297555443</v>
      </c>
      <c r="AB56" s="137">
        <f>'Non-Energy Use'!U184</f>
        <v>233.67521578474634</v>
      </c>
      <c r="AC56" s="137">
        <f>'Non-Energy Use'!V184</f>
        <v>232.89361242857538</v>
      </c>
      <c r="AD56" s="137">
        <f>'Non-Energy Use'!W184</f>
        <v>209.20748067918913</v>
      </c>
      <c r="AE56" s="137">
        <f>'Non-Energy Use'!X184</f>
        <v>198.56504148043001</v>
      </c>
      <c r="AF56" s="137">
        <f>'Non-Energy Use'!Y184</f>
        <v>210.37427047906289</v>
      </c>
      <c r="AG56" s="137">
        <f>'Non-Energy Use'!Z184</f>
        <v>207.57336681672143</v>
      </c>
      <c r="AH56" s="137">
        <f>'Non-Energy Use'!AA184</f>
        <v>199.84458379859308</v>
      </c>
      <c r="AI56" s="137">
        <f>'Non-Energy Use'!AB184</f>
        <v>205.26301162858354</v>
      </c>
      <c r="AJ56" s="137">
        <f>'Non-Energy Use'!AC184</f>
        <v>205.19574867887579</v>
      </c>
      <c r="AK56" s="137">
        <f>'Non-Energy Use'!AD184</f>
        <v>213.35685106132701</v>
      </c>
      <c r="AL56" s="137">
        <f>'Non-Energy Use'!AE184</f>
        <v>217.09259180939193</v>
      </c>
      <c r="AM56" s="137">
        <f>'Non-Energy Use'!AF184</f>
        <v>218.57450635842568</v>
      </c>
      <c r="AN56" s="137">
        <f>'Non-Energy Use'!AG184</f>
        <v>222.20851955837605</v>
      </c>
      <c r="AO56" s="137">
        <f>'Non-Energy Use'!AH184</f>
        <v>227.29721402226355</v>
      </c>
      <c r="AP56" s="137">
        <f>'Non-Energy Use'!AI184</f>
        <v>230.01722034857136</v>
      </c>
      <c r="AQ56" s="137">
        <f>'Non-Energy Use'!AJ184</f>
        <v>232.59734080538604</v>
      </c>
      <c r="AR56" s="137">
        <f>'Non-Energy Use'!AK184</f>
        <v>235.72543452140349</v>
      </c>
      <c r="AS56" s="63">
        <f>(AR56-L56)/L56</f>
        <v>0.2289749670772567</v>
      </c>
    </row>
    <row r="57" spans="2:45" ht="15.6">
      <c r="B57" s="1240"/>
      <c r="C57" s="1240"/>
      <c r="D57" s="1240"/>
      <c r="E57" s="1240"/>
      <c r="F57" s="1240"/>
      <c r="G57" s="1124"/>
      <c r="H57" s="1124"/>
      <c r="J57" s="119"/>
      <c r="K57" s="1" t="s">
        <v>1445</v>
      </c>
      <c r="L57" s="17">
        <f>'Non-Energy Use'!E201</f>
        <v>1.1966421368507829</v>
      </c>
      <c r="M57" s="17">
        <f>'Non-Energy Use'!F201</f>
        <v>1.0705187752679306</v>
      </c>
      <c r="N57" s="17">
        <f>'Non-Energy Use'!G201</f>
        <v>1.0914396153536678</v>
      </c>
      <c r="O57" s="17">
        <f>'Non-Energy Use'!H201</f>
        <v>1.1113677863940639</v>
      </c>
      <c r="P57" s="17">
        <f>'Non-Energy Use'!I201</f>
        <v>1.1615995597295956</v>
      </c>
      <c r="Q57" s="17">
        <f>'Non-Energy Use'!J201</f>
        <v>1.1416577904830996</v>
      </c>
      <c r="R57" s="17">
        <f>'Non-Energy Use'!K201</f>
        <v>1.1079614357658696</v>
      </c>
      <c r="S57" s="17">
        <f>'Non-Energy Use'!L201</f>
        <v>1.1704383936949707</v>
      </c>
      <c r="T57" s="17">
        <f>'Non-Energy Use'!M201</f>
        <v>1.2252799588985981</v>
      </c>
      <c r="U57" s="17">
        <f>'Non-Energy Use'!N201</f>
        <v>1.2380962681483922</v>
      </c>
      <c r="V57" s="17">
        <f>'Non-Energy Use'!O201</f>
        <v>1.219527917718054</v>
      </c>
      <c r="W57" s="17">
        <f>'Non-Energy Use'!P201</f>
        <v>1.1173577961813679</v>
      </c>
      <c r="X57" s="17">
        <f>'Non-Energy Use'!Q201</f>
        <v>1.1041199425424564</v>
      </c>
      <c r="Y57" s="17">
        <f>'Non-Energy Use'!R201</f>
        <v>1.0207765373520195</v>
      </c>
      <c r="Z57" s="17">
        <f>'Non-Energy Use'!S201</f>
        <v>1.0341571721549874</v>
      </c>
      <c r="AA57" s="17">
        <f>'Non-Energy Use'!T201</f>
        <v>1.0287518852300079</v>
      </c>
      <c r="AB57" s="17">
        <f>'Non-Energy Use'!U201</f>
        <v>1.0022829770552346</v>
      </c>
      <c r="AC57" s="17">
        <f>'Non-Energy Use'!V201</f>
        <v>1.0350342564484747</v>
      </c>
      <c r="AD57" s="17">
        <f>'Non-Energy Use'!W201</f>
        <v>0.96091723409727936</v>
      </c>
      <c r="AE57" s="17">
        <f>'Non-Energy Use'!X201</f>
        <v>0.86392802908491328</v>
      </c>
      <c r="AF57" s="17">
        <f>'Non-Energy Use'!Y201</f>
        <v>1.0523175764023081</v>
      </c>
      <c r="AG57" s="17">
        <f>'Non-Energy Use'!Z201</f>
        <v>1.008796517777411</v>
      </c>
      <c r="AH57" s="17">
        <f>'Non-Energy Use'!AA201</f>
        <v>0.92065294583347024</v>
      </c>
      <c r="AI57" s="17">
        <f>'Non-Energy Use'!AB201</f>
        <v>0.97472621239241519</v>
      </c>
      <c r="AJ57" s="17">
        <f>'Non-Energy Use'!AC201</f>
        <v>1.0155208306941466</v>
      </c>
      <c r="AK57" s="17">
        <f>'Non-Energy Use'!AD201</f>
        <v>1.1069687667205275</v>
      </c>
      <c r="AL57" s="17">
        <f>'Non-Energy Use'!AE201</f>
        <v>1.0494483549150861</v>
      </c>
      <c r="AM57" s="17">
        <f>'Non-Energy Use'!AF201</f>
        <v>0.96535704838911762</v>
      </c>
      <c r="AN57" s="17">
        <f>'Non-Energy Use'!AG201</f>
        <v>0.93138193044682571</v>
      </c>
      <c r="AO57" s="17">
        <f>'Non-Energy Use'!AH201</f>
        <v>0.89291940449134355</v>
      </c>
      <c r="AP57" s="17">
        <f>'Non-Energy Use'!AI201</f>
        <v>0.78607829915910932</v>
      </c>
      <c r="AQ57" s="17">
        <f>'Non-Energy Use'!AJ201</f>
        <v>0.80935162890024692</v>
      </c>
      <c r="AR57" s="17">
        <f>'Non-Energy Use'!AK201</f>
        <v>0.85251233506347868</v>
      </c>
    </row>
    <row r="58" spans="2:45" ht="15.6">
      <c r="B58" s="45"/>
      <c r="C58" s="1124"/>
      <c r="D58" s="1124"/>
      <c r="E58" s="1124"/>
      <c r="F58" s="1124"/>
      <c r="G58" s="1124"/>
      <c r="H58" s="1124"/>
      <c r="I58" s="37"/>
      <c r="J58" s="119"/>
      <c r="K58" s="1" t="s">
        <v>1489</v>
      </c>
      <c r="L58" s="17">
        <f>'Non-Energy Use'!E203</f>
        <v>0.37228242648097964</v>
      </c>
      <c r="M58" s="17">
        <f>'Non-Energy Use'!F203</f>
        <v>0.47189119832136273</v>
      </c>
      <c r="N58" s="17">
        <f>'Non-Energy Use'!G203</f>
        <v>0.2601688492021097</v>
      </c>
      <c r="O58" s="17">
        <f>'Non-Energy Use'!H203</f>
        <v>0.2838082222026978</v>
      </c>
      <c r="P58" s="17">
        <f>'Non-Energy Use'!I203</f>
        <v>0.22181477509568487</v>
      </c>
      <c r="Q58" s="17">
        <f>'Non-Energy Use'!J203</f>
        <v>0.40549288258341731</v>
      </c>
      <c r="R58" s="17">
        <f>'Non-Energy Use'!K203</f>
        <v>0.53265284622514353</v>
      </c>
      <c r="S58" s="17">
        <f>'Non-Energy Use'!L203</f>
        <v>0.56631207333130007</v>
      </c>
      <c r="T58" s="17">
        <f>'Non-Energy Use'!M203</f>
        <v>0.56107375043100705</v>
      </c>
      <c r="U58" s="17">
        <f>'Non-Energy Use'!N203</f>
        <v>0.9910550438657314</v>
      </c>
      <c r="V58" s="17">
        <f>'Non-Energy Use'!O203</f>
        <v>1.0310537422137087</v>
      </c>
      <c r="W58" s="17">
        <f>'Non-Energy Use'!P203</f>
        <v>0.62575472376732899</v>
      </c>
      <c r="X58" s="17">
        <f>'Non-Energy Use'!Q203</f>
        <v>1.026750089719358</v>
      </c>
      <c r="Y58" s="17">
        <f>'Non-Energy Use'!R203</f>
        <v>0.88197477351384035</v>
      </c>
      <c r="Z58" s="17">
        <f>'Non-Energy Use'!S203</f>
        <v>0.82884251839062961</v>
      </c>
      <c r="AA58" s="17">
        <f>'Non-Energy Use'!T203</f>
        <v>0.84036974260698649</v>
      </c>
      <c r="AB58" s="17">
        <f>'Non-Energy Use'!U203</f>
        <v>0.71945999656814408</v>
      </c>
      <c r="AC58" s="17">
        <f>'Non-Energy Use'!V203</f>
        <v>0.81068641469201563</v>
      </c>
      <c r="AD58" s="17">
        <f>'Non-Energy Use'!W203</f>
        <v>0.57071260951783664</v>
      </c>
      <c r="AE58" s="17">
        <f>'Non-Energy Use'!X203</f>
        <v>0.29532346516129115</v>
      </c>
      <c r="AF58" s="17">
        <f>'Non-Energy Use'!Y203</f>
        <v>0.20050446456119708</v>
      </c>
      <c r="AG58" s="17">
        <f>'Non-Energy Use'!Z203</f>
        <v>0.10651060053421096</v>
      </c>
      <c r="AH58" s="17">
        <f>'Non-Energy Use'!AA203</f>
        <v>0.12865854379698244</v>
      </c>
      <c r="AI58" s="17">
        <f>'Non-Energy Use'!AB203</f>
        <v>7.6701198391395997E-2</v>
      </c>
      <c r="AJ58" s="17">
        <f>'Non-Energy Use'!AC203</f>
        <v>7.756910275859448E-2</v>
      </c>
      <c r="AK58" s="17">
        <f>'Non-Energy Use'!AD203</f>
        <v>7.533457330653974E-2</v>
      </c>
      <c r="AL58" s="17">
        <f>'Non-Energy Use'!AE203</f>
        <v>7.6533891413794741E-2</v>
      </c>
      <c r="AM58" s="17">
        <f>'Non-Energy Use'!AF203</f>
        <v>2.504489189558742E-2</v>
      </c>
      <c r="AN58" s="17">
        <f>'Non-Energy Use'!AG203</f>
        <v>2.5657791402428649E-2</v>
      </c>
      <c r="AO58" s="17">
        <f>'Non-Energy Use'!AH203</f>
        <v>2.6155957873061231E-2</v>
      </c>
      <c r="AP58" s="17">
        <f>'Non-Energy Use'!AI203</f>
        <v>7.1055425267999971E-3</v>
      </c>
      <c r="AQ58" s="17">
        <f>'Non-Energy Use'!AJ203</f>
        <v>7.1097370577999971E-3</v>
      </c>
      <c r="AR58" s="17">
        <f>'Non-Energy Use'!AK203</f>
        <v>7.1097370577999971E-3</v>
      </c>
    </row>
    <row r="59" spans="2:45" ht="15.6">
      <c r="B59" s="1124"/>
      <c r="C59" s="1124"/>
      <c r="D59" s="1124"/>
      <c r="E59" s="1124"/>
      <c r="F59" s="1124"/>
      <c r="G59" s="1124"/>
      <c r="H59" s="1124"/>
      <c r="I59" s="37"/>
      <c r="J59" s="119"/>
      <c r="K59" s="138" t="s">
        <v>1959</v>
      </c>
      <c r="L59" s="139">
        <f>SUM(L56:L58)</f>
        <v>193.37546321236931</v>
      </c>
      <c r="M59" s="139">
        <f>SUM(M56:M58)</f>
        <v>187.90245559444199</v>
      </c>
      <c r="N59" s="139">
        <f>SUM(N56:N58)</f>
        <v>196.9977049633103</v>
      </c>
      <c r="O59" s="139">
        <f>SUM(O56:O58)</f>
        <v>201.68110445448588</v>
      </c>
      <c r="P59" s="139">
        <f>SUM(P56:P58)</f>
        <v>212.15800886317169</v>
      </c>
      <c r="Q59" s="139">
        <f t="shared" ref="Q59:AD59" si="29">SUM(Q56:Q58)</f>
        <v>213.54258245997386</v>
      </c>
      <c r="R59" s="139">
        <f t="shared" si="29"/>
        <v>221.21917557646563</v>
      </c>
      <c r="S59" s="139">
        <f t="shared" si="29"/>
        <v>225.6984066675825</v>
      </c>
      <c r="T59" s="139">
        <f t="shared" si="29"/>
        <v>233.13459104539012</v>
      </c>
      <c r="U59" s="139">
        <f t="shared" si="29"/>
        <v>247.5813899685875</v>
      </c>
      <c r="V59" s="139">
        <f t="shared" si="29"/>
        <v>234.65714168283878</v>
      </c>
      <c r="W59" s="139">
        <f t="shared" si="29"/>
        <v>225.63358137651335</v>
      </c>
      <c r="X59" s="139">
        <f t="shared" si="29"/>
        <v>229.62919165976933</v>
      </c>
      <c r="Y59" s="139">
        <f t="shared" si="29"/>
        <v>221.33110458840909</v>
      </c>
      <c r="Z59" s="139">
        <f t="shared" si="29"/>
        <v>239.0594022069011</v>
      </c>
      <c r="AA59" s="139">
        <f t="shared" si="29"/>
        <v>234.19068460339142</v>
      </c>
      <c r="AB59" s="139">
        <f t="shared" si="29"/>
        <v>235.39695875836972</v>
      </c>
      <c r="AC59" s="139">
        <f t="shared" si="29"/>
        <v>234.73933309971588</v>
      </c>
      <c r="AD59" s="139">
        <f t="shared" si="29"/>
        <v>210.73911052280425</v>
      </c>
      <c r="AE59" s="139">
        <f t="shared" ref="AE59:AJ59" si="30">SUM(AE56:AE58)</f>
        <v>199.72429297467622</v>
      </c>
      <c r="AF59" s="139">
        <f t="shared" si="30"/>
        <v>211.62709252002639</v>
      </c>
      <c r="AG59" s="139">
        <f t="shared" si="30"/>
        <v>208.68867393503305</v>
      </c>
      <c r="AH59" s="139">
        <f t="shared" si="30"/>
        <v>200.89389528822352</v>
      </c>
      <c r="AI59" s="139">
        <f t="shared" si="30"/>
        <v>206.31443903936736</v>
      </c>
      <c r="AJ59" s="139">
        <f t="shared" si="30"/>
        <v>206.28883861232853</v>
      </c>
      <c r="AK59" s="139">
        <f>SUM(AK56:AK58)</f>
        <v>214.5391544013541</v>
      </c>
      <c r="AL59" s="139">
        <f>SUM(AL56:AL58)</f>
        <v>218.21857405572081</v>
      </c>
      <c r="AM59" s="139">
        <f>SUM(AM56:AM58)</f>
        <v>219.56490829871038</v>
      </c>
      <c r="AN59" s="139">
        <f t="shared" ref="AN59:AO59" si="31">SUM(AN56:AN58)</f>
        <v>223.16555928022532</v>
      </c>
      <c r="AO59" s="139">
        <f t="shared" si="31"/>
        <v>228.21628938462797</v>
      </c>
      <c r="AP59" s="139">
        <f t="shared" ref="AP59:AQ59" si="32">SUM(AP56:AP58)</f>
        <v>230.81040419025726</v>
      </c>
      <c r="AQ59" s="139">
        <f t="shared" si="32"/>
        <v>233.41380217134409</v>
      </c>
      <c r="AR59" s="139">
        <f t="shared" ref="AR59" si="33">SUM(AR56:AR58)</f>
        <v>236.58505659352474</v>
      </c>
    </row>
    <row r="60" spans="2:45">
      <c r="B60" s="45"/>
      <c r="I60" s="37"/>
      <c r="J60" s="119"/>
      <c r="L60" s="17"/>
      <c r="M60" s="17"/>
      <c r="N60" s="17"/>
      <c r="O60" s="17"/>
      <c r="P60" s="17"/>
      <c r="Q60" s="17"/>
      <c r="R60" s="17"/>
      <c r="S60" s="17"/>
      <c r="T60" s="17"/>
      <c r="U60" s="17"/>
      <c r="V60" s="17"/>
      <c r="W60" s="17"/>
      <c r="X60" s="17"/>
      <c r="Y60" s="17"/>
      <c r="Z60" s="17"/>
      <c r="AD60" s="17"/>
      <c r="AE60" s="17"/>
    </row>
    <row r="61" spans="2:45" ht="15">
      <c r="H61" s="88"/>
      <c r="I61" s="88"/>
      <c r="J61" s="127"/>
      <c r="K61" s="1" t="s">
        <v>1960</v>
      </c>
    </row>
    <row r="62" spans="2:45">
      <c r="J62" s="127"/>
      <c r="K62" s="4" t="s">
        <v>1958</v>
      </c>
      <c r="L62" s="83">
        <v>1990</v>
      </c>
      <c r="M62" s="83">
        <v>1991</v>
      </c>
      <c r="N62" s="83">
        <v>1992</v>
      </c>
      <c r="O62" s="83">
        <v>1993</v>
      </c>
      <c r="P62" s="83">
        <v>1994</v>
      </c>
      <c r="Q62" s="83">
        <v>1995</v>
      </c>
      <c r="R62" s="83">
        <v>1996</v>
      </c>
      <c r="S62" s="83">
        <v>1997</v>
      </c>
      <c r="T62" s="83">
        <v>1998</v>
      </c>
      <c r="U62" s="83">
        <v>1999</v>
      </c>
      <c r="V62" s="83">
        <v>2000</v>
      </c>
      <c r="W62" s="83">
        <v>2001</v>
      </c>
      <c r="X62" s="83">
        <v>2002</v>
      </c>
      <c r="Y62" s="83">
        <v>2003</v>
      </c>
      <c r="Z62" s="83">
        <v>2004</v>
      </c>
      <c r="AA62" s="83">
        <v>2005</v>
      </c>
      <c r="AB62" s="83">
        <v>2006</v>
      </c>
      <c r="AC62" s="83">
        <v>2007</v>
      </c>
      <c r="AD62" s="83">
        <v>2008</v>
      </c>
      <c r="AE62" s="83">
        <v>2009</v>
      </c>
      <c r="AF62" s="83">
        <v>2010</v>
      </c>
      <c r="AG62" s="83">
        <v>2011</v>
      </c>
      <c r="AH62" s="83">
        <v>2012</v>
      </c>
      <c r="AI62" s="83">
        <v>2013</v>
      </c>
      <c r="AJ62" s="83">
        <v>2014</v>
      </c>
      <c r="AK62" s="83">
        <v>2015</v>
      </c>
      <c r="AL62" s="83">
        <v>2016</v>
      </c>
      <c r="AM62" s="83">
        <v>2017</v>
      </c>
      <c r="AN62" s="83">
        <v>2018</v>
      </c>
      <c r="AO62" s="83">
        <v>2019</v>
      </c>
      <c r="AP62" s="83">
        <v>2020</v>
      </c>
      <c r="AQ62" s="83">
        <v>2021</v>
      </c>
      <c r="AR62" s="83">
        <v>2022</v>
      </c>
    </row>
    <row r="63" spans="2:45">
      <c r="J63" s="127"/>
      <c r="K63" s="1" t="s">
        <v>1961</v>
      </c>
      <c r="L63" s="17">
        <f>'International Bunker Fuels'!D16</f>
        <v>38.205227775598104</v>
      </c>
      <c r="M63" s="17">
        <f>'International Bunker Fuels'!E16</f>
        <v>46.50944508724568</v>
      </c>
      <c r="N63" s="17">
        <f>'International Bunker Fuels'!F16</f>
        <v>46.908663670833413</v>
      </c>
      <c r="O63" s="17">
        <f>'International Bunker Fuels'!G16</f>
        <v>47.025345411631029</v>
      </c>
      <c r="P63" s="17">
        <f>'International Bunker Fuels'!H16</f>
        <v>48.465030873013127</v>
      </c>
      <c r="Q63" s="17">
        <f>'International Bunker Fuels'!I16</f>
        <v>50.020775922835128</v>
      </c>
      <c r="R63" s="17">
        <f>'International Bunker Fuels'!J16</f>
        <v>51.140649946253539</v>
      </c>
      <c r="S63" s="17">
        <f>'International Bunker Fuels'!K16</f>
        <v>54.587638934182706</v>
      </c>
      <c r="T63" s="17">
        <f>'International Bunker Fuels'!L16</f>
        <v>54.184142272283431</v>
      </c>
      <c r="U63" s="17">
        <f>'International Bunker Fuels'!M16</f>
        <v>57.657897683101496</v>
      </c>
      <c r="V63" s="17">
        <f>'International Bunker Fuels'!N16</f>
        <v>62.128568401865579</v>
      </c>
      <c r="W63" s="17">
        <f>'International Bunker Fuels'!O16</f>
        <v>56.492685979066238</v>
      </c>
      <c r="X63" s="17">
        <f>'International Bunker Fuels'!P16</f>
        <v>54.72583705289378</v>
      </c>
      <c r="Y63" s="17">
        <f>'International Bunker Fuels'!Q16</f>
        <v>55.294081052978434</v>
      </c>
      <c r="Z63" s="17">
        <f>'International Bunker Fuels'!R16</f>
        <v>56.342164226958012</v>
      </c>
      <c r="AA63" s="17">
        <f>'International Bunker Fuels'!S16</f>
        <v>60.220980376771422</v>
      </c>
      <c r="AB63" s="17">
        <f>'International Bunker Fuels'!T16</f>
        <v>60.36624039029023</v>
      </c>
      <c r="AC63" s="17">
        <f>'International Bunker Fuels'!U16</f>
        <v>61.574300430789435</v>
      </c>
      <c r="AD63" s="17">
        <f>'International Bunker Fuels'!V16</f>
        <v>56.225577547909261</v>
      </c>
      <c r="AE63" s="17">
        <f>'International Bunker Fuels'!W16</f>
        <v>52.860915996122117</v>
      </c>
      <c r="AF63" s="17">
        <f>'International Bunker Fuels'!X16</f>
        <v>61.043245465497669</v>
      </c>
      <c r="AG63" s="17">
        <f>'International Bunker Fuels'!Y16</f>
        <v>64.855900877315491</v>
      </c>
      <c r="AH63" s="17">
        <f>'International Bunker Fuels'!Z16</f>
        <v>64.590426911887349</v>
      </c>
      <c r="AI63" s="17">
        <f>'International Bunker Fuels'!AA16</f>
        <v>65.724412671670066</v>
      </c>
      <c r="AJ63" s="17">
        <f>'International Bunker Fuels'!AB16</f>
        <v>69.679313111868836</v>
      </c>
      <c r="AK63" s="17">
        <f>'International Bunker Fuels'!AC16</f>
        <v>72.012679590859733</v>
      </c>
      <c r="AL63" s="17">
        <f>'International Bunker Fuels'!AD16</f>
        <v>74.128329489551533</v>
      </c>
      <c r="AM63" s="17">
        <f>'International Bunker Fuels'!AE16</f>
        <v>77.76364538997727</v>
      </c>
      <c r="AN63" s="17">
        <f>'International Bunker Fuels'!AF16</f>
        <v>82.953438141961726</v>
      </c>
      <c r="AO63" s="17">
        <f>'International Bunker Fuels'!AG16</f>
        <v>78.280354309049784</v>
      </c>
      <c r="AP63" s="17">
        <f>'International Bunker Fuels'!AH16</f>
        <v>39.781445200509218</v>
      </c>
      <c r="AQ63" s="17">
        <f>'International Bunker Fuels'!AI16</f>
        <v>50.811636195571445</v>
      </c>
      <c r="AR63" s="17">
        <f>'International Bunker Fuels'!AJ16</f>
        <v>63.978681546244488</v>
      </c>
    </row>
    <row r="64" spans="2:45">
      <c r="J64" s="127"/>
      <c r="K64" s="98" t="s">
        <v>1962</v>
      </c>
      <c r="L64" s="99">
        <f>'International Bunker Fuels'!D17+'International Bunker Fuels'!D18</f>
        <v>65.42897352964556</v>
      </c>
      <c r="M64" s="99">
        <f>'International Bunker Fuels'!E17+'International Bunker Fuels'!E18</f>
        <v>71.230349591785085</v>
      </c>
      <c r="N64" s="99">
        <f>'International Bunker Fuels'!F17+'International Bunker Fuels'!F18</f>
        <v>61.093618705937743</v>
      </c>
      <c r="O64" s="99">
        <f>'International Bunker Fuels'!G17+'International Bunker Fuels'!G18</f>
        <v>50.939301549945938</v>
      </c>
      <c r="P64" s="99">
        <f>'International Bunker Fuels'!H17+'International Bunker Fuels'!H18</f>
        <v>48.34693847238924</v>
      </c>
      <c r="Q64" s="99">
        <f>'International Bunker Fuels'!I17+'International Bunker Fuels'!I18</f>
        <v>48.588643198808683</v>
      </c>
      <c r="R64" s="99">
        <f>'International Bunker Fuels'!J17+'International Bunker Fuels'!J18</f>
        <v>48.72063316653054</v>
      </c>
      <c r="S64" s="99">
        <f>'International Bunker Fuels'!K17+'International Bunker Fuels'!K18</f>
        <v>52.475736476476818</v>
      </c>
      <c r="T64" s="99">
        <f>'International Bunker Fuels'!L17+'International Bunker Fuels'!L18</f>
        <v>56.410251146264343</v>
      </c>
      <c r="U64" s="99">
        <f>'International Bunker Fuels'!M17+'International Bunker Fuels'!M18</f>
        <v>45.175895008359021</v>
      </c>
      <c r="V64" s="99">
        <f>'International Bunker Fuels'!N17+'International Bunker Fuels'!N18</f>
        <v>39.766122382912073</v>
      </c>
      <c r="W64" s="99">
        <f>'International Bunker Fuels'!O17+'International Bunker Fuels'!O18</f>
        <v>37.397236775042025</v>
      </c>
      <c r="X64" s="99">
        <f>'International Bunker Fuels'!P17+'International Bunker Fuels'!P18</f>
        <v>39.8742513852104</v>
      </c>
      <c r="Y64" s="99">
        <f>'International Bunker Fuels'!Q17+'International Bunker Fuels'!Q18</f>
        <v>43.189734423521315</v>
      </c>
      <c r="Z64" s="99">
        <f>'International Bunker Fuels'!R17+'International Bunker Fuels'!R18</f>
        <v>52.267580180546972</v>
      </c>
      <c r="AA64" s="99">
        <f>'International Bunker Fuels'!S17+'International Bunker Fuels'!S18</f>
        <v>53.106856209771593</v>
      </c>
      <c r="AB64" s="99">
        <f>'International Bunker Fuels'!T17+'International Bunker Fuels'!T18</f>
        <v>53.902290505781828</v>
      </c>
      <c r="AC64" s="99">
        <f>'International Bunker Fuels'!U17+'International Bunker Fuels'!U18</f>
        <v>53.888505051285343</v>
      </c>
      <c r="AD64" s="99">
        <f>'International Bunker Fuels'!V17+'International Bunker Fuels'!V18</f>
        <v>58.231990436700229</v>
      </c>
      <c r="AE64" s="99">
        <f>'International Bunker Fuels'!W17+'International Bunker Fuels'!W18</f>
        <v>53.649743997147901</v>
      </c>
      <c r="AF64" s="99">
        <f>'International Bunker Fuels'!X17+'International Bunker Fuels'!X18</f>
        <v>56.057806580082591</v>
      </c>
      <c r="AG64" s="99">
        <f>'International Bunker Fuels'!Y17+'International Bunker Fuels'!Y18</f>
        <v>46.889826849951646</v>
      </c>
      <c r="AH64" s="99">
        <f>'International Bunker Fuels'!Z17+'International Bunker Fuels'!Z18</f>
        <v>41.298253550211079</v>
      </c>
      <c r="AI64" s="99">
        <f>'International Bunker Fuels'!AA17+'International Bunker Fuels'!AA18</f>
        <v>34.115910015115048</v>
      </c>
      <c r="AJ64" s="99">
        <f>'International Bunker Fuels'!AB17+'International Bunker Fuels'!AB18</f>
        <v>33.808704374913155</v>
      </c>
      <c r="AK64" s="99">
        <f>'International Bunker Fuels'!AC17+'International Bunker Fuels'!AC18</f>
        <v>38.96728621872056</v>
      </c>
      <c r="AL64" s="99">
        <f>'International Bunker Fuels'!AD17+'International Bunker Fuels'!AD18</f>
        <v>42.553818676753309</v>
      </c>
      <c r="AM64" s="99">
        <f>'International Bunker Fuels'!AE17+'International Bunker Fuels'!AE18</f>
        <v>42.428013079245396</v>
      </c>
      <c r="AN64" s="99">
        <f>'International Bunker Fuels'!AF17+'International Bunker Fuels'!AF18</f>
        <v>41.325298668071731</v>
      </c>
      <c r="AO64" s="99">
        <f>'International Bunker Fuels'!AG17+'International Bunker Fuels'!AG18</f>
        <v>35.351185483278776</v>
      </c>
      <c r="AP64" s="99">
        <f>'International Bunker Fuels'!AH17+'International Bunker Fuels'!AH18</f>
        <v>29.856976682630822</v>
      </c>
      <c r="AQ64" s="99">
        <f>'International Bunker Fuels'!AI17+'International Bunker Fuels'!AI18</f>
        <v>29.368711752896758</v>
      </c>
      <c r="AR64" s="99">
        <f>'International Bunker Fuels'!AJ17+'International Bunker Fuels'!AJ18</f>
        <v>31.594989161894084</v>
      </c>
    </row>
    <row r="65" spans="11:44">
      <c r="K65" s="4" t="s">
        <v>76</v>
      </c>
      <c r="L65" s="82">
        <f>SUM(L63:L64)</f>
        <v>103.63420130524366</v>
      </c>
      <c r="M65" s="82">
        <f>SUM(M63:M64)</f>
        <v>117.73979467903077</v>
      </c>
      <c r="N65" s="82">
        <f>SUM(N63:N64)</f>
        <v>108.00228237677115</v>
      </c>
      <c r="O65" s="82">
        <f>SUM(O63:O64)</f>
        <v>97.96464696157696</v>
      </c>
      <c r="P65" s="82">
        <f>SUM(P63:P64)</f>
        <v>96.81196934540236</v>
      </c>
      <c r="Q65" s="82">
        <f t="shared" ref="Q65:AD65" si="34">SUM(Q63:Q64)</f>
        <v>98.609419121643811</v>
      </c>
      <c r="R65" s="82">
        <f t="shared" si="34"/>
        <v>99.861283112784079</v>
      </c>
      <c r="S65" s="82">
        <f t="shared" si="34"/>
        <v>107.06337541065952</v>
      </c>
      <c r="T65" s="82">
        <f t="shared" si="34"/>
        <v>110.59439341854778</v>
      </c>
      <c r="U65" s="82">
        <f t="shared" si="34"/>
        <v>102.83379269146052</v>
      </c>
      <c r="V65" s="82">
        <f t="shared" si="34"/>
        <v>101.89469078477765</v>
      </c>
      <c r="W65" s="82">
        <f t="shared" si="34"/>
        <v>93.889922754108255</v>
      </c>
      <c r="X65" s="82">
        <f t="shared" si="34"/>
        <v>94.60008843810418</v>
      </c>
      <c r="Y65" s="82">
        <f t="shared" si="34"/>
        <v>98.483815476499757</v>
      </c>
      <c r="Z65" s="82">
        <f t="shared" si="34"/>
        <v>108.60974440750499</v>
      </c>
      <c r="AA65" s="82">
        <f t="shared" si="34"/>
        <v>113.32783658654301</v>
      </c>
      <c r="AB65" s="82">
        <f t="shared" si="34"/>
        <v>114.26853089607206</v>
      </c>
      <c r="AC65" s="82">
        <f t="shared" si="34"/>
        <v>115.46280548207477</v>
      </c>
      <c r="AD65" s="82">
        <f t="shared" si="34"/>
        <v>114.45756798460948</v>
      </c>
      <c r="AE65" s="82">
        <f t="shared" ref="AE65:AJ65" si="35">SUM(AE63:AE64)</f>
        <v>106.51065999327002</v>
      </c>
      <c r="AF65" s="82">
        <f t="shared" si="35"/>
        <v>117.10105204558026</v>
      </c>
      <c r="AG65" s="82">
        <f t="shared" si="35"/>
        <v>111.74572772726714</v>
      </c>
      <c r="AH65" s="82">
        <f t="shared" si="35"/>
        <v>105.88868046209842</v>
      </c>
      <c r="AI65" s="82">
        <f t="shared" si="35"/>
        <v>99.840322686785115</v>
      </c>
      <c r="AJ65" s="82">
        <f t="shared" si="35"/>
        <v>103.48801748678198</v>
      </c>
      <c r="AK65" s="82">
        <f>SUM(AK63:AK64)</f>
        <v>110.97996580958029</v>
      </c>
      <c r="AL65" s="82">
        <f>SUM(AL63:AL64)</f>
        <v>116.68214816630484</v>
      </c>
      <c r="AM65" s="82">
        <f>SUM(AM63:AM64)</f>
        <v>120.19165846922266</v>
      </c>
      <c r="AN65" s="82">
        <f t="shared" ref="AN65:AO65" si="36">SUM(AN63:AN64)</f>
        <v>124.27873681003345</v>
      </c>
      <c r="AO65" s="82">
        <f t="shared" si="36"/>
        <v>113.63153979232857</v>
      </c>
      <c r="AP65" s="82">
        <f t="shared" ref="AP65:AQ65" si="37">SUM(AP63:AP64)</f>
        <v>69.63842188314004</v>
      </c>
      <c r="AQ65" s="82">
        <f t="shared" si="37"/>
        <v>80.18034794846821</v>
      </c>
      <c r="AR65" s="82">
        <f t="shared" ref="AR65" si="38">SUM(AR63:AR64)</f>
        <v>95.573670708138565</v>
      </c>
    </row>
    <row r="69" spans="11:44" ht="15">
      <c r="K69" s="1" t="s">
        <v>1963</v>
      </c>
    </row>
    <row r="70" spans="11:44">
      <c r="K70" s="4" t="str">
        <f>'Summary Table'!B137</f>
        <v>Sector/Fuel Type</v>
      </c>
      <c r="L70" s="23">
        <f>'Summary Table'!C137</f>
        <v>1990</v>
      </c>
      <c r="M70" s="23">
        <f>'Summary Table'!D137</f>
        <v>1991</v>
      </c>
      <c r="N70" s="23">
        <f>'Summary Table'!E137</f>
        <v>1992</v>
      </c>
      <c r="O70" s="23">
        <f>'Summary Table'!F137</f>
        <v>1993</v>
      </c>
      <c r="P70" s="23">
        <f>'Summary Table'!G137</f>
        <v>1994</v>
      </c>
      <c r="Q70" s="23">
        <f>'Summary Table'!H137</f>
        <v>1995</v>
      </c>
      <c r="R70" s="23">
        <f>'Summary Table'!I137</f>
        <v>1996</v>
      </c>
      <c r="S70" s="23">
        <f>'Summary Table'!J137</f>
        <v>1997</v>
      </c>
      <c r="T70" s="23">
        <f>'Summary Table'!K137</f>
        <v>1998</v>
      </c>
      <c r="U70" s="23">
        <f>'Summary Table'!L137</f>
        <v>1999</v>
      </c>
      <c r="V70" s="23">
        <f>'Summary Table'!M137</f>
        <v>2000</v>
      </c>
      <c r="W70" s="23">
        <f>'Summary Table'!N137</f>
        <v>2001</v>
      </c>
      <c r="X70" s="23">
        <f>'Summary Table'!O137</f>
        <v>2002</v>
      </c>
      <c r="Y70" s="23">
        <f>'Summary Table'!P137</f>
        <v>2003</v>
      </c>
      <c r="Z70" s="23">
        <f>'Summary Table'!Q137</f>
        <v>2004</v>
      </c>
      <c r="AA70" s="23">
        <f>'Summary Table'!R137</f>
        <v>2005</v>
      </c>
      <c r="AB70" s="23">
        <f>'Summary Table'!S137</f>
        <v>2006</v>
      </c>
      <c r="AC70" s="23">
        <f>'Summary Table'!T137</f>
        <v>2007</v>
      </c>
      <c r="AD70" s="23">
        <f>'Summary Table'!U137</f>
        <v>2008</v>
      </c>
      <c r="AE70" s="23">
        <f>'Summary Table'!V137</f>
        <v>2009</v>
      </c>
      <c r="AF70" s="23">
        <f>'Summary Table'!W137</f>
        <v>2010</v>
      </c>
      <c r="AG70" s="23">
        <f>'Summary Table'!X137</f>
        <v>2011</v>
      </c>
      <c r="AH70" s="23">
        <f>'Summary Table'!Y137</f>
        <v>2012</v>
      </c>
      <c r="AI70" s="23">
        <f>'Summary Table'!Z137</f>
        <v>2013</v>
      </c>
      <c r="AJ70" s="23">
        <f>'Summary Table'!AA137</f>
        <v>2014</v>
      </c>
      <c r="AK70" s="23">
        <f>'Summary Table'!AB137</f>
        <v>2015</v>
      </c>
      <c r="AL70" s="83">
        <v>2016</v>
      </c>
      <c r="AM70" s="83">
        <v>2017</v>
      </c>
      <c r="AN70" s="83">
        <v>2018</v>
      </c>
      <c r="AO70" s="83">
        <v>2019</v>
      </c>
      <c r="AP70" s="83">
        <v>2020</v>
      </c>
      <c r="AQ70" s="83">
        <v>2021</v>
      </c>
      <c r="AR70" s="83">
        <v>2022</v>
      </c>
    </row>
    <row r="71" spans="11:44">
      <c r="K71" s="5" t="str">
        <f>'Summary Table'!B138</f>
        <v>Residential</v>
      </c>
      <c r="L71" s="89">
        <f>'Summary Table'!C103-'Summary Table'!$C103</f>
        <v>0</v>
      </c>
      <c r="M71" s="89">
        <f>'Summary Table'!D103-'Summary Table'!$C103</f>
        <v>9.1427867705930339</v>
      </c>
      <c r="N71" s="89">
        <f>'Summary Table'!E103-'Summary Table'!$C103</f>
        <v>15.400193010079818</v>
      </c>
      <c r="O71" s="89">
        <f>'Summary Table'!F103-'Summary Table'!$C103</f>
        <v>27.51414154080652</v>
      </c>
      <c r="P71" s="89">
        <f>'Summary Table'!G103-'Summary Table'!$C103</f>
        <v>18.47960093202795</v>
      </c>
      <c r="Q71" s="89">
        <f>'Summary Table'!H103-'Summary Table'!$C103</f>
        <v>14.565954978274306</v>
      </c>
      <c r="R71" s="89">
        <f>'Summary Table'!I103-'Summary Table'!$C103</f>
        <v>44.906805182601602</v>
      </c>
      <c r="S71" s="89">
        <f>'Summary Table'!J103-'Summary Table'!$C103</f>
        <v>26.465731906930387</v>
      </c>
      <c r="T71" s="89">
        <f>'Summary Table'!K103-'Summary Table'!$C103</f>
        <v>-6.9574616918291667</v>
      </c>
      <c r="U71" s="89">
        <f>'Summary Table'!L103-'Summary Table'!$C103</f>
        <v>12.339162917307192</v>
      </c>
      <c r="V71" s="89">
        <f>'Summary Table'!M103-'Summary Table'!$C103</f>
        <v>33.135313439856134</v>
      </c>
      <c r="W71" s="89">
        <f>'Summary Table'!N103-'Summary Table'!$C103</f>
        <v>24.452526479754056</v>
      </c>
      <c r="X71" s="89">
        <f>'Summary Table'!O103-'Summary Table'!$C103</f>
        <v>22.461440132313669</v>
      </c>
      <c r="Y71" s="89">
        <f>'Summary Table'!P103-'Summary Table'!$C103</f>
        <v>41.511735603778391</v>
      </c>
      <c r="Z71" s="89">
        <f>'Summary Table'!Q103-'Summary Table'!$C103</f>
        <v>30.402168287219695</v>
      </c>
      <c r="AA71" s="89">
        <f>'Summary Table'!R103-'Summary Table'!$C103</f>
        <v>20.04168252636407</v>
      </c>
      <c r="AB71" s="89">
        <f>'Summary Table'!S103-'Summary Table'!$C103</f>
        <v>-17.585525574809822</v>
      </c>
      <c r="AC71" s="89">
        <f>'Summary Table'!T103-'Summary Table'!$C103</f>
        <v>1.5790037482747152</v>
      </c>
      <c r="AD71" s="89">
        <f>'Summary Table'!U103-'Summary Table'!$C103</f>
        <v>8.4529822487687625</v>
      </c>
      <c r="AE71" s="89">
        <f>'Summary Table'!V103-'Summary Table'!$C103</f>
        <v>-2.6399110303181601</v>
      </c>
      <c r="AF71" s="89">
        <f>'Summary Table'!W103-'Summary Table'!$C103</f>
        <v>-4.0722269114622236</v>
      </c>
      <c r="AG71" s="89">
        <f>'Summary Table'!X103-'Summary Table'!$C103</f>
        <v>-12.234691156491749</v>
      </c>
      <c r="AH71" s="89">
        <f>'Summary Table'!Y103-'Summary Table'!$C103</f>
        <v>-56.035987083703617</v>
      </c>
      <c r="AI71" s="89">
        <f>'Summary Table'!Z103-'Summary Table'!$C103</f>
        <v>-9.3027840982278462</v>
      </c>
      <c r="AJ71" s="89">
        <f>'Summary Table'!AA103-'Summary Table'!$C103</f>
        <v>8.1662752153393399</v>
      </c>
      <c r="AK71" s="89">
        <f>'Summary Table'!AB103-'Summary Table'!$C103</f>
        <v>-20.950419094106394</v>
      </c>
      <c r="AL71" s="89">
        <f>'Summary Table'!AC103-'Summary Table'!$C103</f>
        <v>-45.376423604434365</v>
      </c>
      <c r="AM71" s="89">
        <f>'Summary Table'!AD103-'Summary Table'!$C103</f>
        <v>-44.602024399823222</v>
      </c>
      <c r="AN71" s="89">
        <f>'Summary Table'!AE103-'Summary Table'!$C103</f>
        <v>0.37205182447712559</v>
      </c>
      <c r="AO71" s="89">
        <f>'Summary Table'!AF103-'Summary Table'!$C103</f>
        <v>4.3372399576450675</v>
      </c>
      <c r="AP71" s="89">
        <f>'Summary Table'!AG103-'Summary Table'!$C103</f>
        <v>-23.772592441644917</v>
      </c>
      <c r="AQ71" s="89">
        <f>'Summary Table'!AH103-'Summary Table'!$C103</f>
        <v>-20.534028751002666</v>
      </c>
      <c r="AR71" s="89">
        <f>'Summary Table'!AI103-'Summary Table'!$C103</f>
        <v>-5.4677902291962823</v>
      </c>
    </row>
    <row r="72" spans="11:44">
      <c r="K72" s="6" t="str">
        <f>'Summary Table'!B139</f>
        <v>Coal</v>
      </c>
      <c r="L72" s="90">
        <f>'Summary Table'!C104-'Summary Table'!$C104</f>
        <v>0</v>
      </c>
      <c r="M72" s="90">
        <f>'Summary Table'!D104-'Summary Table'!$C104</f>
        <v>-0.54582868473303492</v>
      </c>
      <c r="N72" s="90">
        <f>'Summary Table'!E104-'Summary Table'!$C104</f>
        <v>-0.51225703267204192</v>
      </c>
      <c r="O72" s="90">
        <f>'Summary Table'!F104-'Summary Table'!$C104</f>
        <v>-0.51794246536547295</v>
      </c>
      <c r="P72" s="90">
        <f>'Summary Table'!G104-'Summary Table'!$C104</f>
        <v>-0.99351316805789813</v>
      </c>
      <c r="Q72" s="90">
        <f>'Summary Table'!H104-'Summary Table'!$C104</f>
        <v>-1.3160234371024666</v>
      </c>
      <c r="R72" s="90">
        <f>'Summary Table'!I104-'Summary Table'!$C104</f>
        <v>-1.4051150589791126</v>
      </c>
      <c r="S72" s="90">
        <f>'Summary Table'!J104-'Summary Table'!$C104</f>
        <v>-1.4695236821041355</v>
      </c>
      <c r="T72" s="90">
        <f>'Summary Table'!K104-'Summary Table'!$C104</f>
        <v>-1.884449891643091</v>
      </c>
      <c r="U72" s="90">
        <f>'Summary Table'!L104-'Summary Table'!$C104</f>
        <v>-1.6562571733304803</v>
      </c>
      <c r="V72" s="90">
        <f>'Summary Table'!M104-'Summary Table'!$C104</f>
        <v>-1.9049383755771729</v>
      </c>
      <c r="W72" s="90">
        <f>'Summary Table'!N104-'Summary Table'!$C104</f>
        <v>-1.8468502336919888</v>
      </c>
      <c r="X72" s="90">
        <f>'Summary Table'!O104-'Summary Table'!$C104</f>
        <v>-1.8216445433757824</v>
      </c>
      <c r="Y72" s="90">
        <f>'Summary Table'!P104-'Summary Table'!$C104</f>
        <v>-1.8189279692325453</v>
      </c>
      <c r="Z72" s="90">
        <f>'Summary Table'!Q104-'Summary Table'!$C104</f>
        <v>-1.9024418832516323</v>
      </c>
      <c r="AA72" s="90">
        <f>'Summary Table'!R104-'Summary Table'!$C104</f>
        <v>-2.1824399174861142</v>
      </c>
      <c r="AB72" s="90">
        <f>'Summary Table'!S104-'Summary Table'!$C104</f>
        <v>-2.3706435888287367</v>
      </c>
      <c r="AC72" s="90">
        <f>'Summary Table'!T104-'Summary Table'!$C104</f>
        <v>-2.248260378812982</v>
      </c>
      <c r="AD72" s="90">
        <f>'Summary Table'!U104-'Summary Table'!$C104</f>
        <v>-2.9876952520607118</v>
      </c>
      <c r="AE72" s="90">
        <f>'Summary Table'!V104-'Summary Table'!$C104</f>
        <v>-2.9876952520607118</v>
      </c>
      <c r="AF72" s="90">
        <f>'Summary Table'!W104-'Summary Table'!$C104</f>
        <v>-2.9876952520607118</v>
      </c>
      <c r="AG72" s="90">
        <f>'Summary Table'!X104-'Summary Table'!$C104</f>
        <v>-2.9876952520607118</v>
      </c>
      <c r="AH72" s="90">
        <f>'Summary Table'!Y104-'Summary Table'!$C104</f>
        <v>-2.9876952520607118</v>
      </c>
      <c r="AI72" s="90">
        <f>'Summary Table'!Z104-'Summary Table'!$C104</f>
        <v>-2.9876952520607118</v>
      </c>
      <c r="AJ72" s="90">
        <f>'Summary Table'!AA104-'Summary Table'!$C104</f>
        <v>-2.9876952520607118</v>
      </c>
      <c r="AK72" s="90">
        <f>'Summary Table'!AB104-'Summary Table'!$C104</f>
        <v>-2.9876952520607118</v>
      </c>
      <c r="AL72" s="90">
        <f>'Summary Table'!AC104-'Summary Table'!$C104</f>
        <v>-2.9876952520607118</v>
      </c>
      <c r="AM72" s="90">
        <f>'Summary Table'!AD104-'Summary Table'!$C104</f>
        <v>-2.9876952520607118</v>
      </c>
      <c r="AN72" s="90">
        <f>'Summary Table'!AE104-'Summary Table'!$C104</f>
        <v>-2.9876952520607118</v>
      </c>
      <c r="AO72" s="90">
        <f>'Summary Table'!AF104-'Summary Table'!$C104</f>
        <v>-2.9876952520607118</v>
      </c>
      <c r="AP72" s="90">
        <f>'Summary Table'!AG104-'Summary Table'!$C104</f>
        <v>-2.9876952520607118</v>
      </c>
      <c r="AQ72" s="90">
        <f>'Summary Table'!AH104-'Summary Table'!$C104</f>
        <v>-2.9876952520607118</v>
      </c>
      <c r="AR72" s="90">
        <f>'Summary Table'!AI104-'Summary Table'!$C104</f>
        <v>-2.9876952520607118</v>
      </c>
    </row>
    <row r="73" spans="11:44">
      <c r="K73" s="6" t="str">
        <f>'Summary Table'!B140</f>
        <v>Natural Gas</v>
      </c>
      <c r="L73" s="90">
        <f>'Summary Table'!C105-'Summary Table'!$C105</f>
        <v>0</v>
      </c>
      <c r="M73" s="90">
        <f>'Summary Table'!D105-'Summary Table'!$C105</f>
        <v>9.5188576976540276</v>
      </c>
      <c r="N73" s="90">
        <f>'Summary Table'!E105-'Summary Table'!$C105</f>
        <v>16.79746471283832</v>
      </c>
      <c r="O73" s="90">
        <f>'Summary Table'!F105-'Summary Table'!$C105</f>
        <v>30.431812984135632</v>
      </c>
      <c r="P73" s="90">
        <f>'Summary Table'!G105-'Summary Table'!$C105</f>
        <v>25.146046278339298</v>
      </c>
      <c r="Q73" s="90">
        <f>'Summary Table'!H105-'Summary Table'!$C105</f>
        <v>24.968195337943911</v>
      </c>
      <c r="R73" s="90">
        <f>'Summary Table'!I105-'Summary Table'!$C105</f>
        <v>46.194441761664535</v>
      </c>
      <c r="S73" s="90">
        <f>'Summary Table'!J105-'Summary Table'!$C105</f>
        <v>32.326309196921358</v>
      </c>
      <c r="T73" s="90">
        <f>'Summary Table'!K105-'Summary Table'!$C105</f>
        <v>8.3421654368511611</v>
      </c>
      <c r="U73" s="90">
        <f>'Summary Table'!L105-'Summary Table'!$C105</f>
        <v>18.581702201023546</v>
      </c>
      <c r="V73" s="90">
        <f>'Summary Table'!M105-'Summary Table'!$C105</f>
        <v>33.008386094996609</v>
      </c>
      <c r="W73" s="90">
        <f>'Summary Table'!N105-'Summary Table'!$C105</f>
        <v>21.391451620640822</v>
      </c>
      <c r="X73" s="90">
        <f>'Summary Table'!O105-'Summary Table'!$C105</f>
        <v>27.255671908387086</v>
      </c>
      <c r="Y73" s="90">
        <f>'Summary Table'!P105-'Summary Table'!$C105</f>
        <v>38.377835431789407</v>
      </c>
      <c r="Z73" s="90">
        <f>'Summary Table'!Q105-'Summary Table'!$C105</f>
        <v>26.381262947191232</v>
      </c>
      <c r="AA73" s="90">
        <f>'Summary Table'!R105-'Summary Table'!$C105</f>
        <v>24.431092400254528</v>
      </c>
      <c r="AB73" s="90">
        <f>'Summary Table'!S105-'Summary Table'!$C105</f>
        <v>-0.5091135436941272</v>
      </c>
      <c r="AC73" s="90">
        <f>'Summary Table'!T105-'Summary Table'!$C105</f>
        <v>18.610389699048625</v>
      </c>
      <c r="AD73" s="90">
        <f>'Summary Table'!U105-'Summary Table'!$C105</f>
        <v>27.86998229173426</v>
      </c>
      <c r="AE73" s="90">
        <f>'Summary Table'!V105-'Summary Table'!$C105</f>
        <v>21.258504885182134</v>
      </c>
      <c r="AF73" s="90">
        <f>'Summary Table'!W105-'Summary Table'!$C105</f>
        <v>21.113762855727572</v>
      </c>
      <c r="AG73" s="90">
        <f>'Summary Table'!X105-'Summary Table'!$C105</f>
        <v>17.270518161244638</v>
      </c>
      <c r="AH73" s="90">
        <f>'Summary Table'!Y105-'Summary Table'!$C105</f>
        <v>-12.696036350576435</v>
      </c>
      <c r="AI73" s="90">
        <f>'Summary Table'!Z105-'Summary Table'!$C105</f>
        <v>28.553020484084385</v>
      </c>
      <c r="AJ73" s="90">
        <f>'Summary Table'!AA105-'Summary Table'!$C105</f>
        <v>39.874092252125223</v>
      </c>
      <c r="AK73" s="90">
        <f>'Summary Table'!AB105-'Summary Table'!$C105</f>
        <v>14.926400391780078</v>
      </c>
      <c r="AL73" s="90">
        <f>'Summary Table'!AC105-'Summary Table'!$C105</f>
        <v>0.5847207598200157</v>
      </c>
      <c r="AM73" s="90">
        <f>'Summary Table'!AD105-'Summary Table'!$C105</f>
        <v>3.6885808682890797</v>
      </c>
      <c r="AN73" s="90">
        <f>'Summary Table'!AE105-'Summary Table'!$C105</f>
        <v>36.016853626451933</v>
      </c>
      <c r="AO73" s="90">
        <f>'Summary Table'!AF105-'Summary Table'!$C105</f>
        <v>37.671366565006139</v>
      </c>
      <c r="AP73" s="90">
        <f>'Summary Table'!AG105-'Summary Table'!$C105</f>
        <v>18.563839262590051</v>
      </c>
      <c r="AQ73" s="90">
        <f>'Summary Table'!AH105-'Summary Table'!$C105</f>
        <v>20.849552224373696</v>
      </c>
      <c r="AR73" s="90">
        <f>'Summary Table'!AI105-'Summary Table'!$C105</f>
        <v>34.189305710390755</v>
      </c>
    </row>
    <row r="74" spans="11:44">
      <c r="K74" s="6" t="str">
        <f>'Summary Table'!B141</f>
        <v>Petroleum</v>
      </c>
      <c r="L74" s="90">
        <f>'Summary Table'!C106-'Summary Table'!$C106</f>
        <v>0</v>
      </c>
      <c r="M74" s="90">
        <f>'Summary Table'!D106-'Summary Table'!$C106</f>
        <v>0.16975775767203061</v>
      </c>
      <c r="N74" s="90">
        <f>'Summary Table'!E106-'Summary Table'!$C106</f>
        <v>-0.88501467008644852</v>
      </c>
      <c r="O74" s="90">
        <f>'Summary Table'!F106-'Summary Table'!$C106</f>
        <v>-2.3997289779636901</v>
      </c>
      <c r="P74" s="90">
        <f>'Summary Table'!G106-'Summary Table'!$C106</f>
        <v>-5.6729321782534328</v>
      </c>
      <c r="Q74" s="90">
        <f>'Summary Table'!H106-'Summary Table'!$C106</f>
        <v>-9.0862169225671181</v>
      </c>
      <c r="R74" s="90">
        <f>'Summary Table'!I106-'Summary Table'!$C106</f>
        <v>0.1174784799162012</v>
      </c>
      <c r="S74" s="90">
        <f>'Summary Table'!J106-'Summary Table'!$C106</f>
        <v>-4.3910536078868034</v>
      </c>
      <c r="T74" s="90">
        <f>'Summary Table'!K106-'Summary Table'!$C106</f>
        <v>-13.415177237037227</v>
      </c>
      <c r="U74" s="90">
        <f>'Summary Table'!L106-'Summary Table'!$C106</f>
        <v>-4.5862821103858806</v>
      </c>
      <c r="V74" s="90">
        <f>'Summary Table'!M106-'Summary Table'!$C106</f>
        <v>2.0318657204366986</v>
      </c>
      <c r="W74" s="90">
        <f>'Summary Table'!N106-'Summary Table'!$C106</f>
        <v>4.9079250928052005</v>
      </c>
      <c r="X74" s="90">
        <f>'Summary Table'!O106-'Summary Table'!$C106</f>
        <v>-2.9725872326976059</v>
      </c>
      <c r="Y74" s="90">
        <f>'Summary Table'!P106-'Summary Table'!$C106</f>
        <v>4.9528281412215449</v>
      </c>
      <c r="Z74" s="90">
        <f>'Summary Table'!Q106-'Summary Table'!$C106</f>
        <v>5.9233472232801034</v>
      </c>
      <c r="AA74" s="90">
        <f>'Summary Table'!R106-'Summary Table'!$C106</f>
        <v>-2.2069699564043646</v>
      </c>
      <c r="AB74" s="90">
        <f>'Summary Table'!S106-'Summary Table'!$C106</f>
        <v>-14.705768442286939</v>
      </c>
      <c r="AC74" s="90">
        <f>'Summary Table'!T106-'Summary Table'!$C106</f>
        <v>-14.783125571960895</v>
      </c>
      <c r="AD74" s="90">
        <f>'Summary Table'!U106-'Summary Table'!$C106</f>
        <v>-16.42930479090478</v>
      </c>
      <c r="AE74" s="90">
        <f>'Summary Table'!V106-'Summary Table'!$C106</f>
        <v>-20.910720663439577</v>
      </c>
      <c r="AF74" s="90">
        <f>'Summary Table'!W106-'Summary Table'!$C106</f>
        <v>-22.198294515129106</v>
      </c>
      <c r="AG74" s="90">
        <f>'Summary Table'!X106-'Summary Table'!$C106</f>
        <v>-26.51751406567567</v>
      </c>
      <c r="AH74" s="90">
        <f>'Summary Table'!Y106-'Summary Table'!$C106</f>
        <v>-40.352255481066472</v>
      </c>
      <c r="AI74" s="90">
        <f>'Summary Table'!Z106-'Summary Table'!$C106</f>
        <v>-34.868109330251514</v>
      </c>
      <c r="AJ74" s="90">
        <f>'Summary Table'!AA106-'Summary Table'!$C106</f>
        <v>-28.720121784725137</v>
      </c>
      <c r="AK74" s="90">
        <f>'Summary Table'!AB106-'Summary Table'!$C106</f>
        <v>-32.889124233825783</v>
      </c>
      <c r="AL74" s="90">
        <f>'Summary Table'!AC106-'Summary Table'!$C106</f>
        <v>-42.973449112193684</v>
      </c>
      <c r="AM74" s="90">
        <f>'Summary Table'!AD106-'Summary Table'!$C106</f>
        <v>-45.302910016051605</v>
      </c>
      <c r="AN74" s="90">
        <f>'Summary Table'!AE106-'Summary Table'!$C106</f>
        <v>-32.65710654991409</v>
      </c>
      <c r="AO74" s="90">
        <f>'Summary Table'!AF106-'Summary Table'!$C106</f>
        <v>-30.346431355300339</v>
      </c>
      <c r="AP74" s="90">
        <f>'Summary Table'!AG106-'Summary Table'!$C106</f>
        <v>-39.348736452174229</v>
      </c>
      <c r="AQ74" s="90">
        <f>'Summary Table'!AH106-'Summary Table'!$C106</f>
        <v>-38.395885723315651</v>
      </c>
      <c r="AR74" s="90">
        <f>'Summary Table'!AI106-'Summary Table'!$C106</f>
        <v>-36.669400687526306</v>
      </c>
    </row>
    <row r="75" spans="11:44">
      <c r="K75" s="5" t="str">
        <f>'Summary Table'!B142</f>
        <v>Commercial</v>
      </c>
      <c r="L75" s="89">
        <f>'Summary Table'!C107-'Summary Table'!$C107</f>
        <v>0</v>
      </c>
      <c r="M75" s="89">
        <f>'Summary Table'!D107-'Summary Table'!$C107</f>
        <v>4.3676931670064789</v>
      </c>
      <c r="N75" s="89">
        <f>'Summary Table'!E107-'Summary Table'!$C107</f>
        <v>-0.25471955058927165</v>
      </c>
      <c r="O75" s="89">
        <f>'Summary Table'!F107-'Summary Table'!$C107</f>
        <v>-5.307047761330864</v>
      </c>
      <c r="P75" s="89">
        <f>'Summary Table'!G107-'Summary Table'!$C107</f>
        <v>-3.5949162239649297</v>
      </c>
      <c r="Q75" s="89">
        <f>'Summary Table'!H107-'Summary Table'!$C107</f>
        <v>-0.50543266393492559</v>
      </c>
      <c r="R75" s="89">
        <f>'Summary Table'!I107-'Summary Table'!$C107</f>
        <v>9.2657755284660652</v>
      </c>
      <c r="S75" s="89">
        <f>'Summary Table'!J107-'Summary Table'!$C107</f>
        <v>9.5263355890758135</v>
      </c>
      <c r="T75" s="89">
        <f>'Summary Table'!K107-'Summary Table'!$C107</f>
        <v>-8.1745181937733378</v>
      </c>
      <c r="U75" s="89">
        <f>'Summary Table'!L107-'Summary Table'!$C107</f>
        <v>-7.5621466557110182</v>
      </c>
      <c r="V75" s="89">
        <f>'Summary Table'!M107-'Summary Table'!$C107</f>
        <v>8.2381331558512443</v>
      </c>
      <c r="W75" s="89">
        <f>'Summary Table'!N107-'Summary Table'!$C107</f>
        <v>0.14551363543728257</v>
      </c>
      <c r="X75" s="89">
        <f>'Summary Table'!O107-'Summary Table'!$C107</f>
        <v>0.68722556221658238</v>
      </c>
      <c r="Y75" s="89">
        <f>'Summary Table'!P107-'Summary Table'!$C107</f>
        <v>11.81872886337527</v>
      </c>
      <c r="Z75" s="89">
        <f>'Summary Table'!Q107-'Summary Table'!$C107</f>
        <v>9.6373100974920476</v>
      </c>
      <c r="AA75" s="89">
        <f>'Summary Table'!R107-'Summary Table'!$C107</f>
        <v>-1.3134739757113607</v>
      </c>
      <c r="AB75" s="89">
        <f>'Summary Table'!S107-'Summary Table'!$C107</f>
        <v>-16.906052909851326</v>
      </c>
      <c r="AC75" s="89">
        <f>'Summary Table'!T107-'Summary Table'!$C107</f>
        <v>-5.7452668017037922</v>
      </c>
      <c r="AD75" s="89">
        <f>'Summary Table'!U107-'Summary Table'!$C107</f>
        <v>-1.2268082470476429</v>
      </c>
      <c r="AE75" s="89">
        <f>'Summary Table'!V107-'Summary Table'!$C107</f>
        <v>-0.58492439393839391</v>
      </c>
      <c r="AF75" s="89">
        <f>'Summary Table'!W107-'Summary Table'!$C107</f>
        <v>-4.0110233545349274</v>
      </c>
      <c r="AG75" s="89">
        <f>'Summary Table'!X107-'Summary Table'!$C107</f>
        <v>-3.6939903921883399</v>
      </c>
      <c r="AH75" s="89">
        <f>'Summary Table'!Y107-'Summary Table'!$C107</f>
        <v>-27.863411808113256</v>
      </c>
      <c r="AI75" s="89">
        <f>'Summary Table'!Z107-'Summary Table'!$C107</f>
        <v>-3.9668469903744494</v>
      </c>
      <c r="AJ75" s="89">
        <f>'Summary Table'!AA107-'Summary Table'!$C107</f>
        <v>4.2596546888703983</v>
      </c>
      <c r="AK75" s="89">
        <f>'Summary Table'!AB107-'Summary Table'!$C107</f>
        <v>16.512598546817344</v>
      </c>
      <c r="AL75" s="89">
        <f>'Summary Table'!AC107-'Summary Table'!$C107</f>
        <v>3.568182542326781</v>
      </c>
      <c r="AM75" s="89">
        <f>'Summary Table'!AD107-'Summary Table'!$C107</f>
        <v>4.1207042104320806</v>
      </c>
      <c r="AN75" s="89">
        <f>'Summary Table'!AE107-'Summary Table'!$C107</f>
        <v>18.004540852042112</v>
      </c>
      <c r="AO75" s="89">
        <f>'Summary Table'!AF107-'Summary Table'!$C107</f>
        <v>23.456788803965708</v>
      </c>
      <c r="AP75" s="89">
        <f>'Summary Table'!AG107-'Summary Table'!$C107</f>
        <v>0.97119318366273433</v>
      </c>
      <c r="AQ75" s="89">
        <f>'Summary Table'!AH107-'Summary Table'!$C107</f>
        <v>9.2351088845681204</v>
      </c>
      <c r="AR75" s="89">
        <f>'Summary Table'!AI107-'Summary Table'!$C107</f>
        <v>16.421491124834489</v>
      </c>
    </row>
    <row r="76" spans="11:44">
      <c r="K76" s="6" t="str">
        <f>'Summary Table'!B143</f>
        <v>Coal</v>
      </c>
      <c r="L76" s="90">
        <f>'Summary Table'!C108-'Summary Table'!$C108</f>
        <v>0</v>
      </c>
      <c r="M76" s="90">
        <f>'Summary Table'!D108-'Summary Table'!$C108</f>
        <v>-0.82682920941881122</v>
      </c>
      <c r="N76" s="90">
        <f>'Summary Table'!E108-'Summary Table'!$C108</f>
        <v>-0.67398890092574781</v>
      </c>
      <c r="O76" s="90">
        <f>'Summary Table'!F108-'Summary Table'!$C108</f>
        <v>-0.69958906351004657</v>
      </c>
      <c r="P76" s="90">
        <f>'Summary Table'!G108-'Summary Table'!$C108</f>
        <v>-0.65067097800401896</v>
      </c>
      <c r="Q76" s="90">
        <f>'Summary Table'!H108-'Summary Table'!$C108</f>
        <v>-0.7633872815026308</v>
      </c>
      <c r="R76" s="90">
        <f>'Summary Table'!I108-'Summary Table'!$C108</f>
        <v>-0.34547921004985582</v>
      </c>
      <c r="S76" s="90">
        <f>'Summary Table'!J108-'Summary Table'!$C108</f>
        <v>0.33271934244820578</v>
      </c>
      <c r="T76" s="90">
        <f>'Summary Table'!K108-'Summary Table'!$C108</f>
        <v>-3.0243146507800098</v>
      </c>
      <c r="U76" s="90">
        <f>'Summary Table'!L108-'Summary Table'!$C108</f>
        <v>-2.1872192040987741</v>
      </c>
      <c r="V76" s="90">
        <f>'Summary Table'!M108-'Summary Table'!$C108</f>
        <v>-3.1904408810677491</v>
      </c>
      <c r="W76" s="90">
        <f>'Summary Table'!N108-'Summary Table'!$C108</f>
        <v>-2.7201430674561315</v>
      </c>
      <c r="X76" s="90">
        <f>'Summary Table'!O108-'Summary Table'!$C108</f>
        <v>-3.3996155400782193</v>
      </c>
      <c r="Y76" s="90">
        <f>'Summary Table'!P108-'Summary Table'!$C108</f>
        <v>-4.1288105009802507</v>
      </c>
      <c r="Z76" s="90">
        <f>'Summary Table'!Q108-'Summary Table'!$C108</f>
        <v>-2.1836905181318169</v>
      </c>
      <c r="AA76" s="90">
        <f>'Summary Table'!R108-'Summary Table'!$C108</f>
        <v>-2.690678791479197</v>
      </c>
      <c r="AB76" s="90">
        <f>'Summary Table'!S108-'Summary Table'!$C108</f>
        <v>-5.7119919618732435</v>
      </c>
      <c r="AC76" s="90">
        <f>'Summary Table'!T108-'Summary Table'!$C108</f>
        <v>-5.2961522048626453</v>
      </c>
      <c r="AD76" s="90">
        <f>'Summary Table'!U108-'Summary Table'!$C108</f>
        <v>-4.3390924275381177</v>
      </c>
      <c r="AE76" s="90">
        <f>'Summary Table'!V108-'Summary Table'!$C108</f>
        <v>-5.029486520290102</v>
      </c>
      <c r="AF76" s="90">
        <f>'Summary Table'!W108-'Summary Table'!$C108</f>
        <v>-5.3743307931937805</v>
      </c>
      <c r="AG76" s="90">
        <f>'Summary Table'!X108-'Summary Table'!$C108</f>
        <v>-6.1096755337047775</v>
      </c>
      <c r="AH76" s="90">
        <f>'Summary Table'!Y108-'Summary Table'!$C108</f>
        <v>-7.8175030705065005</v>
      </c>
      <c r="AI76" s="90">
        <f>'Summary Table'!Z108-'Summary Table'!$C108</f>
        <v>-8.0158218995666033</v>
      </c>
      <c r="AJ76" s="90">
        <f>'Summary Table'!AA108-'Summary Table'!$C108</f>
        <v>-8.1350336554155334</v>
      </c>
      <c r="AK76" s="90">
        <f>'Summary Table'!AB108-'Summary Table'!$C108</f>
        <v>-8.9862088826752444</v>
      </c>
      <c r="AL76" s="90">
        <f>'Summary Table'!AC108-'Summary Table'!$C108</f>
        <v>-9.6857891684454671</v>
      </c>
      <c r="AM76" s="90">
        <f>'Summary Table'!AD108-'Summary Table'!$C108</f>
        <v>-9.974864058215875</v>
      </c>
      <c r="AN76" s="90">
        <f>'Summary Table'!AE108-'Summary Table'!$C108</f>
        <v>-10.159586910309852</v>
      </c>
      <c r="AO76" s="90">
        <f>'Summary Table'!AF108-'Summary Table'!$C108</f>
        <v>-10.350681814026405</v>
      </c>
      <c r="AP76" s="90">
        <f>'Summary Table'!AG108-'Summary Table'!$C108</f>
        <v>-10.556189334159404</v>
      </c>
      <c r="AQ76" s="90">
        <f>'Summary Table'!AH108-'Summary Table'!$C108</f>
        <v>-10.520364075344576</v>
      </c>
      <c r="AR76" s="90">
        <f>'Summary Table'!AI108-'Summary Table'!$C108</f>
        <v>-10.562651324320672</v>
      </c>
    </row>
    <row r="77" spans="11:44">
      <c r="K77" s="6" t="str">
        <f>'Summary Table'!B144</f>
        <v>Natural Gas</v>
      </c>
      <c r="L77" s="90">
        <f>'Summary Table'!C109-'Summary Table'!$C109</f>
        <v>0</v>
      </c>
      <c r="M77" s="90">
        <f>'Summary Table'!D109-'Summary Table'!$C109</f>
        <v>6.1036977638801773</v>
      </c>
      <c r="N77" s="90">
        <f>'Summary Table'!E109-'Summary Table'!$C109</f>
        <v>10.119548552663872</v>
      </c>
      <c r="O77" s="90">
        <f>'Summary Table'!F109-'Summary Table'!$C109</f>
        <v>12.835575519731293</v>
      </c>
      <c r="P77" s="90">
        <f>'Summary Table'!G109-'Summary Table'!$C109</f>
        <v>15.00327899582436</v>
      </c>
      <c r="Q77" s="90">
        <f>'Summary Table'!H109-'Summary Table'!$C109</f>
        <v>22.183723922059698</v>
      </c>
      <c r="R77" s="90">
        <f>'Summary Table'!I109-'Summary Table'!$C109</f>
        <v>29.09620329215133</v>
      </c>
      <c r="S77" s="90">
        <f>'Summary Table'!J109-'Summary Table'!$C109</f>
        <v>32.225669103592566</v>
      </c>
      <c r="T77" s="90">
        <f>'Summary Table'!K109-'Summary Table'!$C109</f>
        <v>21.304637345212711</v>
      </c>
      <c r="U77" s="90">
        <f>'Summary Table'!L109-'Summary Table'!$C109</f>
        <v>23.155385922978951</v>
      </c>
      <c r="V77" s="90">
        <f>'Summary Table'!M109-'Summary Table'!$C109</f>
        <v>30.473330982298933</v>
      </c>
      <c r="W77" s="90">
        <f>'Summary Table'!N109-'Summary Table'!$C109</f>
        <v>22.175136891508004</v>
      </c>
      <c r="X77" s="90">
        <f>'Summary Table'!O109-'Summary Table'!$C109</f>
        <v>28.440273063362099</v>
      </c>
      <c r="Y77" s="90">
        <f>'Summary Table'!P109-'Summary Table'!$C109</f>
        <v>30.851175892256151</v>
      </c>
      <c r="Z77" s="90">
        <f>'Summary Table'!Q109-'Summary Table'!$C109</f>
        <v>27.751927391078851</v>
      </c>
      <c r="AA77" s="90">
        <f>'Summary Table'!R109-'Summary Table'!$C109</f>
        <v>20.900349634172443</v>
      </c>
      <c r="AB77" s="90">
        <f>'Summary Table'!S109-'Summary Table'!$C109</f>
        <v>11.806821252591021</v>
      </c>
      <c r="AC77" s="90">
        <f>'Summary Table'!T109-'Summary Table'!$C109</f>
        <v>21.565695528718692</v>
      </c>
      <c r="AD77" s="90">
        <f>'Summary Table'!U109-'Summary Table'!$C109</f>
        <v>29.168518826955932</v>
      </c>
      <c r="AE77" s="90">
        <f>'Summary Table'!V109-'Summary Table'!$C109</f>
        <v>27.028596279477142</v>
      </c>
      <c r="AF77" s="90">
        <f>'Summary Table'!W109-'Summary Table'!$C109</f>
        <v>25.944140043044086</v>
      </c>
      <c r="AG77" s="90">
        <f>'Summary Table'!X109-'Summary Table'!$C109</f>
        <v>28.713282506136295</v>
      </c>
      <c r="AH77" s="90">
        <f>'Summary Table'!Y109-'Summary Table'!$C109</f>
        <v>15.018059163025356</v>
      </c>
      <c r="AI77" s="90">
        <f>'Summary Table'!Z109-'Summary Table'!$C109</f>
        <v>37.194867165353145</v>
      </c>
      <c r="AJ77" s="90">
        <f>'Summary Table'!AA109-'Summary Table'!$C109</f>
        <v>47.164652328146559</v>
      </c>
      <c r="AK77" s="90">
        <f>'Summary Table'!AB109-'Summary Table'!$C109</f>
        <v>33.387016351748372</v>
      </c>
      <c r="AL77" s="90">
        <f>'Summary Table'!AC109-'Summary Table'!$C109</f>
        <v>28.515829997631414</v>
      </c>
      <c r="AM77" s="90">
        <f>'Summary Table'!AD109-'Summary Table'!$C109</f>
        <v>31.165380727670708</v>
      </c>
      <c r="AN77" s="90">
        <f>'Summary Table'!AE109-'Summary Table'!$C109</f>
        <v>50.503648640487768</v>
      </c>
      <c r="AO77" s="90">
        <f>'Summary Table'!AF109-'Summary Table'!$C109</f>
        <v>50.891473302697449</v>
      </c>
      <c r="AP77" s="90">
        <f>'Summary Table'!AG109-'Summary Table'!$C109</f>
        <v>31.425347272265554</v>
      </c>
      <c r="AQ77" s="90">
        <f>'Summary Table'!AH109-'Summary Table'!$C109</f>
        <v>38.338089442563188</v>
      </c>
      <c r="AR77" s="90">
        <f>'Summary Table'!AI109-'Summary Table'!$C109</f>
        <v>50.23768686650925</v>
      </c>
    </row>
    <row r="78" spans="11:44">
      <c r="K78" s="6" t="str">
        <f>'Summary Table'!B145</f>
        <v>Petroleum</v>
      </c>
      <c r="L78" s="90">
        <f>'Summary Table'!C110-'Summary Table'!$C110</f>
        <v>0</v>
      </c>
      <c r="M78" s="90">
        <f>'Summary Table'!D110-'Summary Table'!$C110</f>
        <v>-0.90917538745488002</v>
      </c>
      <c r="N78" s="90">
        <f>'Summary Table'!E110-'Summary Table'!$C110</f>
        <v>-9.700279202327394</v>
      </c>
      <c r="O78" s="90">
        <f>'Summary Table'!F110-'Summary Table'!$C110</f>
        <v>-17.443034217552089</v>
      </c>
      <c r="P78" s="90">
        <f>'Summary Table'!G110-'Summary Table'!$C110</f>
        <v>-17.947524241785274</v>
      </c>
      <c r="Q78" s="90">
        <f>'Summary Table'!H110-'Summary Table'!$C110</f>
        <v>-21.925769304492</v>
      </c>
      <c r="R78" s="90">
        <f>'Summary Table'!I110-'Summary Table'!$C110</f>
        <v>-19.484948553635377</v>
      </c>
      <c r="S78" s="90">
        <f>'Summary Table'!J110-'Summary Table'!$C110</f>
        <v>-23.032052856964938</v>
      </c>
      <c r="T78" s="90">
        <f>'Summary Table'!K110-'Summary Table'!$C110</f>
        <v>-26.454840888206029</v>
      </c>
      <c r="U78" s="90">
        <f>'Summary Table'!L110-'Summary Table'!$C110</f>
        <v>-28.530313374591195</v>
      </c>
      <c r="V78" s="90">
        <f>'Summary Table'!M110-'Summary Table'!$C110</f>
        <v>-19.044756945379937</v>
      </c>
      <c r="W78" s="90">
        <f>'Summary Table'!N110-'Summary Table'!$C110</f>
        <v>-19.309480188614593</v>
      </c>
      <c r="X78" s="90">
        <f>'Summary Table'!O110-'Summary Table'!$C110</f>
        <v>-24.353431961067301</v>
      </c>
      <c r="Y78" s="90">
        <f>'Summary Table'!P110-'Summary Table'!$C110</f>
        <v>-14.903636527900616</v>
      </c>
      <c r="Z78" s="90">
        <f>'Summary Table'!Q110-'Summary Table'!$C110</f>
        <v>-15.930926775454978</v>
      </c>
      <c r="AA78" s="90">
        <f>'Summary Table'!R110-'Summary Table'!$C110</f>
        <v>-19.523144818404596</v>
      </c>
      <c r="AB78" s="90">
        <f>'Summary Table'!S110-'Summary Table'!$C110</f>
        <v>-23.000882200569094</v>
      </c>
      <c r="AC78" s="90">
        <f>'Summary Table'!T110-'Summary Table'!$C110</f>
        <v>-22.014810125559841</v>
      </c>
      <c r="AD78" s="90">
        <f>'Summary Table'!U110-'Summary Table'!$C110</f>
        <v>-26.056234646465441</v>
      </c>
      <c r="AE78" s="90">
        <f>'Summary Table'!V110-'Summary Table'!$C110</f>
        <v>-22.584034153125415</v>
      </c>
      <c r="AF78" s="90">
        <f>'Summary Table'!W110-'Summary Table'!$C110</f>
        <v>-24.580832604385222</v>
      </c>
      <c r="AG78" s="90">
        <f>'Summary Table'!X110-'Summary Table'!$C110</f>
        <v>-26.297597364619847</v>
      </c>
      <c r="AH78" s="90">
        <f>'Summary Table'!Y110-'Summary Table'!$C110</f>
        <v>-35.063967900632093</v>
      </c>
      <c r="AI78" s="90">
        <f>'Summary Table'!Z110-'Summary Table'!$C110</f>
        <v>-33.145892256160977</v>
      </c>
      <c r="AJ78" s="90">
        <f>'Summary Table'!AA110-'Summary Table'!$C110</f>
        <v>-34.769963983860627</v>
      </c>
      <c r="AK78" s="90">
        <f>'Summary Table'!AB110-'Summary Table'!$C110</f>
        <v>-7.8882089222557852</v>
      </c>
      <c r="AL78" s="90">
        <f>'Summary Table'!AC110-'Summary Table'!$C110</f>
        <v>-15.261858286859137</v>
      </c>
      <c r="AM78" s="90">
        <f>'Summary Table'!AD110-'Summary Table'!$C110</f>
        <v>-17.069812459022742</v>
      </c>
      <c r="AN78" s="90">
        <f>'Summary Table'!AE110-'Summary Table'!$C110</f>
        <v>-22.339520878135794</v>
      </c>
      <c r="AO78" s="90">
        <f>'Summary Table'!AF110-'Summary Table'!$C110</f>
        <v>-17.084002684705354</v>
      </c>
      <c r="AP78" s="90">
        <f>'Summary Table'!AG110-'Summary Table'!$C110</f>
        <v>-19.897964754443414</v>
      </c>
      <c r="AQ78" s="90">
        <f>'Summary Table'!AH110-'Summary Table'!$C110</f>
        <v>-18.582616482650486</v>
      </c>
      <c r="AR78" s="90">
        <f>'Summary Table'!AI110-'Summary Table'!$C110</f>
        <v>-23.253544417354099</v>
      </c>
    </row>
    <row r="79" spans="11:44">
      <c r="K79" s="5" t="str">
        <f>'Summary Table'!B146</f>
        <v>Industrial</v>
      </c>
      <c r="L79" s="89">
        <f>'Summary Table'!C111-'Summary Table'!$C111</f>
        <v>0</v>
      </c>
      <c r="M79" s="89">
        <f>'Summary Table'!D111-'Summary Table'!$C111</f>
        <v>-10.130280873669449</v>
      </c>
      <c r="N79" s="89">
        <f>'Summary Table'!E111-'Summary Table'!$C111</f>
        <v>9.4653409267942834</v>
      </c>
      <c r="O79" s="89">
        <f>'Summary Table'!F111-'Summary Table'!$C111</f>
        <v>11.491361334166982</v>
      </c>
      <c r="P79" s="89">
        <f>'Summary Table'!G111-'Summary Table'!$C111</f>
        <v>9.4515470985143111</v>
      </c>
      <c r="Q79" s="89">
        <f>'Summary Table'!H111-'Summary Table'!$C111</f>
        <v>29.521870834953575</v>
      </c>
      <c r="R79" s="89">
        <f>'Summary Table'!I111-'Summary Table'!$C111</f>
        <v>46.307313830434055</v>
      </c>
      <c r="S79" s="89">
        <f>'Summary Table'!J111-'Summary Table'!$C111</f>
        <v>41.134605002737885</v>
      </c>
      <c r="T79" s="89">
        <f>'Summary Table'!K111-'Summary Table'!$C111</f>
        <v>31.506009657350319</v>
      </c>
      <c r="U79" s="89">
        <f>'Summary Table'!L111-'Summary Table'!$C111</f>
        <v>-20.101905757542681</v>
      </c>
      <c r="V79" s="89">
        <f>'Summary Table'!M111-'Summary Table'!$C111</f>
        <v>15.78632053144463</v>
      </c>
      <c r="W79" s="89">
        <f>'Summary Table'!N111-'Summary Table'!$C111</f>
        <v>-7.8591665575728484</v>
      </c>
      <c r="X79" s="89">
        <f>'Summary Table'!O111-'Summary Table'!$C111</f>
        <v>-16.368896652946091</v>
      </c>
      <c r="Y79" s="89">
        <f>'Summary Table'!P111-'Summary Table'!$C111</f>
        <v>-22.951666015141768</v>
      </c>
      <c r="Z79" s="89">
        <f>'Summary Table'!Q111-'Summary Table'!$C111</f>
        <v>2.2322771282458689</v>
      </c>
      <c r="AA79" s="89">
        <f>'Summary Table'!R111-'Summary Table'!$C111</f>
        <v>-27.645293412691103</v>
      </c>
      <c r="AB79" s="89">
        <f>'Summary Table'!S111-'Summary Table'!$C111</f>
        <v>-7.3660012799738297</v>
      </c>
      <c r="AC79" s="89">
        <f>'Summary Table'!T111-'Summary Table'!$C111</f>
        <v>-17.499050057874342</v>
      </c>
      <c r="AD79" s="89">
        <f>'Summary Table'!U111-'Summary Table'!$C111</f>
        <v>-54.852279669703307</v>
      </c>
      <c r="AE79" s="89">
        <f>'Summary Table'!V111-'Summary Table'!$C111</f>
        <v>-128.05591758274034</v>
      </c>
      <c r="AF79" s="89">
        <f>'Summary Table'!W111-'Summary Table'!$C111</f>
        <v>-83.11011405813656</v>
      </c>
      <c r="AG79" s="89">
        <f>'Summary Table'!X111-'Summary Table'!$C111</f>
        <v>-80.0419932452686</v>
      </c>
      <c r="AH79" s="89">
        <f>'Summary Table'!Y111-'Summary Table'!$C111</f>
        <v>-71.873713829740041</v>
      </c>
      <c r="AI79" s="89">
        <f>'Summary Table'!Z111-'Summary Table'!$C111</f>
        <v>-41.013130285522607</v>
      </c>
      <c r="AJ79" s="89">
        <f>'Summary Table'!AA111-'Summary Table'!$C111</f>
        <v>-54.098854949788006</v>
      </c>
      <c r="AK79" s="89">
        <f>'Summary Table'!AB111-'Summary Table'!$C111</f>
        <v>-76.790456505636826</v>
      </c>
      <c r="AL79" s="89">
        <f>'Summary Table'!AC111-'Summary Table'!$C111</f>
        <v>-81.812903100481094</v>
      </c>
      <c r="AM79" s="89">
        <f>'Summary Table'!AD111-'Summary Table'!$C111</f>
        <v>-92.322978047727247</v>
      </c>
      <c r="AN79" s="89">
        <f>'Summary Table'!AE111-'Summary Table'!$C111</f>
        <v>-65.934106007955847</v>
      </c>
      <c r="AO79" s="89">
        <f>'Summary Table'!AF111-'Summary Table'!$C111</f>
        <v>-73.022666733883284</v>
      </c>
      <c r="AP79" s="89">
        <f>'Summary Table'!AG111-'Summary Table'!$C111</f>
        <v>-121.63028257487827</v>
      </c>
      <c r="AQ79" s="89">
        <f>'Summary Table'!AH111-'Summary Table'!$C111</f>
        <v>-102.31468373181906</v>
      </c>
      <c r="AR79" s="89">
        <f>'Summary Table'!AI111-'Summary Table'!$C111</f>
        <v>-95.288954142212219</v>
      </c>
    </row>
    <row r="80" spans="11:44">
      <c r="K80" s="6" t="str">
        <f>'Summary Table'!B147</f>
        <v>Coal</v>
      </c>
      <c r="L80" s="90">
        <f>'Summary Table'!C112-'Summary Table'!$C112</f>
        <v>0</v>
      </c>
      <c r="M80" s="90">
        <f>'Summary Table'!D112-'Summary Table'!$C112</f>
        <v>-3.200825168450848</v>
      </c>
      <c r="N80" s="90">
        <f>'Summary Table'!E112-'Summary Table'!$C112</f>
        <v>-7.5640770421460388</v>
      </c>
      <c r="O80" s="90">
        <f>'Summary Table'!F112-'Summary Table'!$C112</f>
        <v>-5.2912522334876826</v>
      </c>
      <c r="P80" s="90">
        <f>'Summary Table'!G112-'Summary Table'!$C112</f>
        <v>-4.3700158560684486</v>
      </c>
      <c r="Q80" s="90">
        <f>'Summary Table'!H112-'Summary Table'!$C112</f>
        <v>-10.623355348562029</v>
      </c>
      <c r="R80" s="90">
        <f>'Summary Table'!I112-'Summary Table'!$C112</f>
        <v>-17.74966301416481</v>
      </c>
      <c r="S80" s="90">
        <f>'Summary Table'!J112-'Summary Table'!$C112</f>
        <v>-17.599388664026577</v>
      </c>
      <c r="T80" s="90">
        <f>'Summary Table'!K112-'Summary Table'!$C112</f>
        <v>-16.08343830161877</v>
      </c>
      <c r="U80" s="90">
        <f>'Summary Table'!L112-'Summary Table'!$C112</f>
        <v>-25.358352312227908</v>
      </c>
      <c r="V80" s="90">
        <f>'Summary Table'!M112-'Summary Table'!$C112</f>
        <v>-29.355134140969881</v>
      </c>
      <c r="W80" s="90">
        <f>'Summary Table'!N112-'Summary Table'!$C112</f>
        <v>-27.657430518482187</v>
      </c>
      <c r="X80" s="90">
        <f>'Summary Table'!O112-'Summary Table'!$C112</f>
        <v>-38.78129892275085</v>
      </c>
      <c r="Y80" s="90">
        <f>'Summary Table'!P112-'Summary Table'!$C112</f>
        <v>-38.400501715897164</v>
      </c>
      <c r="Z80" s="90">
        <f>'Summary Table'!Q112-'Summary Table'!$C112</f>
        <v>-37.404801300692696</v>
      </c>
      <c r="AA80" s="90">
        <f>'Summary Table'!R112-'Summary Table'!$C112</f>
        <v>-39.997678550735017</v>
      </c>
      <c r="AB80" s="90">
        <f>'Summary Table'!S112-'Summary Table'!$C112</f>
        <v>-42.259662968896265</v>
      </c>
      <c r="AC80" s="90">
        <f>'Summary Table'!T112-'Summary Table'!$C112</f>
        <v>-47.064808312789737</v>
      </c>
      <c r="AD80" s="90">
        <f>'Summary Table'!U112-'Summary Table'!$C112</f>
        <v>-51.764172585463541</v>
      </c>
      <c r="AE80" s="90">
        <f>'Summary Table'!V112-'Summary Table'!$C112</f>
        <v>-70.77204689817242</v>
      </c>
      <c r="AF80" s="90">
        <f>'Summary Table'!W112-'Summary Table'!$C112</f>
        <v>-63.674615248119366</v>
      </c>
      <c r="AG80" s="90">
        <f>'Summary Table'!X112-'Summary Table'!$C112</f>
        <v>-71.885350871541064</v>
      </c>
      <c r="AH80" s="90">
        <f>'Summary Table'!Y112-'Summary Table'!$C112</f>
        <v>-79.614732017565501</v>
      </c>
      <c r="AI80" s="90">
        <f>'Summary Table'!Z112-'Summary Table'!$C112</f>
        <v>-78.295220655197326</v>
      </c>
      <c r="AJ80" s="90">
        <f>'Summary Table'!AA112-'Summary Table'!$C112</f>
        <v>-78.596253140910818</v>
      </c>
      <c r="AK80" s="90">
        <f>'Summary Table'!AB112-'Summary Table'!$C112</f>
        <v>-87.868637850714734</v>
      </c>
      <c r="AL80" s="90">
        <f>'Summary Table'!AC112-'Summary Table'!$C112</f>
        <v>-94.688737296086614</v>
      </c>
      <c r="AM80" s="90">
        <f>'Summary Table'!AD112-'Summary Table'!$C112</f>
        <v>-99.166175617705875</v>
      </c>
      <c r="AN80" s="90">
        <f>'Summary Table'!AE112-'Summary Table'!$C112</f>
        <v>-103.42228662587276</v>
      </c>
      <c r="AO80" s="90">
        <f>'Summary Table'!AF112-'Summary Table'!$C112</f>
        <v>-108.3808518293495</v>
      </c>
      <c r="AP80" s="90">
        <f>'Summary Table'!AG112-'Summary Table'!$C112</f>
        <v>-114.87274736061212</v>
      </c>
      <c r="AQ80" s="90">
        <f>'Summary Table'!AH112-'Summary Table'!$C112</f>
        <v>-114.81264044673989</v>
      </c>
      <c r="AR80" s="90">
        <f>'Summary Table'!AI112-'Summary Table'!$C112</f>
        <v>-115.17904918247163</v>
      </c>
    </row>
    <row r="81" spans="11:44">
      <c r="K81" s="6" t="str">
        <f>'Summary Table'!B148</f>
        <v>Natural Gas</v>
      </c>
      <c r="L81" s="90">
        <f>'Summary Table'!C113-'Summary Table'!$C113</f>
        <v>0</v>
      </c>
      <c r="M81" s="90">
        <f>'Summary Table'!D113-'Summary Table'!$C113</f>
        <v>6.1538780400965152</v>
      </c>
      <c r="N81" s="90">
        <f>'Summary Table'!E113-'Summary Table'!$C113</f>
        <v>21.866801718270494</v>
      </c>
      <c r="O81" s="90">
        <f>'Summary Table'!F113-'Summary Table'!$C113</f>
        <v>29.541619623208533</v>
      </c>
      <c r="P81" s="90">
        <f>'Summary Table'!G113-'Summary Table'!$C113</f>
        <v>30.768078015981757</v>
      </c>
      <c r="Q81" s="90">
        <f>'Summary Table'!H113-'Summary Table'!$C113</f>
        <v>54.027427389865636</v>
      </c>
      <c r="R81" s="90">
        <f>'Summary Table'!I113-'Summary Table'!$C113</f>
        <v>69.786470022464528</v>
      </c>
      <c r="S81" s="90">
        <f>'Summary Table'!J113-'Summary Table'!$C113</f>
        <v>70.445554264438044</v>
      </c>
      <c r="T81" s="90">
        <f>'Summary Table'!K113-'Summary Table'!$C113</f>
        <v>58.788003482569763</v>
      </c>
      <c r="U81" s="90">
        <f>'Summary Table'!L113-'Summary Table'!$C113</f>
        <v>38.180877197066991</v>
      </c>
      <c r="V81" s="90">
        <f>'Summary Table'!M113-'Summary Table'!$C113</f>
        <v>50.744133788099191</v>
      </c>
      <c r="W81" s="90">
        <f>'Summary Table'!N113-'Summary Table'!$C113</f>
        <v>13.159552999755419</v>
      </c>
      <c r="X81" s="90">
        <f>'Summary Table'!O113-'Summary Table'!$C113</f>
        <v>20.669368799664824</v>
      </c>
      <c r="Y81" s="90">
        <f>'Summary Table'!P113-'Summary Table'!$C113</f>
        <v>7.6454670663905517</v>
      </c>
      <c r="Z81" s="90">
        <f>'Summary Table'!Q113-'Summary Table'!$C113</f>
        <v>11.445512167344816</v>
      </c>
      <c r="AA81" s="90">
        <f>'Summary Table'!R113-'Summary Table'!$C113</f>
        <v>-19.65618522182217</v>
      </c>
      <c r="AB81" s="90">
        <f>'Summary Table'!S113-'Summary Table'!$C113</f>
        <v>-20.005006766923373</v>
      </c>
      <c r="AC81" s="90">
        <f>'Summary Table'!T113-'Summary Table'!$C113</f>
        <v>-10.471489036710636</v>
      </c>
      <c r="AD81" s="90">
        <f>'Summary Table'!U113-'Summary Table'!$C113</f>
        <v>-8.7894412829950852</v>
      </c>
      <c r="AE81" s="90">
        <f>'Summary Table'!V113-'Summary Table'!$C113</f>
        <v>-33.240935837680354</v>
      </c>
      <c r="AF81" s="90">
        <f>'Summary Table'!W113-'Summary Table'!$C113</f>
        <v>-0.35109053119714417</v>
      </c>
      <c r="AG81" s="90">
        <f>'Summary Table'!X113-'Summary Table'!$C113</f>
        <v>9.7291149257487746</v>
      </c>
      <c r="AH81" s="90">
        <f>'Summary Table'!Y113-'Summary Table'!$C113</f>
        <v>26.433537662538868</v>
      </c>
      <c r="AI81" s="90">
        <f>'Summary Table'!Z113-'Summary Table'!$C113</f>
        <v>43.495539807298428</v>
      </c>
      <c r="AJ81" s="90">
        <f>'Summary Table'!AA113-'Summary Table'!$C113</f>
        <v>58.495498448600642</v>
      </c>
      <c r="AK81" s="90">
        <f>'Summary Table'!AB113-'Summary Table'!$C113</f>
        <v>52.205703865985413</v>
      </c>
      <c r="AL81" s="90">
        <f>'Summary Table'!AC113-'Summary Table'!$C113</f>
        <v>56.542003002812692</v>
      </c>
      <c r="AM81" s="90">
        <f>'Summary Table'!AD113-'Summary Table'!$C113</f>
        <v>60.692582180700867</v>
      </c>
      <c r="AN81" s="90">
        <f>'Summary Table'!AE113-'Summary Table'!$C113</f>
        <v>86.028403814443379</v>
      </c>
      <c r="AO81" s="90">
        <f>'Summary Table'!AF113-'Summary Table'!$C113</f>
        <v>94.067939852394375</v>
      </c>
      <c r="AP81" s="90">
        <f>'Summary Table'!AG113-'Summary Table'!$C113</f>
        <v>82.276388606050773</v>
      </c>
      <c r="AQ81" s="90">
        <f>'Summary Table'!AH113-'Summary Table'!$C113</f>
        <v>93.726090179348034</v>
      </c>
      <c r="AR81" s="90">
        <f>'Summary Table'!AI113-'Summary Table'!$C113</f>
        <v>104.0053186908483</v>
      </c>
    </row>
    <row r="82" spans="11:44">
      <c r="K82" s="6" t="str">
        <f>'Summary Table'!B149</f>
        <v>Petroleum</v>
      </c>
      <c r="L82" s="90">
        <f>'Summary Table'!C114-'Summary Table'!$C114</f>
        <v>0</v>
      </c>
      <c r="M82" s="90">
        <f>'Summary Table'!D114-'Summary Table'!$C114</f>
        <v>-13.083333745315144</v>
      </c>
      <c r="N82" s="90">
        <f>'Summary Table'!E114-'Summary Table'!$C114</f>
        <v>-4.837383749330229</v>
      </c>
      <c r="O82" s="90">
        <f>'Summary Table'!F114-'Summary Table'!$C114</f>
        <v>-12.759006055553925</v>
      </c>
      <c r="P82" s="90">
        <f>'Summary Table'!G114-'Summary Table'!$C114</f>
        <v>-16.946515061399055</v>
      </c>
      <c r="Q82" s="90">
        <f>'Summary Table'!H114-'Summary Table'!$C114</f>
        <v>-13.882201206350032</v>
      </c>
      <c r="R82" s="90">
        <f>'Summary Table'!I114-'Summary Table'!$C114</f>
        <v>-5.7294931778657769</v>
      </c>
      <c r="S82" s="90">
        <f>'Summary Table'!J114-'Summary Table'!$C114</f>
        <v>-11.711560597673667</v>
      </c>
      <c r="T82" s="90">
        <f>'Summary Table'!K114-'Summary Table'!$C114</f>
        <v>-11.198555523600646</v>
      </c>
      <c r="U82" s="90">
        <f>'Summary Table'!L114-'Summary Table'!$C114</f>
        <v>-32.924430642381822</v>
      </c>
      <c r="V82" s="90">
        <f>'Summary Table'!M114-'Summary Table'!$C114</f>
        <v>-5.6026791156846798</v>
      </c>
      <c r="W82" s="90">
        <f>'Summary Table'!N114-'Summary Table'!$C114</f>
        <v>6.6387109611538335</v>
      </c>
      <c r="X82" s="90">
        <f>'Summary Table'!O114-'Summary Table'!$C114</f>
        <v>1.7430334701398351</v>
      </c>
      <c r="Y82" s="90">
        <f>'Summary Table'!P114-'Summary Table'!$C114</f>
        <v>7.8033686343648014</v>
      </c>
      <c r="Z82" s="90">
        <f>'Summary Table'!Q114-'Summary Table'!$C114</f>
        <v>28.191566261593721</v>
      </c>
      <c r="AA82" s="90">
        <f>'Summary Table'!R114-'Summary Table'!$C114</f>
        <v>32.008570359866098</v>
      </c>
      <c r="AB82" s="90">
        <f>'Summary Table'!S114-'Summary Table'!$C114</f>
        <v>54.89866845584578</v>
      </c>
      <c r="AC82" s="90">
        <f>'Summary Table'!T114-'Summary Table'!$C114</f>
        <v>40.037247291625988</v>
      </c>
      <c r="AD82" s="90">
        <f>'Summary Table'!U114-'Summary Table'!$C114</f>
        <v>5.701334198755319</v>
      </c>
      <c r="AE82" s="90">
        <f>'Summary Table'!V114-'Summary Table'!$C114</f>
        <v>-24.042934846887647</v>
      </c>
      <c r="AF82" s="90">
        <f>'Summary Table'!W114-'Summary Table'!$C114</f>
        <v>-19.084408278820092</v>
      </c>
      <c r="AG82" s="90">
        <f>'Summary Table'!X114-'Summary Table'!$C114</f>
        <v>-17.885757299476438</v>
      </c>
      <c r="AH82" s="90">
        <f>'Summary Table'!Y114-'Summary Table'!$C114</f>
        <v>-18.692519474713492</v>
      </c>
      <c r="AI82" s="90">
        <f>'Summary Table'!Z114-'Summary Table'!$C114</f>
        <v>-6.2134494376238649</v>
      </c>
      <c r="AJ82" s="90">
        <f>'Summary Table'!AA114-'Summary Table'!$C114</f>
        <v>-33.998100257477915</v>
      </c>
      <c r="AK82" s="90">
        <f>'Summary Table'!AB114-'Summary Table'!$C114</f>
        <v>-41.127522520907576</v>
      </c>
      <c r="AL82" s="90">
        <f>'Summary Table'!AC114-'Summary Table'!$C114</f>
        <v>-43.666168807207271</v>
      </c>
      <c r="AM82" s="90">
        <f>'Summary Table'!AD114-'Summary Table'!$C114</f>
        <v>-53.84938461072224</v>
      </c>
      <c r="AN82" s="90">
        <f>'Summary Table'!AE114-'Summary Table'!$C114</f>
        <v>-48.540223196526483</v>
      </c>
      <c r="AO82" s="90">
        <f>'Summary Table'!AF114-'Summary Table'!$C114</f>
        <v>-58.709754756928248</v>
      </c>
      <c r="AP82" s="90">
        <f>'Summary Table'!AG114-'Summary Table'!$C114</f>
        <v>-89.033923820317</v>
      </c>
      <c r="AQ82" s="90">
        <f>'Summary Table'!AH114-'Summary Table'!$C114</f>
        <v>-81.228133464427287</v>
      </c>
      <c r="AR82" s="90">
        <f>'Summary Table'!AI114-'Summary Table'!$C114</f>
        <v>-84.115223650588916</v>
      </c>
    </row>
    <row r="83" spans="11:44">
      <c r="K83" s="5" t="str">
        <f>'Summary Table'!B150</f>
        <v>Transportation</v>
      </c>
      <c r="L83" s="89">
        <f>'Summary Table'!C115-'Summary Table'!$C115</f>
        <v>0</v>
      </c>
      <c r="M83" s="89">
        <f>'Summary Table'!D115-'Summary Table'!$C115</f>
        <v>-46.616489478990616</v>
      </c>
      <c r="N83" s="89">
        <f>'Summary Table'!E115-'Summary Table'!$C115</f>
        <v>8.699532043250656</v>
      </c>
      <c r="O83" s="89">
        <f>'Summary Table'!F115-'Summary Table'!$C115</f>
        <v>39.663140327906149</v>
      </c>
      <c r="P83" s="89">
        <f>'Summary Table'!G115-'Summary Table'!$C115</f>
        <v>85.003459458389898</v>
      </c>
      <c r="Q83" s="89">
        <f>'Summary Table'!H115-'Summary Table'!$C115</f>
        <v>111.73396357182014</v>
      </c>
      <c r="R83" s="89">
        <f>'Summary Table'!I115-'Summary Table'!$C115</f>
        <v>158.41921100470813</v>
      </c>
      <c r="S83" s="89">
        <f>'Summary Table'!J115-'Summary Table'!$C115</f>
        <v>174.57165962101453</v>
      </c>
      <c r="T83" s="89">
        <f>'Summary Table'!K115-'Summary Table'!$C115</f>
        <v>209.9764434607273</v>
      </c>
      <c r="U83" s="89">
        <f>'Summary Table'!L115-'Summary Table'!$C115</f>
        <v>277.40042950798352</v>
      </c>
      <c r="V83" s="89">
        <f>'Summary Table'!M115-'Summary Table'!$C115</f>
        <v>323.25799773942686</v>
      </c>
      <c r="W83" s="89">
        <f>'Summary Table'!N115-'Summary Table'!$C115</f>
        <v>293.52017410521444</v>
      </c>
      <c r="X83" s="89">
        <f>'Summary Table'!O115-'Summary Table'!$C115</f>
        <v>334.07445028602865</v>
      </c>
      <c r="Y83" s="89">
        <f>'Summary Table'!P115-'Summary Table'!$C115</f>
        <v>343.04039293471965</v>
      </c>
      <c r="Z83" s="89">
        <f>'Summary Table'!Q115-'Summary Table'!$C115</f>
        <v>376.27681679691295</v>
      </c>
      <c r="AA83" s="89">
        <f>'Summary Table'!R115-'Summary Table'!$C115</f>
        <v>389.6082752535533</v>
      </c>
      <c r="AB83" s="89">
        <f>'Summary Table'!S115-'Summary Table'!$C115</f>
        <v>390.18911236400049</v>
      </c>
      <c r="AC83" s="89">
        <f>'Summary Table'!T115-'Summary Table'!$C115</f>
        <v>391.79360340135281</v>
      </c>
      <c r="AD83" s="89">
        <f>'Summary Table'!U115-'Summary Table'!$C115</f>
        <v>290.73742964402891</v>
      </c>
      <c r="AE83" s="89">
        <f>'Summary Table'!V115-'Summary Table'!$C115</f>
        <v>219.53668037903799</v>
      </c>
      <c r="AF83" s="89">
        <f>'Summary Table'!W115-'Summary Table'!$C115</f>
        <v>227.67062842361042</v>
      </c>
      <c r="AG83" s="89">
        <f>'Summary Table'!X115-'Summary Table'!$C115</f>
        <v>201.43366614459774</v>
      </c>
      <c r="AH83" s="89">
        <f>'Summary Table'!Y115-'Summary Table'!$C115</f>
        <v>190.45743735369797</v>
      </c>
      <c r="AI83" s="89">
        <f>'Summary Table'!Z115-'Summary Table'!$C115</f>
        <v>200.10202610926945</v>
      </c>
      <c r="AJ83" s="89">
        <f>'Summary Table'!AA115-'Summary Table'!$C115</f>
        <v>238.40283560044827</v>
      </c>
      <c r="AK83" s="89">
        <f>'Summary Table'!AB115-'Summary Table'!$C115</f>
        <v>249.43726691789948</v>
      </c>
      <c r="AL83" s="89">
        <f>'Summary Table'!AC115-'Summary Table'!$C115</f>
        <v>288.96265090013753</v>
      </c>
      <c r="AM83" s="89">
        <f>'Summary Table'!AD115-'Summary Table'!$C115</f>
        <v>311.36393005889613</v>
      </c>
      <c r="AN83" s="89">
        <f>'Summary Table'!AE115-'Summary Table'!$C115</f>
        <v>344.19075466549248</v>
      </c>
      <c r="AO83" s="89">
        <f>'Summary Table'!AF115-'Summary Table'!$C115</f>
        <v>347.69177979170513</v>
      </c>
      <c r="AP83" s="89">
        <f>'Summary Table'!AG115-'Summary Table'!$C115</f>
        <v>103.87631195700737</v>
      </c>
      <c r="AQ83" s="89">
        <f>'Summary Table'!AH115-'Summary Table'!$C115</f>
        <v>284.60203080209499</v>
      </c>
      <c r="AR83" s="89">
        <f>'Summary Table'!AI115-'Summary Table'!$C115</f>
        <v>311.81930019119113</v>
      </c>
    </row>
    <row r="84" spans="11:44">
      <c r="K84" s="6" t="str">
        <f>'Summary Table'!B151</f>
        <v>Coal</v>
      </c>
      <c r="L84" s="90" t="str">
        <f>'Summary Table'!C151</f>
        <v>NO</v>
      </c>
      <c r="M84" s="90" t="str">
        <f>'Summary Table'!D151</f>
        <v>NO</v>
      </c>
      <c r="N84" s="90" t="str">
        <f>'Summary Table'!E151</f>
        <v>NO</v>
      </c>
      <c r="O84" s="90" t="str">
        <f>'Summary Table'!F151</f>
        <v>NO</v>
      </c>
      <c r="P84" s="90" t="str">
        <f>'Summary Table'!G151</f>
        <v>NO</v>
      </c>
      <c r="Q84" s="90" t="str">
        <f>'Summary Table'!H151</f>
        <v>NE</v>
      </c>
      <c r="R84" s="90" t="str">
        <f>'Summary Table'!I151</f>
        <v>NO</v>
      </c>
      <c r="S84" s="90" t="str">
        <f>'Summary Table'!J151</f>
        <v>NO</v>
      </c>
      <c r="T84" s="90" t="str">
        <f>'Summary Table'!K151</f>
        <v>NO</v>
      </c>
      <c r="U84" s="90" t="str">
        <f>'Summary Table'!L151</f>
        <v>NO</v>
      </c>
      <c r="V84" s="90" t="str">
        <f>'Summary Table'!M151</f>
        <v>NO</v>
      </c>
      <c r="W84" s="90" t="str">
        <f>'Summary Table'!N151</f>
        <v>NO</v>
      </c>
      <c r="X84" s="90" t="str">
        <f>'Summary Table'!O151</f>
        <v>NO</v>
      </c>
      <c r="Y84" s="90" t="str">
        <f>'Summary Table'!P151</f>
        <v>NO</v>
      </c>
      <c r="Z84" s="90" t="str">
        <f>'Summary Table'!Q151</f>
        <v>NO</v>
      </c>
      <c r="AA84" s="90" t="str">
        <f>'Summary Table'!R151</f>
        <v>NO</v>
      </c>
      <c r="AB84" s="90" t="str">
        <f>'Summary Table'!S151</f>
        <v>NO</v>
      </c>
      <c r="AC84" s="90" t="str">
        <f>'Summary Table'!T151</f>
        <v>NO</v>
      </c>
      <c r="AD84" s="90" t="str">
        <f>'Summary Table'!U151</f>
        <v>NO</v>
      </c>
      <c r="AE84" s="90" t="str">
        <f>'Summary Table'!V151</f>
        <v>NO</v>
      </c>
      <c r="AF84" s="90" t="str">
        <f>'Summary Table'!W151</f>
        <v>NO</v>
      </c>
      <c r="AG84" s="90" t="str">
        <f>'Summary Table'!X151</f>
        <v>NO</v>
      </c>
      <c r="AH84" s="90" t="str">
        <f>'Summary Table'!Y151</f>
        <v>NO</v>
      </c>
      <c r="AI84" s="90" t="str">
        <f>'Summary Table'!Z151</f>
        <v>NO</v>
      </c>
      <c r="AJ84" s="90" t="str">
        <f>'Summary Table'!AA151</f>
        <v>NO</v>
      </c>
      <c r="AK84" s="90" t="str">
        <f>'Summary Table'!AB151</f>
        <v>NO</v>
      </c>
      <c r="AL84" s="90" t="str">
        <f>'Summary Table'!AC151</f>
        <v>NO</v>
      </c>
      <c r="AM84" s="90" t="str">
        <f>'Summary Table'!AD151</f>
        <v>NO</v>
      </c>
      <c r="AN84" s="90" t="str">
        <f>'Summary Table'!AE151</f>
        <v>NO</v>
      </c>
      <c r="AO84" s="90" t="str">
        <f>'Summary Table'!AF151</f>
        <v>NO</v>
      </c>
      <c r="AP84" s="90" t="str">
        <f>'Summary Table'!AG151</f>
        <v>NO</v>
      </c>
      <c r="AQ84" s="90" t="str">
        <f>'Summary Table'!AH151</f>
        <v>NO</v>
      </c>
      <c r="AR84" s="90" t="str">
        <f>'Summary Table'!AI151</f>
        <v>NO</v>
      </c>
    </row>
    <row r="85" spans="11:44">
      <c r="K85" s="6" t="str">
        <f>'Summary Table'!B152</f>
        <v>Natural Gas</v>
      </c>
      <c r="L85" s="90">
        <f>'Summary Table'!C117-'Summary Table'!$C117</f>
        <v>0</v>
      </c>
      <c r="M85" s="90">
        <f>'Summary Table'!D117-'Summary Table'!$C117</f>
        <v>-3.1296302841403829</v>
      </c>
      <c r="N85" s="90">
        <f>'Summary Table'!E117-'Summary Table'!$C117</f>
        <v>-3.7770626907823157</v>
      </c>
      <c r="O85" s="90">
        <f>'Summary Table'!F117-'Summary Table'!$C117</f>
        <v>-1.8460148444895879</v>
      </c>
      <c r="P85" s="90">
        <f>'Summary Table'!G117-'Summary Table'!$C117</f>
        <v>1.5621763670654616</v>
      </c>
      <c r="Q85" s="90">
        <f>'Summary Table'!H117-'Summary Table'!$C117</f>
        <v>2.3971311686386514</v>
      </c>
      <c r="R85" s="90">
        <f>'Summary Table'!I117-'Summary Table'!$C117</f>
        <v>3.0831388429125184</v>
      </c>
      <c r="S85" s="90">
        <f>'Summary Table'!J117-'Summary Table'!$C117</f>
        <v>5.3864146480012067</v>
      </c>
      <c r="T85" s="90">
        <f>'Summary Table'!K117-'Summary Table'!$C117</f>
        <v>-0.71224496957717065</v>
      </c>
      <c r="U85" s="90">
        <f>'Summary Table'!L117-'Summary Table'!$C117</f>
        <v>-0.18977581802689514</v>
      </c>
      <c r="V85" s="90">
        <f>'Summary Table'!M117-'Summary Table'!$C117</f>
        <v>-0.35055309281910496</v>
      </c>
      <c r="W85" s="90">
        <f>'Summary Table'!N117-'Summary Table'!$C117</f>
        <v>-1.1146330065262262</v>
      </c>
      <c r="X85" s="90">
        <f>'Summary Table'!O117-'Summary Table'!$C117</f>
        <v>1.0864851698416871</v>
      </c>
      <c r="Y85" s="90">
        <f>'Summary Table'!P117-'Summary Table'!$C117</f>
        <v>-2.736877457764173</v>
      </c>
      <c r="Z85" s="90">
        <f>'Summary Table'!Q117-'Summary Table'!$C117</f>
        <v>-4.073479488419455</v>
      </c>
      <c r="AA85" s="90">
        <f>'Summary Table'!R117-'Summary Table'!$C117</f>
        <v>-2.9247079182457441</v>
      </c>
      <c r="AB85" s="90">
        <f>'Summary Table'!S117-'Summary Table'!$C117</f>
        <v>-2.8678763479278615</v>
      </c>
      <c r="AC85" s="90">
        <f>'Summary Table'!T117-'Summary Table'!$C117</f>
        <v>-0.81936299742087471</v>
      </c>
      <c r="AD85" s="90">
        <f>'Summary Table'!U117-'Summary Table'!$C117</f>
        <v>0.70102137111143747</v>
      </c>
      <c r="AE85" s="90">
        <f>'Summary Table'!V117-'Summary Table'!$C117</f>
        <v>1.9243447817527723</v>
      </c>
      <c r="AF85" s="90">
        <f>'Summary Table'!W117-'Summary Table'!$C117</f>
        <v>2.1585642931822164</v>
      </c>
      <c r="AG85" s="90">
        <f>'Summary Table'!X117-'Summary Table'!$C117</f>
        <v>2.9423554046031342</v>
      </c>
      <c r="AH85" s="90">
        <f>'Summary Table'!Y117-'Summary Table'!$C117</f>
        <v>5.3773803550516419</v>
      </c>
      <c r="AI85" s="90">
        <f>'Summary Table'!Z117-'Summary Table'!$C117</f>
        <v>11.048617816808544</v>
      </c>
      <c r="AJ85" s="90">
        <f>'Summary Table'!AA117-'Summary Table'!$C117</f>
        <v>4.2374938280634851</v>
      </c>
      <c r="AK85" s="90">
        <f>'Summary Table'!AB117-'Summary Table'!$C117</f>
        <v>3.4052763691236976</v>
      </c>
      <c r="AL85" s="90">
        <f>'Summary Table'!AC117-'Summary Table'!$C117</f>
        <v>4.0581784999766839</v>
      </c>
      <c r="AM85" s="90">
        <f>'Summary Table'!AD117-'Summary Table'!$C117</f>
        <v>6.257130438167934</v>
      </c>
      <c r="AN85" s="90">
        <f>'Summary Table'!AE117-'Summary Table'!$C117</f>
        <v>14.914805312239416</v>
      </c>
      <c r="AO85" s="90">
        <f>'Summary Table'!AF117-'Summary Table'!$C117</f>
        <v>22.928139094959072</v>
      </c>
      <c r="AP85" s="90">
        <f>'Summary Table'!AG117-'Summary Table'!$C117</f>
        <v>22.65316554705101</v>
      </c>
      <c r="AQ85" s="90">
        <f>'Summary Table'!AH117-'Summary Table'!$C117</f>
        <v>29.190387149745185</v>
      </c>
      <c r="AR85" s="90">
        <f>'Summary Table'!AI117-'Summary Table'!$C117</f>
        <v>34.160679819293158</v>
      </c>
    </row>
    <row r="86" spans="11:44">
      <c r="K86" s="6" t="str">
        <f>'Summary Table'!B153</f>
        <v>Petroleum</v>
      </c>
      <c r="L86" s="90">
        <f>'Summary Table'!C118-'Summary Table'!$C118</f>
        <v>0</v>
      </c>
      <c r="M86" s="90">
        <f>'Summary Table'!D118-'Summary Table'!$C118</f>
        <v>-43.48685919485024</v>
      </c>
      <c r="N86" s="90">
        <f>'Summary Table'!E118-'Summary Table'!$C118</f>
        <v>12.476594734032915</v>
      </c>
      <c r="O86" s="90">
        <f>'Summary Table'!F118-'Summary Table'!$C118</f>
        <v>41.509155172395594</v>
      </c>
      <c r="P86" s="90">
        <f>'Summary Table'!G118-'Summary Table'!$C118</f>
        <v>83.441283091324294</v>
      </c>
      <c r="Q86" s="90">
        <f>'Summary Table'!H118-'Summary Table'!$C118</f>
        <v>109.33683240318146</v>
      </c>
      <c r="R86" s="90">
        <f>'Summary Table'!I118-'Summary Table'!$C118</f>
        <v>155.33607216179553</v>
      </c>
      <c r="S86" s="90">
        <f>'Summary Table'!J118-'Summary Table'!$C118</f>
        <v>169.18524497301314</v>
      </c>
      <c r="T86" s="90">
        <f>'Summary Table'!K118-'Summary Table'!$C118</f>
        <v>210.68868843030441</v>
      </c>
      <c r="U86" s="90">
        <f>'Summary Table'!L118-'Summary Table'!$C118</f>
        <v>277.59020532601039</v>
      </c>
      <c r="V86" s="90">
        <f>'Summary Table'!M118-'Summary Table'!$C118</f>
        <v>323.60855083224578</v>
      </c>
      <c r="W86" s="90">
        <f>'Summary Table'!N118-'Summary Table'!$C118</f>
        <v>294.63480711174066</v>
      </c>
      <c r="X86" s="90">
        <f>'Summary Table'!O118-'Summary Table'!$C118</f>
        <v>332.98796511618684</v>
      </c>
      <c r="Y86" s="90">
        <f>'Summary Table'!P118-'Summary Table'!$C118</f>
        <v>345.77727039248362</v>
      </c>
      <c r="Z86" s="90">
        <f>'Summary Table'!Q118-'Summary Table'!$C118</f>
        <v>380.35029628533221</v>
      </c>
      <c r="AA86" s="90">
        <f>'Summary Table'!R118-'Summary Table'!$C118</f>
        <v>392.53298317179883</v>
      </c>
      <c r="AB86" s="90">
        <f>'Summary Table'!S118-'Summary Table'!$C118</f>
        <v>393.05698871192817</v>
      </c>
      <c r="AC86" s="90">
        <f>'Summary Table'!T118-'Summary Table'!$C118</f>
        <v>392.61296639877355</v>
      </c>
      <c r="AD86" s="90">
        <f>'Summary Table'!U118-'Summary Table'!$C118</f>
        <v>290.03640827291747</v>
      </c>
      <c r="AE86" s="90">
        <f>'Summary Table'!V118-'Summary Table'!$C118</f>
        <v>217.61233559728521</v>
      </c>
      <c r="AF86" s="90">
        <f>'Summary Table'!W118-'Summary Table'!$C118</f>
        <v>225.51206413042814</v>
      </c>
      <c r="AG86" s="90">
        <f>'Summary Table'!X118-'Summary Table'!$C118</f>
        <v>198.49131073999456</v>
      </c>
      <c r="AH86" s="90">
        <f>'Summary Table'!Y118-'Summary Table'!$C118</f>
        <v>185.08005699864611</v>
      </c>
      <c r="AI86" s="90">
        <f>'Summary Table'!Z118-'Summary Table'!$C118</f>
        <v>189.05340829246074</v>
      </c>
      <c r="AJ86" s="90">
        <f>'Summary Table'!AA118-'Summary Table'!$C118</f>
        <v>234.16534177238464</v>
      </c>
      <c r="AK86" s="90">
        <f>'Summary Table'!AB118-'Summary Table'!$C118</f>
        <v>246.03199054877564</v>
      </c>
      <c r="AL86" s="90">
        <f>'Summary Table'!AC118-'Summary Table'!$C118</f>
        <v>284.90447240016078</v>
      </c>
      <c r="AM86" s="90">
        <f>'Summary Table'!AD118-'Summary Table'!$C118</f>
        <v>305.106799620728</v>
      </c>
      <c r="AN86" s="90">
        <f>'Summary Table'!AE118-'Summary Table'!$C118</f>
        <v>329.27594935325305</v>
      </c>
      <c r="AO86" s="90">
        <f>'Summary Table'!AF118-'Summary Table'!$C118</f>
        <v>324.76364069674605</v>
      </c>
      <c r="AP86" s="90">
        <f>'Summary Table'!AG118-'Summary Table'!$C118</f>
        <v>81.223146409956144</v>
      </c>
      <c r="AQ86" s="90">
        <f>'Summary Table'!AH118-'Summary Table'!$C118</f>
        <v>255.41164365234977</v>
      </c>
      <c r="AR86" s="90">
        <f>'Summary Table'!AI118-'Summary Table'!$C118</f>
        <v>277.65862037189777</v>
      </c>
    </row>
    <row r="87" spans="11:44">
      <c r="K87" s="5" t="str">
        <f>'Summary Table'!B154</f>
        <v>Electric Power</v>
      </c>
      <c r="L87" s="89">
        <f>'Summary Table'!C119-'Summary Table'!$C119</f>
        <v>0</v>
      </c>
      <c r="M87" s="89">
        <f>'Summary Table'!D119-'Summary Table'!$C119</f>
        <v>-2.5919048718983504</v>
      </c>
      <c r="N87" s="89">
        <f>'Summary Table'!E119-'Summary Table'!$C119</f>
        <v>10.737370105102627</v>
      </c>
      <c r="O87" s="89">
        <f>'Summary Table'!F119-'Summary Table'!$C119</f>
        <v>86.221484539879611</v>
      </c>
      <c r="P87" s="89">
        <f>'Summary Table'!G119-'Summary Table'!$C119</f>
        <v>110.51788451177686</v>
      </c>
      <c r="Q87" s="89">
        <f>'Summary Table'!H119-'Summary Table'!$C119</f>
        <v>127.22264854937885</v>
      </c>
      <c r="R87" s="89">
        <f>'Summary Table'!I119-'Summary Table'!$C119</f>
        <v>200.29238117105524</v>
      </c>
      <c r="S87" s="89">
        <f>'Summary Table'!J119-'Summary Table'!$C119</f>
        <v>267.56921386538806</v>
      </c>
      <c r="T87" s="89">
        <f>'Summary Table'!K119-'Summary Table'!$C119</f>
        <v>356.60403581475566</v>
      </c>
      <c r="U87" s="89">
        <f>'Summary Table'!L119-'Summary Table'!$C119</f>
        <v>369.71523334804442</v>
      </c>
      <c r="V87" s="89">
        <f>'Summary Table'!M119-'Summary Table'!$C119</f>
        <v>476.22108181291605</v>
      </c>
      <c r="W87" s="89">
        <f>'Summary Table'!N119-'Summary Table'!$C119</f>
        <v>437.25309340434615</v>
      </c>
      <c r="X87" s="89">
        <f>'Summary Table'!O119-'Summary Table'!$C119</f>
        <v>452.27650897286685</v>
      </c>
      <c r="Y87" s="89">
        <f>'Summary Table'!P119-'Summary Table'!$C119</f>
        <v>483.727789443446</v>
      </c>
      <c r="Z87" s="89">
        <f>'Summary Table'!Q119-'Summary Table'!$C119</f>
        <v>515.13207249510242</v>
      </c>
      <c r="AA87" s="89">
        <f>'Summary Table'!R119-'Summary Table'!$C119</f>
        <v>580.10689630214711</v>
      </c>
      <c r="AB87" s="89">
        <f>'Summary Table'!S119-'Summary Table'!$C119</f>
        <v>524.44494541158974</v>
      </c>
      <c r="AC87" s="89">
        <f>'Summary Table'!T119-'Summary Table'!$C119</f>
        <v>591.18672956944056</v>
      </c>
      <c r="AD87" s="89">
        <f>'Summary Table'!U119-'Summary Table'!$C119</f>
        <v>539.38150237365699</v>
      </c>
      <c r="AE87" s="89">
        <f>'Summary Table'!V119-'Summary Table'!$C119</f>
        <v>325.39531141795169</v>
      </c>
      <c r="AF87" s="89">
        <f>'Summary Table'!W119-'Summary Table'!$C119</f>
        <v>438.68840271486715</v>
      </c>
      <c r="AG87" s="89">
        <f>'Summary Table'!X119-'Summary Table'!$C119</f>
        <v>338.1165514280533</v>
      </c>
      <c r="AH87" s="89">
        <f>'Summary Table'!Y119-'Summary Table'!$C119</f>
        <v>203.30522761064526</v>
      </c>
      <c r="AI87" s="89">
        <f>'Summary Table'!Z119-'Summary Table'!$C119</f>
        <v>218.31953820803619</v>
      </c>
      <c r="AJ87" s="89">
        <f>'Summary Table'!AA119-'Summary Table'!$C119</f>
        <v>217.21525960736653</v>
      </c>
      <c r="AK87" s="89">
        <f>'Summary Table'!AB119-'Summary Table'!$C119</f>
        <v>80.687200236565559</v>
      </c>
      <c r="AL87" s="89">
        <f>'Summary Table'!AC119-'Summary Table'!$C119</f>
        <v>-11.079073354869706</v>
      </c>
      <c r="AM87" s="89">
        <f>'Summary Table'!AD119-'Summary Table'!$C119</f>
        <v>-87.917870893109466</v>
      </c>
      <c r="AN87" s="89">
        <f>'Summary Table'!AE119-'Summary Table'!$C119</f>
        <v>-66.518221199183245</v>
      </c>
      <c r="AO87" s="89">
        <f>'Summary Table'!AF119-'Summary Table'!$C119</f>
        <v>-213.229793623261</v>
      </c>
      <c r="AP87" s="89">
        <f>'Summary Table'!AG119-'Summary Table'!$C119</f>
        <v>-380.38487543579481</v>
      </c>
      <c r="AQ87" s="89">
        <f>'Summary Table'!AH119-'Summary Table'!$C119</f>
        <v>-279.01780948801547</v>
      </c>
      <c r="AR87" s="89">
        <f>'Summary Table'!AI119-'Summary Table'!$C119</f>
        <v>-288.27051193752504</v>
      </c>
    </row>
    <row r="88" spans="11:44">
      <c r="K88" s="6" t="str">
        <f>'Summary Table'!B155</f>
        <v>Coal</v>
      </c>
      <c r="L88" s="90">
        <f>'Summary Table'!C120-'Summary Table'!$C120</f>
        <v>0</v>
      </c>
      <c r="M88" s="90">
        <f>'Summary Table'!D120-'Summary Table'!$C120</f>
        <v>0.66060786293269302</v>
      </c>
      <c r="N88" s="90">
        <f>'Summary Table'!E120-'Summary Table'!$C120</f>
        <v>22.027618280753359</v>
      </c>
      <c r="O88" s="90">
        <f>'Summary Table'!F120-'Summary Table'!$C120</f>
        <v>85.104944297671409</v>
      </c>
      <c r="P88" s="90">
        <f>'Summary Table'!G120-'Summary Table'!$C120</f>
        <v>91.338976380656959</v>
      </c>
      <c r="Q88" s="90">
        <f>'Summary Table'!H120-'Summary Table'!$C120</f>
        <v>113.34704453585573</v>
      </c>
      <c r="R88" s="90">
        <f>'Summary Table'!I120-'Summary Table'!$C120</f>
        <v>205.00952889046812</v>
      </c>
      <c r="S88" s="90">
        <f>'Summary Table'!J120-'Summary Table'!$C120</f>
        <v>249.50501955500886</v>
      </c>
      <c r="T88" s="90">
        <f>'Summary Table'!K120-'Summary Table'!$C120</f>
        <v>280.63383073706791</v>
      </c>
      <c r="U88" s="90">
        <f>'Summary Table'!L120-'Summary Table'!$C120</f>
        <v>288.88836819273774</v>
      </c>
      <c r="V88" s="90">
        <f>'Summary Table'!M120-'Summary Table'!$C120</f>
        <v>379.85126837938287</v>
      </c>
      <c r="W88" s="90">
        <f>'Summary Table'!N120-'Summary Table'!$C120</f>
        <v>322.32064772287117</v>
      </c>
      <c r="X88" s="90">
        <f>'Summary Table'!O120-'Summary Table'!$C120</f>
        <v>342.38080327068042</v>
      </c>
      <c r="Y88" s="90">
        <f>'Summary Table'!P120-'Summary Table'!$C120</f>
        <v>383.44279412644869</v>
      </c>
      <c r="Z88" s="90">
        <f>'Summary Table'!Q120-'Summary Table'!$C120</f>
        <v>395.50593270440913</v>
      </c>
      <c r="AA88" s="90">
        <f>'Summary Table'!R120-'Summary Table'!$C120</f>
        <v>436.25750179380316</v>
      </c>
      <c r="AB88" s="90">
        <f>'Summary Table'!S120-'Summary Table'!$C120</f>
        <v>406.17565310178247</v>
      </c>
      <c r="AC88" s="90">
        <f>'Summary Table'!T120-'Summary Table'!$C120</f>
        <v>439.73591951268281</v>
      </c>
      <c r="AD88" s="90">
        <f>'Summary Table'!U120-'Summary Table'!$C120</f>
        <v>411.8737402970728</v>
      </c>
      <c r="AE88" s="90">
        <f>'Summary Table'!V120-'Summary Table'!$C120</f>
        <v>193.63880340790001</v>
      </c>
      <c r="AF88" s="90">
        <f>'Summary Table'!W120-'Summary Table'!$C120</f>
        <v>280.73137379088848</v>
      </c>
      <c r="AG88" s="90">
        <f>'Summary Table'!X120-'Summary Table'!$C120</f>
        <v>175.85600472637952</v>
      </c>
      <c r="AH88" s="90">
        <f>'Summary Table'!Y120-'Summary Table'!$C120</f>
        <v>-34.820760267869218</v>
      </c>
      <c r="AI88" s="90">
        <f>'Summary Table'!Z120-'Summary Table'!$C120</f>
        <v>24.737261559389708</v>
      </c>
      <c r="AJ88" s="90">
        <f>'Summary Table'!AA120-'Summary Table'!$C120</f>
        <v>22.042308071607295</v>
      </c>
      <c r="AK88" s="90">
        <f>'Summary Table'!AB120-'Summary Table'!$C120</f>
        <v>-195.12545422192215</v>
      </c>
      <c r="AL88" s="90">
        <f>'Summary Table'!AC120-'Summary Table'!$C120</f>
        <v>-304.49720351052497</v>
      </c>
      <c r="AM88" s="90">
        <f>'Summary Table'!AD120-'Summary Table'!$C120</f>
        <v>-339.44712654446084</v>
      </c>
      <c r="AN88" s="90">
        <f>'Summary Table'!AE120-'Summary Table'!$C120</f>
        <v>-393.63744279009961</v>
      </c>
      <c r="AO88" s="90">
        <f>'Summary Table'!AF120-'Summary Table'!$C120</f>
        <v>-572.9740834484536</v>
      </c>
      <c r="AP88" s="90">
        <f>'Summary Table'!AG120-'Summary Table'!$C120</f>
        <v>-758.35423943810144</v>
      </c>
      <c r="AQ88" s="90">
        <f>'Summary Table'!AH120-'Summary Table'!$C120</f>
        <v>-636.44940763834063</v>
      </c>
      <c r="AR88" s="90">
        <f>'Summary Table'!AI120-'Summary Table'!$C120</f>
        <v>-695.04180943510266</v>
      </c>
    </row>
    <row r="89" spans="11:44">
      <c r="K89" s="6" t="str">
        <f>'Summary Table'!B156</f>
        <v>Natural Gas</v>
      </c>
      <c r="L89" s="90">
        <f>'Summary Table'!C121-'Summary Table'!$C121</f>
        <v>0</v>
      </c>
      <c r="M89" s="90">
        <f>'Summary Table'!D121-'Summary Table'!$C121</f>
        <v>3.6063766698153472</v>
      </c>
      <c r="N89" s="90">
        <f>'Summary Table'!E121-'Summary Table'!$C121</f>
        <v>10.714620680632919</v>
      </c>
      <c r="O89" s="90">
        <f>'Summary Table'!F121-'Summary Table'!$C121</f>
        <v>12.22231405733973</v>
      </c>
      <c r="P89" s="90">
        <f>'Summary Table'!G121-'Summary Table'!$C121</f>
        <v>35.494576576620631</v>
      </c>
      <c r="Q89" s="90">
        <f>'Summary Table'!H121-'Summary Table'!$C121</f>
        <v>52.81261615412015</v>
      </c>
      <c r="R89" s="90">
        <f>'Summary Table'!I121-'Summary Table'!$C121</f>
        <v>29.500766377392154</v>
      </c>
      <c r="S89" s="90">
        <f>'Summary Table'!J121-'Summary Table'!$C121</f>
        <v>43.453390222877459</v>
      </c>
      <c r="T89" s="90">
        <f>'Summary Table'!K121-'Summary Table'!$C121</f>
        <v>72.306090359556919</v>
      </c>
      <c r="U89" s="90">
        <f>'Summary Table'!L121-'Summary Table'!$C121</f>
        <v>84.585175642318745</v>
      </c>
      <c r="V89" s="90">
        <f>'Summary Table'!M121-'Summary Table'!$C121</f>
        <v>105.46101323731904</v>
      </c>
      <c r="W89" s="90">
        <f>'Summary Table'!N121-'Summary Table'!$C121</f>
        <v>113.99859055969387</v>
      </c>
      <c r="X89" s="90">
        <f>'Summary Table'!O121-'Summary Table'!$C121</f>
        <v>130.64871472774814</v>
      </c>
      <c r="Y89" s="90">
        <f>'Summary Table'!P121-'Summary Table'!$C121</f>
        <v>102.76735750467225</v>
      </c>
      <c r="Z89" s="90">
        <f>'Summary Table'!Q121-'Summary Table'!$C121</f>
        <v>121.39025853542842</v>
      </c>
      <c r="AA89" s="90">
        <f>'Summary Table'!R121-'Summary Table'!$C121</f>
        <v>143.49836370211204</v>
      </c>
      <c r="AB89" s="90">
        <f>'Summary Table'!S121-'Summary Table'!$C121</f>
        <v>162.61492412421461</v>
      </c>
      <c r="AC89" s="90">
        <f>'Summary Table'!T121-'Summary Table'!$C121</f>
        <v>196.10509333481161</v>
      </c>
      <c r="AD89" s="90">
        <f>'Summary Table'!U121-'Summary Table'!$C121</f>
        <v>186.7559384793451</v>
      </c>
      <c r="AE89" s="90">
        <f>'Summary Table'!V121-'Summary Table'!$C121</f>
        <v>197.18771150934867</v>
      </c>
      <c r="AF89" s="90">
        <f>'Summary Table'!W121-'Summary Table'!$C121</f>
        <v>224.17804802308478</v>
      </c>
      <c r="AG89" s="90">
        <f>'Summary Table'!X121-'Summary Table'!$C121</f>
        <v>234.06957949892632</v>
      </c>
      <c r="AH89" s="90">
        <f>'Summary Table'!Y121-'Summary Table'!$C121</f>
        <v>317.43215740153596</v>
      </c>
      <c r="AI89" s="90">
        <f>'Summary Table'!Z121-'Summary Table'!$C121</f>
        <v>268.80589470706241</v>
      </c>
      <c r="AJ89" s="90">
        <f>'Summary Table'!AA121-'Summary Table'!$C121</f>
        <v>267.52196706151085</v>
      </c>
      <c r="AK89" s="90">
        <f>'Summary Table'!AB121-'Summary Table'!$C121</f>
        <v>349.80050180923394</v>
      </c>
      <c r="AL89" s="90">
        <f>'Summary Table'!AC121-'Summary Table'!$C121</f>
        <v>369.63209321629171</v>
      </c>
      <c r="AM89" s="90">
        <f>'Summary Table'!AD121-'Summary Table'!$C121</f>
        <v>330.27462175245176</v>
      </c>
      <c r="AN89" s="90">
        <f>'Summary Table'!AE121-'Summary Table'!$C121</f>
        <v>402.57542512465085</v>
      </c>
      <c r="AO89" s="90">
        <f>'Summary Table'!AF121-'Summary Table'!$C121</f>
        <v>441.28865142782757</v>
      </c>
      <c r="AP89" s="90">
        <f>'Summary Table'!AG121-'Summary Table'!$C121</f>
        <v>459.48911789500772</v>
      </c>
      <c r="AQ89" s="90">
        <f>'Summary Table'!AH121-'Summary Table'!$C121</f>
        <v>437.41805260422819</v>
      </c>
      <c r="AR89" s="90">
        <f>'Summary Table'!AI121-'Summary Table'!$C121</f>
        <v>483.94517573609477</v>
      </c>
    </row>
    <row r="90" spans="11:44">
      <c r="K90" s="6" t="str">
        <f>'Summary Table'!B157</f>
        <v>Petroleum</v>
      </c>
      <c r="L90" s="90">
        <f>'Summary Table'!C122-'Summary Table'!$C122</f>
        <v>0</v>
      </c>
      <c r="M90" s="90">
        <f>'Summary Table'!D122-'Summary Table'!$C122</f>
        <v>-6.8598287732802135</v>
      </c>
      <c r="N90" s="90">
        <f>'Summary Table'!E122-'Summary Table'!$C122</f>
        <v>-22.010747323067733</v>
      </c>
      <c r="O90" s="90">
        <f>'Summary Table'!F122-'Summary Table'!$C122</f>
        <v>-11.123077940531218</v>
      </c>
      <c r="P90" s="90">
        <f>'Summary Table'!G122-'Summary Table'!$C122</f>
        <v>-16.291640679322725</v>
      </c>
      <c r="Q90" s="90">
        <f>'Summary Table'!H122-'Summary Table'!$C122</f>
        <v>-38.826715617237731</v>
      </c>
      <c r="R90" s="90">
        <f>'Summary Table'!I122-'Summary Table'!$C122</f>
        <v>-34.142197920796811</v>
      </c>
      <c r="S90" s="90">
        <f>'Summary Table'!J122-'Summary Table'!$C122</f>
        <v>-25.331086445737057</v>
      </c>
      <c r="T90" s="90">
        <f>'Summary Table'!K122-'Summary Table'!$C122</f>
        <v>3.724225120092953</v>
      </c>
      <c r="U90" s="90">
        <f>'Summary Table'!L122-'Summary Table'!$C122</f>
        <v>-3.7051858663479607</v>
      </c>
      <c r="V90" s="90">
        <f>'Summary Table'!M122-'Summary Table'!$C122</f>
        <v>-9.0140669401992142</v>
      </c>
      <c r="W90" s="90">
        <f>'Summary Table'!N122-'Summary Table'!$C122</f>
        <v>1.0225251747941542</v>
      </c>
      <c r="X90" s="90">
        <f>'Summary Table'!O122-'Summary Table'!$C122</f>
        <v>-20.683629101540518</v>
      </c>
      <c r="Y90" s="90">
        <f>'Summary Table'!P122-'Summary Table'!$C122</f>
        <v>-2.4108558625099619</v>
      </c>
      <c r="Z90" s="90">
        <f>'Summary Table'!Q122-'Summary Table'!$C122</f>
        <v>-1.6932685791766175</v>
      </c>
      <c r="AA90" s="90">
        <f>'Summary Table'!R122-'Summary Table'!$C122</f>
        <v>0.4282070184860487</v>
      </c>
      <c r="AB90" s="90">
        <f>'Summary Table'!S122-'Summary Table'!$C122</f>
        <v>-44.26236824547145</v>
      </c>
      <c r="AC90" s="90">
        <f>'Summary Table'!T122-'Summary Table'!$C122</f>
        <v>-44.574001789668003</v>
      </c>
      <c r="AD90" s="90">
        <f>'Summary Table'!U122-'Summary Table'!$C122</f>
        <v>-59.151842942841974</v>
      </c>
      <c r="AE90" s="90">
        <f>'Summary Table'!V122-'Summary Table'!$C122</f>
        <v>-65.327055388738387</v>
      </c>
      <c r="AF90" s="90">
        <f>'Summary Table'!W122-'Summary Table'!$C122</f>
        <v>-66.109494120478104</v>
      </c>
      <c r="AG90" s="90">
        <f>'Summary Table'!X122-'Summary Table'!$C122</f>
        <v>-71.706937023957508</v>
      </c>
      <c r="AH90" s="90">
        <f>'Summary Table'!Y122-'Summary Table'!$C122</f>
        <v>-79.205382095245682</v>
      </c>
      <c r="AI90" s="90">
        <f>'Summary Table'!Z122-'Summary Table'!$C122</f>
        <v>-75.118440566719798</v>
      </c>
      <c r="AJ90" s="90">
        <f>'Summary Table'!AA122-'Summary Table'!$C122</f>
        <v>-72.234121017158046</v>
      </c>
      <c r="AK90" s="90">
        <f>'Summary Table'!AB122-'Summary Table'!$C122</f>
        <v>-73.864041855048242</v>
      </c>
      <c r="AL90" s="90">
        <f>'Summary Table'!AC122-'Summary Table'!$C122</f>
        <v>-76.080479400746427</v>
      </c>
      <c r="AM90" s="90">
        <f>'Summary Table'!AD122-'Summary Table'!$C122</f>
        <v>-78.617851201493878</v>
      </c>
      <c r="AN90" s="90">
        <f>'Summary Table'!AE122-'Summary Table'!$C122</f>
        <v>-75.322761835636896</v>
      </c>
      <c r="AO90" s="90">
        <f>'Summary Table'!AF122-'Summary Table'!$C122</f>
        <v>-81.377182144508311</v>
      </c>
      <c r="AP90" s="90">
        <f>'Summary Table'!AG122-'Summary Table'!$C122</f>
        <v>-81.372385942701015</v>
      </c>
      <c r="AQ90" s="90">
        <f>'Summary Table'!AH122-'Summary Table'!$C122</f>
        <v>-79.825278427798835</v>
      </c>
      <c r="AR90" s="90">
        <f>'Summary Table'!AI122-'Summary Table'!$C122</f>
        <v>-77.016241454346471</v>
      </c>
    </row>
    <row r="91" spans="11:44">
      <c r="K91" s="6" t="str">
        <f>'Summary Table'!B158</f>
        <v>Geothermal*</v>
      </c>
      <c r="L91" s="90">
        <f>'Summary Table'!C123-'Summary Table'!$C123</f>
        <v>0</v>
      </c>
      <c r="M91" s="90">
        <f>'Summary Table'!D123-'Summary Table'!$C123</f>
        <v>9.3936863405996718E-4</v>
      </c>
      <c r="N91" s="90">
        <f>'Summary Table'!E123-'Summary Table'!$C123</f>
        <v>5.8784667841218496E-3</v>
      </c>
      <c r="O91" s="90">
        <f>'Summary Table'!F123-'Summary Table'!$C123</f>
        <v>1.7304125399470349E-2</v>
      </c>
      <c r="P91" s="90">
        <f>'Summary Table'!G123-'Summary Table'!$C123</f>
        <v>-2.4027766178033594E-2</v>
      </c>
      <c r="Q91" s="90">
        <f>'Summary Table'!H123-'Summary Table'!$C123</f>
        <v>-0.11029652335949058</v>
      </c>
      <c r="R91" s="90">
        <f>'Summary Table'!I123-'Summary Table'!$C123</f>
        <v>-7.5716176008317815E-2</v>
      </c>
      <c r="S91" s="90">
        <f>'Summary Table'!J123-'Summary Table'!$C123</f>
        <v>-5.8109466760940587E-2</v>
      </c>
      <c r="T91" s="90">
        <f>'Summary Table'!K123-'Summary Table'!$C123</f>
        <v>-6.0110401962130244E-2</v>
      </c>
      <c r="U91" s="90">
        <f>'Summary Table'!L123-'Summary Table'!$C123</f>
        <v>-5.3124620663903444E-2</v>
      </c>
      <c r="V91" s="90">
        <f>'Summary Table'!M123-'Summary Table'!$C123</f>
        <v>-7.7132863586443445E-2</v>
      </c>
      <c r="W91" s="90">
        <f>'Summary Table'!N123-'Summary Table'!$C123</f>
        <v>-8.8670053013374384E-2</v>
      </c>
      <c r="X91" s="90">
        <f>'Summary Table'!O123-'Summary Table'!$C123</f>
        <v>-6.9379924021087946E-2</v>
      </c>
      <c r="Y91" s="90">
        <f>'Summary Table'!P123-'Summary Table'!$C123</f>
        <v>-7.1506325165338391E-2</v>
      </c>
      <c r="Z91" s="90">
        <f>'Summary Table'!Q123-'Summary Table'!$C123</f>
        <v>-7.0850165558480782E-2</v>
      </c>
      <c r="AA91" s="90">
        <f>'Summary Table'!R123-'Summary Table'!$C123</f>
        <v>-7.7176212254056131E-2</v>
      </c>
      <c r="AB91" s="90">
        <f>'Summary Table'!S123-'Summary Table'!$C123</f>
        <v>-8.326356893580017E-2</v>
      </c>
      <c r="AC91" s="90">
        <f>'Summary Table'!T123-'Summary Table'!$C123</f>
        <v>-8.0281488385997746E-2</v>
      </c>
      <c r="AD91" s="90">
        <f>'Summary Table'!U123-'Summary Table'!$C123</f>
        <v>-9.6333459918889308E-2</v>
      </c>
      <c r="AE91" s="90">
        <f>'Summary Table'!V123-'Summary Table'!$C123</f>
        <v>-0.1041481105585933</v>
      </c>
      <c r="AF91" s="90">
        <f>'Summary Table'!W123-'Summary Table'!$C123</f>
        <v>-0.1115249786283613</v>
      </c>
      <c r="AG91" s="90">
        <f>'Summary Table'!X123-'Summary Table'!$C123</f>
        <v>-0.10209577329504133</v>
      </c>
      <c r="AH91" s="90">
        <f>'Summary Table'!Y123-'Summary Table'!$C123</f>
        <v>-0.10078742777575334</v>
      </c>
      <c r="AI91" s="90">
        <f>'Summary Table'!Z123-'Summary Table'!$C123</f>
        <v>-0.10517749169618534</v>
      </c>
      <c r="AJ91" s="90">
        <f>'Summary Table'!AA123-'Summary Table'!$C123</f>
        <v>-0.11489450859343331</v>
      </c>
      <c r="AK91" s="90">
        <f>'Summary Table'!AB123-'Summary Table'!$C123</f>
        <v>-0.1238054956978093</v>
      </c>
      <c r="AL91" s="90">
        <f>'Summary Table'!AC123-'Summary Table'!$C123</f>
        <v>-0.13348365989001737</v>
      </c>
      <c r="AM91" s="90">
        <f>'Summary Table'!AD123-'Summary Table'!$C123</f>
        <v>-0.12751489960662432</v>
      </c>
      <c r="AN91" s="90">
        <f>'Summary Table'!AE123-'Summary Table'!$C123</f>
        <v>-0.13344169809768136</v>
      </c>
      <c r="AO91" s="90">
        <f>'Summary Table'!AF123-'Summary Table'!$C123</f>
        <v>-0.1671794581268653</v>
      </c>
      <c r="AP91" s="90">
        <f>'Summary Table'!AG123-'Summary Table'!$C123</f>
        <v>-0.14736795000021735</v>
      </c>
      <c r="AQ91" s="90">
        <f>'Summary Table'!AH123-'Summary Table'!$C123</f>
        <v>-0.1611760261042573</v>
      </c>
      <c r="AR91" s="90">
        <f>'Summary Table'!AI123-'Summary Table'!$C123</f>
        <v>-0.15763678417063332</v>
      </c>
    </row>
    <row r="92" spans="11:44">
      <c r="K92" s="5" t="str">
        <f>'Summary Table'!B159</f>
        <v>U.S. Territories</v>
      </c>
      <c r="L92" s="89">
        <f>'Summary Table'!C124-'Summary Table'!$C124</f>
        <v>0</v>
      </c>
      <c r="M92" s="89">
        <f>'Summary Table'!D124-'Summary Table'!$C124</f>
        <v>-0.82569886040509033</v>
      </c>
      <c r="N92" s="89">
        <f>'Summary Table'!E124-'Summary Table'!$C124</f>
        <v>1.9377137339727781</v>
      </c>
      <c r="O92" s="89">
        <f>'Summary Table'!F124-'Summary Table'!$C124</f>
        <v>2.6160867615774457</v>
      </c>
      <c r="P92" s="89">
        <f>'Summary Table'!G124-'Summary Table'!$C124</f>
        <v>4.723781445602679</v>
      </c>
      <c r="Q92" s="89">
        <f>'Summary Table'!H124-'Summary Table'!$C124</f>
        <v>1.5404454957121594</v>
      </c>
      <c r="R92" s="89">
        <f>'Summary Table'!I124-'Summary Table'!$C124</f>
        <v>-0.23004967245102392</v>
      </c>
      <c r="S92" s="89">
        <f>'Summary Table'!J124-'Summary Table'!$C124</f>
        <v>7.3775620288110133E-2</v>
      </c>
      <c r="T92" s="89">
        <f>'Summary Table'!K124-'Summary Table'!$C124</f>
        <v>-0.56287754814769997</v>
      </c>
      <c r="U92" s="89">
        <f>'Summary Table'!L124-'Summary Table'!$C124</f>
        <v>-4.5368484022321027</v>
      </c>
      <c r="V92" s="89">
        <f>'Summary Table'!M124-'Summary Table'!$C124</f>
        <v>17.021432142245253</v>
      </c>
      <c r="W92" s="89">
        <f>'Summary Table'!N124-'Summary Table'!$C124</f>
        <v>29.642463626547269</v>
      </c>
      <c r="X92" s="89">
        <f>'Summary Table'!O124-'Summary Table'!$C124</f>
        <v>25.143070817578973</v>
      </c>
      <c r="Y92" s="89">
        <f>'Summary Table'!P124-'Summary Table'!$C124</f>
        <v>30.355873378816653</v>
      </c>
      <c r="Z92" s="89">
        <f>'Summary Table'!Q124-'Summary Table'!$C124</f>
        <v>32.906849790155427</v>
      </c>
      <c r="AA92" s="89">
        <f>'Summary Table'!R124-'Summary Table'!$C124</f>
        <v>31.847710638696711</v>
      </c>
      <c r="AB92" s="89">
        <f>'Summary Table'!S124-'Summary Table'!$C124</f>
        <v>31.252825844481237</v>
      </c>
      <c r="AC92" s="89">
        <f>'Summary Table'!T124-'Summary Table'!$C124</f>
        <v>26.638400447319526</v>
      </c>
      <c r="AD92" s="89">
        <f>'Summary Table'!U124-'Summary Table'!$C124</f>
        <v>18.455546760630611</v>
      </c>
      <c r="AE92" s="89">
        <f>'Summary Table'!V124-'Summary Table'!$C124</f>
        <v>18.949874655556485</v>
      </c>
      <c r="AF92" s="89">
        <f>'Summary Table'!W124-'Summary Table'!$C124</f>
        <v>14.495157307270205</v>
      </c>
      <c r="AG92" s="89">
        <f>'Summary Table'!X124-'Summary Table'!$C124</f>
        <v>14.054249889581833</v>
      </c>
      <c r="AH92" s="89">
        <f>'Summary Table'!Y124-'Summary Table'!$C124</f>
        <v>12.945756628391315</v>
      </c>
      <c r="AI92" s="89">
        <f>'Summary Table'!Z124-'Summary Table'!$C124</f>
        <v>8.1202296191256487</v>
      </c>
      <c r="AJ92" s="89">
        <f>'Summary Table'!AA124-'Summary Table'!$C124</f>
        <v>8.270108037543519</v>
      </c>
      <c r="AK92" s="89">
        <f>'Summary Table'!AB124-'Summary Table'!$C124</f>
        <v>8.5261425681635465</v>
      </c>
      <c r="AL92" s="89">
        <f>'Summary Table'!AC124-'Summary Table'!$C124</f>
        <v>6.156578894514567</v>
      </c>
      <c r="AM92" s="89">
        <f>'Summary Table'!AD124-'Summary Table'!$C124</f>
        <v>5.9375409982032288</v>
      </c>
      <c r="AN92" s="89">
        <f>'Summary Table'!AE124-'Summary Table'!$C124</f>
        <v>5.914374030392711</v>
      </c>
      <c r="AO92" s="89">
        <f>'Summary Table'!AF124-'Summary Table'!$C124</f>
        <v>4.804602713569988</v>
      </c>
      <c r="AP92" s="89">
        <f>'Summary Table'!AG124-'Summary Table'!$C124</f>
        <v>3.2706846637937019</v>
      </c>
      <c r="AQ92" s="89">
        <f>'Summary Table'!AH124-'Summary Table'!$C124</f>
        <v>3.7635602568970512</v>
      </c>
      <c r="AR92" s="89">
        <f>'Summary Table'!AI124-'Summary Table'!$C124</f>
        <v>3.7585086759088426</v>
      </c>
    </row>
    <row r="93" spans="11:44">
      <c r="K93" s="6" t="str">
        <f>'Summary Table'!B160</f>
        <v>Coal</v>
      </c>
      <c r="L93" s="90">
        <f>'Summary Table'!C125-'Summary Table'!$C125</f>
        <v>0</v>
      </c>
      <c r="M93" s="90">
        <f>'Summary Table'!D125-'Summary Table'!$C125</f>
        <v>-3.6201650438386024E-2</v>
      </c>
      <c r="N93" s="90">
        <f>'Summary Table'!E125-'Summary Table'!$C125</f>
        <v>-0.10377944061804406</v>
      </c>
      <c r="O93" s="90">
        <f>'Summary Table'!F125-'Summary Table'!$C125</f>
        <v>-8.4519061014167951E-2</v>
      </c>
      <c r="P93" s="90">
        <f>'Summary Table'!G125-'Summary Table'!$C125</f>
        <v>-7.658832336375615E-2</v>
      </c>
      <c r="Q93" s="90">
        <f>'Summary Table'!H125-'Summary Table'!$C125</f>
        <v>-6.8657587768939821E-2</v>
      </c>
      <c r="R93" s="90">
        <f>'Summary Table'!I125-'Summary Table'!$C125</f>
        <v>-5.7327947871112062E-2</v>
      </c>
      <c r="S93" s="90">
        <f>'Summary Table'!J125-'Summary Table'!$C125</f>
        <v>-5.0076970936273835E-2</v>
      </c>
      <c r="T93" s="90">
        <f>'Summary Table'!K125-'Summary Table'!$C125</f>
        <v>-4.5091936370315999E-2</v>
      </c>
      <c r="U93" s="90">
        <f>'Summary Table'!L125-'Summary Table'!$C125</f>
        <v>-7.8854243120861978E-2</v>
      </c>
      <c r="V93" s="90">
        <f>'Summary Table'!M125-'Summary Table'!$C125</f>
        <v>-2.4179757858667883E-2</v>
      </c>
      <c r="W93" s="90">
        <f>'Summary Table'!N125-'Summary Table'!$C125</f>
        <v>9.7645379494504136E-2</v>
      </c>
      <c r="X93" s="90">
        <f>'Summary Table'!O125-'Summary Table'!$C125</f>
        <v>1.5241859939164899</v>
      </c>
      <c r="Y93" s="90">
        <f>'Summary Table'!P125-'Summary Table'!$C125</f>
        <v>2.1647111799387391</v>
      </c>
      <c r="Z93" s="90">
        <f>'Summary Table'!Q125-'Summary Table'!$C125</f>
        <v>2.4465210223993603</v>
      </c>
      <c r="AA93" s="90">
        <f>'Summary Table'!R125-'Summary Table'!$C125</f>
        <v>2.5144988206739765</v>
      </c>
      <c r="AB93" s="90">
        <f>'Summary Table'!S125-'Summary Table'!$C125</f>
        <v>2.8997063510829966</v>
      </c>
      <c r="AC93" s="90">
        <f>'Summary Table'!T125-'Summary Table'!$C125</f>
        <v>2.9031872424082614</v>
      </c>
      <c r="AD93" s="90">
        <f>'Summary Table'!U125-'Summary Table'!$C125</f>
        <v>2.9342335028958777</v>
      </c>
      <c r="AE93" s="90">
        <f>'Summary Table'!V125-'Summary Table'!$C125</f>
        <v>2.910397517272437</v>
      </c>
      <c r="AF93" s="90">
        <f>'Summary Table'!W125-'Summary Table'!$C125</f>
        <v>2.6965293810985802</v>
      </c>
      <c r="AG93" s="90">
        <f>'Summary Table'!X125-'Summary Table'!$C125</f>
        <v>2.9390979999404161</v>
      </c>
      <c r="AH93" s="90">
        <f>'Summary Table'!Y125-'Summary Table'!$C125</f>
        <v>2.7886628243863028</v>
      </c>
      <c r="AI93" s="90">
        <f>'Summary Table'!Z125-'Summary Table'!$C125</f>
        <v>2.7763656555528833</v>
      </c>
      <c r="AJ93" s="90">
        <f>'Summary Table'!AA125-'Summary Table'!$C125</f>
        <v>2.9431693462184629</v>
      </c>
      <c r="AK93" s="90">
        <f>'Summary Table'!AB125-'Summary Table'!$C125</f>
        <v>2.8108929877260564</v>
      </c>
      <c r="AL93" s="90">
        <f>'Summary Table'!AC125-'Summary Table'!$C125</f>
        <v>2.7715036539344036</v>
      </c>
      <c r="AM93" s="90">
        <f>'Summary Table'!AD125-'Summary Table'!$C125</f>
        <v>1.8012992060284982</v>
      </c>
      <c r="AN93" s="90">
        <f>'Summary Table'!AE125-'Summary Table'!$C125</f>
        <v>2.0575952151624985</v>
      </c>
      <c r="AO93" s="90">
        <f>'Summary Table'!AF125-'Summary Table'!$C125</f>
        <v>3.0612898629424983</v>
      </c>
      <c r="AP93" s="90">
        <f>'Summary Table'!AG125-'Summary Table'!$C125</f>
        <v>2.5834054219256197</v>
      </c>
      <c r="AQ93" s="90">
        <f>'Summary Table'!AH125-'Summary Table'!$C125</f>
        <v>2.3893853343172085</v>
      </c>
      <c r="AR93" s="90">
        <f>'Summary Table'!AI125-'Summary Table'!$C125</f>
        <v>2.3893853343172085</v>
      </c>
    </row>
    <row r="94" spans="11:44">
      <c r="K94" s="6" t="str">
        <f>'Summary Table'!B161</f>
        <v>Natural Gas</v>
      </c>
      <c r="L94" s="90" t="str">
        <f>'Summary Table'!C161</f>
        <v>NO</v>
      </c>
      <c r="M94" s="90" t="str">
        <f>'Summary Table'!D161</f>
        <v>NO</v>
      </c>
      <c r="N94" s="90" t="str">
        <f>'Summary Table'!E161</f>
        <v>NO</v>
      </c>
      <c r="O94" s="90" t="str">
        <f>'Summary Table'!F161</f>
        <v>NO</v>
      </c>
      <c r="P94" s="90" t="str">
        <f>'Summary Table'!G161</f>
        <v>NO</v>
      </c>
      <c r="Q94" s="90" t="str">
        <f>'Summary Table'!H161</f>
        <v>NO</v>
      </c>
      <c r="R94" s="90" t="str">
        <f>'Summary Table'!I161</f>
        <v>NO</v>
      </c>
      <c r="S94" s="90" t="str">
        <f>'Summary Table'!J161</f>
        <v>NO</v>
      </c>
      <c r="T94" s="90" t="str">
        <f>'Summary Table'!K161</f>
        <v>NO</v>
      </c>
      <c r="U94" s="90" t="str">
        <f>'Summary Table'!L161</f>
        <v>NO</v>
      </c>
      <c r="V94" s="90">
        <f>'Summary Table'!M161</f>
        <v>0.18330600402932129</v>
      </c>
      <c r="W94" s="90">
        <f>'Summary Table'!N161</f>
        <v>0.33068638546218126</v>
      </c>
      <c r="X94" s="90">
        <f>'Summary Table'!O161</f>
        <v>0.32970561451631059</v>
      </c>
      <c r="Y94" s="90">
        <f>'Summary Table'!P161</f>
        <v>0.38842527816192729</v>
      </c>
      <c r="Z94" s="90">
        <f>'Summary Table'!Q161</f>
        <v>0.3564020317344242</v>
      </c>
      <c r="AA94" s="90">
        <f>'Summary Table'!R161</f>
        <v>0.35168234644390711</v>
      </c>
      <c r="AB94" s="90">
        <f>'Summary Table'!S161</f>
        <v>0.37792729767106437</v>
      </c>
      <c r="AC94" s="90">
        <f>'Summary Table'!T161</f>
        <v>0.38616042964200004</v>
      </c>
      <c r="AD94" s="90">
        <f>'Summary Table'!U161</f>
        <v>0.42308330764546204</v>
      </c>
      <c r="AE94" s="90">
        <f>'Summary Table'!V161</f>
        <v>0.39630964953585507</v>
      </c>
      <c r="AF94" s="90">
        <f>'Summary Table'!W161</f>
        <v>0.40268051255072901</v>
      </c>
      <c r="AG94" s="90">
        <f>'Summary Table'!X161</f>
        <v>0.39192289171830375</v>
      </c>
      <c r="AH94" s="90">
        <f>'Summary Table'!Y161</f>
        <v>0.71174545355901953</v>
      </c>
      <c r="AI94" s="90">
        <f>'Summary Table'!Z161</f>
        <v>0.84222969485839971</v>
      </c>
      <c r="AJ94" s="90">
        <f>'Summary Table'!AA161</f>
        <v>0.87526326699762969</v>
      </c>
      <c r="AK94" s="90">
        <f>'Summary Table'!AB161</f>
        <v>0.82852664117786734</v>
      </c>
      <c r="AL94" s="90">
        <f>'Summary Table'!AC161</f>
        <v>0.91772614306437472</v>
      </c>
      <c r="AM94" s="90">
        <f>'Summary Table'!AD161</f>
        <v>0.69424129070687224</v>
      </c>
      <c r="AN94" s="90">
        <f>'Summary Table'!AE161</f>
        <v>0.90110938423508413</v>
      </c>
      <c r="AO94" s="90">
        <f>'Summary Table'!AF161</f>
        <v>1.0290061801406043</v>
      </c>
      <c r="AP94" s="90">
        <f>'Summary Table'!AG161</f>
        <v>0.72206829383813564</v>
      </c>
      <c r="AQ94" s="90">
        <f>'Summary Table'!AH161</f>
        <v>1.0698123392877148</v>
      </c>
      <c r="AR94" s="90">
        <f>'Summary Table'!AI161</f>
        <v>1.0690243680166187</v>
      </c>
    </row>
    <row r="95" spans="11:44">
      <c r="K95" s="6" t="str">
        <f>'Summary Table'!B162</f>
        <v>Petroleum</v>
      </c>
      <c r="L95" s="90">
        <f>'Summary Table'!C127-'Summary Table'!$C127</f>
        <v>0</v>
      </c>
      <c r="M95" s="90">
        <f>'Summary Table'!D127-'Summary Table'!$C127</f>
        <v>-0.78949720996670436</v>
      </c>
      <c r="N95" s="90">
        <f>'Summary Table'!E127-'Summary Table'!$C127</f>
        <v>2.0414931745908227</v>
      </c>
      <c r="O95" s="90">
        <f>'Summary Table'!F127-'Summary Table'!$C127</f>
        <v>2.7006058225916121</v>
      </c>
      <c r="P95" s="90">
        <f>'Summary Table'!G127-'Summary Table'!$C127</f>
        <v>4.8003697689664335</v>
      </c>
      <c r="Q95" s="90">
        <f>'Summary Table'!H127-'Summary Table'!$C127</f>
        <v>1.6091030834810987</v>
      </c>
      <c r="R95" s="90">
        <f>'Summary Table'!I127-'Summary Table'!$C127</f>
        <v>-0.17272172457991175</v>
      </c>
      <c r="S95" s="90">
        <f>'Summary Table'!J127-'Summary Table'!$C127</f>
        <v>0.12385259122438441</v>
      </c>
      <c r="T95" s="90">
        <f>'Summary Table'!K127-'Summary Table'!$C127</f>
        <v>-0.51778561177738425</v>
      </c>
      <c r="U95" s="90">
        <f>'Summary Table'!L127-'Summary Table'!$C127</f>
        <v>-4.4579941591112409</v>
      </c>
      <c r="V95" s="90">
        <f>'Summary Table'!M127-'Summary Table'!$C127</f>
        <v>16.373489885329739</v>
      </c>
      <c r="W95" s="90">
        <f>'Summary Table'!N127-'Summary Table'!$C127</f>
        <v>28.332301500358099</v>
      </c>
      <c r="X95" s="90">
        <f>'Summary Table'!O127-'Summary Table'!$C127</f>
        <v>22.409964237102677</v>
      </c>
      <c r="Y95" s="90">
        <f>'Summary Table'!P127-'Summary Table'!$C127</f>
        <v>26.766936178950843</v>
      </c>
      <c r="Z95" s="90">
        <f>'Summary Table'!Q127-'Summary Table'!$C127</f>
        <v>29.153521318063177</v>
      </c>
      <c r="AA95" s="90">
        <f>'Summary Table'!R127-'Summary Table'!$C127</f>
        <v>28.043709881061744</v>
      </c>
      <c r="AB95" s="90">
        <f>'Summary Table'!S127-'Summary Table'!$C127</f>
        <v>26.967386068604334</v>
      </c>
      <c r="AC95" s="90">
        <f>'Summary Table'!T127-'Summary Table'!$C127</f>
        <v>22.319291629557263</v>
      </c>
      <c r="AD95" s="90">
        <f>'Summary Table'!U127-'Summary Table'!$C127</f>
        <v>13.970007796368037</v>
      </c>
      <c r="AE95" s="90">
        <f>'Summary Table'!V127-'Summary Table'!$C127</f>
        <v>14.58634175665258</v>
      </c>
      <c r="AF95" s="90">
        <f>'Summary Table'!W127-'Summary Table'!$C127</f>
        <v>10.322132713485615</v>
      </c>
      <c r="AG95" s="90">
        <f>'Summary Table'!X127-'Summary Table'!$C127</f>
        <v>9.6781012866743019</v>
      </c>
      <c r="AH95" s="90">
        <f>'Summary Table'!Y127-'Summary Table'!$C127</f>
        <v>7.5473604742886096</v>
      </c>
      <c r="AI95" s="90">
        <f>'Summary Table'!Z127-'Summary Table'!$C127</f>
        <v>2.2556884157586339</v>
      </c>
      <c r="AJ95" s="90">
        <f>'Summary Table'!AA127-'Summary Table'!$C127</f>
        <v>2.1176400456670805</v>
      </c>
      <c r="AK95" s="90">
        <f>'Summary Table'!AB127-'Summary Table'!$C127</f>
        <v>2.6773185627853096</v>
      </c>
      <c r="AL95" s="90">
        <f>'Summary Table'!AC127-'Summary Table'!$C127</f>
        <v>2.0079382677455015E-2</v>
      </c>
      <c r="AM95" s="90">
        <f>'Summary Table'!AD127-'Summary Table'!$C127</f>
        <v>1.5906903929161977</v>
      </c>
      <c r="AN95" s="90">
        <f>'Summary Table'!AE127-'Summary Table'!$C127</f>
        <v>0.55271107303490297</v>
      </c>
      <c r="AO95" s="90">
        <f>'Summary Table'!AF127-'Summary Table'!$C127</f>
        <v>-2.029709809888061</v>
      </c>
      <c r="AP95" s="90">
        <f>'Summary Table'!AG127-'Summary Table'!$C127</f>
        <v>-1.96030450220508</v>
      </c>
      <c r="AQ95" s="90">
        <f>'Summary Table'!AH127-'Summary Table'!$C127</f>
        <v>-2.5484703214751114</v>
      </c>
      <c r="AR95" s="90">
        <f>'Summary Table'!AI127-'Summary Table'!$C127</f>
        <v>-2.550632674469302</v>
      </c>
    </row>
    <row r="96" spans="11:44">
      <c r="K96" s="4" t="str">
        <f>'Summary Table'!B163</f>
        <v>Total</v>
      </c>
      <c r="L96" s="91">
        <f>'Summary Table'!C128-'Summary Table'!$C128</f>
        <v>0</v>
      </c>
      <c r="M96" s="91">
        <f>'Summary Table'!D128-'Summary Table'!$C128</f>
        <v>-46.653894147365463</v>
      </c>
      <c r="N96" s="91">
        <f>'Summary Table'!E128-'Summary Table'!$C128</f>
        <v>45.985430268610799</v>
      </c>
      <c r="O96" s="91">
        <f>'Summary Table'!F128-'Summary Table'!$C128</f>
        <v>162.19916674300566</v>
      </c>
      <c r="P96" s="91">
        <f>'Summary Table'!G128-'Summary Table'!$C128</f>
        <v>224.58135722234601</v>
      </c>
      <c r="Q96" s="91">
        <f>'Summary Table'!H128-'Summary Table'!$C128</f>
        <v>284.07945076620399</v>
      </c>
      <c r="R96" s="91">
        <f>'Summary Table'!I128-'Summary Table'!$C128</f>
        <v>458.96143704481256</v>
      </c>
      <c r="S96" s="91">
        <f>'Summary Table'!J128-'Summary Table'!$C128</f>
        <v>519.34132160543413</v>
      </c>
      <c r="T96" s="91">
        <f>'Summary Table'!K128-'Summary Table'!$C128</f>
        <v>582.391631499082</v>
      </c>
      <c r="U96" s="91">
        <f>'Summary Table'!L128-'Summary Table'!$C128</f>
        <v>627.25392495784854</v>
      </c>
      <c r="V96" s="91">
        <f>'Summary Table'!M128-'Summary Table'!$C128</f>
        <v>873.66027882173967</v>
      </c>
      <c r="W96" s="91">
        <f>'Summary Table'!N128-'Summary Table'!$C128</f>
        <v>777.15460469372556</v>
      </c>
      <c r="X96" s="91">
        <f>'Summary Table'!O128-'Summary Table'!$C128</f>
        <v>818.27379911805838</v>
      </c>
      <c r="Y96" s="91">
        <f>'Summary Table'!P128-'Summary Table'!$C128</f>
        <v>887.50285420899399</v>
      </c>
      <c r="Z96" s="91">
        <f>'Summary Table'!Q128-'Summary Table'!$C128</f>
        <v>966.58749459512728</v>
      </c>
      <c r="AA96" s="91">
        <f>'Summary Table'!R128-'Summary Table'!$C128</f>
        <v>992.6457973323586</v>
      </c>
      <c r="AB96" s="91">
        <f>'Summary Table'!S128-'Summary Table'!$C128</f>
        <v>904.02930385543641</v>
      </c>
      <c r="AC96" s="91">
        <f>'Summary Table'!T128-'Summary Table'!$C128</f>
        <v>987.95342030680968</v>
      </c>
      <c r="AD96" s="91">
        <f>'Summary Table'!U128-'Summary Table'!$C128</f>
        <v>800.9483731103328</v>
      </c>
      <c r="AE96" s="91">
        <f>'Summary Table'!V128-'Summary Table'!$C128</f>
        <v>432.60111344554844</v>
      </c>
      <c r="AF96" s="91">
        <f>'Summary Table'!W128-'Summary Table'!$C128</f>
        <v>589.66082412161359</v>
      </c>
      <c r="AG96" s="91">
        <f>'Summary Table'!X128-'Summary Table'!$C128</f>
        <v>457.6337926682836</v>
      </c>
      <c r="AH96" s="91">
        <f>'Summary Table'!Y128-'Summary Table'!$C128</f>
        <v>250.93530887117686</v>
      </c>
      <c r="AI96" s="91">
        <f>'Summary Table'!Z128-'Summary Table'!$C128</f>
        <v>372.25903256230595</v>
      </c>
      <c r="AJ96" s="91">
        <f>'Summary Table'!AA128-'Summary Table'!$C128</f>
        <v>422.21527819978019</v>
      </c>
      <c r="AK96" s="91">
        <f>'Summary Table'!AB128-'Summary Table'!$C128</f>
        <v>257.42233266970197</v>
      </c>
      <c r="AL96" s="91">
        <f>'Summary Table'!AC128-'Summary Table'!$C128</f>
        <v>160.41901227719336</v>
      </c>
      <c r="AM96" s="91">
        <f>'Summary Table'!AD128-'Summary Table'!$C128</f>
        <v>96.579301926870357</v>
      </c>
      <c r="AN96" s="91">
        <f>'Summary Table'!AE128-'Summary Table'!$C128</f>
        <v>236.02939416526442</v>
      </c>
      <c r="AO96" s="91">
        <f>'Summary Table'!AF128-'Summary Table'!$C128</f>
        <v>94.037950909741085</v>
      </c>
      <c r="AP96" s="91">
        <f>'Summary Table'!AG128-'Summary Table'!$C128</f>
        <v>-417.66956064785518</v>
      </c>
      <c r="AQ96" s="91">
        <f>'Summary Table'!AH128-'Summary Table'!$C128</f>
        <v>-104.26582202727786</v>
      </c>
      <c r="AR96" s="91">
        <f>'Summary Table'!AI128-'Summary Table'!$C128</f>
        <v>-57.027956316999735</v>
      </c>
    </row>
    <row r="98" spans="11:49">
      <c r="Q98"/>
    </row>
    <row r="100" spans="11:49" ht="15">
      <c r="K100" s="1" t="s">
        <v>1964</v>
      </c>
    </row>
    <row r="101" spans="11:49">
      <c r="K101" s="117" t="s">
        <v>1965</v>
      </c>
      <c r="L101" s="120">
        <v>1990</v>
      </c>
      <c r="M101" s="120">
        <v>1991</v>
      </c>
      <c r="N101" s="120">
        <v>1992</v>
      </c>
      <c r="O101" s="120">
        <v>1993</v>
      </c>
      <c r="P101" s="120">
        <v>1994</v>
      </c>
      <c r="Q101" s="120">
        <v>1995</v>
      </c>
      <c r="R101" s="120">
        <v>1996</v>
      </c>
      <c r="S101" s="120">
        <v>1997</v>
      </c>
      <c r="T101" s="120">
        <v>1998</v>
      </c>
      <c r="U101" s="120">
        <v>1999</v>
      </c>
      <c r="V101" s="120">
        <v>2000</v>
      </c>
      <c r="W101" s="120">
        <v>2001</v>
      </c>
      <c r="X101" s="120">
        <v>2002</v>
      </c>
      <c r="Y101" s="120">
        <v>2003</v>
      </c>
      <c r="Z101" s="120">
        <v>2004</v>
      </c>
      <c r="AA101" s="120">
        <v>2005</v>
      </c>
      <c r="AB101" s="120">
        <v>2006</v>
      </c>
      <c r="AC101" s="120">
        <v>2007</v>
      </c>
      <c r="AD101" s="120">
        <v>2008</v>
      </c>
      <c r="AE101" s="120">
        <v>2009</v>
      </c>
      <c r="AF101" s="120">
        <v>2010</v>
      </c>
      <c r="AG101" s="120">
        <v>2011</v>
      </c>
      <c r="AH101" s="120">
        <v>2012</v>
      </c>
      <c r="AI101" s="120">
        <v>2013</v>
      </c>
      <c r="AJ101" s="120">
        <v>2014</v>
      </c>
      <c r="AK101" s="120">
        <v>2015</v>
      </c>
      <c r="AL101" s="83">
        <v>2016</v>
      </c>
      <c r="AM101" s="83">
        <v>2017</v>
      </c>
      <c r="AN101" s="83">
        <v>2018</v>
      </c>
      <c r="AO101" s="83">
        <v>2019</v>
      </c>
      <c r="AP101" s="83">
        <v>2020</v>
      </c>
      <c r="AQ101" s="83">
        <v>2021</v>
      </c>
      <c r="AR101" s="83">
        <v>2022</v>
      </c>
    </row>
    <row r="102" spans="11:49">
      <c r="K102" s="118" t="s">
        <v>1966</v>
      </c>
      <c r="L102" s="128">
        <f>'Non-Energy Use'!E123*CtoCO2</f>
        <v>296.87175094772061</v>
      </c>
      <c r="M102" s="128">
        <f>'Non-Energy Use'!F123*CtoCO2</f>
        <v>295.13160355099257</v>
      </c>
      <c r="N102" s="128">
        <f>'Non-Energy Use'!G123*CtoCO2</f>
        <v>309.69414002180184</v>
      </c>
      <c r="O102" s="128">
        <f>'Non-Energy Use'!H123*CtoCO2</f>
        <v>302.837788220513</v>
      </c>
      <c r="P102" s="128">
        <f>'Non-Energy Use'!I123*CtoCO2</f>
        <v>323.79370596233298</v>
      </c>
      <c r="Q102" s="128">
        <f>'Non-Energy Use'!J123*CtoCO2</f>
        <v>322.56940849568156</v>
      </c>
      <c r="R102" s="128">
        <f>'Non-Energy Use'!K123*CtoCO2</f>
        <v>326.71116241810711</v>
      </c>
      <c r="S102" s="128">
        <f>'Non-Energy Use'!L123*CtoCO2</f>
        <v>343.00492952889391</v>
      </c>
      <c r="T102" s="128">
        <f>'Non-Energy Use'!M123*CtoCO2</f>
        <v>356.65462944460393</v>
      </c>
      <c r="U102" s="128">
        <f>'Non-Energy Use'!N123*CtoCO2</f>
        <v>392.01294427923813</v>
      </c>
      <c r="V102" s="128">
        <f>'Non-Energy Use'!O123*CtoCO2</f>
        <v>357.67194214703642</v>
      </c>
      <c r="W102" s="128">
        <f>'Non-Energy Use'!P123*CtoCO2</f>
        <v>344.34732409956928</v>
      </c>
      <c r="X102" s="128">
        <f>'Non-Energy Use'!Q123*CtoCO2</f>
        <v>351.01773002868742</v>
      </c>
      <c r="Y102" s="128">
        <f>'Non-Energy Use'!R123*CtoCO2</f>
        <v>336.7322450039108</v>
      </c>
      <c r="Z102" s="128">
        <f>'Non-Energy Use'!S123*CtoCO2</f>
        <v>372.26302245794915</v>
      </c>
      <c r="AA102" s="128">
        <f>'Non-Energy Use'!T123*CtoCO2</f>
        <v>360.13908982668289</v>
      </c>
      <c r="AB102" s="128">
        <f>'Non-Energy Use'!U123*CtoCO2</f>
        <v>360.04573360564166</v>
      </c>
      <c r="AC102" s="128">
        <f>'Non-Energy Use'!V123*CtoCO2</f>
        <v>347.94475039024553</v>
      </c>
      <c r="AD102" s="128">
        <f>'Non-Energy Use'!W123*CtoCO2</f>
        <v>320.02353750508416</v>
      </c>
      <c r="AE102" s="128">
        <f>'Non-Energy Use'!X123*CtoCO2</f>
        <v>291.74863023159747</v>
      </c>
      <c r="AF102" s="128">
        <f>'Non-Energy Use'!Y123*CtoCO2</f>
        <v>303.3512285155532</v>
      </c>
      <c r="AG102" s="128">
        <f>'Non-Energy Use'!Z123*CtoCO2</f>
        <v>297.74080865707822</v>
      </c>
      <c r="AH102" s="128">
        <f>'Non-Energy Use'!AA123*CtoCO2</f>
        <v>290.10855387440682</v>
      </c>
      <c r="AI102" s="128">
        <f>'Non-Energy Use'!AB123*CtoCO2</f>
        <v>305.23963733192068</v>
      </c>
      <c r="AJ102" s="128">
        <f>'Non-Energy Use'!AC123*CtoCO2</f>
        <v>300.91523211635547</v>
      </c>
      <c r="AK102" s="128">
        <f>'Non-Energy Use'!AD123*CtoCO2</f>
        <v>317.58266172879394</v>
      </c>
      <c r="AL102" s="128">
        <f>'Non-Energy Use'!AE123*CtoCO2</f>
        <v>314.39730057525907</v>
      </c>
      <c r="AM102" s="128">
        <f>'Non-Energy Use'!AF123*CtoCO2</f>
        <v>326.52169678770434</v>
      </c>
      <c r="AN102" s="128">
        <f>'Non-Energy Use'!AG123*CtoCO2</f>
        <v>344.8886129933515</v>
      </c>
      <c r="AO102" s="128">
        <f>'Non-Energy Use'!AH123*CtoCO2</f>
        <v>344.19031841836249</v>
      </c>
      <c r="AP102" s="128">
        <f>'Non-Energy Use'!AI123*CtoCO2</f>
        <v>338.73208290753473</v>
      </c>
      <c r="AQ102" s="128">
        <f>'Non-Energy Use'!AJ123*CtoCO2</f>
        <v>354.26967842378178</v>
      </c>
      <c r="AR102" s="128">
        <f>'Non-Energy Use'!AK123*CtoCO2</f>
        <v>352.61237015326213</v>
      </c>
    </row>
    <row r="103" spans="11:49">
      <c r="K103" s="118" t="s">
        <v>1967</v>
      </c>
      <c r="L103" s="128">
        <f>'Non-Energy Use'!E206</f>
        <v>193.37546321236931</v>
      </c>
      <c r="M103" s="128">
        <f>'Non-Energy Use'!F206</f>
        <v>187.90245559444199</v>
      </c>
      <c r="N103" s="128">
        <f>'Non-Energy Use'!G206</f>
        <v>196.9977049633103</v>
      </c>
      <c r="O103" s="128">
        <f>'Non-Energy Use'!H206</f>
        <v>201.68110445448588</v>
      </c>
      <c r="P103" s="128">
        <f>'Non-Energy Use'!I206</f>
        <v>212.15800886317169</v>
      </c>
      <c r="Q103" s="128">
        <f>'Non-Energy Use'!J206</f>
        <v>213.54258245997386</v>
      </c>
      <c r="R103" s="128">
        <f>'Non-Energy Use'!K206</f>
        <v>221.21917557646563</v>
      </c>
      <c r="S103" s="128">
        <f>'Non-Energy Use'!L206</f>
        <v>225.6984066675825</v>
      </c>
      <c r="T103" s="128">
        <f>'Non-Energy Use'!M206</f>
        <v>233.13459104539012</v>
      </c>
      <c r="U103" s="128">
        <f>'Non-Energy Use'!N206</f>
        <v>247.5813899685875</v>
      </c>
      <c r="V103" s="128">
        <f>'Non-Energy Use'!O206</f>
        <v>234.65714168283878</v>
      </c>
      <c r="W103" s="128">
        <f>'Non-Energy Use'!P206</f>
        <v>225.63358137651335</v>
      </c>
      <c r="X103" s="128">
        <f>'Non-Energy Use'!Q206</f>
        <v>229.62919165976933</v>
      </c>
      <c r="Y103" s="128">
        <f>'Non-Energy Use'!R206</f>
        <v>221.33110458840909</v>
      </c>
      <c r="Z103" s="128">
        <f>'Non-Energy Use'!S206</f>
        <v>239.0594022069011</v>
      </c>
      <c r="AA103" s="128">
        <f>'Non-Energy Use'!T206</f>
        <v>234.19068460339142</v>
      </c>
      <c r="AB103" s="128">
        <f>'Non-Energy Use'!U206</f>
        <v>235.39695875836972</v>
      </c>
      <c r="AC103" s="128">
        <f>'Non-Energy Use'!V206</f>
        <v>234.73933309971588</v>
      </c>
      <c r="AD103" s="128">
        <f>'Non-Energy Use'!W206</f>
        <v>210.73911052280425</v>
      </c>
      <c r="AE103" s="128">
        <f>'Non-Energy Use'!X206</f>
        <v>199.72429297467622</v>
      </c>
      <c r="AF103" s="128">
        <f>'Non-Energy Use'!Y206</f>
        <v>211.62709252002639</v>
      </c>
      <c r="AG103" s="128">
        <f>'Non-Energy Use'!Z206</f>
        <v>208.68867393503305</v>
      </c>
      <c r="AH103" s="128">
        <f>'Non-Energy Use'!AA206</f>
        <v>200.89389528822352</v>
      </c>
      <c r="AI103" s="128">
        <f>'Non-Energy Use'!AB206</f>
        <v>206.31443903936736</v>
      </c>
      <c r="AJ103" s="128">
        <f>'Non-Energy Use'!AC206</f>
        <v>206.28883861232853</v>
      </c>
      <c r="AK103" s="128">
        <f>'Non-Energy Use'!AD206</f>
        <v>214.5391544013541</v>
      </c>
      <c r="AL103" s="128">
        <f>'Non-Energy Use'!AE206</f>
        <v>218.21857405572081</v>
      </c>
      <c r="AM103" s="128">
        <f>'Non-Energy Use'!AF206</f>
        <v>219.56490829871038</v>
      </c>
      <c r="AN103" s="128">
        <f>'Non-Energy Use'!AG206</f>
        <v>223.16555928022532</v>
      </c>
      <c r="AO103" s="128">
        <f>'Non-Energy Use'!AH206</f>
        <v>228.21628938462797</v>
      </c>
      <c r="AP103" s="128">
        <f>'Non-Energy Use'!AI206</f>
        <v>230.81040419025726</v>
      </c>
      <c r="AQ103" s="128">
        <f>'Non-Energy Use'!AJ206</f>
        <v>233.41380217134409</v>
      </c>
      <c r="AR103" s="128">
        <f>'Non-Energy Use'!AK206</f>
        <v>236.58505659352474</v>
      </c>
    </row>
    <row r="104" spans="11:49">
      <c r="K104" s="126" t="s">
        <v>128</v>
      </c>
      <c r="L104" s="129">
        <f>'Non-Energy Use'!E179</f>
        <v>103.49628773535125</v>
      </c>
      <c r="M104" s="129">
        <f>'Non-Energy Use'!F179</f>
        <v>107.22914795655068</v>
      </c>
      <c r="N104" s="129">
        <f>'Non-Energy Use'!G179</f>
        <v>112.69643505849137</v>
      </c>
      <c r="O104" s="129">
        <f>'Non-Energy Use'!H179</f>
        <v>101.15668376602704</v>
      </c>
      <c r="P104" s="129">
        <f>'Non-Energy Use'!I179</f>
        <v>111.63569709916136</v>
      </c>
      <c r="Q104" s="129">
        <f>'Non-Energy Use'!J179</f>
        <v>109.02682603570777</v>
      </c>
      <c r="R104" s="129">
        <f>'Non-Energy Use'!K179</f>
        <v>105.49198684164149</v>
      </c>
      <c r="S104" s="129">
        <f>'Non-Energy Use'!L179</f>
        <v>117.30652286131141</v>
      </c>
      <c r="T104" s="129">
        <f>'Non-Energy Use'!M179</f>
        <v>123.52003839921375</v>
      </c>
      <c r="U104" s="129">
        <f>'Non-Energy Use'!N179</f>
        <v>144.4315543106506</v>
      </c>
      <c r="V104" s="129">
        <f>'Non-Energy Use'!O179</f>
        <v>123.01480046419761</v>
      </c>
      <c r="W104" s="129">
        <f>'Non-Energy Use'!P179</f>
        <v>118.71374272305586</v>
      </c>
      <c r="X104" s="129">
        <f>'Non-Energy Use'!Q179</f>
        <v>121.38853836891811</v>
      </c>
      <c r="Y104" s="129">
        <f>'Non-Energy Use'!R179</f>
        <v>115.40114041550169</v>
      </c>
      <c r="Z104" s="129">
        <f>'Non-Energy Use'!S179</f>
        <v>133.20362025104797</v>
      </c>
      <c r="AA104" s="129">
        <f>'Non-Energy Use'!T179</f>
        <v>125.9484052232914</v>
      </c>
      <c r="AB104" s="129">
        <f>'Non-Energy Use'!U179</f>
        <v>124.64877484727198</v>
      </c>
      <c r="AC104" s="129">
        <f>'Non-Energy Use'!V179</f>
        <v>113.20541729052964</v>
      </c>
      <c r="AD104" s="129">
        <f>'Non-Energy Use'!W179</f>
        <v>109.28442698227997</v>
      </c>
      <c r="AE104" s="129">
        <f>'Non-Energy Use'!X179</f>
        <v>92.024337256921257</v>
      </c>
      <c r="AF104" s="129">
        <f>'Non-Energy Use'!Y179</f>
        <v>91.724135995526836</v>
      </c>
      <c r="AG104" s="129">
        <f>'Non-Energy Use'!Z179</f>
        <v>89.052134722045096</v>
      </c>
      <c r="AH104" s="129">
        <f>'Non-Energy Use'!AA179</f>
        <v>89.214658586183219</v>
      </c>
      <c r="AI104" s="129">
        <f>'Non-Energy Use'!AB179</f>
        <v>98.925198292553276</v>
      </c>
      <c r="AJ104" s="129">
        <f>'Non-Energy Use'!AC179</f>
        <v>94.62639350402695</v>
      </c>
      <c r="AK104" s="129">
        <f>'Non-Energy Use'!AD179</f>
        <v>103.0435073274398</v>
      </c>
      <c r="AL104" s="129">
        <f>'Non-Energy Use'!AE179</f>
        <v>96.178726519538202</v>
      </c>
      <c r="AM104" s="129">
        <f>'Non-Energy Use'!AF179</f>
        <v>106.95678848899396</v>
      </c>
      <c r="AN104" s="129">
        <f>'Non-Energy Use'!AG179</f>
        <v>121.72305371312619</v>
      </c>
      <c r="AO104" s="129">
        <f>'Non-Energy Use'!AH179</f>
        <v>115.9740290337345</v>
      </c>
      <c r="AP104" s="129">
        <f>'Non-Energy Use'!AI179</f>
        <v>107.92167871727729</v>
      </c>
      <c r="AQ104" s="129">
        <f>'Non-Energy Use'!AJ179</f>
        <v>120.85587625243753</v>
      </c>
      <c r="AR104" s="129">
        <f>'Non-Energy Use'!AK179</f>
        <v>116.02731355973719</v>
      </c>
    </row>
    <row r="105" spans="11:49" ht="26.1">
      <c r="K105" s="740" t="s">
        <v>1968</v>
      </c>
      <c r="L105" s="136">
        <f>L103/L102</f>
        <v>0.65137711013272837</v>
      </c>
      <c r="M105" s="136">
        <f t="shared" ref="M105:W105" si="39">M103/M102</f>
        <v>0.63667344782334157</v>
      </c>
      <c r="N105" s="136">
        <f t="shared" si="39"/>
        <v>0.63610407658808799</v>
      </c>
      <c r="O105" s="136">
        <f t="shared" si="39"/>
        <v>0.66597073515683802</v>
      </c>
      <c r="P105" s="136">
        <f t="shared" si="39"/>
        <v>0.65522585818222201</v>
      </c>
      <c r="Q105" s="136">
        <f t="shared" si="39"/>
        <v>0.6620050656875377</v>
      </c>
      <c r="R105" s="136">
        <f t="shared" si="39"/>
        <v>0.67710932782076605</v>
      </c>
      <c r="S105" s="136">
        <f t="shared" si="39"/>
        <v>0.65800339073135738</v>
      </c>
      <c r="T105" s="136">
        <f t="shared" si="39"/>
        <v>0.65367044697677446</v>
      </c>
      <c r="U105" s="136">
        <f t="shared" si="39"/>
        <v>0.63156432352966041</v>
      </c>
      <c r="V105" s="136">
        <f t="shared" si="39"/>
        <v>0.65606807253103705</v>
      </c>
      <c r="W105" s="136">
        <f t="shared" si="39"/>
        <v>0.65524999204370349</v>
      </c>
      <c r="X105" s="136">
        <f t="shared" ref="X105:AC105" si="40">X103/X102</f>
        <v>0.65418117666307785</v>
      </c>
      <c r="Y105" s="136">
        <f t="shared" si="40"/>
        <v>0.65729109068791003</v>
      </c>
      <c r="Z105" s="136">
        <f t="shared" si="40"/>
        <v>0.64217874939191755</v>
      </c>
      <c r="AA105" s="136">
        <f t="shared" si="40"/>
        <v>0.6502784374673013</v>
      </c>
      <c r="AB105" s="136">
        <f t="shared" si="40"/>
        <v>0.65379738401844301</v>
      </c>
      <c r="AC105" s="136">
        <f t="shared" si="40"/>
        <v>0.67464542240237424</v>
      </c>
      <c r="AD105" s="136">
        <f t="shared" ref="AD105:AI105" si="41">AD103/AD102</f>
        <v>0.65851128378160706</v>
      </c>
      <c r="AE105" s="136">
        <f t="shared" si="41"/>
        <v>0.68457662617346304</v>
      </c>
      <c r="AF105" s="136">
        <f t="shared" si="41"/>
        <v>0.69763057679252483</v>
      </c>
      <c r="AG105" s="136">
        <f t="shared" si="41"/>
        <v>0.70090719131279511</v>
      </c>
      <c r="AH105" s="136">
        <f t="shared" si="41"/>
        <v>0.69247835889456077</v>
      </c>
      <c r="AI105" s="136">
        <f t="shared" si="41"/>
        <v>0.67590972405401906</v>
      </c>
      <c r="AJ105" s="136">
        <f>AJ103/AJ102</f>
        <v>0.68553804060195411</v>
      </c>
      <c r="AK105" s="136">
        <f>AK103/AK102</f>
        <v>0.67553799452869412</v>
      </c>
      <c r="AL105" s="136">
        <f>AL103/AL102</f>
        <v>0.69408539340650155</v>
      </c>
      <c r="AM105" s="136">
        <f>AM103/AM102</f>
        <v>0.67243589157710892</v>
      </c>
      <c r="AN105" s="136">
        <f t="shared" ref="AN105:AO105" si="42">AN103/AN102</f>
        <v>0.64706560574247585</v>
      </c>
      <c r="AO105" s="136">
        <f t="shared" si="42"/>
        <v>0.6630526112220031</v>
      </c>
      <c r="AP105" s="136">
        <f t="shared" ref="AP105:AQ105" si="43">AP103/AP102</f>
        <v>0.68139516696817481</v>
      </c>
      <c r="AQ105" s="136">
        <f t="shared" si="43"/>
        <v>0.658859101941351</v>
      </c>
      <c r="AR105" s="136">
        <f t="shared" ref="AR105" si="44">AR103/AR102</f>
        <v>0.67094939548120103</v>
      </c>
    </row>
    <row r="106" spans="11:49">
      <c r="K106" s="98" t="s">
        <v>1969</v>
      </c>
      <c r="L106" s="741">
        <f t="shared" ref="L106:W106" si="45">L104/L102</f>
        <v>0.34862288986727147</v>
      </c>
      <c r="M106" s="741">
        <f t="shared" si="45"/>
        <v>0.36332655217665877</v>
      </c>
      <c r="N106" s="741">
        <f t="shared" si="45"/>
        <v>0.3638959234119114</v>
      </c>
      <c r="O106" s="741">
        <f t="shared" si="45"/>
        <v>0.33402926484316164</v>
      </c>
      <c r="P106" s="741">
        <f t="shared" si="45"/>
        <v>0.34477414181777821</v>
      </c>
      <c r="Q106" s="741">
        <f t="shared" si="45"/>
        <v>0.33799493431246252</v>
      </c>
      <c r="R106" s="741">
        <f t="shared" si="45"/>
        <v>0.32289067217923401</v>
      </c>
      <c r="S106" s="741">
        <f t="shared" si="45"/>
        <v>0.34199660926864256</v>
      </c>
      <c r="T106" s="741">
        <f t="shared" si="45"/>
        <v>0.34632955302322538</v>
      </c>
      <c r="U106" s="741">
        <f t="shared" si="45"/>
        <v>0.36843567647033948</v>
      </c>
      <c r="V106" s="741">
        <f t="shared" si="45"/>
        <v>0.34393192746896284</v>
      </c>
      <c r="W106" s="741">
        <f t="shared" si="45"/>
        <v>0.34475000795629634</v>
      </c>
      <c r="X106" s="741">
        <f t="shared" ref="X106:AC106" si="46">X104/X102</f>
        <v>0.34581882333692221</v>
      </c>
      <c r="Y106" s="741">
        <f t="shared" si="46"/>
        <v>0.34270890931208986</v>
      </c>
      <c r="Z106" s="741">
        <f t="shared" si="46"/>
        <v>0.35782125060808223</v>
      </c>
      <c r="AA106" s="741">
        <f t="shared" si="46"/>
        <v>0.34972156253269848</v>
      </c>
      <c r="AB106" s="741">
        <f t="shared" si="46"/>
        <v>0.34620261598155716</v>
      </c>
      <c r="AC106" s="741">
        <f t="shared" si="46"/>
        <v>0.3253545775976257</v>
      </c>
      <c r="AD106" s="741">
        <f t="shared" ref="AD106:AI106" si="47">AD104/AD102</f>
        <v>0.34148871621839311</v>
      </c>
      <c r="AE106" s="741">
        <f t="shared" si="47"/>
        <v>0.3154233738265369</v>
      </c>
      <c r="AF106" s="741">
        <f t="shared" si="47"/>
        <v>0.30236942320747523</v>
      </c>
      <c r="AG106" s="741">
        <f t="shared" si="47"/>
        <v>0.29909280868720461</v>
      </c>
      <c r="AH106" s="741">
        <f t="shared" si="47"/>
        <v>0.30752164110543889</v>
      </c>
      <c r="AI106" s="741">
        <f t="shared" si="47"/>
        <v>0.32409027594598078</v>
      </c>
      <c r="AJ106" s="741">
        <f>AJ104/AJ102</f>
        <v>0.31446195939804594</v>
      </c>
      <c r="AK106" s="741">
        <f>AK104/AK102</f>
        <v>0.32446200547130583</v>
      </c>
      <c r="AL106" s="741">
        <f>AL104/AL102</f>
        <v>0.30591460659349828</v>
      </c>
      <c r="AM106" s="741">
        <f>AM104/AM102</f>
        <v>0.32756410842289113</v>
      </c>
      <c r="AN106" s="741">
        <f t="shared" ref="AN106:AO106" si="48">AN104/AN102</f>
        <v>0.35293439425752415</v>
      </c>
      <c r="AO106" s="741">
        <f t="shared" si="48"/>
        <v>0.33694738877799679</v>
      </c>
      <c r="AP106" s="741">
        <f t="shared" ref="AP106:AQ106" si="49">AP104/AP102</f>
        <v>0.31860483303182463</v>
      </c>
      <c r="AQ106" s="741">
        <f t="shared" si="49"/>
        <v>0.3411408980586485</v>
      </c>
      <c r="AR106" s="741">
        <f t="shared" ref="AR106" si="50">AR104/AR102</f>
        <v>0.32905060451879836</v>
      </c>
    </row>
    <row r="109" spans="11:49">
      <c r="K109" s="140"/>
      <c r="L109" s="141"/>
      <c r="Q109" s="141"/>
      <c r="R109" s="140"/>
      <c r="S109" s="141"/>
      <c r="T109" s="141"/>
      <c r="U109" s="141"/>
      <c r="V109" s="141"/>
      <c r="W109" s="141"/>
      <c r="X109" s="141"/>
    </row>
    <row r="110" spans="11:49">
      <c r="K110" s="118"/>
      <c r="L110" s="128"/>
      <c r="M110" s="128"/>
      <c r="N110" s="128"/>
      <c r="O110" s="128"/>
      <c r="P110" s="128"/>
      <c r="Q110" s="128"/>
      <c r="R110" s="118"/>
      <c r="S110" s="128"/>
      <c r="T110" s="128"/>
      <c r="U110" s="128"/>
      <c r="V110" s="128"/>
      <c r="W110" s="128"/>
      <c r="X110" s="128"/>
      <c r="Y110" s="141"/>
      <c r="Z110" s="141"/>
      <c r="AA110" s="141"/>
      <c r="AB110" s="141"/>
      <c r="AC110" s="141"/>
      <c r="AD110" s="141"/>
      <c r="AE110" s="141"/>
      <c r="AF110" s="141"/>
      <c r="AG110" s="141"/>
      <c r="AH110" s="141"/>
      <c r="AI110" s="141"/>
      <c r="AJ110" s="141"/>
      <c r="AK110" s="141"/>
      <c r="AL110" s="141"/>
      <c r="AM110" s="141"/>
      <c r="AN110" s="141"/>
      <c r="AO110" s="141"/>
      <c r="AP110" s="141"/>
      <c r="AQ110" s="141"/>
      <c r="AR110" s="141"/>
      <c r="AS110" s="141"/>
      <c r="AT110" s="141"/>
      <c r="AU110" s="141"/>
      <c r="AV110" s="141"/>
      <c r="AW110" s="141"/>
    </row>
    <row r="111" spans="11:49">
      <c r="L111" s="128"/>
      <c r="M111" s="128"/>
      <c r="N111" s="128"/>
      <c r="O111" s="128"/>
      <c r="P111" s="128"/>
      <c r="Q111" s="128"/>
      <c r="R111" s="118"/>
      <c r="S111" s="128"/>
      <c r="T111" s="128"/>
      <c r="U111" s="128"/>
      <c r="V111" s="128"/>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c r="AV111" s="128"/>
      <c r="AW111" s="128"/>
    </row>
    <row r="112" spans="11:49" ht="15">
      <c r="K112" s="1" t="s">
        <v>1970</v>
      </c>
      <c r="L112" s="128"/>
      <c r="M112" s="128"/>
      <c r="N112" s="128"/>
      <c r="O112" s="128"/>
      <c r="P112" s="128"/>
      <c r="Q112" s="128"/>
      <c r="R112" s="11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28"/>
    </row>
    <row r="113" spans="11:49">
      <c r="K113" s="117" t="s">
        <v>1503</v>
      </c>
      <c r="L113" s="120">
        <v>1990</v>
      </c>
      <c r="M113" s="120">
        <v>1991</v>
      </c>
      <c r="N113" s="120">
        <v>1992</v>
      </c>
      <c r="O113" s="120">
        <v>1993</v>
      </c>
      <c r="P113" s="120">
        <v>1994</v>
      </c>
      <c r="Q113" s="120">
        <v>1995</v>
      </c>
      <c r="R113" s="120">
        <v>1996</v>
      </c>
      <c r="S113" s="120">
        <v>1997</v>
      </c>
      <c r="T113" s="120">
        <v>1998</v>
      </c>
      <c r="U113" s="120">
        <v>1999</v>
      </c>
      <c r="V113" s="120">
        <v>2000</v>
      </c>
      <c r="W113" s="120">
        <v>2001</v>
      </c>
      <c r="X113" s="120">
        <v>2002</v>
      </c>
      <c r="Y113" s="120">
        <v>2003</v>
      </c>
      <c r="Z113" s="120">
        <v>2004</v>
      </c>
      <c r="AA113" s="120">
        <v>2005</v>
      </c>
      <c r="AB113" s="120">
        <v>2006</v>
      </c>
      <c r="AC113" s="120">
        <v>2007</v>
      </c>
      <c r="AD113" s="120">
        <v>2008</v>
      </c>
      <c r="AE113" s="120">
        <v>2009</v>
      </c>
      <c r="AF113" s="120">
        <v>2010</v>
      </c>
      <c r="AG113" s="120">
        <v>2011</v>
      </c>
      <c r="AH113" s="120">
        <v>2012</v>
      </c>
      <c r="AI113" s="120">
        <v>2013</v>
      </c>
      <c r="AJ113" s="120">
        <v>2014</v>
      </c>
      <c r="AK113" s="120">
        <v>2015</v>
      </c>
      <c r="AL113" s="83">
        <v>2016</v>
      </c>
      <c r="AM113" s="83">
        <v>2017</v>
      </c>
      <c r="AN113" s="83">
        <v>2018</v>
      </c>
      <c r="AO113" s="83">
        <v>2019</v>
      </c>
      <c r="AP113" s="83">
        <v>2020</v>
      </c>
      <c r="AQ113" s="83">
        <v>2021</v>
      </c>
      <c r="AR113" s="83">
        <v>2022</v>
      </c>
      <c r="AS113" s="711" t="s">
        <v>1971</v>
      </c>
      <c r="AT113" s="128"/>
      <c r="AU113" s="128"/>
      <c r="AV113" s="128"/>
      <c r="AW113" s="128"/>
    </row>
    <row r="114" spans="11:49">
      <c r="K114" s="140" t="s">
        <v>1474</v>
      </c>
      <c r="L114" s="354">
        <f>'Summary Table'!C119</f>
        <v>1819.9505893384999</v>
      </c>
      <c r="M114" s="354">
        <f>'Summary Table'!D119</f>
        <v>1817.3586844666015</v>
      </c>
      <c r="N114" s="354">
        <f>'Summary Table'!E119</f>
        <v>1830.6879594436025</v>
      </c>
      <c r="O114" s="354">
        <f>'Summary Table'!F119</f>
        <v>1906.1720738783795</v>
      </c>
      <c r="P114" s="354">
        <f>'Summary Table'!G119</f>
        <v>1930.4684738502767</v>
      </c>
      <c r="Q114" s="354">
        <f>'Summary Table'!H119</f>
        <v>1947.1732378878787</v>
      </c>
      <c r="R114" s="354">
        <f>'Summary Table'!I119</f>
        <v>2020.2429705095551</v>
      </c>
      <c r="S114" s="354">
        <f>'Summary Table'!J119</f>
        <v>2087.5198032038879</v>
      </c>
      <c r="T114" s="354">
        <f>'Summary Table'!K119</f>
        <v>2176.5546251532555</v>
      </c>
      <c r="U114" s="354">
        <f>'Summary Table'!L119</f>
        <v>2189.6658226865443</v>
      </c>
      <c r="V114" s="354">
        <f>'Summary Table'!M119</f>
        <v>2296.1716711514159</v>
      </c>
      <c r="W114" s="354">
        <f>'Summary Table'!N119</f>
        <v>2257.203682742846</v>
      </c>
      <c r="X114" s="354">
        <f>'Summary Table'!O119</f>
        <v>2272.2270983113667</v>
      </c>
      <c r="Y114" s="354">
        <f>'Summary Table'!P119</f>
        <v>2303.6783787819459</v>
      </c>
      <c r="Z114" s="354">
        <f>'Summary Table'!Q119</f>
        <v>2335.0826618336023</v>
      </c>
      <c r="AA114" s="354">
        <f>'Summary Table'!R119</f>
        <v>2400.057485640647</v>
      </c>
      <c r="AB114" s="354">
        <f>'Summary Table'!S119</f>
        <v>2344.3955347500896</v>
      </c>
      <c r="AC114" s="354">
        <f>'Summary Table'!T119</f>
        <v>2411.1373189079404</v>
      </c>
      <c r="AD114" s="354">
        <f>'Summary Table'!U119</f>
        <v>2359.3320917121569</v>
      </c>
      <c r="AE114" s="354">
        <f>'Summary Table'!V119</f>
        <v>2145.3459007564516</v>
      </c>
      <c r="AF114" s="354">
        <f>'Summary Table'!W119</f>
        <v>2258.638992053367</v>
      </c>
      <c r="AG114" s="354">
        <f>'Summary Table'!X119</f>
        <v>2158.0671407665532</v>
      </c>
      <c r="AH114" s="354">
        <f>'Summary Table'!Y119</f>
        <v>2023.2558169491451</v>
      </c>
      <c r="AI114" s="354">
        <f>'Summary Table'!Z119</f>
        <v>2038.2701275465361</v>
      </c>
      <c r="AJ114" s="354">
        <f>'Summary Table'!AA119</f>
        <v>2037.1658489458664</v>
      </c>
      <c r="AK114" s="354">
        <f>'Summary Table'!AB119</f>
        <v>1900.6377895750654</v>
      </c>
      <c r="AL114" s="354">
        <f>'Summary Table'!AC119</f>
        <v>1808.8715159836302</v>
      </c>
      <c r="AM114" s="354">
        <f>'Summary Table'!AD119</f>
        <v>1732.0327184453904</v>
      </c>
      <c r="AN114" s="354">
        <f>'Summary Table'!AE119</f>
        <v>1753.4323681393166</v>
      </c>
      <c r="AO114" s="354">
        <f>'Summary Table'!AF119</f>
        <v>1606.7207957152389</v>
      </c>
      <c r="AP114" s="354">
        <f>'Summary Table'!AG119</f>
        <v>1439.5657139027051</v>
      </c>
      <c r="AQ114" s="354">
        <f>'Summary Table'!AH119</f>
        <v>1540.9327798504844</v>
      </c>
      <c r="AR114" s="354">
        <f>'Summary Table'!AI119</f>
        <v>1531.6800774009748</v>
      </c>
      <c r="AS114" s="283">
        <f>AR114/AQ114-1</f>
        <v>-6.0046113435313631E-3</v>
      </c>
    </row>
    <row r="115" spans="11:49">
      <c r="K115" s="118" t="s">
        <v>1435</v>
      </c>
      <c r="L115" s="356">
        <f>'Summary Table'!C120</f>
        <v>1546.5138658365147</v>
      </c>
      <c r="M115" s="356">
        <f>'Summary Table'!D120</f>
        <v>1547.1744736994474</v>
      </c>
      <c r="N115" s="356">
        <f>'Summary Table'!E120</f>
        <v>1568.5414841172681</v>
      </c>
      <c r="O115" s="356">
        <f>'Summary Table'!F120</f>
        <v>1631.6188101341861</v>
      </c>
      <c r="P115" s="356">
        <f>'Summary Table'!G120</f>
        <v>1637.8528422171717</v>
      </c>
      <c r="Q115" s="356">
        <f>'Summary Table'!H120</f>
        <v>1659.8609103723704</v>
      </c>
      <c r="R115" s="356">
        <f>'Summary Table'!I120</f>
        <v>1751.5233947269828</v>
      </c>
      <c r="S115" s="356">
        <f>'Summary Table'!J120</f>
        <v>1796.0188853915236</v>
      </c>
      <c r="T115" s="356">
        <f>'Summary Table'!K120</f>
        <v>1827.1476965735826</v>
      </c>
      <c r="U115" s="356">
        <f>'Summary Table'!L120</f>
        <v>1835.4022340292524</v>
      </c>
      <c r="V115" s="356">
        <f>'Summary Table'!M120</f>
        <v>1926.3651342158976</v>
      </c>
      <c r="W115" s="356">
        <f>'Summary Table'!N120</f>
        <v>1868.8345135593859</v>
      </c>
      <c r="X115" s="356">
        <f>'Summary Table'!O120</f>
        <v>1888.8946691071951</v>
      </c>
      <c r="Y115" s="356">
        <f>'Summary Table'!P120</f>
        <v>1929.9566599629634</v>
      </c>
      <c r="Z115" s="356">
        <f>'Summary Table'!Q120</f>
        <v>1942.0197985409238</v>
      </c>
      <c r="AA115" s="356">
        <f>'Summary Table'!R120</f>
        <v>1982.7713676303179</v>
      </c>
      <c r="AB115" s="356">
        <f>'Summary Table'!S120</f>
        <v>1952.6895189382972</v>
      </c>
      <c r="AC115" s="356">
        <f>'Summary Table'!T120</f>
        <v>1986.2497853491975</v>
      </c>
      <c r="AD115" s="356">
        <f>'Summary Table'!U120</f>
        <v>1958.3876061335875</v>
      </c>
      <c r="AE115" s="356">
        <f>'Summary Table'!V120</f>
        <v>1740.1526692444147</v>
      </c>
      <c r="AF115" s="356">
        <f>'Summary Table'!W120</f>
        <v>1827.2452396274032</v>
      </c>
      <c r="AG115" s="356">
        <f>'Summary Table'!X120</f>
        <v>1722.3698705628942</v>
      </c>
      <c r="AH115" s="356">
        <f>'Summary Table'!Y120</f>
        <v>1511.6931055686455</v>
      </c>
      <c r="AI115" s="356">
        <f>'Summary Table'!Z120</f>
        <v>1571.2511273959044</v>
      </c>
      <c r="AJ115" s="356">
        <f>'Summary Table'!AA120</f>
        <v>1568.556173908122</v>
      </c>
      <c r="AK115" s="356">
        <f>'Summary Table'!AB120</f>
        <v>1351.3884116145925</v>
      </c>
      <c r="AL115" s="356">
        <f>'Summary Table'!AC120</f>
        <v>1242.0166623259897</v>
      </c>
      <c r="AM115" s="356">
        <f>'Summary Table'!AD120</f>
        <v>1207.0667392920539</v>
      </c>
      <c r="AN115" s="356">
        <f>'Summary Table'!AE120</f>
        <v>1152.8764230464151</v>
      </c>
      <c r="AO115" s="356">
        <f>'Summary Table'!AF120</f>
        <v>973.5397823880611</v>
      </c>
      <c r="AP115" s="356">
        <f>'Summary Table'!AG120</f>
        <v>788.15962639841325</v>
      </c>
      <c r="AQ115" s="356">
        <f>'Summary Table'!AH120</f>
        <v>910.06445819817407</v>
      </c>
      <c r="AR115" s="356">
        <f>'Summary Table'!AI120</f>
        <v>851.47205640141203</v>
      </c>
      <c r="AS115" s="283">
        <f>AR115/AQ115-1</f>
        <v>-6.4382694290433529E-2</v>
      </c>
    </row>
    <row r="116" spans="11:49">
      <c r="K116" s="118" t="s">
        <v>1439</v>
      </c>
      <c r="L116" s="356">
        <f>'Summary Table'!C121</f>
        <v>175.3600389026015</v>
      </c>
      <c r="M116" s="356">
        <f>'Summary Table'!D121</f>
        <v>178.96641557241685</v>
      </c>
      <c r="N116" s="356">
        <f>'Summary Table'!E121</f>
        <v>186.07465958323442</v>
      </c>
      <c r="O116" s="356">
        <f>'Summary Table'!F121</f>
        <v>187.58235295994123</v>
      </c>
      <c r="P116" s="356">
        <f>'Summary Table'!G121</f>
        <v>210.85461547922213</v>
      </c>
      <c r="Q116" s="356">
        <f>'Summary Table'!H121</f>
        <v>228.17265505672165</v>
      </c>
      <c r="R116" s="356">
        <f>'Summary Table'!I121</f>
        <v>204.86080527999366</v>
      </c>
      <c r="S116" s="356">
        <f>'Summary Table'!J121</f>
        <v>218.81342912547896</v>
      </c>
      <c r="T116" s="356">
        <f>'Summary Table'!K121</f>
        <v>247.66612926215842</v>
      </c>
      <c r="U116" s="356">
        <f>'Summary Table'!L121</f>
        <v>259.94521454492025</v>
      </c>
      <c r="V116" s="356">
        <f>'Summary Table'!M121</f>
        <v>280.82105213992054</v>
      </c>
      <c r="W116" s="356">
        <f>'Summary Table'!N121</f>
        <v>289.35862946229537</v>
      </c>
      <c r="X116" s="356">
        <f>'Summary Table'!O121</f>
        <v>306.00875363034964</v>
      </c>
      <c r="Y116" s="356">
        <f>'Summary Table'!P121</f>
        <v>278.12739640727375</v>
      </c>
      <c r="Z116" s="356">
        <f>'Summary Table'!Q121</f>
        <v>296.75029743802992</v>
      </c>
      <c r="AA116" s="356">
        <f>'Summary Table'!R121</f>
        <v>318.85840260471355</v>
      </c>
      <c r="AB116" s="356">
        <f>'Summary Table'!S121</f>
        <v>337.97496302681611</v>
      </c>
      <c r="AC116" s="356">
        <f>'Summary Table'!T121</f>
        <v>371.46513223741312</v>
      </c>
      <c r="AD116" s="356">
        <f>'Summary Table'!U121</f>
        <v>362.11597738194661</v>
      </c>
      <c r="AE116" s="356">
        <f>'Summary Table'!V121</f>
        <v>372.54775041195018</v>
      </c>
      <c r="AF116" s="356">
        <f>'Summary Table'!W121</f>
        <v>399.53808692568629</v>
      </c>
      <c r="AG116" s="356">
        <f>'Summary Table'!X121</f>
        <v>409.42961840152782</v>
      </c>
      <c r="AH116" s="356">
        <f>'Summary Table'!Y121</f>
        <v>492.79219630413746</v>
      </c>
      <c r="AI116" s="356">
        <f>'Summary Table'!Z121</f>
        <v>444.16593360966391</v>
      </c>
      <c r="AJ116" s="356">
        <f>'Summary Table'!AA121</f>
        <v>442.88200596411235</v>
      </c>
      <c r="AK116" s="356">
        <f>'Summary Table'!AB121</f>
        <v>525.16054071183544</v>
      </c>
      <c r="AL116" s="356">
        <f>'Summary Table'!AC121</f>
        <v>544.99213211889321</v>
      </c>
      <c r="AM116" s="356">
        <f>'Summary Table'!AD121</f>
        <v>505.63466065505327</v>
      </c>
      <c r="AN116" s="356">
        <f>'Summary Table'!AE121</f>
        <v>577.93546402725235</v>
      </c>
      <c r="AO116" s="356">
        <f>'Summary Table'!AF121</f>
        <v>616.64869033042908</v>
      </c>
      <c r="AP116" s="356">
        <f>'Summary Table'!AG121</f>
        <v>634.84915679760923</v>
      </c>
      <c r="AQ116" s="356">
        <f>'Summary Table'!AH121</f>
        <v>612.7780915068297</v>
      </c>
      <c r="AR116" s="356">
        <f>'Summary Table'!AI121</f>
        <v>659.30521463869627</v>
      </c>
      <c r="AS116" s="283">
        <f>AR116/AQ116-1</f>
        <v>7.5928176572787942E-2</v>
      </c>
    </row>
    <row r="117" spans="11:49">
      <c r="K117" s="118" t="s">
        <v>1972</v>
      </c>
      <c r="L117" s="356">
        <f>'Summary Table'!C122</f>
        <v>97.538490680398411</v>
      </c>
      <c r="M117" s="356">
        <f>'Summary Table'!D122</f>
        <v>90.678661907118197</v>
      </c>
      <c r="N117" s="356">
        <f>'Summary Table'!E122</f>
        <v>75.527743357330678</v>
      </c>
      <c r="O117" s="356">
        <f>'Summary Table'!F122</f>
        <v>86.415412739867193</v>
      </c>
      <c r="P117" s="356">
        <f>'Summary Table'!G122</f>
        <v>81.246850001075686</v>
      </c>
      <c r="Q117" s="356">
        <f>'Summary Table'!H122</f>
        <v>58.71177506316068</v>
      </c>
      <c r="R117" s="356">
        <f>'Summary Table'!I122</f>
        <v>63.3962927596016</v>
      </c>
      <c r="S117" s="356">
        <f>'Summary Table'!J122</f>
        <v>72.207404234661354</v>
      </c>
      <c r="T117" s="356">
        <f>'Summary Table'!K122</f>
        <v>101.26271580049136</v>
      </c>
      <c r="U117" s="356">
        <f>'Summary Table'!L122</f>
        <v>93.83330481405045</v>
      </c>
      <c r="V117" s="356">
        <f>'Summary Table'!M122</f>
        <v>88.524423740199197</v>
      </c>
      <c r="W117" s="356">
        <f>'Summary Table'!N122</f>
        <v>98.561015855192565</v>
      </c>
      <c r="X117" s="356">
        <f>'Summary Table'!O122</f>
        <v>76.854861578857893</v>
      </c>
      <c r="Y117" s="356">
        <f>'Summary Table'!P122</f>
        <v>95.127634817888449</v>
      </c>
      <c r="Z117" s="356">
        <f>'Summary Table'!Q122</f>
        <v>95.845222101221793</v>
      </c>
      <c r="AA117" s="356">
        <f>'Summary Table'!R122</f>
        <v>97.96669769888446</v>
      </c>
      <c r="AB117" s="356">
        <f>'Summary Table'!S122</f>
        <v>53.276122434926961</v>
      </c>
      <c r="AC117" s="356">
        <f>'Summary Table'!T122</f>
        <v>52.964488890730408</v>
      </c>
      <c r="AD117" s="356">
        <f>'Summary Table'!U122</f>
        <v>38.386647737556437</v>
      </c>
      <c r="AE117" s="356">
        <f>'Summary Table'!V122</f>
        <v>32.211435291660024</v>
      </c>
      <c r="AF117" s="356">
        <f>'Summary Table'!W122</f>
        <v>31.428996559920311</v>
      </c>
      <c r="AG117" s="356">
        <f>'Summary Table'!X122</f>
        <v>25.831553656440903</v>
      </c>
      <c r="AH117" s="356">
        <f>'Summary Table'!Y122</f>
        <v>18.333108585152722</v>
      </c>
      <c r="AI117" s="356">
        <f>'Summary Table'!Z122</f>
        <v>22.420050113678617</v>
      </c>
      <c r="AJ117" s="356">
        <f>'Summary Table'!AA122</f>
        <v>25.304369663240369</v>
      </c>
      <c r="AK117" s="356">
        <f>'Summary Table'!AB122</f>
        <v>23.674448825350165</v>
      </c>
      <c r="AL117" s="356">
        <f>'Summary Table'!AC122</f>
        <v>21.458011279651984</v>
      </c>
      <c r="AM117" s="356">
        <f>'Summary Table'!AD122</f>
        <v>18.920639478904537</v>
      </c>
      <c r="AN117" s="356">
        <f>'Summary Table'!AE122</f>
        <v>22.215728844761522</v>
      </c>
      <c r="AO117" s="356">
        <f>'Summary Table'!AF122</f>
        <v>16.161308535890104</v>
      </c>
      <c r="AP117" s="356">
        <f>'Summary Table'!AG122</f>
        <v>16.166104737697388</v>
      </c>
      <c r="AQ117" s="356">
        <f>'Summary Table'!AH122</f>
        <v>17.713212252599575</v>
      </c>
      <c r="AR117" s="356">
        <f>'Summary Table'!AI122</f>
        <v>20.522249226051947</v>
      </c>
      <c r="AS117" s="283">
        <f>AR117/AQ117-1</f>
        <v>0.15858427784831175</v>
      </c>
    </row>
    <row r="118" spans="11:49">
      <c r="K118" s="118" t="s">
        <v>82</v>
      </c>
      <c r="L118" s="356">
        <f>'Summary Table'!C123</f>
        <v>0.53819391898531332</v>
      </c>
      <c r="M118" s="356">
        <f>'Summary Table'!D123</f>
        <v>0.53913328761937329</v>
      </c>
      <c r="N118" s="356">
        <f>'Summary Table'!E123</f>
        <v>0.54407238576943517</v>
      </c>
      <c r="O118" s="356">
        <f>'Summary Table'!F123</f>
        <v>0.55549804438478367</v>
      </c>
      <c r="P118" s="356">
        <f>'Summary Table'!G123</f>
        <v>0.51416615280727973</v>
      </c>
      <c r="Q118" s="356">
        <f>'Summary Table'!H123</f>
        <v>0.42789739562582274</v>
      </c>
      <c r="R118" s="356">
        <f>'Summary Table'!I123</f>
        <v>0.46247774297699551</v>
      </c>
      <c r="S118" s="356">
        <f>'Summary Table'!J123</f>
        <v>0.48008445222437274</v>
      </c>
      <c r="T118" s="356">
        <f>'Summary Table'!K123</f>
        <v>0.47808351702318308</v>
      </c>
      <c r="U118" s="356">
        <f>'Summary Table'!L123</f>
        <v>0.48506929832140988</v>
      </c>
      <c r="V118" s="356">
        <f>'Summary Table'!M123</f>
        <v>0.46106105539886988</v>
      </c>
      <c r="W118" s="356">
        <f>'Summary Table'!N123</f>
        <v>0.44952386597193894</v>
      </c>
      <c r="X118" s="356">
        <f>'Summary Table'!O123</f>
        <v>0.46881399496422538</v>
      </c>
      <c r="Y118" s="356">
        <f>'Summary Table'!P123</f>
        <v>0.46668759381997493</v>
      </c>
      <c r="Z118" s="356">
        <f>'Summary Table'!Q123</f>
        <v>0.46734375342683254</v>
      </c>
      <c r="AA118" s="356">
        <f>'Summary Table'!R123</f>
        <v>0.46101770673125719</v>
      </c>
      <c r="AB118" s="356">
        <f>'Summary Table'!S123</f>
        <v>0.45493035004951315</v>
      </c>
      <c r="AC118" s="356">
        <f>'Summary Table'!T123</f>
        <v>0.45791243059931558</v>
      </c>
      <c r="AD118" s="356">
        <f>'Summary Table'!U123</f>
        <v>0.44186045906642402</v>
      </c>
      <c r="AE118" s="356">
        <f>'Summary Table'!V123</f>
        <v>0.43404580842672003</v>
      </c>
      <c r="AF118" s="356">
        <f>'Summary Table'!W123</f>
        <v>0.42666894035695202</v>
      </c>
      <c r="AG118" s="356">
        <f>'Summary Table'!X123</f>
        <v>0.436098145690272</v>
      </c>
      <c r="AH118" s="356">
        <f>'Summary Table'!Y123</f>
        <v>0.43740649120955999</v>
      </c>
      <c r="AI118" s="356">
        <f>'Summary Table'!Z123</f>
        <v>0.43301642728912798</v>
      </c>
      <c r="AJ118" s="356">
        <f>'Summary Table'!AA123</f>
        <v>0.42329941039188002</v>
      </c>
      <c r="AK118" s="356">
        <f>'Summary Table'!AB123</f>
        <v>0.41438842328750403</v>
      </c>
      <c r="AL118" s="356">
        <f>'Summary Table'!AC123</f>
        <v>0.40471025909529595</v>
      </c>
      <c r="AM118" s="356">
        <f>'Summary Table'!AD123</f>
        <v>0.410679019378689</v>
      </c>
      <c r="AN118" s="356">
        <f>'Summary Table'!AE123</f>
        <v>0.40475222088763196</v>
      </c>
      <c r="AO118" s="356">
        <f>'Summary Table'!AF123</f>
        <v>0.37101446085844803</v>
      </c>
      <c r="AP118" s="356">
        <f>'Summary Table'!AG123</f>
        <v>0.39082596898509597</v>
      </c>
      <c r="AQ118" s="356">
        <f>'Summary Table'!AH123</f>
        <v>0.37701789288105603</v>
      </c>
      <c r="AR118" s="356">
        <f>'Summary Table'!AI123</f>
        <v>0.38055713481468001</v>
      </c>
      <c r="AS118" s="283">
        <f>AR118/AQ118-1</f>
        <v>9.387464097733389E-3</v>
      </c>
    </row>
    <row r="119" spans="11:49">
      <c r="K119" s="140" t="s">
        <v>1443</v>
      </c>
      <c r="L119" s="354">
        <f>'Summary Table'!C111</f>
        <v>871.14798773588757</v>
      </c>
      <c r="M119" s="354">
        <f>'Summary Table'!D111</f>
        <v>861.01770686221812</v>
      </c>
      <c r="N119" s="354">
        <f>'Summary Table'!E111</f>
        <v>880.61332866268185</v>
      </c>
      <c r="O119" s="354">
        <f>'Summary Table'!F111</f>
        <v>882.63934907005455</v>
      </c>
      <c r="P119" s="354">
        <f>'Summary Table'!G111</f>
        <v>880.59953483440188</v>
      </c>
      <c r="Q119" s="354">
        <f>'Summary Table'!H111</f>
        <v>900.66985857084114</v>
      </c>
      <c r="R119" s="354">
        <f>'Summary Table'!I111</f>
        <v>917.45530156632162</v>
      </c>
      <c r="S119" s="354">
        <f>'Summary Table'!J111</f>
        <v>912.28259273862545</v>
      </c>
      <c r="T119" s="354">
        <f>'Summary Table'!K111</f>
        <v>902.65399739323789</v>
      </c>
      <c r="U119" s="354">
        <f>'Summary Table'!L111</f>
        <v>851.04608197834489</v>
      </c>
      <c r="V119" s="354">
        <f>'Summary Table'!M111</f>
        <v>886.9343082673322</v>
      </c>
      <c r="W119" s="354">
        <f>'Summary Table'!N111</f>
        <v>863.28882117831472</v>
      </c>
      <c r="X119" s="354">
        <f>'Summary Table'!O111</f>
        <v>854.77909108294148</v>
      </c>
      <c r="Y119" s="354">
        <f>'Summary Table'!P111</f>
        <v>848.1963217207458</v>
      </c>
      <c r="Z119" s="354">
        <f>'Summary Table'!Q111</f>
        <v>873.38026486413344</v>
      </c>
      <c r="AA119" s="354">
        <f>'Summary Table'!R111</f>
        <v>843.50269432319647</v>
      </c>
      <c r="AB119" s="354">
        <f>'Summary Table'!S111</f>
        <v>863.78198645591374</v>
      </c>
      <c r="AC119" s="354">
        <f>'Summary Table'!T111</f>
        <v>853.64893767801323</v>
      </c>
      <c r="AD119" s="354">
        <f>'Summary Table'!U111</f>
        <v>816.29570806618426</v>
      </c>
      <c r="AE119" s="354">
        <f>'Summary Table'!V111</f>
        <v>743.09207015314723</v>
      </c>
      <c r="AF119" s="354">
        <f>'Summary Table'!W111</f>
        <v>788.03787367775101</v>
      </c>
      <c r="AG119" s="354">
        <f>'Summary Table'!X111</f>
        <v>791.10599449061897</v>
      </c>
      <c r="AH119" s="354">
        <f>'Summary Table'!Y111</f>
        <v>799.27427390614753</v>
      </c>
      <c r="AI119" s="354">
        <f>'Summary Table'!Z111</f>
        <v>830.13485745036496</v>
      </c>
      <c r="AJ119" s="354">
        <f>'Summary Table'!AA111</f>
        <v>817.04913278609956</v>
      </c>
      <c r="AK119" s="354">
        <f>'Summary Table'!AB111</f>
        <v>794.35753123025074</v>
      </c>
      <c r="AL119" s="354">
        <f>'Summary Table'!AC111</f>
        <v>789.33508463540647</v>
      </c>
      <c r="AM119" s="354">
        <f>'Summary Table'!AD111</f>
        <v>778.82500968816032</v>
      </c>
      <c r="AN119" s="354">
        <f>'Summary Table'!AE111</f>
        <v>805.21388172793172</v>
      </c>
      <c r="AO119" s="354">
        <f>'Summary Table'!AF111</f>
        <v>798.12532100200428</v>
      </c>
      <c r="AP119" s="354">
        <f>'Summary Table'!AG111</f>
        <v>749.5177051610093</v>
      </c>
      <c r="AQ119" s="354">
        <f>'Summary Table'!AH111</f>
        <v>768.83330400406851</v>
      </c>
      <c r="AR119" s="354">
        <f>'Summary Table'!AI111</f>
        <v>775.85903359367535</v>
      </c>
    </row>
    <row r="120" spans="11:49">
      <c r="K120" s="118" t="s">
        <v>1435</v>
      </c>
      <c r="L120" s="356">
        <f>'Summary Table'!C112</f>
        <v>157.83904177851264</v>
      </c>
      <c r="M120" s="356">
        <f>'Summary Table'!D112</f>
        <v>154.63821661006179</v>
      </c>
      <c r="N120" s="356">
        <f>'Summary Table'!E112</f>
        <v>150.2749647363666</v>
      </c>
      <c r="O120" s="356">
        <f>'Summary Table'!F112</f>
        <v>152.54778954502495</v>
      </c>
      <c r="P120" s="356">
        <f>'Summary Table'!G112</f>
        <v>153.46902592244419</v>
      </c>
      <c r="Q120" s="356">
        <f>'Summary Table'!H112</f>
        <v>147.21568642995061</v>
      </c>
      <c r="R120" s="356">
        <f>'Summary Table'!I112</f>
        <v>140.08937876434783</v>
      </c>
      <c r="S120" s="356">
        <f>'Summary Table'!J112</f>
        <v>140.23965311448606</v>
      </c>
      <c r="T120" s="356">
        <f>'Summary Table'!K112</f>
        <v>141.75560347689387</v>
      </c>
      <c r="U120" s="356">
        <f>'Summary Table'!L112</f>
        <v>132.48068946628473</v>
      </c>
      <c r="V120" s="356">
        <f>'Summary Table'!M112</f>
        <v>128.48390763754276</v>
      </c>
      <c r="W120" s="356">
        <f>'Summary Table'!N112</f>
        <v>130.18161126003045</v>
      </c>
      <c r="X120" s="356">
        <f>'Summary Table'!O112</f>
        <v>119.05774285576179</v>
      </c>
      <c r="Y120" s="356">
        <f>'Summary Table'!P112</f>
        <v>119.43854006261547</v>
      </c>
      <c r="Z120" s="356">
        <f>'Summary Table'!Q112</f>
        <v>120.43424047781994</v>
      </c>
      <c r="AA120" s="356">
        <f>'Summary Table'!R112</f>
        <v>117.84136322777762</v>
      </c>
      <c r="AB120" s="356">
        <f>'Summary Table'!S112</f>
        <v>115.57937880961637</v>
      </c>
      <c r="AC120" s="356">
        <f>'Summary Table'!T112</f>
        <v>110.7742334657229</v>
      </c>
      <c r="AD120" s="356">
        <f>'Summary Table'!U112</f>
        <v>106.0748691930491</v>
      </c>
      <c r="AE120" s="356">
        <f>'Summary Table'!V112</f>
        <v>87.066994880340218</v>
      </c>
      <c r="AF120" s="356">
        <f>'Summary Table'!W112</f>
        <v>94.164426530393271</v>
      </c>
      <c r="AG120" s="356">
        <f>'Summary Table'!X112</f>
        <v>85.953690906971573</v>
      </c>
      <c r="AH120" s="356">
        <f>'Summary Table'!Y112</f>
        <v>78.224309760947136</v>
      </c>
      <c r="AI120" s="356">
        <f>'Summary Table'!Z112</f>
        <v>79.543821123315311</v>
      </c>
      <c r="AJ120" s="356">
        <f>'Summary Table'!AA112</f>
        <v>79.242788637601819</v>
      </c>
      <c r="AK120" s="356">
        <f>'Summary Table'!AB112</f>
        <v>69.970403927797904</v>
      </c>
      <c r="AL120" s="356">
        <f>'Summary Table'!AC112</f>
        <v>63.150304482426023</v>
      </c>
      <c r="AM120" s="356">
        <f>'Summary Table'!AD112</f>
        <v>58.672866160806755</v>
      </c>
      <c r="AN120" s="356">
        <f>'Summary Table'!AE112</f>
        <v>54.41675515263988</v>
      </c>
      <c r="AO120" s="356">
        <f>'Summary Table'!AF112</f>
        <v>49.458189949163135</v>
      </c>
      <c r="AP120" s="356">
        <f>'Summary Table'!AG112</f>
        <v>42.966294417900514</v>
      </c>
      <c r="AQ120" s="356">
        <f>'Summary Table'!AH112</f>
        <v>43.026401331772739</v>
      </c>
      <c r="AR120" s="356">
        <f>'Summary Table'!AI112</f>
        <v>42.659992596041015</v>
      </c>
    </row>
    <row r="121" spans="11:49">
      <c r="K121" s="118" t="s">
        <v>1439</v>
      </c>
      <c r="L121" s="356">
        <f>'Summary Table'!C113</f>
        <v>407.44057591552206</v>
      </c>
      <c r="M121" s="356">
        <f>'Summary Table'!D113</f>
        <v>413.59445395561858</v>
      </c>
      <c r="N121" s="356">
        <f>'Summary Table'!E113</f>
        <v>429.30737763379256</v>
      </c>
      <c r="O121" s="356">
        <f>'Summary Table'!F113</f>
        <v>436.98219553873059</v>
      </c>
      <c r="P121" s="356">
        <f>'Summary Table'!G113</f>
        <v>438.20865393150382</v>
      </c>
      <c r="Q121" s="356">
        <f>'Summary Table'!H113</f>
        <v>461.4680033053877</v>
      </c>
      <c r="R121" s="356">
        <f>'Summary Table'!I113</f>
        <v>477.22704593798659</v>
      </c>
      <c r="S121" s="356">
        <f>'Summary Table'!J113</f>
        <v>477.88613017996011</v>
      </c>
      <c r="T121" s="356">
        <f>'Summary Table'!K113</f>
        <v>466.22857939809182</v>
      </c>
      <c r="U121" s="356">
        <f>'Summary Table'!L113</f>
        <v>445.62145311258905</v>
      </c>
      <c r="V121" s="356">
        <f>'Summary Table'!M113</f>
        <v>458.18470970362125</v>
      </c>
      <c r="W121" s="356">
        <f>'Summary Table'!N113</f>
        <v>420.60012891527748</v>
      </c>
      <c r="X121" s="356">
        <f>'Summary Table'!O113</f>
        <v>428.10994471518688</v>
      </c>
      <c r="Y121" s="356">
        <f>'Summary Table'!P113</f>
        <v>415.08604298191261</v>
      </c>
      <c r="Z121" s="356">
        <f>'Summary Table'!Q113</f>
        <v>418.88608808286688</v>
      </c>
      <c r="AA121" s="356">
        <f>'Summary Table'!R113</f>
        <v>387.78439069369989</v>
      </c>
      <c r="AB121" s="356">
        <f>'Summary Table'!S113</f>
        <v>387.43556914859869</v>
      </c>
      <c r="AC121" s="356">
        <f>'Summary Table'!T113</f>
        <v>396.96908687881142</v>
      </c>
      <c r="AD121" s="356">
        <f>'Summary Table'!U113</f>
        <v>398.65113463252698</v>
      </c>
      <c r="AE121" s="356">
        <f>'Summary Table'!V113</f>
        <v>374.19964007784171</v>
      </c>
      <c r="AF121" s="356">
        <f>'Summary Table'!W113</f>
        <v>407.08948538432492</v>
      </c>
      <c r="AG121" s="356">
        <f>'Summary Table'!X113</f>
        <v>417.16969084127084</v>
      </c>
      <c r="AH121" s="356">
        <f>'Summary Table'!Y113</f>
        <v>433.87411357806093</v>
      </c>
      <c r="AI121" s="356">
        <f>'Summary Table'!Z113</f>
        <v>450.93611572282049</v>
      </c>
      <c r="AJ121" s="356">
        <f>'Summary Table'!AA113</f>
        <v>465.9360743641227</v>
      </c>
      <c r="AK121" s="356">
        <f>'Summary Table'!AB113</f>
        <v>459.64627978150747</v>
      </c>
      <c r="AL121" s="356">
        <f>'Summary Table'!AC113</f>
        <v>463.98257891833475</v>
      </c>
      <c r="AM121" s="356">
        <f>'Summary Table'!AD113</f>
        <v>468.13315809622293</v>
      </c>
      <c r="AN121" s="356">
        <f>'Summary Table'!AE113</f>
        <v>493.46897972996544</v>
      </c>
      <c r="AO121" s="356">
        <f>'Summary Table'!AF113</f>
        <v>501.50851576791644</v>
      </c>
      <c r="AP121" s="356">
        <f>'Summary Table'!AG113</f>
        <v>489.71696452157283</v>
      </c>
      <c r="AQ121" s="356">
        <f>'Summary Table'!AH113</f>
        <v>501.1666660948701</v>
      </c>
      <c r="AR121" s="356">
        <f>'Summary Table'!AI113</f>
        <v>511.44589460637036</v>
      </c>
    </row>
    <row r="122" spans="11:49">
      <c r="K122" s="118" t="s">
        <v>1972</v>
      </c>
      <c r="L122" s="356">
        <f>'Summary Table'!C114</f>
        <v>305.86837004185293</v>
      </c>
      <c r="M122" s="356">
        <f>'Summary Table'!D114</f>
        <v>292.78503629653778</v>
      </c>
      <c r="N122" s="356">
        <f>'Summary Table'!E114</f>
        <v>301.0309862925227</v>
      </c>
      <c r="O122" s="356">
        <f>'Summary Table'!F114</f>
        <v>293.109363986299</v>
      </c>
      <c r="P122" s="356">
        <f>'Summary Table'!G114</f>
        <v>288.92185498045387</v>
      </c>
      <c r="Q122" s="356">
        <f>'Summary Table'!H114</f>
        <v>291.98616883550289</v>
      </c>
      <c r="R122" s="356">
        <f>'Summary Table'!I114</f>
        <v>300.13887686398715</v>
      </c>
      <c r="S122" s="356">
        <f>'Summary Table'!J114</f>
        <v>294.15680944417926</v>
      </c>
      <c r="T122" s="356">
        <f>'Summary Table'!K114</f>
        <v>294.66981451825228</v>
      </c>
      <c r="U122" s="356">
        <f>'Summary Table'!L114</f>
        <v>272.94393939947111</v>
      </c>
      <c r="V122" s="356">
        <f>'Summary Table'!M114</f>
        <v>300.26569092616825</v>
      </c>
      <c r="W122" s="356">
        <f>'Summary Table'!N114</f>
        <v>312.50708100300676</v>
      </c>
      <c r="X122" s="356">
        <f>'Summary Table'!O114</f>
        <v>307.61140351199276</v>
      </c>
      <c r="Y122" s="356">
        <f>'Summary Table'!P114</f>
        <v>313.67173867621773</v>
      </c>
      <c r="Z122" s="356">
        <f>'Summary Table'!Q114</f>
        <v>334.05993630344665</v>
      </c>
      <c r="AA122" s="356">
        <f>'Summary Table'!R114</f>
        <v>337.87694040171903</v>
      </c>
      <c r="AB122" s="356">
        <f>'Summary Table'!S114</f>
        <v>360.76703849769871</v>
      </c>
      <c r="AC122" s="356">
        <f>'Summary Table'!T114</f>
        <v>345.90561733347892</v>
      </c>
      <c r="AD122" s="356">
        <f>'Summary Table'!U114</f>
        <v>311.56970424060825</v>
      </c>
      <c r="AE122" s="356">
        <f>'Summary Table'!V114</f>
        <v>281.82543519496528</v>
      </c>
      <c r="AF122" s="356">
        <f>'Summary Table'!W114</f>
        <v>286.78396176303283</v>
      </c>
      <c r="AG122" s="356">
        <f>'Summary Table'!X114</f>
        <v>287.98261274237649</v>
      </c>
      <c r="AH122" s="356">
        <f>'Summary Table'!Y114</f>
        <v>287.17585056713943</v>
      </c>
      <c r="AI122" s="356">
        <f>'Summary Table'!Z114</f>
        <v>299.65492060422906</v>
      </c>
      <c r="AJ122" s="356">
        <f>'Summary Table'!AA114</f>
        <v>271.87026978437501</v>
      </c>
      <c r="AK122" s="356">
        <f>'Summary Table'!AB114</f>
        <v>264.74084752094535</v>
      </c>
      <c r="AL122" s="356">
        <f>'Summary Table'!AC114</f>
        <v>262.20220123464566</v>
      </c>
      <c r="AM122" s="356">
        <f>'Summary Table'!AD114</f>
        <v>252.01898543113069</v>
      </c>
      <c r="AN122" s="356">
        <f>'Summary Table'!AE114</f>
        <v>257.32814684532644</v>
      </c>
      <c r="AO122" s="356">
        <f>'Summary Table'!AF114</f>
        <v>247.15861528492468</v>
      </c>
      <c r="AP122" s="356">
        <f>'Summary Table'!AG114</f>
        <v>216.83444622153593</v>
      </c>
      <c r="AQ122" s="356">
        <f>'Summary Table'!AH114</f>
        <v>224.64023657742564</v>
      </c>
      <c r="AR122" s="356">
        <f>'Summary Table'!AI114</f>
        <v>221.75314639126401</v>
      </c>
    </row>
    <row r="123" spans="11:49">
      <c r="K123" s="140" t="s">
        <v>1441</v>
      </c>
      <c r="L123" s="354">
        <f>'Summary Table'!C107</f>
        <v>228.29252569232682</v>
      </c>
      <c r="M123" s="354">
        <f>'Summary Table'!D107</f>
        <v>232.6602188593333</v>
      </c>
      <c r="N123" s="354">
        <f>'Summary Table'!E107</f>
        <v>228.03780614173755</v>
      </c>
      <c r="O123" s="354">
        <f>'Summary Table'!F107</f>
        <v>222.98547793099596</v>
      </c>
      <c r="P123" s="354">
        <f>'Summary Table'!G107</f>
        <v>224.69760946836189</v>
      </c>
      <c r="Q123" s="354">
        <f>'Summary Table'!H107</f>
        <v>227.78709302839189</v>
      </c>
      <c r="R123" s="354">
        <f>'Summary Table'!I107</f>
        <v>237.55830122079288</v>
      </c>
      <c r="S123" s="354">
        <f>'Summary Table'!J107</f>
        <v>237.81886128140263</v>
      </c>
      <c r="T123" s="354">
        <f>'Summary Table'!K107</f>
        <v>220.11800749855348</v>
      </c>
      <c r="U123" s="354">
        <f>'Summary Table'!L107</f>
        <v>220.7303790366158</v>
      </c>
      <c r="V123" s="354">
        <f>'Summary Table'!M107</f>
        <v>236.53065884817806</v>
      </c>
      <c r="W123" s="354">
        <f>'Summary Table'!N107</f>
        <v>228.4380393277641</v>
      </c>
      <c r="X123" s="354">
        <f>'Summary Table'!O107</f>
        <v>228.9797512545434</v>
      </c>
      <c r="Y123" s="354">
        <f>'Summary Table'!P107</f>
        <v>240.11125455570209</v>
      </c>
      <c r="Z123" s="354">
        <f>'Summary Table'!Q107</f>
        <v>237.92983578981887</v>
      </c>
      <c r="AA123" s="354">
        <f>'Summary Table'!R107</f>
        <v>226.97905171661546</v>
      </c>
      <c r="AB123" s="354">
        <f>'Summary Table'!S107</f>
        <v>211.38647278247549</v>
      </c>
      <c r="AC123" s="354">
        <f>'Summary Table'!T107</f>
        <v>222.54725889062303</v>
      </c>
      <c r="AD123" s="354">
        <f>'Summary Table'!U107</f>
        <v>227.06571744527918</v>
      </c>
      <c r="AE123" s="354">
        <f>'Summary Table'!V107</f>
        <v>227.70760129838843</v>
      </c>
      <c r="AF123" s="354">
        <f>'Summary Table'!W107</f>
        <v>224.28150233779189</v>
      </c>
      <c r="AG123" s="354">
        <f>'Summary Table'!X107</f>
        <v>224.59853530013848</v>
      </c>
      <c r="AH123" s="354">
        <f>'Summary Table'!Y107</f>
        <v>200.42911388421356</v>
      </c>
      <c r="AI123" s="354">
        <f>'Summary Table'!Z107</f>
        <v>224.32567870195237</v>
      </c>
      <c r="AJ123" s="354">
        <f>'Summary Table'!AA107</f>
        <v>232.55218038119722</v>
      </c>
      <c r="AK123" s="354">
        <f>'Summary Table'!AB107</f>
        <v>244.80512423914416</v>
      </c>
      <c r="AL123" s="354">
        <f>'Summary Table'!AC107</f>
        <v>231.8607082346536</v>
      </c>
      <c r="AM123" s="354">
        <f>'Summary Table'!AD107</f>
        <v>232.4132299027589</v>
      </c>
      <c r="AN123" s="354">
        <f>'Summary Table'!AE107</f>
        <v>246.29706654436893</v>
      </c>
      <c r="AO123" s="354">
        <f>'Summary Table'!AF107</f>
        <v>251.74931449629253</v>
      </c>
      <c r="AP123" s="354">
        <f>'Summary Table'!AG107</f>
        <v>229.26371887598955</v>
      </c>
      <c r="AQ123" s="354">
        <f>'Summary Table'!AH107</f>
        <v>237.52763457689494</v>
      </c>
      <c r="AR123" s="354">
        <f>'Summary Table'!AI107</f>
        <v>244.71401681716131</v>
      </c>
    </row>
    <row r="124" spans="11:49">
      <c r="K124" s="118" t="s">
        <v>1435</v>
      </c>
      <c r="L124" s="356">
        <f>'Summary Table'!C108</f>
        <v>11.950781008242847</v>
      </c>
      <c r="M124" s="356">
        <f>'Summary Table'!D108</f>
        <v>11.123951798824036</v>
      </c>
      <c r="N124" s="356">
        <f>'Summary Table'!E108</f>
        <v>11.2767921073171</v>
      </c>
      <c r="O124" s="356">
        <f>'Summary Table'!F108</f>
        <v>11.251191944732801</v>
      </c>
      <c r="P124" s="356">
        <f>'Summary Table'!G108</f>
        <v>11.300110030238828</v>
      </c>
      <c r="Q124" s="356">
        <f>'Summary Table'!H108</f>
        <v>11.187393726740217</v>
      </c>
      <c r="R124" s="356">
        <f>'Summary Table'!I108</f>
        <v>11.605301798192992</v>
      </c>
      <c r="S124" s="356">
        <f>'Summary Table'!J108</f>
        <v>12.283500350691053</v>
      </c>
      <c r="T124" s="356">
        <f>'Summary Table'!K108</f>
        <v>8.9264663574628376</v>
      </c>
      <c r="U124" s="356">
        <f>'Summary Table'!L108</f>
        <v>9.7635618041440733</v>
      </c>
      <c r="V124" s="356">
        <f>'Summary Table'!M108</f>
        <v>8.7603401271750982</v>
      </c>
      <c r="W124" s="356">
        <f>'Summary Table'!N108</f>
        <v>9.2306379407867158</v>
      </c>
      <c r="X124" s="356">
        <f>'Summary Table'!O108</f>
        <v>8.5511654681646281</v>
      </c>
      <c r="Y124" s="356">
        <f>'Summary Table'!P108</f>
        <v>7.8219705072625967</v>
      </c>
      <c r="Z124" s="356">
        <f>'Summary Table'!Q108</f>
        <v>9.7670904901110305</v>
      </c>
      <c r="AA124" s="356">
        <f>'Summary Table'!R108</f>
        <v>9.2601022167636504</v>
      </c>
      <c r="AB124" s="356">
        <f>'Summary Table'!S108</f>
        <v>6.2387890463696039</v>
      </c>
      <c r="AC124" s="356">
        <f>'Summary Table'!T108</f>
        <v>6.6546288033802021</v>
      </c>
      <c r="AD124" s="356">
        <f>'Summary Table'!U108</f>
        <v>7.6116885807047296</v>
      </c>
      <c r="AE124" s="356">
        <f>'Summary Table'!V108</f>
        <v>6.9212944879527454</v>
      </c>
      <c r="AF124" s="356">
        <f>'Summary Table'!W108</f>
        <v>6.5764502150490669</v>
      </c>
      <c r="AG124" s="356">
        <f>'Summary Table'!X108</f>
        <v>5.8411054745380699</v>
      </c>
      <c r="AH124" s="356">
        <f>'Summary Table'!Y108</f>
        <v>4.1332779377363469</v>
      </c>
      <c r="AI124" s="356">
        <f>'Summary Table'!Z108</f>
        <v>3.9349591086762437</v>
      </c>
      <c r="AJ124" s="356">
        <f>'Summary Table'!AA108</f>
        <v>3.815747352827314</v>
      </c>
      <c r="AK124" s="356">
        <f>'Summary Table'!AB108</f>
        <v>2.9645721255676034</v>
      </c>
      <c r="AL124" s="356">
        <f>'Summary Table'!AC108</f>
        <v>2.2649918397973812</v>
      </c>
      <c r="AM124" s="356">
        <f>'Summary Table'!AD108</f>
        <v>1.9759169500269727</v>
      </c>
      <c r="AN124" s="356">
        <f>'Summary Table'!AE108</f>
        <v>1.7911940979329957</v>
      </c>
      <c r="AO124" s="356">
        <f>'Summary Table'!AF108</f>
        <v>1.6000991942164422</v>
      </c>
      <c r="AP124" s="356">
        <f>'Summary Table'!AG108</f>
        <v>1.3945916740834434</v>
      </c>
      <c r="AQ124" s="356">
        <f>'Summary Table'!AH108</f>
        <v>1.4304169328982714</v>
      </c>
      <c r="AR124" s="356">
        <f>'Summary Table'!AI108</f>
        <v>1.3881296839221755</v>
      </c>
    </row>
    <row r="125" spans="11:49">
      <c r="K125" s="118" t="s">
        <v>1439</v>
      </c>
      <c r="L125" s="356">
        <f>'Summary Table'!C109</f>
        <v>142.02473544607753</v>
      </c>
      <c r="M125" s="356">
        <f>'Summary Table'!D109</f>
        <v>148.12843320995771</v>
      </c>
      <c r="N125" s="356">
        <f>'Summary Table'!E109</f>
        <v>152.1442839987414</v>
      </c>
      <c r="O125" s="356">
        <f>'Summary Table'!F109</f>
        <v>154.86031096580882</v>
      </c>
      <c r="P125" s="356">
        <f>'Summary Table'!G109</f>
        <v>157.02801444190189</v>
      </c>
      <c r="Q125" s="356">
        <f>'Summary Table'!H109</f>
        <v>164.20845936813723</v>
      </c>
      <c r="R125" s="356">
        <f>'Summary Table'!I109</f>
        <v>171.12093873822886</v>
      </c>
      <c r="S125" s="356">
        <f>'Summary Table'!J109</f>
        <v>174.25040454967009</v>
      </c>
      <c r="T125" s="356">
        <f>'Summary Table'!K109</f>
        <v>163.32937279129024</v>
      </c>
      <c r="U125" s="356">
        <f>'Summary Table'!L109</f>
        <v>165.18012136905648</v>
      </c>
      <c r="V125" s="356">
        <f>'Summary Table'!M109</f>
        <v>172.49806642837646</v>
      </c>
      <c r="W125" s="356">
        <f>'Summary Table'!N109</f>
        <v>164.19987233758553</v>
      </c>
      <c r="X125" s="356">
        <f>'Summary Table'!O109</f>
        <v>170.46500850943963</v>
      </c>
      <c r="Y125" s="356">
        <f>'Summary Table'!P109</f>
        <v>172.87591133833368</v>
      </c>
      <c r="Z125" s="356">
        <f>'Summary Table'!Q109</f>
        <v>169.77666283715638</v>
      </c>
      <c r="AA125" s="356">
        <f>'Summary Table'!R109</f>
        <v>162.92508508024997</v>
      </c>
      <c r="AB125" s="356">
        <f>'Summary Table'!S109</f>
        <v>153.83155669866855</v>
      </c>
      <c r="AC125" s="356">
        <f>'Summary Table'!T109</f>
        <v>163.59043097479622</v>
      </c>
      <c r="AD125" s="356">
        <f>'Summary Table'!U109</f>
        <v>171.19325427303346</v>
      </c>
      <c r="AE125" s="356">
        <f>'Summary Table'!V109</f>
        <v>169.05333172555467</v>
      </c>
      <c r="AF125" s="356">
        <f>'Summary Table'!W109</f>
        <v>167.96887548912161</v>
      </c>
      <c r="AG125" s="356">
        <f>'Summary Table'!X109</f>
        <v>170.73801795221382</v>
      </c>
      <c r="AH125" s="356">
        <f>'Summary Table'!Y109</f>
        <v>157.04279460910288</v>
      </c>
      <c r="AI125" s="356">
        <f>'Summary Table'!Z109</f>
        <v>179.21960261143067</v>
      </c>
      <c r="AJ125" s="356">
        <f>'Summary Table'!AA109</f>
        <v>189.18938777422409</v>
      </c>
      <c r="AK125" s="356">
        <f>'Summary Table'!AB109</f>
        <v>175.4117517978259</v>
      </c>
      <c r="AL125" s="356">
        <f>'Summary Table'!AC109</f>
        <v>170.54056544370894</v>
      </c>
      <c r="AM125" s="356">
        <f>'Summary Table'!AD109</f>
        <v>173.19011617374824</v>
      </c>
      <c r="AN125" s="356">
        <f>'Summary Table'!AE109</f>
        <v>192.5283840865653</v>
      </c>
      <c r="AO125" s="356">
        <f>'Summary Table'!AF109</f>
        <v>192.91620874877498</v>
      </c>
      <c r="AP125" s="356">
        <f>'Summary Table'!AG109</f>
        <v>173.45008271834308</v>
      </c>
      <c r="AQ125" s="356">
        <f>'Summary Table'!AH109</f>
        <v>180.36282488864072</v>
      </c>
      <c r="AR125" s="356">
        <f>'Summary Table'!AI109</f>
        <v>192.26242231258678</v>
      </c>
      <c r="AS125" s="283">
        <f>AR125/AQ125-1</f>
        <v>6.5975887388618482E-2</v>
      </c>
    </row>
    <row r="126" spans="11:49">
      <c r="K126" s="118" t="s">
        <v>1972</v>
      </c>
      <c r="L126" s="356">
        <f>'Summary Table'!C110</f>
        <v>74.317009238006435</v>
      </c>
      <c r="M126" s="356">
        <f>'Summary Table'!D110</f>
        <v>73.407833850551555</v>
      </c>
      <c r="N126" s="356">
        <f>'Summary Table'!E110</f>
        <v>64.616730035679041</v>
      </c>
      <c r="O126" s="356">
        <f>'Summary Table'!F110</f>
        <v>56.873975020454345</v>
      </c>
      <c r="P126" s="356">
        <f>'Summary Table'!G110</f>
        <v>56.369484996221161</v>
      </c>
      <c r="Q126" s="356">
        <f>'Summary Table'!H110</f>
        <v>52.391239933514434</v>
      </c>
      <c r="R126" s="356">
        <f>'Summary Table'!I110</f>
        <v>54.832060684371058</v>
      </c>
      <c r="S126" s="356">
        <f>'Summary Table'!J110</f>
        <v>51.284956381041496</v>
      </c>
      <c r="T126" s="356">
        <f>'Summary Table'!K110</f>
        <v>47.862168349800406</v>
      </c>
      <c r="U126" s="356">
        <f>'Summary Table'!L110</f>
        <v>45.78669586341524</v>
      </c>
      <c r="V126" s="356">
        <f>'Summary Table'!M110</f>
        <v>55.272252292626497</v>
      </c>
      <c r="W126" s="356">
        <f>'Summary Table'!N110</f>
        <v>55.007529049391842</v>
      </c>
      <c r="X126" s="356">
        <f>'Summary Table'!O110</f>
        <v>49.963577276939134</v>
      </c>
      <c r="Y126" s="356">
        <f>'Summary Table'!P110</f>
        <v>59.413372710105818</v>
      </c>
      <c r="Z126" s="356">
        <f>'Summary Table'!Q110</f>
        <v>58.386082462551457</v>
      </c>
      <c r="AA126" s="356">
        <f>'Summary Table'!R110</f>
        <v>54.793864419601839</v>
      </c>
      <c r="AB126" s="356">
        <f>'Summary Table'!S110</f>
        <v>51.31612703743734</v>
      </c>
      <c r="AC126" s="356">
        <f>'Summary Table'!T110</f>
        <v>52.302199112446594</v>
      </c>
      <c r="AD126" s="356">
        <f>'Summary Table'!U110</f>
        <v>48.260774591540994</v>
      </c>
      <c r="AE126" s="356">
        <f>'Summary Table'!V110</f>
        <v>51.732975084881019</v>
      </c>
      <c r="AF126" s="356">
        <f>'Summary Table'!W110</f>
        <v>49.736176633621213</v>
      </c>
      <c r="AG126" s="356">
        <f>'Summary Table'!X110</f>
        <v>48.019411873386588</v>
      </c>
      <c r="AH126" s="356">
        <f>'Summary Table'!Y110</f>
        <v>39.253041337374341</v>
      </c>
      <c r="AI126" s="356">
        <f>'Summary Table'!Z110</f>
        <v>41.171116981845458</v>
      </c>
      <c r="AJ126" s="356">
        <f>'Summary Table'!AA110</f>
        <v>39.547045254145807</v>
      </c>
      <c r="AK126" s="356">
        <f>'Summary Table'!AB110</f>
        <v>66.428800315750649</v>
      </c>
      <c r="AL126" s="356">
        <f>'Summary Table'!AC110</f>
        <v>59.055150951147297</v>
      </c>
      <c r="AM126" s="356">
        <f>'Summary Table'!AD110</f>
        <v>57.247196778983692</v>
      </c>
      <c r="AN126" s="356">
        <f>'Summary Table'!AE110</f>
        <v>51.977488359870641</v>
      </c>
      <c r="AO126" s="356">
        <f>'Summary Table'!AF110</f>
        <v>57.233006553301081</v>
      </c>
      <c r="AP126" s="356">
        <f>'Summary Table'!AG110</f>
        <v>54.41904448356302</v>
      </c>
      <c r="AQ126" s="356">
        <f>'Summary Table'!AH110</f>
        <v>55.734392755355948</v>
      </c>
      <c r="AR126" s="356">
        <f>'Summary Table'!AI110</f>
        <v>51.063464820652335</v>
      </c>
    </row>
    <row r="127" spans="11:49">
      <c r="K127" s="140" t="s">
        <v>1434</v>
      </c>
      <c r="L127" s="354">
        <f>'Summary Table'!C103</f>
        <v>338.56762064987532</v>
      </c>
      <c r="M127" s="354">
        <f>'Summary Table'!D103</f>
        <v>347.71040742046836</v>
      </c>
      <c r="N127" s="354">
        <f>'Summary Table'!E103</f>
        <v>353.96781365995514</v>
      </c>
      <c r="O127" s="354">
        <f>'Summary Table'!F103</f>
        <v>366.08176219068184</v>
      </c>
      <c r="P127" s="354">
        <f>'Summary Table'!G103</f>
        <v>357.04722158190327</v>
      </c>
      <c r="Q127" s="354">
        <f>'Summary Table'!H103</f>
        <v>353.13357562814963</v>
      </c>
      <c r="R127" s="354">
        <f>'Summary Table'!I103</f>
        <v>383.47442583247692</v>
      </c>
      <c r="S127" s="354">
        <f>'Summary Table'!J103</f>
        <v>365.03335255680571</v>
      </c>
      <c r="T127" s="354">
        <f>'Summary Table'!K103</f>
        <v>331.61015895804616</v>
      </c>
      <c r="U127" s="354">
        <f>'Summary Table'!L103</f>
        <v>350.90678356718252</v>
      </c>
      <c r="V127" s="354">
        <f>'Summary Table'!M103</f>
        <v>371.70293408973146</v>
      </c>
      <c r="W127" s="354">
        <f>'Summary Table'!N103</f>
        <v>363.02014712962938</v>
      </c>
      <c r="X127" s="354">
        <f>'Summary Table'!O103</f>
        <v>361.02906078218899</v>
      </c>
      <c r="Y127" s="354">
        <f>'Summary Table'!P103</f>
        <v>380.07935625365371</v>
      </c>
      <c r="Z127" s="354">
        <f>'Summary Table'!Q103</f>
        <v>368.96978893709502</v>
      </c>
      <c r="AA127" s="354">
        <f>'Summary Table'!R103</f>
        <v>358.60930317623939</v>
      </c>
      <c r="AB127" s="354">
        <f>'Summary Table'!S103</f>
        <v>320.9820950750655</v>
      </c>
      <c r="AC127" s="354">
        <f>'Summary Table'!T103</f>
        <v>340.14662439815004</v>
      </c>
      <c r="AD127" s="354">
        <f>'Summary Table'!U103</f>
        <v>347.02060289864409</v>
      </c>
      <c r="AE127" s="354">
        <f>'Summary Table'!V103</f>
        <v>335.92770961955716</v>
      </c>
      <c r="AF127" s="354">
        <f>'Summary Table'!W103</f>
        <v>334.4953937384131</v>
      </c>
      <c r="AG127" s="354">
        <f>'Summary Table'!X103</f>
        <v>326.33292949338357</v>
      </c>
      <c r="AH127" s="354">
        <f>'Summary Table'!Y103</f>
        <v>282.53163356617171</v>
      </c>
      <c r="AI127" s="354">
        <f>'Summary Table'!Z103</f>
        <v>329.26483655164748</v>
      </c>
      <c r="AJ127" s="354">
        <f>'Summary Table'!AA103</f>
        <v>346.73389586521466</v>
      </c>
      <c r="AK127" s="354">
        <f>'Summary Table'!AB103</f>
        <v>317.61720155576893</v>
      </c>
      <c r="AL127" s="354">
        <f>'Summary Table'!AC103</f>
        <v>293.19119704544096</v>
      </c>
      <c r="AM127" s="354">
        <f>'Summary Table'!AD103</f>
        <v>293.9655962500521</v>
      </c>
      <c r="AN127" s="354">
        <f>'Summary Table'!AE103</f>
        <v>338.93967247435245</v>
      </c>
      <c r="AO127" s="354">
        <f>'Summary Table'!AF103</f>
        <v>342.90486060752039</v>
      </c>
      <c r="AP127" s="354">
        <f>'Summary Table'!AG103</f>
        <v>314.79502820823041</v>
      </c>
      <c r="AQ127" s="354">
        <f>'Summary Table'!AH103</f>
        <v>318.03359189887266</v>
      </c>
      <c r="AR127" s="354">
        <f>'Summary Table'!AI103</f>
        <v>333.09983042067904</v>
      </c>
    </row>
    <row r="128" spans="11:49">
      <c r="K128" s="118" t="s">
        <v>1435</v>
      </c>
      <c r="L128" s="356">
        <f>'Summary Table'!C104</f>
        <v>2.9876952520607118</v>
      </c>
      <c r="M128" s="356">
        <f>'Summary Table'!D104</f>
        <v>2.4418665673276769</v>
      </c>
      <c r="N128" s="356">
        <f>'Summary Table'!E104</f>
        <v>2.4754382193886699</v>
      </c>
      <c r="O128" s="356">
        <f>'Summary Table'!F104</f>
        <v>2.4697527866952389</v>
      </c>
      <c r="P128" s="356">
        <f>'Summary Table'!G104</f>
        <v>1.9941820840028137</v>
      </c>
      <c r="Q128" s="356">
        <f>'Summary Table'!H104</f>
        <v>1.6716718149582452</v>
      </c>
      <c r="R128" s="356">
        <f>'Summary Table'!I104</f>
        <v>1.5825801930815993</v>
      </c>
      <c r="S128" s="356">
        <f>'Summary Table'!J104</f>
        <v>1.5181715699565763</v>
      </c>
      <c r="T128" s="356">
        <f>'Summary Table'!K104</f>
        <v>1.1032453604176209</v>
      </c>
      <c r="U128" s="356">
        <f>'Summary Table'!L104</f>
        <v>1.3314380787302316</v>
      </c>
      <c r="V128" s="356">
        <f>'Summary Table'!M104</f>
        <v>1.0827568764835389</v>
      </c>
      <c r="W128" s="356">
        <f>'Summary Table'!N104</f>
        <v>1.1408450183687231</v>
      </c>
      <c r="X128" s="356">
        <f>'Summary Table'!O104</f>
        <v>1.1660507086849294</v>
      </c>
      <c r="Y128" s="356">
        <f>'Summary Table'!P104</f>
        <v>1.1687672828281666</v>
      </c>
      <c r="Z128" s="356">
        <f>'Summary Table'!Q104</f>
        <v>1.0852533688090795</v>
      </c>
      <c r="AA128" s="356">
        <f>'Summary Table'!R104</f>
        <v>0.80525533457459764</v>
      </c>
      <c r="AB128" s="356">
        <f>'Summary Table'!S104</f>
        <v>0.61705166323197502</v>
      </c>
      <c r="AC128" s="356">
        <f>'Summary Table'!T104</f>
        <v>0.73943487324772961</v>
      </c>
      <c r="AD128" s="356">
        <f>'Summary Table'!U104</f>
        <v>0</v>
      </c>
      <c r="AE128" s="356">
        <f>'Summary Table'!V104</f>
        <v>0</v>
      </c>
      <c r="AF128" s="356">
        <f>'Summary Table'!W104</f>
        <v>0</v>
      </c>
      <c r="AG128" s="356">
        <f>'Summary Table'!X104</f>
        <v>0</v>
      </c>
      <c r="AH128" s="356">
        <f>'Summary Table'!Y104</f>
        <v>0</v>
      </c>
      <c r="AI128" s="356">
        <f>'Summary Table'!Z104</f>
        <v>0</v>
      </c>
      <c r="AJ128" s="356">
        <f>'Summary Table'!AA104</f>
        <v>0</v>
      </c>
      <c r="AK128" s="356">
        <f>'Summary Table'!AB104</f>
        <v>0</v>
      </c>
      <c r="AL128" s="356">
        <f>'Summary Table'!AC104</f>
        <v>0</v>
      </c>
      <c r="AM128" s="356">
        <f>'Summary Table'!AD104</f>
        <v>0</v>
      </c>
      <c r="AN128" s="356">
        <f>'Summary Table'!AE104</f>
        <v>0</v>
      </c>
      <c r="AO128" s="356">
        <f>'Summary Table'!AF104</f>
        <v>0</v>
      </c>
      <c r="AP128" s="356">
        <f>'Summary Table'!AG104</f>
        <v>0</v>
      </c>
      <c r="AQ128" s="356">
        <f>'Summary Table'!AH104</f>
        <v>0</v>
      </c>
      <c r="AR128" s="356">
        <f>'Summary Table'!AI104</f>
        <v>0</v>
      </c>
    </row>
    <row r="129" spans="11:45">
      <c r="K129" s="118" t="s">
        <v>1439</v>
      </c>
      <c r="L129" s="356">
        <f>'Summary Table'!C105</f>
        <v>237.79751316701928</v>
      </c>
      <c r="M129" s="356">
        <f>'Summary Table'!D105</f>
        <v>247.3163708646733</v>
      </c>
      <c r="N129" s="356">
        <f>'Summary Table'!E105</f>
        <v>254.59497787985759</v>
      </c>
      <c r="O129" s="356">
        <f>'Summary Table'!F105</f>
        <v>268.22932615115491</v>
      </c>
      <c r="P129" s="356">
        <f>'Summary Table'!G105</f>
        <v>262.94355944535857</v>
      </c>
      <c r="Q129" s="356">
        <f>'Summary Table'!H105</f>
        <v>262.76570850496319</v>
      </c>
      <c r="R129" s="356">
        <f>'Summary Table'!I105</f>
        <v>283.99195492868381</v>
      </c>
      <c r="S129" s="356">
        <f>'Summary Table'!J105</f>
        <v>270.12382236394063</v>
      </c>
      <c r="T129" s="356">
        <f>'Summary Table'!K105</f>
        <v>246.13967860387044</v>
      </c>
      <c r="U129" s="356">
        <f>'Summary Table'!L105</f>
        <v>256.37921536804282</v>
      </c>
      <c r="V129" s="356">
        <f>'Summary Table'!M105</f>
        <v>270.80589926201588</v>
      </c>
      <c r="W129" s="356">
        <f>'Summary Table'!N105</f>
        <v>259.1889647876601</v>
      </c>
      <c r="X129" s="356">
        <f>'Summary Table'!O105</f>
        <v>265.05318507540636</v>
      </c>
      <c r="Y129" s="356">
        <f>'Summary Table'!P105</f>
        <v>276.17534859880868</v>
      </c>
      <c r="Z129" s="356">
        <f>'Summary Table'!Q105</f>
        <v>264.17877611421051</v>
      </c>
      <c r="AA129" s="356">
        <f>'Summary Table'!R105</f>
        <v>262.2286055672738</v>
      </c>
      <c r="AB129" s="356">
        <f>'Summary Table'!S105</f>
        <v>237.28839962332515</v>
      </c>
      <c r="AC129" s="356">
        <f>'Summary Table'!T105</f>
        <v>256.4079028660679</v>
      </c>
      <c r="AD129" s="356">
        <f>'Summary Table'!U105</f>
        <v>265.66749545875354</v>
      </c>
      <c r="AE129" s="356">
        <f>'Summary Table'!V105</f>
        <v>259.05601805220141</v>
      </c>
      <c r="AF129" s="356">
        <f>'Summary Table'!W105</f>
        <v>258.91127602274685</v>
      </c>
      <c r="AG129" s="356">
        <f>'Summary Table'!X105</f>
        <v>255.06803132826391</v>
      </c>
      <c r="AH129" s="356">
        <f>'Summary Table'!Y105</f>
        <v>225.10147681644284</v>
      </c>
      <c r="AI129" s="356">
        <f>'Summary Table'!Z105</f>
        <v>266.35053365110366</v>
      </c>
      <c r="AJ129" s="356">
        <f>'Summary Table'!AA105</f>
        <v>277.6716054191445</v>
      </c>
      <c r="AK129" s="356">
        <f>'Summary Table'!AB105</f>
        <v>252.72391355879935</v>
      </c>
      <c r="AL129" s="356">
        <f>'Summary Table'!AC105</f>
        <v>238.38223392683929</v>
      </c>
      <c r="AM129" s="356">
        <f>'Summary Table'!AD105</f>
        <v>241.48609403530835</v>
      </c>
      <c r="AN129" s="356">
        <f>'Summary Table'!AE105</f>
        <v>273.81436679347121</v>
      </c>
      <c r="AO129" s="356">
        <f>'Summary Table'!AF105</f>
        <v>275.46887973202541</v>
      </c>
      <c r="AP129" s="356">
        <f>'Summary Table'!AG105</f>
        <v>256.36135242960933</v>
      </c>
      <c r="AQ129" s="356">
        <f>'Summary Table'!AH105</f>
        <v>258.64706539139297</v>
      </c>
      <c r="AR129" s="356">
        <f>'Summary Table'!AI105</f>
        <v>271.98681887741003</v>
      </c>
      <c r="AS129" s="283">
        <f>AR129/AQ129-1</f>
        <v>5.1575120196438062E-2</v>
      </c>
    </row>
    <row r="130" spans="11:45">
      <c r="K130" s="118" t="s">
        <v>1972</v>
      </c>
      <c r="L130" s="356">
        <f>'Summary Table'!C106</f>
        <v>97.78241223079533</v>
      </c>
      <c r="M130" s="356">
        <f>'Summary Table'!D106</f>
        <v>97.952169988467361</v>
      </c>
      <c r="N130" s="356">
        <f>'Summary Table'!E106</f>
        <v>96.897397560708882</v>
      </c>
      <c r="O130" s="356">
        <f>'Summary Table'!F106</f>
        <v>95.38268325283164</v>
      </c>
      <c r="P130" s="356">
        <f>'Summary Table'!G106</f>
        <v>92.109480052541898</v>
      </c>
      <c r="Q130" s="356">
        <f>'Summary Table'!H106</f>
        <v>88.696195308228212</v>
      </c>
      <c r="R130" s="356">
        <f>'Summary Table'!I106</f>
        <v>97.899890710711531</v>
      </c>
      <c r="S130" s="356">
        <f>'Summary Table'!J106</f>
        <v>93.391358622908527</v>
      </c>
      <c r="T130" s="356">
        <f>'Summary Table'!K106</f>
        <v>84.367234993758103</v>
      </c>
      <c r="U130" s="356">
        <f>'Summary Table'!L106</f>
        <v>93.19613012040945</v>
      </c>
      <c r="V130" s="356">
        <f>'Summary Table'!M106</f>
        <v>99.814277951232029</v>
      </c>
      <c r="W130" s="356">
        <f>'Summary Table'!N106</f>
        <v>102.69033732360053</v>
      </c>
      <c r="X130" s="356">
        <f>'Summary Table'!O106</f>
        <v>94.809824998097724</v>
      </c>
      <c r="Y130" s="356">
        <f>'Summary Table'!P106</f>
        <v>102.73524037201688</v>
      </c>
      <c r="Z130" s="356">
        <f>'Summary Table'!Q106</f>
        <v>103.70575945407543</v>
      </c>
      <c r="AA130" s="356">
        <f>'Summary Table'!R106</f>
        <v>95.575442274390966</v>
      </c>
      <c r="AB130" s="356">
        <f>'Summary Table'!S106</f>
        <v>83.076643788508392</v>
      </c>
      <c r="AC130" s="356">
        <f>'Summary Table'!T106</f>
        <v>82.999286658834436</v>
      </c>
      <c r="AD130" s="356">
        <f>'Summary Table'!U106</f>
        <v>81.35310743989055</v>
      </c>
      <c r="AE130" s="356">
        <f>'Summary Table'!V106</f>
        <v>76.871691567355754</v>
      </c>
      <c r="AF130" s="356">
        <f>'Summary Table'!W106</f>
        <v>75.584117715666224</v>
      </c>
      <c r="AG130" s="356">
        <f>'Summary Table'!X106</f>
        <v>71.264898165119661</v>
      </c>
      <c r="AH130" s="356">
        <f>'Summary Table'!Y106</f>
        <v>57.430156749728859</v>
      </c>
      <c r="AI130" s="356">
        <f>'Summary Table'!Z106</f>
        <v>62.914302900543817</v>
      </c>
      <c r="AJ130" s="356">
        <f>'Summary Table'!AA106</f>
        <v>69.062290446070193</v>
      </c>
      <c r="AK130" s="356">
        <f>'Summary Table'!AB106</f>
        <v>64.893287996969548</v>
      </c>
      <c r="AL130" s="356">
        <f>'Summary Table'!AC106</f>
        <v>54.808963118601646</v>
      </c>
      <c r="AM130" s="356">
        <f>'Summary Table'!AD106</f>
        <v>52.479502214743725</v>
      </c>
      <c r="AN130" s="356">
        <f>'Summary Table'!AE106</f>
        <v>65.12530568088124</v>
      </c>
      <c r="AO130" s="356">
        <f>'Summary Table'!AF106</f>
        <v>67.435980875494991</v>
      </c>
      <c r="AP130" s="356">
        <f>'Summary Table'!AG106</f>
        <v>58.433675778621101</v>
      </c>
      <c r="AQ130" s="356">
        <f>'Summary Table'!AH106</f>
        <v>59.38652650747968</v>
      </c>
      <c r="AR130" s="356">
        <f>'Summary Table'!AI106</f>
        <v>61.113011543269025</v>
      </c>
    </row>
    <row r="131" spans="11:45">
      <c r="K131" s="140" t="s">
        <v>1476</v>
      </c>
      <c r="L131" s="354">
        <f>'Summary Table'!C124</f>
        <v>20.008143642447322</v>
      </c>
      <c r="M131" s="354">
        <f>'Summary Table'!D124</f>
        <v>19.182444782042232</v>
      </c>
      <c r="N131" s="354">
        <f>'Summary Table'!E124</f>
        <v>21.945857376420101</v>
      </c>
      <c r="O131" s="354">
        <f>'Summary Table'!F124</f>
        <v>22.624230404024768</v>
      </c>
      <c r="P131" s="354">
        <f>'Summary Table'!G124</f>
        <v>24.731925088050001</v>
      </c>
      <c r="Q131" s="354">
        <f>'Summary Table'!H124</f>
        <v>21.548589138159482</v>
      </c>
      <c r="R131" s="354">
        <f>'Summary Table'!I124</f>
        <v>19.778093969996299</v>
      </c>
      <c r="S131" s="354">
        <f>'Summary Table'!J124</f>
        <v>20.081919262735433</v>
      </c>
      <c r="T131" s="354">
        <f>'Summary Table'!K124</f>
        <v>19.445266094299622</v>
      </c>
      <c r="U131" s="354">
        <f>'Summary Table'!L124</f>
        <v>15.47129524021522</v>
      </c>
      <c r="V131" s="354">
        <f>'Summary Table'!M124</f>
        <v>37.029575784692575</v>
      </c>
      <c r="W131" s="354">
        <f>'Summary Table'!N124</f>
        <v>49.650607268994591</v>
      </c>
      <c r="X131" s="354">
        <f>'Summary Table'!O124</f>
        <v>45.151214460026296</v>
      </c>
      <c r="Y131" s="354">
        <f>'Summary Table'!P124</f>
        <v>50.364017021263976</v>
      </c>
      <c r="Z131" s="354">
        <f>'Summary Table'!Q124</f>
        <v>52.914993432602749</v>
      </c>
      <c r="AA131" s="354">
        <f>'Summary Table'!R124</f>
        <v>51.855854281144033</v>
      </c>
      <c r="AB131" s="354">
        <f>'Summary Table'!S124</f>
        <v>51.260969486928559</v>
      </c>
      <c r="AC131" s="354">
        <f>'Summary Table'!T124</f>
        <v>46.646544089766849</v>
      </c>
      <c r="AD131" s="354">
        <f>'Summary Table'!U124</f>
        <v>38.463690403077933</v>
      </c>
      <c r="AE131" s="354">
        <f>'Summary Table'!V124</f>
        <v>38.958018298003807</v>
      </c>
      <c r="AF131" s="354">
        <f>'Summary Table'!W124</f>
        <v>34.503300949717527</v>
      </c>
      <c r="AG131" s="354">
        <f>'Summary Table'!X124</f>
        <v>34.062393532029155</v>
      </c>
      <c r="AH131" s="354">
        <f>'Summary Table'!Y124</f>
        <v>32.953900270838638</v>
      </c>
      <c r="AI131" s="354">
        <f>'Summary Table'!Z124</f>
        <v>28.128373261572971</v>
      </c>
      <c r="AJ131" s="354">
        <f>'Summary Table'!AA124</f>
        <v>28.278251679990841</v>
      </c>
      <c r="AK131" s="354">
        <f>'Summary Table'!AB124</f>
        <v>28.534286210610869</v>
      </c>
      <c r="AL131" s="354">
        <f>'Summary Table'!AC124</f>
        <v>26.164722536961889</v>
      </c>
      <c r="AM131" s="354">
        <f>'Summary Table'!AD124</f>
        <v>25.945684640650551</v>
      </c>
      <c r="AN131" s="354">
        <f>'Summary Table'!AE124</f>
        <v>25.922517672840033</v>
      </c>
      <c r="AO131" s="354">
        <f>'Summary Table'!AF124</f>
        <v>24.81274635601731</v>
      </c>
      <c r="AP131" s="354">
        <f>'Summary Table'!AG124</f>
        <v>23.278828306241024</v>
      </c>
      <c r="AQ131" s="354">
        <f>'Summary Table'!AH124</f>
        <v>23.771703899344374</v>
      </c>
      <c r="AR131" s="354">
        <f>'Summary Table'!AI124</f>
        <v>23.766652318356165</v>
      </c>
    </row>
    <row r="132" spans="11:45">
      <c r="K132" s="118" t="s">
        <v>1435</v>
      </c>
      <c r="L132" s="356">
        <f>'Summary Table'!C125</f>
        <v>0.49918364487950195</v>
      </c>
      <c r="M132" s="356">
        <f>'Summary Table'!D125</f>
        <v>0.46298199444111593</v>
      </c>
      <c r="N132" s="356">
        <f>'Summary Table'!E125</f>
        <v>0.39540420426145789</v>
      </c>
      <c r="O132" s="356">
        <f>'Summary Table'!F125</f>
        <v>0.414664583865334</v>
      </c>
      <c r="P132" s="356">
        <f>'Summary Table'!G125</f>
        <v>0.4225953215157458</v>
      </c>
      <c r="Q132" s="356">
        <f>'Summary Table'!H125</f>
        <v>0.43052605711056213</v>
      </c>
      <c r="R132" s="356">
        <f>'Summary Table'!I125</f>
        <v>0.44185569700838989</v>
      </c>
      <c r="S132" s="356">
        <f>'Summary Table'!J125</f>
        <v>0.44910667394322812</v>
      </c>
      <c r="T132" s="356">
        <f>'Summary Table'!K125</f>
        <v>0.45409170850918595</v>
      </c>
      <c r="U132" s="356">
        <f>'Summary Table'!L125</f>
        <v>0.42032940175863998</v>
      </c>
      <c r="V132" s="356">
        <f>'Summary Table'!M125</f>
        <v>0.47500388702083407</v>
      </c>
      <c r="W132" s="356">
        <f>'Summary Table'!N125</f>
        <v>0.59682902437400609</v>
      </c>
      <c r="X132" s="356">
        <f>'Summary Table'!O125</f>
        <v>2.0233696387959919</v>
      </c>
      <c r="Y132" s="356">
        <f>'Summary Table'!P125</f>
        <v>2.6638948248182412</v>
      </c>
      <c r="Z132" s="356">
        <f>'Summary Table'!Q125</f>
        <v>2.9457046672788625</v>
      </c>
      <c r="AA132" s="356">
        <f>'Summary Table'!R125</f>
        <v>3.0136824655534786</v>
      </c>
      <c r="AB132" s="356">
        <f>'Summary Table'!S125</f>
        <v>3.3988899959624983</v>
      </c>
      <c r="AC132" s="356">
        <f>'Summary Table'!T125</f>
        <v>3.4023708872877636</v>
      </c>
      <c r="AD132" s="356">
        <f>'Summary Table'!U125</f>
        <v>3.4334171477753794</v>
      </c>
      <c r="AE132" s="356">
        <f>'Summary Table'!V125</f>
        <v>3.4095811621519387</v>
      </c>
      <c r="AF132" s="356">
        <f>'Summary Table'!W125</f>
        <v>3.1957130259780819</v>
      </c>
      <c r="AG132" s="356">
        <f>'Summary Table'!X125</f>
        <v>3.4382816448199178</v>
      </c>
      <c r="AH132" s="356">
        <f>'Summary Table'!Y125</f>
        <v>3.2878464692658049</v>
      </c>
      <c r="AI132" s="356">
        <f>'Summary Table'!Z125</f>
        <v>3.275549300432385</v>
      </c>
      <c r="AJ132" s="356">
        <f>'Summary Table'!AA125</f>
        <v>3.4423529910979647</v>
      </c>
      <c r="AK132" s="356">
        <f>'Summary Table'!AB125</f>
        <v>3.3100766326055582</v>
      </c>
      <c r="AL132" s="356">
        <f>'Summary Table'!AC125</f>
        <v>3.2706872988139057</v>
      </c>
      <c r="AM132" s="356">
        <f>'Summary Table'!AD125</f>
        <v>2.3004828509080002</v>
      </c>
      <c r="AN132" s="356">
        <f>'Summary Table'!AE125</f>
        <v>2.5567788600420003</v>
      </c>
      <c r="AO132" s="356">
        <f>'Summary Table'!AF125</f>
        <v>3.5604735078220004</v>
      </c>
      <c r="AP132" s="356">
        <f>'Summary Table'!AG125</f>
        <v>3.0825890668051215</v>
      </c>
      <c r="AQ132" s="356">
        <f>'Summary Table'!AH125</f>
        <v>2.8885689791967102</v>
      </c>
      <c r="AR132" s="356">
        <f>'Summary Table'!AI125</f>
        <v>2.8885689791967102</v>
      </c>
    </row>
    <row r="133" spans="11:45">
      <c r="K133" s="118" t="s">
        <v>1439</v>
      </c>
      <c r="L133" s="356" t="str">
        <f>'Summary Table'!C126</f>
        <v>NO</v>
      </c>
      <c r="M133" s="356" t="str">
        <f>'Summary Table'!D126</f>
        <v>NO</v>
      </c>
      <c r="N133" s="356" t="str">
        <f>'Summary Table'!E126</f>
        <v>NO</v>
      </c>
      <c r="O133" s="356" t="str">
        <f>'Summary Table'!F126</f>
        <v>NO</v>
      </c>
      <c r="P133" s="356" t="str">
        <f>'Summary Table'!G126</f>
        <v>NO</v>
      </c>
      <c r="Q133" s="356" t="str">
        <f>'Summary Table'!H126</f>
        <v>NO</v>
      </c>
      <c r="R133" s="356" t="str">
        <f>'Summary Table'!I126</f>
        <v>NO</v>
      </c>
      <c r="S133" s="356" t="str">
        <f>'Summary Table'!J126</f>
        <v>NO</v>
      </c>
      <c r="T133" s="356" t="str">
        <f>'Summary Table'!K126</f>
        <v>NO</v>
      </c>
      <c r="U133" s="356" t="str">
        <f>'Summary Table'!L126</f>
        <v>NO</v>
      </c>
      <c r="V133" s="356">
        <f>'Summary Table'!M126</f>
        <v>0.67212201477417799</v>
      </c>
      <c r="W133" s="356">
        <f>'Summary Table'!N126</f>
        <v>1.2125167466946647</v>
      </c>
      <c r="X133" s="356">
        <f>'Summary Table'!O126</f>
        <v>1.2089205865598054</v>
      </c>
      <c r="Y133" s="356">
        <f>'Summary Table'!P126</f>
        <v>1.4242260199270667</v>
      </c>
      <c r="Z133" s="356">
        <f>'Summary Table'!Q126</f>
        <v>1.3068074496928888</v>
      </c>
      <c r="AA133" s="356">
        <f>'Summary Table'!R126</f>
        <v>1.2895019369609928</v>
      </c>
      <c r="AB133" s="356">
        <f>'Summary Table'!S126</f>
        <v>1.3857334247939026</v>
      </c>
      <c r="AC133" s="356">
        <f>'Summary Table'!T126</f>
        <v>1.415921575354</v>
      </c>
      <c r="AD133" s="356">
        <f>'Summary Table'!U126</f>
        <v>1.5513054613666941</v>
      </c>
      <c r="AE133" s="356">
        <f>'Summary Table'!V126</f>
        <v>1.4531353816314685</v>
      </c>
      <c r="AF133" s="356">
        <f>'Summary Table'!W126</f>
        <v>1.4764952126860063</v>
      </c>
      <c r="AG133" s="356">
        <f>'Summary Table'!X126</f>
        <v>1.4370506029671137</v>
      </c>
      <c r="AH133" s="356">
        <f>'Summary Table'!Y126</f>
        <v>2.6097333297164047</v>
      </c>
      <c r="AI133" s="356">
        <f>'Summary Table'!Z126</f>
        <v>3.0881755478141319</v>
      </c>
      <c r="AJ133" s="356">
        <f>'Summary Table'!AA126</f>
        <v>3.2092986456579755</v>
      </c>
      <c r="AK133" s="356">
        <f>'Summary Table'!AB126</f>
        <v>3.0379310176521801</v>
      </c>
      <c r="AL133" s="356">
        <f>'Summary Table'!AC126</f>
        <v>3.3649958579027071</v>
      </c>
      <c r="AM133" s="356">
        <f>'Summary Table'!AD126</f>
        <v>2.5455513992585312</v>
      </c>
      <c r="AN133" s="356">
        <f>'Summary Table'!AE126</f>
        <v>3.3040677421953082</v>
      </c>
      <c r="AO133" s="356">
        <f>'Summary Table'!AF126</f>
        <v>3.773022660515549</v>
      </c>
      <c r="AP133" s="356">
        <f>'Summary Table'!AG126</f>
        <v>2.647583744073164</v>
      </c>
      <c r="AQ133" s="356">
        <f>'Summary Table'!AH126</f>
        <v>3.9226452440549542</v>
      </c>
      <c r="AR133" s="356">
        <f>'Summary Table'!AI126</f>
        <v>3.9197560160609353</v>
      </c>
    </row>
    <row r="134" spans="11:45">
      <c r="K134" s="118" t="s">
        <v>1972</v>
      </c>
      <c r="L134" s="356">
        <f>'Summary Table'!C127</f>
        <v>19.508959997567821</v>
      </c>
      <c r="M134" s="356">
        <f>'Summary Table'!D127</f>
        <v>18.719462787601117</v>
      </c>
      <c r="N134" s="356">
        <f>'Summary Table'!E127</f>
        <v>21.550453172158644</v>
      </c>
      <c r="O134" s="356">
        <f>'Summary Table'!F127</f>
        <v>22.209565820159433</v>
      </c>
      <c r="P134" s="356">
        <f>'Summary Table'!G127</f>
        <v>24.309329766534255</v>
      </c>
      <c r="Q134" s="356">
        <f>'Summary Table'!H127</f>
        <v>21.11806308104892</v>
      </c>
      <c r="R134" s="356">
        <f>'Summary Table'!I127</f>
        <v>19.336238272987909</v>
      </c>
      <c r="S134" s="356">
        <f>'Summary Table'!J127</f>
        <v>19.632812588792206</v>
      </c>
      <c r="T134" s="356">
        <f>'Summary Table'!K127</f>
        <v>18.991174385790437</v>
      </c>
      <c r="U134" s="356">
        <f>'Summary Table'!L127</f>
        <v>15.05096583845658</v>
      </c>
      <c r="V134" s="356">
        <f>'Summary Table'!M127</f>
        <v>35.882449882897561</v>
      </c>
      <c r="W134" s="356">
        <f>'Summary Table'!N127</f>
        <v>47.84126149792592</v>
      </c>
      <c r="X134" s="356">
        <f>'Summary Table'!O127</f>
        <v>41.918924234670499</v>
      </c>
      <c r="Y134" s="356">
        <f>'Summary Table'!P127</f>
        <v>46.275896176518664</v>
      </c>
      <c r="Z134" s="356">
        <f>'Summary Table'!Q127</f>
        <v>48.662481315630998</v>
      </c>
      <c r="AA134" s="356">
        <f>'Summary Table'!R127</f>
        <v>47.552669878629565</v>
      </c>
      <c r="AB134" s="356">
        <f>'Summary Table'!S127</f>
        <v>46.476346066172155</v>
      </c>
      <c r="AC134" s="356">
        <f>'Summary Table'!T127</f>
        <v>41.828251627125084</v>
      </c>
      <c r="AD134" s="356">
        <f>'Summary Table'!U127</f>
        <v>33.478967793935858</v>
      </c>
      <c r="AE134" s="356">
        <f>'Summary Table'!V127</f>
        <v>34.095301754220401</v>
      </c>
      <c r="AF134" s="356">
        <f>'Summary Table'!W127</f>
        <v>29.831092711053437</v>
      </c>
      <c r="AG134" s="356">
        <f>'Summary Table'!X127</f>
        <v>29.187061284242123</v>
      </c>
      <c r="AH134" s="356">
        <f>'Summary Table'!Y127</f>
        <v>27.056320471856431</v>
      </c>
      <c r="AI134" s="356">
        <f>'Summary Table'!Z127</f>
        <v>21.764648413326455</v>
      </c>
      <c r="AJ134" s="356">
        <f>'Summary Table'!AA127</f>
        <v>21.626600043234902</v>
      </c>
      <c r="AK134" s="356">
        <f>'Summary Table'!AB127</f>
        <v>22.186278560353131</v>
      </c>
      <c r="AL134" s="356">
        <f>'Summary Table'!AC127</f>
        <v>19.529039380245276</v>
      </c>
      <c r="AM134" s="356">
        <f>'Summary Table'!AD127</f>
        <v>21.099650390484019</v>
      </c>
      <c r="AN134" s="356">
        <f>'Summary Table'!AE127</f>
        <v>20.061671070602724</v>
      </c>
      <c r="AO134" s="356">
        <f>'Summary Table'!AF127</f>
        <v>17.47925018767976</v>
      </c>
      <c r="AP134" s="356">
        <f>'Summary Table'!AG127</f>
        <v>17.548655495362741</v>
      </c>
      <c r="AQ134" s="356">
        <f>'Summary Table'!AH127</f>
        <v>16.96048967609271</v>
      </c>
      <c r="AR134" s="356">
        <f>'Summary Table'!AI127</f>
        <v>16.958327323098519</v>
      </c>
    </row>
    <row r="135" spans="11:45">
      <c r="K135" s="117" t="s">
        <v>1480</v>
      </c>
      <c r="L135" s="358">
        <f>'Summary Table'!C128-'Summary Table'!C115</f>
        <v>3277.9668670590372</v>
      </c>
      <c r="M135" s="358">
        <f>'Summary Table'!D128-'Summary Table'!D115</f>
        <v>3277.9294623906626</v>
      </c>
      <c r="N135" s="358">
        <f>'Summary Table'!E128-'Summary Table'!E115</f>
        <v>3315.2527652843974</v>
      </c>
      <c r="O135" s="358">
        <f>'Summary Table'!F128-'Summary Table'!F115</f>
        <v>3400.5028934741367</v>
      </c>
      <c r="P135" s="358">
        <f>'Summary Table'!G128-'Summary Table'!G115</f>
        <v>3417.5447648229938</v>
      </c>
      <c r="Q135" s="358">
        <f>'Summary Table'!H128-'Summary Table'!H115</f>
        <v>3450.3123542534213</v>
      </c>
      <c r="R135" s="358">
        <f>'Summary Table'!I128-'Summary Table'!I115</f>
        <v>3578.5090930991419</v>
      </c>
      <c r="S135" s="358">
        <f>'Summary Table'!J128-'Summary Table'!J115</f>
        <v>3622.7365290434573</v>
      </c>
      <c r="T135" s="358">
        <f>'Summary Table'!K128-'Summary Table'!K115</f>
        <v>3650.3820550973924</v>
      </c>
      <c r="U135" s="358">
        <f>'Summary Table'!L128-'Summary Table'!L115</f>
        <v>3627.8203625089027</v>
      </c>
      <c r="V135" s="358">
        <f>'Summary Table'!M128-'Summary Table'!M115</f>
        <v>3828.3691481413503</v>
      </c>
      <c r="W135" s="358">
        <f>'Summary Table'!N128-'Summary Table'!N115</f>
        <v>3761.6012976475486</v>
      </c>
      <c r="X135" s="358">
        <f>'Summary Table'!O128-'Summary Table'!O115</f>
        <v>3762.1662158910672</v>
      </c>
      <c r="Y135" s="358">
        <f>'Summary Table'!P128-'Summary Table'!P115</f>
        <v>3822.4293283333118</v>
      </c>
      <c r="Z135" s="358">
        <f>'Summary Table'!Q128-'Summary Table'!Q115</f>
        <v>3868.277544857252</v>
      </c>
      <c r="AA135" s="358">
        <f>'Summary Table'!R128-'Summary Table'!R115</f>
        <v>3881.0043891378427</v>
      </c>
      <c r="AB135" s="358">
        <f>'Summary Table'!S128-'Summary Table'!S115</f>
        <v>3791.8070585504734</v>
      </c>
      <c r="AC135" s="358">
        <f>'Summary Table'!T128-'Summary Table'!T115</f>
        <v>3874.1266839644941</v>
      </c>
      <c r="AD135" s="358">
        <f>'Summary Table'!U128-'Summary Table'!U115</f>
        <v>3788.1778105253416</v>
      </c>
      <c r="AE135" s="358">
        <f>'Summary Table'!V128-'Summary Table'!V115</f>
        <v>3491.0313001255481</v>
      </c>
      <c r="AF135" s="358">
        <f>'Summary Table'!W128-'Summary Table'!W115</f>
        <v>3639.9570627570406</v>
      </c>
      <c r="AG135" s="358">
        <f>'Summary Table'!X128-'Summary Table'!X115</f>
        <v>3534.1669935827231</v>
      </c>
      <c r="AH135" s="358">
        <f>'Summary Table'!Y128-'Summary Table'!Y115</f>
        <v>3338.4447385765161</v>
      </c>
      <c r="AI135" s="358">
        <f>'Summary Table'!Z128-'Summary Table'!Z115</f>
        <v>3450.1238735120742</v>
      </c>
      <c r="AJ135" s="358">
        <f>'Summary Table'!AA128-'Summary Table'!AA115</f>
        <v>3461.7793096583691</v>
      </c>
      <c r="AK135" s="358">
        <f>'Summary Table'!AB128-'Summary Table'!AB115</f>
        <v>3285.9519328108399</v>
      </c>
      <c r="AL135" s="358">
        <f>'Summary Table'!AC128-'Summary Table'!AC115</f>
        <v>3149.4232284360933</v>
      </c>
      <c r="AM135" s="358">
        <f>'Summary Table'!AD128-'Summary Table'!AD115</f>
        <v>3063.1822389270119</v>
      </c>
      <c r="AN135" s="358">
        <f>'Summary Table'!AE128-'Summary Table'!AE115</f>
        <v>3169.8055065588096</v>
      </c>
      <c r="AO135" s="358">
        <f>'Summary Table'!AF128-'Summary Table'!AF115</f>
        <v>3024.3130381770734</v>
      </c>
      <c r="AP135" s="358">
        <f>'Summary Table'!AG128-'Summary Table'!AG115</f>
        <v>2756.4209944541749</v>
      </c>
      <c r="AQ135" s="358">
        <f>'Summary Table'!AH128-'Summary Table'!AH115</f>
        <v>2889.0990142296646</v>
      </c>
      <c r="AR135" s="358">
        <f>'Summary Table'!AI128-'Summary Table'!AI115</f>
        <v>2909.1196105508466</v>
      </c>
    </row>
  </sheetData>
  <mergeCells count="1">
    <mergeCell ref="B57:F57"/>
  </mergeCells>
  <phoneticPr fontId="10" type="noConversion"/>
  <pageMargins left="0.5" right="0.5" top="0.5" bottom="0.75" header="0.27" footer="0.21"/>
  <pageSetup scale="23" orientation="landscape" r:id="rId1"/>
  <headerFooter alignWithMargins="0">
    <oddHeader>&amp;L&amp;12GREENHOUSE GAS INVENTORY:  ENERGY</oddHeader>
    <oddFooter>&amp;LPage &amp;P of &amp;N&amp;C&amp;F  &amp;A&amp;R&amp;D  &amp;T</oddFooter>
  </headerFooter>
  <colBreaks count="1" manualBreakCount="1">
    <brk id="47" max="1048575" man="1"/>
  </colBreaks>
  <drawing r:id="rId2"/>
  <legacy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6"/>
  <dimension ref="A1:AI8"/>
  <sheetViews>
    <sheetView workbookViewId="0"/>
  </sheetViews>
  <sheetFormatPr defaultColWidth="9" defaultRowHeight="12.95"/>
  <cols>
    <col min="1" max="1" width="28" style="1" customWidth="1"/>
    <col min="2" max="2" width="9" style="1" bestFit="1" customWidth="1"/>
    <col min="3" max="6" width="0" style="1" hidden="1" customWidth="1"/>
    <col min="7" max="29" width="9" style="1" bestFit="1" customWidth="1"/>
    <col min="30" max="30" width="9" style="1" customWidth="1"/>
    <col min="31" max="16384" width="9" style="1"/>
  </cols>
  <sheetData>
    <row r="1" spans="1:35" ht="17.45">
      <c r="A1" s="497" t="s">
        <v>1973</v>
      </c>
    </row>
    <row r="2" spans="1:35">
      <c r="A2" s="408" t="s">
        <v>1974</v>
      </c>
    </row>
    <row r="3" spans="1:35">
      <c r="A3" s="5"/>
    </row>
    <row r="4" spans="1:35">
      <c r="A4" s="5" t="s">
        <v>1975</v>
      </c>
    </row>
    <row r="5" spans="1:35" s="5" customFormat="1">
      <c r="A5" s="4" t="s">
        <v>1583</v>
      </c>
      <c r="B5" s="390">
        <v>1990</v>
      </c>
      <c r="C5" s="391">
        <v>1991</v>
      </c>
      <c r="D5" s="390">
        <v>1992</v>
      </c>
      <c r="E5" s="391">
        <v>1993</v>
      </c>
      <c r="F5" s="390">
        <v>1994</v>
      </c>
      <c r="G5" s="391">
        <v>1995</v>
      </c>
      <c r="H5" s="390">
        <v>1996</v>
      </c>
      <c r="I5" s="391">
        <v>1997</v>
      </c>
      <c r="J5" s="390">
        <v>1998</v>
      </c>
      <c r="K5" s="391">
        <v>1999</v>
      </c>
      <c r="L5" s="390">
        <v>2000</v>
      </c>
      <c r="M5" s="391">
        <v>2001</v>
      </c>
      <c r="N5" s="390">
        <v>2002</v>
      </c>
      <c r="O5" s="391">
        <v>2003</v>
      </c>
      <c r="P5" s="391">
        <v>2004</v>
      </c>
      <c r="Q5" s="391">
        <v>2005</v>
      </c>
      <c r="R5" s="391">
        <v>2006</v>
      </c>
      <c r="S5" s="391">
        <v>2007</v>
      </c>
      <c r="T5" s="390">
        <v>2008</v>
      </c>
      <c r="U5" s="391">
        <v>2009</v>
      </c>
      <c r="V5" s="391">
        <v>2010</v>
      </c>
      <c r="W5" s="391">
        <v>2011</v>
      </c>
      <c r="X5" s="391">
        <v>2012</v>
      </c>
      <c r="Y5" s="391">
        <v>2013</v>
      </c>
      <c r="Z5" s="391">
        <v>2014</v>
      </c>
      <c r="AA5" s="391">
        <v>2015</v>
      </c>
      <c r="AB5" s="391">
        <v>2016</v>
      </c>
      <c r="AC5" s="391">
        <v>2017</v>
      </c>
      <c r="AD5" s="391">
        <v>2018</v>
      </c>
      <c r="AE5" s="391">
        <v>2019</v>
      </c>
      <c r="AF5" s="391">
        <v>2020</v>
      </c>
      <c r="AG5" s="391">
        <v>2021</v>
      </c>
      <c r="AH5" s="391">
        <v>2022</v>
      </c>
    </row>
    <row r="6" spans="1:35">
      <c r="A6" s="136" t="s">
        <v>1616</v>
      </c>
      <c r="B6" s="702">
        <f>'Non-Energy Use'!E15</f>
        <v>753.92392500000005</v>
      </c>
      <c r="C6" s="702">
        <f>'Non-Energy Use'!F15</f>
        <v>827.29562499999997</v>
      </c>
      <c r="D6" s="702">
        <f>'Non-Energy Use'!G15</f>
        <v>814.51557500000001</v>
      </c>
      <c r="E6" s="702">
        <f>'Non-Energy Use'!H15</f>
        <v>844.07745</v>
      </c>
      <c r="F6" s="702">
        <f>'Non-Energy Use'!I15</f>
        <v>838.64272500000004</v>
      </c>
      <c r="G6" s="702">
        <f>'Non-Energy Use'!J15</f>
        <v>801.01322500000003</v>
      </c>
      <c r="H6" s="702">
        <f>'Non-Energy Use'!K15</f>
        <v>729.64532499999996</v>
      </c>
      <c r="I6" s="702">
        <f>'Non-Energy Use'!L15</f>
        <v>861.24372500000004</v>
      </c>
      <c r="J6" s="702">
        <f>'Non-Energy Use'!M15</f>
        <v>818.66880000000003</v>
      </c>
      <c r="K6" s="702">
        <f>'Non-Energy Use'!N15</f>
        <v>811.14289999999994</v>
      </c>
      <c r="L6" s="702">
        <f>'Non-Energy Use'!O15</f>
        <v>722.15437499999985</v>
      </c>
      <c r="M6" s="702">
        <f>'Non-Energy Use'!P15</f>
        <v>662.45394999999996</v>
      </c>
      <c r="N6" s="702">
        <f>'Non-Energy Use'!Q15</f>
        <v>632.06492500000002</v>
      </c>
      <c r="O6" s="702">
        <f>'Non-Energy Use'!R15</f>
        <v>699.37862500000006</v>
      </c>
      <c r="P6" s="702">
        <f>'Non-Energy Use'!S15</f>
        <v>779.48985000000005</v>
      </c>
      <c r="Q6" s="702">
        <f>'Non-Energy Use'!T15</f>
        <v>707.98215000000005</v>
      </c>
      <c r="R6" s="702">
        <f>'Non-Energy Use'!U15</f>
        <v>790.63890000000004</v>
      </c>
      <c r="S6" s="702">
        <f>'Non-Energy Use'!V15</f>
        <v>744.09132499999998</v>
      </c>
      <c r="T6" s="702">
        <f>'Non-Energy Use'!W15</f>
        <v>647.76329999999996</v>
      </c>
      <c r="U6" s="702">
        <f>'Non-Energy Use'!X15</f>
        <v>424.776475</v>
      </c>
      <c r="V6" s="702">
        <f>'Non-Energy Use'!Y15</f>
        <v>452.52095000000003</v>
      </c>
      <c r="W6" s="702">
        <f>'Non-Energy Use'!Z15</f>
        <v>388.52749999999997</v>
      </c>
      <c r="X6" s="702">
        <f>'Non-Energy Use'!AA15</f>
        <v>287.24239999999998</v>
      </c>
      <c r="Y6" s="702">
        <f>'Non-Energy Use'!AB15</f>
        <v>223.91882499999997</v>
      </c>
      <c r="Z6" s="702">
        <f>'Non-Energy Use'!AC15</f>
        <v>247.22465</v>
      </c>
      <c r="AA6" s="702">
        <f>'Non-Energy Use'!AD15</f>
        <v>229.03899999999999</v>
      </c>
      <c r="AB6" s="702">
        <f>'Non-Energy Use'!AE15</f>
        <v>222.45675</v>
      </c>
      <c r="AC6" s="702">
        <f>'Non-Energy Use'!AF15</f>
        <v>262.92885000000001</v>
      </c>
      <c r="AD6" s="702">
        <f>'Non-Energy Use'!AG15</f>
        <v>239.0813</v>
      </c>
      <c r="AE6" s="702">
        <f>'Non-Energy Use'!AH15</f>
        <v>234.08927499999999</v>
      </c>
      <c r="AF6" s="702">
        <f>'Non-Energy Use'!AI15</f>
        <v>217.01037500000001</v>
      </c>
      <c r="AG6" s="702">
        <f>'Non-Energy Use'!AJ15</f>
        <v>216.89387500000001</v>
      </c>
      <c r="AH6" s="702">
        <f>'Non-Energy Use'!AK15</f>
        <v>127.73396102500001</v>
      </c>
      <c r="AI6" s="467"/>
    </row>
    <row r="7" spans="1:35">
      <c r="A7" s="98" t="str">
        <f>Corrections!B53</f>
        <v>Residual Fuel</v>
      </c>
      <c r="B7" s="498">
        <f>Corrections!C53</f>
        <v>47.297065711824445</v>
      </c>
      <c r="C7" s="498">
        <f>Corrections!D53</f>
        <v>63.008313999999999</v>
      </c>
      <c r="D7" s="498">
        <f>Corrections!E53</f>
        <v>58.858893999999999</v>
      </c>
      <c r="E7" s="498">
        <f>Corrections!F53</f>
        <v>54.709474</v>
      </c>
      <c r="F7" s="498">
        <f>Corrections!G53</f>
        <v>50.560053999999994</v>
      </c>
      <c r="G7" s="498">
        <f>Corrections!H53</f>
        <v>52.065790499999991</v>
      </c>
      <c r="H7" s="498">
        <f>Corrections!I53</f>
        <v>53.571526999999996</v>
      </c>
      <c r="I7" s="498">
        <f>Corrections!J53</f>
        <v>55.077263499999994</v>
      </c>
      <c r="J7" s="498">
        <f>Corrections!K53</f>
        <v>56.582999999999998</v>
      </c>
      <c r="K7" s="498">
        <f>Corrections!L53</f>
        <v>53.439500000000002</v>
      </c>
      <c r="L7" s="498">
        <f>Corrections!M53</f>
        <v>50.295999999999999</v>
      </c>
      <c r="M7" s="498">
        <f>Corrections!N53</f>
        <v>47.152500000000003</v>
      </c>
      <c r="N7" s="498">
        <f>Corrections!O53</f>
        <v>44.009</v>
      </c>
      <c r="O7" s="498">
        <f>Corrections!P53</f>
        <v>48.724249999999998</v>
      </c>
      <c r="P7" s="498">
        <f>Corrections!Q53</f>
        <v>53.439500000000002</v>
      </c>
      <c r="Q7" s="498">
        <f>Corrections!R53</f>
        <v>58.15475</v>
      </c>
      <c r="R7" s="498">
        <f>Corrections!S53</f>
        <v>62.87</v>
      </c>
      <c r="S7" s="498">
        <f>Corrections!T53</f>
        <v>70.728750000000005</v>
      </c>
      <c r="T7" s="498">
        <f>Corrections!U53</f>
        <v>78.587500000000006</v>
      </c>
      <c r="U7" s="498">
        <f>Corrections!V53</f>
        <v>86.446250000000006</v>
      </c>
      <c r="V7" s="498">
        <f>Corrections!W53</f>
        <v>94.305000000000007</v>
      </c>
      <c r="W7" s="498">
        <f>Corrections!X53</f>
        <v>84.874500000000012</v>
      </c>
      <c r="X7" s="498">
        <f>Corrections!Y53</f>
        <v>75.444000000000003</v>
      </c>
      <c r="Y7" s="498">
        <f>Corrections!Z53</f>
        <v>66.013500000000008</v>
      </c>
      <c r="Z7" s="498">
        <f>Corrections!AA53</f>
        <v>56.582999999999998</v>
      </c>
      <c r="AA7" s="498">
        <f>Corrections!AB53</f>
        <v>53.439500000000002</v>
      </c>
      <c r="AB7" s="498">
        <f>Corrections!AC53</f>
        <v>50.295999999999999</v>
      </c>
      <c r="AC7" s="498">
        <f>Corrections!AD53</f>
        <v>47.152500000000003</v>
      </c>
      <c r="AD7" s="498">
        <f>Corrections!AE53</f>
        <v>44.009</v>
      </c>
      <c r="AE7" s="498">
        <f>Corrections!AF53</f>
        <v>44.009</v>
      </c>
      <c r="AF7" s="498">
        <f>Corrections!AG53</f>
        <v>44.009</v>
      </c>
      <c r="AG7" s="498">
        <f>Corrections!AH53</f>
        <v>44.009</v>
      </c>
      <c r="AH7" s="498">
        <f>Corrections!AI53</f>
        <v>44.009</v>
      </c>
    </row>
    <row r="8" spans="1:35">
      <c r="B8" s="74"/>
      <c r="C8" s="74"/>
      <c r="D8" s="74"/>
      <c r="E8" s="74"/>
      <c r="F8" s="74"/>
      <c r="G8" s="74"/>
      <c r="H8" s="74"/>
      <c r="I8" s="74"/>
      <c r="J8" s="74"/>
      <c r="K8" s="74"/>
      <c r="L8" s="74"/>
      <c r="M8" s="74"/>
      <c r="N8" s="74"/>
      <c r="O8" s="74"/>
      <c r="P8" s="74"/>
    </row>
  </sheetData>
  <phoneticPr fontId="0" type="noConversion"/>
  <pageMargins left="0.75" right="0.75" top="1" bottom="1" header="0.5" footer="0.5"/>
  <headerFooter alignWithMargins="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12"/>
  <dimension ref="A1:AL37"/>
  <sheetViews>
    <sheetView workbookViewId="0">
      <selection activeCell="B25" sqref="B25"/>
    </sheetView>
  </sheetViews>
  <sheetFormatPr defaultColWidth="9" defaultRowHeight="12.95"/>
  <cols>
    <col min="1" max="1" width="31" style="1" customWidth="1"/>
    <col min="2" max="2" width="11" style="1" bestFit="1" customWidth="1"/>
    <col min="3" max="5" width="9" style="1" bestFit="1" customWidth="1"/>
    <col min="6" max="10" width="10" style="1" bestFit="1" customWidth="1"/>
    <col min="11" max="13" width="11" style="1" bestFit="1" customWidth="1"/>
    <col min="14" max="22" width="10" style="1" bestFit="1" customWidth="1"/>
    <col min="23" max="26" width="12" style="1" bestFit="1" customWidth="1"/>
    <col min="27" max="27" width="10.6640625" style="1" customWidth="1"/>
    <col min="28" max="34" width="11.6640625" style="1" customWidth="1"/>
    <col min="35" max="16384" width="9" style="1"/>
  </cols>
  <sheetData>
    <row r="1" spans="1:38" ht="17.45">
      <c r="A1" s="497" t="s">
        <v>1976</v>
      </c>
    </row>
    <row r="2" spans="1:38">
      <c r="A2" s="408" t="s">
        <v>1977</v>
      </c>
    </row>
    <row r="3" spans="1:38">
      <c r="A3" s="227"/>
    </row>
    <row r="4" spans="1:38">
      <c r="A4" s="5" t="s">
        <v>1978</v>
      </c>
    </row>
    <row r="5" spans="1:38" s="5" customFormat="1">
      <c r="A5" s="4" t="s">
        <v>1583</v>
      </c>
      <c r="B5" s="390">
        <v>1990</v>
      </c>
      <c r="C5" s="391">
        <v>1991</v>
      </c>
      <c r="D5" s="390">
        <v>1992</v>
      </c>
      <c r="E5" s="391">
        <v>1993</v>
      </c>
      <c r="F5" s="390">
        <v>1994</v>
      </c>
      <c r="G5" s="391">
        <v>1995</v>
      </c>
      <c r="H5" s="390">
        <v>1996</v>
      </c>
      <c r="I5" s="391">
        <v>1997</v>
      </c>
      <c r="J5" s="390">
        <v>1998</v>
      </c>
      <c r="K5" s="391">
        <v>1999</v>
      </c>
      <c r="L5" s="390">
        <v>2000</v>
      </c>
      <c r="M5" s="391">
        <v>2001</v>
      </c>
      <c r="N5" s="390">
        <v>2002</v>
      </c>
      <c r="O5" s="391">
        <v>2003</v>
      </c>
      <c r="P5" s="391">
        <v>2004</v>
      </c>
      <c r="Q5" s="391">
        <v>2005</v>
      </c>
      <c r="R5" s="391">
        <v>2006</v>
      </c>
      <c r="S5" s="391">
        <v>2007</v>
      </c>
      <c r="T5" s="390">
        <v>2008</v>
      </c>
      <c r="U5" s="391">
        <v>2009</v>
      </c>
      <c r="V5" s="391">
        <v>2010</v>
      </c>
      <c r="W5" s="391">
        <v>2011</v>
      </c>
      <c r="X5" s="391">
        <v>2012</v>
      </c>
      <c r="Y5" s="391">
        <v>2013</v>
      </c>
      <c r="Z5" s="391">
        <v>2014</v>
      </c>
      <c r="AA5" s="391">
        <v>2015</v>
      </c>
      <c r="AB5" s="391">
        <v>2016</v>
      </c>
      <c r="AC5" s="391">
        <v>2017</v>
      </c>
      <c r="AD5" s="391">
        <v>2018</v>
      </c>
      <c r="AE5" s="391">
        <v>2019</v>
      </c>
      <c r="AF5" s="391">
        <v>2020</v>
      </c>
      <c r="AG5" s="391">
        <v>2021</v>
      </c>
      <c r="AH5" s="391">
        <v>2022</v>
      </c>
    </row>
    <row r="6" spans="1:38">
      <c r="A6" s="136" t="s">
        <v>1623</v>
      </c>
      <c r="B6" s="474">
        <f>'Consumption Input'!E52</f>
        <v>3129.4879999999998</v>
      </c>
      <c r="C6" s="474">
        <f>'Consumption Input'!F52</f>
        <v>3025.0039999999999</v>
      </c>
      <c r="D6" s="474">
        <f>'Consumption Input'!G52</f>
        <v>3001.3290000000002</v>
      </c>
      <c r="E6" s="474">
        <f>'Consumption Input'!H52</f>
        <v>3028.0059999999999</v>
      </c>
      <c r="F6" s="474">
        <f>'Consumption Input'!I52</f>
        <v>3154.4989999999998</v>
      </c>
      <c r="G6" s="474">
        <f>'Consumption Input'!J52</f>
        <v>3132.1959999999999</v>
      </c>
      <c r="H6" s="474">
        <f>'Consumption Input'!K52</f>
        <v>3274.2370000000001</v>
      </c>
      <c r="I6" s="474">
        <f>'Consumption Input'!L52</f>
        <v>3308.1669999999999</v>
      </c>
      <c r="J6" s="474">
        <f>'Consumption Input'!M52</f>
        <v>3356.7829999999999</v>
      </c>
      <c r="K6" s="474">
        <f>'Consumption Input'!N52</f>
        <v>3461.7829999999999</v>
      </c>
      <c r="L6" s="474">
        <f>'Consumption Input'!O52</f>
        <v>3580.3499999999995</v>
      </c>
      <c r="M6" s="474">
        <f>'Consumption Input'!P52</f>
        <v>3425.9859999999999</v>
      </c>
      <c r="N6" s="474">
        <f>'Consumption Input'!Q52</f>
        <v>3340.3180000000002</v>
      </c>
      <c r="O6" s="474">
        <f>'Consumption Input'!R52</f>
        <v>3265.4569999999999</v>
      </c>
      <c r="P6" s="474">
        <f>'Consumption Input'!S52</f>
        <v>3382.5299999999997</v>
      </c>
      <c r="Q6" s="474">
        <f>'Consumption Input'!T52</f>
        <v>3474.7539999999999</v>
      </c>
      <c r="R6" s="474">
        <f>'Consumption Input'!U52</f>
        <v>3379.3809999999999</v>
      </c>
      <c r="S6" s="474">
        <f>'Consumption Input'!V52</f>
        <v>3357.6089999999999</v>
      </c>
      <c r="T6" s="474">
        <f>'Consumption Input'!W52</f>
        <v>3192.8389999999995</v>
      </c>
      <c r="U6" s="474">
        <f>'Consumption Input'!X52</f>
        <v>2883.277</v>
      </c>
      <c r="V6" s="474">
        <f>'Consumption Input'!Y52</f>
        <v>2962.8689999999997</v>
      </c>
      <c r="W6" s="474">
        <f>'Consumption Input'!Z52</f>
        <v>2949.8180000000002</v>
      </c>
      <c r="X6" s="474">
        <f>'Consumption Input'!AA52</f>
        <v>2901.4340000000002</v>
      </c>
      <c r="Y6" s="474">
        <f>'Consumption Input'!AB52</f>
        <v>2968.5590000000002</v>
      </c>
      <c r="Z6" s="474">
        <f>'Consumption Input'!AC52</f>
        <v>3042.0889999999999</v>
      </c>
      <c r="AA6" s="474">
        <f>'Consumption Input'!AD52</f>
        <v>3204.165</v>
      </c>
      <c r="AB6" s="474">
        <f>'Consumption Input'!AE52</f>
        <v>3349.8769999999995</v>
      </c>
      <c r="AC6" s="474">
        <f>'Consumption Input'!AF52</f>
        <v>3481.3459999999995</v>
      </c>
      <c r="AD6" s="474">
        <f>'Consumption Input'!AG52</f>
        <v>3532.7570000000001</v>
      </c>
      <c r="AE6" s="474">
        <f>'Consumption Input'!AH52</f>
        <v>3608.0210000000002</v>
      </c>
      <c r="AF6" s="474">
        <f>'Consumption Input'!AI52</f>
        <v>2233.8429999999998</v>
      </c>
      <c r="AG6" s="474">
        <f>'Consumption Input'!AJ52</f>
        <v>2835.0430000000001</v>
      </c>
      <c r="AH6" s="474">
        <f>'Consumption Input'!AK52</f>
        <v>3227.8989999999999</v>
      </c>
      <c r="AI6" s="485"/>
      <c r="AJ6" s="485"/>
      <c r="AK6" s="485"/>
      <c r="AL6" s="485"/>
    </row>
    <row r="7" spans="1:38">
      <c r="A7" s="1" t="s">
        <v>1622</v>
      </c>
      <c r="B7" s="464">
        <f>'Consumption Input'!E50</f>
        <v>44.978000000000002</v>
      </c>
      <c r="C7" s="464">
        <f>'Consumption Input'!F50</f>
        <v>41.722000000000001</v>
      </c>
      <c r="D7" s="464">
        <f>'Consumption Input'!G50</f>
        <v>41.055</v>
      </c>
      <c r="E7" s="464">
        <f>'Consumption Input'!H50</f>
        <v>38.395000000000003</v>
      </c>
      <c r="F7" s="464">
        <f>'Consumption Input'!I50</f>
        <v>38.137999999999998</v>
      </c>
      <c r="G7" s="464">
        <f>'Consumption Input'!J50</f>
        <v>39.581000000000003</v>
      </c>
      <c r="H7" s="464">
        <f>'Consumption Input'!K50</f>
        <v>37.354999999999997</v>
      </c>
      <c r="I7" s="464">
        <f>'Consumption Input'!L50</f>
        <v>39.697000000000003</v>
      </c>
      <c r="J7" s="464">
        <f>'Consumption Input'!M50</f>
        <v>35.497999999999998</v>
      </c>
      <c r="K7" s="464">
        <f>'Consumption Input'!N50</f>
        <v>39.171999999999997</v>
      </c>
      <c r="L7" s="464">
        <f>'Consumption Input'!O50</f>
        <v>36.284999999999997</v>
      </c>
      <c r="M7" s="464">
        <f>'Consumption Input'!P50</f>
        <v>34.936999999999998</v>
      </c>
      <c r="N7" s="464">
        <f>'Consumption Input'!Q50</f>
        <v>33.731000000000002</v>
      </c>
      <c r="O7" s="464">
        <f>'Consumption Input'!R50</f>
        <v>30.222000000000001</v>
      </c>
      <c r="P7" s="464">
        <f>'Consumption Input'!S50</f>
        <v>31.242000000000001</v>
      </c>
      <c r="Q7" s="466">
        <f>'Consumption Input'!T50</f>
        <v>35.366</v>
      </c>
      <c r="R7" s="464">
        <f>'Consumption Input'!U50</f>
        <v>33.448</v>
      </c>
      <c r="S7" s="464">
        <f>'Consumption Input'!V50</f>
        <v>31.59</v>
      </c>
      <c r="T7" s="464">
        <f>'Consumption Input'!W50</f>
        <v>28.283999999999999</v>
      </c>
      <c r="U7" s="464">
        <f>'Consumption Input'!X50</f>
        <v>26.557999999999996</v>
      </c>
      <c r="V7" s="464">
        <f>'Consumption Input'!Y50</f>
        <v>27.047000000000001</v>
      </c>
      <c r="W7" s="464">
        <f>'Consumption Input'!Z50</f>
        <v>27.056999999999999</v>
      </c>
      <c r="X7" s="464">
        <f>'Consumption Input'!AA50</f>
        <v>25.114000000000001</v>
      </c>
      <c r="Y7" s="464">
        <f>'Consumption Input'!AB50</f>
        <v>22.358000000000001</v>
      </c>
      <c r="Z7" s="464">
        <f>'Consumption Input'!AC50</f>
        <v>21.695999999999998</v>
      </c>
      <c r="AA7" s="464">
        <f>'Consumption Input'!AD50</f>
        <v>21.140999999999995</v>
      </c>
      <c r="AB7" s="464">
        <f>'Consumption Input'!AE50</f>
        <v>20.465</v>
      </c>
      <c r="AC7" s="464">
        <f>'Consumption Input'!AF50</f>
        <v>20.949000000000002</v>
      </c>
      <c r="AD7" s="464">
        <f>'Consumption Input'!AG50</f>
        <v>22.393000000000001</v>
      </c>
      <c r="AE7" s="464">
        <f>'Consumption Input'!AH50</f>
        <v>23.387</v>
      </c>
      <c r="AF7" s="464">
        <f>'Consumption Input'!AI50</f>
        <v>20.202000000000002</v>
      </c>
      <c r="AG7" s="464">
        <f>'Consumption Input'!AJ50</f>
        <v>21.55</v>
      </c>
      <c r="AH7" s="464">
        <f>'Consumption Input'!AK50</f>
        <v>22.306999999999995</v>
      </c>
    </row>
    <row r="8" spans="1:38">
      <c r="A8" s="1" t="s">
        <v>1610</v>
      </c>
      <c r="B8" s="464">
        <f>'Consumption Input'!E54</f>
        <v>176</v>
      </c>
      <c r="C8" s="464">
        <f>'Consumption Input'!F54</f>
        <v>157.44999999999999</v>
      </c>
      <c r="D8" s="464">
        <f>'Consumption Input'!G54</f>
        <v>160.52699999999996</v>
      </c>
      <c r="E8" s="464">
        <f>'Consumption Input'!H54</f>
        <v>163.458</v>
      </c>
      <c r="F8" s="464">
        <f>'Consumption Input'!I54</f>
        <v>170.846</v>
      </c>
      <c r="G8" s="464">
        <f>'Consumption Input'!J54</f>
        <v>167.91300000000001</v>
      </c>
      <c r="H8" s="464">
        <f>'Consumption Input'!K54</f>
        <v>162.95699999999999</v>
      </c>
      <c r="I8" s="464">
        <f>'Consumption Input'!L54</f>
        <v>172.14599999999999</v>
      </c>
      <c r="J8" s="464">
        <f>'Consumption Input'!M54</f>
        <v>180.21199999999999</v>
      </c>
      <c r="K8" s="464">
        <f>'Consumption Input'!N54</f>
        <v>182.09700000000001</v>
      </c>
      <c r="L8" s="464">
        <f>'Consumption Input'!O54</f>
        <v>179.36600000000001</v>
      </c>
      <c r="M8" s="464">
        <f>'Consumption Input'!P54</f>
        <v>164.33899999999997</v>
      </c>
      <c r="N8" s="464">
        <f>'Consumption Input'!Q54</f>
        <v>162.392</v>
      </c>
      <c r="O8" s="464">
        <f>'Consumption Input'!R54</f>
        <v>150.13399999999999</v>
      </c>
      <c r="P8" s="464">
        <f>'Consumption Input'!S54</f>
        <v>152.102</v>
      </c>
      <c r="Q8" s="464">
        <f>'Consumption Input'!T54</f>
        <v>151.30699999999999</v>
      </c>
      <c r="R8" s="464">
        <f>'Consumption Input'!U54</f>
        <v>147.41399999999999</v>
      </c>
      <c r="S8" s="464">
        <f>'Consumption Input'!V54</f>
        <v>152.23099999999999</v>
      </c>
      <c r="T8" s="464">
        <f>'Consumption Input'!W54</f>
        <v>141.33000000000001</v>
      </c>
      <c r="U8" s="464">
        <f>'Consumption Input'!X54</f>
        <v>127.06500000000001</v>
      </c>
      <c r="V8" s="464">
        <f>'Consumption Input'!Y54</f>
        <v>154.773</v>
      </c>
      <c r="W8" s="464">
        <f>'Consumption Input'!Z54</f>
        <v>148.37200000000001</v>
      </c>
      <c r="X8" s="464">
        <f>'Consumption Input'!AA54</f>
        <v>135.40799999999999</v>
      </c>
      <c r="Y8" s="464">
        <f>'Consumption Input'!AB54</f>
        <v>143.36099999999999</v>
      </c>
      <c r="Z8" s="464">
        <f>'Consumption Input'!AC54</f>
        <v>149.36099999999999</v>
      </c>
      <c r="AA8" s="464">
        <f>'Consumption Input'!AD54</f>
        <v>162.81100000000001</v>
      </c>
      <c r="AB8" s="464">
        <f>'Consumption Input'!AE54</f>
        <v>154.351</v>
      </c>
      <c r="AC8" s="464">
        <f>'Consumption Input'!AF54</f>
        <v>141.983</v>
      </c>
      <c r="AD8" s="464">
        <f>'Consumption Input'!AG54</f>
        <v>136.98599999999999</v>
      </c>
      <c r="AE8" s="464">
        <f>'Consumption Input'!AH54</f>
        <v>131.32900000000001</v>
      </c>
      <c r="AF8" s="464">
        <f>'Consumption Input'!AI54</f>
        <v>115.61499999999999</v>
      </c>
      <c r="AG8" s="464">
        <f>'Consumption Input'!AJ54</f>
        <v>119.03799999999998</v>
      </c>
      <c r="AH8" s="464">
        <f>'Consumption Input'!AK54</f>
        <v>125.386</v>
      </c>
    </row>
    <row r="9" spans="1:38">
      <c r="A9" s="1" t="s">
        <v>1602</v>
      </c>
      <c r="B9" s="464">
        <f>'Consumption Input'!E56</f>
        <v>1016.005</v>
      </c>
      <c r="C9" s="464">
        <f>'Consumption Input'!F56</f>
        <v>1025.921</v>
      </c>
      <c r="D9" s="464">
        <f>'Consumption Input'!G56</f>
        <v>1069.9689999999998</v>
      </c>
      <c r="E9" s="464">
        <f>'Consumption Input'!H56</f>
        <v>901.45699999999988</v>
      </c>
      <c r="F9" s="464">
        <f>'Consumption Input'!I56</f>
        <v>882.58999999999992</v>
      </c>
      <c r="G9" s="464">
        <f>'Consumption Input'!J56</f>
        <v>910.51400000000001</v>
      </c>
      <c r="H9" s="464">
        <f>'Consumption Input'!K56</f>
        <v>851.30200000000002</v>
      </c>
      <c r="I9" s="464">
        <f>'Consumption Input'!L56</f>
        <v>711.71</v>
      </c>
      <c r="J9" s="464">
        <f>'Consumption Input'!M56</f>
        <v>673.71</v>
      </c>
      <c r="K9" s="464">
        <f>'Consumption Input'!N56</f>
        <v>665.44899999999996</v>
      </c>
      <c r="L9" s="464">
        <f>'Consumption Input'!O56</f>
        <v>887.54</v>
      </c>
      <c r="M9" s="464">
        <f>'Consumption Input'!P56</f>
        <v>585.53399999999999</v>
      </c>
      <c r="N9" s="464">
        <f>'Consumption Input'!Q56</f>
        <v>676.81100000000004</v>
      </c>
      <c r="O9" s="464">
        <f>'Consumption Input'!R56</f>
        <v>570.92899999999997</v>
      </c>
      <c r="P9" s="464">
        <f>'Consumption Input'!S56</f>
        <v>739.50800000000004</v>
      </c>
      <c r="Q9" s="464">
        <f>'Consumption Input'!T56</f>
        <v>837.44200000000001</v>
      </c>
      <c r="R9" s="464">
        <f>'Consumption Input'!U56</f>
        <v>905.678</v>
      </c>
      <c r="S9" s="464">
        <f>'Consumption Input'!V56</f>
        <v>993.64300000000003</v>
      </c>
      <c r="T9" s="464">
        <f>'Consumption Input'!W56</f>
        <v>925.92200000000003</v>
      </c>
      <c r="U9" s="464">
        <f>'Consumption Input'!X56</f>
        <v>790.51599999999996</v>
      </c>
      <c r="V9" s="464">
        <f>'Consumption Input'!Y56</f>
        <v>891.98</v>
      </c>
      <c r="W9" s="464">
        <f>'Consumption Input'!Z56</f>
        <v>776.32100000000003</v>
      </c>
      <c r="X9" s="464">
        <f>'Consumption Input'!AA56</f>
        <v>670.52099999999996</v>
      </c>
      <c r="Y9" s="464">
        <f>'Consumption Input'!AB56</f>
        <v>581.15300000000002</v>
      </c>
      <c r="Z9" s="464">
        <f>'Consumption Input'!AC56</f>
        <v>446.53699999999998</v>
      </c>
      <c r="AA9" s="464">
        <f>'Consumption Input'!AD56</f>
        <v>463.4</v>
      </c>
      <c r="AB9" s="464">
        <f>'Consumption Input'!AE56</f>
        <v>623.12400000000002</v>
      </c>
      <c r="AC9" s="464">
        <f>'Consumption Input'!AF56</f>
        <v>664.58499999999992</v>
      </c>
      <c r="AD9" s="464">
        <f>'Consumption Input'!AG56</f>
        <v>604.03099999999995</v>
      </c>
      <c r="AE9" s="464">
        <f>'Consumption Input'!AH56</f>
        <v>529.10299999999995</v>
      </c>
      <c r="AF9" s="464">
        <f>'Consumption Input'!AI56</f>
        <v>391.46100000000001</v>
      </c>
      <c r="AG9" s="464">
        <f>'Consumption Input'!AJ56</f>
        <v>614.85699999999997</v>
      </c>
      <c r="AH9" s="464">
        <f>'Consumption Input'!AK56</f>
        <v>630.05200000000002</v>
      </c>
    </row>
    <row r="10" spans="1:38">
      <c r="A10" s="98" t="s">
        <v>1979</v>
      </c>
      <c r="B10" s="486">
        <f>'Consumption Input'!E71</f>
        <v>541.82069611021325</v>
      </c>
      <c r="C10" s="486">
        <f>'Consumption Input'!F71</f>
        <v>653.83474818058585</v>
      </c>
      <c r="D10" s="486">
        <f>'Consumption Input'!G71</f>
        <v>659.49550556120562</v>
      </c>
      <c r="E10" s="486">
        <f>'Consumption Input'!H71</f>
        <v>661.52276025554227</v>
      </c>
      <c r="F10" s="486">
        <f>'Consumption Input'!I71</f>
        <v>682.46745276342131</v>
      </c>
      <c r="G10" s="486">
        <f>'Consumption Input'!J71</f>
        <v>705.05567371155803</v>
      </c>
      <c r="H10" s="486">
        <f>'Consumption Input'!K71</f>
        <v>719.8022298769738</v>
      </c>
      <c r="I10" s="486">
        <f>'Consumption Input'!L71</f>
        <v>755.82884678099151</v>
      </c>
      <c r="J10" s="486">
        <f>'Consumption Input'!M71</f>
        <v>750.24196992392456</v>
      </c>
      <c r="K10" s="486">
        <f>'Consumption Input'!N71</f>
        <v>798.34012176602073</v>
      </c>
      <c r="L10" s="486">
        <f>'Consumption Input'!O71</f>
        <v>881.45014880742485</v>
      </c>
      <c r="M10" s="486">
        <f>'Consumption Input'!P71</f>
        <v>801.17289306002192</v>
      </c>
      <c r="N10" s="486">
        <f>'Consumption Input'!Q71</f>
        <v>776.20775422890858</v>
      </c>
      <c r="O10" s="486">
        <f>'Consumption Input'!R71</f>
        <v>784.31912822478034</v>
      </c>
      <c r="P10" s="486">
        <f>'Consumption Input'!S71</f>
        <v>799.1259685693858</v>
      </c>
      <c r="Q10" s="486">
        <f>'Consumption Input'!T71</f>
        <v>854.39812796000024</v>
      </c>
      <c r="R10" s="486">
        <f>'Consumption Input'!U71</f>
        <v>856.69363534447564</v>
      </c>
      <c r="S10" s="486">
        <f>'Consumption Input'!V71</f>
        <v>873.82720853348292</v>
      </c>
      <c r="T10" s="486">
        <f>'Consumption Input'!W71</f>
        <v>797.87819334561755</v>
      </c>
      <c r="U10" s="486">
        <f>'Consumption Input'!X71</f>
        <v>750.11662055458169</v>
      </c>
      <c r="V10" s="486">
        <f>'Consumption Input'!Y71</f>
        <v>866.4359203494854</v>
      </c>
      <c r="W10" s="486">
        <f>'Consumption Input'!Z71</f>
        <v>920.81140713384332</v>
      </c>
      <c r="X10" s="486">
        <f>'Consumption Input'!AA71</f>
        <v>917.17514185690175</v>
      </c>
      <c r="Y10" s="486">
        <f>'Consumption Input'!AB71</f>
        <v>932.49186776158558</v>
      </c>
      <c r="Z10" s="486">
        <f>'Consumption Input'!AC71</f>
        <v>988.79048924126096</v>
      </c>
      <c r="AA10" s="486">
        <f>'Consumption Input'!AD71</f>
        <v>1023.2524866426733</v>
      </c>
      <c r="AB10" s="486">
        <f>'Consumption Input'!AE71</f>
        <v>1052.0845621630212</v>
      </c>
      <c r="AC10" s="486">
        <f>'Consumption Input'!AF71</f>
        <v>1104.1889361689159</v>
      </c>
      <c r="AD10" s="486">
        <f>'Consumption Input'!AG71</f>
        <v>1147.6629896579316</v>
      </c>
      <c r="AE10" s="486">
        <f>'Consumption Input'!AH71</f>
        <v>1112.0356750483818</v>
      </c>
      <c r="AF10" s="486">
        <f>'Consumption Input'!AI71</f>
        <v>563.66616431474301</v>
      </c>
      <c r="AG10" s="486">
        <f>'Consumption Input'!AJ71</f>
        <v>721.46880886175848</v>
      </c>
      <c r="AH10" s="486">
        <f>'Consumption Input'!AK71</f>
        <v>908.76435987107743</v>
      </c>
    </row>
    <row r="11" spans="1:38">
      <c r="A11" s="408" t="s">
        <v>1496</v>
      </c>
      <c r="B11" s="707"/>
      <c r="C11" s="707">
        <f>(C9-B9)/B9</f>
        <v>9.7597944892004011E-3</v>
      </c>
      <c r="D11" s="707">
        <f t="shared" ref="D11:L11" si="0">(D9-C9)/C9</f>
        <v>4.29350797965923E-2</v>
      </c>
      <c r="E11" s="707">
        <f t="shared" si="0"/>
        <v>-0.15749241333160116</v>
      </c>
      <c r="F11" s="707">
        <f t="shared" si="0"/>
        <v>-2.0929450877856585E-2</v>
      </c>
      <c r="G11" s="707">
        <f t="shared" si="0"/>
        <v>3.1638699736004368E-2</v>
      </c>
      <c r="H11" s="707">
        <f t="shared" si="0"/>
        <v>-6.5031399846679994E-2</v>
      </c>
      <c r="I11" s="707">
        <f t="shared" si="0"/>
        <v>-0.1639747116769372</v>
      </c>
      <c r="J11" s="707">
        <f t="shared" si="0"/>
        <v>-5.3392533475713419E-2</v>
      </c>
      <c r="K11" s="707">
        <f t="shared" si="0"/>
        <v>-1.2261952472132045E-2</v>
      </c>
      <c r="L11" s="707">
        <f t="shared" si="0"/>
        <v>0.33374608722832255</v>
      </c>
      <c r="M11" s="707">
        <f t="shared" ref="M11:S11" si="1">(M9-L9)/L9</f>
        <v>-0.34027311445117964</v>
      </c>
      <c r="N11" s="707">
        <f t="shared" si="1"/>
        <v>0.15588676319393929</v>
      </c>
      <c r="O11" s="707">
        <f t="shared" si="1"/>
        <v>-0.15644249280818434</v>
      </c>
      <c r="P11" s="707">
        <f t="shared" si="1"/>
        <v>0.29527139101359379</v>
      </c>
      <c r="Q11" s="707">
        <f t="shared" si="1"/>
        <v>0.13243129215640664</v>
      </c>
      <c r="R11" s="707">
        <f t="shared" si="1"/>
        <v>8.1481463790925204E-2</v>
      </c>
      <c r="S11" s="707">
        <f t="shared" si="1"/>
        <v>9.7126130920702533E-2</v>
      </c>
      <c r="T11" s="707">
        <f t="shared" ref="T11:AC11" si="2">(T9-S9)/S9</f>
        <v>-6.8154256609265093E-2</v>
      </c>
      <c r="U11" s="707">
        <f t="shared" si="2"/>
        <v>-0.14623910005378429</v>
      </c>
      <c r="V11" s="707">
        <f t="shared" si="2"/>
        <v>0.12835160831659329</v>
      </c>
      <c r="W11" s="707">
        <f t="shared" si="2"/>
        <v>-0.12966546335119619</v>
      </c>
      <c r="X11" s="707">
        <f t="shared" si="2"/>
        <v>-0.13628383104411715</v>
      </c>
      <c r="Y11" s="707">
        <f t="shared" si="2"/>
        <v>-0.13328143339283921</v>
      </c>
      <c r="Z11" s="707">
        <f t="shared" si="2"/>
        <v>-0.23163607518157875</v>
      </c>
      <c r="AA11" s="707">
        <f t="shared" si="2"/>
        <v>3.7763947892335913E-2</v>
      </c>
      <c r="AB11" s="707">
        <f t="shared" si="2"/>
        <v>0.34467846353042741</v>
      </c>
      <c r="AC11" s="707">
        <f t="shared" si="2"/>
        <v>6.6537318414954166E-2</v>
      </c>
      <c r="AD11" s="707">
        <f t="shared" ref="AD11" si="3">(AD9-AC9)/AC9</f>
        <v>-9.1115508174274149E-2</v>
      </c>
      <c r="AE11" s="707">
        <f>(AE9-AD9)/AD9</f>
        <v>-0.12404661350162492</v>
      </c>
      <c r="AF11" s="707">
        <f>(AF9-AE9)/AE9</f>
        <v>-0.26014216513608873</v>
      </c>
      <c r="AG11" s="707">
        <f>(AG9-AF9)/AF9</f>
        <v>0.57067242969286835</v>
      </c>
      <c r="AH11" s="707">
        <f>(AH9-AG9)/AG9</f>
        <v>2.4713063362700679E-2</v>
      </c>
    </row>
    <row r="12" spans="1:38" ht="15">
      <c r="A12" s="5" t="s">
        <v>1980</v>
      </c>
      <c r="B12" s="487"/>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c r="AA12" s="488"/>
      <c r="AB12" s="488"/>
      <c r="AC12" s="488"/>
      <c r="AD12" s="488"/>
      <c r="AE12" s="488"/>
      <c r="AF12" s="488"/>
      <c r="AG12" s="488"/>
      <c r="AH12" s="488"/>
    </row>
    <row r="13" spans="1:38">
      <c r="A13" s="489" t="s">
        <v>1601</v>
      </c>
      <c r="B13" s="490">
        <f>'1990'!$AN$27</f>
        <v>958.87096801748817</v>
      </c>
      <c r="C13" s="490">
        <f>'1991'!$AN$27</f>
        <v>944.59536443935872</v>
      </c>
      <c r="D13" s="490">
        <f>'1992'!$AN$27</f>
        <v>973.71231411190684</v>
      </c>
      <c r="E13" s="490">
        <f>'1993'!$AN$27</f>
        <v>987.20212142278001</v>
      </c>
      <c r="F13" s="490">
        <f>'1994'!$AN$27</f>
        <v>999.67097498511282</v>
      </c>
      <c r="G13" s="490">
        <f>'1995'!$AN$27</f>
        <v>1013.055452226066</v>
      </c>
      <c r="H13" s="490">
        <f>'1996'!$AN$27</f>
        <v>1036.4543061546442</v>
      </c>
      <c r="I13" s="490">
        <f>'1997'!$AN$27</f>
        <v>1048.7507095836045</v>
      </c>
      <c r="J13" s="490">
        <f>'1998'!$AN$27</f>
        <v>1079.4231249270201</v>
      </c>
      <c r="K13" s="490">
        <f>'1999'!$AN$27</f>
        <v>1113.0028967407427</v>
      </c>
      <c r="L13" s="490">
        <f>'2000'!$AN$27</f>
        <v>1118.1811120037971</v>
      </c>
      <c r="M13" s="490">
        <f>'2001'!$AN$27</f>
        <v>1118.3582998347761</v>
      </c>
      <c r="N13" s="490">
        <f>'2002'!$AN$27</f>
        <v>1142.6521467240207</v>
      </c>
      <c r="O13" s="490">
        <f>'2003'!$AN$27</f>
        <v>1162.32444078239</v>
      </c>
      <c r="P13" s="490">
        <f>'2004'!$AN$27</f>
        <v>1166.9278606844302</v>
      </c>
      <c r="Q13" s="490">
        <f>'2005'!$AN$27</f>
        <v>1150.1356184212557</v>
      </c>
      <c r="R13" s="490">
        <f>'2006'!$AN$27</f>
        <v>1142.7696619390047</v>
      </c>
      <c r="S13" s="490">
        <f>'2007'!$AN$27</f>
        <v>1135.4631435242425</v>
      </c>
      <c r="T13" s="490">
        <f>'2008'!$AN$27</f>
        <v>1071.718182779804</v>
      </c>
      <c r="U13" s="490">
        <f>'2009'!$AN$27</f>
        <v>1071.3666160018554</v>
      </c>
      <c r="V13" s="490">
        <f>'2010'!$AN$27</f>
        <v>1059.2539651222301</v>
      </c>
      <c r="W13" s="490">
        <f>'2011'!$AN$27</f>
        <v>1035.7369502593297</v>
      </c>
      <c r="X13" s="490">
        <f>'2012'!$AN$27</f>
        <v>1030.4308439935292</v>
      </c>
      <c r="Y13" s="490">
        <f>'2013'!$AN$27</f>
        <v>1028.0258968127264</v>
      </c>
      <c r="Z13" s="490">
        <f>'2014'!$AN$27</f>
        <v>1066.5743679504342</v>
      </c>
      <c r="AA13" s="490">
        <f>'2015'!$AN$27</f>
        <v>1058.7852913239838</v>
      </c>
      <c r="AB13" s="490">
        <f>'2016'!$AN$27</f>
        <v>1084.3609350463498</v>
      </c>
      <c r="AC13" s="490">
        <f>'2017'!$AN$27</f>
        <v>1081.8051058891069</v>
      </c>
      <c r="AD13" s="490">
        <f>'2018'!$AN$27</f>
        <v>1097.0180823604708</v>
      </c>
      <c r="AE13" s="490">
        <f>'2019'!$AN$27</f>
        <v>1086.5359143278301</v>
      </c>
      <c r="AF13" s="490">
        <f>'2020'!$AN$27</f>
        <v>936.85613912457495</v>
      </c>
      <c r="AG13" s="490">
        <f>'2021'!$AN$27</f>
        <v>1028.7327790699164</v>
      </c>
      <c r="AH13" s="490">
        <f>'2022'!$AN$27</f>
        <v>1037.2681935730093</v>
      </c>
    </row>
    <row r="14" spans="1:38">
      <c r="A14" s="491" t="s">
        <v>1981</v>
      </c>
      <c r="B14" s="490">
        <f>'1990'!$AN$21</f>
        <v>262.90175649406103</v>
      </c>
      <c r="C14" s="490">
        <f>'1991'!$AN$21</f>
        <v>255.12515268372005</v>
      </c>
      <c r="D14" s="490">
        <f>'1992'!$AN$21</f>
        <v>271.10370985738314</v>
      </c>
      <c r="E14" s="490">
        <f>'1993'!$AN$21</f>
        <v>287.64717003528193</v>
      </c>
      <c r="F14" s="490">
        <f>'1994'!$AN$21</f>
        <v>309.65347842265442</v>
      </c>
      <c r="G14" s="490">
        <f>'1995'!$AN$21</f>
        <v>324.1715516399529</v>
      </c>
      <c r="H14" s="490">
        <f>'1996'!$AN$21</f>
        <v>340.12360212335801</v>
      </c>
      <c r="I14" s="490">
        <f>'1997'!$AN$21</f>
        <v>355.1515452985301</v>
      </c>
      <c r="J14" s="490">
        <f>'1998'!$AN$21</f>
        <v>366.46847595739496</v>
      </c>
      <c r="K14" s="490">
        <f>'1999'!$AN$21</f>
        <v>388.36883675899719</v>
      </c>
      <c r="L14" s="490">
        <f>'2000'!$AN$21</f>
        <v>406.89215901347757</v>
      </c>
      <c r="M14" s="490">
        <f>'2001'!$AN$21</f>
        <v>404.39363757688636</v>
      </c>
      <c r="N14" s="490">
        <f>'2002'!$AN$21</f>
        <v>417.74962299407673</v>
      </c>
      <c r="O14" s="490">
        <f>'2003'!$AN$21</f>
        <v>426.54558776438665</v>
      </c>
      <c r="P14" s="490">
        <f>'2004'!$AN$21</f>
        <v>442.42608188459133</v>
      </c>
      <c r="Q14" s="490">
        <f>'2005'!$AN$21</f>
        <v>462.61577609311223</v>
      </c>
      <c r="R14" s="490">
        <f>'2006'!$AN$21</f>
        <v>473.99309149553648</v>
      </c>
      <c r="S14" s="490">
        <f>'2007'!$AN$21</f>
        <v>478.14950624548203</v>
      </c>
      <c r="T14" s="490">
        <f>'2008'!$AN$21</f>
        <v>453.43575016218529</v>
      </c>
      <c r="U14" s="490">
        <f>'2009'!$AN$21</f>
        <v>407.57895302168868</v>
      </c>
      <c r="V14" s="490">
        <f>'2010'!$AN$21</f>
        <v>425.19646953883949</v>
      </c>
      <c r="W14" s="490">
        <f>'2011'!$AN$21</f>
        <v>427.6280827235878</v>
      </c>
      <c r="X14" s="490">
        <f>'2012'!$AN$21</f>
        <v>426.41489789847134</v>
      </c>
      <c r="Y14" s="490">
        <f>'2013'!$AN$21</f>
        <v>429.87199491428527</v>
      </c>
      <c r="Z14" s="490">
        <f>'2014'!$AN$21</f>
        <v>444.45212024840879</v>
      </c>
      <c r="AA14" s="490">
        <f>'2015'!$AN$21</f>
        <v>456.34311997010326</v>
      </c>
      <c r="AB14" s="490">
        <f>'2016'!$AN$21</f>
        <v>452.42787298808332</v>
      </c>
      <c r="AC14" s="490">
        <f>'2017'!$AN$21</f>
        <v>465.86881051223031</v>
      </c>
      <c r="AD14" s="490">
        <f>'2018'!$AN$21</f>
        <v>476.60081185254569</v>
      </c>
      <c r="AE14" s="490">
        <f>'2019'!$AN$21</f>
        <v>474.01943388448933</v>
      </c>
      <c r="AF14" s="490">
        <f>'2020'!$AN$21</f>
        <v>447.42663937423902</v>
      </c>
      <c r="AG14" s="490">
        <f>'2021'!$AN$21</f>
        <v>480.64938445799595</v>
      </c>
      <c r="AH14" s="490">
        <f>'2022'!$AN$21</f>
        <v>480.78698026148368</v>
      </c>
    </row>
    <row r="15" spans="1:38">
      <c r="A15" s="491" t="s">
        <v>1623</v>
      </c>
      <c r="B15" s="490">
        <f>'1990'!$AN$22</f>
        <v>184.06940088336012</v>
      </c>
      <c r="C15" s="490">
        <f>'1991'!$AN$22</f>
        <v>168.66917277942096</v>
      </c>
      <c r="D15" s="490">
        <f>'1992'!$AN$22</f>
        <v>166.49655534295016</v>
      </c>
      <c r="E15" s="490">
        <f>'1993'!$AN$22</f>
        <v>168.07552796411721</v>
      </c>
      <c r="F15" s="490">
        <f>'1994'!$AN$22</f>
        <v>175.39063827643523</v>
      </c>
      <c r="G15" s="490">
        <f>'1995'!$AN$22</f>
        <v>172.11661100486771</v>
      </c>
      <c r="H15" s="490">
        <f>'1996'!$AN$22</f>
        <v>184.48695561999631</v>
      </c>
      <c r="I15" s="490">
        <f>'1997'!$AN$22</f>
        <v>184.33553328803944</v>
      </c>
      <c r="J15" s="490">
        <f>'1998'!$AN$22</f>
        <v>188.25018550549427</v>
      </c>
      <c r="K15" s="490">
        <f>'1999'!$AN$22</f>
        <v>192.35976342800956</v>
      </c>
      <c r="L15" s="490">
        <f>'2000'!$AN$22</f>
        <v>194.92054480835256</v>
      </c>
      <c r="M15" s="490">
        <f>'2001'!$AN$22</f>
        <v>189.56983550122058</v>
      </c>
      <c r="N15" s="490">
        <f>'2002'!$AN$22</f>
        <v>185.1857399723566</v>
      </c>
      <c r="O15" s="490">
        <f>'2003'!$AN$22</f>
        <v>179.19329073932138</v>
      </c>
      <c r="P15" s="490">
        <f>'2004'!$AN$22</f>
        <v>186.5791800477665</v>
      </c>
      <c r="Q15" s="490">
        <f>'2005'!$AN$22</f>
        <v>189.24792409177772</v>
      </c>
      <c r="R15" s="490">
        <f>'2006'!$AN$22</f>
        <v>182.19408744734335</v>
      </c>
      <c r="S15" s="490">
        <f>'2007'!$AN$22</f>
        <v>179.38424049480398</v>
      </c>
      <c r="T15" s="490">
        <f>'2008'!$AN$22</f>
        <v>172.96939159170532</v>
      </c>
      <c r="U15" s="490">
        <f>'2009'!$AN$22</f>
        <v>154.06158295994686</v>
      </c>
      <c r="V15" s="490">
        <f>'2010'!$AN$22</f>
        <v>151.40905575253709</v>
      </c>
      <c r="W15" s="490">
        <f>'2011'!$AN$22</f>
        <v>146.53936504033354</v>
      </c>
      <c r="X15" s="490">
        <f>'2012'!$AN$22</f>
        <v>143.30758419922373</v>
      </c>
      <c r="Y15" s="490">
        <f>'2013'!$AN$22</f>
        <v>147.04929288388544</v>
      </c>
      <c r="Z15" s="490">
        <f>'2014'!$AN$22</f>
        <v>148.29378133257555</v>
      </c>
      <c r="AA15" s="490">
        <f>'2015'!$AN$22</f>
        <v>157.51034818691798</v>
      </c>
      <c r="AB15" s="490">
        <f>'2016'!$AN$22</f>
        <v>165.95167606600393</v>
      </c>
      <c r="AC15" s="490">
        <f>'2017'!$AN$22</f>
        <v>171.68356572113379</v>
      </c>
      <c r="AD15" s="490">
        <f>'2018'!$AN$22</f>
        <v>172.25678963581601</v>
      </c>
      <c r="AE15" s="490">
        <f>'2019'!$AN$22</f>
        <v>180.26560680206128</v>
      </c>
      <c r="AF15" s="490">
        <f>'2020'!$AN$22</f>
        <v>120.6238825772685</v>
      </c>
      <c r="AG15" s="490">
        <f>'2021'!$AN$22</f>
        <v>152.64702491553962</v>
      </c>
      <c r="AH15" s="490">
        <f>'2022'!$AN$22</f>
        <v>167.49305734264436</v>
      </c>
    </row>
    <row r="16" spans="1:38">
      <c r="A16" s="491" t="s">
        <v>1622</v>
      </c>
      <c r="B16" s="492">
        <f>'1990'!$AN$20</f>
        <v>3.1096121236133114</v>
      </c>
      <c r="C16" s="492">
        <f>'1991'!$AN$20</f>
        <v>2.8845043581616476</v>
      </c>
      <c r="D16" s="492">
        <f>'1992'!$AN$20</f>
        <v>2.8383904516640253</v>
      </c>
      <c r="E16" s="492">
        <f>'1993'!$AN$20</f>
        <v>2.6544879160063384</v>
      </c>
      <c r="F16" s="492">
        <f>'1994'!$AN$20</f>
        <v>2.6367198890649757</v>
      </c>
      <c r="G16" s="492">
        <f>'1995'!$AN$20</f>
        <v>2.7364835578446907</v>
      </c>
      <c r="H16" s="492">
        <f>'1996'!$AN$20</f>
        <v>2.5825861727416788</v>
      </c>
      <c r="I16" s="492">
        <f>'1997'!$AN$20</f>
        <v>2.7445033676703643</v>
      </c>
      <c r="J16" s="492">
        <f>'1998'!$AN$20</f>
        <v>2.4542000792393024</v>
      </c>
      <c r="K16" s="492">
        <f>'1999'!$AN$20</f>
        <v>2.7082068145800311</v>
      </c>
      <c r="L16" s="492">
        <f>'2000'!$AN$20</f>
        <v>2.5086103407290006</v>
      </c>
      <c r="M16" s="492">
        <f>'2001'!$AN$20</f>
        <v>2.4154146196513464</v>
      </c>
      <c r="N16" s="492">
        <f>'2002'!$AN$20</f>
        <v>2.3320362519809823</v>
      </c>
      <c r="O16" s="492">
        <f>'2003'!$AN$20</f>
        <v>2.0894370047543576</v>
      </c>
      <c r="P16" s="492">
        <f>'2004'!$AN$20</f>
        <v>2.1599560221870044</v>
      </c>
      <c r="Q16" s="492">
        <f>'2005'!$AN$20</f>
        <v>2.4450740887480187</v>
      </c>
      <c r="R16" s="492">
        <f>'2006'!$AN$20</f>
        <v>2.3124706814580032</v>
      </c>
      <c r="S16" s="492">
        <f>'2007'!$AN$20</f>
        <v>2.1840154516640249</v>
      </c>
      <c r="T16" s="492">
        <f>'2008'!$AN$20</f>
        <v>1.9554508716323291</v>
      </c>
      <c r="U16" s="492">
        <f>'2009'!$AN$20</f>
        <v>1.8361216323296348</v>
      </c>
      <c r="V16" s="492">
        <f>'2010'!$AN$20</f>
        <v>1.869929278922345</v>
      </c>
      <c r="W16" s="492">
        <f>'2011'!$AN$20</f>
        <v>1.8706206418383515</v>
      </c>
      <c r="X16" s="492">
        <f>'2012'!$AN$20</f>
        <v>1.7362888272583199</v>
      </c>
      <c r="Y16" s="492">
        <f>'2013'!$AN$20</f>
        <v>1.545749207606973</v>
      </c>
      <c r="Z16" s="492">
        <f>'2014'!$AN$20</f>
        <v>1.4999809825673529</v>
      </c>
      <c r="AA16" s="492">
        <f>'2015'!$AN$20</f>
        <v>1.4616103407290009</v>
      </c>
      <c r="AB16" s="492">
        <f>'2016'!$AN$20</f>
        <v>1.4148742076069727</v>
      </c>
      <c r="AC16" s="492">
        <f>'2017'!$AN$20</f>
        <v>1.4483361727416797</v>
      </c>
      <c r="AD16" s="492">
        <f>'2018'!$AN$20</f>
        <v>1.548168977812995</v>
      </c>
      <c r="AE16" s="492">
        <f>'2019'!$AN$20</f>
        <v>1.616890451664025</v>
      </c>
      <c r="AF16" s="492">
        <f>'2020'!$AN$20</f>
        <v>1.3966913629160063</v>
      </c>
      <c r="AG16" s="492">
        <f>'2021'!$AN$20</f>
        <v>1.4898870839936607</v>
      </c>
      <c r="AH16" s="492">
        <f>'2022'!$AN$20</f>
        <v>1.5422232567353402</v>
      </c>
    </row>
    <row r="17" spans="1:34">
      <c r="A17" s="491" t="s">
        <v>1982</v>
      </c>
      <c r="B17" s="492">
        <f>'1990'!$AN$28</f>
        <v>22.550861720104951</v>
      </c>
      <c r="C17" s="492">
        <f>'1991'!$AN$28</f>
        <v>16.85194550311595</v>
      </c>
      <c r="D17" s="492">
        <f>'1992'!$AN$28</f>
        <v>30.046886068756475</v>
      </c>
      <c r="E17" s="492">
        <f>'1993'!$AN$28</f>
        <v>27.598738222837749</v>
      </c>
      <c r="F17" s="492">
        <f>'1994'!$AN$28</f>
        <v>26.892264786684578</v>
      </c>
      <c r="G17" s="492">
        <f>'1995'!$AN$28</f>
        <v>29.083868153077759</v>
      </c>
      <c r="H17" s="492">
        <f>'1996'!$AN$28</f>
        <v>23.647594659682987</v>
      </c>
      <c r="I17" s="492">
        <f>'1997'!$AN$28</f>
        <v>10.250887053796703</v>
      </c>
      <c r="J17" s="492">
        <f>'1998'!$AN$28</f>
        <v>5.925242959783259</v>
      </c>
      <c r="K17" s="492">
        <f>'1999'!$AN$28</f>
        <v>13.19535457230848</v>
      </c>
      <c r="L17" s="492">
        <f>'2000'!$AN$28</f>
        <v>33.301299824517116</v>
      </c>
      <c r="M17" s="492">
        <f>'2001'!$AN$28</f>
        <v>11.977176807833601</v>
      </c>
      <c r="N17" s="492">
        <f>'2002'!$AN$28</f>
        <v>17.112643462379527</v>
      </c>
      <c r="O17" s="492">
        <f>'2003'!$AN$28</f>
        <v>7.4427836102587737</v>
      </c>
      <c r="P17" s="492">
        <f>'2004'!$AN$28</f>
        <v>13.997842704984761</v>
      </c>
      <c r="Q17" s="492">
        <f>'2005'!$AN$28</f>
        <v>19.256721315532808</v>
      </c>
      <c r="R17" s="492">
        <f>'2006'!$AN$28</f>
        <v>23.001891697213448</v>
      </c>
      <c r="S17" s="492">
        <f>'2007'!$AN$28</f>
        <v>28.993883461208757</v>
      </c>
      <c r="T17" s="492">
        <f>'2008'!$AN$28</f>
        <v>20.373712766218244</v>
      </c>
      <c r="U17" s="492">
        <f>'2009'!$AN$28</f>
        <v>13.947566370092373</v>
      </c>
      <c r="V17" s="492">
        <f>'2010'!$AN$28</f>
        <v>20.438342346526728</v>
      </c>
      <c r="W17" s="492">
        <f>'2011'!$AN$28</f>
        <v>19.370355363532806</v>
      </c>
      <c r="X17" s="492">
        <f>'2012'!$AN$28</f>
        <v>15.849534968791041</v>
      </c>
      <c r="Y17" s="492">
        <f>'2013'!$AN$28</f>
        <v>15.120735722584548</v>
      </c>
      <c r="Z17" s="492">
        <f>'2014'!$AN$28</f>
        <v>5.8092242770261313</v>
      </c>
      <c r="AA17" s="492">
        <f>'2015'!$AN$28</f>
        <v>4.2465632356693357</v>
      </c>
      <c r="AB17" s="492">
        <f>'2016'!$AN$28</f>
        <v>12.949318850744325</v>
      </c>
      <c r="AC17" s="492">
        <f>'2017'!$AN$28</f>
        <v>16.465035834142718</v>
      </c>
      <c r="AD17" s="492">
        <f>'2018'!$AN$28</f>
        <v>14.002256765235195</v>
      </c>
      <c r="AE17" s="492">
        <f>'2019'!$AN$28</f>
        <v>14.483751349328964</v>
      </c>
      <c r="AF17" s="492">
        <f>'2020'!$AN$28</f>
        <v>7.3195481095850718</v>
      </c>
      <c r="AG17" s="492">
        <f>'2021'!$AN$28</f>
        <v>24.222096473531732</v>
      </c>
      <c r="AH17" s="492">
        <f>'2022'!$AN$28</f>
        <v>22.894110696652799</v>
      </c>
    </row>
    <row r="18" spans="1:34">
      <c r="A18" s="491" t="s">
        <v>1439</v>
      </c>
      <c r="B18" s="492">
        <f>'1990'!$AN$17</f>
        <v>36.000628828726228</v>
      </c>
      <c r="C18" s="492">
        <f>'1991'!$AN$17</f>
        <v>32.870998544585845</v>
      </c>
      <c r="D18" s="492">
        <f>'1992'!$AN$17</f>
        <v>32.223566137943912</v>
      </c>
      <c r="E18" s="492">
        <f>'1993'!$AN$17</f>
        <v>34.15461398423664</v>
      </c>
      <c r="F18" s="492">
        <f>'1994'!$AN$17</f>
        <v>37.56280519579169</v>
      </c>
      <c r="G18" s="492">
        <f>'1995'!$AN$17</f>
        <v>38.397759997364879</v>
      </c>
      <c r="H18" s="492">
        <f>'1996'!$AN$17</f>
        <v>39.083767671638746</v>
      </c>
      <c r="I18" s="492">
        <f>'1997'!$AN$17</f>
        <v>41.387043476727435</v>
      </c>
      <c r="J18" s="492">
        <f>'1998'!$AN$17</f>
        <v>35.288383859149057</v>
      </c>
      <c r="K18" s="492">
        <f>'1999'!$AN$17</f>
        <v>35.810853010699333</v>
      </c>
      <c r="L18" s="492">
        <f>'2000'!$AN$17</f>
        <v>35.650075735907123</v>
      </c>
      <c r="M18" s="492">
        <f>'2001'!$AN$17</f>
        <v>34.885995822200002</v>
      </c>
      <c r="N18" s="492">
        <f>'2002'!$AN$17</f>
        <v>37.087113998567915</v>
      </c>
      <c r="O18" s="492">
        <f>'2003'!$AN$17</f>
        <v>33.263751370962055</v>
      </c>
      <c r="P18" s="492">
        <f>'2004'!$AN$17</f>
        <v>31.927149340306773</v>
      </c>
      <c r="Q18" s="492">
        <f>'2005'!$AN$17</f>
        <v>33.075920910480484</v>
      </c>
      <c r="R18" s="492">
        <f>'2006'!$AN$17</f>
        <v>33.132752480798366</v>
      </c>
      <c r="S18" s="492">
        <f>'2007'!$AN$17</f>
        <v>35.181265831305353</v>
      </c>
      <c r="T18" s="492">
        <f>'2008'!$AN$17</f>
        <v>36.701650199837665</v>
      </c>
      <c r="U18" s="492">
        <f>'2009'!$AN$17</f>
        <v>37.924973610479</v>
      </c>
      <c r="V18" s="492">
        <f>'2010'!$AN$17</f>
        <v>38.159193121908444</v>
      </c>
      <c r="W18" s="492">
        <f>'2011'!$AN$17</f>
        <v>38.942984233329362</v>
      </c>
      <c r="X18" s="492">
        <f>'2012'!$AN$17</f>
        <v>41.37800918377787</v>
      </c>
      <c r="Y18" s="492">
        <f>'2013'!$AN$17</f>
        <v>47.049246645534772</v>
      </c>
      <c r="Z18" s="492">
        <f>'2014'!$AN$17</f>
        <v>40.238122656789713</v>
      </c>
      <c r="AA18" s="492">
        <f>'2015'!$AN$17</f>
        <v>39.405905197849926</v>
      </c>
      <c r="AB18" s="492">
        <f>'2016'!$AN$17</f>
        <v>40.058807328702912</v>
      </c>
      <c r="AC18" s="492">
        <f>'2017'!$AN$17</f>
        <v>42.257759266894162</v>
      </c>
      <c r="AD18" s="492">
        <f>'2018'!$AN$17</f>
        <v>50.915434140965644</v>
      </c>
      <c r="AE18" s="492">
        <f>'2019'!$AN$17</f>
        <v>58.928767923685299</v>
      </c>
      <c r="AF18" s="492">
        <f>'2020'!$AN$17</f>
        <v>58.653794375777238</v>
      </c>
      <c r="AG18" s="492">
        <f>'2021'!$AN$17</f>
        <v>65.191015978471412</v>
      </c>
      <c r="AH18" s="492">
        <f>'2022'!$AN$17</f>
        <v>70.161308648019386</v>
      </c>
    </row>
    <row r="19" spans="1:34">
      <c r="A19" s="491" t="s">
        <v>1624</v>
      </c>
      <c r="B19" s="492">
        <f>'1990'!AN24</f>
        <v>1.4406660499999997</v>
      </c>
      <c r="C19" s="492">
        <f>'1991'!AN24</f>
        <v>1.3302663299999995</v>
      </c>
      <c r="D19" s="492">
        <f>'1992'!AN24</f>
        <v>1.2220041899999998</v>
      </c>
      <c r="E19" s="492">
        <f>'1993'!AN24</f>
        <v>1.2743748999999998</v>
      </c>
      <c r="F19" s="492">
        <f>'1994'!AN24</f>
        <v>2.1404720199999994</v>
      </c>
      <c r="G19" s="492">
        <f>'1995'!AN24</f>
        <v>1.1161311099999998</v>
      </c>
      <c r="H19" s="492">
        <f>'1996'!AN24</f>
        <v>0.98429271999999979</v>
      </c>
      <c r="I19" s="492">
        <f>'1997'!AN24</f>
        <v>0.89533166999999991</v>
      </c>
      <c r="J19" s="492">
        <f>'1998'!AN24</f>
        <v>1.1107242900000001</v>
      </c>
      <c r="K19" s="492">
        <f>'1999'!AN24</f>
        <v>0.89841229999999983</v>
      </c>
      <c r="L19" s="492">
        <f>'2000'!AN24</f>
        <v>0.7480901299999998</v>
      </c>
      <c r="M19" s="492">
        <f>'2001'!AN24</f>
        <v>0.86370805999999978</v>
      </c>
      <c r="N19" s="492">
        <f>'2002'!AN24</f>
        <v>0.89904099999999998</v>
      </c>
      <c r="O19" s="492">
        <f>'2003'!AN24</f>
        <v>1.1249957799999997</v>
      </c>
      <c r="P19" s="492">
        <f>'2004'!AN24</f>
        <v>1.2026402300000001</v>
      </c>
      <c r="Q19" s="492">
        <f>'2005'!AN24</f>
        <v>1.7751344499999997</v>
      </c>
      <c r="R19" s="492">
        <f>'2006'!AN24</f>
        <v>1.7290507399999997</v>
      </c>
      <c r="S19" s="492">
        <f>'2007'!AN24</f>
        <v>1.3814425099999996</v>
      </c>
      <c r="T19" s="492">
        <f>'2008'!AN24</f>
        <v>2.5271853899999996</v>
      </c>
      <c r="U19" s="492">
        <f>'2009'!AN24</f>
        <v>1.7647609</v>
      </c>
      <c r="V19" s="492">
        <f>'2010'!AN24</f>
        <v>0.28756737999999993</v>
      </c>
      <c r="W19" s="492">
        <f>'2011'!AN24</f>
        <v>0.28920199999999996</v>
      </c>
      <c r="X19" s="492">
        <f>'2012'!AN24</f>
        <v>0.28417239999999994</v>
      </c>
      <c r="Y19" s="492">
        <f>'2013'!AN24</f>
        <v>0.38300403999999999</v>
      </c>
      <c r="Z19" s="492">
        <f>'2014'!AN24</f>
        <v>0.47913227000000003</v>
      </c>
      <c r="AA19" s="492">
        <f>'2015'!AN24</f>
        <v>0.62832277999999997</v>
      </c>
      <c r="AB19" s="492">
        <f>'2016'!AN24</f>
        <v>0.74306052999999994</v>
      </c>
      <c r="AC19" s="492">
        <f>'2017'!AN24</f>
        <v>0.77921077999999999</v>
      </c>
      <c r="AD19" s="492">
        <f>'2018'!AN24</f>
        <v>0.79310504999999976</v>
      </c>
      <c r="AE19" s="492">
        <f>'2019'!$AN$24</f>
        <v>0.78530916999999978</v>
      </c>
      <c r="AF19" s="492">
        <f>'2020'!$AN$24</f>
        <v>0.54351114999999983</v>
      </c>
      <c r="AG19" s="492">
        <f>'2021'!$AN$24</f>
        <v>0.6137369399999999</v>
      </c>
      <c r="AH19" s="492">
        <f>'2022'!$AN$24</f>
        <v>0.61732052999999998</v>
      </c>
    </row>
    <row r="20" spans="1:34">
      <c r="A20" s="491" t="s">
        <v>1952</v>
      </c>
      <c r="B20" s="492">
        <f>'Electricity Distributed'!C47</f>
        <v>3.0478078004311948</v>
      </c>
      <c r="C20" s="492">
        <f>'Electricity Distributed'!D47</f>
        <v>2.9964023805385849</v>
      </c>
      <c r="D20" s="492">
        <f>'Electricity Distributed'!E47</f>
        <v>2.9734684004888496</v>
      </c>
      <c r="E20" s="492">
        <f>'Electricity Distributed'!F47</f>
        <v>3.0306983994105288</v>
      </c>
      <c r="F20" s="492">
        <f>'Electricity Distributed'!G47</f>
        <v>3.1293684918237497</v>
      </c>
      <c r="G20" s="492">
        <f>'Electricity Distributed'!H47</f>
        <v>3.0614301812042424</v>
      </c>
      <c r="H20" s="492">
        <f>'Electricity Distributed'!I47</f>
        <v>3.0565229893866466</v>
      </c>
      <c r="I20" s="492">
        <f>'Electricity Distributed'!J47</f>
        <v>3.1025506666998042</v>
      </c>
      <c r="J20" s="492">
        <f>'Electricity Distributed'!K47</f>
        <v>3.1529589456535567</v>
      </c>
      <c r="K20" s="492">
        <f>'Electricity Distributed'!L47</f>
        <v>3.2220337783615247</v>
      </c>
      <c r="L20" s="492">
        <f>'Electricity Distributed'!M47</f>
        <v>3.4399160732406937</v>
      </c>
      <c r="M20" s="492">
        <f>'Electricity Distributed'!N47</f>
        <v>3.6324373970003858</v>
      </c>
      <c r="N20" s="492">
        <f>'Electricity Distributed'!O47</f>
        <v>3.4519641877923997</v>
      </c>
      <c r="O20" s="492">
        <f>'Electricity Distributed'!P47</f>
        <v>4.2838063564161679</v>
      </c>
      <c r="P20" s="492">
        <f>'Electricity Distributed'!Q47</f>
        <v>4.5392977642948242</v>
      </c>
      <c r="Q20" s="492">
        <f>'Electricity Distributed'!R47</f>
        <v>4.7272834778815946</v>
      </c>
      <c r="R20" s="492">
        <f>'Electricity Distributed'!S47</f>
        <v>4.5191745835277208</v>
      </c>
      <c r="S20" s="492">
        <f>'Electricity Distributed'!T47</f>
        <v>5.0653159975713491</v>
      </c>
      <c r="T20" s="492">
        <f>'Electricity Distributed'!U47</f>
        <v>4.670386178213243</v>
      </c>
      <c r="U20" s="492">
        <f>'Electricity Distributed'!V47</f>
        <v>4.475353884539695</v>
      </c>
      <c r="V20" s="492">
        <f>'Electricity Distributed'!W47</f>
        <v>4.4988742171125962</v>
      </c>
      <c r="W20" s="492">
        <f>'Electricity Distributed'!X47</f>
        <v>4.3161676718606765</v>
      </c>
      <c r="X20" s="492">
        <f>'Electricity Distributed'!Y47</f>
        <v>3.9752234349295001</v>
      </c>
      <c r="Y20" s="492">
        <f>'Electricity Distributed'!Z47</f>
        <v>4.2566610929504423</v>
      </c>
      <c r="Z20" s="492">
        <f>'Electricity Distributed'!AA47</f>
        <v>4.4438667215693011</v>
      </c>
      <c r="AA20" s="492">
        <f>'Electricity Distributed'!AB47</f>
        <v>4.2587118124190182</v>
      </c>
      <c r="AB20" s="492">
        <f>'Electricity Distributed'!AC47</f>
        <v>4.200542056673827</v>
      </c>
      <c r="AC20" s="492">
        <f>'Electricity Distributed'!AD47</f>
        <v>4.3166211759904849</v>
      </c>
      <c r="AD20" s="492">
        <f>'Electricity Distributed'!AE47</f>
        <v>4.7653266553458336</v>
      </c>
      <c r="AE20" s="492">
        <f>'Electricity Distributed'!AF47</f>
        <v>4.8115117081795677</v>
      </c>
      <c r="AF20" s="492">
        <f>'Electricity Distributed'!AG47</f>
        <v>4.0972527663802349</v>
      </c>
      <c r="AG20" s="492">
        <f>'Electricity Distributed'!AH47</f>
        <v>5.0350371086792869</v>
      </c>
      <c r="AH20" s="492">
        <f>'Electricity Distributed'!AI47</f>
        <v>6.0863762660731098</v>
      </c>
    </row>
    <row r="21" spans="1:34">
      <c r="A21" s="488" t="s">
        <v>1610</v>
      </c>
      <c r="B21" s="493">
        <f>'1990'!$AN$26</f>
        <v>0</v>
      </c>
      <c r="C21" s="493">
        <f>'1991'!$AN$26</f>
        <v>0</v>
      </c>
      <c r="D21" s="493">
        <f>'1992'!$AN$26</f>
        <v>0</v>
      </c>
      <c r="E21" s="493">
        <f>'1993'!$AN$26</f>
        <v>0</v>
      </c>
      <c r="F21" s="493">
        <f>'1994'!$AN$26</f>
        <v>0</v>
      </c>
      <c r="G21" s="493">
        <f>'1995'!$AN$26</f>
        <v>0</v>
      </c>
      <c r="H21" s="493">
        <f>'1996'!$AN$26</f>
        <v>0</v>
      </c>
      <c r="I21" s="493">
        <f>'1997'!$AN$26</f>
        <v>0</v>
      </c>
      <c r="J21" s="493">
        <f>'1998'!$AN$26</f>
        <v>0</v>
      </c>
      <c r="K21" s="493">
        <f>'1999'!$AN$26</f>
        <v>0</v>
      </c>
      <c r="L21" s="493">
        <f>'2000'!$AN$26</f>
        <v>0</v>
      </c>
      <c r="M21" s="493">
        <f>'2001'!$AN$26</f>
        <v>0</v>
      </c>
      <c r="N21" s="493">
        <f>'2002'!$AN$26</f>
        <v>0</v>
      </c>
      <c r="O21" s="493">
        <f>'2003'!$AN$26</f>
        <v>0</v>
      </c>
      <c r="P21" s="493">
        <f>'2004'!$AN$26</f>
        <v>0</v>
      </c>
      <c r="Q21" s="493">
        <f>'2005'!$AN$26</f>
        <v>0</v>
      </c>
      <c r="R21" s="493">
        <f>'2006'!$AN$26</f>
        <v>0</v>
      </c>
      <c r="S21" s="493">
        <f>'2007'!$AN$26</f>
        <v>0</v>
      </c>
      <c r="T21" s="493">
        <f>'2008'!$AN$26</f>
        <v>0</v>
      </c>
      <c r="U21" s="493">
        <f>'2009'!$AN$26</f>
        <v>0</v>
      </c>
      <c r="V21" s="493">
        <f>'2010'!$AN$26</f>
        <v>0</v>
      </c>
      <c r="W21" s="493">
        <f>'2011'!$AN$26</f>
        <v>0</v>
      </c>
      <c r="X21" s="493">
        <f>'2012'!$AN$26</f>
        <v>0</v>
      </c>
      <c r="Y21" s="493">
        <f>'2013'!$AN$26</f>
        <v>0</v>
      </c>
      <c r="Z21" s="493">
        <f>'2014'!$AN$26</f>
        <v>0</v>
      </c>
      <c r="AA21" s="493">
        <f>'2015'!$AN$26</f>
        <v>0</v>
      </c>
      <c r="AB21" s="493">
        <f>'2016'!$AN$26</f>
        <v>0</v>
      </c>
      <c r="AC21" s="493">
        <f>'2017'!$AN$26</f>
        <v>0</v>
      </c>
      <c r="AD21" s="493">
        <f>'2018'!$AN$26</f>
        <v>0</v>
      </c>
      <c r="AE21" s="493">
        <f>'2019'!$AN$26</f>
        <v>0</v>
      </c>
      <c r="AF21" s="493">
        <f>'2020'!$AN$26</f>
        <v>0</v>
      </c>
      <c r="AG21" s="493">
        <f>'2021'!$AN$26</f>
        <v>0</v>
      </c>
      <c r="AH21" s="493">
        <f>'2022'!$AN$26</f>
        <v>0</v>
      </c>
    </row>
    <row r="25" spans="1:34">
      <c r="A25" s="408" t="s">
        <v>1919</v>
      </c>
      <c r="B25" s="398">
        <f>B13-'[11]Main calcs'!C131</f>
        <v>0</v>
      </c>
      <c r="C25" s="398">
        <f>C13-'[11]Main calcs'!D131</f>
        <v>0</v>
      </c>
      <c r="D25" s="398">
        <f>D13-'[11]Main calcs'!E131</f>
        <v>0</v>
      </c>
      <c r="E25" s="398">
        <f>E13-'[11]Main calcs'!F131</f>
        <v>0</v>
      </c>
      <c r="F25" s="398">
        <f>F13-'[11]Main calcs'!G131</f>
        <v>0</v>
      </c>
      <c r="G25" s="398">
        <f>G13-'[11]Main calcs'!H131</f>
        <v>0</v>
      </c>
      <c r="H25" s="398">
        <f>H13-'[11]Main calcs'!I131</f>
        <v>0</v>
      </c>
      <c r="I25" s="398">
        <f>I13-'[11]Main calcs'!J131</f>
        <v>0</v>
      </c>
      <c r="J25" s="398">
        <f>J13-'[11]Main calcs'!K131</f>
        <v>0</v>
      </c>
      <c r="K25" s="398">
        <f>K13-'[11]Main calcs'!L131</f>
        <v>0</v>
      </c>
      <c r="L25" s="398">
        <f>L13-'[11]Main calcs'!M131</f>
        <v>0</v>
      </c>
      <c r="M25" s="398">
        <f>M13-'[11]Main calcs'!N131</f>
        <v>0</v>
      </c>
      <c r="N25" s="398">
        <f>N13-'[11]Main calcs'!O131</f>
        <v>0</v>
      </c>
      <c r="O25" s="398">
        <f>O13-'[11]Main calcs'!P131</f>
        <v>0</v>
      </c>
      <c r="P25" s="398">
        <f>P13-'[11]Main calcs'!Q131</f>
        <v>0</v>
      </c>
      <c r="Q25" s="398">
        <f>Q13-'[11]Main calcs'!R131</f>
        <v>0</v>
      </c>
      <c r="R25" s="398">
        <f>R13-'[11]Main calcs'!S131</f>
        <v>0</v>
      </c>
      <c r="S25" s="398">
        <f>S13-'[11]Main calcs'!T131</f>
        <v>0</v>
      </c>
      <c r="T25" s="398">
        <f>T13-'[11]Main calcs'!U131</f>
        <v>0</v>
      </c>
      <c r="U25" s="398">
        <f>U13-'[11]Main calcs'!V131</f>
        <v>0</v>
      </c>
      <c r="V25" s="398">
        <f>V13-'[11]Main calcs'!W131</f>
        <v>0</v>
      </c>
      <c r="W25" s="398">
        <f>W13-'[11]Main calcs'!X131</f>
        <v>0</v>
      </c>
      <c r="X25" s="398">
        <f>X13-'[11]Main calcs'!Y131</f>
        <v>0</v>
      </c>
      <c r="Y25" s="398">
        <f>Y13-'[11]Main calcs'!Z131</f>
        <v>0</v>
      </c>
      <c r="Z25" s="398">
        <f>Z13-'[11]Main calcs'!AA131</f>
        <v>0</v>
      </c>
      <c r="AA25" s="398">
        <f>AA13-'[11]Main calcs'!AB131</f>
        <v>0</v>
      </c>
      <c r="AB25" s="494">
        <f>AB13-'[11]Main calcs'!AC131</f>
        <v>0</v>
      </c>
      <c r="AC25" s="494">
        <f>AC13-'[11]Main calcs'!AD131</f>
        <v>0</v>
      </c>
      <c r="AD25" s="494">
        <f>AD13-'[11]Main calcs'!AE131</f>
        <v>0</v>
      </c>
      <c r="AE25" s="58">
        <f>AE13-'[11]Main calcs'!AF131</f>
        <v>0</v>
      </c>
      <c r="AF25" s="58">
        <f>AF13-'[11]Main calcs'!AG131</f>
        <v>0</v>
      </c>
      <c r="AG25" s="58">
        <f>AG13-'[11]Main calcs'!AH131</f>
        <v>0</v>
      </c>
      <c r="AH25" s="58">
        <f>AH13-'[11]Main calcs'!AI131</f>
        <v>0</v>
      </c>
    </row>
    <row r="26" spans="1:34">
      <c r="B26" s="398">
        <f>B14-'[11]Main calcs'!C138</f>
        <v>0</v>
      </c>
      <c r="C26" s="398">
        <f>C14-'[11]Main calcs'!D138</f>
        <v>0</v>
      </c>
      <c r="D26" s="398">
        <f>D14-'[11]Main calcs'!E138</f>
        <v>0</v>
      </c>
      <c r="E26" s="398">
        <f>E14-'[11]Main calcs'!F138</f>
        <v>0</v>
      </c>
      <c r="F26" s="398">
        <f>F14-'[11]Main calcs'!G138</f>
        <v>0</v>
      </c>
      <c r="G26" s="398">
        <f>G14-'[11]Main calcs'!H138</f>
        <v>0</v>
      </c>
      <c r="H26" s="398">
        <f>H14-'[11]Main calcs'!I138</f>
        <v>0</v>
      </c>
      <c r="I26" s="398">
        <f>I14-'[11]Main calcs'!J138</f>
        <v>0</v>
      </c>
      <c r="J26" s="398">
        <f>J14-'[11]Main calcs'!K138</f>
        <v>0</v>
      </c>
      <c r="K26" s="398">
        <f>K14-'[11]Main calcs'!L138</f>
        <v>0</v>
      </c>
      <c r="L26" s="398">
        <f>L14-'[11]Main calcs'!M138</f>
        <v>0</v>
      </c>
      <c r="M26" s="398">
        <f>M14-'[11]Main calcs'!N138</f>
        <v>0</v>
      </c>
      <c r="N26" s="398">
        <f>N14-'[11]Main calcs'!O138</f>
        <v>0</v>
      </c>
      <c r="O26" s="398">
        <f>O14-'[11]Main calcs'!P138</f>
        <v>0</v>
      </c>
      <c r="P26" s="398">
        <f>P14-'[11]Main calcs'!Q138</f>
        <v>0</v>
      </c>
      <c r="Q26" s="398">
        <f>Q14-'[11]Main calcs'!R138</f>
        <v>0</v>
      </c>
      <c r="R26" s="398">
        <f>R14-'[11]Main calcs'!S138</f>
        <v>0</v>
      </c>
      <c r="S26" s="398">
        <f>S14-'[11]Main calcs'!T138</f>
        <v>0</v>
      </c>
      <c r="T26" s="398">
        <f>T14-'[11]Main calcs'!U138</f>
        <v>0</v>
      </c>
      <c r="U26" s="398">
        <f>U14-'[11]Main calcs'!V138</f>
        <v>0</v>
      </c>
      <c r="V26" s="398">
        <f>V14-'[11]Main calcs'!W138</f>
        <v>0</v>
      </c>
      <c r="W26" s="398">
        <f>W14-'[11]Main calcs'!X138</f>
        <v>0</v>
      </c>
      <c r="X26" s="398">
        <f>X14-'[11]Main calcs'!Y138</f>
        <v>0</v>
      </c>
      <c r="Y26" s="398">
        <f>Y14-'[11]Main calcs'!Z138</f>
        <v>0</v>
      </c>
      <c r="Z26" s="398">
        <f>Z14-'[11]Main calcs'!AA138</f>
        <v>0</v>
      </c>
      <c r="AA26" s="398">
        <f>AA14-'[11]Main calcs'!AB138</f>
        <v>0</v>
      </c>
      <c r="AB26" s="494">
        <f>AB14-'[11]Main calcs'!AC138</f>
        <v>0</v>
      </c>
      <c r="AC26" s="494">
        <f>AC14-'[11]Main calcs'!AD138</f>
        <v>0</v>
      </c>
      <c r="AD26" s="494">
        <f>AD14-'[11]Main calcs'!AE138</f>
        <v>0</v>
      </c>
      <c r="AE26" s="58">
        <f>AE14-'[11]Main calcs'!AF138</f>
        <v>0</v>
      </c>
      <c r="AF26" s="58">
        <f>AF14-'[11]Main calcs'!AG138</f>
        <v>0</v>
      </c>
      <c r="AG26" s="58">
        <f>AG14-'[11]Main calcs'!AH138</f>
        <v>0</v>
      </c>
      <c r="AH26" s="58">
        <f>AH14-'[11]Main calcs'!AI138</f>
        <v>0</v>
      </c>
    </row>
    <row r="27" spans="1:34">
      <c r="B27" s="398">
        <f>B15-'[11]Main calcs'!C146</f>
        <v>0</v>
      </c>
      <c r="C27" s="398">
        <f>C15-'[11]Main calcs'!D146</f>
        <v>0</v>
      </c>
      <c r="D27" s="398">
        <f>D15-'[11]Main calcs'!E146</f>
        <v>0</v>
      </c>
      <c r="E27" s="398">
        <f>E15-'[11]Main calcs'!F146</f>
        <v>0</v>
      </c>
      <c r="F27" s="398">
        <f>F15-'[11]Main calcs'!G146</f>
        <v>0</v>
      </c>
      <c r="G27" s="398">
        <f>G15-'[11]Main calcs'!H146</f>
        <v>0</v>
      </c>
      <c r="H27" s="398">
        <f>H15-'[11]Main calcs'!I146</f>
        <v>0</v>
      </c>
      <c r="I27" s="398">
        <f>I15-'[11]Main calcs'!J146</f>
        <v>0</v>
      </c>
      <c r="J27" s="398">
        <f>J15-'[11]Main calcs'!K146</f>
        <v>0</v>
      </c>
      <c r="K27" s="398">
        <f>K15-'[11]Main calcs'!L146</f>
        <v>0</v>
      </c>
      <c r="L27" s="398">
        <f>L15-'[11]Main calcs'!M146</f>
        <v>0</v>
      </c>
      <c r="M27" s="398">
        <f>M15-'[11]Main calcs'!N146</f>
        <v>0</v>
      </c>
      <c r="N27" s="398">
        <f>N15-'[11]Main calcs'!O146</f>
        <v>0</v>
      </c>
      <c r="O27" s="398">
        <f>O15-'[11]Main calcs'!P146</f>
        <v>0</v>
      </c>
      <c r="P27" s="398">
        <f>P15-'[11]Main calcs'!Q146</f>
        <v>0</v>
      </c>
      <c r="Q27" s="398">
        <f>Q15-'[11]Main calcs'!R146</f>
        <v>0</v>
      </c>
      <c r="R27" s="398">
        <f>R15-'[11]Main calcs'!S146</f>
        <v>0</v>
      </c>
      <c r="S27" s="398">
        <f>S15-'[11]Main calcs'!T146</f>
        <v>0</v>
      </c>
      <c r="T27" s="398">
        <f>T15-'[11]Main calcs'!U146</f>
        <v>0</v>
      </c>
      <c r="U27" s="398">
        <f>U15-'[11]Main calcs'!V146</f>
        <v>0</v>
      </c>
      <c r="V27" s="398">
        <f>V15-'[11]Main calcs'!W146</f>
        <v>0</v>
      </c>
      <c r="W27" s="398">
        <f>W15-'[11]Main calcs'!X146</f>
        <v>0</v>
      </c>
      <c r="X27" s="398">
        <f>X15-'[11]Main calcs'!Y146</f>
        <v>0</v>
      </c>
      <c r="Y27" s="398">
        <f>Y15-'[11]Main calcs'!Z146</f>
        <v>0</v>
      </c>
      <c r="Z27" s="398">
        <f>Z15-'[11]Main calcs'!AA146</f>
        <v>0</v>
      </c>
      <c r="AA27" s="398">
        <f>AA15-'[11]Main calcs'!AB146</f>
        <v>0</v>
      </c>
      <c r="AB27" s="494">
        <f>AB15-'[11]Main calcs'!AC146</f>
        <v>0</v>
      </c>
      <c r="AC27" s="494">
        <f>AC15-'[11]Main calcs'!AD146</f>
        <v>0</v>
      </c>
      <c r="AD27" s="494">
        <f>AD15-'[11]Main calcs'!AE146</f>
        <v>0</v>
      </c>
      <c r="AE27" s="58">
        <f>AE15-'[11]Main calcs'!AF146</f>
        <v>0</v>
      </c>
      <c r="AF27" s="58">
        <f>AF15-'[11]Main calcs'!AG146</f>
        <v>0</v>
      </c>
      <c r="AG27" s="58">
        <f>AG15-'[11]Main calcs'!AH146</f>
        <v>0</v>
      </c>
      <c r="AH27" s="58">
        <f>AH15-'[11]Main calcs'!AI146</f>
        <v>0</v>
      </c>
    </row>
    <row r="28" spans="1:34">
      <c r="B28" s="398">
        <f>B16-'[11]Main calcs'!C150</f>
        <v>0</v>
      </c>
      <c r="C28" s="398">
        <f>C16-'[11]Main calcs'!D150</f>
        <v>0</v>
      </c>
      <c r="D28" s="398">
        <f>D16-'[11]Main calcs'!E150</f>
        <v>0</v>
      </c>
      <c r="E28" s="398">
        <f>E16-'[11]Main calcs'!F150</f>
        <v>0</v>
      </c>
      <c r="F28" s="398">
        <f>F16-'[11]Main calcs'!G150</f>
        <v>0</v>
      </c>
      <c r="G28" s="398">
        <f>G16-'[11]Main calcs'!H150</f>
        <v>0</v>
      </c>
      <c r="H28" s="398">
        <f>H16-'[11]Main calcs'!I150</f>
        <v>0</v>
      </c>
      <c r="I28" s="398">
        <f>I16-'[11]Main calcs'!J150</f>
        <v>0</v>
      </c>
      <c r="J28" s="398">
        <f>J16-'[11]Main calcs'!K150</f>
        <v>0</v>
      </c>
      <c r="K28" s="398">
        <f>K16-'[11]Main calcs'!L150</f>
        <v>0</v>
      </c>
      <c r="L28" s="398">
        <f>L16-'[11]Main calcs'!M150</f>
        <v>0</v>
      </c>
      <c r="M28" s="398">
        <f>M16-'[11]Main calcs'!N150</f>
        <v>0</v>
      </c>
      <c r="N28" s="398">
        <f>N16-'[11]Main calcs'!O150</f>
        <v>0</v>
      </c>
      <c r="O28" s="398">
        <f>O16-'[11]Main calcs'!P150</f>
        <v>0</v>
      </c>
      <c r="P28" s="398">
        <f>P16-'[11]Main calcs'!Q150</f>
        <v>0</v>
      </c>
      <c r="Q28" s="398">
        <f>Q16-'[11]Main calcs'!R150</f>
        <v>0</v>
      </c>
      <c r="R28" s="398">
        <f>R16-'[11]Main calcs'!S150</f>
        <v>0</v>
      </c>
      <c r="S28" s="398">
        <f>S16-'[11]Main calcs'!T150</f>
        <v>0</v>
      </c>
      <c r="T28" s="398">
        <f>T16-'[11]Main calcs'!U150</f>
        <v>0</v>
      </c>
      <c r="U28" s="398">
        <f>U16-'[11]Main calcs'!V150</f>
        <v>0</v>
      </c>
      <c r="V28" s="398">
        <f>V16-'[11]Main calcs'!W150</f>
        <v>0</v>
      </c>
      <c r="W28" s="398">
        <f>W16-'[11]Main calcs'!X150</f>
        <v>0</v>
      </c>
      <c r="X28" s="398">
        <f>X16-'[11]Main calcs'!Y150</f>
        <v>0</v>
      </c>
      <c r="Y28" s="398">
        <f>Y16-'[11]Main calcs'!Z150</f>
        <v>0</v>
      </c>
      <c r="Z28" s="398">
        <f>Z16-'[11]Main calcs'!AA150</f>
        <v>0</v>
      </c>
      <c r="AA28" s="398">
        <f>AA16-'[11]Main calcs'!AB150</f>
        <v>0</v>
      </c>
      <c r="AB28" s="494">
        <f>AB16-'[11]Main calcs'!AC150</f>
        <v>0</v>
      </c>
      <c r="AC28" s="494">
        <f>AC16-'[11]Main calcs'!AD150</f>
        <v>0</v>
      </c>
      <c r="AD28" s="494">
        <f>AD16-'[11]Main calcs'!AE150</f>
        <v>0</v>
      </c>
      <c r="AE28" s="58">
        <f>AE16-'[11]Main calcs'!AF150</f>
        <v>0</v>
      </c>
      <c r="AF28" s="58">
        <f>AF16-'[11]Main calcs'!AG150</f>
        <v>0</v>
      </c>
      <c r="AG28" s="58">
        <f>AG16-'[11]Main calcs'!AH150</f>
        <v>0</v>
      </c>
      <c r="AH28" s="58">
        <f>AH16-'[11]Main calcs'!AI150</f>
        <v>0</v>
      </c>
    </row>
    <row r="29" spans="1:34">
      <c r="B29" s="398">
        <f>B17-'[11]Main calcs'!C152</f>
        <v>0</v>
      </c>
      <c r="C29" s="398">
        <f>C17-'[11]Main calcs'!D152</f>
        <v>0</v>
      </c>
      <c r="D29" s="398">
        <f>D17-'[11]Main calcs'!E152</f>
        <v>0</v>
      </c>
      <c r="E29" s="398">
        <f>E17-'[11]Main calcs'!F152</f>
        <v>0</v>
      </c>
      <c r="F29" s="398">
        <f>F17-'[11]Main calcs'!G152</f>
        <v>0</v>
      </c>
      <c r="G29" s="398">
        <f>G17-'[11]Main calcs'!H152</f>
        <v>0</v>
      </c>
      <c r="H29" s="398">
        <f>H17-'[11]Main calcs'!I152</f>
        <v>0</v>
      </c>
      <c r="I29" s="398">
        <f>I17-'[11]Main calcs'!J152</f>
        <v>0</v>
      </c>
      <c r="J29" s="398">
        <f>J17-'[11]Main calcs'!K152</f>
        <v>0</v>
      </c>
      <c r="K29" s="398">
        <f>K17-'[11]Main calcs'!L152</f>
        <v>0</v>
      </c>
      <c r="L29" s="398">
        <f>L17-'[11]Main calcs'!M152</f>
        <v>0</v>
      </c>
      <c r="M29" s="398">
        <f>M17-'[11]Main calcs'!N152</f>
        <v>0</v>
      </c>
      <c r="N29" s="398">
        <f>N17-'[11]Main calcs'!O152</f>
        <v>0</v>
      </c>
      <c r="O29" s="398">
        <f>O17-'[11]Main calcs'!P152</f>
        <v>0</v>
      </c>
      <c r="P29" s="398">
        <f>P17-'[11]Main calcs'!Q152</f>
        <v>0</v>
      </c>
      <c r="Q29" s="398">
        <f>Q17-'[11]Main calcs'!R152</f>
        <v>0</v>
      </c>
      <c r="R29" s="398">
        <f>R17-'[11]Main calcs'!S152</f>
        <v>0</v>
      </c>
      <c r="S29" s="398">
        <f>S17-'[11]Main calcs'!T152</f>
        <v>0</v>
      </c>
      <c r="T29" s="398">
        <f>T17-'[11]Main calcs'!U152</f>
        <v>0</v>
      </c>
      <c r="U29" s="398">
        <f>U17-'[11]Main calcs'!V152</f>
        <v>0</v>
      </c>
      <c r="V29" s="398">
        <f>V17-'[11]Main calcs'!W152</f>
        <v>0</v>
      </c>
      <c r="W29" s="495">
        <f>W17-'[11]Main calcs'!X152</f>
        <v>0</v>
      </c>
      <c r="X29" s="495">
        <f>X17-'[11]Main calcs'!Y152</f>
        <v>0</v>
      </c>
      <c r="Y29" s="495">
        <f>Y17-'[11]Main calcs'!Z152</f>
        <v>0</v>
      </c>
      <c r="Z29" s="495">
        <f>Z17-'[11]Main calcs'!AA152</f>
        <v>0</v>
      </c>
      <c r="AA29" s="495">
        <f>AA17-'[11]Main calcs'!AB152</f>
        <v>0</v>
      </c>
      <c r="AB29" s="495">
        <f>AB17-'[11]Main calcs'!AC152</f>
        <v>0</v>
      </c>
      <c r="AC29" s="495">
        <f>AC17-'[11]Main calcs'!AD152</f>
        <v>0</v>
      </c>
      <c r="AD29" s="495">
        <f>AD17-'[11]Main calcs'!AE152</f>
        <v>0</v>
      </c>
      <c r="AE29" s="58">
        <f>AE17-'[11]Main calcs'!AF152</f>
        <v>0</v>
      </c>
      <c r="AF29" s="58">
        <f>AF17-'[11]Main calcs'!AG152</f>
        <v>0</v>
      </c>
      <c r="AG29" s="58">
        <f>AG17-'[11]Main calcs'!AH152</f>
        <v>0</v>
      </c>
      <c r="AH29" s="58">
        <f>AH17-'[11]Main calcs'!AI152</f>
        <v>0</v>
      </c>
    </row>
    <row r="30" spans="1:34">
      <c r="B30" s="398">
        <f>B18-'[11]Main calcs'!C154</f>
        <v>0</v>
      </c>
      <c r="C30" s="398">
        <f>C18-'[11]Main calcs'!D154</f>
        <v>0</v>
      </c>
      <c r="D30" s="398">
        <f>D18-'[11]Main calcs'!E154</f>
        <v>0</v>
      </c>
      <c r="E30" s="398">
        <f>E18-'[11]Main calcs'!F154</f>
        <v>0</v>
      </c>
      <c r="F30" s="398">
        <f>F18-'[11]Main calcs'!G154</f>
        <v>0</v>
      </c>
      <c r="G30" s="398">
        <f>G18-'[11]Main calcs'!H154</f>
        <v>0</v>
      </c>
      <c r="H30" s="398">
        <f>H18-'[11]Main calcs'!I154</f>
        <v>0</v>
      </c>
      <c r="I30" s="398">
        <f>I18-'[11]Main calcs'!J154</f>
        <v>0</v>
      </c>
      <c r="J30" s="398">
        <f>J18-'[11]Main calcs'!K154</f>
        <v>0</v>
      </c>
      <c r="K30" s="398">
        <f>K18-'[11]Main calcs'!L154</f>
        <v>0</v>
      </c>
      <c r="L30" s="398">
        <f>L18-'[11]Main calcs'!M154</f>
        <v>0</v>
      </c>
      <c r="M30" s="398">
        <f>M18-'[11]Main calcs'!N154</f>
        <v>0</v>
      </c>
      <c r="N30" s="398">
        <f>N18-'[11]Main calcs'!O154</f>
        <v>0</v>
      </c>
      <c r="O30" s="398">
        <f>O18-'[11]Main calcs'!P154</f>
        <v>0</v>
      </c>
      <c r="P30" s="398">
        <f>P18-'[11]Main calcs'!Q154</f>
        <v>0</v>
      </c>
      <c r="Q30" s="398">
        <f>Q18-'[11]Main calcs'!R154</f>
        <v>0</v>
      </c>
      <c r="R30" s="398">
        <f>R18-'[11]Main calcs'!S154</f>
        <v>0</v>
      </c>
      <c r="S30" s="398">
        <f>S18-'[11]Main calcs'!T154</f>
        <v>0</v>
      </c>
      <c r="T30" s="398">
        <f>T18-'[11]Main calcs'!U154</f>
        <v>0</v>
      </c>
      <c r="U30" s="398">
        <f>U18-'[11]Main calcs'!V154</f>
        <v>0</v>
      </c>
      <c r="V30" s="398">
        <f>V18-'[11]Main calcs'!W154</f>
        <v>0</v>
      </c>
      <c r="W30" s="495">
        <f>W18-'[11]Main calcs'!X154</f>
        <v>0</v>
      </c>
      <c r="X30" s="495">
        <f>X18-'[11]Main calcs'!Y154</f>
        <v>0</v>
      </c>
      <c r="Y30" s="495">
        <f>Y18-'[11]Main calcs'!Z154</f>
        <v>0</v>
      </c>
      <c r="Z30" s="495">
        <f>Z18-'[11]Main calcs'!AA154</f>
        <v>0</v>
      </c>
      <c r="AA30" s="495">
        <f>AA18-'[11]Main calcs'!AB154</f>
        <v>0</v>
      </c>
      <c r="AB30" s="495">
        <f>AB18-'[11]Main calcs'!AC154</f>
        <v>0</v>
      </c>
      <c r="AC30" s="495">
        <f>AC18-'[11]Main calcs'!AD154</f>
        <v>0</v>
      </c>
      <c r="AD30" s="495">
        <f>AD18-'[11]Main calcs'!AE154</f>
        <v>0</v>
      </c>
      <c r="AE30" s="58">
        <f>AE18-'[11]Main calcs'!AF154</f>
        <v>0</v>
      </c>
      <c r="AF30" s="58">
        <f>AF18-'[11]Main calcs'!AG154</f>
        <v>0</v>
      </c>
      <c r="AG30" s="58">
        <f>AG18-'[11]Main calcs'!AH154</f>
        <v>0</v>
      </c>
      <c r="AH30" s="58">
        <f>AH18-'[11]Main calcs'!AI154</f>
        <v>0</v>
      </c>
    </row>
    <row r="31" spans="1:34">
      <c r="B31" s="398">
        <f>B19-'[11]Main calcs'!C160</f>
        <v>0</v>
      </c>
      <c r="C31" s="398">
        <f>C19-'[11]Main calcs'!D160</f>
        <v>0</v>
      </c>
      <c r="D31" s="398">
        <f>D19-'[11]Main calcs'!E160</f>
        <v>0</v>
      </c>
      <c r="E31" s="398">
        <f>E19-'[11]Main calcs'!F160</f>
        <v>0</v>
      </c>
      <c r="F31" s="398">
        <f>F19-'[11]Main calcs'!G160</f>
        <v>0</v>
      </c>
      <c r="G31" s="398">
        <f>G19-'[11]Main calcs'!H160</f>
        <v>0</v>
      </c>
      <c r="H31" s="398">
        <f>H19-'[11]Main calcs'!I160</f>
        <v>0</v>
      </c>
      <c r="I31" s="398">
        <f>I19-'[11]Main calcs'!J160</f>
        <v>0</v>
      </c>
      <c r="J31" s="398">
        <f>J19-'[11]Main calcs'!K160</f>
        <v>0</v>
      </c>
      <c r="K31" s="398">
        <f>K19-'[11]Main calcs'!L160</f>
        <v>0</v>
      </c>
      <c r="L31" s="398">
        <f>L19-'[11]Main calcs'!M160</f>
        <v>0</v>
      </c>
      <c r="M31" s="398">
        <f>M19-'[11]Main calcs'!N160</f>
        <v>0</v>
      </c>
      <c r="N31" s="398">
        <f>N19-'[11]Main calcs'!O160</f>
        <v>0</v>
      </c>
      <c r="O31" s="398">
        <f>O19-'[11]Main calcs'!P160</f>
        <v>0</v>
      </c>
      <c r="P31" s="398">
        <f>P19-'[11]Main calcs'!Q160</f>
        <v>0</v>
      </c>
      <c r="Q31" s="398">
        <f>Q19-'[11]Main calcs'!R160</f>
        <v>0</v>
      </c>
      <c r="R31" s="398">
        <f>R19-'[11]Main calcs'!S160</f>
        <v>0</v>
      </c>
      <c r="S31" s="398">
        <f>S19-'[11]Main calcs'!T160</f>
        <v>0</v>
      </c>
      <c r="T31" s="398">
        <f>T19-'[11]Main calcs'!U160</f>
        <v>0</v>
      </c>
      <c r="U31" s="398">
        <f>U19-'[11]Main calcs'!V160</f>
        <v>0</v>
      </c>
      <c r="V31" s="398">
        <f>V19-'[11]Main calcs'!W160</f>
        <v>0</v>
      </c>
      <c r="W31" s="495">
        <f>W19-'[11]Main calcs'!X160</f>
        <v>0</v>
      </c>
      <c r="X31" s="495">
        <f>X19-'[11]Main calcs'!Y160</f>
        <v>0</v>
      </c>
      <c r="Y31" s="495">
        <f>Y19-'[11]Main calcs'!Z160</f>
        <v>0</v>
      </c>
      <c r="Z31" s="495">
        <f>Z19-'[11]Main calcs'!AA160</f>
        <v>0</v>
      </c>
      <c r="AA31" s="495">
        <f>AA19-'[11]Main calcs'!AB160</f>
        <v>0</v>
      </c>
      <c r="AB31" s="495">
        <f>AB19-'[11]Main calcs'!AC160</f>
        <v>0</v>
      </c>
      <c r="AC31" s="495">
        <f>AC19-'[11]Main calcs'!AD160</f>
        <v>0</v>
      </c>
      <c r="AD31" s="495">
        <f>AD19-'[11]Main calcs'!AE160</f>
        <v>0</v>
      </c>
      <c r="AE31" s="58">
        <f>AE19-'[11]Main calcs'!AF160</f>
        <v>0</v>
      </c>
      <c r="AF31" s="58">
        <f>AF19-'[11]Main calcs'!AG160</f>
        <v>0</v>
      </c>
      <c r="AG31" s="58">
        <f>AG19-'[11]Main calcs'!AH160</f>
        <v>0</v>
      </c>
      <c r="AH31" s="58">
        <f>AH19-'[11]Main calcs'!AI160</f>
        <v>0</v>
      </c>
    </row>
    <row r="32" spans="1:34">
      <c r="B32" s="398">
        <f>B20-'[11]Main calcs'!C165</f>
        <v>0</v>
      </c>
      <c r="C32" s="398">
        <f>C20-'[11]Main calcs'!D165</f>
        <v>0</v>
      </c>
      <c r="D32" s="398">
        <f>D20-'[11]Main calcs'!E165</f>
        <v>0</v>
      </c>
      <c r="E32" s="398">
        <f>E20-'[11]Main calcs'!F165</f>
        <v>0</v>
      </c>
      <c r="F32" s="398">
        <f>F20-'[11]Main calcs'!G165</f>
        <v>0</v>
      </c>
      <c r="G32" s="398">
        <f>G20-'[11]Main calcs'!H165</f>
        <v>0</v>
      </c>
      <c r="H32" s="398">
        <f>H20-'[11]Main calcs'!I165</f>
        <v>0</v>
      </c>
      <c r="I32" s="398">
        <f>I20-'[11]Main calcs'!J165</f>
        <v>0</v>
      </c>
      <c r="J32" s="398">
        <f>J20-'[11]Main calcs'!K165</f>
        <v>0</v>
      </c>
      <c r="K32" s="398">
        <f>K20-'[11]Main calcs'!L165</f>
        <v>0</v>
      </c>
      <c r="L32" s="398">
        <f>L20-'[11]Main calcs'!M165</f>
        <v>0</v>
      </c>
      <c r="M32" s="398">
        <f>M20-'[11]Main calcs'!N165</f>
        <v>0</v>
      </c>
      <c r="N32" s="398">
        <f>N20-'[11]Main calcs'!O165</f>
        <v>0</v>
      </c>
      <c r="O32" s="398">
        <f>O20-'[11]Main calcs'!P165</f>
        <v>0</v>
      </c>
      <c r="P32" s="398">
        <f>P20-'[11]Main calcs'!Q165</f>
        <v>0</v>
      </c>
      <c r="Q32" s="398">
        <f>Q20-'[11]Main calcs'!R165</f>
        <v>0</v>
      </c>
      <c r="R32" s="398">
        <f>R20-'[11]Main calcs'!S165</f>
        <v>0</v>
      </c>
      <c r="S32" s="398">
        <f>S20-'[11]Main calcs'!T165</f>
        <v>0</v>
      </c>
      <c r="T32" s="398">
        <f>T20-'[11]Main calcs'!U165</f>
        <v>0</v>
      </c>
      <c r="U32" s="398">
        <f>U20-'[11]Main calcs'!V165</f>
        <v>0</v>
      </c>
      <c r="V32" s="398">
        <f>V20-'[11]Main calcs'!W165</f>
        <v>0</v>
      </c>
      <c r="W32" s="495">
        <f>W20-'[11]Main calcs'!X165</f>
        <v>0</v>
      </c>
      <c r="X32" s="495">
        <f>X20-'[11]Main calcs'!Y165</f>
        <v>0</v>
      </c>
      <c r="Y32" s="495">
        <f>Y20-'[11]Main calcs'!Z165</f>
        <v>0</v>
      </c>
      <c r="Z32" s="495">
        <f>Z20-'[11]Main calcs'!AA165</f>
        <v>0</v>
      </c>
      <c r="AA32" s="495">
        <f>AA20-'[11]Main calcs'!AB165</f>
        <v>0</v>
      </c>
      <c r="AB32" s="495">
        <f>AB20-'[11]Main calcs'!AC165</f>
        <v>0</v>
      </c>
      <c r="AC32" s="495">
        <f>AC20-'[11]Main calcs'!AD165</f>
        <v>0</v>
      </c>
      <c r="AD32" s="495">
        <f>AD20-'[11]Main calcs'!AE165</f>
        <v>0</v>
      </c>
      <c r="AE32" s="58">
        <f>AE20-'[11]Main calcs'!AF165</f>
        <v>0</v>
      </c>
      <c r="AF32" s="58">
        <f>AF20-'[11]Main calcs'!AG165</f>
        <v>0</v>
      </c>
      <c r="AG32" s="58">
        <f>AG20-'[11]Main calcs'!AH165</f>
        <v>0</v>
      </c>
      <c r="AH32" s="58">
        <f>AH20-'[11]Main calcs'!AI165</f>
        <v>0</v>
      </c>
    </row>
    <row r="34" spans="1:34">
      <c r="A34" s="5" t="s">
        <v>1983</v>
      </c>
      <c r="R34" s="496"/>
      <c r="S34" s="496"/>
      <c r="T34" s="496"/>
    </row>
    <row r="35" spans="1:34">
      <c r="A35" s="256" t="s">
        <v>1413</v>
      </c>
      <c r="B35" s="390">
        <v>1990</v>
      </c>
      <c r="C35" s="391">
        <v>1991</v>
      </c>
      <c r="D35" s="390">
        <v>1992</v>
      </c>
      <c r="E35" s="391">
        <v>1993</v>
      </c>
      <c r="F35" s="390">
        <v>1994</v>
      </c>
      <c r="G35" s="391">
        <v>1995</v>
      </c>
      <c r="H35" s="390">
        <v>1996</v>
      </c>
      <c r="I35" s="391">
        <v>1997</v>
      </c>
      <c r="J35" s="390">
        <v>1998</v>
      </c>
      <c r="K35" s="391">
        <v>1999</v>
      </c>
      <c r="L35" s="390">
        <v>2000</v>
      </c>
      <c r="M35" s="391">
        <v>2001</v>
      </c>
      <c r="N35" s="390">
        <v>2002</v>
      </c>
      <c r="O35" s="391">
        <v>2003</v>
      </c>
      <c r="P35" s="391">
        <v>2004</v>
      </c>
      <c r="Q35" s="391">
        <v>2005</v>
      </c>
      <c r="R35" s="391">
        <v>2006</v>
      </c>
      <c r="S35" s="391">
        <v>2007</v>
      </c>
      <c r="T35" s="390">
        <v>2008</v>
      </c>
      <c r="U35" s="391">
        <v>2009</v>
      </c>
      <c r="V35" s="391">
        <v>2010</v>
      </c>
      <c r="W35" s="391">
        <v>2011</v>
      </c>
      <c r="X35" s="391">
        <v>2012</v>
      </c>
      <c r="Y35" s="391">
        <v>2013</v>
      </c>
      <c r="Z35" s="391">
        <v>2014</v>
      </c>
      <c r="AA35" s="391">
        <v>2015</v>
      </c>
      <c r="AB35" s="391">
        <v>2016</v>
      </c>
      <c r="AC35" s="391">
        <v>2017</v>
      </c>
      <c r="AD35" s="391">
        <v>2018</v>
      </c>
      <c r="AE35" s="391">
        <v>2019</v>
      </c>
      <c r="AF35" s="391">
        <v>2020</v>
      </c>
      <c r="AG35" s="391">
        <v>2021</v>
      </c>
      <c r="AH35" s="391">
        <v>2022</v>
      </c>
    </row>
    <row r="36" spans="1:34" ht="26.1">
      <c r="A36" s="720" t="s">
        <v>1637</v>
      </c>
      <c r="B36" s="721">
        <f>INDEX('[10]Table 7.6'!$B$13:$H$100,MATCH(B$35,'[10]Table 7.6'!$A$13:$A$100,0),MATCH($A36,'[10]Table 7.6'!$B$11:$H$11,0))*Factors!$J$61</f>
        <v>4.7511650000000003</v>
      </c>
      <c r="C36" s="721">
        <f>INDEX('[10]Table 7.6'!$B$13:$H$100,MATCH(C$35,'[10]Table 7.6'!$A$13:$A$100,0),MATCH($A36,'[10]Table 7.6'!$B$11:$H$11,0))*Factors!$J$61</f>
        <v>4.7584430000000006</v>
      </c>
      <c r="D36" s="721">
        <f>INDEX('[10]Table 7.6'!$B$13:$H$100,MATCH(D$35,'[10]Table 7.6'!$A$13:$A$100,0),MATCH($A36,'[10]Table 7.6'!$B$11:$H$11,0))*Factors!$J$61</f>
        <v>4.7057460000000004</v>
      </c>
      <c r="E36" s="721">
        <f>INDEX('[10]Table 7.6'!$B$13:$H$100,MATCH(E$35,'[10]Table 7.6'!$A$13:$A$100,0),MATCH($A36,'[10]Table 7.6'!$B$11:$H$11,0))*Factors!$J$61</f>
        <v>4.7709320000000002</v>
      </c>
      <c r="F36" s="721">
        <f>INDEX('[10]Table 7.6'!$B$13:$H$100,MATCH(F$35,'[10]Table 7.6'!$A$13:$A$100,0),MATCH($A36,'[10]Table 7.6'!$B$11:$H$11,0))*Factors!$J$61</f>
        <v>4.9942460000000004</v>
      </c>
      <c r="G36" s="721">
        <f>INDEX('[10]Table 7.6'!$B$13:$H$100,MATCH(G$35,'[10]Table 7.6'!$A$13:$A$100,0),MATCH($A36,'[10]Table 7.6'!$B$11:$H$11,0))*Factors!$J$61</f>
        <v>4.9745200000000009</v>
      </c>
      <c r="H36" s="721">
        <f>INDEX('[10]Table 7.6'!$B$13:$H$100,MATCH(H$35,'[10]Table 7.6'!$A$13:$A$100,0),MATCH($A36,'[10]Table 7.6'!$B$11:$H$11,0))*Factors!$J$61</f>
        <v>4.9227780000000001</v>
      </c>
      <c r="I36" s="721">
        <f>INDEX('[10]Table 7.6'!$B$13:$H$100,MATCH(I$35,'[10]Table 7.6'!$A$13:$A$100,0),MATCH($A36,'[10]Table 7.6'!$B$11:$H$11,0))*Factors!$J$61</f>
        <v>4.9073329999999995</v>
      </c>
      <c r="J36" s="721">
        <f>INDEX('[10]Table 7.6'!$B$13:$H$100,MATCH(J$35,'[10]Table 7.6'!$A$13:$A$100,0),MATCH($A36,'[10]Table 7.6'!$B$11:$H$11,0))*Factors!$J$61</f>
        <v>4.9615980000000004</v>
      </c>
      <c r="K36" s="721">
        <f>INDEX('[10]Table 7.6'!$B$13:$H$100,MATCH(K$35,'[10]Table 7.6'!$A$13:$A$100,0),MATCH($A36,'[10]Table 7.6'!$B$11:$H$11,0))*Factors!$J$61</f>
        <v>5.1261940000000008</v>
      </c>
      <c r="L36" s="721">
        <f>INDEX('[10]Table 7.6'!$B$13:$H$100,MATCH(L$35,'[10]Table 7.6'!$A$13:$A$100,0),MATCH($A36,'[10]Table 7.6'!$B$11:$H$11,0))*Factors!$J$61</f>
        <v>5.3817430000000002</v>
      </c>
      <c r="M36" s="721">
        <f>INDEX('[10]Table 7.6'!$B$13:$H$100,MATCH(M$35,'[10]Table 7.6'!$A$13:$A$100,0),MATCH($A36,'[10]Table 7.6'!$B$11:$H$11,0))*Factors!$J$61</f>
        <v>5.7243250000000003</v>
      </c>
      <c r="N36" s="721">
        <f>INDEX('[10]Table 7.6'!$B$13:$H$100,MATCH(N$35,'[10]Table 7.6'!$A$13:$A$100,0),MATCH($A36,'[10]Table 7.6'!$B$11:$H$11,0))*Factors!$J$61</f>
        <v>5.5171980000000005</v>
      </c>
      <c r="O36" s="721">
        <f>INDEX('[10]Table 7.6'!$B$13:$H$100,MATCH(O$35,'[10]Table 7.6'!$A$13:$A$100,0),MATCH($A36,'[10]Table 7.6'!$B$11:$H$11,0))*Factors!$J$61</f>
        <v>6.8097279999999998</v>
      </c>
      <c r="P36" s="721">
        <f>INDEX('[10]Table 7.6'!$B$13:$H$100,MATCH(P$35,'[10]Table 7.6'!$A$13:$A$100,0),MATCH($A36,'[10]Table 7.6'!$B$11:$H$11,0))*Factors!$J$61</f>
        <v>7.2236419999999999</v>
      </c>
      <c r="Q36" s="721">
        <f>INDEX('[10]Table 7.6'!$B$13:$H$100,MATCH(Q$35,'[10]Table 7.6'!$A$13:$A$100,0),MATCH($A36,'[10]Table 7.6'!$B$11:$H$11,0))*Factors!$J$61</f>
        <v>7.5063209999999998</v>
      </c>
      <c r="R36" s="721">
        <f>INDEX('[10]Table 7.6'!$B$13:$H$100,MATCH(R$35,'[10]Table 7.6'!$A$13:$A$100,0),MATCH($A36,'[10]Table 7.6'!$B$11:$H$11,0))*Factors!$J$61</f>
        <v>7.3575429999999997</v>
      </c>
      <c r="S36" s="721">
        <f>INDEX('[10]Table 7.6'!$B$13:$H$100,MATCH(S$35,'[10]Table 7.6'!$A$13:$A$100,0),MATCH($A36,'[10]Table 7.6'!$B$11:$H$11,0))*Factors!$J$61</f>
        <v>8.1725950000000012</v>
      </c>
      <c r="T36" s="721">
        <f>INDEX('[10]Table 7.6'!$B$13:$H$100,MATCH(T$35,'[10]Table 7.6'!$A$13:$A$100,0),MATCH($A36,'[10]Table 7.6'!$B$11:$H$11,0))*Factors!$J$61</f>
        <v>7.6532110000000007</v>
      </c>
      <c r="U36" s="721">
        <f>INDEX('[10]Table 7.6'!$B$13:$H$100,MATCH(U$35,'[10]Table 7.6'!$A$13:$A$100,0),MATCH($A36,'[10]Table 7.6'!$B$11:$H$11,0))*Factors!$J$61</f>
        <v>7.767989</v>
      </c>
      <c r="V36" s="721">
        <f>INDEX('[10]Table 7.6'!$B$13:$H$100,MATCH(V$35,'[10]Table 7.6'!$A$13:$A$100,0),MATCH($A36,'[10]Table 7.6'!$B$11:$H$11,0))*Factors!$J$61</f>
        <v>7.7124120000000005</v>
      </c>
      <c r="W36" s="721">
        <f>INDEX('[10]Table 7.6'!$B$13:$H$100,MATCH(W$35,'[10]Table 7.6'!$A$13:$A$100,0),MATCH($A36,'[10]Table 7.6'!$B$11:$H$11,0))*Factors!$J$61</f>
        <v>7.6720839999999999</v>
      </c>
      <c r="X36" s="721">
        <f>INDEX('[10]Table 7.6'!$B$13:$H$100,MATCH(X$35,'[10]Table 7.6'!$A$13:$A$100,0),MATCH($A36,'[10]Table 7.6'!$B$11:$H$11,0))*Factors!$J$61</f>
        <v>7.3200280000000006</v>
      </c>
      <c r="Y36" s="721">
        <f>INDEX('[10]Table 7.6'!$B$13:$H$100,MATCH(Y$35,'[10]Table 7.6'!$A$13:$A$100,0),MATCH($A36,'[10]Table 7.6'!$B$11:$H$11,0))*Factors!$J$61</f>
        <v>7.6250410000000004</v>
      </c>
      <c r="Z36" s="721">
        <f>INDEX('[10]Table 7.6'!$B$13:$H$100,MATCH(Z$35,'[10]Table 7.6'!$A$13:$A$100,0),MATCH($A36,'[10]Table 7.6'!$B$11:$H$11,0))*Factors!$J$61</f>
        <v>7.7575550000000009</v>
      </c>
      <c r="AA36" s="721">
        <f>INDEX('[10]Table 7.6'!$B$13:$H$100,MATCH(AA$35,'[10]Table 7.6'!$A$13:$A$100,0),MATCH($A36,'[10]Table 7.6'!$B$11:$H$11,0))*Factors!$J$61</f>
        <v>7.6366319999999996</v>
      </c>
      <c r="AB36" s="721">
        <f>INDEX('[10]Table 7.6'!$B$13:$H$100,MATCH(AB$35,'[10]Table 7.6'!$A$13:$A$100,0),MATCH($A36,'[10]Table 7.6'!$B$11:$H$11,0))*Factors!$J$61</f>
        <v>7.4969099999999997</v>
      </c>
      <c r="AC36" s="721">
        <f>INDEX('[10]Table 7.6'!$B$13:$H$100,MATCH(AC$35,'[10]Table 7.6'!$A$13:$A$100,0),MATCH($A36,'[10]Table 7.6'!$B$11:$H$11,0))*Factors!$J$61</f>
        <v>7.5225929999999996</v>
      </c>
      <c r="AD36" s="721">
        <f>INDEX('[10]Table 7.6'!$B$13:$H$100,MATCH(AD$35,'[10]Table 7.6'!$A$13:$A$100,0),MATCH($A36,'[10]Table 7.6'!$B$11:$H$11,0))*Factors!$J$61</f>
        <v>7.6648040000000002</v>
      </c>
      <c r="AE36" s="721">
        <f>INDEX('[10]Table 7.6'!$B$13:$H$100,MATCH(AE$35,'[10]Table 7.6'!$A$13:$A$100,0),MATCH($A36,'[10]Table 7.6'!$B$11:$H$11,0))*Factors!$J$61</f>
        <v>7.6321500000000002</v>
      </c>
      <c r="AF36" s="721">
        <f>INDEX('[10]Table 7.6'!$B$13:$H$100,MATCH(AF$35,'[10]Table 7.6'!$A$13:$A$100,0),MATCH($A36,'[10]Table 7.6'!$B$11:$H$11,0))*Factors!$J$61</f>
        <v>6.5478239999999994</v>
      </c>
      <c r="AG36" s="721">
        <f>INDEX('[10]Table 7.6'!$B$13:$H$100,MATCH(AG$35,'[10]Table 7.6'!$A$13:$A$100,0),MATCH($A36,'[10]Table 7.6'!$B$11:$H$11,0))*Factors!$J$61</f>
        <v>6.3343829999999999</v>
      </c>
      <c r="AH36" s="721">
        <f>INDEX('[10]Table 7.6'!$B$13:$H$100,MATCH(AH$35,'[10]Table 7.6'!$A$13:$A$100,0),MATCH($A36,'[10]Table 7.6'!$B$11:$H$11,0))*Factors!$J$61</f>
        <v>6.5991080000000002</v>
      </c>
    </row>
    <row r="37" spans="1:34">
      <c r="A37" s="1" t="s">
        <v>1984</v>
      </c>
    </row>
  </sheetData>
  <phoneticPr fontId="0" type="noConversion"/>
  <pageMargins left="0.75" right="0.75" top="1" bottom="1" header="0.5" footer="0.5"/>
  <pageSetup orientation="portrait" r:id="rId1"/>
  <headerFooter alignWithMargins="0"/>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2"/>
  <dimension ref="A1:CG246"/>
  <sheetViews>
    <sheetView workbookViewId="0">
      <selection activeCell="AL79" sqref="AL79"/>
    </sheetView>
  </sheetViews>
  <sheetFormatPr defaultColWidth="9" defaultRowHeight="12.95"/>
  <cols>
    <col min="1" max="1" width="5" style="1" customWidth="1"/>
    <col min="2" max="2" width="9" style="1" bestFit="1" customWidth="1"/>
    <col min="3" max="3" width="9" style="1"/>
    <col min="4" max="4" width="20.6640625" style="1" customWidth="1"/>
    <col min="5" max="19" width="10" style="1" bestFit="1" customWidth="1"/>
    <col min="20" max="31" width="10" style="227" bestFit="1" customWidth="1"/>
    <col min="32" max="33" width="10" style="227" customWidth="1"/>
    <col min="34" max="36" width="12.6640625" style="1" customWidth="1"/>
    <col min="37" max="47" width="12.6640625" style="1" hidden="1" customWidth="1"/>
    <col min="48" max="51" width="12.6640625" style="1" customWidth="1"/>
    <col min="52" max="52" width="45" style="1" customWidth="1"/>
    <col min="53" max="53" width="38" style="1" customWidth="1"/>
    <col min="54" max="79" width="10" style="1" bestFit="1" customWidth="1"/>
    <col min="80" max="80" width="10" style="1" customWidth="1"/>
    <col min="81" max="16384" width="9" style="1"/>
  </cols>
  <sheetData>
    <row r="1" spans="2:85" ht="17.45">
      <c r="B1" s="478" t="s">
        <v>1985</v>
      </c>
      <c r="AH1" s="227"/>
      <c r="AI1" s="227"/>
      <c r="AJ1" s="227"/>
    </row>
    <row r="2" spans="2:85">
      <c r="B2" s="479" t="s">
        <v>1986</v>
      </c>
      <c r="AH2" s="227"/>
      <c r="AI2" s="227"/>
      <c r="AJ2" s="227"/>
    </row>
    <row r="3" spans="2:85">
      <c r="B3" s="479"/>
      <c r="AH3" s="227"/>
      <c r="AI3" s="227"/>
      <c r="AJ3" s="227"/>
    </row>
    <row r="4" spans="2:85" ht="26.1">
      <c r="B4" s="456">
        <v>1</v>
      </c>
      <c r="C4" s="457" t="s">
        <v>1596</v>
      </c>
      <c r="D4" s="4"/>
      <c r="E4" s="23">
        <v>1990</v>
      </c>
      <c r="F4" s="23">
        <v>1991</v>
      </c>
      <c r="G4" s="23">
        <v>1992</v>
      </c>
      <c r="H4" s="23">
        <v>1993</v>
      </c>
      <c r="I4" s="454">
        <v>1994</v>
      </c>
      <c r="J4" s="454">
        <v>1995</v>
      </c>
      <c r="K4" s="454">
        <v>1996</v>
      </c>
      <c r="L4" s="454">
        <v>1997</v>
      </c>
      <c r="M4" s="454">
        <v>1998</v>
      </c>
      <c r="N4" s="454">
        <v>1999</v>
      </c>
      <c r="O4" s="454">
        <v>2000</v>
      </c>
      <c r="P4" s="454">
        <v>2001</v>
      </c>
      <c r="Q4" s="454">
        <v>2002</v>
      </c>
      <c r="R4" s="454">
        <v>2003</v>
      </c>
      <c r="S4" s="454">
        <v>2004</v>
      </c>
      <c r="T4" s="454">
        <v>2005</v>
      </c>
      <c r="U4" s="454">
        <v>2006</v>
      </c>
      <c r="V4" s="454">
        <v>2007</v>
      </c>
      <c r="W4" s="454">
        <v>2008</v>
      </c>
      <c r="X4" s="454">
        <v>2009</v>
      </c>
      <c r="Y4" s="454">
        <v>2010</v>
      </c>
      <c r="Z4" s="454">
        <v>2011</v>
      </c>
      <c r="AA4" s="454">
        <v>2012</v>
      </c>
      <c r="AB4" s="454">
        <v>2013</v>
      </c>
      <c r="AC4" s="454">
        <v>2014</v>
      </c>
      <c r="AD4" s="454">
        <v>2015</v>
      </c>
      <c r="AE4" s="454">
        <v>2016</v>
      </c>
      <c r="AF4" s="454">
        <v>2017</v>
      </c>
      <c r="AG4" s="454">
        <v>2018</v>
      </c>
      <c r="AH4" s="454">
        <v>2019</v>
      </c>
      <c r="AI4" s="454">
        <v>2020</v>
      </c>
      <c r="AJ4" s="454">
        <v>2021</v>
      </c>
      <c r="AK4" s="455" t="s">
        <v>1987</v>
      </c>
      <c r="AL4" s="455" t="s">
        <v>1988</v>
      </c>
      <c r="AM4" s="455" t="s">
        <v>1989</v>
      </c>
      <c r="AN4" s="455" t="s">
        <v>1990</v>
      </c>
      <c r="AO4" s="455" t="s">
        <v>1991</v>
      </c>
      <c r="AP4" s="455" t="s">
        <v>1992</v>
      </c>
      <c r="AQ4" s="455" t="s">
        <v>1993</v>
      </c>
      <c r="AR4" s="455" t="s">
        <v>1994</v>
      </c>
      <c r="AS4" s="455" t="s">
        <v>1995</v>
      </c>
      <c r="AT4" s="455" t="s">
        <v>1996</v>
      </c>
      <c r="AU4" s="455" t="s">
        <v>1997</v>
      </c>
      <c r="AV4" s="455" t="s">
        <v>1998</v>
      </c>
      <c r="AW4" s="455" t="s">
        <v>1999</v>
      </c>
      <c r="AX4" s="455" t="s">
        <v>2000</v>
      </c>
      <c r="AY4" s="455" t="s">
        <v>2001</v>
      </c>
      <c r="BA4" s="408" t="s">
        <v>2002</v>
      </c>
      <c r="BL4" s="47"/>
    </row>
    <row r="5" spans="2:85">
      <c r="B5" s="456">
        <v>2</v>
      </c>
      <c r="C5" s="458" t="s">
        <v>1434</v>
      </c>
      <c r="D5" s="4"/>
      <c r="E5" s="459"/>
      <c r="F5" s="459"/>
      <c r="G5" s="459"/>
      <c r="H5" s="459"/>
      <c r="I5" s="459"/>
      <c r="J5" s="459"/>
      <c r="K5" s="459"/>
      <c r="L5" s="459"/>
      <c r="M5" s="459"/>
      <c r="N5" s="459"/>
      <c r="O5" s="459"/>
      <c r="P5" s="459"/>
      <c r="Q5" s="459"/>
      <c r="R5" s="459"/>
      <c r="S5" s="459"/>
      <c r="T5" s="459"/>
      <c r="U5" s="459"/>
      <c r="V5" s="459"/>
      <c r="W5" s="459"/>
      <c r="X5" s="459"/>
      <c r="Y5" s="459"/>
      <c r="Z5" s="459"/>
      <c r="AA5" s="459"/>
      <c r="AB5" s="459"/>
      <c r="AC5" s="459"/>
      <c r="AD5" s="459"/>
      <c r="AE5" s="459"/>
      <c r="AF5" s="459"/>
      <c r="AG5" s="459"/>
      <c r="AH5" s="459"/>
      <c r="AI5" s="1031"/>
      <c r="AJ5" s="1031"/>
      <c r="AK5" s="5"/>
      <c r="AL5" s="5"/>
      <c r="AM5" s="5"/>
      <c r="AN5" s="5"/>
      <c r="AO5" s="5"/>
      <c r="AP5" s="5"/>
      <c r="AQ5" s="5"/>
      <c r="AR5" s="5"/>
      <c r="AS5" s="5"/>
      <c r="AT5" s="5"/>
      <c r="AU5" s="5"/>
      <c r="AV5" s="5"/>
      <c r="AW5" s="5"/>
      <c r="AX5" s="5"/>
      <c r="AY5" s="5"/>
      <c r="AZ5" s="21">
        <v>1</v>
      </c>
      <c r="BA5" s="4" t="s">
        <v>1503</v>
      </c>
      <c r="BB5" s="460">
        <v>1990</v>
      </c>
      <c r="BC5" s="460">
        <v>1991</v>
      </c>
      <c r="BD5" s="460">
        <v>1992</v>
      </c>
      <c r="BE5" s="460">
        <v>1993</v>
      </c>
      <c r="BF5" s="460">
        <v>1994</v>
      </c>
      <c r="BG5" s="460">
        <v>1995</v>
      </c>
      <c r="BH5" s="460">
        <v>1996</v>
      </c>
      <c r="BI5" s="460">
        <v>1997</v>
      </c>
      <c r="BJ5" s="460">
        <v>1998</v>
      </c>
      <c r="BK5" s="460">
        <v>1999</v>
      </c>
      <c r="BL5" s="460">
        <v>2000</v>
      </c>
      <c r="BM5" s="460">
        <v>2001</v>
      </c>
      <c r="BN5" s="460">
        <v>2002</v>
      </c>
      <c r="BO5" s="460">
        <v>2003</v>
      </c>
      <c r="BP5" s="460">
        <v>2004</v>
      </c>
      <c r="BQ5" s="460">
        <v>2005</v>
      </c>
      <c r="BR5" s="460">
        <v>2006</v>
      </c>
      <c r="BS5" s="460">
        <v>2007</v>
      </c>
      <c r="BT5" s="460">
        <v>2008</v>
      </c>
      <c r="BU5" s="460">
        <v>2009</v>
      </c>
      <c r="BV5" s="460">
        <v>2010</v>
      </c>
      <c r="BW5" s="460">
        <v>2011</v>
      </c>
      <c r="BX5" s="460">
        <v>2012</v>
      </c>
      <c r="BY5" s="460">
        <v>2013</v>
      </c>
      <c r="BZ5" s="460">
        <v>2014</v>
      </c>
      <c r="CA5" s="460">
        <v>2015</v>
      </c>
      <c r="CB5" s="460">
        <v>2016</v>
      </c>
      <c r="CC5" s="460">
        <v>2017</v>
      </c>
      <c r="CD5" s="460">
        <v>2018</v>
      </c>
      <c r="CE5" s="460">
        <v>2019</v>
      </c>
      <c r="CF5" s="460">
        <v>2020</v>
      </c>
      <c r="CG5" s="460">
        <v>2021</v>
      </c>
    </row>
    <row r="6" spans="2:85">
      <c r="B6" s="456">
        <v>3</v>
      </c>
      <c r="D6" s="45" t="s">
        <v>1435</v>
      </c>
      <c r="E6" s="419">
        <f>IFERROR(('Consumption Input'!E7-'Consumption Input Diff.'!E118)/'Consumption Input Diff.'!E118,"NA")</f>
        <v>0</v>
      </c>
      <c r="F6" s="419">
        <f>IFERROR(('Consumption Input'!F7-'Consumption Input Diff.'!F118)/'Consumption Input Diff.'!F118,"NA")</f>
        <v>0</v>
      </c>
      <c r="G6" s="419">
        <f>IFERROR(('Consumption Input'!G7-'Consumption Input Diff.'!G118)/'Consumption Input Diff.'!G118,"NA")</f>
        <v>0</v>
      </c>
      <c r="H6" s="419">
        <f>IFERROR(('Consumption Input'!H7-'Consumption Input Diff.'!H118)/'Consumption Input Diff.'!H118,"NA")</f>
        <v>0</v>
      </c>
      <c r="I6" s="419">
        <f>IFERROR(('Consumption Input'!I7-'Consumption Input Diff.'!I118)/'Consumption Input Diff.'!I118,"NA")</f>
        <v>0</v>
      </c>
      <c r="J6" s="419">
        <f>IFERROR(('Consumption Input'!J7-'Consumption Input Diff.'!J118)/'Consumption Input Diff.'!J118,"NA")</f>
        <v>0</v>
      </c>
      <c r="K6" s="419">
        <f>IFERROR(('Consumption Input'!K7-'Consumption Input Diff.'!K118)/'Consumption Input Diff.'!K118,"NA")</f>
        <v>0</v>
      </c>
      <c r="L6" s="419">
        <f>IFERROR(('Consumption Input'!L7-'Consumption Input Diff.'!L118)/'Consumption Input Diff.'!L118,"NA")</f>
        <v>0</v>
      </c>
      <c r="M6" s="419">
        <f>IFERROR(('Consumption Input'!M7-'Consumption Input Diff.'!M118)/'Consumption Input Diff.'!M118,"NA")</f>
        <v>0</v>
      </c>
      <c r="N6" s="419">
        <f>IFERROR(('Consumption Input'!N7-'Consumption Input Diff.'!N118)/'Consumption Input Diff.'!N118,"NA")</f>
        <v>0</v>
      </c>
      <c r="O6" s="419">
        <f>IFERROR(('Consumption Input'!O7-'Consumption Input Diff.'!O118)/'Consumption Input Diff.'!O118,"NA")</f>
        <v>0</v>
      </c>
      <c r="P6" s="419">
        <f>IFERROR(('Consumption Input'!P7-'Consumption Input Diff.'!P118)/'Consumption Input Diff.'!P118,"NA")</f>
        <v>0</v>
      </c>
      <c r="Q6" s="419">
        <f>IFERROR(('Consumption Input'!Q7-'Consumption Input Diff.'!Q118)/'Consumption Input Diff.'!Q118,"NA")</f>
        <v>0</v>
      </c>
      <c r="R6" s="419">
        <f>IFERROR(('Consumption Input'!R7-'Consumption Input Diff.'!R118)/'Consumption Input Diff.'!R118,"NA")</f>
        <v>0</v>
      </c>
      <c r="S6" s="419">
        <f>IFERROR(('Consumption Input'!S7-'Consumption Input Diff.'!S118)/'Consumption Input Diff.'!S118,"NA")</f>
        <v>0</v>
      </c>
      <c r="T6" s="419">
        <f>IFERROR(('Consumption Input'!T7-'Consumption Input Diff.'!T118)/'Consumption Input Diff.'!T118,"NA")</f>
        <v>0</v>
      </c>
      <c r="U6" s="419">
        <f>IFERROR(('Consumption Input'!U7-'Consumption Input Diff.'!U118)/'Consumption Input Diff.'!U118,"NA")</f>
        <v>0</v>
      </c>
      <c r="V6" s="419">
        <f>IFERROR(('Consumption Input'!V7-'Consumption Input Diff.'!V118)/'Consumption Input Diff.'!V118,"NA")</f>
        <v>0</v>
      </c>
      <c r="W6" s="419" t="str">
        <f>IFERROR(('Consumption Input'!W7-'Consumption Input Diff.'!W118)/'Consumption Input Diff.'!W118,"NA")</f>
        <v>NA</v>
      </c>
      <c r="X6" s="419" t="str">
        <f>IFERROR(('Consumption Input'!X7-'Consumption Input Diff.'!X118)/'Consumption Input Diff.'!X118,"NA")</f>
        <v>NA</v>
      </c>
      <c r="Y6" s="419" t="str">
        <f>IFERROR(('Consumption Input'!Y7-'Consumption Input Diff.'!Y118)/'Consumption Input Diff.'!Y118,"NA")</f>
        <v>NA</v>
      </c>
      <c r="Z6" s="419" t="str">
        <f>IFERROR(('Consumption Input'!Z7-'Consumption Input Diff.'!Z118)/'Consumption Input Diff.'!Z118,"NA")</f>
        <v>NA</v>
      </c>
      <c r="AA6" s="419" t="str">
        <f>IFERROR(('Consumption Input'!AA7-'Consumption Input Diff.'!AA118)/'Consumption Input Diff.'!AA118,"NA")</f>
        <v>NA</v>
      </c>
      <c r="AB6" s="419" t="str">
        <f>IFERROR(('Consumption Input'!AB7-'Consumption Input Diff.'!AB118)/'Consumption Input Diff.'!AB118,"NA")</f>
        <v>NA</v>
      </c>
      <c r="AC6" s="419" t="str">
        <f>IFERROR(('Consumption Input'!AC7-'Consumption Input Diff.'!AC118)/'Consumption Input Diff.'!AC118,"NA")</f>
        <v>NA</v>
      </c>
      <c r="AD6" s="419" t="str">
        <f>IFERROR(('Consumption Input'!AD7-'Consumption Input Diff.'!AD118)/'Consumption Input Diff.'!AD118,"NA")</f>
        <v>NA</v>
      </c>
      <c r="AE6" s="419" t="str">
        <f>IFERROR(('Consumption Input'!AE7-'Consumption Input Diff.'!AE118)/'Consumption Input Diff.'!AE118,"NA")</f>
        <v>NA</v>
      </c>
      <c r="AF6" s="419" t="str">
        <f>IFERROR(('Consumption Input'!AF7-'Consumption Input Diff.'!AF118)/'Consumption Input Diff.'!AF118,"NA")</f>
        <v>NA</v>
      </c>
      <c r="AG6" s="419" t="str">
        <f>IFERROR(('Consumption Input'!AG7-'Consumption Input Diff.'!AG118)/'Consumption Input Diff.'!AG118,"NA")</f>
        <v>NA</v>
      </c>
      <c r="AH6" s="419" t="str">
        <f>IFERROR(('Consumption Input'!AH7-'Consumption Input Diff.'!AH118)/'Consumption Input Diff.'!AH118,"NA")</f>
        <v>NA</v>
      </c>
      <c r="AI6" s="419" t="str">
        <f>IFERROR(('Consumption Input'!AI7-'Consumption Input Diff.'!AI118)/'Consumption Input Diff.'!AI118,"NA")</f>
        <v>NA</v>
      </c>
      <c r="AJ6" s="419" t="str">
        <f>IFERROR(('Consumption Input'!AJ7-'Consumption Input Diff.'!AJ118)/'Consumption Input Diff.'!AJ118,"NA")</f>
        <v>NA</v>
      </c>
      <c r="AK6" s="5">
        <f>'Consumption Input'!V7-V118</f>
        <v>0</v>
      </c>
      <c r="AL6" s="5">
        <f>'Consumption Input'!W7-W118</f>
        <v>0</v>
      </c>
      <c r="AM6" s="5">
        <f>'Consumption Input'!X7-X118</f>
        <v>0</v>
      </c>
      <c r="AN6" s="5">
        <f>'Consumption Input'!Y7-Y118</f>
        <v>0</v>
      </c>
      <c r="AO6" s="5">
        <f>'Consumption Input'!Z7-Z118</f>
        <v>0</v>
      </c>
      <c r="AP6" s="5">
        <f>'Consumption Input'!AA7-AA118</f>
        <v>0</v>
      </c>
      <c r="AQ6" s="5">
        <f>'Consumption Input'!AB7-AB118</f>
        <v>0</v>
      </c>
      <c r="AR6" s="5">
        <f>'Consumption Input'!AC7-AC118</f>
        <v>0</v>
      </c>
      <c r="AS6" s="5">
        <f>'Consumption Input'!AD7-AD118</f>
        <v>0</v>
      </c>
      <c r="AT6" s="5">
        <f>'Consumption Input'!AE7-AE118</f>
        <v>0</v>
      </c>
      <c r="AU6" s="5">
        <f>'Consumption Input'!AF7-AF118</f>
        <v>0</v>
      </c>
      <c r="AV6" s="5">
        <f>'Consumption Input'!AG7-AG118</f>
        <v>0</v>
      </c>
      <c r="AW6" s="5">
        <f>'Consumption Input'!AH7-AH118</f>
        <v>0</v>
      </c>
      <c r="AX6" s="5">
        <f>'Consumption Input'!AI7-AI118</f>
        <v>0</v>
      </c>
      <c r="AY6" s="5">
        <f>'Consumption Input'!AJ7-AJ118</f>
        <v>0</v>
      </c>
      <c r="AZ6" s="21">
        <v>2</v>
      </c>
      <c r="BA6" s="5" t="s">
        <v>1888</v>
      </c>
      <c r="BB6" s="421">
        <f>IFERROR(('Non-Energy Use'!E6-'Consumption Input Diff.'!BB35)/'Consumption Input Diff.'!BB35,"NA")</f>
        <v>-2.6949095397043349E-2</v>
      </c>
      <c r="BC6" s="421">
        <f>IFERROR(('Non-Energy Use'!F6-'Consumption Input Diff.'!BC35)/'Consumption Input Diff.'!BC35,"NA")</f>
        <v>-3.1325971280919351E-2</v>
      </c>
      <c r="BD6" s="421">
        <f>IFERROR(('Non-Energy Use'!G6-'Consumption Input Diff.'!BD35)/'Consumption Input Diff.'!BD35,"NA")</f>
        <v>-3.2733465134723659E-2</v>
      </c>
      <c r="BE6" s="421">
        <f>IFERROR(('Non-Energy Use'!H6-'Consumption Input Diff.'!BE35)/'Consumption Input Diff.'!BE35,"NA")</f>
        <v>-3.3925106533852382E-2</v>
      </c>
      <c r="BF6" s="421">
        <f>IFERROR(('Non-Energy Use'!I6-'Consumption Input Diff.'!BF35)/'Consumption Input Diff.'!BF35,"NA")</f>
        <v>-3.2469157702407561E-2</v>
      </c>
      <c r="BG6" s="421">
        <f>IFERROR(('Non-Energy Use'!J6-'Consumption Input Diff.'!BG35)/'Consumption Input Diff.'!BG35,"NA")</f>
        <v>-3.2777411583318573E-2</v>
      </c>
      <c r="BH6" s="421">
        <f>IFERROR(('Non-Energy Use'!K6-'Consumption Input Diff.'!BH35)/'Consumption Input Diff.'!BH35,"NA")</f>
        <v>-3.3838586597145136E-2</v>
      </c>
      <c r="BI6" s="421">
        <f>IFERROR(('Non-Energy Use'!L6-'Consumption Input Diff.'!BI35)/'Consumption Input Diff.'!BI35,"NA")</f>
        <v>-2.9839133818618028E-2</v>
      </c>
      <c r="BJ6" s="421">
        <f>IFERROR(('Non-Energy Use'!M6-'Consumption Input Diff.'!BJ35)/'Consumption Input Diff.'!BJ35,"NA")</f>
        <v>-2.6227935863490009E-2</v>
      </c>
      <c r="BK6" s="421">
        <f>IFERROR(('Non-Energy Use'!N6-'Consumption Input Diff.'!BK35)/'Consumption Input Diff.'!BK35,"NA")</f>
        <v>-3.0295197345867515E-2</v>
      </c>
      <c r="BL6" s="421">
        <f>IFERROR(('Non-Energy Use'!O6-'Consumption Input Diff.'!BL35)/'Consumption Input Diff.'!BL35,"NA")</f>
        <v>-3.0771800654351578E-2</v>
      </c>
      <c r="BM6" s="421">
        <f>IFERROR(('Non-Energy Use'!P6-'Consumption Input Diff.'!BM35)/'Consumption Input Diff.'!BM35,"NA")</f>
        <v>-2.5002782952102617E-2</v>
      </c>
      <c r="BN6" s="421">
        <f>IFERROR(('Non-Energy Use'!Q6-'Consumption Input Diff.'!BN35)/'Consumption Input Diff.'!BN35,"NA")</f>
        <v>-2.0631014360843015E-2</v>
      </c>
      <c r="BO6" s="421">
        <f>IFERROR(('Non-Energy Use'!R6-'Consumption Input Diff.'!BO35)/'Consumption Input Diff.'!BO35,"NA")</f>
        <v>-2.0663637862622607E-2</v>
      </c>
      <c r="BP6" s="421">
        <f>IFERROR(('Non-Energy Use'!S6-'Consumption Input Diff.'!BP35)/'Consumption Input Diff.'!BP35,"NA")</f>
        <v>-1.9012441620448427E-2</v>
      </c>
      <c r="BQ6" s="421">
        <f>IFERROR(('Non-Energy Use'!T6-'Consumption Input Diff.'!BQ35)/'Consumption Input Diff.'!BQ35,"NA")</f>
        <v>-1.7882743732361785E-2</v>
      </c>
      <c r="BR6" s="421">
        <f>IFERROR(('Non-Energy Use'!U6-'Consumption Input Diff.'!BR35)/'Consumption Input Diff.'!BR35,"NA")</f>
        <v>-1.2808834164246221E-2</v>
      </c>
      <c r="BS6" s="421">
        <f>IFERROR(('Non-Energy Use'!V6-'Consumption Input Diff.'!BS35)/'Consumption Input Diff.'!BS35,"NA")</f>
        <v>-1.7113081244965227E-2</v>
      </c>
      <c r="BT6" s="421">
        <f>IFERROR(('Non-Energy Use'!W6-'Consumption Input Diff.'!BT35)/'Consumption Input Diff.'!BT35,"NA")</f>
        <v>-1.5935255098221239E-2</v>
      </c>
      <c r="BU6" s="421">
        <f>IFERROR(('Non-Energy Use'!X6-'Consumption Input Diff.'!BU35)/'Consumption Input Diff.'!BU35,"NA")</f>
        <v>-1.3990125709047629E-2</v>
      </c>
      <c r="BV6" s="421">
        <f>IFERROR(('Non-Energy Use'!Y6-'Consumption Input Diff.'!BV35)/'Consumption Input Diff.'!BV35,"NA")</f>
        <v>-1.6420033128272081E-2</v>
      </c>
      <c r="BW6" s="421">
        <f>IFERROR(('Non-Energy Use'!Z6-'Consumption Input Diff.'!BW35)/'Consumption Input Diff.'!BW35,"NA")</f>
        <v>-5.8628088409924464E-3</v>
      </c>
      <c r="BX6" s="421">
        <f>IFERROR(('Non-Energy Use'!AA6-'Consumption Input Diff.'!BX35)/'Consumption Input Diff.'!BX35,"NA")</f>
        <v>-9.1778930460141555E-3</v>
      </c>
      <c r="BY6" s="421">
        <f>IFERROR(('Non-Energy Use'!AB6-'Consumption Input Diff.'!BY35)/'Consumption Input Diff.'!BY35,"NA")</f>
        <v>-9.7553539672127852E-3</v>
      </c>
      <c r="BZ6" s="421">
        <f>IFERROR(('Non-Energy Use'!AC6-'Consumption Input Diff.'!BZ35)/'Consumption Input Diff.'!BZ35,"NA")</f>
        <v>-9.3541381410778158E-3</v>
      </c>
      <c r="CA6" s="421">
        <f>IFERROR(('Non-Energy Use'!AD6-'Consumption Input Diff.'!CA35)/'Consumption Input Diff.'!CA35,"NA")</f>
        <v>-1.5974447824016736E-2</v>
      </c>
      <c r="CB6" s="421">
        <f>IFERROR(('Non-Energy Use'!AE6-'Consumption Input Diff.'!CB35)/'Consumption Input Diff.'!CB35,"NA")</f>
        <v>-1.0982567706524638E-2</v>
      </c>
      <c r="CC6" s="421">
        <f>IFERROR(('Non-Energy Use'!AF6-'Consumption Input Diff.'!CC35)/'Consumption Input Diff.'!CC35,"NA")</f>
        <v>-1.6057429163802216E-2</v>
      </c>
      <c r="CD6" s="421">
        <f>IFERROR(('Non-Energy Use'!AG6-'Consumption Input Diff.'!CD35)/'Consumption Input Diff.'!CD35,"NA")</f>
        <v>-1.9320008423570449E-2</v>
      </c>
      <c r="CE6" s="421">
        <f>IFERROR(('Non-Energy Use'!AH6-'Consumption Input Diff.'!CE35)/'Consumption Input Diff.'!CE35,"NA")</f>
        <v>-2.8338144259860521E-2</v>
      </c>
      <c r="CF6" s="421">
        <f>IFERROR(('Non-Energy Use'!AI6-'Consumption Input Diff.'!CF35)/'Consumption Input Diff.'!CF35,"NA")</f>
        <v>-2.8243655460683158E-2</v>
      </c>
      <c r="CG6" s="421">
        <f>IFERROR(('Non-Energy Use'!AJ6-'Consumption Input Diff.'!CG35)/'Consumption Input Diff.'!CG35,"NA")</f>
        <v>-4.2544735515834139E-2</v>
      </c>
    </row>
    <row r="7" spans="2:85">
      <c r="B7" s="456">
        <v>4</v>
      </c>
      <c r="D7" s="45" t="s">
        <v>1439</v>
      </c>
      <c r="E7" s="421">
        <f>IFERROR(('Consumption Input'!E8-'Consumption Input Diff.'!E119)/'Consumption Input Diff.'!E119,"NA")</f>
        <v>0</v>
      </c>
      <c r="F7" s="421">
        <f>IFERROR(('Consumption Input'!F8-'Consumption Input Diff.'!F119)/'Consumption Input Diff.'!F119,"NA")</f>
        <v>0</v>
      </c>
      <c r="G7" s="421">
        <f>IFERROR(('Consumption Input'!G8-'Consumption Input Diff.'!G119)/'Consumption Input Diff.'!G119,"NA")</f>
        <v>0</v>
      </c>
      <c r="H7" s="421">
        <f>IFERROR(('Consumption Input'!H8-'Consumption Input Diff.'!H119)/'Consumption Input Diff.'!H119,"NA")</f>
        <v>0</v>
      </c>
      <c r="I7" s="421">
        <f>IFERROR(('Consumption Input'!I8-'Consumption Input Diff.'!I119)/'Consumption Input Diff.'!I119,"NA")</f>
        <v>0</v>
      </c>
      <c r="J7" s="421">
        <f>IFERROR(('Consumption Input'!J8-'Consumption Input Diff.'!J119)/'Consumption Input Diff.'!J119,"NA")</f>
        <v>0</v>
      </c>
      <c r="K7" s="421">
        <f>IFERROR(('Consumption Input'!K8-'Consumption Input Diff.'!K119)/'Consumption Input Diff.'!K119,"NA")</f>
        <v>0</v>
      </c>
      <c r="L7" s="421">
        <f>IFERROR(('Consumption Input'!L8-'Consumption Input Diff.'!L119)/'Consumption Input Diff.'!L119,"NA")</f>
        <v>0</v>
      </c>
      <c r="M7" s="421">
        <f>IFERROR(('Consumption Input'!M8-'Consumption Input Diff.'!M119)/'Consumption Input Diff.'!M119,"NA")</f>
        <v>0</v>
      </c>
      <c r="N7" s="421">
        <f>IFERROR(('Consumption Input'!N8-'Consumption Input Diff.'!N119)/'Consumption Input Diff.'!N119,"NA")</f>
        <v>0</v>
      </c>
      <c r="O7" s="421">
        <f>IFERROR(('Consumption Input'!O8-'Consumption Input Diff.'!O119)/'Consumption Input Diff.'!O119,"NA")</f>
        <v>0</v>
      </c>
      <c r="P7" s="421">
        <f>IFERROR(('Consumption Input'!P8-'Consumption Input Diff.'!P119)/'Consumption Input Diff.'!P119,"NA")</f>
        <v>0</v>
      </c>
      <c r="Q7" s="421">
        <f>IFERROR(('Consumption Input'!Q8-'Consumption Input Diff.'!Q119)/'Consumption Input Diff.'!Q119,"NA")</f>
        <v>0</v>
      </c>
      <c r="R7" s="421">
        <f>IFERROR(('Consumption Input'!R8-'Consumption Input Diff.'!R119)/'Consumption Input Diff.'!R119,"NA")</f>
        <v>0</v>
      </c>
      <c r="S7" s="421">
        <f>IFERROR(('Consumption Input'!S8-'Consumption Input Diff.'!S119)/'Consumption Input Diff.'!S119,"NA")</f>
        <v>0</v>
      </c>
      <c r="T7" s="421">
        <f>IFERROR(('Consumption Input'!T8-'Consumption Input Diff.'!T119)/'Consumption Input Diff.'!T119,"NA")</f>
        <v>0</v>
      </c>
      <c r="U7" s="421">
        <f>IFERROR(('Consumption Input'!U8-'Consumption Input Diff.'!U119)/'Consumption Input Diff.'!U119,"NA")</f>
        <v>0</v>
      </c>
      <c r="V7" s="421">
        <f>IFERROR(('Consumption Input'!V8-'Consumption Input Diff.'!V119)/'Consumption Input Diff.'!V119,"NA")</f>
        <v>0</v>
      </c>
      <c r="W7" s="421">
        <f>IFERROR(('Consumption Input'!W8-'Consumption Input Diff.'!W119)/'Consumption Input Diff.'!W119,"NA")</f>
        <v>0</v>
      </c>
      <c r="X7" s="421">
        <f>IFERROR(('Consumption Input'!X8-'Consumption Input Diff.'!X119)/'Consumption Input Diff.'!X119,"NA")</f>
        <v>0</v>
      </c>
      <c r="Y7" s="421">
        <f>IFERROR(('Consumption Input'!Y8-'Consumption Input Diff.'!Y119)/'Consumption Input Diff.'!Y119,"NA")</f>
        <v>0</v>
      </c>
      <c r="Z7" s="421">
        <f>IFERROR(('Consumption Input'!Z8-'Consumption Input Diff.'!Z119)/'Consumption Input Diff.'!Z119,"NA")</f>
        <v>0</v>
      </c>
      <c r="AA7" s="421">
        <f>IFERROR(('Consumption Input'!AA8-'Consumption Input Diff.'!AA119)/'Consumption Input Diff.'!AA119,"NA")</f>
        <v>0</v>
      </c>
      <c r="AB7" s="421">
        <f>IFERROR(('Consumption Input'!AB8-'Consumption Input Diff.'!AB119)/'Consumption Input Diff.'!AB119,"NA")</f>
        <v>0</v>
      </c>
      <c r="AC7" s="421">
        <f>IFERROR(('Consumption Input'!AC8-'Consumption Input Diff.'!AC119)/'Consumption Input Diff.'!AC119,"NA")</f>
        <v>0</v>
      </c>
      <c r="AD7" s="421">
        <f>IFERROR(('Consumption Input'!AD8-'Consumption Input Diff.'!AD119)/'Consumption Input Diff.'!AD119,"NA")</f>
        <v>0</v>
      </c>
      <c r="AE7" s="421">
        <f>IFERROR(('Consumption Input'!AE8-'Consumption Input Diff.'!AE119)/'Consumption Input Diff.'!AE119,"NA")</f>
        <v>0</v>
      </c>
      <c r="AF7" s="421">
        <f>IFERROR(('Consumption Input'!AF8-'Consumption Input Diff.'!AF119)/'Consumption Input Diff.'!AF119,"NA")</f>
        <v>0</v>
      </c>
      <c r="AG7" s="421">
        <f>IFERROR(('Consumption Input'!AG8-'Consumption Input Diff.'!AG119)/'Consumption Input Diff.'!AG119,"NA")</f>
        <v>0</v>
      </c>
      <c r="AH7" s="421">
        <f>IFERROR(('Consumption Input'!AH8-'Consumption Input Diff.'!AH119)/'Consumption Input Diff.'!AH119,"NA")</f>
        <v>0</v>
      </c>
      <c r="AI7" s="421">
        <f>IFERROR(('Consumption Input'!AI8-'Consumption Input Diff.'!AI119)/'Consumption Input Diff.'!AI119,"NA")</f>
        <v>2.4764382378813406E-6</v>
      </c>
      <c r="AJ7" s="421">
        <f>IFERROR(('Consumption Input'!AJ8-'Consumption Input Diff.'!AJ119)/'Consumption Input Diff.'!AJ119,"NA")</f>
        <v>1.0146492024265961E-4</v>
      </c>
      <c r="AK7" s="5">
        <f>'Consumption Input'!V8-V119</f>
        <v>0</v>
      </c>
      <c r="AL7" s="5">
        <f>'Consumption Input'!W8-W119</f>
        <v>0</v>
      </c>
      <c r="AM7" s="5">
        <f>'Consumption Input'!X8-X119</f>
        <v>0</v>
      </c>
      <c r="AN7" s="5">
        <f>'Consumption Input'!Y8-Y119</f>
        <v>0</v>
      </c>
      <c r="AO7" s="5">
        <f>'Consumption Input'!Z8-Z119</f>
        <v>0</v>
      </c>
      <c r="AP7" s="5">
        <f>'Consumption Input'!AA8-AA119</f>
        <v>0</v>
      </c>
      <c r="AQ7" s="5">
        <f>'Consumption Input'!AB8-AB119</f>
        <v>0</v>
      </c>
      <c r="AR7" s="5">
        <f>'Consumption Input'!AC8-AC119</f>
        <v>0</v>
      </c>
      <c r="AS7" s="5">
        <f>'Consumption Input'!AD8-AD119</f>
        <v>0</v>
      </c>
      <c r="AT7" s="5">
        <f>'Consumption Input'!AE8-AE119</f>
        <v>0</v>
      </c>
      <c r="AU7" s="5">
        <f>'Consumption Input'!AF8-AF119</f>
        <v>0</v>
      </c>
      <c r="AV7" s="5">
        <f>'Consumption Input'!AG8-AG119</f>
        <v>0</v>
      </c>
      <c r="AW7" s="5">
        <f>'Consumption Input'!AH8-AH119</f>
        <v>0</v>
      </c>
      <c r="AX7" s="5">
        <f>'Consumption Input'!AI8-AI119</f>
        <v>1.1999999999716238E-2</v>
      </c>
      <c r="AY7" s="5">
        <f>'Consumption Input'!AJ8-AJ119</f>
        <v>0.49600000000009459</v>
      </c>
      <c r="AZ7" s="21">
        <v>3</v>
      </c>
      <c r="BA7" s="6" t="s">
        <v>1734</v>
      </c>
      <c r="BB7" s="421" t="str">
        <f>IFERROR(('Non-Energy Use'!E7-'Consumption Input Diff.'!BB36)/'Consumption Input Diff.'!BB36,"NA")</f>
        <v>NA</v>
      </c>
      <c r="BC7" s="421" t="str">
        <f>IFERROR(('Non-Energy Use'!F7-'Consumption Input Diff.'!BC36)/'Consumption Input Diff.'!BC36,"NA")</f>
        <v>NA</v>
      </c>
      <c r="BD7" s="421" t="str">
        <f>IFERROR(('Non-Energy Use'!G7-'Consumption Input Diff.'!BD36)/'Consumption Input Diff.'!BD36,"NA")</f>
        <v>NA</v>
      </c>
      <c r="BE7" s="421">
        <f>IFERROR(('Non-Energy Use'!H7-'Consumption Input Diff.'!BE36)/'Consumption Input Diff.'!BE36,"NA")</f>
        <v>0</v>
      </c>
      <c r="BF7" s="421">
        <f>IFERROR(('Non-Energy Use'!I7-'Consumption Input Diff.'!BF36)/'Consumption Input Diff.'!BF36,"NA")</f>
        <v>0</v>
      </c>
      <c r="BG7" s="421">
        <f>IFERROR(('Non-Energy Use'!J7-'Consumption Input Diff.'!BG36)/'Consumption Input Diff.'!BG36,"NA")</f>
        <v>0</v>
      </c>
      <c r="BH7" s="421">
        <f>IFERROR(('Non-Energy Use'!K7-'Consumption Input Diff.'!BH36)/'Consumption Input Diff.'!BH36,"NA")</f>
        <v>0</v>
      </c>
      <c r="BI7" s="421" t="str">
        <f>IFERROR(('Non-Energy Use'!L7-'Consumption Input Diff.'!BI36)/'Consumption Input Diff.'!BI36,"NA")</f>
        <v>NA</v>
      </c>
      <c r="BJ7" s="421">
        <f>IFERROR(('Non-Energy Use'!M7-'Consumption Input Diff.'!BJ36)/'Consumption Input Diff.'!BJ36,"NA")</f>
        <v>0</v>
      </c>
      <c r="BK7" s="421">
        <f>IFERROR(('Non-Energy Use'!N7-'Consumption Input Diff.'!BK36)/'Consumption Input Diff.'!BK36,"NA")</f>
        <v>0</v>
      </c>
      <c r="BL7" s="421">
        <f>IFERROR(('Non-Energy Use'!O7-'Consumption Input Diff.'!BL36)/'Consumption Input Diff.'!BL36,"NA")</f>
        <v>0</v>
      </c>
      <c r="BM7" s="421">
        <f>IFERROR(('Non-Energy Use'!P7-'Consumption Input Diff.'!BM36)/'Consumption Input Diff.'!BM36,"NA")</f>
        <v>0</v>
      </c>
      <c r="BN7" s="421">
        <f>IFERROR(('Non-Energy Use'!Q7-'Consumption Input Diff.'!BN36)/'Consumption Input Diff.'!BN36,"NA")</f>
        <v>0</v>
      </c>
      <c r="BO7" s="421">
        <f>IFERROR(('Non-Energy Use'!R7-'Consumption Input Diff.'!BO36)/'Consumption Input Diff.'!BO36,"NA")</f>
        <v>0</v>
      </c>
      <c r="BP7" s="421">
        <f>IFERROR(('Non-Energy Use'!S7-'Consumption Input Diff.'!BP36)/'Consumption Input Diff.'!BP36,"NA")</f>
        <v>0</v>
      </c>
      <c r="BQ7" s="421">
        <f>IFERROR(('Non-Energy Use'!T7-'Consumption Input Diff.'!BQ36)/'Consumption Input Diff.'!BQ36,"NA")</f>
        <v>0</v>
      </c>
      <c r="BR7" s="421">
        <f>IFERROR(('Non-Energy Use'!U7-'Consumption Input Diff.'!BR36)/'Consumption Input Diff.'!BR36,"NA")</f>
        <v>0</v>
      </c>
      <c r="BS7" s="421">
        <f>IFERROR(('Non-Energy Use'!V7-'Consumption Input Diff.'!BS36)/'Consumption Input Diff.'!BS36,"NA")</f>
        <v>0</v>
      </c>
      <c r="BT7" s="421">
        <f>IFERROR(('Non-Energy Use'!W7-'Consumption Input Diff.'!BT36)/'Consumption Input Diff.'!BT36,"NA")</f>
        <v>0</v>
      </c>
      <c r="BU7" s="421">
        <f>IFERROR(('Non-Energy Use'!X7-'Consumption Input Diff.'!BU36)/'Consumption Input Diff.'!BU36,"NA")</f>
        <v>0</v>
      </c>
      <c r="BV7" s="421">
        <f>IFERROR(('Non-Energy Use'!Y7-'Consumption Input Diff.'!BV36)/'Consumption Input Diff.'!BV36,"NA")</f>
        <v>0</v>
      </c>
      <c r="BW7" s="421">
        <f>IFERROR(('Non-Energy Use'!Z7-'Consumption Input Diff.'!BW36)/'Consumption Input Diff.'!BW36,"NA")</f>
        <v>0</v>
      </c>
      <c r="BX7" s="421">
        <f>IFERROR(('Non-Energy Use'!AA7-'Consumption Input Diff.'!BX36)/'Consumption Input Diff.'!BX36,"NA")</f>
        <v>0</v>
      </c>
      <c r="BY7" s="421">
        <f>IFERROR(('Non-Energy Use'!AB7-'Consumption Input Diff.'!BY36)/'Consumption Input Diff.'!BY36,"NA")</f>
        <v>0</v>
      </c>
      <c r="BZ7" s="421">
        <f>IFERROR(('Non-Energy Use'!AC7-'Consumption Input Diff.'!BZ36)/'Consumption Input Diff.'!BZ36,"NA")</f>
        <v>0</v>
      </c>
      <c r="CA7" s="421">
        <f>IFERROR(('Non-Energy Use'!AD7-'Consumption Input Diff.'!CA36)/'Consumption Input Diff.'!CA36,"NA")</f>
        <v>0</v>
      </c>
      <c r="CB7" s="421">
        <f>IFERROR(('Non-Energy Use'!AE7-'Consumption Input Diff.'!CB36)/'Consumption Input Diff.'!CB36,"NA")</f>
        <v>0</v>
      </c>
      <c r="CC7" s="421">
        <f>IFERROR(('Non-Energy Use'!AF7-'Consumption Input Diff.'!CC36)/'Consumption Input Diff.'!CC36,"NA")</f>
        <v>0</v>
      </c>
      <c r="CD7" s="421">
        <f>IFERROR(('Non-Energy Use'!AG7-'Consumption Input Diff.'!CD36)/'Consumption Input Diff.'!CD36,"NA")</f>
        <v>0</v>
      </c>
      <c r="CE7" s="421">
        <f>IFERROR(('Non-Energy Use'!AH7-'Consumption Input Diff.'!CE36)/'Consumption Input Diff.'!CE36,"NA")</f>
        <v>0</v>
      </c>
      <c r="CF7" s="421">
        <f>IFERROR(('Non-Energy Use'!AI7-'Consumption Input Diff.'!CF36)/'Consumption Input Diff.'!CF36,"NA")</f>
        <v>0.14103200065686183</v>
      </c>
      <c r="CG7" s="421">
        <f>IFERROR(('Non-Energy Use'!AJ7-'Consumption Input Diff.'!CG36)/'Consumption Input Diff.'!CG36,"NA")</f>
        <v>-0.3751488559388314</v>
      </c>
    </row>
    <row r="8" spans="2:85">
      <c r="B8" s="456">
        <v>5</v>
      </c>
      <c r="D8" s="45" t="s">
        <v>1598</v>
      </c>
      <c r="E8" s="421">
        <f>IFERROR(('Consumption Input'!E9-'Consumption Input Diff.'!E120)/'Consumption Input Diff.'!E120,"NA")</f>
        <v>-8.5349796641115447E-8</v>
      </c>
      <c r="F8" s="421">
        <f>IFERROR(('Consumption Input'!F9-'Consumption Input Diff.'!F120)/'Consumption Input Diff.'!F120,"NA")</f>
        <v>3.6605069962030517E-7</v>
      </c>
      <c r="G8" s="421">
        <f>IFERROR(('Consumption Input'!G9-'Consumption Input Diff.'!G120)/'Consumption Input Diff.'!G120,"NA")</f>
        <v>-2.1507417789101878E-7</v>
      </c>
      <c r="H8" s="421">
        <f>IFERROR(('Consumption Input'!H9-'Consumption Input Diff.'!H120)/'Consumption Input Diff.'!H120,"NA")</f>
        <v>5.8300386053943409E-8</v>
      </c>
      <c r="I8" s="421">
        <f>IFERROR(('Consumption Input'!I9-'Consumption Input Diff.'!I120)/'Consumption Input Diff.'!I120,"NA")</f>
        <v>-2.7897682738713753E-7</v>
      </c>
      <c r="J8" s="421">
        <f>IFERROR(('Consumption Input'!J9-'Consumption Input Diff.'!J120)/'Consumption Input Diff.'!J120,"NA")</f>
        <v>9.339990786598066E-9</v>
      </c>
      <c r="K8" s="421">
        <f>IFERROR(('Consumption Input'!K9-'Consumption Input Diff.'!K120)/'Consumption Input Diff.'!K120,"NA")</f>
        <v>1.1577276435246601E-8</v>
      </c>
      <c r="L8" s="421">
        <f>IFERROR(('Consumption Input'!L9-'Consumption Input Diff.'!L120)/'Consumption Input Diff.'!L120,"NA")</f>
        <v>-3.1578795303361803E-7</v>
      </c>
      <c r="M8" s="421">
        <f>IFERROR(('Consumption Input'!M9-'Consumption Input Diff.'!M120)/'Consumption Input Diff.'!M120,"NA")</f>
        <v>-1.0735043946166256E-7</v>
      </c>
      <c r="N8" s="421">
        <f>IFERROR(('Consumption Input'!N9-'Consumption Input Diff.'!N120)/'Consumption Input Diff.'!N120,"NA")</f>
        <v>3.3414987302205512E-7</v>
      </c>
      <c r="O8" s="421">
        <f>IFERROR(('Consumption Input'!O9-'Consumption Input Diff.'!O120)/'Consumption Input Diff.'!O120,"NA")</f>
        <v>3.2130249233905237E-8</v>
      </c>
      <c r="P8" s="421">
        <f>IFERROR(('Consumption Input'!P9-'Consumption Input Diff.'!P120)/'Consumption Input Diff.'!P120,"NA")</f>
        <v>-5.2190629262726686E-4</v>
      </c>
      <c r="Q8" s="421">
        <f>IFERROR(('Consumption Input'!Q9-'Consumption Input Diff.'!Q120)/'Consumption Input Diff.'!Q120,"NA")</f>
        <v>-9.4256262474458721E-4</v>
      </c>
      <c r="R8" s="421">
        <f>IFERROR(('Consumption Input'!R9-'Consumption Input Diff.'!R120)/'Consumption Input Diff.'!R120,"NA")</f>
        <v>-7.2870186753466065E-4</v>
      </c>
      <c r="S8" s="421">
        <f>IFERROR(('Consumption Input'!S9-'Consumption Input Diff.'!S120)/'Consumption Input Diff.'!S120,"NA")</f>
        <v>-1.3868101309753951E-3</v>
      </c>
      <c r="T8" s="421">
        <f>IFERROR(('Consumption Input'!T9-'Consumption Input Diff.'!T120)/'Consumption Input Diff.'!T120,"NA")</f>
        <v>-5.0173040026613184E-3</v>
      </c>
      <c r="U8" s="421">
        <f>IFERROR(('Consumption Input'!U9-'Consumption Input Diff.'!U120)/'Consumption Input Diff.'!U120,"NA")</f>
        <v>-1.4606380574652371E-2</v>
      </c>
      <c r="V8" s="421">
        <f>IFERROR(('Consumption Input'!V9-'Consumption Input Diff.'!V120)/'Consumption Input Diff.'!V120,"NA")</f>
        <v>-2.0342531153114227E-2</v>
      </c>
      <c r="W8" s="421">
        <f>IFERROR(('Consumption Input'!W9-'Consumption Input Diff.'!W120)/'Consumption Input Diff.'!W120,"NA")</f>
        <v>-1.8941364655530514E-2</v>
      </c>
      <c r="X8" s="421">
        <f>IFERROR(('Consumption Input'!X9-'Consumption Input Diff.'!X120)/'Consumption Input Diff.'!X120,"NA")</f>
        <v>-1.2130071531391248E-2</v>
      </c>
      <c r="Y8" s="421">
        <f>IFERROR(('Consumption Input'!Y9-'Consumption Input Diff.'!Y120)/'Consumption Input Diff.'!Y120,"NA")</f>
        <v>-6.3227748453647198E-3</v>
      </c>
      <c r="Z8" s="421">
        <f>IFERROR(('Consumption Input'!Z9-'Consumption Input Diff.'!Z120)/'Consumption Input Diff.'!Z120,"NA")</f>
        <v>4.6551839068811355E-3</v>
      </c>
      <c r="AA8" s="421">
        <f>IFERROR(('Consumption Input'!AA9-'Consumption Input Diff.'!AA120)/'Consumption Input Diff.'!AA120,"NA")</f>
        <v>5.1319194235912666E-3</v>
      </c>
      <c r="AB8" s="421">
        <f>IFERROR(('Consumption Input'!AB9-'Consumption Input Diff.'!AB120)/'Consumption Input Diff.'!AB120,"NA")</f>
        <v>4.6295308279665336E-3</v>
      </c>
      <c r="AC8" s="421">
        <f>IFERROR(('Consumption Input'!AC9-'Consumption Input Diff.'!AC120)/'Consumption Input Diff.'!AC120,"NA")</f>
        <v>5.1950433946290281E-3</v>
      </c>
      <c r="AD8" s="421">
        <f>IFERROR(('Consumption Input'!AD9-'Consumption Input Diff.'!AD120)/'Consumption Input Diff.'!AD120,"NA")</f>
        <v>8.5833178926001917E-3</v>
      </c>
      <c r="AE8" s="421">
        <f>IFERROR(('Consumption Input'!AE9-'Consumption Input Diff.'!AE120)/'Consumption Input Diff.'!AE120,"NA")</f>
        <v>1.584646324067393E-2</v>
      </c>
      <c r="AF8" s="421">
        <f>IFERROR(('Consumption Input'!AF9-'Consumption Input Diff.'!AF120)/'Consumption Input Diff.'!AF120,"NA")</f>
        <v>2.2920002187491632E-2</v>
      </c>
      <c r="AG8" s="421">
        <f>IFERROR(('Consumption Input'!AG9-'Consumption Input Diff.'!AG120)/'Consumption Input Diff.'!AG120,"NA")</f>
        <v>2.2582399908674854E-2</v>
      </c>
      <c r="AH8" s="421">
        <f>IFERROR(('Consumption Input'!AH9-'Consumption Input Diff.'!AH120)/'Consumption Input Diff.'!AH120,"NA")</f>
        <v>5.0618179082082645E-2</v>
      </c>
      <c r="AI8" s="421">
        <f>IFERROR(('Consumption Input'!AI9-'Consumption Input Diff.'!AI120)/'Consumption Input Diff.'!AI120,"NA")</f>
        <v>6.5003770775541342E-2</v>
      </c>
      <c r="AJ8" s="421">
        <f>IFERROR(('Consumption Input'!AJ9-'Consumption Input Diff.'!AJ120)/'Consumption Input Diff.'!AJ120,"NA")</f>
        <v>0.23566717110612043</v>
      </c>
      <c r="AK8" s="5">
        <f>'Consumption Input'!V9-V120</f>
        <v>-13.797896694165388</v>
      </c>
      <c r="AL8" s="5">
        <f>'Consumption Input'!W9-W120</f>
        <v>-11.701667395038839</v>
      </c>
      <c r="AM8" s="5">
        <f>'Consumption Input'!X9-X120</f>
        <v>-6.6886279129988679</v>
      </c>
      <c r="AN8" s="5">
        <f>'Consumption Input'!Y9-Y120</f>
        <v>-3.4418297355051664</v>
      </c>
      <c r="AO8" s="5">
        <f>'Consumption Input'!Z9-Z120</f>
        <v>2.433568774253672</v>
      </c>
      <c r="AP8" s="5">
        <f>'Consumption Input'!AA9-AA120</f>
        <v>2.2033772804196587</v>
      </c>
      <c r="AQ8" s="5">
        <f>'Consumption Input'!AB9-AB120</f>
        <v>2.0607424688899982</v>
      </c>
      <c r="AR8" s="5">
        <f>'Consumption Input'!AC9-AC120</f>
        <v>2.5974280740958875</v>
      </c>
      <c r="AS8" s="5">
        <f>'Consumption Input'!AD9-AD120</f>
        <v>4.1470123952325366</v>
      </c>
      <c r="AT8" s="5">
        <f>'Consumption Input'!AE9-AE120</f>
        <v>5.636763564017258</v>
      </c>
      <c r="AU8" s="5">
        <f>'Consumption Input'!AF9-AF120</f>
        <v>7.4956744538319526</v>
      </c>
      <c r="AV8" s="5">
        <f>'Consumption Input'!AG9-AG120</f>
        <v>9.7320362820098012</v>
      </c>
      <c r="AW8" s="5">
        <f>'Consumption Input'!AH9-AH120</f>
        <v>20.291272088120877</v>
      </c>
      <c r="AX8" s="5">
        <f>'Consumption Input'!AI9-AI120</f>
        <v>21.839362638192426</v>
      </c>
      <c r="AY8" s="5">
        <f>'Consumption Input'!AJ9-AJ120</f>
        <v>72.709619660392264</v>
      </c>
      <c r="AZ8" s="21">
        <v>4</v>
      </c>
      <c r="BA8" s="6" t="s">
        <v>1701</v>
      </c>
      <c r="BB8" s="421">
        <f>IFERROR(('Non-Energy Use'!E8-'Consumption Input Diff.'!BB37)/'Consumption Input Diff.'!BB37,"NA")</f>
        <v>0</v>
      </c>
      <c r="BC8" s="421">
        <f>IFERROR(('Non-Energy Use'!F8-'Consumption Input Diff.'!BC37)/'Consumption Input Diff.'!BC37,"NA")</f>
        <v>0</v>
      </c>
      <c r="BD8" s="421">
        <f>IFERROR(('Non-Energy Use'!G8-'Consumption Input Diff.'!BD37)/'Consumption Input Diff.'!BD37,"NA")</f>
        <v>0</v>
      </c>
      <c r="BE8" s="421">
        <f>IFERROR(('Non-Energy Use'!H8-'Consumption Input Diff.'!BE37)/'Consumption Input Diff.'!BE37,"NA")</f>
        <v>0</v>
      </c>
      <c r="BF8" s="421">
        <f>IFERROR(('Non-Energy Use'!I8-'Consumption Input Diff.'!BF37)/'Consumption Input Diff.'!BF37,"NA")</f>
        <v>0</v>
      </c>
      <c r="BG8" s="421">
        <f>IFERROR(('Non-Energy Use'!J8-'Consumption Input Diff.'!BG37)/'Consumption Input Diff.'!BG37,"NA")</f>
        <v>0</v>
      </c>
      <c r="BH8" s="421">
        <f>IFERROR(('Non-Energy Use'!K8-'Consumption Input Diff.'!BH37)/'Consumption Input Diff.'!BH37,"NA")</f>
        <v>0</v>
      </c>
      <c r="BI8" s="421">
        <f>IFERROR(('Non-Energy Use'!L8-'Consumption Input Diff.'!BI37)/'Consumption Input Diff.'!BI37,"NA")</f>
        <v>0</v>
      </c>
      <c r="BJ8" s="421">
        <f>IFERROR(('Non-Energy Use'!M8-'Consumption Input Diff.'!BJ37)/'Consumption Input Diff.'!BJ37,"NA")</f>
        <v>0</v>
      </c>
      <c r="BK8" s="421">
        <f>IFERROR(('Non-Energy Use'!N8-'Consumption Input Diff.'!BK37)/'Consumption Input Diff.'!BK37,"NA")</f>
        <v>0</v>
      </c>
      <c r="BL8" s="421">
        <f>IFERROR(('Non-Energy Use'!O8-'Consumption Input Diff.'!BL37)/'Consumption Input Diff.'!BL37,"NA")</f>
        <v>0</v>
      </c>
      <c r="BM8" s="421">
        <f>IFERROR(('Non-Energy Use'!P8-'Consumption Input Diff.'!BM37)/'Consumption Input Diff.'!BM37,"NA")</f>
        <v>0</v>
      </c>
      <c r="BN8" s="421">
        <f>IFERROR(('Non-Energy Use'!Q8-'Consumption Input Diff.'!BN37)/'Consumption Input Diff.'!BN37,"NA")</f>
        <v>0</v>
      </c>
      <c r="BO8" s="421">
        <f>IFERROR(('Non-Energy Use'!R8-'Consumption Input Diff.'!BO37)/'Consumption Input Diff.'!BO37,"NA")</f>
        <v>0</v>
      </c>
      <c r="BP8" s="421">
        <f>IFERROR(('Non-Energy Use'!S8-'Consumption Input Diff.'!BP37)/'Consumption Input Diff.'!BP37,"NA")</f>
        <v>0</v>
      </c>
      <c r="BQ8" s="421">
        <f>IFERROR(('Non-Energy Use'!T8-'Consumption Input Diff.'!BQ37)/'Consumption Input Diff.'!BQ37,"NA")</f>
        <v>0</v>
      </c>
      <c r="BR8" s="421">
        <f>IFERROR(('Non-Energy Use'!U8-'Consumption Input Diff.'!BR37)/'Consumption Input Diff.'!BR37,"NA")</f>
        <v>0</v>
      </c>
      <c r="BS8" s="421">
        <f>IFERROR(('Non-Energy Use'!V8-'Consumption Input Diff.'!BS37)/'Consumption Input Diff.'!BS37,"NA")</f>
        <v>0</v>
      </c>
      <c r="BT8" s="421">
        <f>IFERROR(('Non-Energy Use'!W8-'Consumption Input Diff.'!BT37)/'Consumption Input Diff.'!BT37,"NA")</f>
        <v>0</v>
      </c>
      <c r="BU8" s="421">
        <f>IFERROR(('Non-Energy Use'!X8-'Consumption Input Diff.'!BU37)/'Consumption Input Diff.'!BU37,"NA")</f>
        <v>0</v>
      </c>
      <c r="BV8" s="421">
        <f>IFERROR(('Non-Energy Use'!Y8-'Consumption Input Diff.'!BV37)/'Consumption Input Diff.'!BV37,"NA")</f>
        <v>0</v>
      </c>
      <c r="BW8" s="421">
        <f>IFERROR(('Non-Energy Use'!Z8-'Consumption Input Diff.'!BW37)/'Consumption Input Diff.'!BW37,"NA")</f>
        <v>0</v>
      </c>
      <c r="BX8" s="421">
        <f>IFERROR(('Non-Energy Use'!AA8-'Consumption Input Diff.'!BX37)/'Consumption Input Diff.'!BX37,"NA")</f>
        <v>0</v>
      </c>
      <c r="BY8" s="421">
        <f>IFERROR(('Non-Energy Use'!AB8-'Consumption Input Diff.'!BY37)/'Consumption Input Diff.'!BY37,"NA")</f>
        <v>0</v>
      </c>
      <c r="BZ8" s="421">
        <f>IFERROR(('Non-Energy Use'!AC8-'Consumption Input Diff.'!BZ37)/'Consumption Input Diff.'!BZ37,"NA")</f>
        <v>0</v>
      </c>
      <c r="CA8" s="421">
        <f>IFERROR(('Non-Energy Use'!AD8-'Consumption Input Diff.'!CA37)/'Consumption Input Diff.'!CA37,"NA")</f>
        <v>0</v>
      </c>
      <c r="CB8" s="421">
        <f>IFERROR(('Non-Energy Use'!AE8-'Consumption Input Diff.'!CB37)/'Consumption Input Diff.'!CB37,"NA")</f>
        <v>0</v>
      </c>
      <c r="CC8" s="421">
        <f>IFERROR(('Non-Energy Use'!AF8-'Consumption Input Diff.'!CC37)/'Consumption Input Diff.'!CC37,"NA")</f>
        <v>0</v>
      </c>
      <c r="CD8" s="421">
        <f>IFERROR(('Non-Energy Use'!AG8-'Consumption Input Diff.'!CD37)/'Consumption Input Diff.'!CD37,"NA")</f>
        <v>0</v>
      </c>
      <c r="CE8" s="421">
        <f>IFERROR(('Non-Energy Use'!AH8-'Consumption Input Diff.'!CE37)/'Consumption Input Diff.'!CE37,"NA")</f>
        <v>0</v>
      </c>
      <c r="CF8" s="421">
        <f>IFERROR(('Non-Energy Use'!AI8-'Consumption Input Diff.'!CF37)/'Consumption Input Diff.'!CF37,"NA")</f>
        <v>-2.1970376800309315E-3</v>
      </c>
      <c r="CG8" s="421">
        <f>IFERROR(('Non-Energy Use'!AJ8-'Consumption Input Diff.'!CG37)/'Consumption Input Diff.'!CG37,"NA")</f>
        <v>1.2295647224592637E-3</v>
      </c>
    </row>
    <row r="9" spans="2:85">
      <c r="B9" s="456">
        <v>6</v>
      </c>
      <c r="D9" s="45" t="s">
        <v>1599</v>
      </c>
      <c r="E9" s="421">
        <f>IFERROR(('Consumption Input'!E10-'Consumption Input Diff.'!E121)/'Consumption Input Diff.'!E121,"NA")</f>
        <v>0</v>
      </c>
      <c r="F9" s="421">
        <f>IFERROR(('Consumption Input'!F10-'Consumption Input Diff.'!F121)/'Consumption Input Diff.'!F121,"NA")</f>
        <v>0</v>
      </c>
      <c r="G9" s="421">
        <f>IFERROR(('Consumption Input'!G10-'Consumption Input Diff.'!G121)/'Consumption Input Diff.'!G121,"NA")</f>
        <v>0</v>
      </c>
      <c r="H9" s="421">
        <f>IFERROR(('Consumption Input'!H10-'Consumption Input Diff.'!H121)/'Consumption Input Diff.'!H121,"NA")</f>
        <v>0</v>
      </c>
      <c r="I9" s="421">
        <f>IFERROR(('Consumption Input'!I10-'Consumption Input Diff.'!I121)/'Consumption Input Diff.'!I121,"NA")</f>
        <v>0</v>
      </c>
      <c r="J9" s="421">
        <f>IFERROR(('Consumption Input'!J10-'Consumption Input Diff.'!J121)/'Consumption Input Diff.'!J121,"NA")</f>
        <v>0</v>
      </c>
      <c r="K9" s="421">
        <f>IFERROR(('Consumption Input'!K10-'Consumption Input Diff.'!K121)/'Consumption Input Diff.'!K121,"NA")</f>
        <v>0</v>
      </c>
      <c r="L9" s="421">
        <f>IFERROR(('Consumption Input'!L10-'Consumption Input Diff.'!L121)/'Consumption Input Diff.'!L121,"NA")</f>
        <v>0</v>
      </c>
      <c r="M9" s="421">
        <f>IFERROR(('Consumption Input'!M10-'Consumption Input Diff.'!M121)/'Consumption Input Diff.'!M121,"NA")</f>
        <v>0</v>
      </c>
      <c r="N9" s="421">
        <f>IFERROR(('Consumption Input'!N10-'Consumption Input Diff.'!N121)/'Consumption Input Diff.'!N121,"NA")</f>
        <v>0</v>
      </c>
      <c r="O9" s="421">
        <f>IFERROR(('Consumption Input'!O10-'Consumption Input Diff.'!O121)/'Consumption Input Diff.'!O121,"NA")</f>
        <v>0</v>
      </c>
      <c r="P9" s="421">
        <f>IFERROR(('Consumption Input'!P10-'Consumption Input Diff.'!P121)/'Consumption Input Diff.'!P121,"NA")</f>
        <v>0</v>
      </c>
      <c r="Q9" s="421">
        <f>IFERROR(('Consumption Input'!Q10-'Consumption Input Diff.'!Q121)/'Consumption Input Diff.'!Q121,"NA")</f>
        <v>0</v>
      </c>
      <c r="R9" s="421">
        <f>IFERROR(('Consumption Input'!R10-'Consumption Input Diff.'!R121)/'Consumption Input Diff.'!R121,"NA")</f>
        <v>0</v>
      </c>
      <c r="S9" s="421">
        <f>IFERROR(('Consumption Input'!S10-'Consumption Input Diff.'!S121)/'Consumption Input Diff.'!S121,"NA")</f>
        <v>0</v>
      </c>
      <c r="T9" s="421">
        <f>IFERROR(('Consumption Input'!T10-'Consumption Input Diff.'!T121)/'Consumption Input Diff.'!T121,"NA")</f>
        <v>0</v>
      </c>
      <c r="U9" s="421">
        <f>IFERROR(('Consumption Input'!U10-'Consumption Input Diff.'!U121)/'Consumption Input Diff.'!U121,"NA")</f>
        <v>0</v>
      </c>
      <c r="V9" s="421">
        <f>IFERROR(('Consumption Input'!V10-'Consumption Input Diff.'!V121)/'Consumption Input Diff.'!V121,"NA")</f>
        <v>0</v>
      </c>
      <c r="W9" s="421">
        <f>IFERROR(('Consumption Input'!W10-'Consumption Input Diff.'!W121)/'Consumption Input Diff.'!W121,"NA")</f>
        <v>0</v>
      </c>
      <c r="X9" s="421">
        <f>IFERROR(('Consumption Input'!X10-'Consumption Input Diff.'!X121)/'Consumption Input Diff.'!X121,"NA")</f>
        <v>0</v>
      </c>
      <c r="Y9" s="421">
        <f>IFERROR(('Consumption Input'!Y10-'Consumption Input Diff.'!Y121)/'Consumption Input Diff.'!Y121,"NA")</f>
        <v>0</v>
      </c>
      <c r="Z9" s="421">
        <f>IFERROR(('Consumption Input'!Z10-'Consumption Input Diff.'!Z121)/'Consumption Input Diff.'!Z121,"NA")</f>
        <v>0</v>
      </c>
      <c r="AA9" s="421">
        <f>IFERROR(('Consumption Input'!AA10-'Consumption Input Diff.'!AA121)/'Consumption Input Diff.'!AA121,"NA")</f>
        <v>0</v>
      </c>
      <c r="AB9" s="421">
        <f>IFERROR(('Consumption Input'!AB10-'Consumption Input Diff.'!AB121)/'Consumption Input Diff.'!AB121,"NA")</f>
        <v>0</v>
      </c>
      <c r="AC9" s="421">
        <f>IFERROR(('Consumption Input'!AC10-'Consumption Input Diff.'!AC121)/'Consumption Input Diff.'!AC121,"NA")</f>
        <v>0</v>
      </c>
      <c r="AD9" s="421">
        <f>IFERROR(('Consumption Input'!AD10-'Consumption Input Diff.'!AD121)/'Consumption Input Diff.'!AD121,"NA")</f>
        <v>0</v>
      </c>
      <c r="AE9" s="421">
        <f>IFERROR(('Consumption Input'!AE10-'Consumption Input Diff.'!AE121)/'Consumption Input Diff.'!AE121,"NA")</f>
        <v>0</v>
      </c>
      <c r="AF9" s="421">
        <f>IFERROR(('Consumption Input'!AF10-'Consumption Input Diff.'!AF121)/'Consumption Input Diff.'!AF121,"NA")</f>
        <v>0</v>
      </c>
      <c r="AG9" s="421">
        <f>IFERROR(('Consumption Input'!AG10-'Consumption Input Diff.'!AG121)/'Consumption Input Diff.'!AG121,"NA")</f>
        <v>0</v>
      </c>
      <c r="AH9" s="421">
        <f>IFERROR(('Consumption Input'!AH10-'Consumption Input Diff.'!AH121)/'Consumption Input Diff.'!AH121,"NA")</f>
        <v>0</v>
      </c>
      <c r="AI9" s="421">
        <f>IFERROR(('Consumption Input'!AI10-'Consumption Input Diff.'!AI121)/'Consumption Input Diff.'!AI121,"NA")</f>
        <v>0</v>
      </c>
      <c r="AJ9" s="421">
        <f>IFERROR(('Consumption Input'!AJ10-'Consumption Input Diff.'!AJ121)/'Consumption Input Diff.'!AJ121,"NA")</f>
        <v>9.7899649941657216E-2</v>
      </c>
      <c r="AK9" s="5">
        <f>'Consumption Input'!V10-V121</f>
        <v>0</v>
      </c>
      <c r="AL9" s="5">
        <f>'Consumption Input'!W10-W121</f>
        <v>0</v>
      </c>
      <c r="AM9" s="5">
        <f>'Consumption Input'!X10-X121</f>
        <v>0</v>
      </c>
      <c r="AN9" s="5">
        <f>'Consumption Input'!Y10-Y121</f>
        <v>0</v>
      </c>
      <c r="AO9" s="5">
        <f>'Consumption Input'!Z10-Z121</f>
        <v>0</v>
      </c>
      <c r="AP9" s="5">
        <f>'Consumption Input'!AA10-AA121</f>
        <v>0</v>
      </c>
      <c r="AQ9" s="5">
        <f>'Consumption Input'!AB10-AB121</f>
        <v>0</v>
      </c>
      <c r="AR9" s="5">
        <f>'Consumption Input'!AC10-AC121</f>
        <v>0</v>
      </c>
      <c r="AS9" s="5">
        <f>'Consumption Input'!AD10-AD121</f>
        <v>0</v>
      </c>
      <c r="AT9" s="5">
        <f>'Consumption Input'!AE10-AE121</f>
        <v>0</v>
      </c>
      <c r="AU9" s="5">
        <f>'Consumption Input'!AF10-AF121</f>
        <v>0</v>
      </c>
      <c r="AV9" s="5">
        <f>'Consumption Input'!AG10-AG121</f>
        <v>0</v>
      </c>
      <c r="AW9" s="5">
        <f>'Consumption Input'!AH10-AH121</f>
        <v>0</v>
      </c>
      <c r="AX9" s="5">
        <f>'Consumption Input'!AI10-AI121</f>
        <v>0</v>
      </c>
      <c r="AY9" s="5">
        <f>'Consumption Input'!AJ10-AJ121</f>
        <v>0.83900000000000219</v>
      </c>
      <c r="AZ9" s="21">
        <v>5</v>
      </c>
      <c r="BA9" s="6" t="s">
        <v>1889</v>
      </c>
      <c r="BB9" s="421">
        <f>IFERROR(('Non-Energy Use'!E9-'Consumption Input Diff.'!BB38)/'Consumption Input Diff.'!BB38,"NA")</f>
        <v>0</v>
      </c>
      <c r="BC9" s="421">
        <f>IFERROR(('Non-Energy Use'!F9-'Consumption Input Diff.'!BC38)/'Consumption Input Diff.'!BC38,"NA")</f>
        <v>0</v>
      </c>
      <c r="BD9" s="421">
        <f>IFERROR(('Non-Energy Use'!G9-'Consumption Input Diff.'!BD38)/'Consumption Input Diff.'!BD38,"NA")</f>
        <v>0</v>
      </c>
      <c r="BE9" s="421">
        <f>IFERROR(('Non-Energy Use'!H9-'Consumption Input Diff.'!BE38)/'Consumption Input Diff.'!BE38,"NA")</f>
        <v>0</v>
      </c>
      <c r="BF9" s="421">
        <f>IFERROR(('Non-Energy Use'!I9-'Consumption Input Diff.'!BF38)/'Consumption Input Diff.'!BF38,"NA")</f>
        <v>0</v>
      </c>
      <c r="BG9" s="421">
        <f>IFERROR(('Non-Energy Use'!J9-'Consumption Input Diff.'!BG38)/'Consumption Input Diff.'!BG38,"NA")</f>
        <v>0</v>
      </c>
      <c r="BH9" s="421">
        <f>IFERROR(('Non-Energy Use'!K9-'Consumption Input Diff.'!BH38)/'Consumption Input Diff.'!BH38,"NA")</f>
        <v>0</v>
      </c>
      <c r="BI9" s="421">
        <f>IFERROR(('Non-Energy Use'!L9-'Consumption Input Diff.'!BI38)/'Consumption Input Diff.'!BI38,"NA")</f>
        <v>0</v>
      </c>
      <c r="BJ9" s="421">
        <f>IFERROR(('Non-Energy Use'!M9-'Consumption Input Diff.'!BJ38)/'Consumption Input Diff.'!BJ38,"NA")</f>
        <v>0</v>
      </c>
      <c r="BK9" s="421">
        <f>IFERROR(('Non-Energy Use'!N9-'Consumption Input Diff.'!BK38)/'Consumption Input Diff.'!BK38,"NA")</f>
        <v>0</v>
      </c>
      <c r="BL9" s="421">
        <f>IFERROR(('Non-Energy Use'!O9-'Consumption Input Diff.'!BL38)/'Consumption Input Diff.'!BL38,"NA")</f>
        <v>0</v>
      </c>
      <c r="BM9" s="421">
        <f>IFERROR(('Non-Energy Use'!P9-'Consumption Input Diff.'!BM38)/'Consumption Input Diff.'!BM38,"NA")</f>
        <v>0</v>
      </c>
      <c r="BN9" s="421">
        <f>IFERROR(('Non-Energy Use'!Q9-'Consumption Input Diff.'!BN38)/'Consumption Input Diff.'!BN38,"NA")</f>
        <v>0</v>
      </c>
      <c r="BO9" s="421">
        <f>IFERROR(('Non-Energy Use'!R9-'Consumption Input Diff.'!BO38)/'Consumption Input Diff.'!BO38,"NA")</f>
        <v>0</v>
      </c>
      <c r="BP9" s="421">
        <f>IFERROR(('Non-Energy Use'!S9-'Consumption Input Diff.'!BP38)/'Consumption Input Diff.'!BP38,"NA")</f>
        <v>0</v>
      </c>
      <c r="BQ9" s="421">
        <f>IFERROR(('Non-Energy Use'!T9-'Consumption Input Diff.'!BQ38)/'Consumption Input Diff.'!BQ38,"NA")</f>
        <v>0</v>
      </c>
      <c r="BR9" s="421">
        <f>IFERROR(('Non-Energy Use'!U9-'Consumption Input Diff.'!BR38)/'Consumption Input Diff.'!BR38,"NA")</f>
        <v>0</v>
      </c>
      <c r="BS9" s="421">
        <f>IFERROR(('Non-Energy Use'!V9-'Consumption Input Diff.'!BS38)/'Consumption Input Diff.'!BS38,"NA")</f>
        <v>0</v>
      </c>
      <c r="BT9" s="421">
        <f>IFERROR(('Non-Energy Use'!W9-'Consumption Input Diff.'!BT38)/'Consumption Input Diff.'!BT38,"NA")</f>
        <v>0</v>
      </c>
      <c r="BU9" s="421">
        <f>IFERROR(('Non-Energy Use'!X9-'Consumption Input Diff.'!BU38)/'Consumption Input Diff.'!BU38,"NA")</f>
        <v>0</v>
      </c>
      <c r="BV9" s="421">
        <f>IFERROR(('Non-Energy Use'!Y9-'Consumption Input Diff.'!BV38)/'Consumption Input Diff.'!BV38,"NA")</f>
        <v>0</v>
      </c>
      <c r="BW9" s="421">
        <f>IFERROR(('Non-Energy Use'!Z9-'Consumption Input Diff.'!BW38)/'Consumption Input Diff.'!BW38,"NA")</f>
        <v>0</v>
      </c>
      <c r="BX9" s="421">
        <f>IFERROR(('Non-Energy Use'!AA9-'Consumption Input Diff.'!BX38)/'Consumption Input Diff.'!BX38,"NA")</f>
        <v>0</v>
      </c>
      <c r="BY9" s="421">
        <f>IFERROR(('Non-Energy Use'!AB9-'Consumption Input Diff.'!BY38)/'Consumption Input Diff.'!BY38,"NA")</f>
        <v>0</v>
      </c>
      <c r="BZ9" s="421">
        <f>IFERROR(('Non-Energy Use'!AC9-'Consumption Input Diff.'!BZ38)/'Consumption Input Diff.'!BZ38,"NA")</f>
        <v>0</v>
      </c>
      <c r="CA9" s="421">
        <f>IFERROR(('Non-Energy Use'!AD9-'Consumption Input Diff.'!CA38)/'Consumption Input Diff.'!CA38,"NA")</f>
        <v>0</v>
      </c>
      <c r="CB9" s="421">
        <f>IFERROR(('Non-Energy Use'!AE9-'Consumption Input Diff.'!CB38)/'Consumption Input Diff.'!CB38,"NA")</f>
        <v>0</v>
      </c>
      <c r="CC9" s="421">
        <f>IFERROR(('Non-Energy Use'!AF9-'Consumption Input Diff.'!CC38)/'Consumption Input Diff.'!CC38,"NA")</f>
        <v>0</v>
      </c>
      <c r="CD9" s="421">
        <f>IFERROR(('Non-Energy Use'!AG9-'Consumption Input Diff.'!CD38)/'Consumption Input Diff.'!CD38,"NA")</f>
        <v>0</v>
      </c>
      <c r="CE9" s="421">
        <f>IFERROR(('Non-Energy Use'!AH9-'Consumption Input Diff.'!CE38)/'Consumption Input Diff.'!CE38,"NA")</f>
        <v>0</v>
      </c>
      <c r="CF9" s="421">
        <f>IFERROR(('Non-Energy Use'!AI9-'Consumption Input Diff.'!CF38)/'Consumption Input Diff.'!CF38,"NA")</f>
        <v>1.9286403085824705E-3</v>
      </c>
      <c r="CG9" s="421">
        <f>IFERROR(('Non-Energy Use'!AJ9-'Consumption Input Diff.'!CG38)/'Consumption Input Diff.'!CG38,"NA")</f>
        <v>1.9286403085824705E-3</v>
      </c>
    </row>
    <row r="10" spans="2:85">
      <c r="B10" s="456">
        <v>7</v>
      </c>
      <c r="D10" s="45" t="s">
        <v>1609</v>
      </c>
      <c r="E10" s="484">
        <f>IFERROR(('Consumption Input'!E11-'Consumption Input Diff.'!E122)/'Consumption Input Diff.'!E122,"NA")</f>
        <v>0</v>
      </c>
      <c r="F10" s="484">
        <f>IFERROR(('Consumption Input'!F11-'Consumption Input Diff.'!F122)/'Consumption Input Diff.'!F122,"NA")</f>
        <v>0</v>
      </c>
      <c r="G10" s="484">
        <f>IFERROR(('Consumption Input'!G11-'Consumption Input Diff.'!G122)/'Consumption Input Diff.'!G122,"NA")</f>
        <v>0</v>
      </c>
      <c r="H10" s="484">
        <f>IFERROR(('Consumption Input'!H11-'Consumption Input Diff.'!H122)/'Consumption Input Diff.'!H122,"NA")</f>
        <v>0</v>
      </c>
      <c r="I10" s="484">
        <f>IFERROR(('Consumption Input'!I11-'Consumption Input Diff.'!I122)/'Consumption Input Diff.'!I122,"NA")</f>
        <v>0</v>
      </c>
      <c r="J10" s="484">
        <f>IFERROR(('Consumption Input'!J11-'Consumption Input Diff.'!J122)/'Consumption Input Diff.'!J122,"NA")</f>
        <v>0</v>
      </c>
      <c r="K10" s="484">
        <f>IFERROR(('Consumption Input'!K11-'Consumption Input Diff.'!K122)/'Consumption Input Diff.'!K122,"NA")</f>
        <v>0</v>
      </c>
      <c r="L10" s="484">
        <f>IFERROR(('Consumption Input'!L11-'Consumption Input Diff.'!L122)/'Consumption Input Diff.'!L122,"NA")</f>
        <v>0</v>
      </c>
      <c r="M10" s="484">
        <f>IFERROR(('Consumption Input'!M11-'Consumption Input Diff.'!M122)/'Consumption Input Diff.'!M122,"NA")</f>
        <v>0</v>
      </c>
      <c r="N10" s="484">
        <f>IFERROR(('Consumption Input'!N11-'Consumption Input Diff.'!N122)/'Consumption Input Diff.'!N122,"NA")</f>
        <v>0</v>
      </c>
      <c r="O10" s="484">
        <f>IFERROR(('Consumption Input'!O11-'Consumption Input Diff.'!O122)/'Consumption Input Diff.'!O122,"NA")</f>
        <v>0</v>
      </c>
      <c r="P10" s="484">
        <f>IFERROR(('Consumption Input'!P11-'Consumption Input Diff.'!P122)/'Consumption Input Diff.'!P122,"NA")</f>
        <v>0</v>
      </c>
      <c r="Q10" s="484">
        <f>IFERROR(('Consumption Input'!Q11-'Consumption Input Diff.'!Q122)/'Consumption Input Diff.'!Q122,"NA")</f>
        <v>0</v>
      </c>
      <c r="R10" s="484">
        <f>IFERROR(('Consumption Input'!R11-'Consumption Input Diff.'!R122)/'Consumption Input Diff.'!R122,"NA")</f>
        <v>0</v>
      </c>
      <c r="S10" s="484">
        <f>IFERROR(('Consumption Input'!S11-'Consumption Input Diff.'!S122)/'Consumption Input Diff.'!S122,"NA")</f>
        <v>0</v>
      </c>
      <c r="T10" s="484">
        <f>IFERROR(('Consumption Input'!T11-'Consumption Input Diff.'!T122)/'Consumption Input Diff.'!T122,"NA")</f>
        <v>0</v>
      </c>
      <c r="U10" s="484">
        <f>IFERROR(('Consumption Input'!U11-'Consumption Input Diff.'!U122)/'Consumption Input Diff.'!U122,"NA")</f>
        <v>0</v>
      </c>
      <c r="V10" s="484">
        <f>IFERROR(('Consumption Input'!V11-'Consumption Input Diff.'!V122)/'Consumption Input Diff.'!V122,"NA")</f>
        <v>0</v>
      </c>
      <c r="W10" s="484">
        <f>IFERROR(('Consumption Input'!W11-'Consumption Input Diff.'!W122)/'Consumption Input Diff.'!W122,"NA")</f>
        <v>0</v>
      </c>
      <c r="X10" s="484">
        <f>IFERROR(('Consumption Input'!X11-'Consumption Input Diff.'!X122)/'Consumption Input Diff.'!X122,"NA")</f>
        <v>0</v>
      </c>
      <c r="Y10" s="484">
        <f>IFERROR(('Consumption Input'!Y11-'Consumption Input Diff.'!Y122)/'Consumption Input Diff.'!Y122,"NA")</f>
        <v>0</v>
      </c>
      <c r="Z10" s="484">
        <f>IFERROR(('Consumption Input'!Z11-'Consumption Input Diff.'!Z122)/'Consumption Input Diff.'!Z122,"NA")</f>
        <v>0</v>
      </c>
      <c r="AA10" s="484">
        <f>IFERROR(('Consumption Input'!AA11-'Consumption Input Diff.'!AA122)/'Consumption Input Diff.'!AA122,"NA")</f>
        <v>0</v>
      </c>
      <c r="AB10" s="484">
        <f>IFERROR(('Consumption Input'!AB11-'Consumption Input Diff.'!AB122)/'Consumption Input Diff.'!AB122,"NA")</f>
        <v>0</v>
      </c>
      <c r="AC10" s="484">
        <f>IFERROR(('Consumption Input'!AC11-'Consumption Input Diff.'!AC122)/'Consumption Input Diff.'!AC122,"NA")</f>
        <v>0</v>
      </c>
      <c r="AD10" s="484">
        <f>IFERROR(('Consumption Input'!AD11-'Consumption Input Diff.'!AD122)/'Consumption Input Diff.'!AD122,"NA")</f>
        <v>0</v>
      </c>
      <c r="AE10" s="484">
        <f>IFERROR(('Consumption Input'!AE11-'Consumption Input Diff.'!AE122)/'Consumption Input Diff.'!AE122,"NA")</f>
        <v>0</v>
      </c>
      <c r="AF10" s="484">
        <f>IFERROR(('Consumption Input'!AF11-'Consumption Input Diff.'!AF122)/'Consumption Input Diff.'!AF122,"NA")</f>
        <v>0</v>
      </c>
      <c r="AG10" s="484">
        <f>IFERROR(('Consumption Input'!AG11-'Consumption Input Diff.'!AG122)/'Consumption Input Diff.'!AG122,"NA")</f>
        <v>0</v>
      </c>
      <c r="AH10" s="484">
        <f>IFERROR(('Consumption Input'!AH11-'Consumption Input Diff.'!AH122)/'Consumption Input Diff.'!AH122,"NA")</f>
        <v>0</v>
      </c>
      <c r="AI10" s="484">
        <f>IFERROR(('Consumption Input'!AI11-'Consumption Input Diff.'!AI122)/'Consumption Input Diff.'!AI122,"NA")</f>
        <v>0</v>
      </c>
      <c r="AJ10" s="484">
        <f>IFERROR(('Consumption Input'!AJ11-'Consumption Input Diff.'!AJ122)/'Consumption Input Diff.'!AJ122,"NA")</f>
        <v>-2.5077378806765496E-2</v>
      </c>
      <c r="AK10" s="5">
        <f>'Consumption Input'!V11-V122</f>
        <v>0</v>
      </c>
      <c r="AL10" s="5">
        <f>'Consumption Input'!W11-W122</f>
        <v>0</v>
      </c>
      <c r="AM10" s="5">
        <f>'Consumption Input'!X11-X122</f>
        <v>0</v>
      </c>
      <c r="AN10" s="5">
        <f>'Consumption Input'!Y11-Y122</f>
        <v>0</v>
      </c>
      <c r="AO10" s="5">
        <f>'Consumption Input'!Z11-Z122</f>
        <v>0</v>
      </c>
      <c r="AP10" s="5">
        <f>'Consumption Input'!AA11-AA122</f>
        <v>0</v>
      </c>
      <c r="AQ10" s="5">
        <f>'Consumption Input'!AB11-AB122</f>
        <v>0</v>
      </c>
      <c r="AR10" s="5">
        <f>'Consumption Input'!AC11-AC122</f>
        <v>0</v>
      </c>
      <c r="AS10" s="5">
        <f>'Consumption Input'!AD11-AD122</f>
        <v>0</v>
      </c>
      <c r="AT10" s="5">
        <f>'Consumption Input'!AE11-AE122</f>
        <v>0</v>
      </c>
      <c r="AU10" s="5">
        <f>'Consumption Input'!AF11-AF122</f>
        <v>0</v>
      </c>
      <c r="AV10" s="5">
        <f>'Consumption Input'!AG11-AG122</f>
        <v>0</v>
      </c>
      <c r="AW10" s="5">
        <f>'Consumption Input'!AH11-AH122</f>
        <v>0</v>
      </c>
      <c r="AX10" s="5">
        <f>'Consumption Input'!AI11-AI122</f>
        <v>0</v>
      </c>
      <c r="AY10" s="5">
        <f>'Consumption Input'!AJ11-AJ122</f>
        <v>-12.453000000000031</v>
      </c>
      <c r="AZ10" s="21">
        <v>6</v>
      </c>
      <c r="BA10" s="6" t="s">
        <v>1890</v>
      </c>
      <c r="BB10" s="421">
        <f>IFERROR(('Non-Energy Use'!E10-'Consumption Input Diff.'!BB39)/'Consumption Input Diff.'!BB39,"NA")</f>
        <v>0</v>
      </c>
      <c r="BC10" s="421">
        <f>IFERROR(('Non-Energy Use'!F10-'Consumption Input Diff.'!BC39)/'Consumption Input Diff.'!BC39,"NA")</f>
        <v>0</v>
      </c>
      <c r="BD10" s="421">
        <f>IFERROR(('Non-Energy Use'!G10-'Consumption Input Diff.'!BD39)/'Consumption Input Diff.'!BD39,"NA")</f>
        <v>0</v>
      </c>
      <c r="BE10" s="421">
        <f>IFERROR(('Non-Energy Use'!H10-'Consumption Input Diff.'!BE39)/'Consumption Input Diff.'!BE39,"NA")</f>
        <v>0</v>
      </c>
      <c r="BF10" s="421">
        <f>IFERROR(('Non-Energy Use'!I10-'Consumption Input Diff.'!BF39)/'Consumption Input Diff.'!BF39,"NA")</f>
        <v>0</v>
      </c>
      <c r="BG10" s="421">
        <f>IFERROR(('Non-Energy Use'!J10-'Consumption Input Diff.'!BG39)/'Consumption Input Diff.'!BG39,"NA")</f>
        <v>0</v>
      </c>
      <c r="BH10" s="421">
        <f>IFERROR(('Non-Energy Use'!K10-'Consumption Input Diff.'!BH39)/'Consumption Input Diff.'!BH39,"NA")</f>
        <v>0</v>
      </c>
      <c r="BI10" s="421">
        <f>IFERROR(('Non-Energy Use'!L10-'Consumption Input Diff.'!BI39)/'Consumption Input Diff.'!BI39,"NA")</f>
        <v>0</v>
      </c>
      <c r="BJ10" s="421">
        <f>IFERROR(('Non-Energy Use'!M10-'Consumption Input Diff.'!BJ39)/'Consumption Input Diff.'!BJ39,"NA")</f>
        <v>0</v>
      </c>
      <c r="BK10" s="421">
        <f>IFERROR(('Non-Energy Use'!N10-'Consumption Input Diff.'!BK39)/'Consumption Input Diff.'!BK39,"NA")</f>
        <v>0</v>
      </c>
      <c r="BL10" s="421">
        <f>IFERROR(('Non-Energy Use'!O10-'Consumption Input Diff.'!BL39)/'Consumption Input Diff.'!BL39,"NA")</f>
        <v>0</v>
      </c>
      <c r="BM10" s="421">
        <f>IFERROR(('Non-Energy Use'!P10-'Consumption Input Diff.'!BM39)/'Consumption Input Diff.'!BM39,"NA")</f>
        <v>0</v>
      </c>
      <c r="BN10" s="421">
        <f>IFERROR(('Non-Energy Use'!Q10-'Consumption Input Diff.'!BN39)/'Consumption Input Diff.'!BN39,"NA")</f>
        <v>0</v>
      </c>
      <c r="BO10" s="421">
        <f>IFERROR(('Non-Energy Use'!R10-'Consumption Input Diff.'!BO39)/'Consumption Input Diff.'!BO39,"NA")</f>
        <v>0</v>
      </c>
      <c r="BP10" s="421">
        <f>IFERROR(('Non-Energy Use'!S10-'Consumption Input Diff.'!BP39)/'Consumption Input Diff.'!BP39,"NA")</f>
        <v>0</v>
      </c>
      <c r="BQ10" s="421">
        <f>IFERROR(('Non-Energy Use'!T10-'Consumption Input Diff.'!BQ39)/'Consumption Input Diff.'!BQ39,"NA")</f>
        <v>0</v>
      </c>
      <c r="BR10" s="421">
        <f>IFERROR(('Non-Energy Use'!U10-'Consumption Input Diff.'!BR39)/'Consumption Input Diff.'!BR39,"NA")</f>
        <v>0</v>
      </c>
      <c r="BS10" s="421">
        <f>IFERROR(('Non-Energy Use'!V10-'Consumption Input Diff.'!BS39)/'Consumption Input Diff.'!BS39,"NA")</f>
        <v>0</v>
      </c>
      <c r="BT10" s="421">
        <f>IFERROR(('Non-Energy Use'!W10-'Consumption Input Diff.'!BT39)/'Consumption Input Diff.'!BT39,"NA")</f>
        <v>0</v>
      </c>
      <c r="BU10" s="421">
        <f>IFERROR(('Non-Energy Use'!X10-'Consumption Input Diff.'!BU39)/'Consumption Input Diff.'!BU39,"NA")</f>
        <v>0</v>
      </c>
      <c r="BV10" s="421">
        <f>IFERROR(('Non-Energy Use'!Y10-'Consumption Input Diff.'!BV39)/'Consumption Input Diff.'!BV39,"NA")</f>
        <v>0</v>
      </c>
      <c r="BW10" s="421">
        <f>IFERROR(('Non-Energy Use'!Z10-'Consumption Input Diff.'!BW39)/'Consumption Input Diff.'!BW39,"NA")</f>
        <v>0</v>
      </c>
      <c r="BX10" s="421">
        <f>IFERROR(('Non-Energy Use'!AA10-'Consumption Input Diff.'!BX39)/'Consumption Input Diff.'!BX39,"NA")</f>
        <v>0</v>
      </c>
      <c r="BY10" s="421">
        <f>IFERROR(('Non-Energy Use'!AB10-'Consumption Input Diff.'!BY39)/'Consumption Input Diff.'!BY39,"NA")</f>
        <v>0</v>
      </c>
      <c r="BZ10" s="421">
        <f>IFERROR(('Non-Energy Use'!AC10-'Consumption Input Diff.'!BZ39)/'Consumption Input Diff.'!BZ39,"NA")</f>
        <v>0</v>
      </c>
      <c r="CA10" s="421">
        <f>IFERROR(('Non-Energy Use'!AD10-'Consumption Input Diff.'!CA39)/'Consumption Input Diff.'!CA39,"NA")</f>
        <v>0</v>
      </c>
      <c r="CB10" s="421">
        <f>IFERROR(('Non-Energy Use'!AE10-'Consumption Input Diff.'!CB39)/'Consumption Input Diff.'!CB39,"NA")</f>
        <v>0</v>
      </c>
      <c r="CC10" s="421">
        <f>IFERROR(('Non-Energy Use'!AF10-'Consumption Input Diff.'!CC39)/'Consumption Input Diff.'!CC39,"NA")</f>
        <v>0</v>
      </c>
      <c r="CD10" s="421">
        <f>IFERROR(('Non-Energy Use'!AG10-'Consumption Input Diff.'!CD39)/'Consumption Input Diff.'!CD39,"NA")</f>
        <v>0</v>
      </c>
      <c r="CE10" s="421">
        <f>IFERROR(('Non-Energy Use'!AH10-'Consumption Input Diff.'!CE39)/'Consumption Input Diff.'!CE39,"NA")</f>
        <v>0</v>
      </c>
      <c r="CF10" s="421">
        <f>IFERROR(('Non-Energy Use'!AI10-'Consumption Input Diff.'!CF39)/'Consumption Input Diff.'!CF39,"NA")</f>
        <v>0</v>
      </c>
      <c r="CG10" s="421">
        <f>IFERROR(('Non-Energy Use'!AJ10-'Consumption Input Diff.'!CG39)/'Consumption Input Diff.'!CG39,"NA")</f>
        <v>0</v>
      </c>
    </row>
    <row r="11" spans="2:85">
      <c r="B11" s="456">
        <v>8</v>
      </c>
      <c r="C11" s="458" t="s">
        <v>1441</v>
      </c>
      <c r="D11" s="4"/>
      <c r="E11" s="462"/>
      <c r="F11" s="462"/>
      <c r="G11" s="462"/>
      <c r="H11" s="462"/>
      <c r="I11" s="462"/>
      <c r="J11" s="462"/>
      <c r="K11" s="462"/>
      <c r="L11" s="462"/>
      <c r="M11" s="462"/>
      <c r="N11" s="462"/>
      <c r="O11" s="462"/>
      <c r="P11" s="462"/>
      <c r="Q11" s="462"/>
      <c r="R11" s="462"/>
      <c r="S11" s="462"/>
      <c r="U11" s="462"/>
      <c r="V11" s="462"/>
      <c r="AH11" s="227"/>
      <c r="AI11" s="227"/>
      <c r="AJ11" s="227"/>
      <c r="AK11" s="5"/>
      <c r="AL11" s="5"/>
      <c r="AM11" s="5"/>
      <c r="AN11" s="5"/>
      <c r="AO11" s="5"/>
      <c r="AP11" s="5"/>
      <c r="AQ11" s="5"/>
      <c r="AR11" s="5"/>
      <c r="AS11" s="5"/>
      <c r="AT11" s="5"/>
      <c r="AU11" s="5"/>
      <c r="AV11" s="5"/>
      <c r="AW11" s="5"/>
      <c r="AX11" s="5"/>
      <c r="AY11" s="5"/>
      <c r="AZ11" s="21">
        <v>7</v>
      </c>
      <c r="BA11" s="6" t="s">
        <v>1624</v>
      </c>
      <c r="BB11" s="421">
        <f>IFERROR(('Non-Energy Use'!E11-'Consumption Input Diff.'!BB40)/'Consumption Input Diff.'!BB40,"NA")</f>
        <v>0</v>
      </c>
      <c r="BC11" s="421">
        <f>IFERROR(('Non-Energy Use'!F11-'Consumption Input Diff.'!BC40)/'Consumption Input Diff.'!BC40,"NA")</f>
        <v>0</v>
      </c>
      <c r="BD11" s="421">
        <f>IFERROR(('Non-Energy Use'!G11-'Consumption Input Diff.'!BD40)/'Consumption Input Diff.'!BD40,"NA")</f>
        <v>0</v>
      </c>
      <c r="BE11" s="421">
        <f>IFERROR(('Non-Energy Use'!H11-'Consumption Input Diff.'!BE40)/'Consumption Input Diff.'!BE40,"NA")</f>
        <v>0</v>
      </c>
      <c r="BF11" s="421">
        <f>IFERROR(('Non-Energy Use'!I11-'Consumption Input Diff.'!BF40)/'Consumption Input Diff.'!BF40,"NA")</f>
        <v>0</v>
      </c>
      <c r="BG11" s="421">
        <f>IFERROR(('Non-Energy Use'!J11-'Consumption Input Diff.'!BG40)/'Consumption Input Diff.'!BG40,"NA")</f>
        <v>0</v>
      </c>
      <c r="BH11" s="421">
        <f>IFERROR(('Non-Energy Use'!K11-'Consumption Input Diff.'!BH40)/'Consumption Input Diff.'!BH40,"NA")</f>
        <v>0</v>
      </c>
      <c r="BI11" s="421">
        <f>IFERROR(('Non-Energy Use'!L11-'Consumption Input Diff.'!BI40)/'Consumption Input Diff.'!BI40,"NA")</f>
        <v>0</v>
      </c>
      <c r="BJ11" s="421">
        <f>IFERROR(('Non-Energy Use'!M11-'Consumption Input Diff.'!BJ40)/'Consumption Input Diff.'!BJ40,"NA")</f>
        <v>0</v>
      </c>
      <c r="BK11" s="421">
        <f>IFERROR(('Non-Energy Use'!N11-'Consumption Input Diff.'!BK40)/'Consumption Input Diff.'!BK40,"NA")</f>
        <v>0</v>
      </c>
      <c r="BL11" s="421">
        <f>IFERROR(('Non-Energy Use'!O11-'Consumption Input Diff.'!BL40)/'Consumption Input Diff.'!BL40,"NA")</f>
        <v>0</v>
      </c>
      <c r="BM11" s="421">
        <f>IFERROR(('Non-Energy Use'!P11-'Consumption Input Diff.'!BM40)/'Consumption Input Diff.'!BM40,"NA")</f>
        <v>0</v>
      </c>
      <c r="BN11" s="421">
        <f>IFERROR(('Non-Energy Use'!Q11-'Consumption Input Diff.'!BN40)/'Consumption Input Diff.'!BN40,"NA")</f>
        <v>0</v>
      </c>
      <c r="BO11" s="421">
        <f>IFERROR(('Non-Energy Use'!R11-'Consumption Input Diff.'!BO40)/'Consumption Input Diff.'!BO40,"NA")</f>
        <v>0</v>
      </c>
      <c r="BP11" s="421">
        <f>IFERROR(('Non-Energy Use'!S11-'Consumption Input Diff.'!BP40)/'Consumption Input Diff.'!BP40,"NA")</f>
        <v>0</v>
      </c>
      <c r="BQ11" s="421">
        <f>IFERROR(('Non-Energy Use'!T11-'Consumption Input Diff.'!BQ40)/'Consumption Input Diff.'!BQ40,"NA")</f>
        <v>0</v>
      </c>
      <c r="BR11" s="421">
        <f>IFERROR(('Non-Energy Use'!U11-'Consumption Input Diff.'!BR40)/'Consumption Input Diff.'!BR40,"NA")</f>
        <v>0</v>
      </c>
      <c r="BS11" s="421">
        <f>IFERROR(('Non-Energy Use'!V11-'Consumption Input Diff.'!BS40)/'Consumption Input Diff.'!BS40,"NA")</f>
        <v>0</v>
      </c>
      <c r="BT11" s="421">
        <f>IFERROR(('Non-Energy Use'!W11-'Consumption Input Diff.'!BT40)/'Consumption Input Diff.'!BT40,"NA")</f>
        <v>0</v>
      </c>
      <c r="BU11" s="421">
        <f>IFERROR(('Non-Energy Use'!X11-'Consumption Input Diff.'!BU40)/'Consumption Input Diff.'!BU40,"NA")</f>
        <v>0</v>
      </c>
      <c r="BV11" s="421">
        <f>IFERROR(('Non-Energy Use'!Y11-'Consumption Input Diff.'!BV40)/'Consumption Input Diff.'!BV40,"NA")</f>
        <v>0</v>
      </c>
      <c r="BW11" s="421">
        <f>IFERROR(('Non-Energy Use'!Z11-'Consumption Input Diff.'!BW40)/'Consumption Input Diff.'!BW40,"NA")</f>
        <v>0</v>
      </c>
      <c r="BX11" s="421">
        <f>IFERROR(('Non-Energy Use'!AA11-'Consumption Input Diff.'!BX40)/'Consumption Input Diff.'!BX40,"NA")</f>
        <v>0</v>
      </c>
      <c r="BY11" s="421">
        <f>IFERROR(('Non-Energy Use'!AB11-'Consumption Input Diff.'!BY40)/'Consumption Input Diff.'!BY40,"NA")</f>
        <v>0</v>
      </c>
      <c r="BZ11" s="421">
        <f>IFERROR(('Non-Energy Use'!AC11-'Consumption Input Diff.'!BZ40)/'Consumption Input Diff.'!BZ40,"NA")</f>
        <v>0</v>
      </c>
      <c r="CA11" s="421">
        <f>IFERROR(('Non-Energy Use'!AD11-'Consumption Input Diff.'!CA40)/'Consumption Input Diff.'!CA40,"NA")</f>
        <v>0</v>
      </c>
      <c r="CB11" s="421">
        <f>IFERROR(('Non-Energy Use'!AE11-'Consumption Input Diff.'!CB40)/'Consumption Input Diff.'!CB40,"NA")</f>
        <v>0</v>
      </c>
      <c r="CC11" s="421">
        <f>IFERROR(('Non-Energy Use'!AF11-'Consumption Input Diff.'!CC40)/'Consumption Input Diff.'!CC40,"NA")</f>
        <v>0</v>
      </c>
      <c r="CD11" s="421">
        <f>IFERROR(('Non-Energy Use'!AG11-'Consumption Input Diff.'!CD40)/'Consumption Input Diff.'!CD40,"NA")</f>
        <v>0</v>
      </c>
      <c r="CE11" s="421">
        <f>IFERROR(('Non-Energy Use'!AH11-'Consumption Input Diff.'!CE40)/'Consumption Input Diff.'!CE40,"NA")</f>
        <v>0</v>
      </c>
      <c r="CF11" s="421">
        <f>IFERROR(('Non-Energy Use'!AI11-'Consumption Input Diff.'!CF40)/'Consumption Input Diff.'!CF40,"NA")</f>
        <v>0</v>
      </c>
      <c r="CG11" s="421">
        <f>IFERROR(('Non-Energy Use'!AJ11-'Consumption Input Diff.'!CG40)/'Consumption Input Diff.'!CG40,"NA")</f>
        <v>0</v>
      </c>
    </row>
    <row r="12" spans="2:85">
      <c r="B12" s="456">
        <v>9</v>
      </c>
      <c r="D12" s="45" t="s">
        <v>1435</v>
      </c>
      <c r="E12" s="419">
        <f>IFERROR(('Consumption Input'!E13-'Consumption Input Diff.'!E124)/'Consumption Input Diff.'!E124,"NA")</f>
        <v>0</v>
      </c>
      <c r="F12" s="419">
        <f>IFERROR(('Consumption Input'!F13-'Consumption Input Diff.'!F124)/'Consumption Input Diff.'!F124,"NA")</f>
        <v>0</v>
      </c>
      <c r="G12" s="419">
        <f>IFERROR(('Consumption Input'!G13-'Consumption Input Diff.'!G124)/'Consumption Input Diff.'!G124,"NA")</f>
        <v>0</v>
      </c>
      <c r="H12" s="419">
        <f>IFERROR(('Consumption Input'!H13-'Consumption Input Diff.'!H124)/'Consumption Input Diff.'!H124,"NA")</f>
        <v>0</v>
      </c>
      <c r="I12" s="419">
        <f>IFERROR(('Consumption Input'!I13-'Consumption Input Diff.'!I124)/'Consumption Input Diff.'!I124,"NA")</f>
        <v>0</v>
      </c>
      <c r="J12" s="419">
        <f>IFERROR(('Consumption Input'!J13-'Consumption Input Diff.'!J124)/'Consumption Input Diff.'!J124,"NA")</f>
        <v>0</v>
      </c>
      <c r="K12" s="419">
        <f>IFERROR(('Consumption Input'!K13-'Consumption Input Diff.'!K124)/'Consumption Input Diff.'!K124,"NA")</f>
        <v>0</v>
      </c>
      <c r="L12" s="419">
        <f>IFERROR(('Consumption Input'!L13-'Consumption Input Diff.'!L124)/'Consumption Input Diff.'!L124,"NA")</f>
        <v>0</v>
      </c>
      <c r="M12" s="419">
        <f>IFERROR(('Consumption Input'!M13-'Consumption Input Diff.'!M124)/'Consumption Input Diff.'!M124,"NA")</f>
        <v>0</v>
      </c>
      <c r="N12" s="419">
        <f>IFERROR(('Consumption Input'!N13-'Consumption Input Diff.'!N124)/'Consumption Input Diff.'!N124,"NA")</f>
        <v>0</v>
      </c>
      <c r="O12" s="419">
        <f>IFERROR(('Consumption Input'!O13-'Consumption Input Diff.'!O124)/'Consumption Input Diff.'!O124,"NA")</f>
        <v>0</v>
      </c>
      <c r="P12" s="419">
        <f>IFERROR(('Consumption Input'!P13-'Consumption Input Diff.'!P124)/'Consumption Input Diff.'!P124,"NA")</f>
        <v>0</v>
      </c>
      <c r="Q12" s="419">
        <f>IFERROR(('Consumption Input'!Q13-'Consumption Input Diff.'!Q124)/'Consumption Input Diff.'!Q124,"NA")</f>
        <v>0</v>
      </c>
      <c r="R12" s="419">
        <f>IFERROR(('Consumption Input'!R13-'Consumption Input Diff.'!R124)/'Consumption Input Diff.'!R124,"NA")</f>
        <v>0</v>
      </c>
      <c r="S12" s="419">
        <f>IFERROR(('Consumption Input'!S13-'Consumption Input Diff.'!S124)/'Consumption Input Diff.'!S124,"NA")</f>
        <v>0</v>
      </c>
      <c r="T12" s="419">
        <f>IFERROR(('Consumption Input'!T13-'Consumption Input Diff.'!T124)/'Consumption Input Diff.'!T124,"NA")</f>
        <v>0</v>
      </c>
      <c r="U12" s="419">
        <f>IFERROR(('Consumption Input'!U13-'Consumption Input Diff.'!U124)/'Consumption Input Diff.'!U124,"NA")</f>
        <v>0</v>
      </c>
      <c r="V12" s="419">
        <f>IFERROR(('Consumption Input'!V13-'Consumption Input Diff.'!V124)/'Consumption Input Diff.'!V124,"NA")</f>
        <v>0</v>
      </c>
      <c r="W12" s="419">
        <f>IFERROR(('Consumption Input'!W13-'Consumption Input Diff.'!W124)/'Consumption Input Diff.'!W124,"NA")</f>
        <v>0</v>
      </c>
      <c r="X12" s="419">
        <f>IFERROR(('Consumption Input'!X13-'Consumption Input Diff.'!X124)/'Consumption Input Diff.'!X124,"NA")</f>
        <v>0</v>
      </c>
      <c r="Y12" s="419">
        <f>IFERROR(('Consumption Input'!Y13-'Consumption Input Diff.'!Y124)/'Consumption Input Diff.'!Y124,"NA")</f>
        <v>0</v>
      </c>
      <c r="Z12" s="419">
        <f>IFERROR(('Consumption Input'!Z13-'Consumption Input Diff.'!Z124)/'Consumption Input Diff.'!Z124,"NA")</f>
        <v>0</v>
      </c>
      <c r="AA12" s="419">
        <f>IFERROR(('Consumption Input'!AA13-'Consumption Input Diff.'!AA124)/'Consumption Input Diff.'!AA124,"NA")</f>
        <v>0</v>
      </c>
      <c r="AB12" s="419">
        <f>IFERROR(('Consumption Input'!AB13-'Consumption Input Diff.'!AB124)/'Consumption Input Diff.'!AB124,"NA")</f>
        <v>0</v>
      </c>
      <c r="AC12" s="419">
        <f>IFERROR(('Consumption Input'!AC13-'Consumption Input Diff.'!AC124)/'Consumption Input Diff.'!AC124,"NA")</f>
        <v>0</v>
      </c>
      <c r="AD12" s="419">
        <f>IFERROR(('Consumption Input'!AD13-'Consumption Input Diff.'!AD124)/'Consumption Input Diff.'!AD124,"NA")</f>
        <v>0</v>
      </c>
      <c r="AE12" s="419">
        <f>IFERROR(('Consumption Input'!AE13-'Consumption Input Diff.'!AE124)/'Consumption Input Diff.'!AE124,"NA")</f>
        <v>0</v>
      </c>
      <c r="AF12" s="419">
        <f>IFERROR(('Consumption Input'!AF13-'Consumption Input Diff.'!AF124)/'Consumption Input Diff.'!AF124,"NA")</f>
        <v>0</v>
      </c>
      <c r="AG12" s="419">
        <f>IFERROR(('Consumption Input'!AG13-'Consumption Input Diff.'!AG124)/'Consumption Input Diff.'!AG124,"NA")</f>
        <v>0</v>
      </c>
      <c r="AH12" s="419">
        <f>IFERROR(('Consumption Input'!AH13-'Consumption Input Diff.'!AH124)/'Consumption Input Diff.'!AH124,"NA")</f>
        <v>0</v>
      </c>
      <c r="AI12" s="419">
        <f>IFERROR(('Consumption Input'!AI13-'Consumption Input Diff.'!AI124)/'Consumption Input Diff.'!AI124,"NA")</f>
        <v>0</v>
      </c>
      <c r="AJ12" s="419">
        <f>IFERROR(('Consumption Input'!AJ13-'Consumption Input Diff.'!AJ124)/'Consumption Input Diff.'!AJ124,"NA")</f>
        <v>0</v>
      </c>
      <c r="AK12" s="5">
        <f>'Consumption Input'!V13-V124</f>
        <v>0</v>
      </c>
      <c r="AL12" s="5">
        <f>'Consumption Input'!W13-W124</f>
        <v>0</v>
      </c>
      <c r="AM12" s="5">
        <f>'Consumption Input'!X13-X124</f>
        <v>0</v>
      </c>
      <c r="AN12" s="5">
        <f>'Consumption Input'!Y13-Y124</f>
        <v>0</v>
      </c>
      <c r="AO12" s="5">
        <f>'Consumption Input'!Z13-Z124</f>
        <v>0</v>
      </c>
      <c r="AP12" s="5">
        <f>'Consumption Input'!AA13-AA124</f>
        <v>0</v>
      </c>
      <c r="AQ12" s="5">
        <f>'Consumption Input'!AB13-AB124</f>
        <v>0</v>
      </c>
      <c r="AR12" s="5">
        <f>'Consumption Input'!AC13-AC124</f>
        <v>0</v>
      </c>
      <c r="AS12" s="5">
        <f>'Consumption Input'!AD13-AD124</f>
        <v>0</v>
      </c>
      <c r="AT12" s="5">
        <f>'Consumption Input'!AE13-AE124</f>
        <v>0</v>
      </c>
      <c r="AU12" s="5">
        <f>'Consumption Input'!AF13-AF124</f>
        <v>0</v>
      </c>
      <c r="AV12" s="5">
        <f>'Consumption Input'!AG13-AG124</f>
        <v>0</v>
      </c>
      <c r="AW12" s="5">
        <f>'Consumption Input'!AH13-AH124</f>
        <v>0</v>
      </c>
      <c r="AX12" s="5">
        <f>'Consumption Input'!AI13-AI124</f>
        <v>0</v>
      </c>
      <c r="AY12" s="5">
        <f>'Consumption Input'!AJ13-AJ124</f>
        <v>0</v>
      </c>
      <c r="AZ12" s="21">
        <v>8</v>
      </c>
      <c r="BA12" s="6" t="s">
        <v>1891</v>
      </c>
      <c r="BB12" s="421">
        <f>IFERROR(('Non-Energy Use'!E12-'Consumption Input Diff.'!BB41)/'Consumption Input Diff.'!BB41,"NA")</f>
        <v>0</v>
      </c>
      <c r="BC12" s="421">
        <f>IFERROR(('Non-Energy Use'!F12-'Consumption Input Diff.'!BC41)/'Consumption Input Diff.'!BC41,"NA")</f>
        <v>0</v>
      </c>
      <c r="BD12" s="421">
        <f>IFERROR(('Non-Energy Use'!G12-'Consumption Input Diff.'!BD41)/'Consumption Input Diff.'!BD41,"NA")</f>
        <v>0</v>
      </c>
      <c r="BE12" s="421">
        <f>IFERROR(('Non-Energy Use'!H12-'Consumption Input Diff.'!BE41)/'Consumption Input Diff.'!BE41,"NA")</f>
        <v>0</v>
      </c>
      <c r="BF12" s="421">
        <f>IFERROR(('Non-Energy Use'!I12-'Consumption Input Diff.'!BF41)/'Consumption Input Diff.'!BF41,"NA")</f>
        <v>0</v>
      </c>
      <c r="BG12" s="421">
        <f>IFERROR(('Non-Energy Use'!J12-'Consumption Input Diff.'!BG41)/'Consumption Input Diff.'!BG41,"NA")</f>
        <v>0</v>
      </c>
      <c r="BH12" s="421">
        <f>IFERROR(('Non-Energy Use'!K12-'Consumption Input Diff.'!BH41)/'Consumption Input Diff.'!BH41,"NA")</f>
        <v>0</v>
      </c>
      <c r="BI12" s="421">
        <f>IFERROR(('Non-Energy Use'!L12-'Consumption Input Diff.'!BI41)/'Consumption Input Diff.'!BI41,"NA")</f>
        <v>0</v>
      </c>
      <c r="BJ12" s="421">
        <f>IFERROR(('Non-Energy Use'!M12-'Consumption Input Diff.'!BJ41)/'Consumption Input Diff.'!BJ41,"NA")</f>
        <v>0</v>
      </c>
      <c r="BK12" s="421">
        <f>IFERROR(('Non-Energy Use'!N12-'Consumption Input Diff.'!BK41)/'Consumption Input Diff.'!BK41,"NA")</f>
        <v>0</v>
      </c>
      <c r="BL12" s="421">
        <f>IFERROR(('Non-Energy Use'!O12-'Consumption Input Diff.'!BL41)/'Consumption Input Diff.'!BL41,"NA")</f>
        <v>0</v>
      </c>
      <c r="BM12" s="421">
        <f>IFERROR(('Non-Energy Use'!P12-'Consumption Input Diff.'!BM41)/'Consumption Input Diff.'!BM41,"NA")</f>
        <v>0</v>
      </c>
      <c r="BN12" s="421">
        <f>IFERROR(('Non-Energy Use'!Q12-'Consumption Input Diff.'!BN41)/'Consumption Input Diff.'!BN41,"NA")</f>
        <v>0</v>
      </c>
      <c r="BO12" s="421">
        <f>IFERROR(('Non-Energy Use'!R12-'Consumption Input Diff.'!BO41)/'Consumption Input Diff.'!BO41,"NA")</f>
        <v>0</v>
      </c>
      <c r="BP12" s="421">
        <f>IFERROR(('Non-Energy Use'!S12-'Consumption Input Diff.'!BP41)/'Consumption Input Diff.'!BP41,"NA")</f>
        <v>0</v>
      </c>
      <c r="BQ12" s="421">
        <f>IFERROR(('Non-Energy Use'!T12-'Consumption Input Diff.'!BQ41)/'Consumption Input Diff.'!BQ41,"NA")</f>
        <v>0</v>
      </c>
      <c r="BR12" s="421">
        <f>IFERROR(('Non-Energy Use'!U12-'Consumption Input Diff.'!BR41)/'Consumption Input Diff.'!BR41,"NA")</f>
        <v>0</v>
      </c>
      <c r="BS12" s="421">
        <f>IFERROR(('Non-Energy Use'!V12-'Consumption Input Diff.'!BS41)/'Consumption Input Diff.'!BS41,"NA")</f>
        <v>0</v>
      </c>
      <c r="BT12" s="421">
        <f>IFERROR(('Non-Energy Use'!W12-'Consumption Input Diff.'!BT41)/'Consumption Input Diff.'!BT41,"NA")</f>
        <v>0</v>
      </c>
      <c r="BU12" s="421">
        <f>IFERROR(('Non-Energy Use'!X12-'Consumption Input Diff.'!BU41)/'Consumption Input Diff.'!BU41,"NA")</f>
        <v>0</v>
      </c>
      <c r="BV12" s="421">
        <f>IFERROR(('Non-Energy Use'!Y12-'Consumption Input Diff.'!BV41)/'Consumption Input Diff.'!BV41,"NA")</f>
        <v>0</v>
      </c>
      <c r="BW12" s="421">
        <f>IFERROR(('Non-Energy Use'!Z12-'Consumption Input Diff.'!BW41)/'Consumption Input Diff.'!BW41,"NA")</f>
        <v>0</v>
      </c>
      <c r="BX12" s="421">
        <f>IFERROR(('Non-Energy Use'!AA12-'Consumption Input Diff.'!BX41)/'Consumption Input Diff.'!BX41,"NA")</f>
        <v>0</v>
      </c>
      <c r="BY12" s="421">
        <f>IFERROR(('Non-Energy Use'!AB12-'Consumption Input Diff.'!BY41)/'Consumption Input Diff.'!BY41,"NA")</f>
        <v>0</v>
      </c>
      <c r="BZ12" s="421">
        <f>IFERROR(('Non-Energy Use'!AC12-'Consumption Input Diff.'!BZ41)/'Consumption Input Diff.'!BZ41,"NA")</f>
        <v>0</v>
      </c>
      <c r="CA12" s="421">
        <f>IFERROR(('Non-Energy Use'!AD12-'Consumption Input Diff.'!CA41)/'Consumption Input Diff.'!CA41,"NA")</f>
        <v>0</v>
      </c>
      <c r="CB12" s="421">
        <f>IFERROR(('Non-Energy Use'!AE12-'Consumption Input Diff.'!CB41)/'Consumption Input Diff.'!CB41,"NA")</f>
        <v>0</v>
      </c>
      <c r="CC12" s="421">
        <f>IFERROR(('Non-Energy Use'!AF12-'Consumption Input Diff.'!CC41)/'Consumption Input Diff.'!CC41,"NA")</f>
        <v>0</v>
      </c>
      <c r="CD12" s="421">
        <f>IFERROR(('Non-Energy Use'!AG12-'Consumption Input Diff.'!CD41)/'Consumption Input Diff.'!CD41,"NA")</f>
        <v>0</v>
      </c>
      <c r="CE12" s="421">
        <f>IFERROR(('Non-Energy Use'!AH12-'Consumption Input Diff.'!CE41)/'Consumption Input Diff.'!CE41,"NA")</f>
        <v>0</v>
      </c>
      <c r="CF12" s="421">
        <f>IFERROR(('Non-Energy Use'!AI12-'Consumption Input Diff.'!CF41)/'Consumption Input Diff.'!CF41,"NA")</f>
        <v>0</v>
      </c>
      <c r="CG12" s="421">
        <f>IFERROR(('Non-Energy Use'!AJ12-'Consumption Input Diff.'!CG41)/'Consumption Input Diff.'!CG41,"NA")</f>
        <v>-3.9580846731728531E-3</v>
      </c>
    </row>
    <row r="13" spans="2:85">
      <c r="B13" s="456">
        <v>10</v>
      </c>
      <c r="D13" s="45" t="s">
        <v>1439</v>
      </c>
      <c r="E13" s="421">
        <f>IFERROR(('Consumption Input'!E14-'Consumption Input Diff.'!E125)/'Consumption Input Diff.'!E125,"NA")</f>
        <v>0</v>
      </c>
      <c r="F13" s="421">
        <f>IFERROR(('Consumption Input'!F14-'Consumption Input Diff.'!F125)/'Consumption Input Diff.'!F125,"NA")</f>
        <v>0</v>
      </c>
      <c r="G13" s="421">
        <f>IFERROR(('Consumption Input'!G14-'Consumption Input Diff.'!G125)/'Consumption Input Diff.'!G125,"NA")</f>
        <v>0</v>
      </c>
      <c r="H13" s="421">
        <f>IFERROR(('Consumption Input'!H14-'Consumption Input Diff.'!H125)/'Consumption Input Diff.'!H125,"NA")</f>
        <v>0</v>
      </c>
      <c r="I13" s="421">
        <f>IFERROR(('Consumption Input'!I14-'Consumption Input Diff.'!I125)/'Consumption Input Diff.'!I125,"NA")</f>
        <v>0</v>
      </c>
      <c r="J13" s="421">
        <f>IFERROR(('Consumption Input'!J14-'Consumption Input Diff.'!J125)/'Consumption Input Diff.'!J125,"NA")</f>
        <v>0</v>
      </c>
      <c r="K13" s="421">
        <f>IFERROR(('Consumption Input'!K14-'Consumption Input Diff.'!K125)/'Consumption Input Diff.'!K125,"NA")</f>
        <v>0</v>
      </c>
      <c r="L13" s="421">
        <f>IFERROR(('Consumption Input'!L14-'Consumption Input Diff.'!L125)/'Consumption Input Diff.'!L125,"NA")</f>
        <v>0</v>
      </c>
      <c r="M13" s="421">
        <f>IFERROR(('Consumption Input'!M14-'Consumption Input Diff.'!M125)/'Consumption Input Diff.'!M125,"NA")</f>
        <v>0</v>
      </c>
      <c r="N13" s="421">
        <f>IFERROR(('Consumption Input'!N14-'Consumption Input Diff.'!N125)/'Consumption Input Diff.'!N125,"NA")</f>
        <v>0</v>
      </c>
      <c r="O13" s="421">
        <f>IFERROR(('Consumption Input'!O14-'Consumption Input Diff.'!O125)/'Consumption Input Diff.'!O125,"NA")</f>
        <v>0</v>
      </c>
      <c r="P13" s="421">
        <f>IFERROR(('Consumption Input'!P14-'Consumption Input Diff.'!P125)/'Consumption Input Diff.'!P125,"NA")</f>
        <v>0</v>
      </c>
      <c r="Q13" s="421">
        <f>IFERROR(('Consumption Input'!Q14-'Consumption Input Diff.'!Q125)/'Consumption Input Diff.'!Q125,"NA")</f>
        <v>0</v>
      </c>
      <c r="R13" s="421">
        <f>IFERROR(('Consumption Input'!R14-'Consumption Input Diff.'!R125)/'Consumption Input Diff.'!R125,"NA")</f>
        <v>0</v>
      </c>
      <c r="S13" s="421">
        <f>IFERROR(('Consumption Input'!S14-'Consumption Input Diff.'!S125)/'Consumption Input Diff.'!S125,"NA")</f>
        <v>0</v>
      </c>
      <c r="T13" s="421">
        <f>IFERROR(('Consumption Input'!T14-'Consumption Input Diff.'!T125)/'Consumption Input Diff.'!T125,"NA")</f>
        <v>0</v>
      </c>
      <c r="U13" s="421">
        <f>IFERROR(('Consumption Input'!U14-'Consumption Input Diff.'!U125)/'Consumption Input Diff.'!U125,"NA")</f>
        <v>0</v>
      </c>
      <c r="V13" s="421">
        <f>IFERROR(('Consumption Input'!V14-'Consumption Input Diff.'!V125)/'Consumption Input Diff.'!V125,"NA")</f>
        <v>0</v>
      </c>
      <c r="W13" s="421">
        <f>IFERROR(('Consumption Input'!W14-'Consumption Input Diff.'!W125)/'Consumption Input Diff.'!W125,"NA")</f>
        <v>0</v>
      </c>
      <c r="X13" s="421">
        <f>IFERROR(('Consumption Input'!X14-'Consumption Input Diff.'!X125)/'Consumption Input Diff.'!X125,"NA")</f>
        <v>0</v>
      </c>
      <c r="Y13" s="421">
        <f>IFERROR(('Consumption Input'!Y14-'Consumption Input Diff.'!Y125)/'Consumption Input Diff.'!Y125,"NA")</f>
        <v>0</v>
      </c>
      <c r="Z13" s="421">
        <f>IFERROR(('Consumption Input'!Z14-'Consumption Input Diff.'!Z125)/'Consumption Input Diff.'!Z125,"NA")</f>
        <v>0</v>
      </c>
      <c r="AA13" s="421">
        <f>IFERROR(('Consumption Input'!AA14-'Consumption Input Diff.'!AA125)/'Consumption Input Diff.'!AA125,"NA")</f>
        <v>0</v>
      </c>
      <c r="AB13" s="421">
        <f>IFERROR(('Consumption Input'!AB14-'Consumption Input Diff.'!AB125)/'Consumption Input Diff.'!AB125,"NA")</f>
        <v>0</v>
      </c>
      <c r="AC13" s="421">
        <f>IFERROR(('Consumption Input'!AC14-'Consumption Input Diff.'!AC125)/'Consumption Input Diff.'!AC125,"NA")</f>
        <v>0</v>
      </c>
      <c r="AD13" s="421">
        <f>IFERROR(('Consumption Input'!AD14-'Consumption Input Diff.'!AD125)/'Consumption Input Diff.'!AD125,"NA")</f>
        <v>0</v>
      </c>
      <c r="AE13" s="421">
        <f>IFERROR(('Consumption Input'!AE14-'Consumption Input Diff.'!AE125)/'Consumption Input Diff.'!AE125,"NA")</f>
        <v>0</v>
      </c>
      <c r="AF13" s="421">
        <f>IFERROR(('Consumption Input'!AF14-'Consumption Input Diff.'!AF125)/'Consumption Input Diff.'!AF125,"NA")</f>
        <v>0</v>
      </c>
      <c r="AG13" s="421">
        <f>IFERROR(('Consumption Input'!AG14-'Consumption Input Diff.'!AG125)/'Consumption Input Diff.'!AG125,"NA")</f>
        <v>0</v>
      </c>
      <c r="AH13" s="421">
        <f>IFERROR(('Consumption Input'!AH14-'Consumption Input Diff.'!AH125)/'Consumption Input Diff.'!AH125,"NA")</f>
        <v>0</v>
      </c>
      <c r="AI13" s="421">
        <f>IFERROR(('Consumption Input'!AI14-'Consumption Input Diff.'!AI125)/'Consumption Input Diff.'!AI125,"NA")</f>
        <v>-2.2963684755411564E-3</v>
      </c>
      <c r="AJ13" s="421">
        <f>IFERROR(('Consumption Input'!AJ14-'Consumption Input Diff.'!AJ125)/'Consumption Input Diff.'!AJ125,"NA")</f>
        <v>-2.766894613462521E-3</v>
      </c>
      <c r="AK13" s="5">
        <f>'Consumption Input'!V14-V125</f>
        <v>0</v>
      </c>
      <c r="AL13" s="5">
        <f>'Consumption Input'!W14-W125</f>
        <v>0</v>
      </c>
      <c r="AM13" s="5">
        <f>'Consumption Input'!X14-X125</f>
        <v>0</v>
      </c>
      <c r="AN13" s="5">
        <f>'Consumption Input'!Y14-Y125</f>
        <v>0</v>
      </c>
      <c r="AO13" s="5">
        <f>'Consumption Input'!Z14-Z125</f>
        <v>0</v>
      </c>
      <c r="AP13" s="5">
        <f>'Consumption Input'!AA14-AA125</f>
        <v>0</v>
      </c>
      <c r="AQ13" s="5">
        <f>'Consumption Input'!AB14-AB125</f>
        <v>0</v>
      </c>
      <c r="AR13" s="5">
        <f>'Consumption Input'!AC14-AC125</f>
        <v>0</v>
      </c>
      <c r="AS13" s="5">
        <f>'Consumption Input'!AD14-AD125</f>
        <v>0</v>
      </c>
      <c r="AT13" s="5">
        <f>'Consumption Input'!AE14-AE125</f>
        <v>0</v>
      </c>
      <c r="AU13" s="5">
        <f>'Consumption Input'!AF14-AF125</f>
        <v>0</v>
      </c>
      <c r="AV13" s="5">
        <f>'Consumption Input'!AG14-AG125</f>
        <v>0</v>
      </c>
      <c r="AW13" s="5">
        <f>'Consumption Input'!AH14-AH125</f>
        <v>0</v>
      </c>
      <c r="AX13" s="5">
        <f>'Consumption Input'!AI14-AI125</f>
        <v>-7.5459999999998217</v>
      </c>
      <c r="AY13" s="5">
        <f>'Consumption Input'!AJ14-AJ125</f>
        <v>-9.4589999999998327</v>
      </c>
      <c r="AZ13" s="21">
        <v>9</v>
      </c>
      <c r="BA13" s="6" t="s">
        <v>1617</v>
      </c>
      <c r="BB13" s="421">
        <f>IFERROR(('Non-Energy Use'!E13-'Consumption Input Diff.'!BB42)/'Consumption Input Diff.'!BB42,"NA")</f>
        <v>-1</v>
      </c>
      <c r="BC13" s="421">
        <f>IFERROR(('Non-Energy Use'!F13-'Consumption Input Diff.'!BC42)/'Consumption Input Diff.'!BC42,"NA")</f>
        <v>-1</v>
      </c>
      <c r="BD13" s="421">
        <f>IFERROR(('Non-Energy Use'!G13-'Consumption Input Diff.'!BD42)/'Consumption Input Diff.'!BD42,"NA")</f>
        <v>-1</v>
      </c>
      <c r="BE13" s="421">
        <f>IFERROR(('Non-Energy Use'!H13-'Consumption Input Diff.'!BE42)/'Consumption Input Diff.'!BE42,"NA")</f>
        <v>-1</v>
      </c>
      <c r="BF13" s="421">
        <f>IFERROR(('Non-Energy Use'!I13-'Consumption Input Diff.'!BF42)/'Consumption Input Diff.'!BF42,"NA")</f>
        <v>-1</v>
      </c>
      <c r="BG13" s="421">
        <f>IFERROR(('Non-Energy Use'!J13-'Consumption Input Diff.'!BG42)/'Consumption Input Diff.'!BG42,"NA")</f>
        <v>-1</v>
      </c>
      <c r="BH13" s="421">
        <f>IFERROR(('Non-Energy Use'!K13-'Consumption Input Diff.'!BH42)/'Consumption Input Diff.'!BH42,"NA")</f>
        <v>-1</v>
      </c>
      <c r="BI13" s="421">
        <f>IFERROR(('Non-Energy Use'!L13-'Consumption Input Diff.'!BI42)/'Consumption Input Diff.'!BI42,"NA")</f>
        <v>-1</v>
      </c>
      <c r="BJ13" s="421">
        <f>IFERROR(('Non-Energy Use'!M13-'Consumption Input Diff.'!BJ42)/'Consumption Input Diff.'!BJ42,"NA")</f>
        <v>-1</v>
      </c>
      <c r="BK13" s="421">
        <f>IFERROR(('Non-Energy Use'!N13-'Consumption Input Diff.'!BK42)/'Consumption Input Diff.'!BK42,"NA")</f>
        <v>-1</v>
      </c>
      <c r="BL13" s="421">
        <f>IFERROR(('Non-Energy Use'!O13-'Consumption Input Diff.'!BL42)/'Consumption Input Diff.'!BL42,"NA")</f>
        <v>-1</v>
      </c>
      <c r="BM13" s="421">
        <f>IFERROR(('Non-Energy Use'!P13-'Consumption Input Diff.'!BM42)/'Consumption Input Diff.'!BM42,"NA")</f>
        <v>-1</v>
      </c>
      <c r="BN13" s="421">
        <f>IFERROR(('Non-Energy Use'!Q13-'Consumption Input Diff.'!BN42)/'Consumption Input Diff.'!BN42,"NA")</f>
        <v>-1</v>
      </c>
      <c r="BO13" s="421">
        <f>IFERROR(('Non-Energy Use'!R13-'Consumption Input Diff.'!BO42)/'Consumption Input Diff.'!BO42,"NA")</f>
        <v>-1</v>
      </c>
      <c r="BP13" s="421">
        <f>IFERROR(('Non-Energy Use'!S13-'Consumption Input Diff.'!BP42)/'Consumption Input Diff.'!BP42,"NA")</f>
        <v>-1</v>
      </c>
      <c r="BQ13" s="421">
        <f>IFERROR(('Non-Energy Use'!T13-'Consumption Input Diff.'!BQ42)/'Consumption Input Diff.'!BQ42,"NA")</f>
        <v>-1</v>
      </c>
      <c r="BR13" s="421">
        <f>IFERROR(('Non-Energy Use'!U13-'Consumption Input Diff.'!BR42)/'Consumption Input Diff.'!BR42,"NA")</f>
        <v>-1</v>
      </c>
      <c r="BS13" s="421">
        <f>IFERROR(('Non-Energy Use'!V13-'Consumption Input Diff.'!BS42)/'Consumption Input Diff.'!BS42,"NA")</f>
        <v>-1</v>
      </c>
      <c r="BT13" s="421">
        <f>IFERROR(('Non-Energy Use'!W13-'Consumption Input Diff.'!BT42)/'Consumption Input Diff.'!BT42,"NA")</f>
        <v>-1</v>
      </c>
      <c r="BU13" s="421">
        <f>IFERROR(('Non-Energy Use'!X13-'Consumption Input Diff.'!BU42)/'Consumption Input Diff.'!BU42,"NA")</f>
        <v>-1</v>
      </c>
      <c r="BV13" s="421">
        <f>IFERROR(('Non-Energy Use'!Y13-'Consumption Input Diff.'!BV42)/'Consumption Input Diff.'!BV42,"NA")</f>
        <v>-1</v>
      </c>
      <c r="BW13" s="421">
        <f>IFERROR(('Non-Energy Use'!Z13-'Consumption Input Diff.'!BW42)/'Consumption Input Diff.'!BW42,"NA")</f>
        <v>-1</v>
      </c>
      <c r="BX13" s="421">
        <f>IFERROR(('Non-Energy Use'!AA13-'Consumption Input Diff.'!BX42)/'Consumption Input Diff.'!BX42,"NA")</f>
        <v>-1</v>
      </c>
      <c r="BY13" s="421">
        <f>IFERROR(('Non-Energy Use'!AB13-'Consumption Input Diff.'!BY42)/'Consumption Input Diff.'!BY42,"NA")</f>
        <v>-1</v>
      </c>
      <c r="BZ13" s="421">
        <f>IFERROR(('Non-Energy Use'!AC13-'Consumption Input Diff.'!BZ42)/'Consumption Input Diff.'!BZ42,"NA")</f>
        <v>-1</v>
      </c>
      <c r="CA13" s="421">
        <f>IFERROR(('Non-Energy Use'!AD13-'Consumption Input Diff.'!CA42)/'Consumption Input Diff.'!CA42,"NA")</f>
        <v>-1</v>
      </c>
      <c r="CB13" s="421">
        <f>IFERROR(('Non-Energy Use'!AE13-'Consumption Input Diff.'!CB42)/'Consumption Input Diff.'!CB42,"NA")</f>
        <v>-1</v>
      </c>
      <c r="CC13" s="421">
        <f>IFERROR(('Non-Energy Use'!AF13-'Consumption Input Diff.'!CC42)/'Consumption Input Diff.'!CC42,"NA")</f>
        <v>-1</v>
      </c>
      <c r="CD13" s="421">
        <f>IFERROR(('Non-Energy Use'!AG13-'Consumption Input Diff.'!CD42)/'Consumption Input Diff.'!CD42,"NA")</f>
        <v>-1</v>
      </c>
      <c r="CE13" s="421">
        <f>IFERROR(('Non-Energy Use'!AH13-'Consumption Input Diff.'!CE42)/'Consumption Input Diff.'!CE42,"NA")</f>
        <v>-1</v>
      </c>
      <c r="CF13" s="421">
        <f>IFERROR(('Non-Energy Use'!AI13-'Consumption Input Diff.'!CF42)/'Consumption Input Diff.'!CF42,"NA")</f>
        <v>-1</v>
      </c>
      <c r="CG13" s="421">
        <f>IFERROR(('Non-Energy Use'!AJ13-'Consumption Input Diff.'!CG42)/'Consumption Input Diff.'!CG42,"NA")</f>
        <v>-1</v>
      </c>
    </row>
    <row r="14" spans="2:85">
      <c r="B14" s="456">
        <v>11</v>
      </c>
      <c r="D14" s="45" t="s">
        <v>1598</v>
      </c>
      <c r="E14" s="421">
        <f>IFERROR(('Consumption Input'!E15-'Consumption Input Diff.'!E126)/'Consumption Input Diff.'!E126,"NA")</f>
        <v>-8.5349796739958316E-8</v>
      </c>
      <c r="F14" s="421">
        <f>IFERROR(('Consumption Input'!F15-'Consumption Input Diff.'!F126)/'Consumption Input Diff.'!F126,"NA")</f>
        <v>3.6605069962841398E-7</v>
      </c>
      <c r="G14" s="421">
        <f>IFERROR(('Consumption Input'!G15-'Consumption Input Diff.'!G126)/'Consumption Input Diff.'!G126,"NA")</f>
        <v>-2.1507417780350344E-7</v>
      </c>
      <c r="H14" s="421">
        <f>IFERROR(('Consumption Input'!H15-'Consumption Input Diff.'!H126)/'Consumption Input Diff.'!H126,"NA")</f>
        <v>5.8300385998229321E-8</v>
      </c>
      <c r="I14" s="421">
        <f>IFERROR(('Consumption Input'!I15-'Consumption Input Diff.'!I126)/'Consumption Input Diff.'!I126,"NA")</f>
        <v>-2.7897682725939998E-7</v>
      </c>
      <c r="J14" s="421">
        <f>IFERROR(('Consumption Input'!J15-'Consumption Input Diff.'!J126)/'Consumption Input Diff.'!J126,"NA")</f>
        <v>9.3399908335851409E-9</v>
      </c>
      <c r="K14" s="421">
        <f>IFERROR(('Consumption Input'!K15-'Consumption Input Diff.'!K126)/'Consumption Input Diff.'!K126,"NA")</f>
        <v>1.1577276314290037E-8</v>
      </c>
      <c r="L14" s="421">
        <f>IFERROR(('Consumption Input'!L15-'Consumption Input Diff.'!L126)/'Consumption Input Diff.'!L126,"NA")</f>
        <v>-3.1578795299808495E-7</v>
      </c>
      <c r="M14" s="421">
        <f>IFERROR(('Consumption Input'!M15-'Consumption Input Diff.'!M126)/'Consumption Input Diff.'!M126,"NA")</f>
        <v>-1.0735043917491914E-7</v>
      </c>
      <c r="N14" s="421">
        <f>IFERROR(('Consumption Input'!N15-'Consumption Input Diff.'!N126)/'Consumption Input Diff.'!N126,"NA")</f>
        <v>3.3414987281328104E-7</v>
      </c>
      <c r="O14" s="421">
        <f>IFERROR(('Consumption Input'!O15-'Consumption Input Diff.'!O126)/'Consumption Input Diff.'!O126,"NA")</f>
        <v>3.2130249307363819E-8</v>
      </c>
      <c r="P14" s="421">
        <f>IFERROR(('Consumption Input'!P15-'Consumption Input Diff.'!P126)/'Consumption Input Diff.'!P126,"NA")</f>
        <v>-5.2190629262738992E-4</v>
      </c>
      <c r="Q14" s="421">
        <f>IFERROR(('Consumption Input'!Q15-'Consumption Input Diff.'!Q126)/'Consumption Input Diff.'!Q126,"NA")</f>
        <v>-9.4256262474478692E-4</v>
      </c>
      <c r="R14" s="421">
        <f>IFERROR(('Consumption Input'!R15-'Consumption Input Diff.'!R126)/'Consumption Input Diff.'!R126,"NA")</f>
        <v>-7.287018675346935E-4</v>
      </c>
      <c r="S14" s="421">
        <f>IFERROR(('Consumption Input'!S15-'Consumption Input Diff.'!S126)/'Consumption Input Diff.'!S126,"NA")</f>
        <v>-1.3868101309753892E-3</v>
      </c>
      <c r="T14" s="421">
        <f>IFERROR(('Consumption Input'!T15-'Consumption Input Diff.'!T126)/'Consumption Input Diff.'!T126,"NA")</f>
        <v>-5.0173040026613653E-3</v>
      </c>
      <c r="U14" s="421">
        <f>IFERROR(('Consumption Input'!U15-'Consumption Input Diff.'!U126)/'Consumption Input Diff.'!U126,"NA")</f>
        <v>-1.4606380574652425E-2</v>
      </c>
      <c r="V14" s="421">
        <f>IFERROR(('Consumption Input'!V15-'Consumption Input Diff.'!V126)/'Consumption Input Diff.'!V126,"NA")</f>
        <v>-2.0342531153114005E-2</v>
      </c>
      <c r="W14" s="421">
        <f>IFERROR(('Consumption Input'!W15-'Consumption Input Diff.'!W126)/'Consumption Input Diff.'!W126,"NA")</f>
        <v>-1.8941364655530531E-2</v>
      </c>
      <c r="X14" s="421">
        <f>IFERROR(('Consumption Input'!X15-'Consumption Input Diff.'!X126)/'Consumption Input Diff.'!X126,"NA")</f>
        <v>-1.2130071531391453E-2</v>
      </c>
      <c r="Y14" s="421">
        <f>IFERROR(('Consumption Input'!Y15-'Consumption Input Diff.'!Y126)/'Consumption Input Diff.'!Y126,"NA")</f>
        <v>-6.3227748453647406E-3</v>
      </c>
      <c r="Z14" s="421">
        <f>IFERROR(('Consumption Input'!Z15-'Consumption Input Diff.'!Z126)/'Consumption Input Diff.'!Z126,"NA")</f>
        <v>4.6551839068809265E-3</v>
      </c>
      <c r="AA14" s="421">
        <f>IFERROR(('Consumption Input'!AA15-'Consumption Input Diff.'!AA126)/'Consumption Input Diff.'!AA126,"NA")</f>
        <v>5.1319194235911313E-3</v>
      </c>
      <c r="AB14" s="421">
        <f>IFERROR(('Consumption Input'!AB15-'Consumption Input Diff.'!AB126)/'Consumption Input Diff.'!AB126,"NA")</f>
        <v>4.6295308279665137E-3</v>
      </c>
      <c r="AC14" s="421">
        <f>IFERROR(('Consumption Input'!AC15-'Consumption Input Diff.'!AC126)/'Consumption Input Diff.'!AC126,"NA")</f>
        <v>5.1950433946291678E-3</v>
      </c>
      <c r="AD14" s="421">
        <f>IFERROR(('Consumption Input'!AD15-'Consumption Input Diff.'!AD126)/'Consumption Input Diff.'!AD126,"NA")</f>
        <v>8.5833178926003062E-3</v>
      </c>
      <c r="AE14" s="421">
        <f>IFERROR(('Consumption Input'!AE15-'Consumption Input Diff.'!AE126)/'Consumption Input Diff.'!AE126,"NA")</f>
        <v>1.5846463240674184E-2</v>
      </c>
      <c r="AF14" s="421">
        <f>IFERROR(('Consumption Input'!AF15-'Consumption Input Diff.'!AF126)/'Consumption Input Diff.'!AF126,"NA")</f>
        <v>2.2920002187491736E-2</v>
      </c>
      <c r="AG14" s="421">
        <f>IFERROR(('Consumption Input'!AG15-'Consumption Input Diff.'!AG126)/'Consumption Input Diff.'!AG126,"NA")</f>
        <v>2.2582399908674774E-2</v>
      </c>
      <c r="AH14" s="421">
        <f>IFERROR(('Consumption Input'!AH15-'Consumption Input Diff.'!AH126)/'Consumption Input Diff.'!AH126,"NA")</f>
        <v>5.0618179082082715E-2</v>
      </c>
      <c r="AI14" s="421">
        <f>IFERROR(('Consumption Input'!AI15-'Consumption Input Diff.'!AI126)/'Consumption Input Diff.'!AI126,"NA")</f>
        <v>6.5003770775541175E-2</v>
      </c>
      <c r="AJ14" s="421">
        <f>IFERROR(('Consumption Input'!AJ15-'Consumption Input Diff.'!AJ126)/'Consumption Input Diff.'!AJ126,"NA")</f>
        <v>0.26523975851267129</v>
      </c>
      <c r="AK14" s="5">
        <f>'Consumption Input'!V15-V126</f>
        <v>-7.2957064626172041</v>
      </c>
      <c r="AL14" s="5">
        <f>'Consumption Input'!W15-W126</f>
        <v>-5.9913528374879093</v>
      </c>
      <c r="AM14" s="5">
        <f>'Consumption Input'!X15-X126</f>
        <v>-4.5394807334411666</v>
      </c>
      <c r="AN14" s="5">
        <f>'Consumption Input'!Y15-Y126</f>
        <v>-2.3978465026185631</v>
      </c>
      <c r="AO14" s="5">
        <f>'Consumption Input'!Z15-Z126</f>
        <v>1.822505299298939</v>
      </c>
      <c r="AP14" s="5">
        <f>'Consumption Input'!AA15-AA126</f>
        <v>1.6224366149259026</v>
      </c>
      <c r="AQ14" s="5">
        <f>'Consumption Input'!AB15-AB126</f>
        <v>1.4405510062110807</v>
      </c>
      <c r="AR14" s="5">
        <f>'Consumption Input'!AC15-AC126</f>
        <v>1.737455311847782</v>
      </c>
      <c r="AS14" s="5">
        <f>'Consumption Input'!AD15-AD126</f>
        <v>2.708052664972854</v>
      </c>
      <c r="AT14" s="5">
        <f>'Consumption Input'!AE15-AE126</f>
        <v>4.2289470380135299</v>
      </c>
      <c r="AU14" s="5">
        <f>'Consumption Input'!AF15-AF126</f>
        <v>5.5943434655127646</v>
      </c>
      <c r="AV14" s="5">
        <f>'Consumption Input'!AG15-AG126</f>
        <v>6.1943167308822353</v>
      </c>
      <c r="AW14" s="5">
        <f>'Consumption Input'!AH15-AH126</f>
        <v>14.110015144337751</v>
      </c>
      <c r="AX14" s="5">
        <f>'Consumption Input'!AI15-AI126</f>
        <v>14.777723043553436</v>
      </c>
      <c r="AY14" s="5">
        <f>'Consumption Input'!AJ15-AJ126</f>
        <v>55.373091159540564</v>
      </c>
      <c r="AZ14" s="21">
        <v>10</v>
      </c>
      <c r="BA14" s="6" t="s">
        <v>1892</v>
      </c>
      <c r="BB14" s="421">
        <f>IFERROR(('Non-Energy Use'!E14-'Consumption Input Diff.'!BB43)/'Consumption Input Diff.'!BB43,"NA")</f>
        <v>0</v>
      </c>
      <c r="BC14" s="421">
        <f>IFERROR(('Non-Energy Use'!F14-'Consumption Input Diff.'!BC43)/'Consumption Input Diff.'!BC43,"NA")</f>
        <v>0</v>
      </c>
      <c r="BD14" s="421">
        <f>IFERROR(('Non-Energy Use'!G14-'Consumption Input Diff.'!BD43)/'Consumption Input Diff.'!BD43,"NA")</f>
        <v>0</v>
      </c>
      <c r="BE14" s="421">
        <f>IFERROR(('Non-Energy Use'!H14-'Consumption Input Diff.'!BE43)/'Consumption Input Diff.'!BE43,"NA")</f>
        <v>0</v>
      </c>
      <c r="BF14" s="421">
        <f>IFERROR(('Non-Energy Use'!I14-'Consumption Input Diff.'!BF43)/'Consumption Input Diff.'!BF43,"NA")</f>
        <v>0</v>
      </c>
      <c r="BG14" s="421">
        <f>IFERROR(('Non-Energy Use'!J14-'Consumption Input Diff.'!BG43)/'Consumption Input Diff.'!BG43,"NA")</f>
        <v>0</v>
      </c>
      <c r="BH14" s="421">
        <f>IFERROR(('Non-Energy Use'!K14-'Consumption Input Diff.'!BH43)/'Consumption Input Diff.'!BH43,"NA")</f>
        <v>0</v>
      </c>
      <c r="BI14" s="421">
        <f>IFERROR(('Non-Energy Use'!L14-'Consumption Input Diff.'!BI43)/'Consumption Input Diff.'!BI43,"NA")</f>
        <v>0</v>
      </c>
      <c r="BJ14" s="421">
        <f>IFERROR(('Non-Energy Use'!M14-'Consumption Input Diff.'!BJ43)/'Consumption Input Diff.'!BJ43,"NA")</f>
        <v>0</v>
      </c>
      <c r="BK14" s="421">
        <f>IFERROR(('Non-Energy Use'!N14-'Consumption Input Diff.'!BK43)/'Consumption Input Diff.'!BK43,"NA")</f>
        <v>0</v>
      </c>
      <c r="BL14" s="421">
        <f>IFERROR(('Non-Energy Use'!O14-'Consumption Input Diff.'!BL43)/'Consumption Input Diff.'!BL43,"NA")</f>
        <v>0</v>
      </c>
      <c r="BM14" s="421">
        <f>IFERROR(('Non-Energy Use'!P14-'Consumption Input Diff.'!BM43)/'Consumption Input Diff.'!BM43,"NA")</f>
        <v>0</v>
      </c>
      <c r="BN14" s="421">
        <f>IFERROR(('Non-Energy Use'!Q14-'Consumption Input Diff.'!BN43)/'Consumption Input Diff.'!BN43,"NA")</f>
        <v>0</v>
      </c>
      <c r="BO14" s="421">
        <f>IFERROR(('Non-Energy Use'!R14-'Consumption Input Diff.'!BO43)/'Consumption Input Diff.'!BO43,"NA")</f>
        <v>0</v>
      </c>
      <c r="BP14" s="421">
        <f>IFERROR(('Non-Energy Use'!S14-'Consumption Input Diff.'!BP43)/'Consumption Input Diff.'!BP43,"NA")</f>
        <v>0</v>
      </c>
      <c r="BQ14" s="421">
        <f>IFERROR(('Non-Energy Use'!T14-'Consumption Input Diff.'!BQ43)/'Consumption Input Diff.'!BQ43,"NA")</f>
        <v>0</v>
      </c>
      <c r="BR14" s="421">
        <f>IFERROR(('Non-Energy Use'!U14-'Consumption Input Diff.'!BR43)/'Consumption Input Diff.'!BR43,"NA")</f>
        <v>0</v>
      </c>
      <c r="BS14" s="421">
        <f>IFERROR(('Non-Energy Use'!V14-'Consumption Input Diff.'!BS43)/'Consumption Input Diff.'!BS43,"NA")</f>
        <v>0</v>
      </c>
      <c r="BT14" s="421">
        <f>IFERROR(('Non-Energy Use'!W14-'Consumption Input Diff.'!BT43)/'Consumption Input Diff.'!BT43,"NA")</f>
        <v>0</v>
      </c>
      <c r="BU14" s="421">
        <f>IFERROR(('Non-Energy Use'!X14-'Consumption Input Diff.'!BU43)/'Consumption Input Diff.'!BU43,"NA")</f>
        <v>0</v>
      </c>
      <c r="BV14" s="421">
        <f>IFERROR(('Non-Energy Use'!Y14-'Consumption Input Diff.'!BV43)/'Consumption Input Diff.'!BV43,"NA")</f>
        <v>0</v>
      </c>
      <c r="BW14" s="421">
        <f>IFERROR(('Non-Energy Use'!Z14-'Consumption Input Diff.'!BW43)/'Consumption Input Diff.'!BW43,"NA")</f>
        <v>0</v>
      </c>
      <c r="BX14" s="421">
        <f>IFERROR(('Non-Energy Use'!AA14-'Consumption Input Diff.'!BX43)/'Consumption Input Diff.'!BX43,"NA")</f>
        <v>0</v>
      </c>
      <c r="BY14" s="421">
        <f>IFERROR(('Non-Energy Use'!AB14-'Consumption Input Diff.'!BY43)/'Consumption Input Diff.'!BY43,"NA")</f>
        <v>0</v>
      </c>
      <c r="BZ14" s="421">
        <f>IFERROR(('Non-Energy Use'!AC14-'Consumption Input Diff.'!BZ43)/'Consumption Input Diff.'!BZ43,"NA")</f>
        <v>0</v>
      </c>
      <c r="CA14" s="421">
        <f>IFERROR(('Non-Energy Use'!AD14-'Consumption Input Diff.'!CA43)/'Consumption Input Diff.'!CA43,"NA")</f>
        <v>0</v>
      </c>
      <c r="CB14" s="421">
        <f>IFERROR(('Non-Energy Use'!AE14-'Consumption Input Diff.'!CB43)/'Consumption Input Diff.'!CB43,"NA")</f>
        <v>0</v>
      </c>
      <c r="CC14" s="421">
        <f>IFERROR(('Non-Energy Use'!AF14-'Consumption Input Diff.'!CC43)/'Consumption Input Diff.'!CC43,"NA")</f>
        <v>0</v>
      </c>
      <c r="CD14" s="421">
        <f>IFERROR(('Non-Energy Use'!AG14-'Consumption Input Diff.'!CD43)/'Consumption Input Diff.'!CD43,"NA")</f>
        <v>0</v>
      </c>
      <c r="CE14" s="421">
        <f>IFERROR(('Non-Energy Use'!AH14-'Consumption Input Diff.'!CE43)/'Consumption Input Diff.'!CE43,"NA")</f>
        <v>0</v>
      </c>
      <c r="CF14" s="421">
        <f>IFERROR(('Non-Energy Use'!AI14-'Consumption Input Diff.'!CF43)/'Consumption Input Diff.'!CF43,"NA")</f>
        <v>0</v>
      </c>
      <c r="CG14" s="421">
        <f>IFERROR(('Non-Energy Use'!AJ14-'Consumption Input Diff.'!CG43)/'Consumption Input Diff.'!CG43,"NA")</f>
        <v>0</v>
      </c>
    </row>
    <row r="15" spans="2:85">
      <c r="B15" s="456">
        <v>12</v>
      </c>
      <c r="D15" s="45" t="s">
        <v>1599</v>
      </c>
      <c r="E15" s="421">
        <f>IFERROR(('Consumption Input'!E16-'Consumption Input Diff.'!E127)/'Consumption Input Diff.'!E127,"NA")</f>
        <v>0</v>
      </c>
      <c r="F15" s="421">
        <f>IFERROR(('Consumption Input'!F16-'Consumption Input Diff.'!F127)/'Consumption Input Diff.'!F127,"NA")</f>
        <v>0</v>
      </c>
      <c r="G15" s="421">
        <f>IFERROR(('Consumption Input'!G16-'Consumption Input Diff.'!G127)/'Consumption Input Diff.'!G127,"NA")</f>
        <v>0</v>
      </c>
      <c r="H15" s="421">
        <f>IFERROR(('Consumption Input'!H16-'Consumption Input Diff.'!H127)/'Consumption Input Diff.'!H127,"NA")</f>
        <v>0</v>
      </c>
      <c r="I15" s="421">
        <f>IFERROR(('Consumption Input'!I16-'Consumption Input Diff.'!I127)/'Consumption Input Diff.'!I127,"NA")</f>
        <v>0</v>
      </c>
      <c r="J15" s="421">
        <f>IFERROR(('Consumption Input'!J16-'Consumption Input Diff.'!J127)/'Consumption Input Diff.'!J127,"NA")</f>
        <v>0</v>
      </c>
      <c r="K15" s="421">
        <f>IFERROR(('Consumption Input'!K16-'Consumption Input Diff.'!K127)/'Consumption Input Diff.'!K127,"NA")</f>
        <v>0</v>
      </c>
      <c r="L15" s="421">
        <f>IFERROR(('Consumption Input'!L16-'Consumption Input Diff.'!L127)/'Consumption Input Diff.'!L127,"NA")</f>
        <v>0</v>
      </c>
      <c r="M15" s="421">
        <f>IFERROR(('Consumption Input'!M16-'Consumption Input Diff.'!M127)/'Consumption Input Diff.'!M127,"NA")</f>
        <v>0</v>
      </c>
      <c r="N15" s="421">
        <f>IFERROR(('Consumption Input'!N16-'Consumption Input Diff.'!N127)/'Consumption Input Diff.'!N127,"NA")</f>
        <v>0</v>
      </c>
      <c r="O15" s="421">
        <f>IFERROR(('Consumption Input'!O16-'Consumption Input Diff.'!O127)/'Consumption Input Diff.'!O127,"NA")</f>
        <v>0</v>
      </c>
      <c r="P15" s="421">
        <f>IFERROR(('Consumption Input'!P16-'Consumption Input Diff.'!P127)/'Consumption Input Diff.'!P127,"NA")</f>
        <v>0</v>
      </c>
      <c r="Q15" s="421">
        <f>IFERROR(('Consumption Input'!Q16-'Consumption Input Diff.'!Q127)/'Consumption Input Diff.'!Q127,"NA")</f>
        <v>0</v>
      </c>
      <c r="R15" s="421">
        <f>IFERROR(('Consumption Input'!R16-'Consumption Input Diff.'!R127)/'Consumption Input Diff.'!R127,"NA")</f>
        <v>0</v>
      </c>
      <c r="S15" s="421">
        <f>IFERROR(('Consumption Input'!S16-'Consumption Input Diff.'!S127)/'Consumption Input Diff.'!S127,"NA")</f>
        <v>0</v>
      </c>
      <c r="T15" s="421">
        <f>IFERROR(('Consumption Input'!T16-'Consumption Input Diff.'!T127)/'Consumption Input Diff.'!T127,"NA")</f>
        <v>0</v>
      </c>
      <c r="U15" s="421">
        <f>IFERROR(('Consumption Input'!U16-'Consumption Input Diff.'!U127)/'Consumption Input Diff.'!U127,"NA")</f>
        <v>0</v>
      </c>
      <c r="V15" s="421">
        <f>IFERROR(('Consumption Input'!V16-'Consumption Input Diff.'!V127)/'Consumption Input Diff.'!V127,"NA")</f>
        <v>0</v>
      </c>
      <c r="W15" s="421">
        <f>IFERROR(('Consumption Input'!W16-'Consumption Input Diff.'!W127)/'Consumption Input Diff.'!W127,"NA")</f>
        <v>0</v>
      </c>
      <c r="X15" s="421">
        <f>IFERROR(('Consumption Input'!X16-'Consumption Input Diff.'!X127)/'Consumption Input Diff.'!X127,"NA")</f>
        <v>0</v>
      </c>
      <c r="Y15" s="421">
        <f>IFERROR(('Consumption Input'!Y16-'Consumption Input Diff.'!Y127)/'Consumption Input Diff.'!Y127,"NA")</f>
        <v>0</v>
      </c>
      <c r="Z15" s="421">
        <f>IFERROR(('Consumption Input'!Z16-'Consumption Input Diff.'!Z127)/'Consumption Input Diff.'!Z127,"NA")</f>
        <v>0</v>
      </c>
      <c r="AA15" s="421">
        <f>IFERROR(('Consumption Input'!AA16-'Consumption Input Diff.'!AA127)/'Consumption Input Diff.'!AA127,"NA")</f>
        <v>0</v>
      </c>
      <c r="AB15" s="421">
        <f>IFERROR(('Consumption Input'!AB16-'Consumption Input Diff.'!AB127)/'Consumption Input Diff.'!AB127,"NA")</f>
        <v>0</v>
      </c>
      <c r="AC15" s="421">
        <f>IFERROR(('Consumption Input'!AC16-'Consumption Input Diff.'!AC127)/'Consumption Input Diff.'!AC127,"NA")</f>
        <v>0</v>
      </c>
      <c r="AD15" s="421">
        <f>IFERROR(('Consumption Input'!AD16-'Consumption Input Diff.'!AD127)/'Consumption Input Diff.'!AD127,"NA")</f>
        <v>0</v>
      </c>
      <c r="AE15" s="421">
        <f>IFERROR(('Consumption Input'!AE16-'Consumption Input Diff.'!AE127)/'Consumption Input Diff.'!AE127,"NA")</f>
        <v>0</v>
      </c>
      <c r="AF15" s="421">
        <f>IFERROR(('Consumption Input'!AF16-'Consumption Input Diff.'!AF127)/'Consumption Input Diff.'!AF127,"NA")</f>
        <v>0</v>
      </c>
      <c r="AG15" s="421">
        <f>IFERROR(('Consumption Input'!AG16-'Consumption Input Diff.'!AG127)/'Consumption Input Diff.'!AG127,"NA")</f>
        <v>0</v>
      </c>
      <c r="AH15" s="421">
        <f>IFERROR(('Consumption Input'!AH16-'Consumption Input Diff.'!AH127)/'Consumption Input Diff.'!AH127,"NA")</f>
        <v>0</v>
      </c>
      <c r="AI15" s="421">
        <f>IFERROR(('Consumption Input'!AI16-'Consumption Input Diff.'!AI127)/'Consumption Input Diff.'!AI127,"NA")</f>
        <v>0</v>
      </c>
      <c r="AJ15" s="421">
        <f>IFERROR(('Consumption Input'!AJ16-'Consumption Input Diff.'!AJ127)/'Consumption Input Diff.'!AJ127,"NA")</f>
        <v>7.3188946975354816E-2</v>
      </c>
      <c r="AK15" s="5">
        <f>'Consumption Input'!V16-V127</f>
        <v>0</v>
      </c>
      <c r="AL15" s="5">
        <f>'Consumption Input'!W16-W127</f>
        <v>0</v>
      </c>
      <c r="AM15" s="5">
        <f>'Consumption Input'!X16-X127</f>
        <v>0</v>
      </c>
      <c r="AN15" s="5">
        <f>'Consumption Input'!Y16-Y127</f>
        <v>0</v>
      </c>
      <c r="AO15" s="5">
        <f>'Consumption Input'!Z16-Z127</f>
        <v>0</v>
      </c>
      <c r="AP15" s="5">
        <f>'Consumption Input'!AA16-AA127</f>
        <v>0</v>
      </c>
      <c r="AQ15" s="5">
        <f>'Consumption Input'!AB16-AB127</f>
        <v>0</v>
      </c>
      <c r="AR15" s="5">
        <f>'Consumption Input'!AC16-AC127</f>
        <v>0</v>
      </c>
      <c r="AS15" s="5">
        <f>'Consumption Input'!AD16-AD127</f>
        <v>0</v>
      </c>
      <c r="AT15" s="5">
        <f>'Consumption Input'!AE16-AE127</f>
        <v>0</v>
      </c>
      <c r="AU15" s="5">
        <f>'Consumption Input'!AF16-AF127</f>
        <v>0</v>
      </c>
      <c r="AV15" s="5">
        <f>'Consumption Input'!AG16-AG127</f>
        <v>0</v>
      </c>
      <c r="AW15" s="5">
        <f>'Consumption Input'!AH16-AH127</f>
        <v>0</v>
      </c>
      <c r="AX15" s="5">
        <f>'Consumption Input'!AI16-AI127</f>
        <v>0</v>
      </c>
      <c r="AY15" s="5">
        <f>'Consumption Input'!AJ16-AJ127</f>
        <v>9.8000000000000087E-2</v>
      </c>
      <c r="AZ15" s="21">
        <v>11</v>
      </c>
      <c r="BA15" s="6" t="s">
        <v>1893</v>
      </c>
      <c r="BB15" s="421">
        <f>IFERROR(('Non-Energy Use'!E15-'Consumption Input Diff.'!BB44)/'Consumption Input Diff.'!BB44,"NA")</f>
        <v>0</v>
      </c>
      <c r="BC15" s="421">
        <f>IFERROR(('Non-Energy Use'!F15-'Consumption Input Diff.'!BC44)/'Consumption Input Diff.'!BC44,"NA")</f>
        <v>0</v>
      </c>
      <c r="BD15" s="421">
        <f>IFERROR(('Non-Energy Use'!G15-'Consumption Input Diff.'!BD44)/'Consumption Input Diff.'!BD44,"NA")</f>
        <v>0</v>
      </c>
      <c r="BE15" s="421">
        <f>IFERROR(('Non-Energy Use'!H15-'Consumption Input Diff.'!BE44)/'Consumption Input Diff.'!BE44,"NA")</f>
        <v>0</v>
      </c>
      <c r="BF15" s="421">
        <f>IFERROR(('Non-Energy Use'!I15-'Consumption Input Diff.'!BF44)/'Consumption Input Diff.'!BF44,"NA")</f>
        <v>0</v>
      </c>
      <c r="BG15" s="421">
        <f>IFERROR(('Non-Energy Use'!J15-'Consumption Input Diff.'!BG44)/'Consumption Input Diff.'!BG44,"NA")</f>
        <v>0</v>
      </c>
      <c r="BH15" s="421">
        <f>IFERROR(('Non-Energy Use'!K15-'Consumption Input Diff.'!BH44)/'Consumption Input Diff.'!BH44,"NA")</f>
        <v>0</v>
      </c>
      <c r="BI15" s="421">
        <f>IFERROR(('Non-Energy Use'!L15-'Consumption Input Diff.'!BI44)/'Consumption Input Diff.'!BI44,"NA")</f>
        <v>0</v>
      </c>
      <c r="BJ15" s="421">
        <f>IFERROR(('Non-Energy Use'!M15-'Consumption Input Diff.'!BJ44)/'Consumption Input Diff.'!BJ44,"NA")</f>
        <v>0</v>
      </c>
      <c r="BK15" s="421">
        <f>IFERROR(('Non-Energy Use'!N15-'Consumption Input Diff.'!BK44)/'Consumption Input Diff.'!BK44,"NA")</f>
        <v>0</v>
      </c>
      <c r="BL15" s="421">
        <f>IFERROR(('Non-Energy Use'!O15-'Consumption Input Diff.'!BL44)/'Consumption Input Diff.'!BL44,"NA")</f>
        <v>0</v>
      </c>
      <c r="BM15" s="421">
        <f>IFERROR(('Non-Energy Use'!P15-'Consumption Input Diff.'!BM44)/'Consumption Input Diff.'!BM44,"NA")</f>
        <v>0</v>
      </c>
      <c r="BN15" s="421">
        <f>IFERROR(('Non-Energy Use'!Q15-'Consumption Input Diff.'!BN44)/'Consumption Input Diff.'!BN44,"NA")</f>
        <v>0</v>
      </c>
      <c r="BO15" s="421">
        <f>IFERROR(('Non-Energy Use'!R15-'Consumption Input Diff.'!BO44)/'Consumption Input Diff.'!BO44,"NA")</f>
        <v>0</v>
      </c>
      <c r="BP15" s="421">
        <f>IFERROR(('Non-Energy Use'!S15-'Consumption Input Diff.'!BP44)/'Consumption Input Diff.'!BP44,"NA")</f>
        <v>0</v>
      </c>
      <c r="BQ15" s="421">
        <f>IFERROR(('Non-Energy Use'!T15-'Consumption Input Diff.'!BQ44)/'Consumption Input Diff.'!BQ44,"NA")</f>
        <v>0</v>
      </c>
      <c r="BR15" s="421">
        <f>IFERROR(('Non-Energy Use'!U15-'Consumption Input Diff.'!BR44)/'Consumption Input Diff.'!BR44,"NA")</f>
        <v>0</v>
      </c>
      <c r="BS15" s="421">
        <f>IFERROR(('Non-Energy Use'!V15-'Consumption Input Diff.'!BS44)/'Consumption Input Diff.'!BS44,"NA")</f>
        <v>0</v>
      </c>
      <c r="BT15" s="421">
        <f>IFERROR(('Non-Energy Use'!W15-'Consumption Input Diff.'!BT44)/'Consumption Input Diff.'!BT44,"NA")</f>
        <v>0</v>
      </c>
      <c r="BU15" s="421">
        <f>IFERROR(('Non-Energy Use'!X15-'Consumption Input Diff.'!BU44)/'Consumption Input Diff.'!BU44,"NA")</f>
        <v>0</v>
      </c>
      <c r="BV15" s="421">
        <f>IFERROR(('Non-Energy Use'!Y15-'Consumption Input Diff.'!BV44)/'Consumption Input Diff.'!BV44,"NA")</f>
        <v>0</v>
      </c>
      <c r="BW15" s="421">
        <f>IFERROR(('Non-Energy Use'!Z15-'Consumption Input Diff.'!BW44)/'Consumption Input Diff.'!BW44,"NA")</f>
        <v>0</v>
      </c>
      <c r="BX15" s="421">
        <f>IFERROR(('Non-Energy Use'!AA15-'Consumption Input Diff.'!BX44)/'Consumption Input Diff.'!BX44,"NA")</f>
        <v>0</v>
      </c>
      <c r="BY15" s="421">
        <f>IFERROR(('Non-Energy Use'!AB15-'Consumption Input Diff.'!BY44)/'Consumption Input Diff.'!BY44,"NA")</f>
        <v>0</v>
      </c>
      <c r="BZ15" s="421">
        <f>IFERROR(('Non-Energy Use'!AC15-'Consumption Input Diff.'!BZ44)/'Consumption Input Diff.'!BZ44,"NA")</f>
        <v>0</v>
      </c>
      <c r="CA15" s="421">
        <f>IFERROR(('Non-Energy Use'!AD15-'Consumption Input Diff.'!CA44)/'Consumption Input Diff.'!CA44,"NA")</f>
        <v>0</v>
      </c>
      <c r="CB15" s="421">
        <f>IFERROR(('Non-Energy Use'!AE15-'Consumption Input Diff.'!CB44)/'Consumption Input Diff.'!CB44,"NA")</f>
        <v>0</v>
      </c>
      <c r="CC15" s="421">
        <f>IFERROR(('Non-Energy Use'!AF15-'Consumption Input Diff.'!CC44)/'Consumption Input Diff.'!CC44,"NA")</f>
        <v>0</v>
      </c>
      <c r="CD15" s="421">
        <f>IFERROR(('Non-Energy Use'!AG15-'Consumption Input Diff.'!CD44)/'Consumption Input Diff.'!CD44,"NA")</f>
        <v>0</v>
      </c>
      <c r="CE15" s="421">
        <f>IFERROR(('Non-Energy Use'!AH15-'Consumption Input Diff.'!CE44)/'Consumption Input Diff.'!CE44,"NA")</f>
        <v>0</v>
      </c>
      <c r="CF15" s="421">
        <f>IFERROR(('Non-Energy Use'!AI15-'Consumption Input Diff.'!CF44)/'Consumption Input Diff.'!CF44,"NA")</f>
        <v>0</v>
      </c>
      <c r="CG15" s="421">
        <f>IFERROR(('Non-Energy Use'!AJ15-'Consumption Input Diff.'!CG44)/'Consumption Input Diff.'!CG44,"NA")</f>
        <v>0</v>
      </c>
    </row>
    <row r="16" spans="2:85">
      <c r="B16" s="456">
        <v>13</v>
      </c>
      <c r="D16" s="45" t="s">
        <v>1609</v>
      </c>
      <c r="E16" s="421">
        <f>IFERROR(('Consumption Input'!E17-'Consumption Input Diff.'!E128)/'Consumption Input Diff.'!E128,"NA")</f>
        <v>0</v>
      </c>
      <c r="F16" s="421">
        <f>IFERROR(('Consumption Input'!F17-'Consumption Input Diff.'!F128)/'Consumption Input Diff.'!F128,"NA")</f>
        <v>0</v>
      </c>
      <c r="G16" s="421">
        <f>IFERROR(('Consumption Input'!G17-'Consumption Input Diff.'!G128)/'Consumption Input Diff.'!G128,"NA")</f>
        <v>0</v>
      </c>
      <c r="H16" s="421">
        <f>IFERROR(('Consumption Input'!H17-'Consumption Input Diff.'!H128)/'Consumption Input Diff.'!H128,"NA")</f>
        <v>0</v>
      </c>
      <c r="I16" s="421">
        <f>IFERROR(('Consumption Input'!I17-'Consumption Input Diff.'!I128)/'Consumption Input Diff.'!I128,"NA")</f>
        <v>0</v>
      </c>
      <c r="J16" s="421">
        <f>IFERROR(('Consumption Input'!J17-'Consumption Input Diff.'!J128)/'Consumption Input Diff.'!J128,"NA")</f>
        <v>0</v>
      </c>
      <c r="K16" s="421">
        <f>IFERROR(('Consumption Input'!K17-'Consumption Input Diff.'!K128)/'Consumption Input Diff.'!K128,"NA")</f>
        <v>0</v>
      </c>
      <c r="L16" s="421">
        <f>IFERROR(('Consumption Input'!L17-'Consumption Input Diff.'!L128)/'Consumption Input Diff.'!L128,"NA")</f>
        <v>0</v>
      </c>
      <c r="M16" s="421">
        <f>IFERROR(('Consumption Input'!M17-'Consumption Input Diff.'!M128)/'Consumption Input Diff.'!M128,"NA")</f>
        <v>0</v>
      </c>
      <c r="N16" s="421">
        <f>IFERROR(('Consumption Input'!N17-'Consumption Input Diff.'!N128)/'Consumption Input Diff.'!N128,"NA")</f>
        <v>0</v>
      </c>
      <c r="O16" s="421">
        <f>IFERROR(('Consumption Input'!O17-'Consumption Input Diff.'!O128)/'Consumption Input Diff.'!O128,"NA")</f>
        <v>0</v>
      </c>
      <c r="P16" s="421">
        <f>IFERROR(('Consumption Input'!P17-'Consumption Input Diff.'!P128)/'Consumption Input Diff.'!P128,"NA")</f>
        <v>0</v>
      </c>
      <c r="Q16" s="421">
        <f>IFERROR(('Consumption Input'!Q17-'Consumption Input Diff.'!Q128)/'Consumption Input Diff.'!Q128,"NA")</f>
        <v>0</v>
      </c>
      <c r="R16" s="421">
        <f>IFERROR(('Consumption Input'!R17-'Consumption Input Diff.'!R128)/'Consumption Input Diff.'!R128,"NA")</f>
        <v>0</v>
      </c>
      <c r="S16" s="421">
        <f>IFERROR(('Consumption Input'!S17-'Consumption Input Diff.'!S128)/'Consumption Input Diff.'!S128,"NA")</f>
        <v>0</v>
      </c>
      <c r="T16" s="421">
        <f>IFERROR(('Consumption Input'!T17-'Consumption Input Diff.'!T128)/'Consumption Input Diff.'!T128,"NA")</f>
        <v>0</v>
      </c>
      <c r="U16" s="421">
        <f>IFERROR(('Consumption Input'!U17-'Consumption Input Diff.'!U128)/'Consumption Input Diff.'!U128,"NA")</f>
        <v>0</v>
      </c>
      <c r="V16" s="421">
        <f>IFERROR(('Consumption Input'!V17-'Consumption Input Diff.'!V128)/'Consumption Input Diff.'!V128,"NA")</f>
        <v>0</v>
      </c>
      <c r="W16" s="421">
        <f>IFERROR(('Consumption Input'!W17-'Consumption Input Diff.'!W128)/'Consumption Input Diff.'!W128,"NA")</f>
        <v>0</v>
      </c>
      <c r="X16" s="421">
        <f>IFERROR(('Consumption Input'!X17-'Consumption Input Diff.'!X128)/'Consumption Input Diff.'!X128,"NA")</f>
        <v>0</v>
      </c>
      <c r="Y16" s="421">
        <f>IFERROR(('Consumption Input'!Y17-'Consumption Input Diff.'!Y128)/'Consumption Input Diff.'!Y128,"NA")</f>
        <v>0</v>
      </c>
      <c r="Z16" s="421">
        <f>IFERROR(('Consumption Input'!Z17-'Consumption Input Diff.'!Z128)/'Consumption Input Diff.'!Z128,"NA")</f>
        <v>0</v>
      </c>
      <c r="AA16" s="421">
        <f>IFERROR(('Consumption Input'!AA17-'Consumption Input Diff.'!AA128)/'Consumption Input Diff.'!AA128,"NA")</f>
        <v>0</v>
      </c>
      <c r="AB16" s="421">
        <f>IFERROR(('Consumption Input'!AB17-'Consumption Input Diff.'!AB128)/'Consumption Input Diff.'!AB128,"NA")</f>
        <v>0</v>
      </c>
      <c r="AC16" s="421">
        <f>IFERROR(('Consumption Input'!AC17-'Consumption Input Diff.'!AC128)/'Consumption Input Diff.'!AC128,"NA")</f>
        <v>0</v>
      </c>
      <c r="AD16" s="421">
        <f>IFERROR(('Consumption Input'!AD17-'Consumption Input Diff.'!AD128)/'Consumption Input Diff.'!AD128,"NA")</f>
        <v>0</v>
      </c>
      <c r="AE16" s="421">
        <f>IFERROR(('Consumption Input'!AE17-'Consumption Input Diff.'!AE128)/'Consumption Input Diff.'!AE128,"NA")</f>
        <v>0</v>
      </c>
      <c r="AF16" s="421">
        <f>IFERROR(('Consumption Input'!AF17-'Consumption Input Diff.'!AF128)/'Consumption Input Diff.'!AF128,"NA")</f>
        <v>0</v>
      </c>
      <c r="AG16" s="421">
        <f>IFERROR(('Consumption Input'!AG17-'Consumption Input Diff.'!AG128)/'Consumption Input Diff.'!AG128,"NA")</f>
        <v>0</v>
      </c>
      <c r="AH16" s="421">
        <f>IFERROR(('Consumption Input'!AH17-'Consumption Input Diff.'!AH128)/'Consumption Input Diff.'!AH128,"NA")</f>
        <v>0</v>
      </c>
      <c r="AI16" s="421">
        <f>IFERROR(('Consumption Input'!AI17-'Consumption Input Diff.'!AI128)/'Consumption Input Diff.'!AI128,"NA")</f>
        <v>0</v>
      </c>
      <c r="AJ16" s="421">
        <f>IFERROR(('Consumption Input'!AJ17-'Consumption Input Diff.'!AJ128)/'Consumption Input Diff.'!AJ128,"NA")</f>
        <v>7.5887477871937406E-2</v>
      </c>
      <c r="AK16" s="5">
        <f>'Consumption Input'!V17-V128</f>
        <v>0</v>
      </c>
      <c r="AL16" s="5">
        <f>'Consumption Input'!W17-W128</f>
        <v>0</v>
      </c>
      <c r="AM16" s="5">
        <f>'Consumption Input'!X17-X128</f>
        <v>0</v>
      </c>
      <c r="AN16" s="5">
        <f>'Consumption Input'!Y17-Y128</f>
        <v>0</v>
      </c>
      <c r="AO16" s="5">
        <f>'Consumption Input'!Z17-Z128</f>
        <v>0</v>
      </c>
      <c r="AP16" s="5">
        <f>'Consumption Input'!AA17-AA128</f>
        <v>0</v>
      </c>
      <c r="AQ16" s="5">
        <f>'Consumption Input'!AB17-AB128</f>
        <v>0</v>
      </c>
      <c r="AR16" s="5">
        <f>'Consumption Input'!AC17-AC128</f>
        <v>0</v>
      </c>
      <c r="AS16" s="5">
        <f>'Consumption Input'!AD17-AD128</f>
        <v>0</v>
      </c>
      <c r="AT16" s="5">
        <f>'Consumption Input'!AE17-AE128</f>
        <v>0</v>
      </c>
      <c r="AU16" s="5">
        <f>'Consumption Input'!AF17-AF128</f>
        <v>0</v>
      </c>
      <c r="AV16" s="5">
        <f>'Consumption Input'!AG17-AG128</f>
        <v>0</v>
      </c>
      <c r="AW16" s="5">
        <f>'Consumption Input'!AH17-AH128</f>
        <v>0</v>
      </c>
      <c r="AX16" s="5">
        <f>'Consumption Input'!AI17-AI128</f>
        <v>0</v>
      </c>
      <c r="AY16" s="5">
        <f>'Consumption Input'!AJ17-AJ128</f>
        <v>15.304000000000002</v>
      </c>
      <c r="AZ16" s="21">
        <v>12</v>
      </c>
      <c r="BA16" s="6" t="s">
        <v>1618</v>
      </c>
      <c r="BB16" s="421">
        <f>IFERROR(('Non-Energy Use'!E16-'Consumption Input Diff.'!BB45)/'Consumption Input Diff.'!BB45,"NA")</f>
        <v>0</v>
      </c>
      <c r="BC16" s="421">
        <f>IFERROR(('Non-Energy Use'!F16-'Consumption Input Diff.'!BC45)/'Consumption Input Diff.'!BC45,"NA")</f>
        <v>0</v>
      </c>
      <c r="BD16" s="421">
        <f>IFERROR(('Non-Energy Use'!G16-'Consumption Input Diff.'!BD45)/'Consumption Input Diff.'!BD45,"NA")</f>
        <v>0</v>
      </c>
      <c r="BE16" s="421">
        <f>IFERROR(('Non-Energy Use'!H16-'Consumption Input Diff.'!BE45)/'Consumption Input Diff.'!BE45,"NA")</f>
        <v>0</v>
      </c>
      <c r="BF16" s="421">
        <f>IFERROR(('Non-Energy Use'!I16-'Consumption Input Diff.'!BF45)/'Consumption Input Diff.'!BF45,"NA")</f>
        <v>0</v>
      </c>
      <c r="BG16" s="421">
        <f>IFERROR(('Non-Energy Use'!J16-'Consumption Input Diff.'!BG45)/'Consumption Input Diff.'!BG45,"NA")</f>
        <v>0</v>
      </c>
      <c r="BH16" s="421">
        <f>IFERROR(('Non-Energy Use'!K16-'Consumption Input Diff.'!BH45)/'Consumption Input Diff.'!BH45,"NA")</f>
        <v>0</v>
      </c>
      <c r="BI16" s="421">
        <f>IFERROR(('Non-Energy Use'!L16-'Consumption Input Diff.'!BI45)/'Consumption Input Diff.'!BI45,"NA")</f>
        <v>0</v>
      </c>
      <c r="BJ16" s="421">
        <f>IFERROR(('Non-Energy Use'!M16-'Consumption Input Diff.'!BJ45)/'Consumption Input Diff.'!BJ45,"NA")</f>
        <v>0</v>
      </c>
      <c r="BK16" s="421">
        <f>IFERROR(('Non-Energy Use'!N16-'Consumption Input Diff.'!BK45)/'Consumption Input Diff.'!BK45,"NA")</f>
        <v>0</v>
      </c>
      <c r="BL16" s="421">
        <f>IFERROR(('Non-Energy Use'!O16-'Consumption Input Diff.'!BL45)/'Consumption Input Diff.'!BL45,"NA")</f>
        <v>0</v>
      </c>
      <c r="BM16" s="421">
        <f>IFERROR(('Non-Energy Use'!P16-'Consumption Input Diff.'!BM45)/'Consumption Input Diff.'!BM45,"NA")</f>
        <v>0</v>
      </c>
      <c r="BN16" s="421">
        <f>IFERROR(('Non-Energy Use'!Q16-'Consumption Input Diff.'!BN45)/'Consumption Input Diff.'!BN45,"NA")</f>
        <v>0</v>
      </c>
      <c r="BO16" s="421">
        <f>IFERROR(('Non-Energy Use'!R16-'Consumption Input Diff.'!BO45)/'Consumption Input Diff.'!BO45,"NA")</f>
        <v>0</v>
      </c>
      <c r="BP16" s="421">
        <f>IFERROR(('Non-Energy Use'!S16-'Consumption Input Diff.'!BP45)/'Consumption Input Diff.'!BP45,"NA")</f>
        <v>0</v>
      </c>
      <c r="BQ16" s="421">
        <f>IFERROR(('Non-Energy Use'!T16-'Consumption Input Diff.'!BQ45)/'Consumption Input Diff.'!BQ45,"NA")</f>
        <v>0</v>
      </c>
      <c r="BR16" s="421">
        <f>IFERROR(('Non-Energy Use'!U16-'Consumption Input Diff.'!BR45)/'Consumption Input Diff.'!BR45,"NA")</f>
        <v>0</v>
      </c>
      <c r="BS16" s="421">
        <f>IFERROR(('Non-Energy Use'!V16-'Consumption Input Diff.'!BS45)/'Consumption Input Diff.'!BS45,"NA")</f>
        <v>0</v>
      </c>
      <c r="BT16" s="421">
        <f>IFERROR(('Non-Energy Use'!W16-'Consumption Input Diff.'!BT45)/'Consumption Input Diff.'!BT45,"NA")</f>
        <v>0</v>
      </c>
      <c r="BU16" s="421">
        <f>IFERROR(('Non-Energy Use'!X16-'Consumption Input Diff.'!BU45)/'Consumption Input Diff.'!BU45,"NA")</f>
        <v>0</v>
      </c>
      <c r="BV16" s="421">
        <f>IFERROR(('Non-Energy Use'!Y16-'Consumption Input Diff.'!BV45)/'Consumption Input Diff.'!BV45,"NA")</f>
        <v>0</v>
      </c>
      <c r="BW16" s="421">
        <f>IFERROR(('Non-Energy Use'!Z16-'Consumption Input Diff.'!BW45)/'Consumption Input Diff.'!BW45,"NA")</f>
        <v>0</v>
      </c>
      <c r="BX16" s="421">
        <f>IFERROR(('Non-Energy Use'!AA16-'Consumption Input Diff.'!BX45)/'Consumption Input Diff.'!BX45,"NA")</f>
        <v>0</v>
      </c>
      <c r="BY16" s="421">
        <f>IFERROR(('Non-Energy Use'!AB16-'Consumption Input Diff.'!BY45)/'Consumption Input Diff.'!BY45,"NA")</f>
        <v>0</v>
      </c>
      <c r="BZ16" s="421">
        <f>IFERROR(('Non-Energy Use'!AC16-'Consumption Input Diff.'!BZ45)/'Consumption Input Diff.'!BZ45,"NA")</f>
        <v>0</v>
      </c>
      <c r="CA16" s="421">
        <f>IFERROR(('Non-Energy Use'!AD16-'Consumption Input Diff.'!CA45)/'Consumption Input Diff.'!CA45,"NA")</f>
        <v>0</v>
      </c>
      <c r="CB16" s="421">
        <f>IFERROR(('Non-Energy Use'!AE16-'Consumption Input Diff.'!CB45)/'Consumption Input Diff.'!CB45,"NA")</f>
        <v>0</v>
      </c>
      <c r="CC16" s="421">
        <f>IFERROR(('Non-Energy Use'!AF16-'Consumption Input Diff.'!CC45)/'Consumption Input Diff.'!CC45,"NA")</f>
        <v>0</v>
      </c>
      <c r="CD16" s="421">
        <f>IFERROR(('Non-Energy Use'!AG16-'Consumption Input Diff.'!CD45)/'Consumption Input Diff.'!CD45,"NA")</f>
        <v>0</v>
      </c>
      <c r="CE16" s="421">
        <f>IFERROR(('Non-Energy Use'!AH16-'Consumption Input Diff.'!CE45)/'Consumption Input Diff.'!CE45,"NA")</f>
        <v>0</v>
      </c>
      <c r="CF16" s="421">
        <f>IFERROR(('Non-Energy Use'!AI16-'Consumption Input Diff.'!CF45)/'Consumption Input Diff.'!CF45,"NA")</f>
        <v>0</v>
      </c>
      <c r="CG16" s="421">
        <f>IFERROR(('Non-Energy Use'!AJ16-'Consumption Input Diff.'!CG45)/'Consumption Input Diff.'!CG45,"NA")</f>
        <v>0</v>
      </c>
    </row>
    <row r="17" spans="2:85">
      <c r="B17" s="456">
        <v>14</v>
      </c>
      <c r="D17" s="45" t="s">
        <v>1601</v>
      </c>
      <c r="E17" s="421">
        <f>IFERROR(('Consumption Input'!E18-'Consumption Input Diff.'!E129)/'Consumption Input Diff.'!E129,"NA")</f>
        <v>0</v>
      </c>
      <c r="F17" s="421">
        <f>IFERROR(('Consumption Input'!F18-'Consumption Input Diff.'!F129)/'Consumption Input Diff.'!F129,"NA")</f>
        <v>0</v>
      </c>
      <c r="G17" s="421">
        <f>IFERROR(('Consumption Input'!G18-'Consumption Input Diff.'!G129)/'Consumption Input Diff.'!G129,"NA")</f>
        <v>0</v>
      </c>
      <c r="H17" s="421">
        <f>IFERROR(('Consumption Input'!H18-'Consumption Input Diff.'!H129)/'Consumption Input Diff.'!H129,"NA")</f>
        <v>0</v>
      </c>
      <c r="I17" s="421">
        <f>IFERROR(('Consumption Input'!I18-'Consumption Input Diff.'!I129)/'Consumption Input Diff.'!I129,"NA")</f>
        <v>0</v>
      </c>
      <c r="J17" s="421">
        <f>IFERROR(('Consumption Input'!J18-'Consumption Input Diff.'!J129)/'Consumption Input Diff.'!J129,"NA")</f>
        <v>0</v>
      </c>
      <c r="K17" s="421">
        <f>IFERROR(('Consumption Input'!K18-'Consumption Input Diff.'!K129)/'Consumption Input Diff.'!K129,"NA")</f>
        <v>0</v>
      </c>
      <c r="L17" s="421">
        <f>IFERROR(('Consumption Input'!L18-'Consumption Input Diff.'!L129)/'Consumption Input Diff.'!L129,"NA")</f>
        <v>0</v>
      </c>
      <c r="M17" s="421">
        <f>IFERROR(('Consumption Input'!M18-'Consumption Input Diff.'!M129)/'Consumption Input Diff.'!M129,"NA")</f>
        <v>0</v>
      </c>
      <c r="N17" s="421">
        <f>IFERROR(('Consumption Input'!N18-'Consumption Input Diff.'!N129)/'Consumption Input Diff.'!N129,"NA")</f>
        <v>0</v>
      </c>
      <c r="O17" s="421">
        <f>IFERROR(('Consumption Input'!O18-'Consumption Input Diff.'!O129)/'Consumption Input Diff.'!O129,"NA")</f>
        <v>0</v>
      </c>
      <c r="P17" s="421">
        <f>IFERROR(('Consumption Input'!P18-'Consumption Input Diff.'!P129)/'Consumption Input Diff.'!P129,"NA")</f>
        <v>0</v>
      </c>
      <c r="Q17" s="421">
        <f>IFERROR(('Consumption Input'!Q18-'Consumption Input Diff.'!Q129)/'Consumption Input Diff.'!Q129,"NA")</f>
        <v>0</v>
      </c>
      <c r="R17" s="421">
        <f>IFERROR(('Consumption Input'!R18-'Consumption Input Diff.'!R129)/'Consumption Input Diff.'!R129,"NA")</f>
        <v>0</v>
      </c>
      <c r="S17" s="421">
        <f>IFERROR(('Consumption Input'!S18-'Consumption Input Diff.'!S129)/'Consumption Input Diff.'!S129,"NA")</f>
        <v>0</v>
      </c>
      <c r="T17" s="421">
        <f>IFERROR(('Consumption Input'!T18-'Consumption Input Diff.'!T129)/'Consumption Input Diff.'!T129,"NA")</f>
        <v>0</v>
      </c>
      <c r="U17" s="421">
        <f>IFERROR(('Consumption Input'!U18-'Consumption Input Diff.'!U129)/'Consumption Input Diff.'!U129,"NA")</f>
        <v>0</v>
      </c>
      <c r="V17" s="421">
        <f>IFERROR(('Consumption Input'!V18-'Consumption Input Diff.'!V129)/'Consumption Input Diff.'!V129,"NA")</f>
        <v>0</v>
      </c>
      <c r="W17" s="421">
        <f>IFERROR(('Consumption Input'!W18-'Consumption Input Diff.'!W129)/'Consumption Input Diff.'!W129,"NA")</f>
        <v>0</v>
      </c>
      <c r="X17" s="421">
        <f>IFERROR(('Consumption Input'!X18-'Consumption Input Diff.'!X129)/'Consumption Input Diff.'!X129,"NA")</f>
        <v>0</v>
      </c>
      <c r="Y17" s="421">
        <f>IFERROR(('Consumption Input'!Y18-'Consumption Input Diff.'!Y129)/'Consumption Input Diff.'!Y129,"NA")</f>
        <v>0</v>
      </c>
      <c r="Z17" s="421">
        <f>IFERROR(('Consumption Input'!Z18-'Consumption Input Diff.'!Z129)/'Consumption Input Diff.'!Z129,"NA")</f>
        <v>0</v>
      </c>
      <c r="AA17" s="421">
        <f>IFERROR(('Consumption Input'!AA18-'Consumption Input Diff.'!AA129)/'Consumption Input Diff.'!AA129,"NA")</f>
        <v>0</v>
      </c>
      <c r="AB17" s="421">
        <f>IFERROR(('Consumption Input'!AB18-'Consumption Input Diff.'!AB129)/'Consumption Input Diff.'!AB129,"NA")</f>
        <v>0</v>
      </c>
      <c r="AC17" s="421">
        <f>IFERROR(('Consumption Input'!AC18-'Consumption Input Diff.'!AC129)/'Consumption Input Diff.'!AC129,"NA")</f>
        <v>0</v>
      </c>
      <c r="AD17" s="421">
        <f>IFERROR(('Consumption Input'!AD18-'Consumption Input Diff.'!AD129)/'Consumption Input Diff.'!AD129,"NA")</f>
        <v>0</v>
      </c>
      <c r="AE17" s="421">
        <f>IFERROR(('Consumption Input'!AE18-'Consumption Input Diff.'!AE129)/'Consumption Input Diff.'!AE129,"NA")</f>
        <v>0</v>
      </c>
      <c r="AF17" s="421">
        <f>IFERROR(('Consumption Input'!AF18-'Consumption Input Diff.'!AF129)/'Consumption Input Diff.'!AF129,"NA")</f>
        <v>0</v>
      </c>
      <c r="AG17" s="421">
        <f>IFERROR(('Consumption Input'!AG18-'Consumption Input Diff.'!AG129)/'Consumption Input Diff.'!AG129,"NA")</f>
        <v>0</v>
      </c>
      <c r="AH17" s="421">
        <f>IFERROR(('Consumption Input'!AH18-'Consumption Input Diff.'!AH129)/'Consumption Input Diff.'!AH129,"NA")</f>
        <v>0</v>
      </c>
      <c r="AI17" s="421">
        <f>IFERROR(('Consumption Input'!AI18-'Consumption Input Diff.'!AI129)/'Consumption Input Diff.'!AI129,"NA")</f>
        <v>4.4697463060149011E-3</v>
      </c>
      <c r="AJ17" s="421">
        <f>IFERROR(('Consumption Input'!AJ18-'Consumption Input Diff.'!AJ129)/'Consumption Input Diff.'!AJ129,"NA")</f>
        <v>-1.8603464024877355E-3</v>
      </c>
      <c r="AK17" s="5">
        <f>'Consumption Input'!V18-V129</f>
        <v>0</v>
      </c>
      <c r="AL17" s="5">
        <f>'Consumption Input'!W18-W129</f>
        <v>0</v>
      </c>
      <c r="AM17" s="5">
        <f>'Consumption Input'!X18-X129</f>
        <v>0</v>
      </c>
      <c r="AN17" s="5">
        <f>'Consumption Input'!Y18-Y129</f>
        <v>0</v>
      </c>
      <c r="AO17" s="5">
        <f>'Consumption Input'!Z18-Z129</f>
        <v>0</v>
      </c>
      <c r="AP17" s="5">
        <f>'Consumption Input'!AA18-AA129</f>
        <v>0</v>
      </c>
      <c r="AQ17" s="5">
        <f>'Consumption Input'!AB18-AB129</f>
        <v>0</v>
      </c>
      <c r="AR17" s="5">
        <f>'Consumption Input'!AC18-AC129</f>
        <v>0</v>
      </c>
      <c r="AS17" s="5">
        <f>'Consumption Input'!AD18-AD129</f>
        <v>0</v>
      </c>
      <c r="AT17" s="5">
        <f>'Consumption Input'!AE18-AE129</f>
        <v>0</v>
      </c>
      <c r="AU17" s="5">
        <f>'Consumption Input'!AF18-AF129</f>
        <v>0</v>
      </c>
      <c r="AV17" s="5">
        <f>'Consumption Input'!AG18-AG129</f>
        <v>0</v>
      </c>
      <c r="AW17" s="5">
        <f>'Consumption Input'!AH18-AH129</f>
        <v>0</v>
      </c>
      <c r="AX17" s="5">
        <f>'Consumption Input'!AI18-AI129</f>
        <v>1.4813392703840691</v>
      </c>
      <c r="AY17" s="5">
        <f>'Consumption Input'!AJ18-AJ129</f>
        <v>-0.58431428643513073</v>
      </c>
      <c r="AZ17" s="21">
        <v>13</v>
      </c>
      <c r="BA17" s="6" t="s">
        <v>1604</v>
      </c>
      <c r="BB17" s="421">
        <f>IFERROR(('Non-Energy Use'!E17-'Consumption Input Diff.'!BB46)/'Consumption Input Diff.'!BB46,"NA")</f>
        <v>0</v>
      </c>
      <c r="BC17" s="421">
        <f>IFERROR(('Non-Energy Use'!F17-'Consumption Input Diff.'!BC46)/'Consumption Input Diff.'!BC46,"NA")</f>
        <v>0</v>
      </c>
      <c r="BD17" s="421">
        <f>IFERROR(('Non-Energy Use'!G17-'Consumption Input Diff.'!BD46)/'Consumption Input Diff.'!BD46,"NA")</f>
        <v>0</v>
      </c>
      <c r="BE17" s="421">
        <f>IFERROR(('Non-Energy Use'!H17-'Consumption Input Diff.'!BE46)/'Consumption Input Diff.'!BE46,"NA")</f>
        <v>0</v>
      </c>
      <c r="BF17" s="421">
        <f>IFERROR(('Non-Energy Use'!I17-'Consumption Input Diff.'!BF46)/'Consumption Input Diff.'!BF46,"NA")</f>
        <v>0</v>
      </c>
      <c r="BG17" s="421">
        <f>IFERROR(('Non-Energy Use'!J17-'Consumption Input Diff.'!BG46)/'Consumption Input Diff.'!BG46,"NA")</f>
        <v>0</v>
      </c>
      <c r="BH17" s="421">
        <f>IFERROR(('Non-Energy Use'!K17-'Consumption Input Diff.'!BH46)/'Consumption Input Diff.'!BH46,"NA")</f>
        <v>0</v>
      </c>
      <c r="BI17" s="421">
        <f>IFERROR(('Non-Energy Use'!L17-'Consumption Input Diff.'!BI46)/'Consumption Input Diff.'!BI46,"NA")</f>
        <v>0</v>
      </c>
      <c r="BJ17" s="421">
        <f>IFERROR(('Non-Energy Use'!M17-'Consumption Input Diff.'!BJ46)/'Consumption Input Diff.'!BJ46,"NA")</f>
        <v>0</v>
      </c>
      <c r="BK17" s="421">
        <f>IFERROR(('Non-Energy Use'!N17-'Consumption Input Diff.'!BK46)/'Consumption Input Diff.'!BK46,"NA")</f>
        <v>0</v>
      </c>
      <c r="BL17" s="421">
        <f>IFERROR(('Non-Energy Use'!O17-'Consumption Input Diff.'!BL46)/'Consumption Input Diff.'!BL46,"NA")</f>
        <v>0</v>
      </c>
      <c r="BM17" s="421">
        <f>IFERROR(('Non-Energy Use'!P17-'Consumption Input Diff.'!BM46)/'Consumption Input Diff.'!BM46,"NA")</f>
        <v>0</v>
      </c>
      <c r="BN17" s="421">
        <f>IFERROR(('Non-Energy Use'!Q17-'Consumption Input Diff.'!BN46)/'Consumption Input Diff.'!BN46,"NA")</f>
        <v>0</v>
      </c>
      <c r="BO17" s="421">
        <f>IFERROR(('Non-Energy Use'!R17-'Consumption Input Diff.'!BO46)/'Consumption Input Diff.'!BO46,"NA")</f>
        <v>0</v>
      </c>
      <c r="BP17" s="421">
        <f>IFERROR(('Non-Energy Use'!S17-'Consumption Input Diff.'!BP46)/'Consumption Input Diff.'!BP46,"NA")</f>
        <v>0</v>
      </c>
      <c r="BQ17" s="421">
        <f>IFERROR(('Non-Energy Use'!T17-'Consumption Input Diff.'!BQ46)/'Consumption Input Diff.'!BQ46,"NA")</f>
        <v>0</v>
      </c>
      <c r="BR17" s="421">
        <f>IFERROR(('Non-Energy Use'!U17-'Consumption Input Diff.'!BR46)/'Consumption Input Diff.'!BR46,"NA")</f>
        <v>0</v>
      </c>
      <c r="BS17" s="421">
        <f>IFERROR(('Non-Energy Use'!V17-'Consumption Input Diff.'!BS46)/'Consumption Input Diff.'!BS46,"NA")</f>
        <v>0</v>
      </c>
      <c r="BT17" s="421">
        <f>IFERROR(('Non-Energy Use'!W17-'Consumption Input Diff.'!BT46)/'Consumption Input Diff.'!BT46,"NA")</f>
        <v>0</v>
      </c>
      <c r="BU17" s="421">
        <f>IFERROR(('Non-Energy Use'!X17-'Consumption Input Diff.'!BU46)/'Consumption Input Diff.'!BU46,"NA")</f>
        <v>0</v>
      </c>
      <c r="BV17" s="421">
        <f>IFERROR(('Non-Energy Use'!Y17-'Consumption Input Diff.'!BV46)/'Consumption Input Diff.'!BV46,"NA")</f>
        <v>0</v>
      </c>
      <c r="BW17" s="421">
        <f>IFERROR(('Non-Energy Use'!Z17-'Consumption Input Diff.'!BW46)/'Consumption Input Diff.'!BW46,"NA")</f>
        <v>0</v>
      </c>
      <c r="BX17" s="421">
        <f>IFERROR(('Non-Energy Use'!AA17-'Consumption Input Diff.'!BX46)/'Consumption Input Diff.'!BX46,"NA")</f>
        <v>0</v>
      </c>
      <c r="BY17" s="421">
        <f>IFERROR(('Non-Energy Use'!AB17-'Consumption Input Diff.'!BY46)/'Consumption Input Diff.'!BY46,"NA")</f>
        <v>0</v>
      </c>
      <c r="BZ17" s="421">
        <f>IFERROR(('Non-Energy Use'!AC17-'Consumption Input Diff.'!BZ46)/'Consumption Input Diff.'!BZ46,"NA")</f>
        <v>0</v>
      </c>
      <c r="CA17" s="421">
        <f>IFERROR(('Non-Energy Use'!AD17-'Consumption Input Diff.'!CA46)/'Consumption Input Diff.'!CA46,"NA")</f>
        <v>0</v>
      </c>
      <c r="CB17" s="421">
        <f>IFERROR(('Non-Energy Use'!AE17-'Consumption Input Diff.'!CB46)/'Consumption Input Diff.'!CB46,"NA")</f>
        <v>0</v>
      </c>
      <c r="CC17" s="421">
        <f>IFERROR(('Non-Energy Use'!AF17-'Consumption Input Diff.'!CC46)/'Consumption Input Diff.'!CC46,"NA")</f>
        <v>0</v>
      </c>
      <c r="CD17" s="421">
        <f>IFERROR(('Non-Energy Use'!AG17-'Consumption Input Diff.'!CD46)/'Consumption Input Diff.'!CD46,"NA")</f>
        <v>0</v>
      </c>
      <c r="CE17" s="421">
        <f>IFERROR(('Non-Energy Use'!AH17-'Consumption Input Diff.'!CE46)/'Consumption Input Diff.'!CE46,"NA")</f>
        <v>0</v>
      </c>
      <c r="CF17" s="421">
        <f>IFERROR(('Non-Energy Use'!AI17-'Consumption Input Diff.'!CF46)/'Consumption Input Diff.'!CF46,"NA")</f>
        <v>0</v>
      </c>
      <c r="CG17" s="421">
        <f>IFERROR(('Non-Energy Use'!AJ17-'Consumption Input Diff.'!CG46)/'Consumption Input Diff.'!CG46,"NA")</f>
        <v>0</v>
      </c>
    </row>
    <row r="18" spans="2:85">
      <c r="B18" s="456">
        <v>15</v>
      </c>
      <c r="D18" s="45" t="s">
        <v>1602</v>
      </c>
      <c r="E18" s="421">
        <f>IFERROR(('Consumption Input'!E19-'Consumption Input Diff.'!E130)/'Consumption Input Diff.'!E130,"NA")</f>
        <v>0</v>
      </c>
      <c r="F18" s="421">
        <f>IFERROR(('Consumption Input'!F19-'Consumption Input Diff.'!F130)/'Consumption Input Diff.'!F130,"NA")</f>
        <v>0</v>
      </c>
      <c r="G18" s="421">
        <f>IFERROR(('Consumption Input'!G19-'Consumption Input Diff.'!G130)/'Consumption Input Diff.'!G130,"NA")</f>
        <v>0</v>
      </c>
      <c r="H18" s="421">
        <f>IFERROR(('Consumption Input'!H19-'Consumption Input Diff.'!H130)/'Consumption Input Diff.'!H130,"NA")</f>
        <v>0</v>
      </c>
      <c r="I18" s="421">
        <f>IFERROR(('Consumption Input'!I19-'Consumption Input Diff.'!I130)/'Consumption Input Diff.'!I130,"NA")</f>
        <v>0</v>
      </c>
      <c r="J18" s="421">
        <f>IFERROR(('Consumption Input'!J19-'Consumption Input Diff.'!J130)/'Consumption Input Diff.'!J130,"NA")</f>
        <v>0</v>
      </c>
      <c r="K18" s="421">
        <f>IFERROR(('Consumption Input'!K19-'Consumption Input Diff.'!K130)/'Consumption Input Diff.'!K130,"NA")</f>
        <v>0</v>
      </c>
      <c r="L18" s="421">
        <f>IFERROR(('Consumption Input'!L19-'Consumption Input Diff.'!L130)/'Consumption Input Diff.'!L130,"NA")</f>
        <v>0</v>
      </c>
      <c r="M18" s="421">
        <f>IFERROR(('Consumption Input'!M19-'Consumption Input Diff.'!M130)/'Consumption Input Diff.'!M130,"NA")</f>
        <v>0</v>
      </c>
      <c r="N18" s="421">
        <f>IFERROR(('Consumption Input'!N19-'Consumption Input Diff.'!N130)/'Consumption Input Diff.'!N130,"NA")</f>
        <v>0</v>
      </c>
      <c r="O18" s="421">
        <f>IFERROR(('Consumption Input'!O19-'Consumption Input Diff.'!O130)/'Consumption Input Diff.'!O130,"NA")</f>
        <v>0</v>
      </c>
      <c r="P18" s="421">
        <f>IFERROR(('Consumption Input'!P19-'Consumption Input Diff.'!P130)/'Consumption Input Diff.'!P130,"NA")</f>
        <v>0</v>
      </c>
      <c r="Q18" s="421">
        <f>IFERROR(('Consumption Input'!Q19-'Consumption Input Diff.'!Q130)/'Consumption Input Diff.'!Q130,"NA")</f>
        <v>0</v>
      </c>
      <c r="R18" s="421">
        <f>IFERROR(('Consumption Input'!R19-'Consumption Input Diff.'!R130)/'Consumption Input Diff.'!R130,"NA")</f>
        <v>0</v>
      </c>
      <c r="S18" s="421">
        <f>IFERROR(('Consumption Input'!S19-'Consumption Input Diff.'!S130)/'Consumption Input Diff.'!S130,"NA")</f>
        <v>0</v>
      </c>
      <c r="T18" s="421">
        <f>IFERROR(('Consumption Input'!T19-'Consumption Input Diff.'!T130)/'Consumption Input Diff.'!T130,"NA")</f>
        <v>0</v>
      </c>
      <c r="U18" s="421">
        <f>IFERROR(('Consumption Input'!U19-'Consumption Input Diff.'!U130)/'Consumption Input Diff.'!U130,"NA")</f>
        <v>0</v>
      </c>
      <c r="V18" s="421">
        <f>IFERROR(('Consumption Input'!V19-'Consumption Input Diff.'!V130)/'Consumption Input Diff.'!V130,"NA")</f>
        <v>0</v>
      </c>
      <c r="W18" s="421">
        <f>IFERROR(('Consumption Input'!W19-'Consumption Input Diff.'!W130)/'Consumption Input Diff.'!W130,"NA")</f>
        <v>0</v>
      </c>
      <c r="X18" s="421">
        <f>IFERROR(('Consumption Input'!X19-'Consumption Input Diff.'!X130)/'Consumption Input Diff.'!X130,"NA")</f>
        <v>0</v>
      </c>
      <c r="Y18" s="421">
        <f>IFERROR(('Consumption Input'!Y19-'Consumption Input Diff.'!Y130)/'Consumption Input Diff.'!Y130,"NA")</f>
        <v>0</v>
      </c>
      <c r="Z18" s="421">
        <f>IFERROR(('Consumption Input'!Z19-'Consumption Input Diff.'!Z130)/'Consumption Input Diff.'!Z130,"NA")</f>
        <v>0</v>
      </c>
      <c r="AA18" s="421">
        <f>IFERROR(('Consumption Input'!AA19-'Consumption Input Diff.'!AA130)/'Consumption Input Diff.'!AA130,"NA")</f>
        <v>0</v>
      </c>
      <c r="AB18" s="421">
        <f>IFERROR(('Consumption Input'!AB19-'Consumption Input Diff.'!AB130)/'Consumption Input Diff.'!AB130,"NA")</f>
        <v>0</v>
      </c>
      <c r="AC18" s="421">
        <f>IFERROR(('Consumption Input'!AC19-'Consumption Input Diff.'!AC130)/'Consumption Input Diff.'!AC130,"NA")</f>
        <v>0</v>
      </c>
      <c r="AD18" s="421">
        <f>IFERROR(('Consumption Input'!AD19-'Consumption Input Diff.'!AD130)/'Consumption Input Diff.'!AD130,"NA")</f>
        <v>0</v>
      </c>
      <c r="AE18" s="421">
        <f>IFERROR(('Consumption Input'!AE19-'Consumption Input Diff.'!AE130)/'Consumption Input Diff.'!AE130,"NA")</f>
        <v>0</v>
      </c>
      <c r="AF18" s="421">
        <f>IFERROR(('Consumption Input'!AF19-'Consumption Input Diff.'!AF130)/'Consumption Input Diff.'!AF130,"NA")</f>
        <v>0</v>
      </c>
      <c r="AG18" s="421">
        <f>IFERROR(('Consumption Input'!AG19-'Consumption Input Diff.'!AG130)/'Consumption Input Diff.'!AG130,"NA")</f>
        <v>0</v>
      </c>
      <c r="AH18" s="421">
        <f>IFERROR(('Consumption Input'!AH19-'Consumption Input Diff.'!AH130)/'Consumption Input Diff.'!AH130,"NA")</f>
        <v>0</v>
      </c>
      <c r="AI18" s="421">
        <f>IFERROR(('Consumption Input'!AI19-'Consumption Input Diff.'!AI130)/'Consumption Input Diff.'!AI130,"NA")</f>
        <v>0</v>
      </c>
      <c r="AJ18" s="421">
        <f>IFERROR(('Consumption Input'!AJ19-'Consumption Input Diff.'!AJ130)/'Consumption Input Diff.'!AJ130,"NA")</f>
        <v>-0.13223593964334701</v>
      </c>
      <c r="AK18" s="5">
        <f>'Consumption Input'!V19-V130</f>
        <v>0</v>
      </c>
      <c r="AL18" s="5">
        <f>'Consumption Input'!W19-W130</f>
        <v>0</v>
      </c>
      <c r="AM18" s="5">
        <f>'Consumption Input'!X19-X130</f>
        <v>0</v>
      </c>
      <c r="AN18" s="5">
        <f>'Consumption Input'!Y19-Y130</f>
        <v>0</v>
      </c>
      <c r="AO18" s="5">
        <f>'Consumption Input'!Z19-Z130</f>
        <v>0</v>
      </c>
      <c r="AP18" s="5">
        <f>'Consumption Input'!AA19-AA130</f>
        <v>0</v>
      </c>
      <c r="AQ18" s="5">
        <f>'Consumption Input'!AB19-AB130</f>
        <v>0</v>
      </c>
      <c r="AR18" s="5">
        <f>'Consumption Input'!AC19-AC130</f>
        <v>0</v>
      </c>
      <c r="AS18" s="5">
        <f>'Consumption Input'!AD19-AD130</f>
        <v>0</v>
      </c>
      <c r="AT18" s="5">
        <f>'Consumption Input'!AE19-AE130</f>
        <v>0</v>
      </c>
      <c r="AU18" s="5">
        <f>'Consumption Input'!AF19-AF130</f>
        <v>0</v>
      </c>
      <c r="AV18" s="5">
        <f>'Consumption Input'!AG19-AG130</f>
        <v>0</v>
      </c>
      <c r="AW18" s="5">
        <f>'Consumption Input'!AH19-AH130</f>
        <v>0</v>
      </c>
      <c r="AX18" s="5">
        <f>'Consumption Input'!AI19-AI130</f>
        <v>0</v>
      </c>
      <c r="AY18" s="5">
        <f>'Consumption Input'!AJ19-AJ130</f>
        <v>-0.48199999999999976</v>
      </c>
      <c r="AZ18" s="21">
        <v>14</v>
      </c>
      <c r="BA18" s="6" t="s">
        <v>1894</v>
      </c>
      <c r="BB18" s="421">
        <f>IFERROR(('Non-Energy Use'!E18-'Consumption Input Diff.'!BB47)/'Consumption Input Diff.'!BB47,"NA")</f>
        <v>0</v>
      </c>
      <c r="BC18" s="421">
        <f>IFERROR(('Non-Energy Use'!F18-'Consumption Input Diff.'!BC47)/'Consumption Input Diff.'!BC47,"NA")</f>
        <v>0</v>
      </c>
      <c r="BD18" s="421">
        <f>IFERROR(('Non-Energy Use'!G18-'Consumption Input Diff.'!BD47)/'Consumption Input Diff.'!BD47,"NA")</f>
        <v>0</v>
      </c>
      <c r="BE18" s="421">
        <f>IFERROR(('Non-Energy Use'!H18-'Consumption Input Diff.'!BE47)/'Consumption Input Diff.'!BE47,"NA")</f>
        <v>0</v>
      </c>
      <c r="BF18" s="421">
        <f>IFERROR(('Non-Energy Use'!I18-'Consumption Input Diff.'!BF47)/'Consumption Input Diff.'!BF47,"NA")</f>
        <v>0</v>
      </c>
      <c r="BG18" s="421">
        <f>IFERROR(('Non-Energy Use'!J18-'Consumption Input Diff.'!BG47)/'Consumption Input Diff.'!BG47,"NA")</f>
        <v>0</v>
      </c>
      <c r="BH18" s="421">
        <f>IFERROR(('Non-Energy Use'!K18-'Consumption Input Diff.'!BH47)/'Consumption Input Diff.'!BH47,"NA")</f>
        <v>0</v>
      </c>
      <c r="BI18" s="421">
        <f>IFERROR(('Non-Energy Use'!L18-'Consumption Input Diff.'!BI47)/'Consumption Input Diff.'!BI47,"NA")</f>
        <v>0</v>
      </c>
      <c r="BJ18" s="421">
        <f>IFERROR(('Non-Energy Use'!M18-'Consumption Input Diff.'!BJ47)/'Consumption Input Diff.'!BJ47,"NA")</f>
        <v>0</v>
      </c>
      <c r="BK18" s="421">
        <f>IFERROR(('Non-Energy Use'!N18-'Consumption Input Diff.'!BK47)/'Consumption Input Diff.'!BK47,"NA")</f>
        <v>0</v>
      </c>
      <c r="BL18" s="421">
        <f>IFERROR(('Non-Energy Use'!O18-'Consumption Input Diff.'!BL47)/'Consumption Input Diff.'!BL47,"NA")</f>
        <v>0</v>
      </c>
      <c r="BM18" s="421">
        <f>IFERROR(('Non-Energy Use'!P18-'Consumption Input Diff.'!BM47)/'Consumption Input Diff.'!BM47,"NA")</f>
        <v>0</v>
      </c>
      <c r="BN18" s="421">
        <f>IFERROR(('Non-Energy Use'!Q18-'Consumption Input Diff.'!BN47)/'Consumption Input Diff.'!BN47,"NA")</f>
        <v>0</v>
      </c>
      <c r="BO18" s="421">
        <f>IFERROR(('Non-Energy Use'!R18-'Consumption Input Diff.'!BO47)/'Consumption Input Diff.'!BO47,"NA")</f>
        <v>0</v>
      </c>
      <c r="BP18" s="421">
        <f>IFERROR(('Non-Energy Use'!S18-'Consumption Input Diff.'!BP47)/'Consumption Input Diff.'!BP47,"NA")</f>
        <v>0</v>
      </c>
      <c r="BQ18" s="421">
        <f>IFERROR(('Non-Energy Use'!T18-'Consumption Input Diff.'!BQ47)/'Consumption Input Diff.'!BQ47,"NA")</f>
        <v>0</v>
      </c>
      <c r="BR18" s="421">
        <f>IFERROR(('Non-Energy Use'!U18-'Consumption Input Diff.'!BR47)/'Consumption Input Diff.'!BR47,"NA")</f>
        <v>0</v>
      </c>
      <c r="BS18" s="421">
        <f>IFERROR(('Non-Energy Use'!V18-'Consumption Input Diff.'!BS47)/'Consumption Input Diff.'!BS47,"NA")</f>
        <v>0</v>
      </c>
      <c r="BT18" s="421">
        <f>IFERROR(('Non-Energy Use'!W18-'Consumption Input Diff.'!BT47)/'Consumption Input Diff.'!BT47,"NA")</f>
        <v>0</v>
      </c>
      <c r="BU18" s="421">
        <f>IFERROR(('Non-Energy Use'!X18-'Consumption Input Diff.'!BU47)/'Consumption Input Diff.'!BU47,"NA")</f>
        <v>0</v>
      </c>
      <c r="BV18" s="421">
        <f>IFERROR(('Non-Energy Use'!Y18-'Consumption Input Diff.'!BV47)/'Consumption Input Diff.'!BV47,"NA")</f>
        <v>0</v>
      </c>
      <c r="BW18" s="421">
        <f>IFERROR(('Non-Energy Use'!Z18-'Consumption Input Diff.'!BW47)/'Consumption Input Diff.'!BW47,"NA")</f>
        <v>0</v>
      </c>
      <c r="BX18" s="421">
        <f>IFERROR(('Non-Energy Use'!AA18-'Consumption Input Diff.'!BX47)/'Consumption Input Diff.'!BX47,"NA")</f>
        <v>0</v>
      </c>
      <c r="BY18" s="421">
        <f>IFERROR(('Non-Energy Use'!AB18-'Consumption Input Diff.'!BY47)/'Consumption Input Diff.'!BY47,"NA")</f>
        <v>0</v>
      </c>
      <c r="BZ18" s="421">
        <f>IFERROR(('Non-Energy Use'!AC18-'Consumption Input Diff.'!BZ47)/'Consumption Input Diff.'!BZ47,"NA")</f>
        <v>0</v>
      </c>
      <c r="CA18" s="421">
        <f>IFERROR(('Non-Energy Use'!AD18-'Consumption Input Diff.'!CA47)/'Consumption Input Diff.'!CA47,"NA")</f>
        <v>0</v>
      </c>
      <c r="CB18" s="421">
        <f>IFERROR(('Non-Energy Use'!AE18-'Consumption Input Diff.'!CB47)/'Consumption Input Diff.'!CB47,"NA")</f>
        <v>0</v>
      </c>
      <c r="CC18" s="421">
        <f>IFERROR(('Non-Energy Use'!AF18-'Consumption Input Diff.'!CC47)/'Consumption Input Diff.'!CC47,"NA")</f>
        <v>0</v>
      </c>
      <c r="CD18" s="421">
        <f>IFERROR(('Non-Energy Use'!AG18-'Consumption Input Diff.'!CD47)/'Consumption Input Diff.'!CD47,"NA")</f>
        <v>0</v>
      </c>
      <c r="CE18" s="421">
        <f>IFERROR(('Non-Energy Use'!AH18-'Consumption Input Diff.'!CE47)/'Consumption Input Diff.'!CE47,"NA")</f>
        <v>0</v>
      </c>
      <c r="CF18" s="421">
        <f>IFERROR(('Non-Energy Use'!AI18-'Consumption Input Diff.'!CF47)/'Consumption Input Diff.'!CF47,"NA")</f>
        <v>0</v>
      </c>
      <c r="CG18" s="421">
        <f>IFERROR(('Non-Energy Use'!AJ18-'Consumption Input Diff.'!CG47)/'Consumption Input Diff.'!CG47,"NA")</f>
        <v>0</v>
      </c>
    </row>
    <row r="19" spans="2:85">
      <c r="B19" s="456">
        <v>16</v>
      </c>
      <c r="D19" s="45" t="s">
        <v>1603</v>
      </c>
      <c r="E19" s="421" t="str">
        <f>IFERROR(('Consumption Input'!E20-'Consumption Input Diff.'!E131)/'Consumption Input Diff.'!E131,"NA")</f>
        <v>NA</v>
      </c>
      <c r="F19" s="421" t="str">
        <f>IFERROR(('Consumption Input'!F20-'Consumption Input Diff.'!F131)/'Consumption Input Diff.'!F131,"NA")</f>
        <v>NA</v>
      </c>
      <c r="G19" s="421" t="str">
        <f>IFERROR(('Consumption Input'!G20-'Consumption Input Diff.'!G131)/'Consumption Input Diff.'!G131,"NA")</f>
        <v>NA</v>
      </c>
      <c r="H19" s="421" t="str">
        <f>IFERROR(('Consumption Input'!H20-'Consumption Input Diff.'!H131)/'Consumption Input Diff.'!H131,"NA")</f>
        <v>NA</v>
      </c>
      <c r="I19" s="421" t="str">
        <f>IFERROR(('Consumption Input'!I20-'Consumption Input Diff.'!I131)/'Consumption Input Diff.'!I131,"NA")</f>
        <v>NA</v>
      </c>
      <c r="J19" s="421" t="str">
        <f>IFERROR(('Consumption Input'!J20-'Consumption Input Diff.'!J131)/'Consumption Input Diff.'!J131,"NA")</f>
        <v>NA</v>
      </c>
      <c r="K19" s="421" t="str">
        <f>IFERROR(('Consumption Input'!K20-'Consumption Input Diff.'!K131)/'Consumption Input Diff.'!K131,"NA")</f>
        <v>NA</v>
      </c>
      <c r="L19" s="421" t="str">
        <f>IFERROR(('Consumption Input'!L20-'Consumption Input Diff.'!L131)/'Consumption Input Diff.'!L131,"NA")</f>
        <v>NA</v>
      </c>
      <c r="M19" s="421" t="str">
        <f>IFERROR(('Consumption Input'!M20-'Consumption Input Diff.'!M131)/'Consumption Input Diff.'!M131,"NA")</f>
        <v>NA</v>
      </c>
      <c r="N19" s="421" t="str">
        <f>IFERROR(('Consumption Input'!N20-'Consumption Input Diff.'!N131)/'Consumption Input Diff.'!N131,"NA")</f>
        <v>NA</v>
      </c>
      <c r="O19" s="421" t="str">
        <f>IFERROR(('Consumption Input'!O20-'Consumption Input Diff.'!O131)/'Consumption Input Diff.'!O131,"NA")</f>
        <v>NA</v>
      </c>
      <c r="P19" s="421" t="str">
        <f>IFERROR(('Consumption Input'!P20-'Consumption Input Diff.'!P131)/'Consumption Input Diff.'!P131,"NA")</f>
        <v>NA</v>
      </c>
      <c r="Q19" s="421" t="str">
        <f>IFERROR(('Consumption Input'!Q20-'Consumption Input Diff.'!Q131)/'Consumption Input Diff.'!Q131,"NA")</f>
        <v>NA</v>
      </c>
      <c r="R19" s="421" t="str">
        <f>IFERROR(('Consumption Input'!R20-'Consumption Input Diff.'!R131)/'Consumption Input Diff.'!R131,"NA")</f>
        <v>NA</v>
      </c>
      <c r="S19" s="421" t="str">
        <f>IFERROR(('Consumption Input'!S20-'Consumption Input Diff.'!S131)/'Consumption Input Diff.'!S131,"NA")</f>
        <v>NA</v>
      </c>
      <c r="T19" s="421" t="str">
        <f>IFERROR(('Consumption Input'!T20-'Consumption Input Diff.'!T131)/'Consumption Input Diff.'!T131,"NA")</f>
        <v>NA</v>
      </c>
      <c r="U19" s="421" t="str">
        <f>IFERROR(('Consumption Input'!U20-'Consumption Input Diff.'!U131)/'Consumption Input Diff.'!U131,"NA")</f>
        <v>NA</v>
      </c>
      <c r="V19" s="421" t="str">
        <f>IFERROR(('Consumption Input'!V20-'Consumption Input Diff.'!V131)/'Consumption Input Diff.'!V131,"NA")</f>
        <v>NA</v>
      </c>
      <c r="W19" s="421" t="str">
        <f>IFERROR(('Consumption Input'!W20-'Consumption Input Diff.'!W131)/'Consumption Input Diff.'!W131,"NA")</f>
        <v>NA</v>
      </c>
      <c r="X19" s="421" t="str">
        <f>IFERROR(('Consumption Input'!X20-'Consumption Input Diff.'!X131)/'Consumption Input Diff.'!X131,"NA")</f>
        <v>NA</v>
      </c>
      <c r="Y19" s="421" t="str">
        <f>IFERROR(('Consumption Input'!Y20-'Consumption Input Diff.'!Y131)/'Consumption Input Diff.'!Y131,"NA")</f>
        <v>NA</v>
      </c>
      <c r="Z19" s="421" t="str">
        <f>IFERROR(('Consumption Input'!Z20-'Consumption Input Diff.'!Z131)/'Consumption Input Diff.'!Z131,"NA")</f>
        <v>NA</v>
      </c>
      <c r="AA19" s="421" t="str">
        <f>IFERROR(('Consumption Input'!AA20-'Consumption Input Diff.'!AA131)/'Consumption Input Diff.'!AA131,"NA")</f>
        <v>NA</v>
      </c>
      <c r="AB19" s="421" t="str">
        <f>IFERROR(('Consumption Input'!AB20-'Consumption Input Diff.'!AB131)/'Consumption Input Diff.'!AB131,"NA")</f>
        <v>NA</v>
      </c>
      <c r="AC19" s="421" t="str">
        <f>IFERROR(('Consumption Input'!AC20-'Consumption Input Diff.'!AC131)/'Consumption Input Diff.'!AC131,"NA")</f>
        <v>NA</v>
      </c>
      <c r="AD19" s="421" t="str">
        <f>IFERROR(('Consumption Input'!AD20-'Consumption Input Diff.'!AD131)/'Consumption Input Diff.'!AD131,"NA")</f>
        <v>NA</v>
      </c>
      <c r="AE19" s="421" t="str">
        <f>IFERROR(('Consumption Input'!AE20-'Consumption Input Diff.'!AE131)/'Consumption Input Diff.'!AE131,"NA")</f>
        <v>NA</v>
      </c>
      <c r="AF19" s="421" t="str">
        <f>IFERROR(('Consumption Input'!AF20-'Consumption Input Diff.'!AF131)/'Consumption Input Diff.'!AF131,"NA")</f>
        <v>NA</v>
      </c>
      <c r="AG19" s="421" t="str">
        <f>IFERROR(('Consumption Input'!AG20-'Consumption Input Diff.'!AG131)/'Consumption Input Diff.'!AG131,"NA")</f>
        <v>NA</v>
      </c>
      <c r="AH19" s="421" t="str">
        <f>IFERROR(('Consumption Input'!AH20-'Consumption Input Diff.'!AH131)/'Consumption Input Diff.'!AH131,"NA")</f>
        <v>NA</v>
      </c>
      <c r="AI19" s="421" t="str">
        <f>IFERROR(('Consumption Input'!AI20-'Consumption Input Diff.'!AI131)/'Consumption Input Diff.'!AI131,"NA")</f>
        <v>NA</v>
      </c>
      <c r="AJ19" s="421" t="str">
        <f>IFERROR(('Consumption Input'!AJ20-'Consumption Input Diff.'!AJ131)/'Consumption Input Diff.'!AJ131,"NA")</f>
        <v>NA</v>
      </c>
      <c r="AK19" s="5"/>
      <c r="AL19" s="5"/>
      <c r="AM19" s="5"/>
      <c r="AN19" s="5"/>
      <c r="AO19" s="5"/>
      <c r="AP19" s="5"/>
      <c r="AQ19" s="5"/>
      <c r="AR19" s="5"/>
      <c r="AS19" s="5"/>
      <c r="AT19" s="5"/>
      <c r="AU19" s="5"/>
      <c r="AV19" s="5"/>
      <c r="AW19" s="5"/>
      <c r="AX19" s="5"/>
      <c r="AY19" s="5"/>
      <c r="AZ19" s="21">
        <v>15</v>
      </c>
      <c r="BA19" s="6" t="s">
        <v>1895</v>
      </c>
      <c r="BB19" s="421" t="str">
        <f>IFERROR(('Non-Energy Use'!E19-'Consumption Input Diff.'!BB48)/'Consumption Input Diff.'!BB48,"NA")</f>
        <v>NA</v>
      </c>
      <c r="BC19" s="421" t="str">
        <f>IFERROR(('Non-Energy Use'!F19-'Consumption Input Diff.'!BC48)/'Consumption Input Diff.'!BC48,"NA")</f>
        <v>NA</v>
      </c>
      <c r="BD19" s="421" t="str">
        <f>IFERROR(('Non-Energy Use'!G19-'Consumption Input Diff.'!BD48)/'Consumption Input Diff.'!BD48,"NA")</f>
        <v>NA</v>
      </c>
      <c r="BE19" s="421" t="str">
        <f>IFERROR(('Non-Energy Use'!H19-'Consumption Input Diff.'!BE48)/'Consumption Input Diff.'!BE48,"NA")</f>
        <v>NA</v>
      </c>
      <c r="BF19" s="421" t="str">
        <f>IFERROR(('Non-Energy Use'!I19-'Consumption Input Diff.'!BF48)/'Consumption Input Diff.'!BF48,"NA")</f>
        <v>NA</v>
      </c>
      <c r="BG19" s="421" t="str">
        <f>IFERROR(('Non-Energy Use'!J19-'Consumption Input Diff.'!BG48)/'Consumption Input Diff.'!BG48,"NA")</f>
        <v>NA</v>
      </c>
      <c r="BH19" s="421" t="str">
        <f>IFERROR(('Non-Energy Use'!K19-'Consumption Input Diff.'!BH48)/'Consumption Input Diff.'!BH48,"NA")</f>
        <v>NA</v>
      </c>
      <c r="BI19" s="421" t="str">
        <f>IFERROR(('Non-Energy Use'!L19-'Consumption Input Diff.'!BI48)/'Consumption Input Diff.'!BI48,"NA")</f>
        <v>NA</v>
      </c>
      <c r="BJ19" s="421" t="str">
        <f>IFERROR(('Non-Energy Use'!M19-'Consumption Input Diff.'!BJ48)/'Consumption Input Diff.'!BJ48,"NA")</f>
        <v>NA</v>
      </c>
      <c r="BK19" s="421" t="str">
        <f>IFERROR(('Non-Energy Use'!N19-'Consumption Input Diff.'!BK48)/'Consumption Input Diff.'!BK48,"NA")</f>
        <v>NA</v>
      </c>
      <c r="BL19" s="421" t="str">
        <f>IFERROR(('Non-Energy Use'!O19-'Consumption Input Diff.'!BL48)/'Consumption Input Diff.'!BL48,"NA")</f>
        <v>NA</v>
      </c>
      <c r="BM19" s="421" t="str">
        <f>IFERROR(('Non-Energy Use'!P19-'Consumption Input Diff.'!BM48)/'Consumption Input Diff.'!BM48,"NA")</f>
        <v>NA</v>
      </c>
      <c r="BN19" s="421" t="str">
        <f>IFERROR(('Non-Energy Use'!Q19-'Consumption Input Diff.'!BN48)/'Consumption Input Diff.'!BN48,"NA")</f>
        <v>NA</v>
      </c>
      <c r="BO19" s="421" t="str">
        <f>IFERROR(('Non-Energy Use'!R19-'Consumption Input Diff.'!BO48)/'Consumption Input Diff.'!BO48,"NA")</f>
        <v>NA</v>
      </c>
      <c r="BP19" s="421" t="str">
        <f>IFERROR(('Non-Energy Use'!S19-'Consumption Input Diff.'!BP48)/'Consumption Input Diff.'!BP48,"NA")</f>
        <v>NA</v>
      </c>
      <c r="BQ19" s="421" t="str">
        <f>IFERROR(('Non-Energy Use'!T19-'Consumption Input Diff.'!BQ48)/'Consumption Input Diff.'!BQ48,"NA")</f>
        <v>NA</v>
      </c>
      <c r="BR19" s="421" t="str">
        <f>IFERROR(('Non-Energy Use'!U19-'Consumption Input Diff.'!BR48)/'Consumption Input Diff.'!BR48,"NA")</f>
        <v>NA</v>
      </c>
      <c r="BS19" s="421" t="str">
        <f>IFERROR(('Non-Energy Use'!V19-'Consumption Input Diff.'!BS48)/'Consumption Input Diff.'!BS48,"NA")</f>
        <v>NA</v>
      </c>
      <c r="BT19" s="421" t="str">
        <f>IFERROR(('Non-Energy Use'!W19-'Consumption Input Diff.'!BT48)/'Consumption Input Diff.'!BT48,"NA")</f>
        <v>NA</v>
      </c>
      <c r="BU19" s="421" t="str">
        <f>IFERROR(('Non-Energy Use'!X19-'Consumption Input Diff.'!BU48)/'Consumption Input Diff.'!BU48,"NA")</f>
        <v>NA</v>
      </c>
      <c r="BV19" s="421" t="str">
        <f>IFERROR(('Non-Energy Use'!Y19-'Consumption Input Diff.'!BV48)/'Consumption Input Diff.'!BV48,"NA")</f>
        <v>NA</v>
      </c>
      <c r="BW19" s="421" t="str">
        <f>IFERROR(('Non-Energy Use'!Z19-'Consumption Input Diff.'!BW48)/'Consumption Input Diff.'!BW48,"NA")</f>
        <v>NA</v>
      </c>
      <c r="BX19" s="421" t="str">
        <f>IFERROR(('Non-Energy Use'!AA19-'Consumption Input Diff.'!BX48)/'Consumption Input Diff.'!BX48,"NA")</f>
        <v>NA</v>
      </c>
      <c r="BY19" s="421" t="str">
        <f>IFERROR(('Non-Energy Use'!AB19-'Consumption Input Diff.'!BY48)/'Consumption Input Diff.'!BY48,"NA")</f>
        <v>NA</v>
      </c>
      <c r="BZ19" s="421" t="str">
        <f>IFERROR(('Non-Energy Use'!AC19-'Consumption Input Diff.'!BZ48)/'Consumption Input Diff.'!BZ48,"NA")</f>
        <v>NA</v>
      </c>
      <c r="CA19" s="421" t="str">
        <f>IFERROR(('Non-Energy Use'!AD19-'Consumption Input Diff.'!CA48)/'Consumption Input Diff.'!CA48,"NA")</f>
        <v>NA</v>
      </c>
      <c r="CB19" s="421" t="str">
        <f>IFERROR(('Non-Energy Use'!AE19-'Consumption Input Diff.'!CB48)/'Consumption Input Diff.'!CB48,"NA")</f>
        <v>NA</v>
      </c>
      <c r="CC19" s="421" t="str">
        <f>IFERROR(('Non-Energy Use'!AF19-'Consumption Input Diff.'!CC48)/'Consumption Input Diff.'!CC48,"NA")</f>
        <v>NA</v>
      </c>
      <c r="CD19" s="421" t="str">
        <f>IFERROR(('Non-Energy Use'!AG19-'Consumption Input Diff.'!CD48)/'Consumption Input Diff.'!CD48,"NA")</f>
        <v>NA</v>
      </c>
      <c r="CE19" s="421" t="str">
        <f>IFERROR(('Non-Energy Use'!AH19-'Consumption Input Diff.'!CE48)/'Consumption Input Diff.'!CE48,"NA")</f>
        <v>NA</v>
      </c>
      <c r="CF19" s="421" t="str">
        <f>IFERROR(('Non-Energy Use'!AI19-'Consumption Input Diff.'!CF48)/'Consumption Input Diff.'!CF48,"NA")</f>
        <v>NA</v>
      </c>
      <c r="CG19" s="421" t="str">
        <f>IFERROR(('Non-Energy Use'!AJ19-'Consumption Input Diff.'!CG48)/'Consumption Input Diff.'!CG48,"NA")</f>
        <v>NA</v>
      </c>
    </row>
    <row r="20" spans="2:85">
      <c r="B20" s="456">
        <v>17</v>
      </c>
      <c r="D20" s="7" t="s">
        <v>1604</v>
      </c>
      <c r="E20" s="484" t="str">
        <f>IFERROR(('Consumption Input'!E21-'Consumption Input Diff.'!E132)/'Consumption Input Diff.'!E132,"NA")</f>
        <v>NA</v>
      </c>
      <c r="F20" s="484" t="str">
        <f>IFERROR(('Consumption Input'!F21-'Consumption Input Diff.'!F132)/'Consumption Input Diff.'!F132,"NA")</f>
        <v>NA</v>
      </c>
      <c r="G20" s="484">
        <f>IFERROR(('Consumption Input'!G21-'Consumption Input Diff.'!G132)/'Consumption Input Diff.'!G132,"NA")</f>
        <v>0</v>
      </c>
      <c r="H20" s="484">
        <f>IFERROR(('Consumption Input'!H21-'Consumption Input Diff.'!H132)/'Consumption Input Diff.'!H132,"NA")</f>
        <v>0</v>
      </c>
      <c r="I20" s="484">
        <f>IFERROR(('Consumption Input'!I21-'Consumption Input Diff.'!I132)/'Consumption Input Diff.'!I132,"NA")</f>
        <v>0</v>
      </c>
      <c r="J20" s="484">
        <f>IFERROR(('Consumption Input'!J21-'Consumption Input Diff.'!J132)/'Consumption Input Diff.'!J132,"NA")</f>
        <v>0</v>
      </c>
      <c r="K20" s="484">
        <f>IFERROR(('Consumption Input'!K21-'Consumption Input Diff.'!K132)/'Consumption Input Diff.'!K132,"NA")</f>
        <v>0</v>
      </c>
      <c r="L20" s="484">
        <f>IFERROR(('Consumption Input'!L21-'Consumption Input Diff.'!L132)/'Consumption Input Diff.'!L132,"NA")</f>
        <v>0</v>
      </c>
      <c r="M20" s="484">
        <f>IFERROR(('Consumption Input'!M21-'Consumption Input Diff.'!M132)/'Consumption Input Diff.'!M132,"NA")</f>
        <v>0</v>
      </c>
      <c r="N20" s="484">
        <f>IFERROR(('Consumption Input'!N21-'Consumption Input Diff.'!N132)/'Consumption Input Diff.'!N132,"NA")</f>
        <v>0</v>
      </c>
      <c r="O20" s="484">
        <f>IFERROR(('Consumption Input'!O21-'Consumption Input Diff.'!O132)/'Consumption Input Diff.'!O132,"NA")</f>
        <v>0</v>
      </c>
      <c r="P20" s="484">
        <f>IFERROR(('Consumption Input'!P21-'Consumption Input Diff.'!P132)/'Consumption Input Diff.'!P132,"NA")</f>
        <v>0</v>
      </c>
      <c r="Q20" s="484">
        <f>IFERROR(('Consumption Input'!Q21-'Consumption Input Diff.'!Q132)/'Consumption Input Diff.'!Q132,"NA")</f>
        <v>0</v>
      </c>
      <c r="R20" s="484">
        <f>IFERROR(('Consumption Input'!R21-'Consumption Input Diff.'!R132)/'Consumption Input Diff.'!R132,"NA")</f>
        <v>0</v>
      </c>
      <c r="S20" s="484">
        <f>IFERROR(('Consumption Input'!S21-'Consumption Input Diff.'!S132)/'Consumption Input Diff.'!S132,"NA")</f>
        <v>0</v>
      </c>
      <c r="T20" s="484">
        <f>IFERROR(('Consumption Input'!T21-'Consumption Input Diff.'!T132)/'Consumption Input Diff.'!T132,"NA")</f>
        <v>0</v>
      </c>
      <c r="U20" s="484">
        <f>IFERROR(('Consumption Input'!U21-'Consumption Input Diff.'!U132)/'Consumption Input Diff.'!U132,"NA")</f>
        <v>0</v>
      </c>
      <c r="V20" s="484">
        <f>IFERROR(('Consumption Input'!V21-'Consumption Input Diff.'!V132)/'Consumption Input Diff.'!V132,"NA")</f>
        <v>0</v>
      </c>
      <c r="W20" s="484">
        <f>IFERROR(('Consumption Input'!W21-'Consumption Input Diff.'!W132)/'Consumption Input Diff.'!W132,"NA")</f>
        <v>0</v>
      </c>
      <c r="X20" s="484">
        <f>IFERROR(('Consumption Input'!X21-'Consumption Input Diff.'!X132)/'Consumption Input Diff.'!X132,"NA")</f>
        <v>0</v>
      </c>
      <c r="Y20" s="484">
        <f>IFERROR(('Consumption Input'!Y21-'Consumption Input Diff.'!Y132)/'Consumption Input Diff.'!Y132,"NA")</f>
        <v>0</v>
      </c>
      <c r="Z20" s="484">
        <f>IFERROR(('Consumption Input'!Z21-'Consumption Input Diff.'!Z132)/'Consumption Input Diff.'!Z132,"NA")</f>
        <v>0</v>
      </c>
      <c r="AA20" s="484">
        <f>IFERROR(('Consumption Input'!AA21-'Consumption Input Diff.'!AA132)/'Consumption Input Diff.'!AA132,"NA")</f>
        <v>0</v>
      </c>
      <c r="AB20" s="484">
        <f>IFERROR(('Consumption Input'!AB21-'Consumption Input Diff.'!AB132)/'Consumption Input Diff.'!AB132,"NA")</f>
        <v>0</v>
      </c>
      <c r="AC20" s="484">
        <f>IFERROR(('Consumption Input'!AC21-'Consumption Input Diff.'!AC132)/'Consumption Input Diff.'!AC132,"NA")</f>
        <v>0</v>
      </c>
      <c r="AD20" s="484">
        <f>IFERROR(('Consumption Input'!AD21-'Consumption Input Diff.'!AD132)/'Consumption Input Diff.'!AD132,"NA")</f>
        <v>0</v>
      </c>
      <c r="AE20" s="484">
        <f>IFERROR(('Consumption Input'!AE21-'Consumption Input Diff.'!AE132)/'Consumption Input Diff.'!AE132,"NA")</f>
        <v>0</v>
      </c>
      <c r="AF20" s="484">
        <f>IFERROR(('Consumption Input'!AF21-'Consumption Input Diff.'!AF132)/'Consumption Input Diff.'!AF132,"NA")</f>
        <v>0</v>
      </c>
      <c r="AG20" s="484">
        <f>IFERROR(('Consumption Input'!AG21-'Consumption Input Diff.'!AG132)/'Consumption Input Diff.'!AG132,"NA")</f>
        <v>0</v>
      </c>
      <c r="AH20" s="484">
        <f>IFERROR(('Consumption Input'!AH21-'Consumption Input Diff.'!AH132)/'Consumption Input Diff.'!AH132,"NA")</f>
        <v>0</v>
      </c>
      <c r="AI20" s="484">
        <f>IFERROR(('Consumption Input'!AI21-'Consumption Input Diff.'!AI132)/'Consumption Input Diff.'!AI132,"NA")</f>
        <v>0</v>
      </c>
      <c r="AJ20" s="484">
        <f>IFERROR(('Consumption Input'!AJ21-'Consumption Input Diff.'!AJ132)/'Consumption Input Diff.'!AJ132,"NA")</f>
        <v>0</v>
      </c>
      <c r="AK20" s="5">
        <f>'Consumption Input'!V21-V132</f>
        <v>0</v>
      </c>
      <c r="AL20" s="5">
        <f>'Consumption Input'!W21-W132</f>
        <v>0</v>
      </c>
      <c r="AM20" s="5">
        <f>'Consumption Input'!X21-X132</f>
        <v>0</v>
      </c>
      <c r="AN20" s="5">
        <f>'Consumption Input'!Y21-Y132</f>
        <v>0</v>
      </c>
      <c r="AO20" s="5">
        <f>'Consumption Input'!Z21-Z132</f>
        <v>0</v>
      </c>
      <c r="AP20" s="5">
        <f>'Consumption Input'!AA21-AA132</f>
        <v>0</v>
      </c>
      <c r="AQ20" s="5">
        <f>'Consumption Input'!AB21-AB132</f>
        <v>0</v>
      </c>
      <c r="AR20" s="5">
        <f>'Consumption Input'!AC21-AC132</f>
        <v>0</v>
      </c>
      <c r="AS20" s="5">
        <f>'Consumption Input'!AD21-AD132</f>
        <v>0</v>
      </c>
      <c r="AT20" s="5">
        <f>'Consumption Input'!AE21-AE132</f>
        <v>0</v>
      </c>
      <c r="AU20" s="5">
        <f>'Consumption Input'!AF21-AF132</f>
        <v>0</v>
      </c>
      <c r="AV20" s="5">
        <f>'Consumption Input'!AG21-AG132</f>
        <v>0</v>
      </c>
      <c r="AW20" s="5">
        <f>'Consumption Input'!AH21-AH132</f>
        <v>0</v>
      </c>
      <c r="AX20" s="5">
        <f>'Consumption Input'!AI21-AI132</f>
        <v>0</v>
      </c>
      <c r="AY20" s="5">
        <f>'Consumption Input'!AJ21-AJ132</f>
        <v>0</v>
      </c>
      <c r="AZ20" s="21">
        <v>16</v>
      </c>
      <c r="BA20" s="463" t="s">
        <v>1738</v>
      </c>
      <c r="BB20" s="421">
        <f>IFERROR(('Non-Energy Use'!E20-'Consumption Input Diff.'!BB49)/'Consumption Input Diff.'!BB49,"NA")</f>
        <v>0</v>
      </c>
      <c r="BC20" s="421">
        <f>IFERROR(('Non-Energy Use'!F20-'Consumption Input Diff.'!BC49)/'Consumption Input Diff.'!BC49,"NA")</f>
        <v>0</v>
      </c>
      <c r="BD20" s="421">
        <f>IFERROR(('Non-Energy Use'!G20-'Consumption Input Diff.'!BD49)/'Consumption Input Diff.'!BD49,"NA")</f>
        <v>0</v>
      </c>
      <c r="BE20" s="421">
        <f>IFERROR(('Non-Energy Use'!H20-'Consumption Input Diff.'!BE49)/'Consumption Input Diff.'!BE49,"NA")</f>
        <v>0</v>
      </c>
      <c r="BF20" s="421">
        <f>IFERROR(('Non-Energy Use'!I20-'Consumption Input Diff.'!BF49)/'Consumption Input Diff.'!BF49,"NA")</f>
        <v>0</v>
      </c>
      <c r="BG20" s="421">
        <f>IFERROR(('Non-Energy Use'!J20-'Consumption Input Diff.'!BG49)/'Consumption Input Diff.'!BG49,"NA")</f>
        <v>0</v>
      </c>
      <c r="BH20" s="421">
        <f>IFERROR(('Non-Energy Use'!K20-'Consumption Input Diff.'!BH49)/'Consumption Input Diff.'!BH49,"NA")</f>
        <v>0</v>
      </c>
      <c r="BI20" s="421">
        <f>IFERROR(('Non-Energy Use'!L20-'Consumption Input Diff.'!BI49)/'Consumption Input Diff.'!BI49,"NA")</f>
        <v>0</v>
      </c>
      <c r="BJ20" s="421">
        <f>IFERROR(('Non-Energy Use'!M20-'Consumption Input Diff.'!BJ49)/'Consumption Input Diff.'!BJ49,"NA")</f>
        <v>0</v>
      </c>
      <c r="BK20" s="421">
        <f>IFERROR(('Non-Energy Use'!N20-'Consumption Input Diff.'!BK49)/'Consumption Input Diff.'!BK49,"NA")</f>
        <v>0</v>
      </c>
      <c r="BL20" s="421">
        <f>IFERROR(('Non-Energy Use'!O20-'Consumption Input Diff.'!BL49)/'Consumption Input Diff.'!BL49,"NA")</f>
        <v>0</v>
      </c>
      <c r="BM20" s="421">
        <f>IFERROR(('Non-Energy Use'!P20-'Consumption Input Diff.'!BM49)/'Consumption Input Diff.'!BM49,"NA")</f>
        <v>0</v>
      </c>
      <c r="BN20" s="421">
        <f>IFERROR(('Non-Energy Use'!Q20-'Consumption Input Diff.'!BN49)/'Consumption Input Diff.'!BN49,"NA")</f>
        <v>0</v>
      </c>
      <c r="BO20" s="421">
        <f>IFERROR(('Non-Energy Use'!R20-'Consumption Input Diff.'!BO49)/'Consumption Input Diff.'!BO49,"NA")</f>
        <v>0</v>
      </c>
      <c r="BP20" s="421">
        <f>IFERROR(('Non-Energy Use'!S20-'Consumption Input Diff.'!BP49)/'Consumption Input Diff.'!BP49,"NA")</f>
        <v>0</v>
      </c>
      <c r="BQ20" s="421">
        <f>IFERROR(('Non-Energy Use'!T20-'Consumption Input Diff.'!BQ49)/'Consumption Input Diff.'!BQ49,"NA")</f>
        <v>0</v>
      </c>
      <c r="BR20" s="421">
        <f>IFERROR(('Non-Energy Use'!U20-'Consumption Input Diff.'!BR49)/'Consumption Input Diff.'!BR49,"NA")</f>
        <v>0</v>
      </c>
      <c r="BS20" s="421">
        <f>IFERROR(('Non-Energy Use'!V20-'Consumption Input Diff.'!BS49)/'Consumption Input Diff.'!BS49,"NA")</f>
        <v>0</v>
      </c>
      <c r="BT20" s="421">
        <f>IFERROR(('Non-Energy Use'!W20-'Consumption Input Diff.'!BT49)/'Consumption Input Diff.'!BT49,"NA")</f>
        <v>0</v>
      </c>
      <c r="BU20" s="421">
        <f>IFERROR(('Non-Energy Use'!X20-'Consumption Input Diff.'!BU49)/'Consumption Input Diff.'!BU49,"NA")</f>
        <v>0</v>
      </c>
      <c r="BV20" s="421">
        <f>IFERROR(('Non-Energy Use'!Y20-'Consumption Input Diff.'!BV49)/'Consumption Input Diff.'!BV49,"NA")</f>
        <v>0</v>
      </c>
      <c r="BW20" s="421">
        <f>IFERROR(('Non-Energy Use'!Z20-'Consumption Input Diff.'!BW49)/'Consumption Input Diff.'!BW49,"NA")</f>
        <v>0</v>
      </c>
      <c r="BX20" s="421">
        <f>IFERROR(('Non-Energy Use'!AA20-'Consumption Input Diff.'!BX49)/'Consumption Input Diff.'!BX49,"NA")</f>
        <v>0</v>
      </c>
      <c r="BY20" s="421">
        <f>IFERROR(('Non-Energy Use'!AB20-'Consumption Input Diff.'!BY49)/'Consumption Input Diff.'!BY49,"NA")</f>
        <v>0</v>
      </c>
      <c r="BZ20" s="421">
        <f>IFERROR(('Non-Energy Use'!AC20-'Consumption Input Diff.'!BZ49)/'Consumption Input Diff.'!BZ49,"NA")</f>
        <v>0</v>
      </c>
      <c r="CA20" s="421">
        <f>IFERROR(('Non-Energy Use'!AD20-'Consumption Input Diff.'!CA49)/'Consumption Input Diff.'!CA49,"NA")</f>
        <v>0</v>
      </c>
      <c r="CB20" s="421">
        <f>IFERROR(('Non-Energy Use'!AE20-'Consumption Input Diff.'!CB49)/'Consumption Input Diff.'!CB49,"NA")</f>
        <v>0</v>
      </c>
      <c r="CC20" s="421">
        <f>IFERROR(('Non-Energy Use'!AF20-'Consumption Input Diff.'!CC49)/'Consumption Input Diff.'!CC49,"NA")</f>
        <v>0</v>
      </c>
      <c r="CD20" s="421">
        <f>IFERROR(('Non-Energy Use'!AG20-'Consumption Input Diff.'!CD49)/'Consumption Input Diff.'!CD49,"NA")</f>
        <v>0</v>
      </c>
      <c r="CE20" s="421">
        <f>IFERROR(('Non-Energy Use'!AH20-'Consumption Input Diff.'!CE49)/'Consumption Input Diff.'!CE49,"NA")</f>
        <v>0</v>
      </c>
      <c r="CF20" s="421">
        <f>IFERROR(('Non-Energy Use'!AI20-'Consumption Input Diff.'!CF49)/'Consumption Input Diff.'!CF49,"NA")</f>
        <v>0</v>
      </c>
      <c r="CG20" s="421">
        <f>IFERROR(('Non-Energy Use'!AJ20-'Consumption Input Diff.'!CG49)/'Consumption Input Diff.'!CG49,"NA")</f>
        <v>0</v>
      </c>
    </row>
    <row r="21" spans="2:85">
      <c r="B21" s="456">
        <v>18</v>
      </c>
      <c r="C21" s="458" t="s">
        <v>1443</v>
      </c>
      <c r="D21" s="4"/>
      <c r="E21" s="462"/>
      <c r="F21" s="462"/>
      <c r="G21" s="462"/>
      <c r="H21" s="462"/>
      <c r="I21" s="462"/>
      <c r="J21" s="462"/>
      <c r="K21" s="462"/>
      <c r="L21" s="462"/>
      <c r="M21" s="462"/>
      <c r="N21" s="462"/>
      <c r="O21" s="462"/>
      <c r="P21" s="462"/>
      <c r="Q21" s="462"/>
      <c r="R21" s="462"/>
      <c r="S21" s="462"/>
      <c r="T21" s="462"/>
      <c r="U21" s="462"/>
      <c r="V21" s="462"/>
      <c r="W21" s="462"/>
      <c r="X21" s="462"/>
      <c r="Y21" s="462"/>
      <c r="Z21" s="462"/>
      <c r="AA21" s="462"/>
      <c r="AB21" s="462"/>
      <c r="AC21" s="462"/>
      <c r="AD21" s="462"/>
      <c r="AE21" s="462"/>
      <c r="AF21" s="462"/>
      <c r="AG21" s="462"/>
      <c r="AH21" s="462"/>
      <c r="AI21" s="462"/>
      <c r="AJ21" s="462"/>
      <c r="AK21" s="5"/>
      <c r="AL21" s="5"/>
      <c r="AM21" s="5"/>
      <c r="AN21" s="5"/>
      <c r="AO21" s="5"/>
      <c r="AP21" s="5"/>
      <c r="AQ21" s="5"/>
      <c r="AR21" s="5"/>
      <c r="AS21" s="5"/>
      <c r="AT21" s="5"/>
      <c r="AU21" s="5"/>
      <c r="AV21" s="5"/>
      <c r="AW21" s="5"/>
      <c r="AX21" s="5"/>
      <c r="AY21" s="5"/>
      <c r="AZ21" s="21">
        <v>17</v>
      </c>
      <c r="BA21" s="463" t="s">
        <v>1896</v>
      </c>
      <c r="BB21" s="421">
        <f>IFERROR(('Non-Energy Use'!E21-'Consumption Input Diff.'!BB50)/'Consumption Input Diff.'!BB50,"NA")</f>
        <v>0</v>
      </c>
      <c r="BC21" s="421">
        <f>IFERROR(('Non-Energy Use'!F21-'Consumption Input Diff.'!BC50)/'Consumption Input Diff.'!BC50,"NA")</f>
        <v>0</v>
      </c>
      <c r="BD21" s="421">
        <f>IFERROR(('Non-Energy Use'!G21-'Consumption Input Diff.'!BD50)/'Consumption Input Diff.'!BD50,"NA")</f>
        <v>0</v>
      </c>
      <c r="BE21" s="421">
        <f>IFERROR(('Non-Energy Use'!H21-'Consumption Input Diff.'!BE50)/'Consumption Input Diff.'!BE50,"NA")</f>
        <v>0</v>
      </c>
      <c r="BF21" s="421">
        <f>IFERROR(('Non-Energy Use'!I21-'Consumption Input Diff.'!BF50)/'Consumption Input Diff.'!BF50,"NA")</f>
        <v>0</v>
      </c>
      <c r="BG21" s="421">
        <f>IFERROR(('Non-Energy Use'!J21-'Consumption Input Diff.'!BG50)/'Consumption Input Diff.'!BG50,"NA")</f>
        <v>0</v>
      </c>
      <c r="BH21" s="421">
        <f>IFERROR(('Non-Energy Use'!K21-'Consumption Input Diff.'!BH50)/'Consumption Input Diff.'!BH50,"NA")</f>
        <v>0</v>
      </c>
      <c r="BI21" s="421">
        <f>IFERROR(('Non-Energy Use'!L21-'Consumption Input Diff.'!BI50)/'Consumption Input Diff.'!BI50,"NA")</f>
        <v>0</v>
      </c>
      <c r="BJ21" s="421">
        <f>IFERROR(('Non-Energy Use'!M21-'Consumption Input Diff.'!BJ50)/'Consumption Input Diff.'!BJ50,"NA")</f>
        <v>0</v>
      </c>
      <c r="BK21" s="421">
        <f>IFERROR(('Non-Energy Use'!N21-'Consumption Input Diff.'!BK50)/'Consumption Input Diff.'!BK50,"NA")</f>
        <v>0</v>
      </c>
      <c r="BL21" s="421">
        <f>IFERROR(('Non-Energy Use'!O21-'Consumption Input Diff.'!BL50)/'Consumption Input Diff.'!BL50,"NA")</f>
        <v>0</v>
      </c>
      <c r="BM21" s="421">
        <f>IFERROR(('Non-Energy Use'!P21-'Consumption Input Diff.'!BM50)/'Consumption Input Diff.'!BM50,"NA")</f>
        <v>0</v>
      </c>
      <c r="BN21" s="421">
        <f>IFERROR(('Non-Energy Use'!Q21-'Consumption Input Diff.'!BN50)/'Consumption Input Diff.'!BN50,"NA")</f>
        <v>0</v>
      </c>
      <c r="BO21" s="421">
        <f>IFERROR(('Non-Energy Use'!R21-'Consumption Input Diff.'!BO50)/'Consumption Input Diff.'!BO50,"NA")</f>
        <v>0</v>
      </c>
      <c r="BP21" s="421">
        <f>IFERROR(('Non-Energy Use'!S21-'Consumption Input Diff.'!BP50)/'Consumption Input Diff.'!BP50,"NA")</f>
        <v>0</v>
      </c>
      <c r="BQ21" s="421">
        <f>IFERROR(('Non-Energy Use'!T21-'Consumption Input Diff.'!BQ50)/'Consumption Input Diff.'!BQ50,"NA")</f>
        <v>0</v>
      </c>
      <c r="BR21" s="421">
        <f>IFERROR(('Non-Energy Use'!U21-'Consumption Input Diff.'!BR50)/'Consumption Input Diff.'!BR50,"NA")</f>
        <v>0</v>
      </c>
      <c r="BS21" s="421">
        <f>IFERROR(('Non-Energy Use'!V21-'Consumption Input Diff.'!BS50)/'Consumption Input Diff.'!BS50,"NA")</f>
        <v>0</v>
      </c>
      <c r="BT21" s="421">
        <f>IFERROR(('Non-Energy Use'!W21-'Consumption Input Diff.'!BT50)/'Consumption Input Diff.'!BT50,"NA")</f>
        <v>0</v>
      </c>
      <c r="BU21" s="421">
        <f>IFERROR(('Non-Energy Use'!X21-'Consumption Input Diff.'!BU50)/'Consumption Input Diff.'!BU50,"NA")</f>
        <v>0</v>
      </c>
      <c r="BV21" s="421">
        <f>IFERROR(('Non-Energy Use'!Y21-'Consumption Input Diff.'!BV50)/'Consumption Input Diff.'!BV50,"NA")</f>
        <v>0</v>
      </c>
      <c r="BW21" s="421">
        <f>IFERROR(('Non-Energy Use'!Z21-'Consumption Input Diff.'!BW50)/'Consumption Input Diff.'!BW50,"NA")</f>
        <v>0</v>
      </c>
      <c r="BX21" s="421">
        <f>IFERROR(('Non-Energy Use'!AA21-'Consumption Input Diff.'!BX50)/'Consumption Input Diff.'!BX50,"NA")</f>
        <v>0</v>
      </c>
      <c r="BY21" s="421">
        <f>IFERROR(('Non-Energy Use'!AB21-'Consumption Input Diff.'!BY50)/'Consumption Input Diff.'!BY50,"NA")</f>
        <v>0</v>
      </c>
      <c r="BZ21" s="421">
        <f>IFERROR(('Non-Energy Use'!AC21-'Consumption Input Diff.'!BZ50)/'Consumption Input Diff.'!BZ50,"NA")</f>
        <v>0</v>
      </c>
      <c r="CA21" s="421">
        <f>IFERROR(('Non-Energy Use'!AD21-'Consumption Input Diff.'!CA50)/'Consumption Input Diff.'!CA50,"NA")</f>
        <v>0</v>
      </c>
      <c r="CB21" s="421">
        <f>IFERROR(('Non-Energy Use'!AE21-'Consumption Input Diff.'!CB50)/'Consumption Input Diff.'!CB50,"NA")</f>
        <v>0</v>
      </c>
      <c r="CC21" s="421">
        <f>IFERROR(('Non-Energy Use'!AF21-'Consumption Input Diff.'!CC50)/'Consumption Input Diff.'!CC50,"NA")</f>
        <v>0</v>
      </c>
      <c r="CD21" s="421">
        <f>IFERROR(('Non-Energy Use'!AG21-'Consumption Input Diff.'!CD50)/'Consumption Input Diff.'!CD50,"NA")</f>
        <v>0</v>
      </c>
      <c r="CE21" s="421">
        <f>IFERROR(('Non-Energy Use'!AH21-'Consumption Input Diff.'!CE50)/'Consumption Input Diff.'!CE50,"NA")</f>
        <v>0</v>
      </c>
      <c r="CF21" s="421">
        <f>IFERROR(('Non-Energy Use'!AI21-'Consumption Input Diff.'!CF50)/'Consumption Input Diff.'!CF50,"NA")</f>
        <v>0</v>
      </c>
      <c r="CG21" s="421">
        <f>IFERROR(('Non-Energy Use'!AJ21-'Consumption Input Diff.'!CG50)/'Consumption Input Diff.'!CG50,"NA")</f>
        <v>0</v>
      </c>
    </row>
    <row r="22" spans="2:85">
      <c r="B22" s="456">
        <v>19</v>
      </c>
      <c r="D22" s="45" t="s">
        <v>1605</v>
      </c>
      <c r="E22" s="464"/>
      <c r="F22" s="464"/>
      <c r="G22" s="464"/>
      <c r="H22" s="464"/>
      <c r="I22" s="464"/>
      <c r="J22" s="464"/>
      <c r="K22" s="464"/>
      <c r="L22" s="464"/>
      <c r="M22" s="464"/>
      <c r="N22" s="464"/>
      <c r="O22" s="464"/>
      <c r="P22" s="464"/>
      <c r="Q22" s="464"/>
      <c r="R22" s="464"/>
      <c r="S22" s="464"/>
      <c r="V22" s="464"/>
      <c r="AH22" s="227"/>
      <c r="AI22" s="227"/>
      <c r="AJ22" s="227"/>
      <c r="AK22" s="5"/>
      <c r="AL22" s="5"/>
      <c r="AM22" s="5"/>
      <c r="AN22" s="5"/>
      <c r="AO22" s="5"/>
      <c r="AP22" s="5"/>
      <c r="AQ22" s="5"/>
      <c r="AR22" s="5"/>
      <c r="AS22" s="5"/>
      <c r="AT22" s="5"/>
      <c r="AU22" s="5"/>
      <c r="AV22" s="5"/>
      <c r="AW22" s="5"/>
      <c r="AX22" s="5"/>
      <c r="AY22" s="5"/>
      <c r="AZ22" s="21">
        <v>18</v>
      </c>
      <c r="BA22" s="463" t="s">
        <v>1897</v>
      </c>
      <c r="BB22" s="421">
        <f>IFERROR(('Non-Energy Use'!E22-'Consumption Input Diff.'!BB51)/'Consumption Input Diff.'!BB51,"NA")</f>
        <v>0</v>
      </c>
      <c r="BC22" s="421">
        <f>IFERROR(('Non-Energy Use'!F22-'Consumption Input Diff.'!BC51)/'Consumption Input Diff.'!BC51,"NA")</f>
        <v>0</v>
      </c>
      <c r="BD22" s="421">
        <f>IFERROR(('Non-Energy Use'!G22-'Consumption Input Diff.'!BD51)/'Consumption Input Diff.'!BD51,"NA")</f>
        <v>0</v>
      </c>
      <c r="BE22" s="421">
        <f>IFERROR(('Non-Energy Use'!H22-'Consumption Input Diff.'!BE51)/'Consumption Input Diff.'!BE51,"NA")</f>
        <v>0</v>
      </c>
      <c r="BF22" s="421">
        <f>IFERROR(('Non-Energy Use'!I22-'Consumption Input Diff.'!BF51)/'Consumption Input Diff.'!BF51,"NA")</f>
        <v>0</v>
      </c>
      <c r="BG22" s="421">
        <f>IFERROR(('Non-Energy Use'!J22-'Consumption Input Diff.'!BG51)/'Consumption Input Diff.'!BG51,"NA")</f>
        <v>0</v>
      </c>
      <c r="BH22" s="421">
        <f>IFERROR(('Non-Energy Use'!K22-'Consumption Input Diff.'!BH51)/'Consumption Input Diff.'!BH51,"NA")</f>
        <v>0</v>
      </c>
      <c r="BI22" s="421">
        <f>IFERROR(('Non-Energy Use'!L22-'Consumption Input Diff.'!BI51)/'Consumption Input Diff.'!BI51,"NA")</f>
        <v>0</v>
      </c>
      <c r="BJ22" s="421">
        <f>IFERROR(('Non-Energy Use'!M22-'Consumption Input Diff.'!BJ51)/'Consumption Input Diff.'!BJ51,"NA")</f>
        <v>0</v>
      </c>
      <c r="BK22" s="421">
        <f>IFERROR(('Non-Energy Use'!N22-'Consumption Input Diff.'!BK51)/'Consumption Input Diff.'!BK51,"NA")</f>
        <v>0</v>
      </c>
      <c r="BL22" s="421">
        <f>IFERROR(('Non-Energy Use'!O22-'Consumption Input Diff.'!BL51)/'Consumption Input Diff.'!BL51,"NA")</f>
        <v>0</v>
      </c>
      <c r="BM22" s="421">
        <f>IFERROR(('Non-Energy Use'!P22-'Consumption Input Diff.'!BM51)/'Consumption Input Diff.'!BM51,"NA")</f>
        <v>0</v>
      </c>
      <c r="BN22" s="421">
        <f>IFERROR(('Non-Energy Use'!Q22-'Consumption Input Diff.'!BN51)/'Consumption Input Diff.'!BN51,"NA")</f>
        <v>0</v>
      </c>
      <c r="BO22" s="421">
        <f>IFERROR(('Non-Energy Use'!R22-'Consumption Input Diff.'!BO51)/'Consumption Input Diff.'!BO51,"NA")</f>
        <v>0</v>
      </c>
      <c r="BP22" s="421">
        <f>IFERROR(('Non-Energy Use'!S22-'Consumption Input Diff.'!BP51)/'Consumption Input Diff.'!BP51,"NA")</f>
        <v>0</v>
      </c>
      <c r="BQ22" s="421">
        <f>IFERROR(('Non-Energy Use'!T22-'Consumption Input Diff.'!BQ51)/'Consumption Input Diff.'!BQ51,"NA")</f>
        <v>0</v>
      </c>
      <c r="BR22" s="421">
        <f>IFERROR(('Non-Energy Use'!U22-'Consumption Input Diff.'!BR51)/'Consumption Input Diff.'!BR51,"NA")</f>
        <v>0</v>
      </c>
      <c r="BS22" s="421">
        <f>IFERROR(('Non-Energy Use'!V22-'Consumption Input Diff.'!BS51)/'Consumption Input Diff.'!BS51,"NA")</f>
        <v>0</v>
      </c>
      <c r="BT22" s="421">
        <f>IFERROR(('Non-Energy Use'!W22-'Consumption Input Diff.'!BT51)/'Consumption Input Diff.'!BT51,"NA")</f>
        <v>0</v>
      </c>
      <c r="BU22" s="421">
        <f>IFERROR(('Non-Energy Use'!X22-'Consumption Input Diff.'!BU51)/'Consumption Input Diff.'!BU51,"NA")</f>
        <v>0</v>
      </c>
      <c r="BV22" s="421">
        <f>IFERROR(('Non-Energy Use'!Y22-'Consumption Input Diff.'!BV51)/'Consumption Input Diff.'!BV51,"NA")</f>
        <v>0</v>
      </c>
      <c r="BW22" s="421">
        <f>IFERROR(('Non-Energy Use'!Z22-'Consumption Input Diff.'!BW51)/'Consumption Input Diff.'!BW51,"NA")</f>
        <v>0</v>
      </c>
      <c r="BX22" s="421">
        <f>IFERROR(('Non-Energy Use'!AA22-'Consumption Input Diff.'!BX51)/'Consumption Input Diff.'!BX51,"NA")</f>
        <v>0</v>
      </c>
      <c r="BY22" s="421">
        <f>IFERROR(('Non-Energy Use'!AB22-'Consumption Input Diff.'!BY51)/'Consumption Input Diff.'!BY51,"NA")</f>
        <v>0</v>
      </c>
      <c r="BZ22" s="421">
        <f>IFERROR(('Non-Energy Use'!AC22-'Consumption Input Diff.'!BZ51)/'Consumption Input Diff.'!BZ51,"NA")</f>
        <v>0</v>
      </c>
      <c r="CA22" s="421">
        <f>IFERROR(('Non-Energy Use'!AD22-'Consumption Input Diff.'!CA51)/'Consumption Input Diff.'!CA51,"NA")</f>
        <v>0</v>
      </c>
      <c r="CB22" s="421">
        <f>IFERROR(('Non-Energy Use'!AE22-'Consumption Input Diff.'!CB51)/'Consumption Input Diff.'!CB51,"NA")</f>
        <v>0</v>
      </c>
      <c r="CC22" s="421">
        <f>IFERROR(('Non-Energy Use'!AF22-'Consumption Input Diff.'!CC51)/'Consumption Input Diff.'!CC51,"NA")</f>
        <v>0</v>
      </c>
      <c r="CD22" s="421">
        <f>IFERROR(('Non-Energy Use'!AG22-'Consumption Input Diff.'!CD51)/'Consumption Input Diff.'!CD51,"NA")</f>
        <v>0</v>
      </c>
      <c r="CE22" s="421">
        <f>IFERROR(('Non-Energy Use'!AH22-'Consumption Input Diff.'!CE51)/'Consumption Input Diff.'!CE51,"NA")</f>
        <v>0</v>
      </c>
      <c r="CF22" s="421">
        <f>IFERROR(('Non-Energy Use'!AI22-'Consumption Input Diff.'!CF51)/'Consumption Input Diff.'!CF51,"NA")</f>
        <v>0</v>
      </c>
      <c r="CG22" s="421">
        <f>IFERROR(('Non-Energy Use'!AJ22-'Consumption Input Diff.'!CG51)/'Consumption Input Diff.'!CG51,"NA")</f>
        <v>0</v>
      </c>
    </row>
    <row r="23" spans="2:85">
      <c r="B23" s="456">
        <v>20</v>
      </c>
      <c r="D23" s="45" t="s">
        <v>1606</v>
      </c>
      <c r="E23" s="464"/>
      <c r="F23" s="464"/>
      <c r="G23" s="464"/>
      <c r="H23" s="464"/>
      <c r="I23" s="464"/>
      <c r="J23" s="464"/>
      <c r="K23" s="464"/>
      <c r="L23" s="464"/>
      <c r="M23" s="464"/>
      <c r="N23" s="464"/>
      <c r="O23" s="464"/>
      <c r="P23" s="464"/>
      <c r="Q23" s="464"/>
      <c r="R23" s="464"/>
      <c r="S23" s="464"/>
      <c r="V23" s="464"/>
      <c r="AH23" s="227"/>
      <c r="AI23" s="227"/>
      <c r="AJ23" s="227"/>
      <c r="AK23" s="5"/>
      <c r="AL23" s="5"/>
      <c r="AM23" s="5"/>
      <c r="AN23" s="5"/>
      <c r="AO23" s="5"/>
      <c r="AP23" s="5"/>
      <c r="AQ23" s="5"/>
      <c r="AR23" s="5"/>
      <c r="AS23" s="5"/>
      <c r="AT23" s="5"/>
      <c r="AU23" s="5"/>
      <c r="AV23" s="5"/>
      <c r="AW23" s="5"/>
      <c r="AX23" s="5"/>
      <c r="AY23" s="5"/>
      <c r="AZ23" s="21">
        <v>19</v>
      </c>
      <c r="BA23" s="5" t="s">
        <v>1445</v>
      </c>
      <c r="BB23" s="421">
        <f>IFERROR(('Non-Energy Use'!E23-'Consumption Input Diff.'!BB52)/'Consumption Input Diff.'!BB52,"NA")</f>
        <v>0</v>
      </c>
      <c r="BC23" s="421">
        <f>IFERROR(('Non-Energy Use'!F23-'Consumption Input Diff.'!BC52)/'Consumption Input Diff.'!BC52,"NA")</f>
        <v>0</v>
      </c>
      <c r="BD23" s="421">
        <f>IFERROR(('Non-Energy Use'!G23-'Consumption Input Diff.'!BD52)/'Consumption Input Diff.'!BD52,"NA")</f>
        <v>0</v>
      </c>
      <c r="BE23" s="421">
        <f>IFERROR(('Non-Energy Use'!H23-'Consumption Input Diff.'!BE52)/'Consumption Input Diff.'!BE52,"NA")</f>
        <v>0</v>
      </c>
      <c r="BF23" s="421">
        <f>IFERROR(('Non-Energy Use'!I23-'Consumption Input Diff.'!BF52)/'Consumption Input Diff.'!BF52,"NA")</f>
        <v>0</v>
      </c>
      <c r="BG23" s="421">
        <f>IFERROR(('Non-Energy Use'!J23-'Consumption Input Diff.'!BG52)/'Consumption Input Diff.'!BG52,"NA")</f>
        <v>0</v>
      </c>
      <c r="BH23" s="421">
        <f>IFERROR(('Non-Energy Use'!K23-'Consumption Input Diff.'!BH52)/'Consumption Input Diff.'!BH52,"NA")</f>
        <v>0</v>
      </c>
      <c r="BI23" s="421">
        <f>IFERROR(('Non-Energy Use'!L23-'Consumption Input Diff.'!BI52)/'Consumption Input Diff.'!BI52,"NA")</f>
        <v>0</v>
      </c>
      <c r="BJ23" s="421">
        <f>IFERROR(('Non-Energy Use'!M23-'Consumption Input Diff.'!BJ52)/'Consumption Input Diff.'!BJ52,"NA")</f>
        <v>0</v>
      </c>
      <c r="BK23" s="421">
        <f>IFERROR(('Non-Energy Use'!N23-'Consumption Input Diff.'!BK52)/'Consumption Input Diff.'!BK52,"NA")</f>
        <v>0</v>
      </c>
      <c r="BL23" s="421">
        <f>IFERROR(('Non-Energy Use'!O23-'Consumption Input Diff.'!BL52)/'Consumption Input Diff.'!BL52,"NA")</f>
        <v>0</v>
      </c>
      <c r="BM23" s="421">
        <f>IFERROR(('Non-Energy Use'!P23-'Consumption Input Diff.'!BM52)/'Consumption Input Diff.'!BM52,"NA")</f>
        <v>0</v>
      </c>
      <c r="BN23" s="421">
        <f>IFERROR(('Non-Energy Use'!Q23-'Consumption Input Diff.'!BN52)/'Consumption Input Diff.'!BN52,"NA")</f>
        <v>0</v>
      </c>
      <c r="BO23" s="421">
        <f>IFERROR(('Non-Energy Use'!R23-'Consumption Input Diff.'!BO52)/'Consumption Input Diff.'!BO52,"NA")</f>
        <v>0</v>
      </c>
      <c r="BP23" s="421">
        <f>IFERROR(('Non-Energy Use'!S23-'Consumption Input Diff.'!BP52)/'Consumption Input Diff.'!BP52,"NA")</f>
        <v>0</v>
      </c>
      <c r="BQ23" s="421">
        <f>IFERROR(('Non-Energy Use'!T23-'Consumption Input Diff.'!BQ52)/'Consumption Input Diff.'!BQ52,"NA")</f>
        <v>0</v>
      </c>
      <c r="BR23" s="421">
        <f>IFERROR(('Non-Energy Use'!U23-'Consumption Input Diff.'!BR52)/'Consumption Input Diff.'!BR52,"NA")</f>
        <v>0</v>
      </c>
      <c r="BS23" s="421">
        <f>IFERROR(('Non-Energy Use'!V23-'Consumption Input Diff.'!BS52)/'Consumption Input Diff.'!BS52,"NA")</f>
        <v>0</v>
      </c>
      <c r="BT23" s="421">
        <f>IFERROR(('Non-Energy Use'!W23-'Consumption Input Diff.'!BT52)/'Consumption Input Diff.'!BT52,"NA")</f>
        <v>0</v>
      </c>
      <c r="BU23" s="421">
        <f>IFERROR(('Non-Energy Use'!X23-'Consumption Input Diff.'!BU52)/'Consumption Input Diff.'!BU52,"NA")</f>
        <v>0</v>
      </c>
      <c r="BV23" s="421">
        <f>IFERROR(('Non-Energy Use'!Y23-'Consumption Input Diff.'!BV52)/'Consumption Input Diff.'!BV52,"NA")</f>
        <v>0</v>
      </c>
      <c r="BW23" s="421">
        <f>IFERROR(('Non-Energy Use'!Z23-'Consumption Input Diff.'!BW52)/'Consumption Input Diff.'!BW52,"NA")</f>
        <v>0</v>
      </c>
      <c r="BX23" s="421">
        <f>IFERROR(('Non-Energy Use'!AA23-'Consumption Input Diff.'!BX52)/'Consumption Input Diff.'!BX52,"NA")</f>
        <v>0</v>
      </c>
      <c r="BY23" s="421">
        <f>IFERROR(('Non-Energy Use'!AB23-'Consumption Input Diff.'!BY52)/'Consumption Input Diff.'!BY52,"NA")</f>
        <v>0</v>
      </c>
      <c r="BZ23" s="421">
        <f>IFERROR(('Non-Energy Use'!AC23-'Consumption Input Diff.'!BZ52)/'Consumption Input Diff.'!BZ52,"NA")</f>
        <v>0</v>
      </c>
      <c r="CA23" s="421">
        <f>IFERROR(('Non-Energy Use'!AD23-'Consumption Input Diff.'!CA52)/'Consumption Input Diff.'!CA52,"NA")</f>
        <v>0</v>
      </c>
      <c r="CB23" s="421">
        <f>IFERROR(('Non-Energy Use'!AE23-'Consumption Input Diff.'!CB52)/'Consumption Input Diff.'!CB52,"NA")</f>
        <v>0</v>
      </c>
      <c r="CC23" s="421">
        <f>IFERROR(('Non-Energy Use'!AF23-'Consumption Input Diff.'!CC52)/'Consumption Input Diff.'!CC52,"NA")</f>
        <v>0</v>
      </c>
      <c r="CD23" s="421">
        <f>IFERROR(('Non-Energy Use'!AG23-'Consumption Input Diff.'!CD52)/'Consumption Input Diff.'!CD52,"NA")</f>
        <v>0</v>
      </c>
      <c r="CE23" s="421">
        <f>IFERROR(('Non-Energy Use'!AH23-'Consumption Input Diff.'!CE52)/'Consumption Input Diff.'!CE52,"NA")</f>
        <v>0</v>
      </c>
      <c r="CF23" s="421">
        <f>IFERROR(('Non-Energy Use'!AI23-'Consumption Input Diff.'!CF52)/'Consumption Input Diff.'!CF52,"NA")</f>
        <v>0</v>
      </c>
      <c r="CG23" s="421">
        <f>IFERROR(('Non-Energy Use'!AJ23-'Consumption Input Diff.'!CG52)/'Consumption Input Diff.'!CG52,"NA")</f>
        <v>3.8115797817616245E-3</v>
      </c>
    </row>
    <row r="24" spans="2:85">
      <c r="B24" s="456">
        <v>21</v>
      </c>
      <c r="D24" s="45" t="s">
        <v>1607</v>
      </c>
      <c r="E24" s="421" t="str">
        <f>IFERROR(('Consumption Input'!E25-'Consumption Input Diff.'!E136)/'Consumption Input Diff.'!E136,"NA")</f>
        <v>NA</v>
      </c>
      <c r="F24" s="421" t="str">
        <f>IFERROR(('Consumption Input'!F25-'Consumption Input Diff.'!F136)/'Consumption Input Diff.'!F136,"NA")</f>
        <v>NA</v>
      </c>
      <c r="G24" s="421" t="str">
        <f>IFERROR(('Consumption Input'!G25-'Consumption Input Diff.'!G136)/'Consumption Input Diff.'!G136,"NA")</f>
        <v>NA</v>
      </c>
      <c r="H24" s="421" t="str">
        <f>IFERROR(('Consumption Input'!H25-'Consumption Input Diff.'!H136)/'Consumption Input Diff.'!H136,"NA")</f>
        <v>NA</v>
      </c>
      <c r="I24" s="421" t="str">
        <f>IFERROR(('Consumption Input'!I25-'Consumption Input Diff.'!I136)/'Consumption Input Diff.'!I136,"NA")</f>
        <v>NA</v>
      </c>
      <c r="J24" s="421" t="str">
        <f>IFERROR(('Consumption Input'!J25-'Consumption Input Diff.'!J136)/'Consumption Input Diff.'!J136,"NA")</f>
        <v>NA</v>
      </c>
      <c r="K24" s="421" t="str">
        <f>IFERROR(('Consumption Input'!K25-'Consumption Input Diff.'!K136)/'Consumption Input Diff.'!K136,"NA")</f>
        <v>NA</v>
      </c>
      <c r="L24" s="421" t="str">
        <f>IFERROR(('Consumption Input'!L25-'Consumption Input Diff.'!L136)/'Consumption Input Diff.'!L136,"NA")</f>
        <v>NA</v>
      </c>
      <c r="M24" s="421" t="str">
        <f>IFERROR(('Consumption Input'!M25-'Consumption Input Diff.'!M136)/'Consumption Input Diff.'!M136,"NA")</f>
        <v>NA</v>
      </c>
      <c r="N24" s="421" t="str">
        <f>IFERROR(('Consumption Input'!N25-'Consumption Input Diff.'!N136)/'Consumption Input Diff.'!N136,"NA")</f>
        <v>NA</v>
      </c>
      <c r="O24" s="421" t="str">
        <f>IFERROR(('Consumption Input'!O25-'Consumption Input Diff.'!O136)/'Consumption Input Diff.'!O136,"NA")</f>
        <v>NA</v>
      </c>
      <c r="P24" s="421" t="str">
        <f>IFERROR(('Consumption Input'!P25-'Consumption Input Diff.'!P136)/'Consumption Input Diff.'!P136,"NA")</f>
        <v>NA</v>
      </c>
      <c r="Q24" s="421" t="str">
        <f>IFERROR(('Consumption Input'!Q25-'Consumption Input Diff.'!Q136)/'Consumption Input Diff.'!Q136,"NA")</f>
        <v>NA</v>
      </c>
      <c r="R24" s="421" t="str">
        <f>IFERROR(('Consumption Input'!R25-'Consumption Input Diff.'!R136)/'Consumption Input Diff.'!R136,"NA")</f>
        <v>NA</v>
      </c>
      <c r="S24" s="421" t="str">
        <f>IFERROR(('Consumption Input'!S25-'Consumption Input Diff.'!S136)/'Consumption Input Diff.'!S136,"NA")</f>
        <v>NA</v>
      </c>
      <c r="T24" s="421" t="str">
        <f>IFERROR(('Consumption Input'!T25-'Consumption Input Diff.'!T136)/'Consumption Input Diff.'!T136,"NA")</f>
        <v>NA</v>
      </c>
      <c r="U24" s="421" t="str">
        <f>IFERROR(('Consumption Input'!U25-'Consumption Input Diff.'!U136)/'Consumption Input Diff.'!U136,"NA")</f>
        <v>NA</v>
      </c>
      <c r="V24" s="421" t="str">
        <f>IFERROR(('Consumption Input'!V25-'Consumption Input Diff.'!V136)/'Consumption Input Diff.'!V136,"NA")</f>
        <v>NA</v>
      </c>
      <c r="W24" s="421" t="str">
        <f>IFERROR(('Consumption Input'!W25-'Consumption Input Diff.'!W136)/'Consumption Input Diff.'!W136,"NA")</f>
        <v>NA</v>
      </c>
      <c r="X24" s="421" t="str">
        <f>IFERROR(('Consumption Input'!X25-'Consumption Input Diff.'!X136)/'Consumption Input Diff.'!X136,"NA")</f>
        <v>NA</v>
      </c>
      <c r="Y24" s="421" t="str">
        <f>IFERROR(('Consumption Input'!Y25-'Consumption Input Diff.'!Y136)/'Consumption Input Diff.'!Y136,"NA")</f>
        <v>NA</v>
      </c>
      <c r="Z24" s="421" t="str">
        <f>IFERROR(('Consumption Input'!Z25-'Consumption Input Diff.'!Z136)/'Consumption Input Diff.'!Z136,"NA")</f>
        <v>NA</v>
      </c>
      <c r="AA24" s="421" t="str">
        <f>IFERROR(('Consumption Input'!AA25-'Consumption Input Diff.'!AA136)/'Consumption Input Diff.'!AA136,"NA")</f>
        <v>NA</v>
      </c>
      <c r="AB24" s="421" t="str">
        <f>IFERROR(('Consumption Input'!AB25-'Consumption Input Diff.'!AB136)/'Consumption Input Diff.'!AB136,"NA")</f>
        <v>NA</v>
      </c>
      <c r="AC24" s="421" t="str">
        <f>IFERROR(('Consumption Input'!AC25-'Consumption Input Diff.'!AC136)/'Consumption Input Diff.'!AC136,"NA")</f>
        <v>NA</v>
      </c>
      <c r="AD24" s="421" t="str">
        <f>IFERROR(('Consumption Input'!AD25-'Consumption Input Diff.'!AD136)/'Consumption Input Diff.'!AD136,"NA")</f>
        <v>NA</v>
      </c>
      <c r="AE24" s="421" t="str">
        <f>IFERROR(('Consumption Input'!AE25-'Consumption Input Diff.'!AE136)/'Consumption Input Diff.'!AE136,"NA")</f>
        <v>NA</v>
      </c>
      <c r="AF24" s="421" t="str">
        <f>IFERROR(('Consumption Input'!AF25-'Consumption Input Diff.'!AF136)/'Consumption Input Diff.'!AF136,"NA")</f>
        <v>NA</v>
      </c>
      <c r="AG24" s="421" t="str">
        <f>IFERROR(('Consumption Input'!AG25-'Consumption Input Diff.'!AG136)/'Consumption Input Diff.'!AG136,"NA")</f>
        <v>NA</v>
      </c>
      <c r="AH24" s="421" t="str">
        <f>IFERROR(('Consumption Input'!AH25-'Consumption Input Diff.'!AH136)/'Consumption Input Diff.'!AH136,"NA")</f>
        <v>NA</v>
      </c>
      <c r="AI24" s="421" t="str">
        <f>IFERROR(('Consumption Input'!AI25-'Consumption Input Diff.'!AI136)/'Consumption Input Diff.'!AI136,"NA")</f>
        <v>NA</v>
      </c>
      <c r="AJ24" s="421" t="str">
        <f>IFERROR(('Consumption Input'!AJ25-'Consumption Input Diff.'!AJ136)/'Consumption Input Diff.'!AJ136,"NA")</f>
        <v>NA</v>
      </c>
      <c r="AK24" s="5">
        <f>'Consumption Input'!V25-V136</f>
        <v>0</v>
      </c>
      <c r="AL24" s="5">
        <f>'Consumption Input'!W25-W136</f>
        <v>0</v>
      </c>
      <c r="AM24" s="5">
        <f>'Consumption Input'!X25-X136</f>
        <v>0</v>
      </c>
      <c r="AN24" s="5">
        <f>'Consumption Input'!Y25-Y136</f>
        <v>0</v>
      </c>
      <c r="AO24" s="5">
        <f>'Consumption Input'!Z25-Z136</f>
        <v>0</v>
      </c>
      <c r="AP24" s="5">
        <f>'Consumption Input'!AA25-AA136</f>
        <v>0</v>
      </c>
      <c r="AQ24" s="5">
        <f>'Consumption Input'!AB25-AB136</f>
        <v>0</v>
      </c>
      <c r="AR24" s="5">
        <f>'Consumption Input'!AC25-AC136</f>
        <v>0</v>
      </c>
      <c r="AS24" s="5">
        <f>'Consumption Input'!AD25-AD136</f>
        <v>0</v>
      </c>
      <c r="AT24" s="5">
        <f>'Consumption Input'!AE25-AE136</f>
        <v>0</v>
      </c>
      <c r="AU24" s="5">
        <f>'Consumption Input'!AF25-AF136</f>
        <v>0</v>
      </c>
      <c r="AV24" s="5">
        <f>'Consumption Input'!AG25-AG136</f>
        <v>0</v>
      </c>
      <c r="AW24" s="5">
        <f>'Consumption Input'!AH25-AH136</f>
        <v>0</v>
      </c>
      <c r="AX24" s="5">
        <f>'Consumption Input'!AI25-AI136</f>
        <v>0</v>
      </c>
      <c r="AY24" s="5">
        <f>'Consumption Input'!AJ25-AJ136</f>
        <v>0</v>
      </c>
      <c r="AZ24" s="21">
        <v>20</v>
      </c>
      <c r="BA24" s="6" t="s">
        <v>1610</v>
      </c>
      <c r="BB24" s="421">
        <f>IFERROR(('Non-Energy Use'!E24-'Consumption Input Diff.'!BB53)/'Consumption Input Diff.'!BB53,"NA")</f>
        <v>0</v>
      </c>
      <c r="BC24" s="421">
        <f>IFERROR(('Non-Energy Use'!F24-'Consumption Input Diff.'!BC53)/'Consumption Input Diff.'!BC53,"NA")</f>
        <v>0</v>
      </c>
      <c r="BD24" s="421">
        <f>IFERROR(('Non-Energy Use'!G24-'Consumption Input Diff.'!BD53)/'Consumption Input Diff.'!BD53,"NA")</f>
        <v>0</v>
      </c>
      <c r="BE24" s="421">
        <f>IFERROR(('Non-Energy Use'!H24-'Consumption Input Diff.'!BE53)/'Consumption Input Diff.'!BE53,"NA")</f>
        <v>0</v>
      </c>
      <c r="BF24" s="421">
        <f>IFERROR(('Non-Energy Use'!I24-'Consumption Input Diff.'!BF53)/'Consumption Input Diff.'!BF53,"NA")</f>
        <v>0</v>
      </c>
      <c r="BG24" s="421">
        <f>IFERROR(('Non-Energy Use'!J24-'Consumption Input Diff.'!BG53)/'Consumption Input Diff.'!BG53,"NA")</f>
        <v>0</v>
      </c>
      <c r="BH24" s="421">
        <f>IFERROR(('Non-Energy Use'!K24-'Consumption Input Diff.'!BH53)/'Consumption Input Diff.'!BH53,"NA")</f>
        <v>0</v>
      </c>
      <c r="BI24" s="421">
        <f>IFERROR(('Non-Energy Use'!L24-'Consumption Input Diff.'!BI53)/'Consumption Input Diff.'!BI53,"NA")</f>
        <v>0</v>
      </c>
      <c r="BJ24" s="421">
        <f>IFERROR(('Non-Energy Use'!M24-'Consumption Input Diff.'!BJ53)/'Consumption Input Diff.'!BJ53,"NA")</f>
        <v>0</v>
      </c>
      <c r="BK24" s="421">
        <f>IFERROR(('Non-Energy Use'!N24-'Consumption Input Diff.'!BK53)/'Consumption Input Diff.'!BK53,"NA")</f>
        <v>0</v>
      </c>
      <c r="BL24" s="421">
        <f>IFERROR(('Non-Energy Use'!O24-'Consumption Input Diff.'!BL53)/'Consumption Input Diff.'!BL53,"NA")</f>
        <v>0</v>
      </c>
      <c r="BM24" s="421">
        <f>IFERROR(('Non-Energy Use'!P24-'Consumption Input Diff.'!BM53)/'Consumption Input Diff.'!BM53,"NA")</f>
        <v>0</v>
      </c>
      <c r="BN24" s="421">
        <f>IFERROR(('Non-Energy Use'!Q24-'Consumption Input Diff.'!BN53)/'Consumption Input Diff.'!BN53,"NA")</f>
        <v>0</v>
      </c>
      <c r="BO24" s="421">
        <f>IFERROR(('Non-Energy Use'!R24-'Consumption Input Diff.'!BO53)/'Consumption Input Diff.'!BO53,"NA")</f>
        <v>0</v>
      </c>
      <c r="BP24" s="421">
        <f>IFERROR(('Non-Energy Use'!S24-'Consumption Input Diff.'!BP53)/'Consumption Input Diff.'!BP53,"NA")</f>
        <v>0</v>
      </c>
      <c r="BQ24" s="421">
        <f>IFERROR(('Non-Energy Use'!T24-'Consumption Input Diff.'!BQ53)/'Consumption Input Diff.'!BQ53,"NA")</f>
        <v>0</v>
      </c>
      <c r="BR24" s="421">
        <f>IFERROR(('Non-Energy Use'!U24-'Consumption Input Diff.'!BR53)/'Consumption Input Diff.'!BR53,"NA")</f>
        <v>0</v>
      </c>
      <c r="BS24" s="421">
        <f>IFERROR(('Non-Energy Use'!V24-'Consumption Input Diff.'!BS53)/'Consumption Input Diff.'!BS53,"NA")</f>
        <v>0</v>
      </c>
      <c r="BT24" s="421">
        <f>IFERROR(('Non-Energy Use'!W24-'Consumption Input Diff.'!BT53)/'Consumption Input Diff.'!BT53,"NA")</f>
        <v>0</v>
      </c>
      <c r="BU24" s="421">
        <f>IFERROR(('Non-Energy Use'!X24-'Consumption Input Diff.'!BU53)/'Consumption Input Diff.'!BU53,"NA")</f>
        <v>0</v>
      </c>
      <c r="BV24" s="421">
        <f>IFERROR(('Non-Energy Use'!Y24-'Consumption Input Diff.'!BV53)/'Consumption Input Diff.'!BV53,"NA")</f>
        <v>0</v>
      </c>
      <c r="BW24" s="421">
        <f>IFERROR(('Non-Energy Use'!Z24-'Consumption Input Diff.'!BW53)/'Consumption Input Diff.'!BW53,"NA")</f>
        <v>0</v>
      </c>
      <c r="BX24" s="421">
        <f>IFERROR(('Non-Energy Use'!AA24-'Consumption Input Diff.'!BX53)/'Consumption Input Diff.'!BX53,"NA")</f>
        <v>0</v>
      </c>
      <c r="BY24" s="421">
        <f>IFERROR(('Non-Energy Use'!AB24-'Consumption Input Diff.'!BY53)/'Consumption Input Diff.'!BY53,"NA")</f>
        <v>0</v>
      </c>
      <c r="BZ24" s="421">
        <f>IFERROR(('Non-Energy Use'!AC24-'Consumption Input Diff.'!BZ53)/'Consumption Input Diff.'!BZ53,"NA")</f>
        <v>0</v>
      </c>
      <c r="CA24" s="421">
        <f>IFERROR(('Non-Energy Use'!AD24-'Consumption Input Diff.'!CA53)/'Consumption Input Diff.'!CA53,"NA")</f>
        <v>0</v>
      </c>
      <c r="CB24" s="421">
        <f>IFERROR(('Non-Energy Use'!AE24-'Consumption Input Diff.'!CB53)/'Consumption Input Diff.'!CB53,"NA")</f>
        <v>0</v>
      </c>
      <c r="CC24" s="421">
        <f>IFERROR(('Non-Energy Use'!AF24-'Consumption Input Diff.'!CC53)/'Consumption Input Diff.'!CC53,"NA")</f>
        <v>0</v>
      </c>
      <c r="CD24" s="421">
        <f>IFERROR(('Non-Energy Use'!AG24-'Consumption Input Diff.'!CD53)/'Consumption Input Diff.'!CD53,"NA")</f>
        <v>0</v>
      </c>
      <c r="CE24" s="421">
        <f>IFERROR(('Non-Energy Use'!AH24-'Consumption Input Diff.'!CE53)/'Consumption Input Diff.'!CE53,"NA")</f>
        <v>0</v>
      </c>
      <c r="CF24" s="421">
        <f>IFERROR(('Non-Energy Use'!AI24-'Consumption Input Diff.'!CF53)/'Consumption Input Diff.'!CF53,"NA")</f>
        <v>0</v>
      </c>
      <c r="CG24" s="421">
        <f>IFERROR(('Non-Energy Use'!AJ24-'Consumption Input Diff.'!CG53)/'Consumption Input Diff.'!CG53,"NA")</f>
        <v>3.8115797817616245E-3</v>
      </c>
    </row>
    <row r="25" spans="2:85">
      <c r="B25" s="456">
        <v>22</v>
      </c>
      <c r="D25" s="45" t="s">
        <v>1439</v>
      </c>
      <c r="E25" s="421"/>
      <c r="F25" s="421"/>
      <c r="G25" s="421"/>
      <c r="H25" s="421"/>
      <c r="I25" s="421"/>
      <c r="J25" s="421"/>
      <c r="K25" s="421"/>
      <c r="L25" s="421"/>
      <c r="M25" s="421"/>
      <c r="N25" s="421"/>
      <c r="O25" s="421"/>
      <c r="P25" s="421"/>
      <c r="Q25" s="421"/>
      <c r="R25" s="421"/>
      <c r="S25" s="421"/>
      <c r="T25" s="421"/>
      <c r="U25" s="421"/>
      <c r="V25" s="421"/>
      <c r="W25" s="421"/>
      <c r="X25" s="421"/>
      <c r="Y25" s="421"/>
      <c r="Z25" s="421"/>
      <c r="AA25" s="421"/>
      <c r="AB25" s="421"/>
      <c r="AC25" s="421"/>
      <c r="AD25" s="421"/>
      <c r="AE25" s="421"/>
      <c r="AF25" s="421"/>
      <c r="AG25" s="421"/>
      <c r="AH25" s="421"/>
      <c r="AI25" s="421"/>
      <c r="AJ25" s="421"/>
      <c r="AK25" s="5"/>
      <c r="AL25" s="5"/>
      <c r="AM25" s="5"/>
      <c r="AN25" s="5"/>
      <c r="AO25" s="5"/>
      <c r="AP25" s="5"/>
      <c r="AQ25" s="5"/>
      <c r="AR25" s="5"/>
      <c r="AS25" s="5"/>
      <c r="AT25" s="5"/>
      <c r="AU25" s="5"/>
      <c r="AV25" s="5"/>
      <c r="AW25" s="5"/>
      <c r="AX25" s="5"/>
      <c r="AY25" s="5"/>
      <c r="AZ25" s="21">
        <v>21</v>
      </c>
      <c r="BA25" s="5" t="s">
        <v>1476</v>
      </c>
      <c r="BB25" s="421">
        <f>IFERROR(('Non-Energy Use'!E25-'Consumption Input Diff.'!BB54)/'Consumption Input Diff.'!BB54,"NA")</f>
        <v>0</v>
      </c>
      <c r="BC25" s="421">
        <f>IFERROR(('Non-Energy Use'!F25-'Consumption Input Diff.'!BC54)/'Consumption Input Diff.'!BC54,"NA")</f>
        <v>0</v>
      </c>
      <c r="BD25" s="421">
        <f>IFERROR(('Non-Energy Use'!G25-'Consumption Input Diff.'!BD54)/'Consumption Input Diff.'!BD54,"NA")</f>
        <v>0</v>
      </c>
      <c r="BE25" s="421">
        <f>IFERROR(('Non-Energy Use'!H25-'Consumption Input Diff.'!BE54)/'Consumption Input Diff.'!BE54,"NA")</f>
        <v>0</v>
      </c>
      <c r="BF25" s="421">
        <f>IFERROR(('Non-Energy Use'!I25-'Consumption Input Diff.'!BF54)/'Consumption Input Diff.'!BF54,"NA")</f>
        <v>0</v>
      </c>
      <c r="BG25" s="421">
        <f>IFERROR(('Non-Energy Use'!J25-'Consumption Input Diff.'!BG54)/'Consumption Input Diff.'!BG54,"NA")</f>
        <v>0</v>
      </c>
      <c r="BH25" s="421">
        <f>IFERROR(('Non-Energy Use'!K25-'Consumption Input Diff.'!BH54)/'Consumption Input Diff.'!BH54,"NA")</f>
        <v>0</v>
      </c>
      <c r="BI25" s="421">
        <f>IFERROR(('Non-Energy Use'!L25-'Consumption Input Diff.'!BI54)/'Consumption Input Diff.'!BI54,"NA")</f>
        <v>0</v>
      </c>
      <c r="BJ25" s="421">
        <f>IFERROR(('Non-Energy Use'!M25-'Consumption Input Diff.'!BJ54)/'Consumption Input Diff.'!BJ54,"NA")</f>
        <v>0</v>
      </c>
      <c r="BK25" s="421">
        <f>IFERROR(('Non-Energy Use'!N25-'Consumption Input Diff.'!BK54)/'Consumption Input Diff.'!BK54,"NA")</f>
        <v>0</v>
      </c>
      <c r="BL25" s="421">
        <f>IFERROR(('Non-Energy Use'!O25-'Consumption Input Diff.'!BL54)/'Consumption Input Diff.'!BL54,"NA")</f>
        <v>0</v>
      </c>
      <c r="BM25" s="421">
        <f>IFERROR(('Non-Energy Use'!P25-'Consumption Input Diff.'!BM54)/'Consumption Input Diff.'!BM54,"NA")</f>
        <v>0</v>
      </c>
      <c r="BN25" s="421">
        <f>IFERROR(('Non-Energy Use'!Q25-'Consumption Input Diff.'!BN54)/'Consumption Input Diff.'!BN54,"NA")</f>
        <v>0</v>
      </c>
      <c r="BO25" s="421">
        <f>IFERROR(('Non-Energy Use'!R25-'Consumption Input Diff.'!BO54)/'Consumption Input Diff.'!BO54,"NA")</f>
        <v>0</v>
      </c>
      <c r="BP25" s="421">
        <f>IFERROR(('Non-Energy Use'!S25-'Consumption Input Diff.'!BP54)/'Consumption Input Diff.'!BP54,"NA")</f>
        <v>0</v>
      </c>
      <c r="BQ25" s="421">
        <f>IFERROR(('Non-Energy Use'!T25-'Consumption Input Diff.'!BQ54)/'Consumption Input Diff.'!BQ54,"NA")</f>
        <v>0</v>
      </c>
      <c r="BR25" s="421">
        <f>IFERROR(('Non-Energy Use'!U25-'Consumption Input Diff.'!BR54)/'Consumption Input Diff.'!BR54,"NA")</f>
        <v>0</v>
      </c>
      <c r="BS25" s="421">
        <f>IFERROR(('Non-Energy Use'!V25-'Consumption Input Diff.'!BS54)/'Consumption Input Diff.'!BS54,"NA")</f>
        <v>0</v>
      </c>
      <c r="BT25" s="421">
        <f>IFERROR(('Non-Energy Use'!W25-'Consumption Input Diff.'!BT54)/'Consumption Input Diff.'!BT54,"NA")</f>
        <v>0</v>
      </c>
      <c r="BU25" s="421">
        <f>IFERROR(('Non-Energy Use'!X25-'Consumption Input Diff.'!BU54)/'Consumption Input Diff.'!BU54,"NA")</f>
        <v>0</v>
      </c>
      <c r="BV25" s="421">
        <f>IFERROR(('Non-Energy Use'!Y25-'Consumption Input Diff.'!BV54)/'Consumption Input Diff.'!BV54,"NA")</f>
        <v>0</v>
      </c>
      <c r="BW25" s="421">
        <f>IFERROR(('Non-Energy Use'!Z25-'Consumption Input Diff.'!BW54)/'Consumption Input Diff.'!BW54,"NA")</f>
        <v>0</v>
      </c>
      <c r="BX25" s="421">
        <f>IFERROR(('Non-Energy Use'!AA25-'Consumption Input Diff.'!BX54)/'Consumption Input Diff.'!BX54,"NA")</f>
        <v>0</v>
      </c>
      <c r="BY25" s="421">
        <f>IFERROR(('Non-Energy Use'!AB25-'Consumption Input Diff.'!BY54)/'Consumption Input Diff.'!BY54,"NA")</f>
        <v>0</v>
      </c>
      <c r="BZ25" s="421">
        <f>IFERROR(('Non-Energy Use'!AC25-'Consumption Input Diff.'!BZ54)/'Consumption Input Diff.'!BZ54,"NA")</f>
        <v>0</v>
      </c>
      <c r="CA25" s="421">
        <f>IFERROR(('Non-Energy Use'!AD25-'Consumption Input Diff.'!CA54)/'Consumption Input Diff.'!CA54,"NA")</f>
        <v>0</v>
      </c>
      <c r="CB25" s="421">
        <f>IFERROR(('Non-Energy Use'!AE25-'Consumption Input Diff.'!CB54)/'Consumption Input Diff.'!CB54,"NA")</f>
        <v>0</v>
      </c>
      <c r="CC25" s="421">
        <f>IFERROR(('Non-Energy Use'!AF25-'Consumption Input Diff.'!CC54)/'Consumption Input Diff.'!CC54,"NA")</f>
        <v>0</v>
      </c>
      <c r="CD25" s="421">
        <f>IFERROR(('Non-Energy Use'!AG25-'Consumption Input Diff.'!CD54)/'Consumption Input Diff.'!CD54,"NA")</f>
        <v>0</v>
      </c>
      <c r="CE25" s="421">
        <f>IFERROR(('Non-Energy Use'!AH25-'Consumption Input Diff.'!CE54)/'Consumption Input Diff.'!CE54,"NA")</f>
        <v>0</v>
      </c>
      <c r="CF25" s="421">
        <f>IFERROR(('Non-Energy Use'!AI25-'Consumption Input Diff.'!CF54)/'Consumption Input Diff.'!CF54,"NA")</f>
        <v>-0.71315838267815312</v>
      </c>
      <c r="CG25" s="421">
        <f>IFERROR(('Non-Energy Use'!AJ25-'Consumption Input Diff.'!CG54)/'Consumption Input Diff.'!CG54,"NA")</f>
        <v>-0.71304640934045116</v>
      </c>
    </row>
    <row r="26" spans="2:85">
      <c r="B26" s="456">
        <v>23</v>
      </c>
      <c r="D26" s="45" t="s">
        <v>1608</v>
      </c>
      <c r="E26" s="421">
        <f>IFERROR(('Consumption Input'!E27-'Consumption Input Diff.'!E138)/'Consumption Input Diff.'!E138,"NA")</f>
        <v>0</v>
      </c>
      <c r="F26" s="421">
        <f>IFERROR(('Consumption Input'!F27-'Consumption Input Diff.'!F138)/'Consumption Input Diff.'!F138,"NA")</f>
        <v>0</v>
      </c>
      <c r="G26" s="421">
        <f>IFERROR(('Consumption Input'!G27-'Consumption Input Diff.'!G138)/'Consumption Input Diff.'!G138,"NA")</f>
        <v>0</v>
      </c>
      <c r="H26" s="421">
        <f>IFERROR(('Consumption Input'!H27-'Consumption Input Diff.'!H138)/'Consumption Input Diff.'!H138,"NA")</f>
        <v>0</v>
      </c>
      <c r="I26" s="421">
        <f>IFERROR(('Consumption Input'!I27-'Consumption Input Diff.'!I138)/'Consumption Input Diff.'!I138,"NA")</f>
        <v>0</v>
      </c>
      <c r="J26" s="421">
        <f>IFERROR(('Consumption Input'!J27-'Consumption Input Diff.'!J138)/'Consumption Input Diff.'!J138,"NA")</f>
        <v>0</v>
      </c>
      <c r="K26" s="421">
        <f>IFERROR(('Consumption Input'!K27-'Consumption Input Diff.'!K138)/'Consumption Input Diff.'!K138,"NA")</f>
        <v>0</v>
      </c>
      <c r="L26" s="421">
        <f>IFERROR(('Consumption Input'!L27-'Consumption Input Diff.'!L138)/'Consumption Input Diff.'!L138,"NA")</f>
        <v>0</v>
      </c>
      <c r="M26" s="421">
        <f>IFERROR(('Consumption Input'!M27-'Consumption Input Diff.'!M138)/'Consumption Input Diff.'!M138,"NA")</f>
        <v>0</v>
      </c>
      <c r="N26" s="421">
        <f>IFERROR(('Consumption Input'!N27-'Consumption Input Diff.'!N138)/'Consumption Input Diff.'!N138,"NA")</f>
        <v>0</v>
      </c>
      <c r="O26" s="421">
        <f>IFERROR(('Consumption Input'!O27-'Consumption Input Diff.'!O138)/'Consumption Input Diff.'!O138,"NA")</f>
        <v>0</v>
      </c>
      <c r="P26" s="421">
        <f>IFERROR(('Consumption Input'!P27-'Consumption Input Diff.'!P138)/'Consumption Input Diff.'!P138,"NA")</f>
        <v>0</v>
      </c>
      <c r="Q26" s="421">
        <f>IFERROR(('Consumption Input'!Q27-'Consumption Input Diff.'!Q138)/'Consumption Input Diff.'!Q138,"NA")</f>
        <v>0</v>
      </c>
      <c r="R26" s="421">
        <f>IFERROR(('Consumption Input'!R27-'Consumption Input Diff.'!R138)/'Consumption Input Diff.'!R138,"NA")</f>
        <v>0</v>
      </c>
      <c r="S26" s="421">
        <f>IFERROR(('Consumption Input'!S27-'Consumption Input Diff.'!S138)/'Consumption Input Diff.'!S138,"NA")</f>
        <v>0</v>
      </c>
      <c r="T26" s="421">
        <f>IFERROR(('Consumption Input'!T27-'Consumption Input Diff.'!T138)/'Consumption Input Diff.'!T138,"NA")</f>
        <v>0</v>
      </c>
      <c r="U26" s="421">
        <f>IFERROR(('Consumption Input'!U27-'Consumption Input Diff.'!U138)/'Consumption Input Diff.'!U138,"NA")</f>
        <v>0</v>
      </c>
      <c r="V26" s="421">
        <f>IFERROR(('Consumption Input'!V27-'Consumption Input Diff.'!V138)/'Consumption Input Diff.'!V138,"NA")</f>
        <v>0</v>
      </c>
      <c r="W26" s="421">
        <f>IFERROR(('Consumption Input'!W27-'Consumption Input Diff.'!W138)/'Consumption Input Diff.'!W138,"NA")</f>
        <v>0</v>
      </c>
      <c r="X26" s="421">
        <f>IFERROR(('Consumption Input'!X27-'Consumption Input Diff.'!X138)/'Consumption Input Diff.'!X138,"NA")</f>
        <v>0</v>
      </c>
      <c r="Y26" s="421">
        <f>IFERROR(('Consumption Input'!Y27-'Consumption Input Diff.'!Y138)/'Consumption Input Diff.'!Y138,"NA")</f>
        <v>0</v>
      </c>
      <c r="Z26" s="421">
        <f>IFERROR(('Consumption Input'!Z27-'Consumption Input Diff.'!Z138)/'Consumption Input Diff.'!Z138,"NA")</f>
        <v>0</v>
      </c>
      <c r="AA26" s="421">
        <f>IFERROR(('Consumption Input'!AA27-'Consumption Input Diff.'!AA138)/'Consumption Input Diff.'!AA138,"NA")</f>
        <v>0</v>
      </c>
      <c r="AB26" s="421">
        <f>IFERROR(('Consumption Input'!AB27-'Consumption Input Diff.'!AB138)/'Consumption Input Diff.'!AB138,"NA")</f>
        <v>0</v>
      </c>
      <c r="AC26" s="421">
        <f>IFERROR(('Consumption Input'!AC27-'Consumption Input Diff.'!AC138)/'Consumption Input Diff.'!AC138,"NA")</f>
        <v>0</v>
      </c>
      <c r="AD26" s="421">
        <f>IFERROR(('Consumption Input'!AD27-'Consumption Input Diff.'!AD138)/'Consumption Input Diff.'!AD138,"NA")</f>
        <v>0</v>
      </c>
      <c r="AE26" s="421">
        <f>IFERROR(('Consumption Input'!AE27-'Consumption Input Diff.'!AE138)/'Consumption Input Diff.'!AE138,"NA")</f>
        <v>0</v>
      </c>
      <c r="AF26" s="421">
        <f>IFERROR(('Consumption Input'!AF27-'Consumption Input Diff.'!AF138)/'Consumption Input Diff.'!AF138,"NA")</f>
        <v>0</v>
      </c>
      <c r="AG26" s="421">
        <f>IFERROR(('Consumption Input'!AG27-'Consumption Input Diff.'!AG138)/'Consumption Input Diff.'!AG138,"NA")</f>
        <v>0</v>
      </c>
      <c r="AH26" s="421">
        <f>IFERROR(('Consumption Input'!AH27-'Consumption Input Diff.'!AH138)/'Consumption Input Diff.'!AH138,"NA")</f>
        <v>0</v>
      </c>
      <c r="AI26" s="421">
        <f>IFERROR(('Consumption Input'!AI27-'Consumption Input Diff.'!AI138)/'Consumption Input Diff.'!AI138,"NA")</f>
        <v>0</v>
      </c>
      <c r="AJ26" s="421">
        <f>IFERROR(('Consumption Input'!AJ27-'Consumption Input Diff.'!AJ138)/'Consumption Input Diff.'!AJ138,"NA")</f>
        <v>0</v>
      </c>
      <c r="AK26" s="5">
        <f>'Consumption Input'!V27-V138</f>
        <v>0</v>
      </c>
      <c r="AL26" s="5">
        <f>'Consumption Input'!W27-W138</f>
        <v>0</v>
      </c>
      <c r="AM26" s="5">
        <f>'Consumption Input'!X27-X138</f>
        <v>0</v>
      </c>
      <c r="AN26" s="5">
        <f>'Consumption Input'!Y27-Y138</f>
        <v>0</v>
      </c>
      <c r="AO26" s="5">
        <f>'Consumption Input'!Z27-Z138</f>
        <v>0</v>
      </c>
      <c r="AP26" s="5">
        <f>'Consumption Input'!AA27-AA138</f>
        <v>0</v>
      </c>
      <c r="AQ26" s="5">
        <f>'Consumption Input'!AB27-AB138</f>
        <v>0</v>
      </c>
      <c r="AR26" s="5">
        <f>'Consumption Input'!AC27-AC138</f>
        <v>0</v>
      </c>
      <c r="AS26" s="5">
        <f>'Consumption Input'!AD27-AD138</f>
        <v>0</v>
      </c>
      <c r="AT26" s="5">
        <f>'Consumption Input'!AE27-AE138</f>
        <v>0</v>
      </c>
      <c r="AU26" s="5">
        <f>'Consumption Input'!AF27-AF138</f>
        <v>0</v>
      </c>
      <c r="AV26" s="5">
        <f>'Consumption Input'!AG27-AG138</f>
        <v>0</v>
      </c>
      <c r="AW26" s="5">
        <f>'Consumption Input'!AH27-AH138</f>
        <v>0</v>
      </c>
      <c r="AX26" s="5">
        <f>'Consumption Input'!AI27-AI138</f>
        <v>0</v>
      </c>
      <c r="AY26" s="5">
        <f>'Consumption Input'!AJ27-AJ138</f>
        <v>0</v>
      </c>
      <c r="AZ26" s="21">
        <v>22</v>
      </c>
      <c r="BA26" s="6" t="s">
        <v>1610</v>
      </c>
      <c r="BB26" s="421">
        <f>IFERROR(('Non-Energy Use'!E26-'Consumption Input Diff.'!BB55)/'Consumption Input Diff.'!BB55,"NA")</f>
        <v>0</v>
      </c>
      <c r="BC26" s="421">
        <f>IFERROR(('Non-Energy Use'!F26-'Consumption Input Diff.'!BC55)/'Consumption Input Diff.'!BC55,"NA")</f>
        <v>0</v>
      </c>
      <c r="BD26" s="421">
        <f>IFERROR(('Non-Energy Use'!G26-'Consumption Input Diff.'!BD55)/'Consumption Input Diff.'!BD55,"NA")</f>
        <v>0</v>
      </c>
      <c r="BE26" s="421">
        <f>IFERROR(('Non-Energy Use'!H26-'Consumption Input Diff.'!BE55)/'Consumption Input Diff.'!BE55,"NA")</f>
        <v>0</v>
      </c>
      <c r="BF26" s="421">
        <f>IFERROR(('Non-Energy Use'!I26-'Consumption Input Diff.'!BF55)/'Consumption Input Diff.'!BF55,"NA")</f>
        <v>0</v>
      </c>
      <c r="BG26" s="421">
        <f>IFERROR(('Non-Energy Use'!J26-'Consumption Input Diff.'!BG55)/'Consumption Input Diff.'!BG55,"NA")</f>
        <v>0</v>
      </c>
      <c r="BH26" s="421">
        <f>IFERROR(('Non-Energy Use'!K26-'Consumption Input Diff.'!BH55)/'Consumption Input Diff.'!BH55,"NA")</f>
        <v>0</v>
      </c>
      <c r="BI26" s="421">
        <f>IFERROR(('Non-Energy Use'!L26-'Consumption Input Diff.'!BI55)/'Consumption Input Diff.'!BI55,"NA")</f>
        <v>0</v>
      </c>
      <c r="BJ26" s="421">
        <f>IFERROR(('Non-Energy Use'!M26-'Consumption Input Diff.'!BJ55)/'Consumption Input Diff.'!BJ55,"NA")</f>
        <v>0</v>
      </c>
      <c r="BK26" s="421">
        <f>IFERROR(('Non-Energy Use'!N26-'Consumption Input Diff.'!BK55)/'Consumption Input Diff.'!BK55,"NA")</f>
        <v>0</v>
      </c>
      <c r="BL26" s="421">
        <f>IFERROR(('Non-Energy Use'!O26-'Consumption Input Diff.'!BL55)/'Consumption Input Diff.'!BL55,"NA")</f>
        <v>0</v>
      </c>
      <c r="BM26" s="421">
        <f>IFERROR(('Non-Energy Use'!P26-'Consumption Input Diff.'!BM55)/'Consumption Input Diff.'!BM55,"NA")</f>
        <v>0</v>
      </c>
      <c r="BN26" s="421">
        <f>IFERROR(('Non-Energy Use'!Q26-'Consumption Input Diff.'!BN55)/'Consumption Input Diff.'!BN55,"NA")</f>
        <v>0</v>
      </c>
      <c r="BO26" s="421">
        <f>IFERROR(('Non-Energy Use'!R26-'Consumption Input Diff.'!BO55)/'Consumption Input Diff.'!BO55,"NA")</f>
        <v>0</v>
      </c>
      <c r="BP26" s="421">
        <f>IFERROR(('Non-Energy Use'!S26-'Consumption Input Diff.'!BP55)/'Consumption Input Diff.'!BP55,"NA")</f>
        <v>0</v>
      </c>
      <c r="BQ26" s="421">
        <f>IFERROR(('Non-Energy Use'!T26-'Consumption Input Diff.'!BQ55)/'Consumption Input Diff.'!BQ55,"NA")</f>
        <v>0</v>
      </c>
      <c r="BR26" s="421">
        <f>IFERROR(('Non-Energy Use'!U26-'Consumption Input Diff.'!BR55)/'Consumption Input Diff.'!BR55,"NA")</f>
        <v>0</v>
      </c>
      <c r="BS26" s="421">
        <f>IFERROR(('Non-Energy Use'!V26-'Consumption Input Diff.'!BS55)/'Consumption Input Diff.'!BS55,"NA")</f>
        <v>0</v>
      </c>
      <c r="BT26" s="421">
        <f>IFERROR(('Non-Energy Use'!W26-'Consumption Input Diff.'!BT55)/'Consumption Input Diff.'!BT55,"NA")</f>
        <v>0</v>
      </c>
      <c r="BU26" s="421">
        <f>IFERROR(('Non-Energy Use'!X26-'Consumption Input Diff.'!BU55)/'Consumption Input Diff.'!BU55,"NA")</f>
        <v>0</v>
      </c>
      <c r="BV26" s="421">
        <f>IFERROR(('Non-Energy Use'!Y26-'Consumption Input Diff.'!BV55)/'Consumption Input Diff.'!BV55,"NA")</f>
        <v>0</v>
      </c>
      <c r="BW26" s="421">
        <f>IFERROR(('Non-Energy Use'!Z26-'Consumption Input Diff.'!BW55)/'Consumption Input Diff.'!BW55,"NA")</f>
        <v>0</v>
      </c>
      <c r="BX26" s="421">
        <f>IFERROR(('Non-Energy Use'!AA26-'Consumption Input Diff.'!BX55)/'Consumption Input Diff.'!BX55,"NA")</f>
        <v>0</v>
      </c>
      <c r="BY26" s="421">
        <f>IFERROR(('Non-Energy Use'!AB26-'Consumption Input Diff.'!BY55)/'Consumption Input Diff.'!BY55,"NA")</f>
        <v>0</v>
      </c>
      <c r="BZ26" s="421">
        <f>IFERROR(('Non-Energy Use'!AC26-'Consumption Input Diff.'!BZ55)/'Consumption Input Diff.'!BZ55,"NA")</f>
        <v>0</v>
      </c>
      <c r="CA26" s="421">
        <f>IFERROR(('Non-Energy Use'!AD26-'Consumption Input Diff.'!CA55)/'Consumption Input Diff.'!CA55,"NA")</f>
        <v>0</v>
      </c>
      <c r="CB26" s="421">
        <f>IFERROR(('Non-Energy Use'!AE26-'Consumption Input Diff.'!CB55)/'Consumption Input Diff.'!CB55,"NA")</f>
        <v>0</v>
      </c>
      <c r="CC26" s="421">
        <f>IFERROR(('Non-Energy Use'!AF26-'Consumption Input Diff.'!CC55)/'Consumption Input Diff.'!CC55,"NA")</f>
        <v>0</v>
      </c>
      <c r="CD26" s="421">
        <f>IFERROR(('Non-Energy Use'!AG26-'Consumption Input Diff.'!CD55)/'Consumption Input Diff.'!CD55,"NA")</f>
        <v>0</v>
      </c>
      <c r="CE26" s="421">
        <f>IFERROR(('Non-Energy Use'!AH26-'Consumption Input Diff.'!CE55)/'Consumption Input Diff.'!CE55,"NA")</f>
        <v>0</v>
      </c>
      <c r="CF26" s="421">
        <f>IFERROR(('Non-Energy Use'!AI26-'Consumption Input Diff.'!CF55)/'Consumption Input Diff.'!CF55,"NA")</f>
        <v>0</v>
      </c>
      <c r="CG26" s="421">
        <f>IFERROR(('Non-Energy Use'!AJ26-'Consumption Input Diff.'!CG55)/'Consumption Input Diff.'!CG55,"NA")</f>
        <v>0</v>
      </c>
    </row>
    <row r="27" spans="2:85">
      <c r="B27" s="456">
        <v>24</v>
      </c>
      <c r="D27" s="45" t="s">
        <v>1598</v>
      </c>
      <c r="E27" s="421">
        <f>IFERROR(('Consumption Input'!E28-'Consumption Input Diff.'!E139)/'Consumption Input Diff.'!E139,"NA")</f>
        <v>-8.709935718625638E-8</v>
      </c>
      <c r="F27" s="421">
        <f>IFERROR(('Consumption Input'!F28-'Consumption Input Diff.'!F139)/'Consumption Input Diff.'!F139,"NA")</f>
        <v>3.7323050870530004E-7</v>
      </c>
      <c r="G27" s="421">
        <f>IFERROR(('Consumption Input'!G28-'Consumption Input Diff.'!G139)/'Consumption Input Diff.'!G139,"NA")</f>
        <v>-2.1860483311247554E-7</v>
      </c>
      <c r="H27" s="421">
        <f>IFERROR(('Consumption Input'!H28-'Consumption Input Diff.'!H139)/'Consumption Input Diff.'!H139,"NA")</f>
        <v>5.9237355419177852E-8</v>
      </c>
      <c r="I27" s="421">
        <f>IFERROR(('Consumption Input'!I28-'Consumption Input Diff.'!I139)/'Consumption Input Diff.'!I139,"NA")</f>
        <v>-2.8143018462300722E-7</v>
      </c>
      <c r="J27" s="421">
        <f>IFERROR(('Consumption Input'!J28-'Consumption Input Diff.'!J139)/'Consumption Input Diff.'!J139,"NA")</f>
        <v>9.484156612879592E-9</v>
      </c>
      <c r="K27" s="421">
        <f>IFERROR(('Consumption Input'!K28-'Consumption Input Diff.'!K139)/'Consumption Input Diff.'!K139,"NA")</f>
        <v>1.1791460496908451E-8</v>
      </c>
      <c r="L27" s="421">
        <f>IFERROR(('Consumption Input'!L28-'Consumption Input Diff.'!L139)/'Consumption Input Diff.'!L139,"NA")</f>
        <v>-3.2086795859721942E-7</v>
      </c>
      <c r="M27" s="421">
        <f>IFERROR(('Consumption Input'!M28-'Consumption Input Diff.'!M139)/'Consumption Input Diff.'!M139,"NA")</f>
        <v>-1.0942718630173765E-7</v>
      </c>
      <c r="N27" s="421">
        <f>IFERROR(('Consumption Input'!N28-'Consumption Input Diff.'!N139)/'Consumption Input Diff.'!N139,"NA")</f>
        <v>3.395549572025643E-7</v>
      </c>
      <c r="O27" s="421">
        <f>IFERROR(('Consumption Input'!O28-'Consumption Input Diff.'!O139)/'Consumption Input Diff.'!O139,"NA")</f>
        <v>3.266285910299303E-8</v>
      </c>
      <c r="P27" s="421">
        <f>IFERROR(('Consumption Input'!P28-'Consumption Input Diff.'!P139)/'Consumption Input Diff.'!P139,"NA")</f>
        <v>-5.271213182068262E-4</v>
      </c>
      <c r="Q27" s="421">
        <f>IFERROR(('Consumption Input'!Q28-'Consumption Input Diff.'!Q139)/'Consumption Input Diff.'!Q139,"NA")</f>
        <v>-9.4873048550815902E-4</v>
      </c>
      <c r="R27" s="421">
        <f>IFERROR(('Consumption Input'!R28-'Consumption Input Diff.'!R139)/'Consumption Input Diff.'!R139,"NA")</f>
        <v>-7.3015715325081909E-4</v>
      </c>
      <c r="S27" s="421">
        <f>IFERROR(('Consumption Input'!S28-'Consumption Input Diff.'!S139)/'Consumption Input Diff.'!S139,"NA")</f>
        <v>-1.3905947139078929E-3</v>
      </c>
      <c r="T27" s="421">
        <f>IFERROR(('Consumption Input'!T28-'Consumption Input Diff.'!T139)/'Consumption Input Diff.'!T139,"NA")</f>
        <v>-5.0272136307288494E-3</v>
      </c>
      <c r="U27" s="421">
        <f>IFERROR(('Consumption Input'!U28-'Consumption Input Diff.'!U139)/'Consumption Input Diff.'!U139,"NA")</f>
        <v>-1.4754533429137958E-2</v>
      </c>
      <c r="V27" s="421">
        <f>IFERROR(('Consumption Input'!V28-'Consumption Input Diff.'!V139)/'Consumption Input Diff.'!V139,"NA")</f>
        <v>-2.0546306636825357E-2</v>
      </c>
      <c r="W27" s="421">
        <f>IFERROR(('Consumption Input'!W28-'Consumption Input Diff.'!W139)/'Consumption Input Diff.'!W139,"NA")</f>
        <v>-1.9073667561983941E-2</v>
      </c>
      <c r="X27" s="421">
        <f>IFERROR(('Consumption Input'!X28-'Consumption Input Diff.'!X139)/'Consumption Input Diff.'!X139,"NA")</f>
        <v>-1.216855191100066E-2</v>
      </c>
      <c r="Y27" s="421">
        <f>IFERROR(('Consumption Input'!Y28-'Consumption Input Diff.'!Y139)/'Consumption Input Diff.'!Y139,"NA")</f>
        <v>-6.3444202034521717E-3</v>
      </c>
      <c r="Z27" s="421">
        <f>IFERROR(('Consumption Input'!Z28-'Consumption Input Diff.'!Z139)/'Consumption Input Diff.'!Z139,"NA")</f>
        <v>4.6663760283957457E-3</v>
      </c>
      <c r="AA27" s="421">
        <f>IFERROR(('Consumption Input'!AA28-'Consumption Input Diff.'!AA139)/'Consumption Input Diff.'!AA139,"NA")</f>
        <v>5.1440472580648799E-3</v>
      </c>
      <c r="AB27" s="421">
        <f>IFERROR(('Consumption Input'!AB28-'Consumption Input Diff.'!AB139)/'Consumption Input Diff.'!AB139,"NA")</f>
        <v>4.6393294124129174E-3</v>
      </c>
      <c r="AC27" s="421">
        <f>IFERROR(('Consumption Input'!AC28-'Consumption Input Diff.'!AC139)/'Consumption Input Diff.'!AC139,"NA")</f>
        <v>5.2044355313011804E-3</v>
      </c>
      <c r="AD27" s="421">
        <f>IFERROR(('Consumption Input'!AD28-'Consumption Input Diff.'!AD139)/'Consumption Input Diff.'!AD139,"NA")</f>
        <v>8.5941609061518792E-3</v>
      </c>
      <c r="AE27" s="421">
        <f>IFERROR(('Consumption Input'!AE28-'Consumption Input Diff.'!AE139)/'Consumption Input Diff.'!AE139,"NA")</f>
        <v>1.5860692882935824E-2</v>
      </c>
      <c r="AF27" s="421">
        <f>IFERROR(('Consumption Input'!AF28-'Consumption Input Diff.'!AF139)/'Consumption Input Diff.'!AF139,"NA")</f>
        <v>2.2935187048695974E-2</v>
      </c>
      <c r="AG27" s="421">
        <f>IFERROR(('Consumption Input'!AG28-'Consumption Input Diff.'!AG139)/'Consumption Input Diff.'!AG139,"NA")</f>
        <v>2.2592305729467119E-2</v>
      </c>
      <c r="AH27" s="421">
        <f>IFERROR(('Consumption Input'!AH28-'Consumption Input Diff.'!AH139)/'Consumption Input Diff.'!AH139,"NA")</f>
        <v>5.0634045386576246E-2</v>
      </c>
      <c r="AI27" s="421">
        <f>IFERROR(('Consumption Input'!AI28-'Consumption Input Diff.'!AI139)/'Consumption Input Diff.'!AI139,"NA")</f>
        <v>6.502415519001524E-2</v>
      </c>
      <c r="AJ27" s="421">
        <f>IFERROR(('Consumption Input'!AJ28-'Consumption Input Diff.'!AJ139)/'Consumption Input Diff.'!AJ139,"NA")</f>
        <v>0.18248957676551686</v>
      </c>
      <c r="AK27" s="5">
        <f>'Consumption Input'!V28-V139</f>
        <v>-24.036979403218538</v>
      </c>
      <c r="AL27" s="5">
        <f>'Consumption Input'!W28-W139</f>
        <v>-21.038870847473618</v>
      </c>
      <c r="AM27" s="5">
        <f>'Consumption Input'!X28-X139</f>
        <v>-12.331168951559221</v>
      </c>
      <c r="AN27" s="5">
        <f>'Consumption Input'!Y28-Y139</f>
        <v>-7.0695727818763316</v>
      </c>
      <c r="AO27" s="5">
        <f>'Consumption Input'!Z28-Z139</f>
        <v>5.7546361630229512</v>
      </c>
      <c r="AP27" s="5">
        <f>'Consumption Input'!AA28-AA139</f>
        <v>5.808355972367508</v>
      </c>
      <c r="AQ27" s="5">
        <f>'Consumption Input'!AB28-AB139</f>
        <v>5.3102953135648931</v>
      </c>
      <c r="AR27" s="5">
        <f>'Consumption Input'!AC28-AC139</f>
        <v>6.657096394388418</v>
      </c>
      <c r="AS27" s="5">
        <f>'Consumption Input'!AD28-AD139</f>
        <v>8.7993527447501947</v>
      </c>
      <c r="AT27" s="5">
        <f>'Consumption Input'!AE28-AE139</f>
        <v>15.001764471802289</v>
      </c>
      <c r="AU27" s="5">
        <f>'Consumption Input'!AF28-AF139</f>
        <v>20.894964637223779</v>
      </c>
      <c r="AV27" s="5">
        <f>'Consumption Input'!AG28-AG139</f>
        <v>24.036536639965561</v>
      </c>
      <c r="AW27" s="5">
        <f>'Consumption Input'!AH28-AH139</f>
        <v>51.999017706180894</v>
      </c>
      <c r="AX27" s="5">
        <f>'Consumption Input'!AI28-AI139</f>
        <v>57.125150307328113</v>
      </c>
      <c r="AY27" s="5">
        <f>'Consumption Input'!AJ28-AJ139</f>
        <v>147.21515311567146</v>
      </c>
      <c r="AZ27" s="21">
        <v>23</v>
      </c>
      <c r="BA27" s="6" t="s">
        <v>1785</v>
      </c>
      <c r="BB27" s="421">
        <f>IFERROR(('Non-Energy Use'!E27-'Consumption Input Diff.'!BB56)/'Consumption Input Diff.'!BB56,"NA")</f>
        <v>0</v>
      </c>
      <c r="BC27" s="421">
        <f>IFERROR(('Non-Energy Use'!F27-'Consumption Input Diff.'!BC56)/'Consumption Input Diff.'!BC56,"NA")</f>
        <v>0</v>
      </c>
      <c r="BD27" s="421">
        <f>IFERROR(('Non-Energy Use'!G27-'Consumption Input Diff.'!BD56)/'Consumption Input Diff.'!BD56,"NA")</f>
        <v>0</v>
      </c>
      <c r="BE27" s="421">
        <f>IFERROR(('Non-Energy Use'!H27-'Consumption Input Diff.'!BE56)/'Consumption Input Diff.'!BE56,"NA")</f>
        <v>0</v>
      </c>
      <c r="BF27" s="421">
        <f>IFERROR(('Non-Energy Use'!I27-'Consumption Input Diff.'!BF56)/'Consumption Input Diff.'!BF56,"NA")</f>
        <v>0</v>
      </c>
      <c r="BG27" s="421">
        <f>IFERROR(('Non-Energy Use'!J27-'Consumption Input Diff.'!BG56)/'Consumption Input Diff.'!BG56,"NA")</f>
        <v>0</v>
      </c>
      <c r="BH27" s="421">
        <f>IFERROR(('Non-Energy Use'!K27-'Consumption Input Diff.'!BH56)/'Consumption Input Diff.'!BH56,"NA")</f>
        <v>0</v>
      </c>
      <c r="BI27" s="421">
        <f>IFERROR(('Non-Energy Use'!L27-'Consumption Input Diff.'!BI56)/'Consumption Input Diff.'!BI56,"NA")</f>
        <v>0</v>
      </c>
      <c r="BJ27" s="421">
        <f>IFERROR(('Non-Energy Use'!M27-'Consumption Input Diff.'!BJ56)/'Consumption Input Diff.'!BJ56,"NA")</f>
        <v>0</v>
      </c>
      <c r="BK27" s="421">
        <f>IFERROR(('Non-Energy Use'!N27-'Consumption Input Diff.'!BK56)/'Consumption Input Diff.'!BK56,"NA")</f>
        <v>0</v>
      </c>
      <c r="BL27" s="421">
        <f>IFERROR(('Non-Energy Use'!O27-'Consumption Input Diff.'!BL56)/'Consumption Input Diff.'!BL56,"NA")</f>
        <v>0</v>
      </c>
      <c r="BM27" s="421">
        <f>IFERROR(('Non-Energy Use'!P27-'Consumption Input Diff.'!BM56)/'Consumption Input Diff.'!BM56,"NA")</f>
        <v>0</v>
      </c>
      <c r="BN27" s="421">
        <f>IFERROR(('Non-Energy Use'!Q27-'Consumption Input Diff.'!BN56)/'Consumption Input Diff.'!BN56,"NA")</f>
        <v>0</v>
      </c>
      <c r="BO27" s="421">
        <f>IFERROR(('Non-Energy Use'!R27-'Consumption Input Diff.'!BO56)/'Consumption Input Diff.'!BO56,"NA")</f>
        <v>0</v>
      </c>
      <c r="BP27" s="421">
        <f>IFERROR(('Non-Energy Use'!S27-'Consumption Input Diff.'!BP56)/'Consumption Input Diff.'!BP56,"NA")</f>
        <v>0</v>
      </c>
      <c r="BQ27" s="421">
        <f>IFERROR(('Non-Energy Use'!T27-'Consumption Input Diff.'!BQ56)/'Consumption Input Diff.'!BQ56,"NA")</f>
        <v>0</v>
      </c>
      <c r="BR27" s="421">
        <f>IFERROR(('Non-Energy Use'!U27-'Consumption Input Diff.'!BR56)/'Consumption Input Diff.'!BR56,"NA")</f>
        <v>0</v>
      </c>
      <c r="BS27" s="421">
        <f>IFERROR(('Non-Energy Use'!V27-'Consumption Input Diff.'!BS56)/'Consumption Input Diff.'!BS56,"NA")</f>
        <v>0</v>
      </c>
      <c r="BT27" s="421">
        <f>IFERROR(('Non-Energy Use'!W27-'Consumption Input Diff.'!BT56)/'Consumption Input Diff.'!BT56,"NA")</f>
        <v>0</v>
      </c>
      <c r="BU27" s="421">
        <f>IFERROR(('Non-Energy Use'!X27-'Consumption Input Diff.'!BU56)/'Consumption Input Diff.'!BU56,"NA")</f>
        <v>0</v>
      </c>
      <c r="BV27" s="421">
        <f>IFERROR(('Non-Energy Use'!Y27-'Consumption Input Diff.'!BV56)/'Consumption Input Diff.'!BV56,"NA")</f>
        <v>0</v>
      </c>
      <c r="BW27" s="421">
        <f>IFERROR(('Non-Energy Use'!Z27-'Consumption Input Diff.'!BW56)/'Consumption Input Diff.'!BW56,"NA")</f>
        <v>0</v>
      </c>
      <c r="BX27" s="421">
        <f>IFERROR(('Non-Energy Use'!AA27-'Consumption Input Diff.'!BX56)/'Consumption Input Diff.'!BX56,"NA")</f>
        <v>0</v>
      </c>
      <c r="BY27" s="421">
        <f>IFERROR(('Non-Energy Use'!AB27-'Consumption Input Diff.'!BY56)/'Consumption Input Diff.'!BY56,"NA")</f>
        <v>0</v>
      </c>
      <c r="BZ27" s="421">
        <f>IFERROR(('Non-Energy Use'!AC27-'Consumption Input Diff.'!BZ56)/'Consumption Input Diff.'!BZ56,"NA")</f>
        <v>0</v>
      </c>
      <c r="CA27" s="421">
        <f>IFERROR(('Non-Energy Use'!AD27-'Consumption Input Diff.'!CA56)/'Consumption Input Diff.'!CA56,"NA")</f>
        <v>0</v>
      </c>
      <c r="CB27" s="421">
        <f>IFERROR(('Non-Energy Use'!AE27-'Consumption Input Diff.'!CB56)/'Consumption Input Diff.'!CB56,"NA")</f>
        <v>0</v>
      </c>
      <c r="CC27" s="421">
        <f>IFERROR(('Non-Energy Use'!AF27-'Consumption Input Diff.'!CC56)/'Consumption Input Diff.'!CC56,"NA")</f>
        <v>0</v>
      </c>
      <c r="CD27" s="421">
        <f>IFERROR(('Non-Energy Use'!AG27-'Consumption Input Diff.'!CD56)/'Consumption Input Diff.'!CD56,"NA")</f>
        <v>0</v>
      </c>
      <c r="CE27" s="421">
        <f>IFERROR(('Non-Energy Use'!AH27-'Consumption Input Diff.'!CE56)/'Consumption Input Diff.'!CE56,"NA")</f>
        <v>0</v>
      </c>
      <c r="CF27" s="421">
        <f>IFERROR(('Non-Energy Use'!AI27-'Consumption Input Diff.'!CF56)/'Consumption Input Diff.'!CF56,"NA")</f>
        <v>-0.99860736294920094</v>
      </c>
      <c r="CG27" s="421">
        <f>IFERROR(('Non-Energy Use'!AJ27-'Consumption Input Diff.'!CG56)/'Consumption Input Diff.'!CG56,"NA")</f>
        <v>-0.99838782738928178</v>
      </c>
    </row>
    <row r="28" spans="2:85">
      <c r="B28" s="456">
        <v>25</v>
      </c>
      <c r="D28" s="45" t="s">
        <v>1599</v>
      </c>
      <c r="E28" s="421">
        <f>IFERROR(('Consumption Input'!E29-'Consumption Input Diff.'!E140)/'Consumption Input Diff.'!E140,"NA")</f>
        <v>0</v>
      </c>
      <c r="F28" s="421">
        <f>IFERROR(('Consumption Input'!F29-'Consumption Input Diff.'!F140)/'Consumption Input Diff.'!F140,"NA")</f>
        <v>0</v>
      </c>
      <c r="G28" s="421">
        <f>IFERROR(('Consumption Input'!G29-'Consumption Input Diff.'!G140)/'Consumption Input Diff.'!G140,"NA")</f>
        <v>0</v>
      </c>
      <c r="H28" s="421">
        <f>IFERROR(('Consumption Input'!H29-'Consumption Input Diff.'!H140)/'Consumption Input Diff.'!H140,"NA")</f>
        <v>0</v>
      </c>
      <c r="I28" s="421">
        <f>IFERROR(('Consumption Input'!I29-'Consumption Input Diff.'!I140)/'Consumption Input Diff.'!I140,"NA")</f>
        <v>0</v>
      </c>
      <c r="J28" s="421">
        <f>IFERROR(('Consumption Input'!J29-'Consumption Input Diff.'!J140)/'Consumption Input Diff.'!J140,"NA")</f>
        <v>0</v>
      </c>
      <c r="K28" s="421">
        <f>IFERROR(('Consumption Input'!K29-'Consumption Input Diff.'!K140)/'Consumption Input Diff.'!K140,"NA")</f>
        <v>0</v>
      </c>
      <c r="L28" s="421">
        <f>IFERROR(('Consumption Input'!L29-'Consumption Input Diff.'!L140)/'Consumption Input Diff.'!L140,"NA")</f>
        <v>0</v>
      </c>
      <c r="M28" s="421">
        <f>IFERROR(('Consumption Input'!M29-'Consumption Input Diff.'!M140)/'Consumption Input Diff.'!M140,"NA")</f>
        <v>0</v>
      </c>
      <c r="N28" s="421">
        <f>IFERROR(('Consumption Input'!N29-'Consumption Input Diff.'!N140)/'Consumption Input Diff.'!N140,"NA")</f>
        <v>0</v>
      </c>
      <c r="O28" s="421">
        <f>IFERROR(('Consumption Input'!O29-'Consumption Input Diff.'!O140)/'Consumption Input Diff.'!O140,"NA")</f>
        <v>0</v>
      </c>
      <c r="P28" s="421">
        <f>IFERROR(('Consumption Input'!P29-'Consumption Input Diff.'!P140)/'Consumption Input Diff.'!P140,"NA")</f>
        <v>0</v>
      </c>
      <c r="Q28" s="421">
        <f>IFERROR(('Consumption Input'!Q29-'Consumption Input Diff.'!Q140)/'Consumption Input Diff.'!Q140,"NA")</f>
        <v>0</v>
      </c>
      <c r="R28" s="421">
        <f>IFERROR(('Consumption Input'!R29-'Consumption Input Diff.'!R140)/'Consumption Input Diff.'!R140,"NA")</f>
        <v>0</v>
      </c>
      <c r="S28" s="421">
        <f>IFERROR(('Consumption Input'!S29-'Consumption Input Diff.'!S140)/'Consumption Input Diff.'!S140,"NA")</f>
        <v>0</v>
      </c>
      <c r="T28" s="421">
        <f>IFERROR(('Consumption Input'!T29-'Consumption Input Diff.'!T140)/'Consumption Input Diff.'!T140,"NA")</f>
        <v>0</v>
      </c>
      <c r="U28" s="421">
        <f>IFERROR(('Consumption Input'!U29-'Consumption Input Diff.'!U140)/'Consumption Input Diff.'!U140,"NA")</f>
        <v>0</v>
      </c>
      <c r="V28" s="421">
        <f>IFERROR(('Consumption Input'!V29-'Consumption Input Diff.'!V140)/'Consumption Input Diff.'!V140,"NA")</f>
        <v>0</v>
      </c>
      <c r="W28" s="421">
        <f>IFERROR(('Consumption Input'!W29-'Consumption Input Diff.'!W140)/'Consumption Input Diff.'!W140,"NA")</f>
        <v>0</v>
      </c>
      <c r="X28" s="421">
        <f>IFERROR(('Consumption Input'!X29-'Consumption Input Diff.'!X140)/'Consumption Input Diff.'!X140,"NA")</f>
        <v>0</v>
      </c>
      <c r="Y28" s="421">
        <f>IFERROR(('Consumption Input'!Y29-'Consumption Input Diff.'!Y140)/'Consumption Input Diff.'!Y140,"NA")</f>
        <v>0</v>
      </c>
      <c r="Z28" s="421">
        <f>IFERROR(('Consumption Input'!Z29-'Consumption Input Diff.'!Z140)/'Consumption Input Diff.'!Z140,"NA")</f>
        <v>0</v>
      </c>
      <c r="AA28" s="421">
        <f>IFERROR(('Consumption Input'!AA29-'Consumption Input Diff.'!AA140)/'Consumption Input Diff.'!AA140,"NA")</f>
        <v>0</v>
      </c>
      <c r="AB28" s="421">
        <f>IFERROR(('Consumption Input'!AB29-'Consumption Input Diff.'!AB140)/'Consumption Input Diff.'!AB140,"NA")</f>
        <v>0</v>
      </c>
      <c r="AC28" s="421">
        <f>IFERROR(('Consumption Input'!AC29-'Consumption Input Diff.'!AC140)/'Consumption Input Diff.'!AC140,"NA")</f>
        <v>0</v>
      </c>
      <c r="AD28" s="421">
        <f>IFERROR(('Consumption Input'!AD29-'Consumption Input Diff.'!AD140)/'Consumption Input Diff.'!AD140,"NA")</f>
        <v>0</v>
      </c>
      <c r="AE28" s="421">
        <f>IFERROR(('Consumption Input'!AE29-'Consumption Input Diff.'!AE140)/'Consumption Input Diff.'!AE140,"NA")</f>
        <v>0</v>
      </c>
      <c r="AF28" s="421">
        <f>IFERROR(('Consumption Input'!AF29-'Consumption Input Diff.'!AF140)/'Consumption Input Diff.'!AF140,"NA")</f>
        <v>0</v>
      </c>
      <c r="AG28" s="421">
        <f>IFERROR(('Consumption Input'!AG29-'Consumption Input Diff.'!AG140)/'Consumption Input Diff.'!AG140,"NA")</f>
        <v>0</v>
      </c>
      <c r="AH28" s="421">
        <f>IFERROR(('Consumption Input'!AH29-'Consumption Input Diff.'!AH140)/'Consumption Input Diff.'!AH140,"NA")</f>
        <v>0</v>
      </c>
      <c r="AI28" s="421">
        <f>IFERROR(('Consumption Input'!AI29-'Consumption Input Diff.'!AI140)/'Consumption Input Diff.'!AI140,"NA")</f>
        <v>0</v>
      </c>
      <c r="AJ28" s="421">
        <f>IFERROR(('Consumption Input'!AJ29-'Consumption Input Diff.'!AJ140)/'Consumption Input Diff.'!AJ140,"NA")</f>
        <v>-0.39188624006691763</v>
      </c>
      <c r="AK28" s="5">
        <f>'Consumption Input'!V29-V140</f>
        <v>0</v>
      </c>
      <c r="AL28" s="5">
        <f>'Consumption Input'!W29-W140</f>
        <v>0</v>
      </c>
      <c r="AM28" s="5">
        <f>'Consumption Input'!X29-X140</f>
        <v>0</v>
      </c>
      <c r="AN28" s="5">
        <f>'Consumption Input'!Y29-Y140</f>
        <v>0</v>
      </c>
      <c r="AO28" s="5">
        <f>'Consumption Input'!Z29-Z140</f>
        <v>0</v>
      </c>
      <c r="AP28" s="5">
        <f>'Consumption Input'!AA29-AA140</f>
        <v>0</v>
      </c>
      <c r="AQ28" s="5">
        <f>'Consumption Input'!AB29-AB140</f>
        <v>0</v>
      </c>
      <c r="AR28" s="5">
        <f>'Consumption Input'!AC29-AC140</f>
        <v>0</v>
      </c>
      <c r="AS28" s="5">
        <f>'Consumption Input'!AD29-AD140</f>
        <v>0</v>
      </c>
      <c r="AT28" s="5">
        <f>'Consumption Input'!AE29-AE140</f>
        <v>0</v>
      </c>
      <c r="AU28" s="5">
        <f>'Consumption Input'!AF29-AF140</f>
        <v>0</v>
      </c>
      <c r="AV28" s="5">
        <f>'Consumption Input'!AG29-AG140</f>
        <v>0</v>
      </c>
      <c r="AW28" s="5">
        <f>'Consumption Input'!AH29-AH140</f>
        <v>0</v>
      </c>
      <c r="AX28" s="5">
        <f>'Consumption Input'!AI29-AI140</f>
        <v>0</v>
      </c>
      <c r="AY28" s="5">
        <f>'Consumption Input'!AJ29-AJ140</f>
        <v>-0.93700000000000006</v>
      </c>
      <c r="AZ28" s="21">
        <v>24</v>
      </c>
      <c r="BA28" s="4" t="s">
        <v>1480</v>
      </c>
      <c r="BB28" s="465"/>
      <c r="BC28" s="465"/>
      <c r="BD28" s="465"/>
      <c r="BE28" s="465"/>
      <c r="BF28" s="465"/>
      <c r="BG28" s="465"/>
      <c r="BH28" s="465"/>
      <c r="BI28" s="465"/>
      <c r="BJ28" s="465"/>
      <c r="BK28" s="465"/>
      <c r="BL28" s="465"/>
      <c r="BM28" s="465"/>
      <c r="BN28" s="465"/>
      <c r="BO28" s="465"/>
      <c r="BP28" s="465"/>
      <c r="BQ28" s="465"/>
      <c r="BR28" s="465"/>
      <c r="BS28" s="465"/>
      <c r="BT28" s="465"/>
      <c r="BU28" s="465"/>
      <c r="BV28" s="465"/>
      <c r="BW28" s="465"/>
      <c r="BX28" s="465"/>
      <c r="BY28" s="465"/>
      <c r="BZ28" s="465"/>
      <c r="CA28" s="465"/>
      <c r="CB28" s="465"/>
      <c r="CC28" s="465"/>
      <c r="CD28" s="465"/>
      <c r="CE28" s="465"/>
      <c r="CF28" s="465"/>
      <c r="CG28" s="465"/>
    </row>
    <row r="29" spans="2:85">
      <c r="B29" s="456">
        <v>26</v>
      </c>
      <c r="D29" s="45" t="s">
        <v>1609</v>
      </c>
      <c r="E29" s="421">
        <f>IFERROR(('Consumption Input'!E30-'Consumption Input Diff.'!E141)/'Consumption Input Diff.'!E141,"NA")</f>
        <v>0</v>
      </c>
      <c r="F29" s="421">
        <f>IFERROR(('Consumption Input'!F30-'Consumption Input Diff.'!F141)/'Consumption Input Diff.'!F141,"NA")</f>
        <v>0</v>
      </c>
      <c r="G29" s="421">
        <f>IFERROR(('Consumption Input'!G30-'Consumption Input Diff.'!G141)/'Consumption Input Diff.'!G141,"NA")</f>
        <v>0</v>
      </c>
      <c r="H29" s="421">
        <f>IFERROR(('Consumption Input'!H30-'Consumption Input Diff.'!H141)/'Consumption Input Diff.'!H141,"NA")</f>
        <v>0</v>
      </c>
      <c r="I29" s="421">
        <f>IFERROR(('Consumption Input'!I30-'Consumption Input Diff.'!I141)/'Consumption Input Diff.'!I141,"NA")</f>
        <v>0</v>
      </c>
      <c r="J29" s="421">
        <f>IFERROR(('Consumption Input'!J30-'Consumption Input Diff.'!J141)/'Consumption Input Diff.'!J141,"NA")</f>
        <v>0</v>
      </c>
      <c r="K29" s="421">
        <f>IFERROR(('Consumption Input'!K30-'Consumption Input Diff.'!K141)/'Consumption Input Diff.'!K141,"NA")</f>
        <v>0</v>
      </c>
      <c r="L29" s="421">
        <f>IFERROR(('Consumption Input'!L30-'Consumption Input Diff.'!L141)/'Consumption Input Diff.'!L141,"NA")</f>
        <v>0</v>
      </c>
      <c r="M29" s="421">
        <f>IFERROR(('Consumption Input'!M30-'Consumption Input Diff.'!M141)/'Consumption Input Diff.'!M141,"NA")</f>
        <v>0</v>
      </c>
      <c r="N29" s="421">
        <f>IFERROR(('Consumption Input'!N30-'Consumption Input Diff.'!N141)/'Consumption Input Diff.'!N141,"NA")</f>
        <v>0</v>
      </c>
      <c r="O29" s="421">
        <f>IFERROR(('Consumption Input'!O30-'Consumption Input Diff.'!O141)/'Consumption Input Diff.'!O141,"NA")</f>
        <v>0</v>
      </c>
      <c r="P29" s="421">
        <f>IFERROR(('Consumption Input'!P30-'Consumption Input Diff.'!P141)/'Consumption Input Diff.'!P141,"NA")</f>
        <v>0</v>
      </c>
      <c r="Q29" s="421">
        <f>IFERROR(('Consumption Input'!Q30-'Consumption Input Diff.'!Q141)/'Consumption Input Diff.'!Q141,"NA")</f>
        <v>0</v>
      </c>
      <c r="R29" s="421">
        <f>IFERROR(('Consumption Input'!R30-'Consumption Input Diff.'!R141)/'Consumption Input Diff.'!R141,"NA")</f>
        <v>0</v>
      </c>
      <c r="S29" s="421">
        <f>IFERROR(('Consumption Input'!S30-'Consumption Input Diff.'!S141)/'Consumption Input Diff.'!S141,"NA")</f>
        <v>0</v>
      </c>
      <c r="T29" s="421">
        <f>IFERROR(('Consumption Input'!T30-'Consumption Input Diff.'!T141)/'Consumption Input Diff.'!T141,"NA")</f>
        <v>0</v>
      </c>
      <c r="U29" s="421">
        <f>IFERROR(('Consumption Input'!U30-'Consumption Input Diff.'!U141)/'Consumption Input Diff.'!U141,"NA")</f>
        <v>0</v>
      </c>
      <c r="V29" s="421">
        <f>IFERROR(('Consumption Input'!V30-'Consumption Input Diff.'!V141)/'Consumption Input Diff.'!V141,"NA")</f>
        <v>0</v>
      </c>
      <c r="W29" s="421">
        <f>IFERROR(('Consumption Input'!W30-'Consumption Input Diff.'!W141)/'Consumption Input Diff.'!W141,"NA")</f>
        <v>0</v>
      </c>
      <c r="X29" s="421">
        <f>IFERROR(('Consumption Input'!X30-'Consumption Input Diff.'!X141)/'Consumption Input Diff.'!X141,"NA")</f>
        <v>0</v>
      </c>
      <c r="Y29" s="421">
        <f>IFERROR(('Consumption Input'!Y30-'Consumption Input Diff.'!Y141)/'Consumption Input Diff.'!Y141,"NA")</f>
        <v>-4.4102983291537967E-5</v>
      </c>
      <c r="Z29" s="421">
        <f>IFERROR(('Consumption Input'!Z30-'Consumption Input Diff.'!Z141)/'Consumption Input Diff.'!Z141,"NA")</f>
        <v>-4.2108044279785226E-5</v>
      </c>
      <c r="AA29" s="421">
        <f>IFERROR(('Consumption Input'!AA30-'Consumption Input Diff.'!AA141)/'Consumption Input Diff.'!AA141,"NA")</f>
        <v>-6.697645286972065E-5</v>
      </c>
      <c r="AB29" s="421">
        <f>IFERROR(('Consumption Input'!AB30-'Consumption Input Diff.'!AB141)/'Consumption Input Diff.'!AB141,"NA")</f>
        <v>-3.656897228121253E-4</v>
      </c>
      <c r="AC29" s="421">
        <f>IFERROR(('Consumption Input'!AC30-'Consumption Input Diff.'!AC141)/'Consumption Input Diff.'!AC141,"NA")</f>
        <v>-7.0588926985371025E-4</v>
      </c>
      <c r="AD29" s="421">
        <f>IFERROR(('Consumption Input'!AD30-'Consumption Input Diff.'!AD141)/'Consumption Input Diff.'!AD141,"NA")</f>
        <v>-9.4536996239930353E-4</v>
      </c>
      <c r="AE29" s="421">
        <f>IFERROR(('Consumption Input'!AE30-'Consumption Input Diff.'!AE141)/'Consumption Input Diff.'!AE141,"NA")</f>
        <v>-1.2028608768217329E-3</v>
      </c>
      <c r="AF29" s="421">
        <f>IFERROR(('Consumption Input'!AF30-'Consumption Input Diff.'!AF141)/'Consumption Input Diff.'!AF141,"NA")</f>
        <v>-1.2990770177454226E-3</v>
      </c>
      <c r="AG29" s="421">
        <f>IFERROR(('Consumption Input'!AG30-'Consumption Input Diff.'!AG141)/'Consumption Input Diff.'!AG141,"NA")</f>
        <v>-1.3148942369870258E-3</v>
      </c>
      <c r="AH29" s="421">
        <f>IFERROR(('Consumption Input'!AH30-'Consumption Input Diff.'!AH141)/'Consumption Input Diff.'!AH141,"NA")</f>
        <v>-1.3524924050835883E-3</v>
      </c>
      <c r="AI29" s="421">
        <f>IFERROR(('Consumption Input'!AI30-'Consumption Input Diff.'!AI141)/'Consumption Input Diff.'!AI141,"NA")</f>
        <v>-1.4052849462802704E-3</v>
      </c>
      <c r="AJ29" s="421">
        <f>IFERROR(('Consumption Input'!AJ30-'Consumption Input Diff.'!AJ141)/'Consumption Input Diff.'!AJ141,"NA")</f>
        <v>-2.6024808056567721E-3</v>
      </c>
      <c r="AK29" s="5">
        <f>'Consumption Input'!V30-V141</f>
        <v>0</v>
      </c>
      <c r="AL29" s="5">
        <f>'Consumption Input'!W30-W141</f>
        <v>0</v>
      </c>
      <c r="AM29" s="5">
        <f>'Consumption Input'!X30-X141</f>
        <v>0</v>
      </c>
      <c r="AN29" s="5">
        <f>'Consumption Input'!Y30-Y141</f>
        <v>-9.0445853999881365E-2</v>
      </c>
      <c r="AO29" s="5">
        <f>'Consumption Input'!Z30-Z141</f>
        <v>-8.913316100006341E-2</v>
      </c>
      <c r="AP29" s="5">
        <f>'Consumption Input'!AA30-AA141</f>
        <v>-0.15180413100006263</v>
      </c>
      <c r="AQ29" s="5">
        <f>'Consumption Input'!AB30-AB141</f>
        <v>-0.89626886399992145</v>
      </c>
      <c r="AR29" s="5">
        <f>'Consumption Input'!AC30-AC141</f>
        <v>-1.6389635509999607</v>
      </c>
      <c r="AS29" s="5">
        <f>'Consumption Input'!AD30-AD141</f>
        <v>-2.3245970900002249</v>
      </c>
      <c r="AT29" s="5">
        <f>'Consumption Input'!AE30-AE141</f>
        <v>-2.9864989030002107</v>
      </c>
      <c r="AU29" s="5">
        <f>'Consumption Input'!AF30-AF141</f>
        <v>-3.2519924029998037</v>
      </c>
      <c r="AV29" s="5">
        <f>'Consumption Input'!AG30-AG141</f>
        <v>-3.6863184349999756</v>
      </c>
      <c r="AW29" s="5">
        <f>'Consumption Input'!AH30-AH141</f>
        <v>-3.7978684929994415</v>
      </c>
      <c r="AX29" s="5">
        <f>'Consumption Input'!AI30-AI141</f>
        <v>-4.0772934790002182</v>
      </c>
      <c r="AY29" s="5">
        <f>'Consumption Input'!AJ30-AJ141</f>
        <v>-8.0456774429999314</v>
      </c>
    </row>
    <row r="30" spans="2:85">
      <c r="B30" s="456">
        <v>27</v>
      </c>
      <c r="D30" s="45" t="s">
        <v>1610</v>
      </c>
      <c r="E30" s="421">
        <f>IFERROR(('Consumption Input'!E31-'Consumption Input Diff.'!E142)/'Consumption Input Diff.'!E142,"NA")</f>
        <v>0</v>
      </c>
      <c r="F30" s="421">
        <f>IFERROR(('Consumption Input'!F31-'Consumption Input Diff.'!F142)/'Consumption Input Diff.'!F142,"NA")</f>
        <v>0</v>
      </c>
      <c r="G30" s="421">
        <f>IFERROR(('Consumption Input'!G31-'Consumption Input Diff.'!G142)/'Consumption Input Diff.'!G142,"NA")</f>
        <v>0</v>
      </c>
      <c r="H30" s="421">
        <f>IFERROR(('Consumption Input'!H31-'Consumption Input Diff.'!H142)/'Consumption Input Diff.'!H142,"NA")</f>
        <v>0</v>
      </c>
      <c r="I30" s="421">
        <f>IFERROR(('Consumption Input'!I31-'Consumption Input Diff.'!I142)/'Consumption Input Diff.'!I142,"NA")</f>
        <v>0</v>
      </c>
      <c r="J30" s="421">
        <f>IFERROR(('Consumption Input'!J31-'Consumption Input Diff.'!J142)/'Consumption Input Diff.'!J142,"NA")</f>
        <v>0</v>
      </c>
      <c r="K30" s="421">
        <f>IFERROR(('Consumption Input'!K31-'Consumption Input Diff.'!K142)/'Consumption Input Diff.'!K142,"NA")</f>
        <v>0</v>
      </c>
      <c r="L30" s="421">
        <f>IFERROR(('Consumption Input'!L31-'Consumption Input Diff.'!L142)/'Consumption Input Diff.'!L142,"NA")</f>
        <v>0</v>
      </c>
      <c r="M30" s="421">
        <f>IFERROR(('Consumption Input'!M31-'Consumption Input Diff.'!M142)/'Consumption Input Diff.'!M142,"NA")</f>
        <v>0</v>
      </c>
      <c r="N30" s="421">
        <f>IFERROR(('Consumption Input'!N31-'Consumption Input Diff.'!N142)/'Consumption Input Diff.'!N142,"NA")</f>
        <v>0</v>
      </c>
      <c r="O30" s="421">
        <f>IFERROR(('Consumption Input'!O31-'Consumption Input Diff.'!O142)/'Consumption Input Diff.'!O142,"NA")</f>
        <v>0</v>
      </c>
      <c r="P30" s="421">
        <f>IFERROR(('Consumption Input'!P31-'Consumption Input Diff.'!P142)/'Consumption Input Diff.'!P142,"NA")</f>
        <v>0</v>
      </c>
      <c r="Q30" s="421">
        <f>IFERROR(('Consumption Input'!Q31-'Consumption Input Diff.'!Q142)/'Consumption Input Diff.'!Q142,"NA")</f>
        <v>0</v>
      </c>
      <c r="R30" s="421">
        <f>IFERROR(('Consumption Input'!R31-'Consumption Input Diff.'!R142)/'Consumption Input Diff.'!R142,"NA")</f>
        <v>0</v>
      </c>
      <c r="S30" s="421">
        <f>IFERROR(('Consumption Input'!S31-'Consumption Input Diff.'!S142)/'Consumption Input Diff.'!S142,"NA")</f>
        <v>0</v>
      </c>
      <c r="T30" s="421">
        <f>IFERROR(('Consumption Input'!T31-'Consumption Input Diff.'!T142)/'Consumption Input Diff.'!T142,"NA")</f>
        <v>0</v>
      </c>
      <c r="U30" s="421">
        <f>IFERROR(('Consumption Input'!U31-'Consumption Input Diff.'!U142)/'Consumption Input Diff.'!U142,"NA")</f>
        <v>0</v>
      </c>
      <c r="V30" s="421">
        <f>IFERROR(('Consumption Input'!V31-'Consumption Input Diff.'!V142)/'Consumption Input Diff.'!V142,"NA")</f>
        <v>0</v>
      </c>
      <c r="W30" s="421">
        <f>IFERROR(('Consumption Input'!W31-'Consumption Input Diff.'!W142)/'Consumption Input Diff.'!W142,"NA")</f>
        <v>0</v>
      </c>
      <c r="X30" s="421">
        <f>IFERROR(('Consumption Input'!X31-'Consumption Input Diff.'!X142)/'Consumption Input Diff.'!X142,"NA")</f>
        <v>0</v>
      </c>
      <c r="Y30" s="421">
        <f>IFERROR(('Consumption Input'!Y31-'Consumption Input Diff.'!Y142)/'Consumption Input Diff.'!Y142,"NA")</f>
        <v>0</v>
      </c>
      <c r="Z30" s="421">
        <f>IFERROR(('Consumption Input'!Z31-'Consumption Input Diff.'!Z142)/'Consumption Input Diff.'!Z142,"NA")</f>
        <v>0</v>
      </c>
      <c r="AA30" s="421">
        <f>IFERROR(('Consumption Input'!AA31-'Consumption Input Diff.'!AA142)/'Consumption Input Diff.'!AA142,"NA")</f>
        <v>0</v>
      </c>
      <c r="AB30" s="421">
        <f>IFERROR(('Consumption Input'!AB31-'Consumption Input Diff.'!AB142)/'Consumption Input Diff.'!AB142,"NA")</f>
        <v>0</v>
      </c>
      <c r="AC30" s="421">
        <f>IFERROR(('Consumption Input'!AC31-'Consumption Input Diff.'!AC142)/'Consumption Input Diff.'!AC142,"NA")</f>
        <v>0</v>
      </c>
      <c r="AD30" s="421">
        <f>IFERROR(('Consumption Input'!AD31-'Consumption Input Diff.'!AD142)/'Consumption Input Diff.'!AD142,"NA")</f>
        <v>0</v>
      </c>
      <c r="AE30" s="421">
        <f>IFERROR(('Consumption Input'!AE31-'Consumption Input Diff.'!AE142)/'Consumption Input Diff.'!AE142,"NA")</f>
        <v>0</v>
      </c>
      <c r="AF30" s="421">
        <f>IFERROR(('Consumption Input'!AF31-'Consumption Input Diff.'!AF142)/'Consumption Input Diff.'!AF142,"NA")</f>
        <v>0</v>
      </c>
      <c r="AG30" s="421">
        <f>IFERROR(('Consumption Input'!AG31-'Consumption Input Diff.'!AG142)/'Consumption Input Diff.'!AG142,"NA")</f>
        <v>0</v>
      </c>
      <c r="AH30" s="421">
        <f>IFERROR(('Consumption Input'!AH31-'Consumption Input Diff.'!AH142)/'Consumption Input Diff.'!AH142,"NA")</f>
        <v>0</v>
      </c>
      <c r="AI30" s="421">
        <f>IFERROR(('Consumption Input'!AI31-'Consumption Input Diff.'!AI142)/'Consumption Input Diff.'!AI142,"NA")</f>
        <v>0</v>
      </c>
      <c r="AJ30" s="421">
        <f>IFERROR(('Consumption Input'!AJ31-'Consumption Input Diff.'!AJ142)/'Consumption Input Diff.'!AJ142,"NA")</f>
        <v>-3.9580846731728531E-3</v>
      </c>
      <c r="AK30" s="5">
        <f>'Consumption Input'!V31-V142</f>
        <v>0</v>
      </c>
      <c r="AL30" s="5">
        <f>'Consumption Input'!W31-W142</f>
        <v>0</v>
      </c>
      <c r="AM30" s="5">
        <f>'Consumption Input'!X31-X142</f>
        <v>0</v>
      </c>
      <c r="AN30" s="5">
        <f>'Consumption Input'!Y31-Y142</f>
        <v>0</v>
      </c>
      <c r="AO30" s="5">
        <f>'Consumption Input'!Z31-Z142</f>
        <v>0</v>
      </c>
      <c r="AP30" s="5">
        <f>'Consumption Input'!AA31-AA142</f>
        <v>0</v>
      </c>
      <c r="AQ30" s="5">
        <f>'Consumption Input'!AB31-AB142</f>
        <v>0</v>
      </c>
      <c r="AR30" s="5">
        <f>'Consumption Input'!AC31-AC142</f>
        <v>0</v>
      </c>
      <c r="AS30" s="5">
        <f>'Consumption Input'!AD31-AD142</f>
        <v>0</v>
      </c>
      <c r="AT30" s="5">
        <f>'Consumption Input'!AE31-AE142</f>
        <v>0</v>
      </c>
      <c r="AU30" s="5">
        <f>'Consumption Input'!AF31-AF142</f>
        <v>0</v>
      </c>
      <c r="AV30" s="5">
        <f>'Consumption Input'!AG31-AG142</f>
        <v>0</v>
      </c>
      <c r="AW30" s="5">
        <f>'Consumption Input'!AH31-AH142</f>
        <v>0</v>
      </c>
      <c r="AX30" s="5">
        <f>'Consumption Input'!AI31-AI142</f>
        <v>0</v>
      </c>
      <c r="AY30" s="5">
        <f>'Consumption Input'!AJ31-AJ142</f>
        <v>-0.45100000000000762</v>
      </c>
    </row>
    <row r="31" spans="2:85">
      <c r="B31" s="456">
        <v>28</v>
      </c>
      <c r="D31" s="45" t="s">
        <v>1601</v>
      </c>
      <c r="E31" s="421">
        <f>IFERROR(('Consumption Input'!E32-'Consumption Input Diff.'!E143)/'Consumption Input Diff.'!E143,"NA")</f>
        <v>0</v>
      </c>
      <c r="F31" s="421">
        <f>IFERROR(('Consumption Input'!F32-'Consumption Input Diff.'!F143)/'Consumption Input Diff.'!F143,"NA")</f>
        <v>0</v>
      </c>
      <c r="G31" s="421">
        <f>IFERROR(('Consumption Input'!G32-'Consumption Input Diff.'!G143)/'Consumption Input Diff.'!G143,"NA")</f>
        <v>0</v>
      </c>
      <c r="H31" s="421">
        <f>IFERROR(('Consumption Input'!H32-'Consumption Input Diff.'!H143)/'Consumption Input Diff.'!H143,"NA")</f>
        <v>0</v>
      </c>
      <c r="I31" s="421">
        <f>IFERROR(('Consumption Input'!I32-'Consumption Input Diff.'!I143)/'Consumption Input Diff.'!I143,"NA")</f>
        <v>0</v>
      </c>
      <c r="J31" s="421">
        <f>IFERROR(('Consumption Input'!J32-'Consumption Input Diff.'!J143)/'Consumption Input Diff.'!J143,"NA")</f>
        <v>0</v>
      </c>
      <c r="K31" s="421">
        <f>IFERROR(('Consumption Input'!K32-'Consumption Input Diff.'!K143)/'Consumption Input Diff.'!K143,"NA")</f>
        <v>0</v>
      </c>
      <c r="L31" s="421">
        <f>IFERROR(('Consumption Input'!L32-'Consumption Input Diff.'!L143)/'Consumption Input Diff.'!L143,"NA")</f>
        <v>0</v>
      </c>
      <c r="M31" s="421">
        <f>IFERROR(('Consumption Input'!M32-'Consumption Input Diff.'!M143)/'Consumption Input Diff.'!M143,"NA")</f>
        <v>0</v>
      </c>
      <c r="N31" s="421">
        <f>IFERROR(('Consumption Input'!N32-'Consumption Input Diff.'!N143)/'Consumption Input Diff.'!N143,"NA")</f>
        <v>0</v>
      </c>
      <c r="O31" s="421">
        <f>IFERROR(('Consumption Input'!O32-'Consumption Input Diff.'!O143)/'Consumption Input Diff.'!O143,"NA")</f>
        <v>0</v>
      </c>
      <c r="P31" s="421">
        <f>IFERROR(('Consumption Input'!P32-'Consumption Input Diff.'!P143)/'Consumption Input Diff.'!P143,"NA")</f>
        <v>0</v>
      </c>
      <c r="Q31" s="421">
        <f>IFERROR(('Consumption Input'!Q32-'Consumption Input Diff.'!Q143)/'Consumption Input Diff.'!Q143,"NA")</f>
        <v>0</v>
      </c>
      <c r="R31" s="421">
        <f>IFERROR(('Consumption Input'!R32-'Consumption Input Diff.'!R143)/'Consumption Input Diff.'!R143,"NA")</f>
        <v>0</v>
      </c>
      <c r="S31" s="421">
        <f>IFERROR(('Consumption Input'!S32-'Consumption Input Diff.'!S143)/'Consumption Input Diff.'!S143,"NA")</f>
        <v>0</v>
      </c>
      <c r="T31" s="421">
        <f>IFERROR(('Consumption Input'!T32-'Consumption Input Diff.'!T143)/'Consumption Input Diff.'!T143,"NA")</f>
        <v>0</v>
      </c>
      <c r="U31" s="421">
        <f>IFERROR(('Consumption Input'!U32-'Consumption Input Diff.'!U143)/'Consumption Input Diff.'!U143,"NA")</f>
        <v>0</v>
      </c>
      <c r="V31" s="421">
        <f>IFERROR(('Consumption Input'!V32-'Consumption Input Diff.'!V143)/'Consumption Input Diff.'!V143,"NA")</f>
        <v>0</v>
      </c>
      <c r="W31" s="421">
        <f>IFERROR(('Consumption Input'!W32-'Consumption Input Diff.'!W143)/'Consumption Input Diff.'!W143,"NA")</f>
        <v>0</v>
      </c>
      <c r="X31" s="421">
        <f>IFERROR(('Consumption Input'!X32-'Consumption Input Diff.'!X143)/'Consumption Input Diff.'!X143,"NA")</f>
        <v>0</v>
      </c>
      <c r="Y31" s="421">
        <f>IFERROR(('Consumption Input'!Y32-'Consumption Input Diff.'!Y143)/'Consumption Input Diff.'!Y143,"NA")</f>
        <v>0</v>
      </c>
      <c r="Z31" s="421">
        <f>IFERROR(('Consumption Input'!Z32-'Consumption Input Diff.'!Z143)/'Consumption Input Diff.'!Z143,"NA")</f>
        <v>0</v>
      </c>
      <c r="AA31" s="421">
        <f>IFERROR(('Consumption Input'!AA32-'Consumption Input Diff.'!AA143)/'Consumption Input Diff.'!AA143,"NA")</f>
        <v>0</v>
      </c>
      <c r="AB31" s="421">
        <f>IFERROR(('Consumption Input'!AB32-'Consumption Input Diff.'!AB143)/'Consumption Input Diff.'!AB143,"NA")</f>
        <v>0</v>
      </c>
      <c r="AC31" s="421">
        <f>IFERROR(('Consumption Input'!AC32-'Consumption Input Diff.'!AC143)/'Consumption Input Diff.'!AC143,"NA")</f>
        <v>0</v>
      </c>
      <c r="AD31" s="421">
        <f>IFERROR(('Consumption Input'!AD32-'Consumption Input Diff.'!AD143)/'Consumption Input Diff.'!AD143,"NA")</f>
        <v>0</v>
      </c>
      <c r="AE31" s="421">
        <f>IFERROR(('Consumption Input'!AE32-'Consumption Input Diff.'!AE143)/'Consumption Input Diff.'!AE143,"NA")</f>
        <v>0</v>
      </c>
      <c r="AF31" s="421">
        <f>IFERROR(('Consumption Input'!AF32-'Consumption Input Diff.'!AF143)/'Consumption Input Diff.'!AF143,"NA")</f>
        <v>0</v>
      </c>
      <c r="AG31" s="421">
        <f>IFERROR(('Consumption Input'!AG32-'Consumption Input Diff.'!AG143)/'Consumption Input Diff.'!AG143,"NA")</f>
        <v>0</v>
      </c>
      <c r="AH31" s="421">
        <f>IFERROR(('Consumption Input'!AH32-'Consumption Input Diff.'!AH143)/'Consumption Input Diff.'!AH143,"NA")</f>
        <v>0</v>
      </c>
      <c r="AI31" s="421">
        <f>IFERROR(('Consumption Input'!AI32-'Consumption Input Diff.'!AI143)/'Consumption Input Diff.'!AI143,"NA")</f>
        <v>4.4697463060149887E-3</v>
      </c>
      <c r="AJ31" s="421">
        <f>IFERROR(('Consumption Input'!AJ32-'Consumption Input Diff.'!AJ143)/'Consumption Input Diff.'!AJ143,"NA")</f>
        <v>-1.8603464024878288E-3</v>
      </c>
      <c r="AK31" s="5">
        <f>'Consumption Input'!V32-V143</f>
        <v>0</v>
      </c>
      <c r="AL31" s="5">
        <f>'Consumption Input'!W32-W143</f>
        <v>0</v>
      </c>
      <c r="AM31" s="5">
        <f>'Consumption Input'!X32-X143</f>
        <v>0</v>
      </c>
      <c r="AN31" s="5">
        <f>'Consumption Input'!Y32-Y143</f>
        <v>0</v>
      </c>
      <c r="AO31" s="5">
        <f>'Consumption Input'!Z32-Z143</f>
        <v>0</v>
      </c>
      <c r="AP31" s="5">
        <f>'Consumption Input'!AA32-AA143</f>
        <v>0</v>
      </c>
      <c r="AQ31" s="5">
        <f>'Consumption Input'!AB32-AB143</f>
        <v>0</v>
      </c>
      <c r="AR31" s="5">
        <f>'Consumption Input'!AC32-AC143</f>
        <v>0</v>
      </c>
      <c r="AS31" s="5">
        <f>'Consumption Input'!AD32-AD143</f>
        <v>0</v>
      </c>
      <c r="AT31" s="5">
        <f>'Consumption Input'!AE32-AE143</f>
        <v>0</v>
      </c>
      <c r="AU31" s="5">
        <f>'Consumption Input'!AF32-AF143</f>
        <v>0</v>
      </c>
      <c r="AV31" s="5">
        <f>'Consumption Input'!AG32-AG143</f>
        <v>0</v>
      </c>
      <c r="AW31" s="5">
        <f>'Consumption Input'!AH32-AH143</f>
        <v>0</v>
      </c>
      <c r="AX31" s="5">
        <f>'Consumption Input'!AI32-AI143</f>
        <v>1.0736304660758833</v>
      </c>
      <c r="AY31" s="5">
        <f>'Consumption Input'!AJ32-AJ143</f>
        <v>-0.41223477783330509</v>
      </c>
    </row>
    <row r="32" spans="2:85">
      <c r="B32" s="456">
        <v>29</v>
      </c>
      <c r="D32" s="45" t="s">
        <v>1602</v>
      </c>
      <c r="E32" s="421">
        <f>IFERROR(('Consumption Input'!E33-'Consumption Input Diff.'!E144)/'Consumption Input Diff.'!E144,"NA")</f>
        <v>0</v>
      </c>
      <c r="F32" s="421">
        <f>IFERROR(('Consumption Input'!F33-'Consumption Input Diff.'!F144)/'Consumption Input Diff.'!F144,"NA")</f>
        <v>0</v>
      </c>
      <c r="G32" s="421">
        <f>IFERROR(('Consumption Input'!G33-'Consumption Input Diff.'!G144)/'Consumption Input Diff.'!G144,"NA")</f>
        <v>0</v>
      </c>
      <c r="H32" s="421">
        <f>IFERROR(('Consumption Input'!H33-'Consumption Input Diff.'!H144)/'Consumption Input Diff.'!H144,"NA")</f>
        <v>0</v>
      </c>
      <c r="I32" s="421">
        <f>IFERROR(('Consumption Input'!I33-'Consumption Input Diff.'!I144)/'Consumption Input Diff.'!I144,"NA")</f>
        <v>0</v>
      </c>
      <c r="J32" s="421">
        <f>IFERROR(('Consumption Input'!J33-'Consumption Input Diff.'!J144)/'Consumption Input Diff.'!J144,"NA")</f>
        <v>0</v>
      </c>
      <c r="K32" s="421">
        <f>IFERROR(('Consumption Input'!K33-'Consumption Input Diff.'!K144)/'Consumption Input Diff.'!K144,"NA")</f>
        <v>0</v>
      </c>
      <c r="L32" s="421">
        <f>IFERROR(('Consumption Input'!L33-'Consumption Input Diff.'!L144)/'Consumption Input Diff.'!L144,"NA")</f>
        <v>0</v>
      </c>
      <c r="M32" s="421">
        <f>IFERROR(('Consumption Input'!M33-'Consumption Input Diff.'!M144)/'Consumption Input Diff.'!M144,"NA")</f>
        <v>0</v>
      </c>
      <c r="N32" s="421">
        <f>IFERROR(('Consumption Input'!N33-'Consumption Input Diff.'!N144)/'Consumption Input Diff.'!N144,"NA")</f>
        <v>0</v>
      </c>
      <c r="O32" s="421">
        <f>IFERROR(('Consumption Input'!O33-'Consumption Input Diff.'!O144)/'Consumption Input Diff.'!O144,"NA")</f>
        <v>0</v>
      </c>
      <c r="P32" s="421">
        <f>IFERROR(('Consumption Input'!P33-'Consumption Input Diff.'!P144)/'Consumption Input Diff.'!P144,"NA")</f>
        <v>0</v>
      </c>
      <c r="Q32" s="421">
        <f>IFERROR(('Consumption Input'!Q33-'Consumption Input Diff.'!Q144)/'Consumption Input Diff.'!Q144,"NA")</f>
        <v>0</v>
      </c>
      <c r="R32" s="421">
        <f>IFERROR(('Consumption Input'!R33-'Consumption Input Diff.'!R144)/'Consumption Input Diff.'!R144,"NA")</f>
        <v>0</v>
      </c>
      <c r="S32" s="421">
        <f>IFERROR(('Consumption Input'!S33-'Consumption Input Diff.'!S144)/'Consumption Input Diff.'!S144,"NA")</f>
        <v>0</v>
      </c>
      <c r="T32" s="421">
        <f>IFERROR(('Consumption Input'!T33-'Consumption Input Diff.'!T144)/'Consumption Input Diff.'!T144,"NA")</f>
        <v>0</v>
      </c>
      <c r="U32" s="421">
        <f>IFERROR(('Consumption Input'!U33-'Consumption Input Diff.'!U144)/'Consumption Input Diff.'!U144,"NA")</f>
        <v>0</v>
      </c>
      <c r="V32" s="421">
        <f>IFERROR(('Consumption Input'!V33-'Consumption Input Diff.'!V144)/'Consumption Input Diff.'!V144,"NA")</f>
        <v>0</v>
      </c>
      <c r="W32" s="421">
        <f>IFERROR(('Consumption Input'!W33-'Consumption Input Diff.'!W144)/'Consumption Input Diff.'!W144,"NA")</f>
        <v>0</v>
      </c>
      <c r="X32" s="421">
        <f>IFERROR(('Consumption Input'!X33-'Consumption Input Diff.'!X144)/'Consumption Input Diff.'!X144,"NA")</f>
        <v>0</v>
      </c>
      <c r="Y32" s="421">
        <f>IFERROR(('Consumption Input'!Y33-'Consumption Input Diff.'!Y144)/'Consumption Input Diff.'!Y144,"NA")</f>
        <v>0</v>
      </c>
      <c r="Z32" s="421">
        <f>IFERROR(('Consumption Input'!Z33-'Consumption Input Diff.'!Z144)/'Consumption Input Diff.'!Z144,"NA")</f>
        <v>0</v>
      </c>
      <c r="AA32" s="421" t="str">
        <f>IFERROR(('Consumption Input'!AA33-'Consumption Input Diff.'!AA144)/'Consumption Input Diff.'!AA144,"NA")</f>
        <v>NA</v>
      </c>
      <c r="AB32" s="421" t="str">
        <f>IFERROR(('Consumption Input'!AB33-'Consumption Input Diff.'!AB144)/'Consumption Input Diff.'!AB144,"NA")</f>
        <v>NA</v>
      </c>
      <c r="AC32" s="421" t="str">
        <f>IFERROR(('Consumption Input'!AC33-'Consumption Input Diff.'!AC144)/'Consumption Input Diff.'!AC144,"NA")</f>
        <v>NA</v>
      </c>
      <c r="AD32" s="421" t="str">
        <f>IFERROR(('Consumption Input'!AD33-'Consumption Input Diff.'!AD144)/'Consumption Input Diff.'!AD144,"NA")</f>
        <v>NA</v>
      </c>
      <c r="AE32" s="421">
        <f>IFERROR(('Consumption Input'!AE33-'Consumption Input Diff.'!AE144)/'Consumption Input Diff.'!AE144,"NA")</f>
        <v>0</v>
      </c>
      <c r="AF32" s="421">
        <f>IFERROR(('Consumption Input'!AF33-'Consumption Input Diff.'!AF144)/'Consumption Input Diff.'!AF144,"NA")</f>
        <v>0</v>
      </c>
      <c r="AG32" s="421" t="str">
        <f>IFERROR(('Consumption Input'!AG33-'Consumption Input Diff.'!AG144)/'Consumption Input Diff.'!AG144,"NA")</f>
        <v>NA</v>
      </c>
      <c r="AH32" s="421" t="str">
        <f>IFERROR(('Consumption Input'!AH33-'Consumption Input Diff.'!AH144)/'Consumption Input Diff.'!AH144,"NA")</f>
        <v>NA</v>
      </c>
      <c r="AI32" s="421" t="str">
        <f>IFERROR(('Consumption Input'!AI33-'Consumption Input Diff.'!AI144)/'Consumption Input Diff.'!AI144,"NA")</f>
        <v>NA</v>
      </c>
      <c r="AJ32" s="421">
        <f>IFERROR(('Consumption Input'!AJ33-'Consumption Input Diff.'!AJ144)/'Consumption Input Diff.'!AJ144,"NA")</f>
        <v>-0.68635507618558422</v>
      </c>
      <c r="AK32" s="5"/>
      <c r="AL32" s="5"/>
      <c r="AM32" s="5"/>
      <c r="AN32" s="5"/>
      <c r="AO32" s="5"/>
      <c r="AP32" s="5"/>
      <c r="AQ32" s="5"/>
      <c r="AR32" s="5"/>
      <c r="AS32" s="5"/>
      <c r="AT32" s="5"/>
      <c r="AU32" s="5"/>
      <c r="AV32" s="5"/>
      <c r="AW32" s="5"/>
      <c r="AX32" s="5"/>
      <c r="AY32" s="5"/>
    </row>
    <row r="33" spans="2:85">
      <c r="B33" s="456">
        <v>30</v>
      </c>
      <c r="D33" s="45" t="s">
        <v>1603</v>
      </c>
      <c r="E33" s="421" t="str">
        <f>IFERROR(('Consumption Input'!E34-'Consumption Input Diff.'!E145)/'Consumption Input Diff.'!E145,"NA")</f>
        <v>NA</v>
      </c>
      <c r="F33" s="421" t="str">
        <f>IFERROR(('Consumption Input'!F34-'Consumption Input Diff.'!F145)/'Consumption Input Diff.'!F145,"NA")</f>
        <v>NA</v>
      </c>
      <c r="G33" s="421" t="str">
        <f>IFERROR(('Consumption Input'!G34-'Consumption Input Diff.'!G145)/'Consumption Input Diff.'!G145,"NA")</f>
        <v>NA</v>
      </c>
      <c r="H33" s="421" t="str">
        <f>IFERROR(('Consumption Input'!H34-'Consumption Input Diff.'!H145)/'Consumption Input Diff.'!H145,"NA")</f>
        <v>NA</v>
      </c>
      <c r="I33" s="421" t="str">
        <f>IFERROR(('Consumption Input'!I34-'Consumption Input Diff.'!I145)/'Consumption Input Diff.'!I145,"NA")</f>
        <v>NA</v>
      </c>
      <c r="J33" s="421" t="str">
        <f>IFERROR(('Consumption Input'!J34-'Consumption Input Diff.'!J145)/'Consumption Input Diff.'!J145,"NA")</f>
        <v>NA</v>
      </c>
      <c r="K33" s="421" t="str">
        <f>IFERROR(('Consumption Input'!K34-'Consumption Input Diff.'!K145)/'Consumption Input Diff.'!K145,"NA")</f>
        <v>NA</v>
      </c>
      <c r="L33" s="421" t="str">
        <f>IFERROR(('Consumption Input'!L34-'Consumption Input Diff.'!L145)/'Consumption Input Diff.'!L145,"NA")</f>
        <v>NA</v>
      </c>
      <c r="M33" s="421" t="str">
        <f>IFERROR(('Consumption Input'!M34-'Consumption Input Diff.'!M145)/'Consumption Input Diff.'!M145,"NA")</f>
        <v>NA</v>
      </c>
      <c r="N33" s="421" t="str">
        <f>IFERROR(('Consumption Input'!N34-'Consumption Input Diff.'!N145)/'Consumption Input Diff.'!N145,"NA")</f>
        <v>NA</v>
      </c>
      <c r="O33" s="421" t="str">
        <f>IFERROR(('Consumption Input'!O34-'Consumption Input Diff.'!O145)/'Consumption Input Diff.'!O145,"NA")</f>
        <v>NA</v>
      </c>
      <c r="P33" s="421" t="str">
        <f>IFERROR(('Consumption Input'!P34-'Consumption Input Diff.'!P145)/'Consumption Input Diff.'!P145,"NA")</f>
        <v>NA</v>
      </c>
      <c r="Q33" s="421" t="str">
        <f>IFERROR(('Consumption Input'!Q34-'Consumption Input Diff.'!Q145)/'Consumption Input Diff.'!Q145,"NA")</f>
        <v>NA</v>
      </c>
      <c r="R33" s="421" t="str">
        <f>IFERROR(('Consumption Input'!R34-'Consumption Input Diff.'!R145)/'Consumption Input Diff.'!R145,"NA")</f>
        <v>NA</v>
      </c>
      <c r="S33" s="421" t="str">
        <f>IFERROR(('Consumption Input'!S34-'Consumption Input Diff.'!S145)/'Consumption Input Diff.'!S145,"NA")</f>
        <v>NA</v>
      </c>
      <c r="T33" s="421" t="str">
        <f>IFERROR(('Consumption Input'!T34-'Consumption Input Diff.'!T145)/'Consumption Input Diff.'!T145,"NA")</f>
        <v>NA</v>
      </c>
      <c r="U33" s="421" t="str">
        <f>IFERROR(('Consumption Input'!U34-'Consumption Input Diff.'!U145)/'Consumption Input Diff.'!U145,"NA")</f>
        <v>NA</v>
      </c>
      <c r="V33" s="421" t="str">
        <f>IFERROR(('Consumption Input'!V34-'Consumption Input Diff.'!V145)/'Consumption Input Diff.'!V145,"NA")</f>
        <v>NA</v>
      </c>
      <c r="W33" s="421" t="str">
        <f>IFERROR(('Consumption Input'!W34-'Consumption Input Diff.'!W145)/'Consumption Input Diff.'!W145,"NA")</f>
        <v>NA</v>
      </c>
      <c r="X33" s="421" t="str">
        <f>IFERROR(('Consumption Input'!X34-'Consumption Input Diff.'!X145)/'Consumption Input Diff.'!X145,"NA")</f>
        <v>NA</v>
      </c>
      <c r="Y33" s="421" t="str">
        <f>IFERROR(('Consumption Input'!Y34-'Consumption Input Diff.'!Y145)/'Consumption Input Diff.'!Y145,"NA")</f>
        <v>NA</v>
      </c>
      <c r="Z33" s="421" t="str">
        <f>IFERROR(('Consumption Input'!Z34-'Consumption Input Diff.'!Z145)/'Consumption Input Diff.'!Z145,"NA")</f>
        <v>NA</v>
      </c>
      <c r="AA33" s="421" t="str">
        <f>IFERROR(('Consumption Input'!AA34-'Consumption Input Diff.'!AA145)/'Consumption Input Diff.'!AA145,"NA")</f>
        <v>NA</v>
      </c>
      <c r="AB33" s="421" t="str">
        <f>IFERROR(('Consumption Input'!AB34-'Consumption Input Diff.'!AB145)/'Consumption Input Diff.'!AB145,"NA")</f>
        <v>NA</v>
      </c>
      <c r="AC33" s="421" t="str">
        <f>IFERROR(('Consumption Input'!AC34-'Consumption Input Diff.'!AC145)/'Consumption Input Diff.'!AC145,"NA")</f>
        <v>NA</v>
      </c>
      <c r="AD33" s="421" t="str">
        <f>IFERROR(('Consumption Input'!AD34-'Consumption Input Diff.'!AD145)/'Consumption Input Diff.'!AD145,"NA")</f>
        <v>NA</v>
      </c>
      <c r="AE33" s="421" t="str">
        <f>IFERROR(('Consumption Input'!AE34-'Consumption Input Diff.'!AE145)/'Consumption Input Diff.'!AE145,"NA")</f>
        <v>NA</v>
      </c>
      <c r="AF33" s="421" t="str">
        <f>IFERROR(('Consumption Input'!AF34-'Consumption Input Diff.'!AF145)/'Consumption Input Diff.'!AF145,"NA")</f>
        <v>NA</v>
      </c>
      <c r="AG33" s="421" t="str">
        <f>IFERROR(('Consumption Input'!AG34-'Consumption Input Diff.'!AG145)/'Consumption Input Diff.'!AG145,"NA")</f>
        <v>NA</v>
      </c>
      <c r="AH33" s="421" t="str">
        <f>IFERROR(('Consumption Input'!AH34-'Consumption Input Diff.'!AH145)/'Consumption Input Diff.'!AH145,"NA")</f>
        <v>NA</v>
      </c>
      <c r="AI33" s="421" t="str">
        <f>IFERROR(('Consumption Input'!AI34-'Consumption Input Diff.'!AI145)/'Consumption Input Diff.'!AI145,"NA")</f>
        <v>NA</v>
      </c>
      <c r="AJ33" s="421" t="str">
        <f>IFERROR(('Consumption Input'!AJ34-'Consumption Input Diff.'!AJ145)/'Consumption Input Diff.'!AJ145,"NA")</f>
        <v>NA</v>
      </c>
      <c r="AK33" s="5"/>
      <c r="AL33" s="5"/>
      <c r="AM33" s="5"/>
      <c r="AN33" s="5"/>
      <c r="AO33" s="5"/>
      <c r="AP33" s="5"/>
      <c r="AQ33" s="5"/>
      <c r="AR33" s="5"/>
      <c r="AS33" s="5"/>
      <c r="AT33" s="5"/>
      <c r="AU33" s="5"/>
      <c r="AV33" s="5"/>
      <c r="AW33" s="5"/>
      <c r="AX33" s="5"/>
      <c r="AY33" s="5"/>
      <c r="BA33" s="408" t="s">
        <v>2003</v>
      </c>
      <c r="BL33" s="47"/>
    </row>
    <row r="34" spans="2:85">
      <c r="B34" s="456">
        <v>31</v>
      </c>
      <c r="D34" s="6" t="s">
        <v>1611</v>
      </c>
      <c r="E34" s="421">
        <f>IFERROR(('Consumption Input'!E35-'Consumption Input Diff.'!E146)/'Consumption Input Diff.'!E146,"NA")</f>
        <v>0</v>
      </c>
      <c r="F34" s="421">
        <f>IFERROR(('Consumption Input'!F35-'Consumption Input Diff.'!F146)/'Consumption Input Diff.'!F146,"NA")</f>
        <v>0</v>
      </c>
      <c r="G34" s="421">
        <f>IFERROR(('Consumption Input'!G35-'Consumption Input Diff.'!G146)/'Consumption Input Diff.'!G146,"NA")</f>
        <v>0</v>
      </c>
      <c r="H34" s="421">
        <f>IFERROR(('Consumption Input'!H35-'Consumption Input Diff.'!H146)/'Consumption Input Diff.'!H146,"NA")</f>
        <v>0</v>
      </c>
      <c r="I34" s="421">
        <f>IFERROR(('Consumption Input'!I35-'Consumption Input Diff.'!I146)/'Consumption Input Diff.'!I146,"NA")</f>
        <v>0</v>
      </c>
      <c r="J34" s="421">
        <f>IFERROR(('Consumption Input'!J35-'Consumption Input Diff.'!J146)/'Consumption Input Diff.'!J146,"NA")</f>
        <v>0</v>
      </c>
      <c r="K34" s="421">
        <f>IFERROR(('Consumption Input'!K35-'Consumption Input Diff.'!K146)/'Consumption Input Diff.'!K146,"NA")</f>
        <v>0</v>
      </c>
      <c r="L34" s="421">
        <f>IFERROR(('Consumption Input'!L35-'Consumption Input Diff.'!L146)/'Consumption Input Diff.'!L146,"NA")</f>
        <v>0</v>
      </c>
      <c r="M34" s="421">
        <f>IFERROR(('Consumption Input'!M35-'Consumption Input Diff.'!M146)/'Consumption Input Diff.'!M146,"NA")</f>
        <v>0</v>
      </c>
      <c r="N34" s="421">
        <f>IFERROR(('Consumption Input'!N35-'Consumption Input Diff.'!N146)/'Consumption Input Diff.'!N146,"NA")</f>
        <v>0</v>
      </c>
      <c r="O34" s="421">
        <f>IFERROR(('Consumption Input'!O35-'Consumption Input Diff.'!O146)/'Consumption Input Diff.'!O146,"NA")</f>
        <v>0</v>
      </c>
      <c r="P34" s="421">
        <f>IFERROR(('Consumption Input'!P35-'Consumption Input Diff.'!P146)/'Consumption Input Diff.'!P146,"NA")</f>
        <v>0</v>
      </c>
      <c r="Q34" s="421">
        <f>IFERROR(('Consumption Input'!Q35-'Consumption Input Diff.'!Q146)/'Consumption Input Diff.'!Q146,"NA")</f>
        <v>0</v>
      </c>
      <c r="R34" s="421">
        <f>IFERROR(('Consumption Input'!R35-'Consumption Input Diff.'!R146)/'Consumption Input Diff.'!R146,"NA")</f>
        <v>0</v>
      </c>
      <c r="S34" s="421">
        <f>IFERROR(('Consumption Input'!S35-'Consumption Input Diff.'!S146)/'Consumption Input Diff.'!S146,"NA")</f>
        <v>0</v>
      </c>
      <c r="T34" s="421">
        <f>IFERROR(('Consumption Input'!T35-'Consumption Input Diff.'!T146)/'Consumption Input Diff.'!T146,"NA")</f>
        <v>0</v>
      </c>
      <c r="U34" s="421">
        <f>IFERROR(('Consumption Input'!U35-'Consumption Input Diff.'!U146)/'Consumption Input Diff.'!U146,"NA")</f>
        <v>0</v>
      </c>
      <c r="V34" s="421">
        <f>IFERROR(('Consumption Input'!V35-'Consumption Input Diff.'!V146)/'Consumption Input Diff.'!V146,"NA")</f>
        <v>0</v>
      </c>
      <c r="W34" s="421">
        <f>IFERROR(('Consumption Input'!W35-'Consumption Input Diff.'!W146)/'Consumption Input Diff.'!W146,"NA")</f>
        <v>0</v>
      </c>
      <c r="X34" s="421">
        <f>IFERROR(('Consumption Input'!X35-'Consumption Input Diff.'!X146)/'Consumption Input Diff.'!X146,"NA")</f>
        <v>0</v>
      </c>
      <c r="Y34" s="421">
        <f>IFERROR(('Consumption Input'!Y35-'Consumption Input Diff.'!Y146)/'Consumption Input Diff.'!Y146,"NA")</f>
        <v>0</v>
      </c>
      <c r="Z34" s="421">
        <f>IFERROR(('Consumption Input'!Z35-'Consumption Input Diff.'!Z146)/'Consumption Input Diff.'!Z146,"NA")</f>
        <v>0</v>
      </c>
      <c r="AA34" s="421">
        <f>IFERROR(('Consumption Input'!AA35-'Consumption Input Diff.'!AA146)/'Consumption Input Diff.'!AA146,"NA")</f>
        <v>0</v>
      </c>
      <c r="AB34" s="421">
        <f>IFERROR(('Consumption Input'!AB35-'Consumption Input Diff.'!AB146)/'Consumption Input Diff.'!AB146,"NA")</f>
        <v>0</v>
      </c>
      <c r="AC34" s="421">
        <f>IFERROR(('Consumption Input'!AC35-'Consumption Input Diff.'!AC146)/'Consumption Input Diff.'!AC146,"NA")</f>
        <v>0</v>
      </c>
      <c r="AD34" s="421">
        <f>IFERROR(('Consumption Input'!AD35-'Consumption Input Diff.'!AD146)/'Consumption Input Diff.'!AD146,"NA")</f>
        <v>0</v>
      </c>
      <c r="AE34" s="421">
        <f>IFERROR(('Consumption Input'!AE35-'Consumption Input Diff.'!AE146)/'Consumption Input Diff.'!AE146,"NA")</f>
        <v>0</v>
      </c>
      <c r="AF34" s="421">
        <f>IFERROR(('Consumption Input'!AF35-'Consumption Input Diff.'!AF146)/'Consumption Input Diff.'!AF146,"NA")</f>
        <v>0</v>
      </c>
      <c r="AG34" s="421">
        <f>IFERROR(('Consumption Input'!AG35-'Consumption Input Diff.'!AG146)/'Consumption Input Diff.'!AG146,"NA")</f>
        <v>0</v>
      </c>
      <c r="AH34" s="421">
        <f>IFERROR(('Consumption Input'!AH35-'Consumption Input Diff.'!AH146)/'Consumption Input Diff.'!AH146,"NA")</f>
        <v>0</v>
      </c>
      <c r="AI34" s="421">
        <f>IFERROR(('Consumption Input'!AI35-'Consumption Input Diff.'!AI146)/'Consumption Input Diff.'!AI146,"NA")</f>
        <v>0</v>
      </c>
      <c r="AJ34" s="421">
        <f>IFERROR(('Consumption Input'!AJ35-'Consumption Input Diff.'!AJ146)/'Consumption Input Diff.'!AJ146,"NA")</f>
        <v>-6.0240963855422306E-3</v>
      </c>
      <c r="AK34" s="5">
        <f>'Consumption Input'!V35-V146</f>
        <v>0</v>
      </c>
      <c r="AL34" s="5">
        <f>'Consumption Input'!W35-W146</f>
        <v>0</v>
      </c>
      <c r="AM34" s="5">
        <f>'Consumption Input'!X35-X146</f>
        <v>0</v>
      </c>
      <c r="AN34" s="5">
        <f>'Consumption Input'!Y35-Y146</f>
        <v>0</v>
      </c>
      <c r="AO34" s="5">
        <f>'Consumption Input'!Z35-Z146</f>
        <v>0</v>
      </c>
      <c r="AP34" s="5">
        <f>'Consumption Input'!AA35-AA146</f>
        <v>0</v>
      </c>
      <c r="AQ34" s="5">
        <f>'Consumption Input'!AB35-AB146</f>
        <v>0</v>
      </c>
      <c r="AR34" s="5">
        <f>'Consumption Input'!AC35-AC146</f>
        <v>0</v>
      </c>
      <c r="AS34" s="5">
        <f>'Consumption Input'!AD35-AD146</f>
        <v>0</v>
      </c>
      <c r="AT34" s="5">
        <f>'Consumption Input'!AE35-AE146</f>
        <v>0</v>
      </c>
      <c r="AU34" s="5">
        <f>'Consumption Input'!AF35-AF146</f>
        <v>0</v>
      </c>
      <c r="AV34" s="5">
        <f>'Consumption Input'!AG35-AG146</f>
        <v>0</v>
      </c>
      <c r="AW34" s="5">
        <f>'Consumption Input'!AH35-AH146</f>
        <v>0</v>
      </c>
      <c r="AX34" s="5">
        <f>'Consumption Input'!AI35-AI146</f>
        <v>0</v>
      </c>
      <c r="AY34" s="5">
        <f>'Consumption Input'!AJ35-AJ146</f>
        <v>5.0480000000000524E-3</v>
      </c>
      <c r="AZ34" s="21">
        <v>1</v>
      </c>
      <c r="BA34" s="4" t="s">
        <v>1503</v>
      </c>
      <c r="BB34" s="460">
        <v>1990</v>
      </c>
      <c r="BC34" s="460">
        <v>1991</v>
      </c>
      <c r="BD34" s="460">
        <v>1992</v>
      </c>
      <c r="BE34" s="460">
        <v>1993</v>
      </c>
      <c r="BF34" s="460">
        <v>1994</v>
      </c>
      <c r="BG34" s="460">
        <v>1995</v>
      </c>
      <c r="BH34" s="460">
        <v>1996</v>
      </c>
      <c r="BI34" s="460">
        <v>1997</v>
      </c>
      <c r="BJ34" s="460">
        <v>1998</v>
      </c>
      <c r="BK34" s="460">
        <v>1999</v>
      </c>
      <c r="BL34" s="460">
        <v>2000</v>
      </c>
      <c r="BM34" s="460">
        <v>2001</v>
      </c>
      <c r="BN34" s="460">
        <v>2002</v>
      </c>
      <c r="BO34" s="460">
        <v>2003</v>
      </c>
      <c r="BP34" s="460">
        <v>2004</v>
      </c>
      <c r="BQ34" s="460">
        <v>2005</v>
      </c>
      <c r="BR34" s="460">
        <v>2006</v>
      </c>
      <c r="BS34" s="460">
        <v>2007</v>
      </c>
      <c r="BT34" s="460">
        <v>2008</v>
      </c>
      <c r="BU34" s="460">
        <v>2009</v>
      </c>
      <c r="BV34" s="460">
        <v>2010</v>
      </c>
      <c r="BW34" s="460">
        <v>2011</v>
      </c>
      <c r="BX34" s="460">
        <v>2012</v>
      </c>
      <c r="BY34" s="460">
        <v>2013</v>
      </c>
      <c r="BZ34" s="460">
        <v>2014</v>
      </c>
      <c r="CA34" s="460">
        <v>2015</v>
      </c>
      <c r="CB34" s="460">
        <v>2016</v>
      </c>
      <c r="CC34" s="460">
        <v>2017</v>
      </c>
      <c r="CD34" s="460">
        <v>2018</v>
      </c>
      <c r="CE34" s="460">
        <v>2019</v>
      </c>
      <c r="CF34" s="460">
        <v>2020</v>
      </c>
      <c r="CG34" s="460">
        <v>2021</v>
      </c>
    </row>
    <row r="35" spans="2:85">
      <c r="B35" s="456">
        <v>32</v>
      </c>
      <c r="D35" s="6" t="s">
        <v>1612</v>
      </c>
      <c r="E35" s="421">
        <f>IFERROR(('Consumption Input'!E36-'Consumption Input Diff.'!E147)/'Consumption Input Diff.'!E147,"NA")</f>
        <v>0</v>
      </c>
      <c r="F35" s="421">
        <f>IFERROR(('Consumption Input'!F36-'Consumption Input Diff.'!F147)/'Consumption Input Diff.'!F147,"NA")</f>
        <v>0</v>
      </c>
      <c r="G35" s="421">
        <f>IFERROR(('Consumption Input'!G36-'Consumption Input Diff.'!G147)/'Consumption Input Diff.'!G147,"NA")</f>
        <v>0</v>
      </c>
      <c r="H35" s="421">
        <f>IFERROR(('Consumption Input'!H36-'Consumption Input Diff.'!H147)/'Consumption Input Diff.'!H147,"NA")</f>
        <v>0</v>
      </c>
      <c r="I35" s="421">
        <f>IFERROR(('Consumption Input'!I36-'Consumption Input Diff.'!I147)/'Consumption Input Diff.'!I147,"NA")</f>
        <v>0</v>
      </c>
      <c r="J35" s="421">
        <f>IFERROR(('Consumption Input'!J36-'Consumption Input Diff.'!J147)/'Consumption Input Diff.'!J147,"NA")</f>
        <v>0</v>
      </c>
      <c r="K35" s="421">
        <f>IFERROR(('Consumption Input'!K36-'Consumption Input Diff.'!K147)/'Consumption Input Diff.'!K147,"NA")</f>
        <v>0</v>
      </c>
      <c r="L35" s="421">
        <f>IFERROR(('Consumption Input'!L36-'Consumption Input Diff.'!L147)/'Consumption Input Diff.'!L147,"NA")</f>
        <v>0</v>
      </c>
      <c r="M35" s="421" t="str">
        <f>IFERROR(('Consumption Input'!M36-'Consumption Input Diff.'!M147)/'Consumption Input Diff.'!M147,"NA")</f>
        <v>NA</v>
      </c>
      <c r="N35" s="421" t="str">
        <f>IFERROR(('Consumption Input'!N36-'Consumption Input Diff.'!N147)/'Consumption Input Diff.'!N147,"NA")</f>
        <v>NA</v>
      </c>
      <c r="O35" s="421" t="str">
        <f>IFERROR(('Consumption Input'!O36-'Consumption Input Diff.'!O147)/'Consumption Input Diff.'!O147,"NA")</f>
        <v>NA</v>
      </c>
      <c r="P35" s="421" t="str">
        <f>IFERROR(('Consumption Input'!P36-'Consumption Input Diff.'!P147)/'Consumption Input Diff.'!P147,"NA")</f>
        <v>NA</v>
      </c>
      <c r="Q35" s="421" t="str">
        <f>IFERROR(('Consumption Input'!Q36-'Consumption Input Diff.'!Q147)/'Consumption Input Diff.'!Q147,"NA")</f>
        <v>NA</v>
      </c>
      <c r="R35" s="421" t="str">
        <f>IFERROR(('Consumption Input'!R36-'Consumption Input Diff.'!R147)/'Consumption Input Diff.'!R147,"NA")</f>
        <v>NA</v>
      </c>
      <c r="S35" s="421" t="str">
        <f>IFERROR(('Consumption Input'!S36-'Consumption Input Diff.'!S147)/'Consumption Input Diff.'!S147,"NA")</f>
        <v>NA</v>
      </c>
      <c r="T35" s="421" t="str">
        <f>IFERROR(('Consumption Input'!T36-'Consumption Input Diff.'!T147)/'Consumption Input Diff.'!T147,"NA")</f>
        <v>NA</v>
      </c>
      <c r="U35" s="421" t="str">
        <f>IFERROR(('Consumption Input'!U36-'Consumption Input Diff.'!U147)/'Consumption Input Diff.'!U147,"NA")</f>
        <v>NA</v>
      </c>
      <c r="V35" s="421" t="str">
        <f>IFERROR(('Consumption Input'!V36-'Consumption Input Diff.'!V147)/'Consumption Input Diff.'!V147,"NA")</f>
        <v>NA</v>
      </c>
      <c r="W35" s="421" t="str">
        <f>IFERROR(('Consumption Input'!W36-'Consumption Input Diff.'!W147)/'Consumption Input Diff.'!W147,"NA")</f>
        <v>NA</v>
      </c>
      <c r="X35" s="421" t="str">
        <f>IFERROR(('Consumption Input'!X36-'Consumption Input Diff.'!X147)/'Consumption Input Diff.'!X147,"NA")</f>
        <v>NA</v>
      </c>
      <c r="Y35" s="421" t="str">
        <f>IFERROR(('Consumption Input'!Y36-'Consumption Input Diff.'!Y147)/'Consumption Input Diff.'!Y147,"NA")</f>
        <v>NA</v>
      </c>
      <c r="Z35" s="421" t="str">
        <f>IFERROR(('Consumption Input'!Z36-'Consumption Input Diff.'!Z147)/'Consumption Input Diff.'!Z147,"NA")</f>
        <v>NA</v>
      </c>
      <c r="AA35" s="421" t="str">
        <f>IFERROR(('Consumption Input'!AA36-'Consumption Input Diff.'!AA147)/'Consumption Input Diff.'!AA147,"NA")</f>
        <v>NA</v>
      </c>
      <c r="AB35" s="421" t="str">
        <f>IFERROR(('Consumption Input'!AB36-'Consumption Input Diff.'!AB147)/'Consumption Input Diff.'!AB147,"NA")</f>
        <v>NA</v>
      </c>
      <c r="AC35" s="421" t="str">
        <f>IFERROR(('Consumption Input'!AC36-'Consumption Input Diff.'!AC147)/'Consumption Input Diff.'!AC147,"NA")</f>
        <v>NA</v>
      </c>
      <c r="AD35" s="421" t="str">
        <f>IFERROR(('Consumption Input'!AD36-'Consumption Input Diff.'!AD147)/'Consumption Input Diff.'!AD147,"NA")</f>
        <v>NA</v>
      </c>
      <c r="AE35" s="421" t="str">
        <f>IFERROR(('Consumption Input'!AE36-'Consumption Input Diff.'!AE147)/'Consumption Input Diff.'!AE147,"NA")</f>
        <v>NA</v>
      </c>
      <c r="AF35" s="421" t="str">
        <f>IFERROR(('Consumption Input'!AF36-'Consumption Input Diff.'!AF147)/'Consumption Input Diff.'!AF147,"NA")</f>
        <v>NA</v>
      </c>
      <c r="AG35" s="421" t="str">
        <f>IFERROR(('Consumption Input'!AG36-'Consumption Input Diff.'!AG147)/'Consumption Input Diff.'!AG147,"NA")</f>
        <v>NA</v>
      </c>
      <c r="AH35" s="421" t="str">
        <f>IFERROR(('Consumption Input'!AH36-'Consumption Input Diff.'!AH147)/'Consumption Input Diff.'!AH147,"NA")</f>
        <v>NA</v>
      </c>
      <c r="AI35" s="421" t="str">
        <f>IFERROR(('Consumption Input'!AI36-'Consumption Input Diff.'!AI147)/'Consumption Input Diff.'!AI147,"NA")</f>
        <v>NA</v>
      </c>
      <c r="AJ35" s="421" t="str">
        <f>IFERROR(('Consumption Input'!AJ36-'Consumption Input Diff.'!AJ147)/'Consumption Input Diff.'!AJ147,"NA")</f>
        <v>NA</v>
      </c>
      <c r="AK35" s="5">
        <f>'Consumption Input'!V36-V147</f>
        <v>0</v>
      </c>
      <c r="AL35" s="5">
        <f>'Consumption Input'!W36-W147</f>
        <v>0</v>
      </c>
      <c r="AM35" s="5">
        <f>'Consumption Input'!X36-X147</f>
        <v>0</v>
      </c>
      <c r="AN35" s="5">
        <f>'Consumption Input'!Y36-Y147</f>
        <v>0</v>
      </c>
      <c r="AO35" s="5">
        <f>'Consumption Input'!Z36-Z147</f>
        <v>0</v>
      </c>
      <c r="AP35" s="5">
        <f>'Consumption Input'!AA36-AA147</f>
        <v>0</v>
      </c>
      <c r="AQ35" s="5">
        <f>'Consumption Input'!AB36-AB147</f>
        <v>0</v>
      </c>
      <c r="AR35" s="5">
        <f>'Consumption Input'!AC36-AC147</f>
        <v>0</v>
      </c>
      <c r="AS35" s="5">
        <f>'Consumption Input'!AD36-AD147</f>
        <v>0</v>
      </c>
      <c r="AT35" s="5">
        <f>'Consumption Input'!AE36-AE147</f>
        <v>0</v>
      </c>
      <c r="AU35" s="5">
        <f>'Consumption Input'!AF36-AF147</f>
        <v>0</v>
      </c>
      <c r="AV35" s="5">
        <f>'Consumption Input'!AG36-AG147</f>
        <v>0</v>
      </c>
      <c r="AW35" s="5">
        <f>'Consumption Input'!AH36-AH147</f>
        <v>0</v>
      </c>
      <c r="AX35" s="5">
        <f>'Consumption Input'!AI36-AI147</f>
        <v>0</v>
      </c>
      <c r="AY35" s="5">
        <f>'Consumption Input'!AJ36-AJ147</f>
        <v>0</v>
      </c>
      <c r="AZ35" s="21">
        <v>2</v>
      </c>
      <c r="BA35" s="5" t="s">
        <v>1888</v>
      </c>
      <c r="BB35" s="461">
        <v>4644.2416027712306</v>
      </c>
      <c r="BC35" s="461">
        <v>4692.8600770805951</v>
      </c>
      <c r="BD35" s="461">
        <v>4926.8431965952132</v>
      </c>
      <c r="BE35" s="461">
        <v>4897.3208038186767</v>
      </c>
      <c r="BF35" s="461">
        <v>5216.1679570591768</v>
      </c>
      <c r="BG35" s="461">
        <v>5154.8499969408813</v>
      </c>
      <c r="BH35" s="461">
        <v>5245.3662475068004</v>
      </c>
      <c r="BI35" s="461">
        <v>5511.491754408321</v>
      </c>
      <c r="BJ35" s="461">
        <v>5604.9431707142567</v>
      </c>
      <c r="BK35" s="461">
        <v>6023.6508089587533</v>
      </c>
      <c r="BL35" s="461">
        <v>5575.8800704350915</v>
      </c>
      <c r="BM35" s="461">
        <v>5262.9801351346678</v>
      </c>
      <c r="BN35" s="461">
        <v>5424.9300612394381</v>
      </c>
      <c r="BO35" s="461">
        <v>5343.5895815677795</v>
      </c>
      <c r="BP35" s="461">
        <v>5849.9524795583193</v>
      </c>
      <c r="BQ35" s="461">
        <v>5486.8291727760152</v>
      </c>
      <c r="BR35" s="461">
        <v>5469.1206944923933</v>
      </c>
      <c r="BS35" s="461">
        <v>5240.5016207344115</v>
      </c>
      <c r="BT35" s="461">
        <v>4802.1427663584591</v>
      </c>
      <c r="BU35" s="461">
        <v>4558.039815093307</v>
      </c>
      <c r="BV35" s="461">
        <v>4735.0684004485565</v>
      </c>
      <c r="BW35" s="461">
        <v>4663.0976280257191</v>
      </c>
      <c r="BX35" s="461">
        <v>4599.1634232795004</v>
      </c>
      <c r="BY35" s="461">
        <v>4829.1574204621693</v>
      </c>
      <c r="BZ35" s="461">
        <v>4724.6383721790562</v>
      </c>
      <c r="CA35" s="461">
        <v>5022.5980192801035</v>
      </c>
      <c r="CB35" s="461">
        <v>5106.2621691541199</v>
      </c>
      <c r="CC35" s="461">
        <v>5378.8747326192934</v>
      </c>
      <c r="CD35" s="461">
        <v>5789.1061715868218</v>
      </c>
      <c r="CE35" s="461">
        <v>5880.0441719827722</v>
      </c>
      <c r="CF35" s="461">
        <v>5849.3843411844618</v>
      </c>
      <c r="CG35" s="461">
        <v>6179.4025957428639</v>
      </c>
    </row>
    <row r="36" spans="2:85">
      <c r="B36" s="456">
        <v>33</v>
      </c>
      <c r="D36" s="6" t="s">
        <v>1613</v>
      </c>
      <c r="E36" s="421">
        <f>IFERROR(('Consumption Input'!E37-'Consumption Input Diff.'!E148)/'Consumption Input Diff.'!E148,"NA")</f>
        <v>0</v>
      </c>
      <c r="F36" s="421">
        <f>IFERROR(('Consumption Input'!F37-'Consumption Input Diff.'!F148)/'Consumption Input Diff.'!F148,"NA")</f>
        <v>0</v>
      </c>
      <c r="G36" s="421">
        <f>IFERROR(('Consumption Input'!G37-'Consumption Input Diff.'!G148)/'Consumption Input Diff.'!G148,"NA")</f>
        <v>0</v>
      </c>
      <c r="H36" s="421" t="str">
        <f>IFERROR(('Consumption Input'!H37-'Consumption Input Diff.'!H148)/'Consumption Input Diff.'!H148,"NA")</f>
        <v>NA</v>
      </c>
      <c r="I36" s="421" t="str">
        <f>IFERROR(('Consumption Input'!I37-'Consumption Input Diff.'!I148)/'Consumption Input Diff.'!I148,"NA")</f>
        <v>NA</v>
      </c>
      <c r="J36" s="421" t="str">
        <f>IFERROR(('Consumption Input'!J37-'Consumption Input Diff.'!J148)/'Consumption Input Diff.'!J148,"NA")</f>
        <v>NA</v>
      </c>
      <c r="K36" s="421" t="str">
        <f>IFERROR(('Consumption Input'!K37-'Consumption Input Diff.'!K148)/'Consumption Input Diff.'!K148,"NA")</f>
        <v>NA</v>
      </c>
      <c r="L36" s="421" t="str">
        <f>IFERROR(('Consumption Input'!L37-'Consumption Input Diff.'!L148)/'Consumption Input Diff.'!L148,"NA")</f>
        <v>NA</v>
      </c>
      <c r="M36" s="421" t="str">
        <f>IFERROR(('Consumption Input'!M37-'Consumption Input Diff.'!M148)/'Consumption Input Diff.'!M148,"NA")</f>
        <v>NA</v>
      </c>
      <c r="N36" s="421" t="str">
        <f>IFERROR(('Consumption Input'!N37-'Consumption Input Diff.'!N148)/'Consumption Input Diff.'!N148,"NA")</f>
        <v>NA</v>
      </c>
      <c r="O36" s="421" t="str">
        <f>IFERROR(('Consumption Input'!O37-'Consumption Input Diff.'!O148)/'Consumption Input Diff.'!O148,"NA")</f>
        <v>NA</v>
      </c>
      <c r="P36" s="421" t="str">
        <f>IFERROR(('Consumption Input'!P37-'Consumption Input Diff.'!P148)/'Consumption Input Diff.'!P148,"NA")</f>
        <v>NA</v>
      </c>
      <c r="Q36" s="421" t="str">
        <f>IFERROR(('Consumption Input'!Q37-'Consumption Input Diff.'!Q148)/'Consumption Input Diff.'!Q148,"NA")</f>
        <v>NA</v>
      </c>
      <c r="R36" s="421" t="str">
        <f>IFERROR(('Consumption Input'!R37-'Consumption Input Diff.'!R148)/'Consumption Input Diff.'!R148,"NA")</f>
        <v>NA</v>
      </c>
      <c r="S36" s="421" t="str">
        <f>IFERROR(('Consumption Input'!S37-'Consumption Input Diff.'!S148)/'Consumption Input Diff.'!S148,"NA")</f>
        <v>NA</v>
      </c>
      <c r="T36" s="421" t="str">
        <f>IFERROR(('Consumption Input'!T37-'Consumption Input Diff.'!T148)/'Consumption Input Diff.'!T148,"NA")</f>
        <v>NA</v>
      </c>
      <c r="U36" s="421" t="str">
        <f>IFERROR(('Consumption Input'!U37-'Consumption Input Diff.'!U148)/'Consumption Input Diff.'!U148,"NA")</f>
        <v>NA</v>
      </c>
      <c r="V36" s="421" t="str">
        <f>IFERROR(('Consumption Input'!V37-'Consumption Input Diff.'!V148)/'Consumption Input Diff.'!V148,"NA")</f>
        <v>NA</v>
      </c>
      <c r="W36" s="421" t="str">
        <f>IFERROR(('Consumption Input'!W37-'Consumption Input Diff.'!W148)/'Consumption Input Diff.'!W148,"NA")</f>
        <v>NA</v>
      </c>
      <c r="X36" s="421" t="str">
        <f>IFERROR(('Consumption Input'!X37-'Consumption Input Diff.'!X148)/'Consumption Input Diff.'!X148,"NA")</f>
        <v>NA</v>
      </c>
      <c r="Y36" s="421" t="str">
        <f>IFERROR(('Consumption Input'!Y37-'Consumption Input Diff.'!Y148)/'Consumption Input Diff.'!Y148,"NA")</f>
        <v>NA</v>
      </c>
      <c r="Z36" s="421" t="str">
        <f>IFERROR(('Consumption Input'!Z37-'Consumption Input Diff.'!Z148)/'Consumption Input Diff.'!Z148,"NA")</f>
        <v>NA</v>
      </c>
      <c r="AA36" s="421" t="str">
        <f>IFERROR(('Consumption Input'!AA37-'Consumption Input Diff.'!AA148)/'Consumption Input Diff.'!AA148,"NA")</f>
        <v>NA</v>
      </c>
      <c r="AB36" s="421" t="str">
        <f>IFERROR(('Consumption Input'!AB37-'Consumption Input Diff.'!AB148)/'Consumption Input Diff.'!AB148,"NA")</f>
        <v>NA</v>
      </c>
      <c r="AC36" s="421" t="str">
        <f>IFERROR(('Consumption Input'!AC37-'Consumption Input Diff.'!AC148)/'Consumption Input Diff.'!AC148,"NA")</f>
        <v>NA</v>
      </c>
      <c r="AD36" s="421" t="str">
        <f>IFERROR(('Consumption Input'!AD37-'Consumption Input Diff.'!AD148)/'Consumption Input Diff.'!AD148,"NA")</f>
        <v>NA</v>
      </c>
      <c r="AE36" s="421" t="str">
        <f>IFERROR(('Consumption Input'!AE37-'Consumption Input Diff.'!AE148)/'Consumption Input Diff.'!AE148,"NA")</f>
        <v>NA</v>
      </c>
      <c r="AF36" s="421" t="str">
        <f>IFERROR(('Consumption Input'!AF37-'Consumption Input Diff.'!AF148)/'Consumption Input Diff.'!AF148,"NA")</f>
        <v>NA</v>
      </c>
      <c r="AG36" s="421" t="str">
        <f>IFERROR(('Consumption Input'!AG37-'Consumption Input Diff.'!AG148)/'Consumption Input Diff.'!AG148,"NA")</f>
        <v>NA</v>
      </c>
      <c r="AH36" s="421" t="str">
        <f>IFERROR(('Consumption Input'!AH37-'Consumption Input Diff.'!AH148)/'Consumption Input Diff.'!AH148,"NA")</f>
        <v>NA</v>
      </c>
      <c r="AI36" s="421" t="str">
        <f>IFERROR(('Consumption Input'!AI37-'Consumption Input Diff.'!AI148)/'Consumption Input Diff.'!AI148,"NA")</f>
        <v>NA</v>
      </c>
      <c r="AJ36" s="421" t="str">
        <f>IFERROR(('Consumption Input'!AJ37-'Consumption Input Diff.'!AJ148)/'Consumption Input Diff.'!AJ148,"NA")</f>
        <v>NA</v>
      </c>
      <c r="AK36" s="5">
        <f>'Consumption Input'!V37-V148</f>
        <v>0</v>
      </c>
      <c r="AL36" s="5">
        <f>'Consumption Input'!W37-W148</f>
        <v>0</v>
      </c>
      <c r="AM36" s="5">
        <f>'Consumption Input'!X37-X148</f>
        <v>0</v>
      </c>
      <c r="AN36" s="5">
        <f>'Consumption Input'!Y37-Y148</f>
        <v>0</v>
      </c>
      <c r="AO36" s="5">
        <f>'Consumption Input'!Z37-Z148</f>
        <v>0</v>
      </c>
      <c r="AP36" s="5">
        <f>'Consumption Input'!AA37-AA148</f>
        <v>0</v>
      </c>
      <c r="AQ36" s="5">
        <f>'Consumption Input'!AB37-AB148</f>
        <v>0</v>
      </c>
      <c r="AR36" s="5">
        <f>'Consumption Input'!AC37-AC148</f>
        <v>0</v>
      </c>
      <c r="AS36" s="5">
        <f>'Consumption Input'!AD37-AD148</f>
        <v>0</v>
      </c>
      <c r="AT36" s="5">
        <f>'Consumption Input'!AE37-AE148</f>
        <v>0</v>
      </c>
      <c r="AU36" s="5">
        <f>'Consumption Input'!AF37-AF148</f>
        <v>0</v>
      </c>
      <c r="AV36" s="5">
        <f>'Consumption Input'!AG37-AG148</f>
        <v>0</v>
      </c>
      <c r="AW36" s="5">
        <f>'Consumption Input'!AH37-AH148</f>
        <v>0</v>
      </c>
      <c r="AX36" s="5">
        <f>'Consumption Input'!AI37-AI148</f>
        <v>0</v>
      </c>
      <c r="AY36" s="5">
        <f>'Consumption Input'!AJ37-AJ148</f>
        <v>0</v>
      </c>
      <c r="AZ36" s="21">
        <v>3</v>
      </c>
      <c r="BA36" s="6" t="s">
        <v>1734</v>
      </c>
      <c r="BB36" s="480">
        <v>0</v>
      </c>
      <c r="BC36" s="480">
        <v>0</v>
      </c>
      <c r="BD36" s="480">
        <v>0</v>
      </c>
      <c r="BE36" s="480">
        <v>0.99005191520268454</v>
      </c>
      <c r="BF36" s="480">
        <v>8.9173041849727497</v>
      </c>
      <c r="BG36" s="480">
        <v>37.763361390527734</v>
      </c>
      <c r="BH36" s="480">
        <v>24.077376524524198</v>
      </c>
      <c r="BI36" s="480">
        <v>0</v>
      </c>
      <c r="BJ36" s="480">
        <v>10.911311877562298</v>
      </c>
      <c r="BK36" s="480">
        <v>40.077270031991247</v>
      </c>
      <c r="BL36" s="480">
        <v>53.543709066435099</v>
      </c>
      <c r="BM36" s="480">
        <v>24.764394990510937</v>
      </c>
      <c r="BN36" s="480">
        <v>40.297952859316297</v>
      </c>
      <c r="BO36" s="480">
        <v>51.888657662241599</v>
      </c>
      <c r="BP36" s="480">
        <v>167.7675714419388</v>
      </c>
      <c r="BQ36" s="480">
        <v>80.441129905107346</v>
      </c>
      <c r="BR36" s="480">
        <v>62.874654862045077</v>
      </c>
      <c r="BS36" s="480">
        <v>2.3203149182869538</v>
      </c>
      <c r="BT36" s="480">
        <v>29.160207416902495</v>
      </c>
      <c r="BU36" s="480">
        <v>6.3849143400174171</v>
      </c>
      <c r="BV36" s="480">
        <v>64.75700410595033</v>
      </c>
      <c r="BW36" s="480">
        <v>60.841185085936445</v>
      </c>
      <c r="BX36" s="480">
        <v>132.48279136693179</v>
      </c>
      <c r="BY36" s="480">
        <v>119.90639149360095</v>
      </c>
      <c r="BZ36" s="480">
        <v>49.106364978524198</v>
      </c>
      <c r="CA36" s="480">
        <v>122.35139828043901</v>
      </c>
      <c r="CB36" s="480">
        <v>89.635253981130802</v>
      </c>
      <c r="CC36" s="480">
        <v>113.00308641767964</v>
      </c>
      <c r="CD36" s="480">
        <v>124.67753407088412</v>
      </c>
      <c r="CE36" s="480">
        <v>112.83747864130271</v>
      </c>
      <c r="CF36" s="480">
        <v>70.002935895880114</v>
      </c>
      <c r="CG36" s="480">
        <v>124.63691314907896</v>
      </c>
    </row>
    <row r="37" spans="2:85">
      <c r="B37" s="456">
        <v>34</v>
      </c>
      <c r="D37" s="6" t="s">
        <v>1614</v>
      </c>
      <c r="E37" s="421">
        <f>IFERROR(('Consumption Input'!E38-'Consumption Input Diff.'!E149)/'Consumption Input Diff.'!E149,"NA")</f>
        <v>0</v>
      </c>
      <c r="F37" s="421">
        <f>IFERROR(('Consumption Input'!F38-'Consumption Input Diff.'!F149)/'Consumption Input Diff.'!F149,"NA")</f>
        <v>0</v>
      </c>
      <c r="G37" s="421">
        <f>IFERROR(('Consumption Input'!G38-'Consumption Input Diff.'!G149)/'Consumption Input Diff.'!G149,"NA")</f>
        <v>0</v>
      </c>
      <c r="H37" s="421">
        <f>IFERROR(('Consumption Input'!H38-'Consumption Input Diff.'!H149)/'Consumption Input Diff.'!H149,"NA")</f>
        <v>0</v>
      </c>
      <c r="I37" s="421">
        <f>IFERROR(('Consumption Input'!I38-'Consumption Input Diff.'!I149)/'Consumption Input Diff.'!I149,"NA")</f>
        <v>0</v>
      </c>
      <c r="J37" s="421">
        <f>IFERROR(('Consumption Input'!J38-'Consumption Input Diff.'!J149)/'Consumption Input Diff.'!J149,"NA")</f>
        <v>0</v>
      </c>
      <c r="K37" s="421">
        <f>IFERROR(('Consumption Input'!K38-'Consumption Input Diff.'!K149)/'Consumption Input Diff.'!K149,"NA")</f>
        <v>0</v>
      </c>
      <c r="L37" s="421">
        <f>IFERROR(('Consumption Input'!L38-'Consumption Input Diff.'!L149)/'Consumption Input Diff.'!L149,"NA")</f>
        <v>0</v>
      </c>
      <c r="M37" s="421">
        <f>IFERROR(('Consumption Input'!M38-'Consumption Input Diff.'!M149)/'Consumption Input Diff.'!M149,"NA")</f>
        <v>0</v>
      </c>
      <c r="N37" s="421">
        <f>IFERROR(('Consumption Input'!N38-'Consumption Input Diff.'!N149)/'Consumption Input Diff.'!N149,"NA")</f>
        <v>0</v>
      </c>
      <c r="O37" s="421">
        <f>IFERROR(('Consumption Input'!O38-'Consumption Input Diff.'!O149)/'Consumption Input Diff.'!O149,"NA")</f>
        <v>0</v>
      </c>
      <c r="P37" s="421">
        <f>IFERROR(('Consumption Input'!P38-'Consumption Input Diff.'!P149)/'Consumption Input Diff.'!P149,"NA")</f>
        <v>0</v>
      </c>
      <c r="Q37" s="421">
        <f>IFERROR(('Consumption Input'!Q38-'Consumption Input Diff.'!Q149)/'Consumption Input Diff.'!Q149,"NA")</f>
        <v>0</v>
      </c>
      <c r="R37" s="421">
        <f>IFERROR(('Consumption Input'!R38-'Consumption Input Diff.'!R149)/'Consumption Input Diff.'!R149,"NA")</f>
        <v>0</v>
      </c>
      <c r="S37" s="421">
        <f>IFERROR(('Consumption Input'!S38-'Consumption Input Diff.'!S149)/'Consumption Input Diff.'!S149,"NA")</f>
        <v>0</v>
      </c>
      <c r="T37" s="421">
        <f>IFERROR(('Consumption Input'!T38-'Consumption Input Diff.'!T149)/'Consumption Input Diff.'!T149,"NA")</f>
        <v>0</v>
      </c>
      <c r="U37" s="421">
        <f>IFERROR(('Consumption Input'!U38-'Consumption Input Diff.'!U149)/'Consumption Input Diff.'!U149,"NA")</f>
        <v>0</v>
      </c>
      <c r="V37" s="421">
        <f>IFERROR(('Consumption Input'!V38-'Consumption Input Diff.'!V149)/'Consumption Input Diff.'!V149,"NA")</f>
        <v>0</v>
      </c>
      <c r="W37" s="421">
        <f>IFERROR(('Consumption Input'!W38-'Consumption Input Diff.'!W149)/'Consumption Input Diff.'!W149,"NA")</f>
        <v>0</v>
      </c>
      <c r="X37" s="421">
        <f>IFERROR(('Consumption Input'!X38-'Consumption Input Diff.'!X149)/'Consumption Input Diff.'!X149,"NA")</f>
        <v>0</v>
      </c>
      <c r="Y37" s="421">
        <f>IFERROR(('Consumption Input'!Y38-'Consumption Input Diff.'!Y149)/'Consumption Input Diff.'!Y149,"NA")</f>
        <v>0</v>
      </c>
      <c r="Z37" s="421">
        <f>IFERROR(('Consumption Input'!Z38-'Consumption Input Diff.'!Z149)/'Consumption Input Diff.'!Z149,"NA")</f>
        <v>0</v>
      </c>
      <c r="AA37" s="421">
        <f>IFERROR(('Consumption Input'!AA38-'Consumption Input Diff.'!AA149)/'Consumption Input Diff.'!AA149,"NA")</f>
        <v>0</v>
      </c>
      <c r="AB37" s="421">
        <f>IFERROR(('Consumption Input'!AB38-'Consumption Input Diff.'!AB149)/'Consumption Input Diff.'!AB149,"NA")</f>
        <v>0</v>
      </c>
      <c r="AC37" s="421">
        <f>IFERROR(('Consumption Input'!AC38-'Consumption Input Diff.'!AC149)/'Consumption Input Diff.'!AC149,"NA")</f>
        <v>0</v>
      </c>
      <c r="AD37" s="421">
        <f>IFERROR(('Consumption Input'!AD38-'Consumption Input Diff.'!AD149)/'Consumption Input Diff.'!AD149,"NA")</f>
        <v>0</v>
      </c>
      <c r="AE37" s="421">
        <f>IFERROR(('Consumption Input'!AE38-'Consumption Input Diff.'!AE149)/'Consumption Input Diff.'!AE149,"NA")</f>
        <v>0</v>
      </c>
      <c r="AF37" s="421">
        <f>IFERROR(('Consumption Input'!AF38-'Consumption Input Diff.'!AF149)/'Consumption Input Diff.'!AF149,"NA")</f>
        <v>0</v>
      </c>
      <c r="AG37" s="421">
        <f>IFERROR(('Consumption Input'!AG38-'Consumption Input Diff.'!AG149)/'Consumption Input Diff.'!AG149,"NA")</f>
        <v>0</v>
      </c>
      <c r="AH37" s="421">
        <f>IFERROR(('Consumption Input'!AH38-'Consumption Input Diff.'!AH149)/'Consumption Input Diff.'!AH149,"NA")</f>
        <v>0</v>
      </c>
      <c r="AI37" s="421">
        <f>IFERROR(('Consumption Input'!AI38-'Consumption Input Diff.'!AI149)/'Consumption Input Diff.'!AI149,"NA")</f>
        <v>0</v>
      </c>
      <c r="AJ37" s="421">
        <f>IFERROR(('Consumption Input'!AJ38-'Consumption Input Diff.'!AJ149)/'Consumption Input Diff.'!AJ149,"NA")</f>
        <v>0</v>
      </c>
      <c r="AK37" s="5">
        <f>'Consumption Input'!V38-V149</f>
        <v>0</v>
      </c>
      <c r="AL37" s="5">
        <f>'Consumption Input'!W38-W149</f>
        <v>0</v>
      </c>
      <c r="AM37" s="5">
        <f>'Consumption Input'!X38-X149</f>
        <v>0</v>
      </c>
      <c r="AN37" s="5">
        <f>'Consumption Input'!Y38-Y149</f>
        <v>0</v>
      </c>
      <c r="AO37" s="5">
        <f>'Consumption Input'!Z38-Z149</f>
        <v>0</v>
      </c>
      <c r="AP37" s="5">
        <f>'Consumption Input'!AA38-AA149</f>
        <v>0</v>
      </c>
      <c r="AQ37" s="5">
        <f>'Consumption Input'!AB38-AB149</f>
        <v>0</v>
      </c>
      <c r="AR37" s="5">
        <f>'Consumption Input'!AC38-AC149</f>
        <v>0</v>
      </c>
      <c r="AS37" s="5">
        <f>'Consumption Input'!AD38-AD149</f>
        <v>0</v>
      </c>
      <c r="AT37" s="5">
        <f>'Consumption Input'!AE38-AE149</f>
        <v>0</v>
      </c>
      <c r="AU37" s="5">
        <f>'Consumption Input'!AF38-AF149</f>
        <v>0</v>
      </c>
      <c r="AV37" s="5">
        <f>'Consumption Input'!AG38-AG149</f>
        <v>0</v>
      </c>
      <c r="AW37" s="5">
        <f>'Consumption Input'!AH38-AH149</f>
        <v>0</v>
      </c>
      <c r="AX37" s="5">
        <f>'Consumption Input'!AI38-AI149</f>
        <v>0</v>
      </c>
      <c r="AY37" s="5">
        <f>'Consumption Input'!AJ38-AJ149</f>
        <v>0</v>
      </c>
      <c r="AZ37" s="21">
        <v>4</v>
      </c>
      <c r="BA37" s="6" t="s">
        <v>1701</v>
      </c>
      <c r="BB37" s="480">
        <v>7.610742236648556</v>
      </c>
      <c r="BC37" s="480">
        <v>7.8497011520169808</v>
      </c>
      <c r="BD37" s="480">
        <v>8.8232125744641685</v>
      </c>
      <c r="BE37" s="480">
        <v>9.2565522462834089</v>
      </c>
      <c r="BF37" s="480">
        <v>10.135953402448999</v>
      </c>
      <c r="BG37" s="480">
        <v>10.473082705547876</v>
      </c>
      <c r="BH37" s="480">
        <v>10.62258759673575</v>
      </c>
      <c r="BI37" s="480">
        <v>10.361514324729033</v>
      </c>
      <c r="BJ37" s="480">
        <v>9.669458452587806</v>
      </c>
      <c r="BK37" s="480">
        <v>10.28914950870919</v>
      </c>
      <c r="BL37" s="480">
        <v>11.506242966610891</v>
      </c>
      <c r="BM37" s="480">
        <v>10.527041935244348</v>
      </c>
      <c r="BN37" s="480">
        <v>11.265650724274195</v>
      </c>
      <c r="BO37" s="480">
        <v>11.146202513710181</v>
      </c>
      <c r="BP37" s="480">
        <v>11.142983074743613</v>
      </c>
      <c r="BQ37" s="480">
        <v>11.036504396603048</v>
      </c>
      <c r="BR37" s="480">
        <v>11.020231805481213</v>
      </c>
      <c r="BS37" s="480">
        <v>11.028963986917233</v>
      </c>
      <c r="BT37" s="480">
        <v>11.02919773917794</v>
      </c>
      <c r="BU37" s="480">
        <v>11.007552100023295</v>
      </c>
      <c r="BV37" s="480">
        <v>9.5527659077247407</v>
      </c>
      <c r="BW37" s="480">
        <v>9.5455336165308484</v>
      </c>
      <c r="BX37" s="480">
        <v>9.5258951694052083</v>
      </c>
      <c r="BY37" s="480">
        <v>9.529551072727271</v>
      </c>
      <c r="BZ37" s="480">
        <v>9.5221588939794586</v>
      </c>
      <c r="CA37" s="480">
        <v>9.5007240748646513</v>
      </c>
      <c r="CB37" s="480">
        <v>9.4896221748660459</v>
      </c>
      <c r="CC37" s="480">
        <v>9.4806373686218848</v>
      </c>
      <c r="CD37" s="480">
        <v>9.4728649587449354</v>
      </c>
      <c r="CE37" s="480">
        <v>9.4764377365449537</v>
      </c>
      <c r="CF37" s="480">
        <v>9.4764377365449537</v>
      </c>
      <c r="CG37" s="480">
        <v>9.4556176457652974</v>
      </c>
    </row>
    <row r="38" spans="2:85">
      <c r="B38" s="456">
        <v>35</v>
      </c>
      <c r="D38" s="6" t="s">
        <v>1615</v>
      </c>
      <c r="E38" s="421">
        <f>IFERROR(('Consumption Input'!E39-'Consumption Input Diff.'!E150)/'Consumption Input Diff.'!E150,"NA")</f>
        <v>0</v>
      </c>
      <c r="F38" s="421">
        <f>IFERROR(('Consumption Input'!F39-'Consumption Input Diff.'!F150)/'Consumption Input Diff.'!F150,"NA")</f>
        <v>0</v>
      </c>
      <c r="G38" s="421">
        <f>IFERROR(('Consumption Input'!G39-'Consumption Input Diff.'!G150)/'Consumption Input Diff.'!G150,"NA")</f>
        <v>0</v>
      </c>
      <c r="H38" s="421">
        <f>IFERROR(('Consumption Input'!H39-'Consumption Input Diff.'!H150)/'Consumption Input Diff.'!H150,"NA")</f>
        <v>0</v>
      </c>
      <c r="I38" s="421">
        <f>IFERROR(('Consumption Input'!I39-'Consumption Input Diff.'!I150)/'Consumption Input Diff.'!I150,"NA")</f>
        <v>0</v>
      </c>
      <c r="J38" s="421">
        <f>IFERROR(('Consumption Input'!J39-'Consumption Input Diff.'!J150)/'Consumption Input Diff.'!J150,"NA")</f>
        <v>0</v>
      </c>
      <c r="K38" s="421">
        <f>IFERROR(('Consumption Input'!K39-'Consumption Input Diff.'!K150)/'Consumption Input Diff.'!K150,"NA")</f>
        <v>0</v>
      </c>
      <c r="L38" s="421">
        <f>IFERROR(('Consumption Input'!L39-'Consumption Input Diff.'!L150)/'Consumption Input Diff.'!L150,"NA")</f>
        <v>0</v>
      </c>
      <c r="M38" s="421">
        <f>IFERROR(('Consumption Input'!M39-'Consumption Input Diff.'!M150)/'Consumption Input Diff.'!M150,"NA")</f>
        <v>0</v>
      </c>
      <c r="N38" s="421">
        <f>IFERROR(('Consumption Input'!N39-'Consumption Input Diff.'!N150)/'Consumption Input Diff.'!N150,"NA")</f>
        <v>0</v>
      </c>
      <c r="O38" s="421">
        <f>IFERROR(('Consumption Input'!O39-'Consumption Input Diff.'!O150)/'Consumption Input Diff.'!O150,"NA")</f>
        <v>0</v>
      </c>
      <c r="P38" s="421">
        <f>IFERROR(('Consumption Input'!P39-'Consumption Input Diff.'!P150)/'Consumption Input Diff.'!P150,"NA")</f>
        <v>0</v>
      </c>
      <c r="Q38" s="421">
        <f>IFERROR(('Consumption Input'!Q39-'Consumption Input Diff.'!Q150)/'Consumption Input Diff.'!Q150,"NA")</f>
        <v>0</v>
      </c>
      <c r="R38" s="421">
        <f>IFERROR(('Consumption Input'!R39-'Consumption Input Diff.'!R150)/'Consumption Input Diff.'!R150,"NA")</f>
        <v>0</v>
      </c>
      <c r="S38" s="421">
        <f>IFERROR(('Consumption Input'!S39-'Consumption Input Diff.'!S150)/'Consumption Input Diff.'!S150,"NA")</f>
        <v>0</v>
      </c>
      <c r="T38" s="421">
        <f>IFERROR(('Consumption Input'!T39-'Consumption Input Diff.'!T150)/'Consumption Input Diff.'!T150,"NA")</f>
        <v>0</v>
      </c>
      <c r="U38" s="421">
        <f>IFERROR(('Consumption Input'!U39-'Consumption Input Diff.'!U150)/'Consumption Input Diff.'!U150,"NA")</f>
        <v>0</v>
      </c>
      <c r="V38" s="421">
        <f>IFERROR(('Consumption Input'!V39-'Consumption Input Diff.'!V150)/'Consumption Input Diff.'!V150,"NA")</f>
        <v>0</v>
      </c>
      <c r="W38" s="421">
        <f>IFERROR(('Consumption Input'!W39-'Consumption Input Diff.'!W150)/'Consumption Input Diff.'!W150,"NA")</f>
        <v>0</v>
      </c>
      <c r="X38" s="421">
        <f>IFERROR(('Consumption Input'!X39-'Consumption Input Diff.'!X150)/'Consumption Input Diff.'!X150,"NA")</f>
        <v>0</v>
      </c>
      <c r="Y38" s="421">
        <f>IFERROR(('Consumption Input'!Y39-'Consumption Input Diff.'!Y150)/'Consumption Input Diff.'!Y150,"NA")</f>
        <v>0</v>
      </c>
      <c r="Z38" s="421">
        <f>IFERROR(('Consumption Input'!Z39-'Consumption Input Diff.'!Z150)/'Consumption Input Diff.'!Z150,"NA")</f>
        <v>0</v>
      </c>
      <c r="AA38" s="421">
        <f>IFERROR(('Consumption Input'!AA39-'Consumption Input Diff.'!AA150)/'Consumption Input Diff.'!AA150,"NA")</f>
        <v>0</v>
      </c>
      <c r="AB38" s="421">
        <f>IFERROR(('Consumption Input'!AB39-'Consumption Input Diff.'!AB150)/'Consumption Input Diff.'!AB150,"NA")</f>
        <v>0</v>
      </c>
      <c r="AC38" s="421">
        <f>IFERROR(('Consumption Input'!AC39-'Consumption Input Diff.'!AC150)/'Consumption Input Diff.'!AC150,"NA")</f>
        <v>0</v>
      </c>
      <c r="AD38" s="421">
        <f>IFERROR(('Consumption Input'!AD39-'Consumption Input Diff.'!AD150)/'Consumption Input Diff.'!AD150,"NA")</f>
        <v>0</v>
      </c>
      <c r="AE38" s="421">
        <f>IFERROR(('Consumption Input'!AE39-'Consumption Input Diff.'!AE150)/'Consumption Input Diff.'!AE150,"NA")</f>
        <v>0</v>
      </c>
      <c r="AF38" s="421">
        <f>IFERROR(('Consumption Input'!AF39-'Consumption Input Diff.'!AF150)/'Consumption Input Diff.'!AF150,"NA")</f>
        <v>0</v>
      </c>
      <c r="AG38" s="421">
        <f>IFERROR(('Consumption Input'!AG39-'Consumption Input Diff.'!AG150)/'Consumption Input Diff.'!AG150,"NA")</f>
        <v>0</v>
      </c>
      <c r="AH38" s="421">
        <f>IFERROR(('Consumption Input'!AH39-'Consumption Input Diff.'!AH150)/'Consumption Input Diff.'!AH150,"NA")</f>
        <v>0</v>
      </c>
      <c r="AI38" s="421">
        <f>IFERROR(('Consumption Input'!AI39-'Consumption Input Diff.'!AI150)/'Consumption Input Diff.'!AI150,"NA")</f>
        <v>0</v>
      </c>
      <c r="AJ38" s="421">
        <f>IFERROR(('Consumption Input'!AJ39-'Consumption Input Diff.'!AJ150)/'Consumption Input Diff.'!AJ150,"NA")</f>
        <v>0</v>
      </c>
      <c r="AK38" s="5">
        <f>'Consumption Input'!V39-V150</f>
        <v>0</v>
      </c>
      <c r="AL38" s="5">
        <f>'Consumption Input'!W39-W150</f>
        <v>0</v>
      </c>
      <c r="AM38" s="5">
        <f>'Consumption Input'!X39-X150</f>
        <v>0</v>
      </c>
      <c r="AN38" s="5">
        <f>'Consumption Input'!Y39-Y150</f>
        <v>0</v>
      </c>
      <c r="AO38" s="5">
        <f>'Consumption Input'!Z39-Z150</f>
        <v>0</v>
      </c>
      <c r="AP38" s="5">
        <f>'Consumption Input'!AA39-AA150</f>
        <v>0</v>
      </c>
      <c r="AQ38" s="5">
        <f>'Consumption Input'!AB39-AB150</f>
        <v>0</v>
      </c>
      <c r="AR38" s="5">
        <f>'Consumption Input'!AC39-AC150</f>
        <v>0</v>
      </c>
      <c r="AS38" s="5">
        <f>'Consumption Input'!AD39-AD150</f>
        <v>0</v>
      </c>
      <c r="AT38" s="5">
        <f>'Consumption Input'!AE39-AE150</f>
        <v>0</v>
      </c>
      <c r="AU38" s="5">
        <f>'Consumption Input'!AF39-AF150</f>
        <v>0</v>
      </c>
      <c r="AV38" s="5">
        <f>'Consumption Input'!AG39-AG150</f>
        <v>0</v>
      </c>
      <c r="AW38" s="5">
        <f>'Consumption Input'!AH39-AH150</f>
        <v>0</v>
      </c>
      <c r="AX38" s="5">
        <f>'Consumption Input'!AI39-AI150</f>
        <v>0</v>
      </c>
      <c r="AY38" s="5">
        <f>'Consumption Input'!AJ39-AJ150</f>
        <v>0</v>
      </c>
      <c r="AZ38" s="21">
        <v>5</v>
      </c>
      <c r="BA38" s="6" t="s">
        <v>1889</v>
      </c>
      <c r="BB38" s="480">
        <v>305.91000000000003</v>
      </c>
      <c r="BC38" s="480">
        <v>301.05199999999996</v>
      </c>
      <c r="BD38" s="480">
        <v>318.92266666666666</v>
      </c>
      <c r="BE38" s="480">
        <v>335.81333333333333</v>
      </c>
      <c r="BF38" s="480">
        <v>353.976</v>
      </c>
      <c r="BG38" s="480">
        <v>371.00375000000003</v>
      </c>
      <c r="BH38" s="480">
        <v>388.71949999999998</v>
      </c>
      <c r="BI38" s="480">
        <v>406.43525000000005</v>
      </c>
      <c r="BJ38" s="480">
        <v>426.62899999999996</v>
      </c>
      <c r="BK38" s="480">
        <v>413.51300000000003</v>
      </c>
      <c r="BL38" s="480">
        <v>401.67900000000003</v>
      </c>
      <c r="BM38" s="480">
        <v>391.79174999999998</v>
      </c>
      <c r="BN38" s="480">
        <v>380.73</v>
      </c>
      <c r="BO38" s="480">
        <v>345.28025000000002</v>
      </c>
      <c r="BP38" s="480">
        <v>306.55949999999996</v>
      </c>
      <c r="BQ38" s="480">
        <v>270.36975000000001</v>
      </c>
      <c r="BR38" s="480">
        <v>233.35599999999999</v>
      </c>
      <c r="BS38" s="480">
        <v>252.64199999999997</v>
      </c>
      <c r="BT38" s="480">
        <v>272.15499999999997</v>
      </c>
      <c r="BU38" s="480">
        <v>291.10000000000002</v>
      </c>
      <c r="BV38" s="480">
        <v>309.96899999999999</v>
      </c>
      <c r="BW38" s="480">
        <v>314.0095</v>
      </c>
      <c r="BX38" s="480">
        <v>319.28750000000002</v>
      </c>
      <c r="BY38" s="480">
        <v>324.59100000000001</v>
      </c>
      <c r="BZ38" s="480">
        <v>330.56</v>
      </c>
      <c r="CA38" s="480">
        <v>431.80800000000005</v>
      </c>
      <c r="CB38" s="480">
        <v>531.96799999999996</v>
      </c>
      <c r="CC38" s="480">
        <v>631.10400000000004</v>
      </c>
      <c r="CD38" s="480">
        <v>730.75199999999995</v>
      </c>
      <c r="CE38" s="480">
        <v>732.16000000000008</v>
      </c>
      <c r="CF38" s="480">
        <v>730.048</v>
      </c>
      <c r="CG38" s="480">
        <v>730.048</v>
      </c>
    </row>
    <row r="39" spans="2:85">
      <c r="B39" s="456">
        <v>36</v>
      </c>
      <c r="D39" s="6" t="s">
        <v>1616</v>
      </c>
      <c r="E39" s="421">
        <f>IFERROR(('Consumption Input'!E40-'Consumption Input Diff.'!E151)/'Consumption Input Diff.'!E151,"NA")</f>
        <v>0</v>
      </c>
      <c r="F39" s="421">
        <f>IFERROR(('Consumption Input'!F40-'Consumption Input Diff.'!F151)/'Consumption Input Diff.'!F151,"NA")</f>
        <v>0</v>
      </c>
      <c r="G39" s="421">
        <f>IFERROR(('Consumption Input'!G40-'Consumption Input Diff.'!G151)/'Consumption Input Diff.'!G151,"NA")</f>
        <v>0</v>
      </c>
      <c r="H39" s="421">
        <f>IFERROR(('Consumption Input'!H40-'Consumption Input Diff.'!H151)/'Consumption Input Diff.'!H151,"NA")</f>
        <v>0</v>
      </c>
      <c r="I39" s="421">
        <f>IFERROR(('Consumption Input'!I40-'Consumption Input Diff.'!I151)/'Consumption Input Diff.'!I151,"NA")</f>
        <v>0</v>
      </c>
      <c r="J39" s="421">
        <f>IFERROR(('Consumption Input'!J40-'Consumption Input Diff.'!J151)/'Consumption Input Diff.'!J151,"NA")</f>
        <v>0</v>
      </c>
      <c r="K39" s="421">
        <f>IFERROR(('Consumption Input'!K40-'Consumption Input Diff.'!K151)/'Consumption Input Diff.'!K151,"NA")</f>
        <v>0</v>
      </c>
      <c r="L39" s="421">
        <f>IFERROR(('Consumption Input'!L40-'Consumption Input Diff.'!L151)/'Consumption Input Diff.'!L151,"NA")</f>
        <v>0</v>
      </c>
      <c r="M39" s="421">
        <f>IFERROR(('Consumption Input'!M40-'Consumption Input Diff.'!M151)/'Consumption Input Diff.'!M151,"NA")</f>
        <v>0</v>
      </c>
      <c r="N39" s="421">
        <f>IFERROR(('Consumption Input'!N40-'Consumption Input Diff.'!N151)/'Consumption Input Diff.'!N151,"NA")</f>
        <v>0</v>
      </c>
      <c r="O39" s="421">
        <f>IFERROR(('Consumption Input'!O40-'Consumption Input Diff.'!O151)/'Consumption Input Diff.'!O151,"NA")</f>
        <v>0</v>
      </c>
      <c r="P39" s="421">
        <f>IFERROR(('Consumption Input'!P40-'Consumption Input Diff.'!P151)/'Consumption Input Diff.'!P151,"NA")</f>
        <v>0</v>
      </c>
      <c r="Q39" s="421">
        <f>IFERROR(('Consumption Input'!Q40-'Consumption Input Diff.'!Q151)/'Consumption Input Diff.'!Q151,"NA")</f>
        <v>0</v>
      </c>
      <c r="R39" s="421">
        <f>IFERROR(('Consumption Input'!R40-'Consumption Input Diff.'!R151)/'Consumption Input Diff.'!R151,"NA")</f>
        <v>0</v>
      </c>
      <c r="S39" s="421">
        <f>IFERROR(('Consumption Input'!S40-'Consumption Input Diff.'!S151)/'Consumption Input Diff.'!S151,"NA")</f>
        <v>0</v>
      </c>
      <c r="T39" s="421">
        <f>IFERROR(('Consumption Input'!T40-'Consumption Input Diff.'!T151)/'Consumption Input Diff.'!T151,"NA")</f>
        <v>0</v>
      </c>
      <c r="U39" s="421">
        <f>IFERROR(('Consumption Input'!U40-'Consumption Input Diff.'!U151)/'Consumption Input Diff.'!U151,"NA")</f>
        <v>0</v>
      </c>
      <c r="V39" s="421">
        <f>IFERROR(('Consumption Input'!V40-'Consumption Input Diff.'!V151)/'Consumption Input Diff.'!V151,"NA")</f>
        <v>0</v>
      </c>
      <c r="W39" s="421">
        <f>IFERROR(('Consumption Input'!W40-'Consumption Input Diff.'!W151)/'Consumption Input Diff.'!W151,"NA")</f>
        <v>0</v>
      </c>
      <c r="X39" s="421">
        <f>IFERROR(('Consumption Input'!X40-'Consumption Input Diff.'!X151)/'Consumption Input Diff.'!X151,"NA")</f>
        <v>0</v>
      </c>
      <c r="Y39" s="421">
        <f>IFERROR(('Consumption Input'!Y40-'Consumption Input Diff.'!Y151)/'Consumption Input Diff.'!Y151,"NA")</f>
        <v>0</v>
      </c>
      <c r="Z39" s="421">
        <f>IFERROR(('Consumption Input'!Z40-'Consumption Input Diff.'!Z151)/'Consumption Input Diff.'!Z151,"NA")</f>
        <v>0</v>
      </c>
      <c r="AA39" s="421">
        <f>IFERROR(('Consumption Input'!AA40-'Consumption Input Diff.'!AA151)/'Consumption Input Diff.'!AA151,"NA")</f>
        <v>0</v>
      </c>
      <c r="AB39" s="421">
        <f>IFERROR(('Consumption Input'!AB40-'Consumption Input Diff.'!AB151)/'Consumption Input Diff.'!AB151,"NA")</f>
        <v>0</v>
      </c>
      <c r="AC39" s="421">
        <f>IFERROR(('Consumption Input'!AC40-'Consumption Input Diff.'!AC151)/'Consumption Input Diff.'!AC151,"NA")</f>
        <v>0</v>
      </c>
      <c r="AD39" s="421">
        <f>IFERROR(('Consumption Input'!AD40-'Consumption Input Diff.'!AD151)/'Consumption Input Diff.'!AD151,"NA")</f>
        <v>0</v>
      </c>
      <c r="AE39" s="421">
        <f>IFERROR(('Consumption Input'!AE40-'Consumption Input Diff.'!AE151)/'Consumption Input Diff.'!AE151,"NA")</f>
        <v>0</v>
      </c>
      <c r="AF39" s="421">
        <f>IFERROR(('Consumption Input'!AF40-'Consumption Input Diff.'!AF151)/'Consumption Input Diff.'!AF151,"NA")</f>
        <v>0</v>
      </c>
      <c r="AG39" s="421">
        <f>IFERROR(('Consumption Input'!AG40-'Consumption Input Diff.'!AG151)/'Consumption Input Diff.'!AG151,"NA")</f>
        <v>0</v>
      </c>
      <c r="AH39" s="421">
        <f>IFERROR(('Consumption Input'!AH40-'Consumption Input Diff.'!AH151)/'Consumption Input Diff.'!AH151,"NA")</f>
        <v>0</v>
      </c>
      <c r="AI39" s="421">
        <f>IFERROR(('Consumption Input'!AI40-'Consumption Input Diff.'!AI151)/'Consumption Input Diff.'!AI151,"NA")</f>
        <v>0</v>
      </c>
      <c r="AJ39" s="421">
        <f>IFERROR(('Consumption Input'!AJ40-'Consumption Input Diff.'!AJ151)/'Consumption Input Diff.'!AJ151,"NA")</f>
        <v>0</v>
      </c>
      <c r="AK39" s="5">
        <f>'Consumption Input'!V40-V151</f>
        <v>0</v>
      </c>
      <c r="AL39" s="5">
        <f>'Consumption Input'!W40-W151</f>
        <v>0</v>
      </c>
      <c r="AM39" s="5">
        <f>'Consumption Input'!X40-X151</f>
        <v>0</v>
      </c>
      <c r="AN39" s="5">
        <f>'Consumption Input'!Y40-Y151</f>
        <v>0</v>
      </c>
      <c r="AO39" s="5">
        <f>'Consumption Input'!Z40-Z151</f>
        <v>0</v>
      </c>
      <c r="AP39" s="5">
        <f>'Consumption Input'!AA40-AA151</f>
        <v>0</v>
      </c>
      <c r="AQ39" s="5">
        <f>'Consumption Input'!AB40-AB151</f>
        <v>0</v>
      </c>
      <c r="AR39" s="5">
        <f>'Consumption Input'!AC40-AC151</f>
        <v>0</v>
      </c>
      <c r="AS39" s="5">
        <f>'Consumption Input'!AD40-AD151</f>
        <v>0</v>
      </c>
      <c r="AT39" s="5">
        <f>'Consumption Input'!AE40-AE151</f>
        <v>0</v>
      </c>
      <c r="AU39" s="5">
        <f>'Consumption Input'!AF40-AF151</f>
        <v>0</v>
      </c>
      <c r="AV39" s="5">
        <f>'Consumption Input'!AG40-AG151</f>
        <v>0</v>
      </c>
      <c r="AW39" s="5">
        <f>'Consumption Input'!AH40-AH151</f>
        <v>0</v>
      </c>
      <c r="AX39" s="5">
        <f>'Consumption Input'!AI40-AI151</f>
        <v>0</v>
      </c>
      <c r="AY39" s="5">
        <f>'Consumption Input'!AJ40-AJ151</f>
        <v>0</v>
      </c>
      <c r="AZ39" s="21">
        <v>6</v>
      </c>
      <c r="BA39" s="6" t="s">
        <v>1890</v>
      </c>
      <c r="BB39" s="480">
        <v>1170.193</v>
      </c>
      <c r="BC39" s="480">
        <v>1076.5350000000001</v>
      </c>
      <c r="BD39" s="480">
        <v>1102.22</v>
      </c>
      <c r="BE39" s="480">
        <v>1149.02</v>
      </c>
      <c r="BF39" s="480">
        <v>1172.9169999999999</v>
      </c>
      <c r="BG39" s="480">
        <v>1178.175</v>
      </c>
      <c r="BH39" s="480">
        <v>1175.932</v>
      </c>
      <c r="BI39" s="480">
        <v>1223.5659999999998</v>
      </c>
      <c r="BJ39" s="480">
        <v>1262.5519999999999</v>
      </c>
      <c r="BK39" s="480">
        <v>1324.413</v>
      </c>
      <c r="BL39" s="480">
        <v>1275.6780000000001</v>
      </c>
      <c r="BM39" s="480">
        <v>1256.8649999999998</v>
      </c>
      <c r="BN39" s="480">
        <v>1239.9570000000001</v>
      </c>
      <c r="BO39" s="480">
        <v>1219.538</v>
      </c>
      <c r="BP39" s="480">
        <v>1303.848</v>
      </c>
      <c r="BQ39" s="480">
        <v>1323.2380000000001</v>
      </c>
      <c r="BR39" s="480">
        <v>1261.1659999999999</v>
      </c>
      <c r="BS39" s="480">
        <v>1197.039</v>
      </c>
      <c r="BT39" s="480">
        <v>1011.9709999999999</v>
      </c>
      <c r="BU39" s="480">
        <v>873.08299999999997</v>
      </c>
      <c r="BV39" s="480">
        <v>877.76800000000003</v>
      </c>
      <c r="BW39" s="480">
        <v>859.48900000000003</v>
      </c>
      <c r="BX39" s="480">
        <v>826.697</v>
      </c>
      <c r="BY39" s="480">
        <v>783.34699999999998</v>
      </c>
      <c r="BZ39" s="480">
        <v>792.63599999999997</v>
      </c>
      <c r="CA39" s="480">
        <v>831.66</v>
      </c>
      <c r="CB39" s="480">
        <v>853.36599999999999</v>
      </c>
      <c r="CC39" s="480">
        <v>849.18200000000002</v>
      </c>
      <c r="CD39" s="480">
        <v>792.76300000000003</v>
      </c>
      <c r="CE39" s="480">
        <v>843.88300000000004</v>
      </c>
      <c r="CF39" s="480">
        <v>832.27300000000002</v>
      </c>
      <c r="CG39" s="480">
        <v>898.08500000000004</v>
      </c>
    </row>
    <row r="40" spans="2:85">
      <c r="B40" s="456">
        <v>37</v>
      </c>
      <c r="D40" s="6" t="s">
        <v>1617</v>
      </c>
      <c r="E40" s="421">
        <f>IFERROR(('Consumption Input'!E41-'Consumption Input Diff.'!E152)/'Consumption Input Diff.'!E152,"NA")</f>
        <v>-1</v>
      </c>
      <c r="F40" s="421">
        <f>IFERROR(('Consumption Input'!F41-'Consumption Input Diff.'!F152)/'Consumption Input Diff.'!F152,"NA")</f>
        <v>-1</v>
      </c>
      <c r="G40" s="421">
        <f>IFERROR(('Consumption Input'!G41-'Consumption Input Diff.'!G152)/'Consumption Input Diff.'!G152,"NA")</f>
        <v>-1</v>
      </c>
      <c r="H40" s="421">
        <f>IFERROR(('Consumption Input'!H41-'Consumption Input Diff.'!H152)/'Consumption Input Diff.'!H152,"NA")</f>
        <v>-1</v>
      </c>
      <c r="I40" s="421">
        <f>IFERROR(('Consumption Input'!I41-'Consumption Input Diff.'!I152)/'Consumption Input Diff.'!I152,"NA")</f>
        <v>-1</v>
      </c>
      <c r="J40" s="421">
        <f>IFERROR(('Consumption Input'!J41-'Consumption Input Diff.'!J152)/'Consumption Input Diff.'!J152,"NA")</f>
        <v>-1</v>
      </c>
      <c r="K40" s="421">
        <f>IFERROR(('Consumption Input'!K41-'Consumption Input Diff.'!K152)/'Consumption Input Diff.'!K152,"NA")</f>
        <v>-1</v>
      </c>
      <c r="L40" s="421">
        <f>IFERROR(('Consumption Input'!L41-'Consumption Input Diff.'!L152)/'Consumption Input Diff.'!L152,"NA")</f>
        <v>-1</v>
      </c>
      <c r="M40" s="421">
        <f>IFERROR(('Consumption Input'!M41-'Consumption Input Diff.'!M152)/'Consumption Input Diff.'!M152,"NA")</f>
        <v>-1</v>
      </c>
      <c r="N40" s="421">
        <f>IFERROR(('Consumption Input'!N41-'Consumption Input Diff.'!N152)/'Consumption Input Diff.'!N152,"NA")</f>
        <v>-1</v>
      </c>
      <c r="O40" s="421">
        <f>IFERROR(('Consumption Input'!O41-'Consumption Input Diff.'!O152)/'Consumption Input Diff.'!O152,"NA")</f>
        <v>-1</v>
      </c>
      <c r="P40" s="421">
        <f>IFERROR(('Consumption Input'!P41-'Consumption Input Diff.'!P152)/'Consumption Input Diff.'!P152,"NA")</f>
        <v>-1</v>
      </c>
      <c r="Q40" s="421">
        <f>IFERROR(('Consumption Input'!Q41-'Consumption Input Diff.'!Q152)/'Consumption Input Diff.'!Q152,"NA")</f>
        <v>-1</v>
      </c>
      <c r="R40" s="421">
        <f>IFERROR(('Consumption Input'!R41-'Consumption Input Diff.'!R152)/'Consumption Input Diff.'!R152,"NA")</f>
        <v>-1</v>
      </c>
      <c r="S40" s="421">
        <f>IFERROR(('Consumption Input'!S41-'Consumption Input Diff.'!S152)/'Consumption Input Diff.'!S152,"NA")</f>
        <v>-1</v>
      </c>
      <c r="T40" s="421">
        <f>IFERROR(('Consumption Input'!T41-'Consumption Input Diff.'!T152)/'Consumption Input Diff.'!T152,"NA")</f>
        <v>-1</v>
      </c>
      <c r="U40" s="421">
        <f>IFERROR(('Consumption Input'!U41-'Consumption Input Diff.'!U152)/'Consumption Input Diff.'!U152,"NA")</f>
        <v>-1</v>
      </c>
      <c r="V40" s="421">
        <f>IFERROR(('Consumption Input'!V41-'Consumption Input Diff.'!V152)/'Consumption Input Diff.'!V152,"NA")</f>
        <v>-1</v>
      </c>
      <c r="W40" s="421">
        <f>IFERROR(('Consumption Input'!W41-'Consumption Input Diff.'!W152)/'Consumption Input Diff.'!W152,"NA")</f>
        <v>-1</v>
      </c>
      <c r="X40" s="421">
        <f>IFERROR(('Consumption Input'!X41-'Consumption Input Diff.'!X152)/'Consumption Input Diff.'!X152,"NA")</f>
        <v>-1</v>
      </c>
      <c r="Y40" s="421">
        <f>IFERROR(('Consumption Input'!Y41-'Consumption Input Diff.'!Y152)/'Consumption Input Diff.'!Y152,"NA")</f>
        <v>-1</v>
      </c>
      <c r="Z40" s="421">
        <f>IFERROR(('Consumption Input'!Z41-'Consumption Input Diff.'!Z152)/'Consumption Input Diff.'!Z152,"NA")</f>
        <v>-1</v>
      </c>
      <c r="AA40" s="421">
        <f>IFERROR(('Consumption Input'!AA41-'Consumption Input Diff.'!AA152)/'Consumption Input Diff.'!AA152,"NA")</f>
        <v>-1</v>
      </c>
      <c r="AB40" s="421">
        <f>IFERROR(('Consumption Input'!AB41-'Consumption Input Diff.'!AB152)/'Consumption Input Diff.'!AB152,"NA")</f>
        <v>-1</v>
      </c>
      <c r="AC40" s="421">
        <f>IFERROR(('Consumption Input'!AC41-'Consumption Input Diff.'!AC152)/'Consumption Input Diff.'!AC152,"NA")</f>
        <v>-1</v>
      </c>
      <c r="AD40" s="421">
        <f>IFERROR(('Consumption Input'!AD41-'Consumption Input Diff.'!AD152)/'Consumption Input Diff.'!AD152,"NA")</f>
        <v>-1</v>
      </c>
      <c r="AE40" s="421">
        <f>IFERROR(('Consumption Input'!AE41-'Consumption Input Diff.'!AE152)/'Consumption Input Diff.'!AE152,"NA")</f>
        <v>-1</v>
      </c>
      <c r="AF40" s="421">
        <f>IFERROR(('Consumption Input'!AF41-'Consumption Input Diff.'!AF152)/'Consumption Input Diff.'!AF152,"NA")</f>
        <v>-1</v>
      </c>
      <c r="AG40" s="421">
        <f>IFERROR(('Consumption Input'!AG41-'Consumption Input Diff.'!AG152)/'Consumption Input Diff.'!AG152,"NA")</f>
        <v>-1</v>
      </c>
      <c r="AH40" s="421">
        <f>IFERROR(('Consumption Input'!AH41-'Consumption Input Diff.'!AH152)/'Consumption Input Diff.'!AH152,"NA")</f>
        <v>-1</v>
      </c>
      <c r="AI40" s="421">
        <f>IFERROR(('Consumption Input'!AI41-'Consumption Input Diff.'!AI152)/'Consumption Input Diff.'!AI152,"NA")</f>
        <v>-1</v>
      </c>
      <c r="AJ40" s="421">
        <f>IFERROR(('Consumption Input'!AJ41-'Consumption Input Diff.'!AJ152)/'Consumption Input Diff.'!AJ152,"NA")</f>
        <v>-1</v>
      </c>
      <c r="AK40" s="5">
        <f>'Consumption Input'!V41-V152</f>
        <v>-180.06334662</v>
      </c>
      <c r="AL40" s="5">
        <f>'Consumption Input'!W41-W152</f>
        <v>-153.64088324400001</v>
      </c>
      <c r="AM40" s="5">
        <f>'Consumption Input'!X41-X152</f>
        <v>-128.031011382</v>
      </c>
      <c r="AN40" s="5">
        <f>'Consumption Input'!Y41-Y152</f>
        <v>-156.10362413999997</v>
      </c>
      <c r="AO40" s="5">
        <f>'Consumption Input'!Z41-Z152</f>
        <v>-54.890164163999998</v>
      </c>
      <c r="AP40" s="5">
        <f>'Consumption Input'!AA41-AA152</f>
        <v>-84.751528296000004</v>
      </c>
      <c r="AQ40" s="5">
        <f>'Consumption Input'!AB41-AB152</f>
        <v>-94.586564988000006</v>
      </c>
      <c r="AR40" s="5">
        <f>'Consumption Input'!AC41-AC152</f>
        <v>-88.736298461999993</v>
      </c>
      <c r="AS40" s="5">
        <f>'Consumption Input'!AD41-AD152</f>
        <v>-161.092586238</v>
      </c>
      <c r="AT40" s="5">
        <f>'Consumption Input'!AE41-AE152</f>
        <v>-112.59575665799998</v>
      </c>
      <c r="AU40" s="5">
        <f>'Consumption Input'!AF41-AF152</f>
        <v>-173.416777236</v>
      </c>
      <c r="AV40" s="5">
        <f>'Consumption Input'!AG41-AG152</f>
        <v>-224.56171001999999</v>
      </c>
      <c r="AW40" s="5">
        <f>'Consumption Input'!AH41-AH152</f>
        <v>-334.55773781400001</v>
      </c>
      <c r="AX40" s="5">
        <f>'Consumption Input'!AI41-AI152</f>
        <v>-354.31124881800002</v>
      </c>
      <c r="AY40" s="5">
        <f>'Consumption Input'!AJ41-AJ152</f>
        <v>-435.91840790999998</v>
      </c>
      <c r="AZ40" s="21">
        <v>7</v>
      </c>
      <c r="BA40" s="6" t="s">
        <v>1624</v>
      </c>
      <c r="BB40" s="480">
        <v>1302.2437395617837</v>
      </c>
      <c r="BC40" s="480">
        <v>1438.9519744085785</v>
      </c>
      <c r="BD40" s="480">
        <v>1525.5564260453011</v>
      </c>
      <c r="BE40" s="480">
        <v>1465.8131042330449</v>
      </c>
      <c r="BF40" s="480">
        <v>1684.9977291137209</v>
      </c>
      <c r="BG40" s="480">
        <v>1651.6164700966506</v>
      </c>
      <c r="BH40" s="480">
        <v>1744.7919269481797</v>
      </c>
      <c r="BI40" s="480">
        <v>1802.9688194746766</v>
      </c>
      <c r="BJ40" s="480">
        <v>1717.4645571841068</v>
      </c>
      <c r="BK40" s="480">
        <v>2001.4533227973809</v>
      </c>
      <c r="BL40" s="480">
        <v>1759.2793713654823</v>
      </c>
      <c r="BM40" s="480">
        <v>1642.346635941163</v>
      </c>
      <c r="BN40" s="480">
        <v>1766.2851168840132</v>
      </c>
      <c r="BO40" s="480">
        <v>1701.5741023453579</v>
      </c>
      <c r="BP40" s="480">
        <v>1768.5116121665342</v>
      </c>
      <c r="BQ40" s="480">
        <v>1659.4772978420046</v>
      </c>
      <c r="BR40" s="480">
        <v>1734.577676057304</v>
      </c>
      <c r="BS40" s="480">
        <v>1726.7322472178485</v>
      </c>
      <c r="BT40" s="480">
        <v>1596.5822523901313</v>
      </c>
      <c r="BU40" s="480">
        <v>1747.9982040749719</v>
      </c>
      <c r="BV40" s="480">
        <v>1899.8664338264293</v>
      </c>
      <c r="BW40" s="480">
        <v>1954.4033134040958</v>
      </c>
      <c r="BX40" s="480">
        <v>1983.6587699593242</v>
      </c>
      <c r="BY40" s="480">
        <v>2155.1857299178482</v>
      </c>
      <c r="BZ40" s="480">
        <v>2142.7536628346425</v>
      </c>
      <c r="CA40" s="480">
        <v>2216.7559784923624</v>
      </c>
      <c r="CB40" s="480">
        <v>2257.1477836390804</v>
      </c>
      <c r="CC40" s="480">
        <v>2329.7316554651738</v>
      </c>
      <c r="CD40" s="480">
        <v>2677.441123751451</v>
      </c>
      <c r="CE40" s="480">
        <v>2758.7677783638755</v>
      </c>
      <c r="CF40" s="480">
        <v>2884.5017990910087</v>
      </c>
      <c r="CG40" s="480">
        <v>3043.8864109986448</v>
      </c>
    </row>
    <row r="41" spans="2:85">
      <c r="B41" s="456">
        <v>38</v>
      </c>
      <c r="D41" s="6" t="s">
        <v>1604</v>
      </c>
      <c r="E41" s="421">
        <f>IFERROR(('Consumption Input'!E42-'Consumption Input Diff.'!E153)/'Consumption Input Diff.'!E153,"NA")</f>
        <v>0</v>
      </c>
      <c r="F41" s="421">
        <f>IFERROR(('Consumption Input'!F42-'Consumption Input Diff.'!F153)/'Consumption Input Diff.'!F153,"NA")</f>
        <v>0</v>
      </c>
      <c r="G41" s="421">
        <f>IFERROR(('Consumption Input'!G42-'Consumption Input Diff.'!G153)/'Consumption Input Diff.'!G153,"NA")</f>
        <v>0</v>
      </c>
      <c r="H41" s="421">
        <f>IFERROR(('Consumption Input'!H42-'Consumption Input Diff.'!H153)/'Consumption Input Diff.'!H153,"NA")</f>
        <v>0</v>
      </c>
      <c r="I41" s="421">
        <f>IFERROR(('Consumption Input'!I42-'Consumption Input Diff.'!I153)/'Consumption Input Diff.'!I153,"NA")</f>
        <v>0</v>
      </c>
      <c r="J41" s="421">
        <f>IFERROR(('Consumption Input'!J42-'Consumption Input Diff.'!J153)/'Consumption Input Diff.'!J153,"NA")</f>
        <v>0</v>
      </c>
      <c r="K41" s="421">
        <f>IFERROR(('Consumption Input'!K42-'Consumption Input Diff.'!K153)/'Consumption Input Diff.'!K153,"NA")</f>
        <v>0</v>
      </c>
      <c r="L41" s="421">
        <f>IFERROR(('Consumption Input'!L42-'Consumption Input Diff.'!L153)/'Consumption Input Diff.'!L153,"NA")</f>
        <v>0</v>
      </c>
      <c r="M41" s="421">
        <f>IFERROR(('Consumption Input'!M42-'Consumption Input Diff.'!M153)/'Consumption Input Diff.'!M153,"NA")</f>
        <v>0</v>
      </c>
      <c r="N41" s="421">
        <f>IFERROR(('Consumption Input'!N42-'Consumption Input Diff.'!N153)/'Consumption Input Diff.'!N153,"NA")</f>
        <v>0</v>
      </c>
      <c r="O41" s="421">
        <f>IFERROR(('Consumption Input'!O42-'Consumption Input Diff.'!O153)/'Consumption Input Diff.'!O153,"NA")</f>
        <v>0</v>
      </c>
      <c r="P41" s="421">
        <f>IFERROR(('Consumption Input'!P42-'Consumption Input Diff.'!P153)/'Consumption Input Diff.'!P153,"NA")</f>
        <v>0</v>
      </c>
      <c r="Q41" s="421">
        <f>IFERROR(('Consumption Input'!Q42-'Consumption Input Diff.'!Q153)/'Consumption Input Diff.'!Q153,"NA")</f>
        <v>0</v>
      </c>
      <c r="R41" s="421">
        <f>IFERROR(('Consumption Input'!R42-'Consumption Input Diff.'!R153)/'Consumption Input Diff.'!R153,"NA")</f>
        <v>0</v>
      </c>
      <c r="S41" s="421">
        <f>IFERROR(('Consumption Input'!S42-'Consumption Input Diff.'!S153)/'Consumption Input Diff.'!S153,"NA")</f>
        <v>0</v>
      </c>
      <c r="T41" s="421">
        <f>IFERROR(('Consumption Input'!T42-'Consumption Input Diff.'!T153)/'Consumption Input Diff.'!T153,"NA")</f>
        <v>0</v>
      </c>
      <c r="U41" s="421">
        <f>IFERROR(('Consumption Input'!U42-'Consumption Input Diff.'!U153)/'Consumption Input Diff.'!U153,"NA")</f>
        <v>0</v>
      </c>
      <c r="V41" s="421">
        <f>IFERROR(('Consumption Input'!V42-'Consumption Input Diff.'!V153)/'Consumption Input Diff.'!V153,"NA")</f>
        <v>0</v>
      </c>
      <c r="W41" s="421">
        <f>IFERROR(('Consumption Input'!W42-'Consumption Input Diff.'!W153)/'Consumption Input Diff.'!W153,"NA")</f>
        <v>0</v>
      </c>
      <c r="X41" s="421">
        <f>IFERROR(('Consumption Input'!X42-'Consumption Input Diff.'!X153)/'Consumption Input Diff.'!X153,"NA")</f>
        <v>0</v>
      </c>
      <c r="Y41" s="421">
        <f>IFERROR(('Consumption Input'!Y42-'Consumption Input Diff.'!Y153)/'Consumption Input Diff.'!Y153,"NA")</f>
        <v>0</v>
      </c>
      <c r="Z41" s="421">
        <f>IFERROR(('Consumption Input'!Z42-'Consumption Input Diff.'!Z153)/'Consumption Input Diff.'!Z153,"NA")</f>
        <v>0</v>
      </c>
      <c r="AA41" s="421">
        <f>IFERROR(('Consumption Input'!AA42-'Consumption Input Diff.'!AA153)/'Consumption Input Diff.'!AA153,"NA")</f>
        <v>0</v>
      </c>
      <c r="AB41" s="421">
        <f>IFERROR(('Consumption Input'!AB42-'Consumption Input Diff.'!AB153)/'Consumption Input Diff.'!AB153,"NA")</f>
        <v>0</v>
      </c>
      <c r="AC41" s="421">
        <f>IFERROR(('Consumption Input'!AC42-'Consumption Input Diff.'!AC153)/'Consumption Input Diff.'!AC153,"NA")</f>
        <v>0</v>
      </c>
      <c r="AD41" s="421">
        <f>IFERROR(('Consumption Input'!AD42-'Consumption Input Diff.'!AD153)/'Consumption Input Diff.'!AD153,"NA")</f>
        <v>0</v>
      </c>
      <c r="AE41" s="421">
        <f>IFERROR(('Consumption Input'!AE42-'Consumption Input Diff.'!AE153)/'Consumption Input Diff.'!AE153,"NA")</f>
        <v>0</v>
      </c>
      <c r="AF41" s="421">
        <f>IFERROR(('Consumption Input'!AF42-'Consumption Input Diff.'!AF153)/'Consumption Input Diff.'!AF153,"NA")</f>
        <v>0</v>
      </c>
      <c r="AG41" s="421">
        <f>IFERROR(('Consumption Input'!AG42-'Consumption Input Diff.'!AG153)/'Consumption Input Diff.'!AG153,"NA")</f>
        <v>0</v>
      </c>
      <c r="AH41" s="421">
        <f>IFERROR(('Consumption Input'!AH42-'Consumption Input Diff.'!AH153)/'Consumption Input Diff.'!AH153,"NA")</f>
        <v>0</v>
      </c>
      <c r="AI41" s="421">
        <f>IFERROR(('Consumption Input'!AI42-'Consumption Input Diff.'!AI153)/'Consumption Input Diff.'!AI153,"NA")</f>
        <v>0</v>
      </c>
      <c r="AJ41" s="421">
        <f>IFERROR(('Consumption Input'!AJ42-'Consumption Input Diff.'!AJ153)/'Consumption Input Diff.'!AJ153,"NA")</f>
        <v>0</v>
      </c>
      <c r="AK41" s="5">
        <f>'Consumption Input'!V42-V153</f>
        <v>0</v>
      </c>
      <c r="AL41" s="5">
        <f>'Consumption Input'!W42-W153</f>
        <v>0</v>
      </c>
      <c r="AM41" s="5">
        <f>'Consumption Input'!X42-X153</f>
        <v>0</v>
      </c>
      <c r="AN41" s="5">
        <f>'Consumption Input'!Y42-Y153</f>
        <v>0</v>
      </c>
      <c r="AO41" s="5">
        <f>'Consumption Input'!Z42-Z153</f>
        <v>0</v>
      </c>
      <c r="AP41" s="5">
        <f>'Consumption Input'!AA42-AA153</f>
        <v>0</v>
      </c>
      <c r="AQ41" s="5">
        <f>'Consumption Input'!AB42-AB153</f>
        <v>0</v>
      </c>
      <c r="AR41" s="5">
        <f>'Consumption Input'!AC42-AC153</f>
        <v>0</v>
      </c>
      <c r="AS41" s="5">
        <f>'Consumption Input'!AD42-AD153</f>
        <v>0</v>
      </c>
      <c r="AT41" s="5">
        <f>'Consumption Input'!AE42-AE153</f>
        <v>0</v>
      </c>
      <c r="AU41" s="5">
        <f>'Consumption Input'!AF42-AF153</f>
        <v>0</v>
      </c>
      <c r="AV41" s="5">
        <f>'Consumption Input'!AG42-AG153</f>
        <v>0</v>
      </c>
      <c r="AW41" s="5">
        <f>'Consumption Input'!AH42-AH153</f>
        <v>0</v>
      </c>
      <c r="AX41" s="5">
        <f>'Consumption Input'!AI42-AI153</f>
        <v>0</v>
      </c>
      <c r="AY41" s="5">
        <f>'Consumption Input'!AJ42-AJ153</f>
        <v>0</v>
      </c>
      <c r="AZ41" s="21">
        <v>8</v>
      </c>
      <c r="BA41" s="6" t="s">
        <v>1891</v>
      </c>
      <c r="BB41" s="480">
        <v>186.34299999999999</v>
      </c>
      <c r="BC41" s="480">
        <v>166.70299999999997</v>
      </c>
      <c r="BD41" s="480">
        <v>169.96</v>
      </c>
      <c r="BE41" s="480">
        <v>173.06399999999999</v>
      </c>
      <c r="BF41" s="480">
        <v>180.886</v>
      </c>
      <c r="BG41" s="480">
        <v>177.78</v>
      </c>
      <c r="BH41" s="480">
        <v>172.53399999999999</v>
      </c>
      <c r="BI41" s="480">
        <v>182.262</v>
      </c>
      <c r="BJ41" s="480">
        <v>190.80199999999999</v>
      </c>
      <c r="BK41" s="480">
        <v>192.79900000000001</v>
      </c>
      <c r="BL41" s="480">
        <v>189.90700000000001</v>
      </c>
      <c r="BM41" s="480">
        <v>173.99700000000001</v>
      </c>
      <c r="BN41" s="480">
        <v>171.935</v>
      </c>
      <c r="BO41" s="480">
        <v>158.95699999999999</v>
      </c>
      <c r="BP41" s="480">
        <v>161.04</v>
      </c>
      <c r="BQ41" s="480">
        <v>160.19900000000001</v>
      </c>
      <c r="BR41" s="480">
        <v>156.078</v>
      </c>
      <c r="BS41" s="480">
        <v>161.17699999999999</v>
      </c>
      <c r="BT41" s="480">
        <v>149.63499999999999</v>
      </c>
      <c r="BU41" s="480">
        <v>134.53299999999999</v>
      </c>
      <c r="BV41" s="480">
        <v>135.87899999999999</v>
      </c>
      <c r="BW41" s="480">
        <v>127.396</v>
      </c>
      <c r="BX41" s="480">
        <v>118.313</v>
      </c>
      <c r="BY41" s="480">
        <v>125.09100000000001</v>
      </c>
      <c r="BZ41" s="480">
        <v>130.66300000000001</v>
      </c>
      <c r="CA41" s="480">
        <v>142.13499999999999</v>
      </c>
      <c r="CB41" s="480">
        <v>135.148</v>
      </c>
      <c r="CC41" s="480">
        <v>124.895</v>
      </c>
      <c r="CD41" s="480">
        <v>121.98699999999999</v>
      </c>
      <c r="CE41" s="480">
        <v>118.313</v>
      </c>
      <c r="CF41" s="480">
        <v>111.09</v>
      </c>
      <c r="CG41" s="480">
        <v>113.944</v>
      </c>
    </row>
    <row r="42" spans="2:85">
      <c r="B42" s="456">
        <v>39</v>
      </c>
      <c r="D42" s="6" t="s">
        <v>1618</v>
      </c>
      <c r="E42" s="421">
        <f>IFERROR(('Consumption Input'!E43-'Consumption Input Diff.'!E154)/'Consumption Input Diff.'!E154,"NA")</f>
        <v>0</v>
      </c>
      <c r="F42" s="421">
        <f>IFERROR(('Consumption Input'!F43-'Consumption Input Diff.'!F154)/'Consumption Input Diff.'!F154,"NA")</f>
        <v>0</v>
      </c>
      <c r="G42" s="421">
        <f>IFERROR(('Consumption Input'!G43-'Consumption Input Diff.'!G154)/'Consumption Input Diff.'!G154,"NA")</f>
        <v>0</v>
      </c>
      <c r="H42" s="421">
        <f>IFERROR(('Consumption Input'!H43-'Consumption Input Diff.'!H154)/'Consumption Input Diff.'!H154,"NA")</f>
        <v>0</v>
      </c>
      <c r="I42" s="421">
        <f>IFERROR(('Consumption Input'!I43-'Consumption Input Diff.'!I154)/'Consumption Input Diff.'!I154,"NA")</f>
        <v>0</v>
      </c>
      <c r="J42" s="421">
        <f>IFERROR(('Consumption Input'!J43-'Consumption Input Diff.'!J154)/'Consumption Input Diff.'!J154,"NA")</f>
        <v>0</v>
      </c>
      <c r="K42" s="421">
        <f>IFERROR(('Consumption Input'!K43-'Consumption Input Diff.'!K154)/'Consumption Input Diff.'!K154,"NA")</f>
        <v>0</v>
      </c>
      <c r="L42" s="421">
        <f>IFERROR(('Consumption Input'!L43-'Consumption Input Diff.'!L154)/'Consumption Input Diff.'!L154,"NA")</f>
        <v>0</v>
      </c>
      <c r="M42" s="421">
        <f>IFERROR(('Consumption Input'!M43-'Consumption Input Diff.'!M154)/'Consumption Input Diff.'!M154,"NA")</f>
        <v>0</v>
      </c>
      <c r="N42" s="421">
        <f>IFERROR(('Consumption Input'!N43-'Consumption Input Diff.'!N154)/'Consumption Input Diff.'!N154,"NA")</f>
        <v>0</v>
      </c>
      <c r="O42" s="421">
        <f>IFERROR(('Consumption Input'!O43-'Consumption Input Diff.'!O154)/'Consumption Input Diff.'!O154,"NA")</f>
        <v>0</v>
      </c>
      <c r="P42" s="421">
        <f>IFERROR(('Consumption Input'!P43-'Consumption Input Diff.'!P154)/'Consumption Input Diff.'!P154,"NA")</f>
        <v>0</v>
      </c>
      <c r="Q42" s="421">
        <f>IFERROR(('Consumption Input'!Q43-'Consumption Input Diff.'!Q154)/'Consumption Input Diff.'!Q154,"NA")</f>
        <v>0</v>
      </c>
      <c r="R42" s="421">
        <f>IFERROR(('Consumption Input'!R43-'Consumption Input Diff.'!R154)/'Consumption Input Diff.'!R154,"NA")</f>
        <v>0</v>
      </c>
      <c r="S42" s="421">
        <f>IFERROR(('Consumption Input'!S43-'Consumption Input Diff.'!S154)/'Consumption Input Diff.'!S154,"NA")</f>
        <v>0</v>
      </c>
      <c r="T42" s="421">
        <f>IFERROR(('Consumption Input'!T43-'Consumption Input Diff.'!T154)/'Consumption Input Diff.'!T154,"NA")</f>
        <v>0</v>
      </c>
      <c r="U42" s="421">
        <f>IFERROR(('Consumption Input'!U43-'Consumption Input Diff.'!U154)/'Consumption Input Diff.'!U154,"NA")</f>
        <v>0</v>
      </c>
      <c r="V42" s="421">
        <f>IFERROR(('Consumption Input'!V43-'Consumption Input Diff.'!V154)/'Consumption Input Diff.'!V154,"NA")</f>
        <v>0</v>
      </c>
      <c r="W42" s="421">
        <f>IFERROR(('Consumption Input'!W43-'Consumption Input Diff.'!W154)/'Consumption Input Diff.'!W154,"NA")</f>
        <v>0</v>
      </c>
      <c r="X42" s="421">
        <f>IFERROR(('Consumption Input'!X43-'Consumption Input Diff.'!X154)/'Consumption Input Diff.'!X154,"NA")</f>
        <v>0</v>
      </c>
      <c r="Y42" s="421">
        <f>IFERROR(('Consumption Input'!Y43-'Consumption Input Diff.'!Y154)/'Consumption Input Diff.'!Y154,"NA")</f>
        <v>0</v>
      </c>
      <c r="Z42" s="421">
        <f>IFERROR(('Consumption Input'!Z43-'Consumption Input Diff.'!Z154)/'Consumption Input Diff.'!Z154,"NA")</f>
        <v>0</v>
      </c>
      <c r="AA42" s="421">
        <f>IFERROR(('Consumption Input'!AA43-'Consumption Input Diff.'!AA154)/'Consumption Input Diff.'!AA154,"NA")</f>
        <v>0</v>
      </c>
      <c r="AB42" s="421">
        <f>IFERROR(('Consumption Input'!AB43-'Consumption Input Diff.'!AB154)/'Consumption Input Diff.'!AB154,"NA")</f>
        <v>0</v>
      </c>
      <c r="AC42" s="421">
        <f>IFERROR(('Consumption Input'!AC43-'Consumption Input Diff.'!AC154)/'Consumption Input Diff.'!AC154,"NA")</f>
        <v>0</v>
      </c>
      <c r="AD42" s="421">
        <f>IFERROR(('Consumption Input'!AD43-'Consumption Input Diff.'!AD154)/'Consumption Input Diff.'!AD154,"NA")</f>
        <v>0</v>
      </c>
      <c r="AE42" s="421">
        <f>IFERROR(('Consumption Input'!AE43-'Consumption Input Diff.'!AE154)/'Consumption Input Diff.'!AE154,"NA")</f>
        <v>0</v>
      </c>
      <c r="AF42" s="421">
        <f>IFERROR(('Consumption Input'!AF43-'Consumption Input Diff.'!AF154)/'Consumption Input Diff.'!AF154,"NA")</f>
        <v>0</v>
      </c>
      <c r="AG42" s="421">
        <f>IFERROR(('Consumption Input'!AG43-'Consumption Input Diff.'!AG154)/'Consumption Input Diff.'!AG154,"NA")</f>
        <v>0</v>
      </c>
      <c r="AH42" s="421">
        <f>IFERROR(('Consumption Input'!AH43-'Consumption Input Diff.'!AH154)/'Consumption Input Diff.'!AH154,"NA")</f>
        <v>0</v>
      </c>
      <c r="AI42" s="421">
        <f>IFERROR(('Consumption Input'!AI43-'Consumption Input Diff.'!AI154)/'Consumption Input Diff.'!AI154,"NA")</f>
        <v>0</v>
      </c>
      <c r="AJ42" s="421">
        <f>IFERROR(('Consumption Input'!AJ43-'Consumption Input Diff.'!AJ154)/'Consumption Input Diff.'!AJ154,"NA")</f>
        <v>0</v>
      </c>
      <c r="AK42" s="5">
        <f>'Consumption Input'!V43-V154</f>
        <v>0</v>
      </c>
      <c r="AL42" s="5">
        <f>'Consumption Input'!W43-W154</f>
        <v>0</v>
      </c>
      <c r="AM42" s="5">
        <f>'Consumption Input'!X43-X154</f>
        <v>0</v>
      </c>
      <c r="AN42" s="5">
        <f>'Consumption Input'!Y43-Y154</f>
        <v>0</v>
      </c>
      <c r="AO42" s="5">
        <f>'Consumption Input'!Z43-Z154</f>
        <v>0</v>
      </c>
      <c r="AP42" s="5">
        <f>'Consumption Input'!AA43-AA154</f>
        <v>0</v>
      </c>
      <c r="AQ42" s="5">
        <f>'Consumption Input'!AB43-AB154</f>
        <v>0</v>
      </c>
      <c r="AR42" s="5">
        <f>'Consumption Input'!AC43-AC154</f>
        <v>0</v>
      </c>
      <c r="AS42" s="5">
        <f>'Consumption Input'!AD43-AD154</f>
        <v>0</v>
      </c>
      <c r="AT42" s="5">
        <f>'Consumption Input'!AE43-AE154</f>
        <v>0</v>
      </c>
      <c r="AU42" s="5">
        <f>'Consumption Input'!AF43-AF154</f>
        <v>0</v>
      </c>
      <c r="AV42" s="5">
        <f>'Consumption Input'!AG43-AG154</f>
        <v>0</v>
      </c>
      <c r="AW42" s="5">
        <f>'Consumption Input'!AH43-AH154</f>
        <v>0</v>
      </c>
      <c r="AX42" s="5">
        <f>'Consumption Input'!AI43-AI154</f>
        <v>0</v>
      </c>
      <c r="AY42" s="5">
        <f>'Consumption Input'!AJ43-AJ154</f>
        <v>0</v>
      </c>
      <c r="AZ42" s="21">
        <v>9</v>
      </c>
      <c r="BA42" s="6" t="s">
        <v>1617</v>
      </c>
      <c r="BB42" s="480">
        <v>125.15810999999999</v>
      </c>
      <c r="BC42" s="480">
        <v>147.00839999999999</v>
      </c>
      <c r="BD42" s="480">
        <v>161.27265</v>
      </c>
      <c r="BE42" s="480">
        <v>166.14213000000001</v>
      </c>
      <c r="BF42" s="480">
        <v>169.36457999999999</v>
      </c>
      <c r="BG42" s="480">
        <v>168.96264000000002</v>
      </c>
      <c r="BH42" s="480">
        <v>177.49578</v>
      </c>
      <c r="BI42" s="480">
        <v>164.45814000000001</v>
      </c>
      <c r="BJ42" s="480">
        <v>147.00609</v>
      </c>
      <c r="BK42" s="480">
        <v>182.48769000000001</v>
      </c>
      <c r="BL42" s="480">
        <v>171.57987</v>
      </c>
      <c r="BM42" s="480">
        <v>131.58914999999999</v>
      </c>
      <c r="BN42" s="480">
        <v>111.92180999999999</v>
      </c>
      <c r="BO42" s="480">
        <v>110.41800000000001</v>
      </c>
      <c r="BP42" s="480">
        <v>111.22188000000001</v>
      </c>
      <c r="BQ42" s="480">
        <v>98.119559999999993</v>
      </c>
      <c r="BR42" s="480">
        <v>70.053060000000002</v>
      </c>
      <c r="BS42" s="480">
        <v>89.681129999999996</v>
      </c>
      <c r="BT42" s="480">
        <v>76.523370000000014</v>
      </c>
      <c r="BU42" s="480">
        <v>63.767550000000007</v>
      </c>
      <c r="BV42" s="480">
        <v>77.749979999999994</v>
      </c>
      <c r="BW42" s="480">
        <v>27.338850000000001</v>
      </c>
      <c r="BX42" s="480">
        <v>42.210630000000002</v>
      </c>
      <c r="BY42" s="480">
        <v>47.110140000000001</v>
      </c>
      <c r="BZ42" s="480">
        <v>44.194920000000003</v>
      </c>
      <c r="CA42" s="480">
        <v>80.233230000000006</v>
      </c>
      <c r="CB42" s="480">
        <v>56.079870000000007</v>
      </c>
      <c r="CC42" s="480">
        <v>86.370900000000006</v>
      </c>
      <c r="CD42" s="480">
        <v>111.84558</v>
      </c>
      <c r="CE42" s="480">
        <v>166.62954000000002</v>
      </c>
      <c r="CF42" s="480">
        <v>176.46782999999999</v>
      </c>
      <c r="CG42" s="480">
        <v>217.11228</v>
      </c>
    </row>
    <row r="43" spans="2:85">
      <c r="B43" s="456">
        <v>40</v>
      </c>
      <c r="D43" s="6" t="s">
        <v>1619</v>
      </c>
      <c r="E43" s="421">
        <f>IFERROR(('Consumption Input'!E44-'Consumption Input Diff.'!E155)/'Consumption Input Diff.'!E155,"NA")</f>
        <v>0</v>
      </c>
      <c r="F43" s="421">
        <f>IFERROR(('Consumption Input'!F44-'Consumption Input Diff.'!F155)/'Consumption Input Diff.'!F155,"NA")</f>
        <v>0</v>
      </c>
      <c r="G43" s="421">
        <f>IFERROR(('Consumption Input'!G44-'Consumption Input Diff.'!G155)/'Consumption Input Diff.'!G155,"NA")</f>
        <v>0</v>
      </c>
      <c r="H43" s="421">
        <f>IFERROR(('Consumption Input'!H44-'Consumption Input Diff.'!H155)/'Consumption Input Diff.'!H155,"NA")</f>
        <v>0</v>
      </c>
      <c r="I43" s="421">
        <f>IFERROR(('Consumption Input'!I44-'Consumption Input Diff.'!I155)/'Consumption Input Diff.'!I155,"NA")</f>
        <v>0</v>
      </c>
      <c r="J43" s="421">
        <f>IFERROR(('Consumption Input'!J44-'Consumption Input Diff.'!J155)/'Consumption Input Diff.'!J155,"NA")</f>
        <v>0</v>
      </c>
      <c r="K43" s="421">
        <f>IFERROR(('Consumption Input'!K44-'Consumption Input Diff.'!K155)/'Consumption Input Diff.'!K155,"NA")</f>
        <v>0</v>
      </c>
      <c r="L43" s="421">
        <f>IFERROR(('Consumption Input'!L44-'Consumption Input Diff.'!L155)/'Consumption Input Diff.'!L155,"NA")</f>
        <v>0</v>
      </c>
      <c r="M43" s="421">
        <f>IFERROR(('Consumption Input'!M44-'Consumption Input Diff.'!M155)/'Consumption Input Diff.'!M155,"NA")</f>
        <v>0</v>
      </c>
      <c r="N43" s="421">
        <f>IFERROR(('Consumption Input'!N44-'Consumption Input Diff.'!N155)/'Consumption Input Diff.'!N155,"NA")</f>
        <v>0</v>
      </c>
      <c r="O43" s="421">
        <f>IFERROR(('Consumption Input'!O44-'Consumption Input Diff.'!O155)/'Consumption Input Diff.'!O155,"NA")</f>
        <v>0</v>
      </c>
      <c r="P43" s="421">
        <f>IFERROR(('Consumption Input'!P44-'Consumption Input Diff.'!P155)/'Consumption Input Diff.'!P155,"NA")</f>
        <v>0</v>
      </c>
      <c r="Q43" s="421">
        <f>IFERROR(('Consumption Input'!Q44-'Consumption Input Diff.'!Q155)/'Consumption Input Diff.'!Q155,"NA")</f>
        <v>0</v>
      </c>
      <c r="R43" s="421">
        <f>IFERROR(('Consumption Input'!R44-'Consumption Input Diff.'!R155)/'Consumption Input Diff.'!R155,"NA")</f>
        <v>0</v>
      </c>
      <c r="S43" s="421">
        <f>IFERROR(('Consumption Input'!S44-'Consumption Input Diff.'!S155)/'Consumption Input Diff.'!S155,"NA")</f>
        <v>0</v>
      </c>
      <c r="T43" s="421">
        <f>IFERROR(('Consumption Input'!T44-'Consumption Input Diff.'!T155)/'Consumption Input Diff.'!T155,"NA")</f>
        <v>0</v>
      </c>
      <c r="U43" s="421">
        <f>IFERROR(('Consumption Input'!U44-'Consumption Input Diff.'!U155)/'Consumption Input Diff.'!U155,"NA")</f>
        <v>0</v>
      </c>
      <c r="V43" s="421">
        <f>IFERROR(('Consumption Input'!V44-'Consumption Input Diff.'!V155)/'Consumption Input Diff.'!V155,"NA")</f>
        <v>0</v>
      </c>
      <c r="W43" s="421">
        <f>IFERROR(('Consumption Input'!W44-'Consumption Input Diff.'!W155)/'Consumption Input Diff.'!W155,"NA")</f>
        <v>0</v>
      </c>
      <c r="X43" s="421">
        <f>IFERROR(('Consumption Input'!X44-'Consumption Input Diff.'!X155)/'Consumption Input Diff.'!X155,"NA")</f>
        <v>0</v>
      </c>
      <c r="Y43" s="421">
        <f>IFERROR(('Consumption Input'!Y44-'Consumption Input Diff.'!Y155)/'Consumption Input Diff.'!Y155,"NA")</f>
        <v>0</v>
      </c>
      <c r="Z43" s="421">
        <f>IFERROR(('Consumption Input'!Z44-'Consumption Input Diff.'!Z155)/'Consumption Input Diff.'!Z155,"NA")</f>
        <v>0</v>
      </c>
      <c r="AA43" s="421">
        <f>IFERROR(('Consumption Input'!AA44-'Consumption Input Diff.'!AA155)/'Consumption Input Diff.'!AA155,"NA")</f>
        <v>0</v>
      </c>
      <c r="AB43" s="421">
        <f>IFERROR(('Consumption Input'!AB44-'Consumption Input Diff.'!AB155)/'Consumption Input Diff.'!AB155,"NA")</f>
        <v>0</v>
      </c>
      <c r="AC43" s="421">
        <f>IFERROR(('Consumption Input'!AC44-'Consumption Input Diff.'!AC155)/'Consumption Input Diff.'!AC155,"NA")</f>
        <v>0</v>
      </c>
      <c r="AD43" s="421">
        <f>IFERROR(('Consumption Input'!AD44-'Consumption Input Diff.'!AD155)/'Consumption Input Diff.'!AD155,"NA")</f>
        <v>0</v>
      </c>
      <c r="AE43" s="421">
        <f>IFERROR(('Consumption Input'!AE44-'Consumption Input Diff.'!AE155)/'Consumption Input Diff.'!AE155,"NA")</f>
        <v>0</v>
      </c>
      <c r="AF43" s="421">
        <f>IFERROR(('Consumption Input'!AF44-'Consumption Input Diff.'!AF155)/'Consumption Input Diff.'!AF155,"NA")</f>
        <v>0</v>
      </c>
      <c r="AG43" s="421">
        <f>IFERROR(('Consumption Input'!AG44-'Consumption Input Diff.'!AG155)/'Consumption Input Diff.'!AG155,"NA")</f>
        <v>0</v>
      </c>
      <c r="AH43" s="421">
        <f>IFERROR(('Consumption Input'!AH44-'Consumption Input Diff.'!AH155)/'Consumption Input Diff.'!AH155,"NA")</f>
        <v>0</v>
      </c>
      <c r="AI43" s="421">
        <f>IFERROR(('Consumption Input'!AI44-'Consumption Input Diff.'!AI155)/'Consumption Input Diff.'!AI155,"NA")</f>
        <v>0</v>
      </c>
      <c r="AJ43" s="421">
        <f>IFERROR(('Consumption Input'!AJ44-'Consumption Input Diff.'!AJ155)/'Consumption Input Diff.'!AJ155,"NA")</f>
        <v>0</v>
      </c>
      <c r="AK43" s="5">
        <f>'Consumption Input'!V44-V155</f>
        <v>0</v>
      </c>
      <c r="AL43" s="5">
        <f>'Consumption Input'!W44-W155</f>
        <v>0</v>
      </c>
      <c r="AM43" s="5">
        <f>'Consumption Input'!X44-X155</f>
        <v>0</v>
      </c>
      <c r="AN43" s="5">
        <f>'Consumption Input'!Y44-Y155</f>
        <v>0</v>
      </c>
      <c r="AO43" s="5">
        <f>'Consumption Input'!Z44-Z155</f>
        <v>0</v>
      </c>
      <c r="AP43" s="5">
        <f>'Consumption Input'!AA44-AA155</f>
        <v>0</v>
      </c>
      <c r="AQ43" s="5">
        <f>'Consumption Input'!AB44-AB155</f>
        <v>0</v>
      </c>
      <c r="AR43" s="5">
        <f>'Consumption Input'!AC44-AC155</f>
        <v>0</v>
      </c>
      <c r="AS43" s="5">
        <f>'Consumption Input'!AD44-AD155</f>
        <v>0</v>
      </c>
      <c r="AT43" s="5">
        <f>'Consumption Input'!AE44-AE155</f>
        <v>0</v>
      </c>
      <c r="AU43" s="5">
        <f>'Consumption Input'!AF44-AF155</f>
        <v>0</v>
      </c>
      <c r="AV43" s="5">
        <f>'Consumption Input'!AG44-AG155</f>
        <v>0</v>
      </c>
      <c r="AW43" s="5">
        <f>'Consumption Input'!AH44-AH155</f>
        <v>0</v>
      </c>
      <c r="AX43" s="5">
        <f>'Consumption Input'!AI44-AI155</f>
        <v>0</v>
      </c>
      <c r="AY43" s="5">
        <f>'Consumption Input'!AJ44-AJ155</f>
        <v>0</v>
      </c>
      <c r="AZ43" s="21">
        <v>10</v>
      </c>
      <c r="BA43" s="6" t="s">
        <v>1892</v>
      </c>
      <c r="BB43" s="480">
        <v>347.800704</v>
      </c>
      <c r="BC43" s="480">
        <v>298.94707199999999</v>
      </c>
      <c r="BD43" s="480">
        <v>377.12652800000001</v>
      </c>
      <c r="BE43" s="480">
        <v>350.59264000000002</v>
      </c>
      <c r="BF43" s="480">
        <v>398.33894400000003</v>
      </c>
      <c r="BG43" s="480">
        <v>372.96486399999992</v>
      </c>
      <c r="BH43" s="480">
        <v>479.31033600000001</v>
      </c>
      <c r="BI43" s="480">
        <v>536.37708799999996</v>
      </c>
      <c r="BJ43" s="480">
        <v>583.99219200000005</v>
      </c>
      <c r="BK43" s="480">
        <v>502.07615999999996</v>
      </c>
      <c r="BL43" s="480">
        <v>613.53318400000001</v>
      </c>
      <c r="BM43" s="480">
        <v>493.71609599999999</v>
      </c>
      <c r="BN43" s="480">
        <v>582.55423999999994</v>
      </c>
      <c r="BO43" s="480">
        <v>612.95590400000003</v>
      </c>
      <c r="BP43" s="480">
        <v>749.43014400000004</v>
      </c>
      <c r="BQ43" s="480">
        <v>698.66624000000002</v>
      </c>
      <c r="BR43" s="480">
        <v>628.85209599999985</v>
      </c>
      <c r="BS43" s="480">
        <v>562.45439999999985</v>
      </c>
      <c r="BT43" s="480">
        <v>477.17439999999999</v>
      </c>
      <c r="BU43" s="480">
        <v>471.868672</v>
      </c>
      <c r="BV43" s="480">
        <v>490.57254399999999</v>
      </c>
      <c r="BW43" s="480">
        <v>487.31878399999999</v>
      </c>
      <c r="BX43" s="480">
        <v>453.92051199999997</v>
      </c>
      <c r="BY43" s="480">
        <v>517.83590400000003</v>
      </c>
      <c r="BZ43" s="480">
        <v>442.60582399999998</v>
      </c>
      <c r="CA43" s="480">
        <v>428.05836799999997</v>
      </c>
      <c r="CB43" s="480">
        <v>420.02368000000001</v>
      </c>
      <c r="CC43" s="480">
        <v>436.17702400000002</v>
      </c>
      <c r="CD43" s="480">
        <v>447.08761600000003</v>
      </c>
      <c r="CE43" s="480">
        <v>396.69107200000002</v>
      </c>
      <c r="CF43" s="480">
        <v>354.60736000000003</v>
      </c>
      <c r="CG43" s="480">
        <v>354.81727999999993</v>
      </c>
    </row>
    <row r="44" spans="2:85">
      <c r="B44" s="456">
        <v>41</v>
      </c>
      <c r="D44" s="6" t="s">
        <v>1620</v>
      </c>
      <c r="E44" s="421">
        <f>IFERROR(('Consumption Input'!E45-'Consumption Input Diff.'!E156)/'Consumption Input Diff.'!E156,"NA")</f>
        <v>-1</v>
      </c>
      <c r="F44" s="421">
        <f>IFERROR(('Consumption Input'!F45-'Consumption Input Diff.'!F156)/'Consumption Input Diff.'!F156,"NA")</f>
        <v>-1</v>
      </c>
      <c r="G44" s="421">
        <f>IFERROR(('Consumption Input'!G45-'Consumption Input Diff.'!G156)/'Consumption Input Diff.'!G156,"NA")</f>
        <v>-1</v>
      </c>
      <c r="H44" s="421">
        <f>IFERROR(('Consumption Input'!H45-'Consumption Input Diff.'!H156)/'Consumption Input Diff.'!H156,"NA")</f>
        <v>-1</v>
      </c>
      <c r="I44" s="421">
        <f>IFERROR(('Consumption Input'!I45-'Consumption Input Diff.'!I156)/'Consumption Input Diff.'!I156,"NA")</f>
        <v>-1</v>
      </c>
      <c r="J44" s="421">
        <f>IFERROR(('Consumption Input'!J45-'Consumption Input Diff.'!J156)/'Consumption Input Diff.'!J156,"NA")</f>
        <v>-1</v>
      </c>
      <c r="K44" s="421">
        <f>IFERROR(('Consumption Input'!K45-'Consumption Input Diff.'!K156)/'Consumption Input Diff.'!K156,"NA")</f>
        <v>-1</v>
      </c>
      <c r="L44" s="421">
        <f>IFERROR(('Consumption Input'!L45-'Consumption Input Diff.'!L156)/'Consumption Input Diff.'!L156,"NA")</f>
        <v>-1</v>
      </c>
      <c r="M44" s="421">
        <f>IFERROR(('Consumption Input'!M45-'Consumption Input Diff.'!M156)/'Consumption Input Diff.'!M156,"NA")</f>
        <v>-1</v>
      </c>
      <c r="N44" s="421">
        <f>IFERROR(('Consumption Input'!N45-'Consumption Input Diff.'!N156)/'Consumption Input Diff.'!N156,"NA")</f>
        <v>-1</v>
      </c>
      <c r="O44" s="421">
        <f>IFERROR(('Consumption Input'!O45-'Consumption Input Diff.'!O156)/'Consumption Input Diff.'!O156,"NA")</f>
        <v>-1</v>
      </c>
      <c r="P44" s="421">
        <f>IFERROR(('Consumption Input'!P45-'Consumption Input Diff.'!P156)/'Consumption Input Diff.'!P156,"NA")</f>
        <v>-1</v>
      </c>
      <c r="Q44" s="421">
        <f>IFERROR(('Consumption Input'!Q45-'Consumption Input Diff.'!Q156)/'Consumption Input Diff.'!Q156,"NA")</f>
        <v>-1</v>
      </c>
      <c r="R44" s="421">
        <f>IFERROR(('Consumption Input'!R45-'Consumption Input Diff.'!R156)/'Consumption Input Diff.'!R156,"NA")</f>
        <v>-1</v>
      </c>
      <c r="S44" s="421">
        <f>IFERROR(('Consumption Input'!S45-'Consumption Input Diff.'!S156)/'Consumption Input Diff.'!S156,"NA")</f>
        <v>-1</v>
      </c>
      <c r="T44" s="421">
        <f>IFERROR(('Consumption Input'!T45-'Consumption Input Diff.'!T156)/'Consumption Input Diff.'!T156,"NA")</f>
        <v>-1</v>
      </c>
      <c r="U44" s="421">
        <f>IFERROR(('Consumption Input'!U45-'Consumption Input Diff.'!U156)/'Consumption Input Diff.'!U156,"NA")</f>
        <v>-1</v>
      </c>
      <c r="V44" s="421">
        <f>IFERROR(('Consumption Input'!V45-'Consumption Input Diff.'!V156)/'Consumption Input Diff.'!V156,"NA")</f>
        <v>-1</v>
      </c>
      <c r="W44" s="421">
        <f>IFERROR(('Consumption Input'!W45-'Consumption Input Diff.'!W156)/'Consumption Input Diff.'!W156,"NA")</f>
        <v>-1</v>
      </c>
      <c r="X44" s="421">
        <f>IFERROR(('Consumption Input'!X45-'Consumption Input Diff.'!X156)/'Consumption Input Diff.'!X156,"NA")</f>
        <v>-1</v>
      </c>
      <c r="Y44" s="421">
        <f>IFERROR(('Consumption Input'!Y45-'Consumption Input Diff.'!Y156)/'Consumption Input Diff.'!Y156,"NA")</f>
        <v>-1</v>
      </c>
      <c r="Z44" s="421">
        <f>IFERROR(('Consumption Input'!Z45-'Consumption Input Diff.'!Z156)/'Consumption Input Diff.'!Z156,"NA")</f>
        <v>-1</v>
      </c>
      <c r="AA44" s="421">
        <f>IFERROR(('Consumption Input'!AA45-'Consumption Input Diff.'!AA156)/'Consumption Input Diff.'!AA156,"NA")</f>
        <v>-1</v>
      </c>
      <c r="AB44" s="421">
        <f>IFERROR(('Consumption Input'!AB45-'Consumption Input Diff.'!AB156)/'Consumption Input Diff.'!AB156,"NA")</f>
        <v>-1</v>
      </c>
      <c r="AC44" s="421">
        <f>IFERROR(('Consumption Input'!AC45-'Consumption Input Diff.'!AC156)/'Consumption Input Diff.'!AC156,"NA")</f>
        <v>-1</v>
      </c>
      <c r="AD44" s="421">
        <f>IFERROR(('Consumption Input'!AD45-'Consumption Input Diff.'!AD156)/'Consumption Input Diff.'!AD156,"NA")</f>
        <v>-1</v>
      </c>
      <c r="AE44" s="421">
        <f>IFERROR(('Consumption Input'!AE45-'Consumption Input Diff.'!AE156)/'Consumption Input Diff.'!AE156,"NA")</f>
        <v>-1</v>
      </c>
      <c r="AF44" s="421">
        <f>IFERROR(('Consumption Input'!AF45-'Consumption Input Diff.'!AF156)/'Consumption Input Diff.'!AF156,"NA")</f>
        <v>-1</v>
      </c>
      <c r="AG44" s="421">
        <f>IFERROR(('Consumption Input'!AG45-'Consumption Input Diff.'!AG156)/'Consumption Input Diff.'!AG156,"NA")</f>
        <v>-1</v>
      </c>
      <c r="AH44" s="421">
        <f>IFERROR(('Consumption Input'!AH45-'Consumption Input Diff.'!AH156)/'Consumption Input Diff.'!AH156,"NA")</f>
        <v>-1</v>
      </c>
      <c r="AI44" s="421">
        <f>IFERROR(('Consumption Input'!AI45-'Consumption Input Diff.'!AI156)/'Consumption Input Diff.'!AI156,"NA")</f>
        <v>-1</v>
      </c>
      <c r="AJ44" s="421">
        <f>IFERROR(('Consumption Input'!AJ45-'Consumption Input Diff.'!AJ156)/'Consumption Input Diff.'!AJ156,"NA")</f>
        <v>-1</v>
      </c>
      <c r="AK44" s="5">
        <f>'Consumption Input'!V45-V156</f>
        <v>-65.187574999999995</v>
      </c>
      <c r="AL44" s="5">
        <f>'Consumption Input'!W45-W156</f>
        <v>53.718150000000001</v>
      </c>
      <c r="AM44" s="5">
        <f>'Consumption Input'!X45-X156</f>
        <v>77.792874999999995</v>
      </c>
      <c r="AN44" s="5">
        <f>'Consumption Input'!Y45-Y156</f>
        <v>-27.96</v>
      </c>
      <c r="AO44" s="5">
        <f>'Consumption Input'!Z45-Z156</f>
        <v>-56.123874999999998</v>
      </c>
      <c r="AP44" s="5">
        <f>'Consumption Input'!AA45-AA156</f>
        <v>-60.084874999999997</v>
      </c>
      <c r="AQ44" s="5">
        <f>'Consumption Input'!AB45-AB156</f>
        <v>-16.713066699999999</v>
      </c>
      <c r="AR44" s="5">
        <f>'Consumption Input'!AC45-AC156</f>
        <v>80.589975925000005</v>
      </c>
      <c r="AS44" s="5">
        <f>'Consumption Input'!AD45-AD156</f>
        <v>17.7906917</v>
      </c>
      <c r="AT44" s="5">
        <f>'Consumption Input'!AE45-AE156</f>
        <v>-8.5789784499999993</v>
      </c>
      <c r="AU44" s="5">
        <f>'Consumption Input'!AF45-AF156</f>
        <v>-76.367841174999995</v>
      </c>
      <c r="AV44" s="5">
        <f>'Consumption Input'!AG45-AG156</f>
        <v>-30.862160625000001</v>
      </c>
      <c r="AW44" s="5">
        <f>'Consumption Input'!AH45-AH156</f>
        <v>-135.91637929999999</v>
      </c>
      <c r="AX44" s="5">
        <f>'Consumption Input'!AI45-AI156</f>
        <v>-190.52798527499996</v>
      </c>
      <c r="AY44" s="5">
        <f>'Consumption Input'!AJ45-AJ156</f>
        <v>-49.021871900000001</v>
      </c>
      <c r="AZ44" s="21">
        <v>11</v>
      </c>
      <c r="BA44" s="6" t="s">
        <v>1893</v>
      </c>
      <c r="BB44" s="480">
        <v>753.92392500000005</v>
      </c>
      <c r="BC44" s="480">
        <v>827.29562499999997</v>
      </c>
      <c r="BD44" s="480">
        <v>814.51557500000001</v>
      </c>
      <c r="BE44" s="480">
        <v>844.07745</v>
      </c>
      <c r="BF44" s="480">
        <v>838.64272500000004</v>
      </c>
      <c r="BG44" s="480">
        <v>801.01322500000003</v>
      </c>
      <c r="BH44" s="480">
        <v>729.64532499999996</v>
      </c>
      <c r="BI44" s="480">
        <v>861.24372500000004</v>
      </c>
      <c r="BJ44" s="480">
        <v>818.66880000000003</v>
      </c>
      <c r="BK44" s="480">
        <v>811.14289999999994</v>
      </c>
      <c r="BL44" s="480">
        <v>722.15437499999985</v>
      </c>
      <c r="BM44" s="480">
        <v>662.45394999999996</v>
      </c>
      <c r="BN44" s="480">
        <v>632.06492500000002</v>
      </c>
      <c r="BO44" s="480">
        <v>699.37862500000006</v>
      </c>
      <c r="BP44" s="480">
        <v>779.48985000000005</v>
      </c>
      <c r="BQ44" s="480">
        <v>707.98215000000005</v>
      </c>
      <c r="BR44" s="480">
        <v>790.63890000000004</v>
      </c>
      <c r="BS44" s="480">
        <v>744.09132499999998</v>
      </c>
      <c r="BT44" s="480">
        <v>647.76329999999996</v>
      </c>
      <c r="BU44" s="480">
        <v>424.776475</v>
      </c>
      <c r="BV44" s="480">
        <v>452.52095000000003</v>
      </c>
      <c r="BW44" s="480">
        <v>388.52749999999997</v>
      </c>
      <c r="BX44" s="480">
        <v>287.24239999999998</v>
      </c>
      <c r="BY44" s="480">
        <v>223.91882499999997</v>
      </c>
      <c r="BZ44" s="480">
        <v>247.22465</v>
      </c>
      <c r="CA44" s="480">
        <v>229.03899999999999</v>
      </c>
      <c r="CB44" s="480">
        <v>222.45675</v>
      </c>
      <c r="CC44" s="480">
        <v>262.92885000000001</v>
      </c>
      <c r="CD44" s="480">
        <v>239.0813</v>
      </c>
      <c r="CE44" s="480">
        <v>234.08927499999999</v>
      </c>
      <c r="CF44" s="480">
        <v>217.01037500000001</v>
      </c>
      <c r="CG44" s="480">
        <v>216.89387500000001</v>
      </c>
    </row>
    <row r="45" spans="2:85">
      <c r="B45" s="456">
        <v>42</v>
      </c>
      <c r="D45" s="6" t="s">
        <v>1621</v>
      </c>
      <c r="E45" s="421">
        <f>IFERROR(('Consumption Input'!E46-'Consumption Input Diff.'!E157)/'Consumption Input Diff.'!E157,"NA")</f>
        <v>0</v>
      </c>
      <c r="F45" s="421">
        <f>IFERROR(('Consumption Input'!F46-'Consumption Input Diff.'!F157)/'Consumption Input Diff.'!F157,"NA")</f>
        <v>0</v>
      </c>
      <c r="G45" s="421">
        <f>IFERROR(('Consumption Input'!G46-'Consumption Input Diff.'!G157)/'Consumption Input Diff.'!G157,"NA")</f>
        <v>0</v>
      </c>
      <c r="H45" s="421">
        <f>IFERROR(('Consumption Input'!H46-'Consumption Input Diff.'!H157)/'Consumption Input Diff.'!H157,"NA")</f>
        <v>0</v>
      </c>
      <c r="I45" s="421">
        <f>IFERROR(('Consumption Input'!I46-'Consumption Input Diff.'!I157)/'Consumption Input Diff.'!I157,"NA")</f>
        <v>0</v>
      </c>
      <c r="J45" s="421">
        <f>IFERROR(('Consumption Input'!J46-'Consumption Input Diff.'!J157)/'Consumption Input Diff.'!J157,"NA")</f>
        <v>0</v>
      </c>
      <c r="K45" s="421">
        <f>IFERROR(('Consumption Input'!K46-'Consumption Input Diff.'!K157)/'Consumption Input Diff.'!K157,"NA")</f>
        <v>0</v>
      </c>
      <c r="L45" s="421">
        <f>IFERROR(('Consumption Input'!L46-'Consumption Input Diff.'!L157)/'Consumption Input Diff.'!L157,"NA")</f>
        <v>0</v>
      </c>
      <c r="M45" s="421">
        <f>IFERROR(('Consumption Input'!M46-'Consumption Input Diff.'!M157)/'Consumption Input Diff.'!M157,"NA")</f>
        <v>0</v>
      </c>
      <c r="N45" s="421">
        <f>IFERROR(('Consumption Input'!N46-'Consumption Input Diff.'!N157)/'Consumption Input Diff.'!N157,"NA")</f>
        <v>0</v>
      </c>
      <c r="O45" s="421">
        <f>IFERROR(('Consumption Input'!O46-'Consumption Input Diff.'!O157)/'Consumption Input Diff.'!O157,"NA")</f>
        <v>0</v>
      </c>
      <c r="P45" s="421">
        <f>IFERROR(('Consumption Input'!P46-'Consumption Input Diff.'!P157)/'Consumption Input Diff.'!P157,"NA")</f>
        <v>0</v>
      </c>
      <c r="Q45" s="421">
        <f>IFERROR(('Consumption Input'!Q46-'Consumption Input Diff.'!Q157)/'Consumption Input Diff.'!Q157,"NA")</f>
        <v>0</v>
      </c>
      <c r="R45" s="421">
        <f>IFERROR(('Consumption Input'!R46-'Consumption Input Diff.'!R157)/'Consumption Input Diff.'!R157,"NA")</f>
        <v>0</v>
      </c>
      <c r="S45" s="421">
        <f>IFERROR(('Consumption Input'!S46-'Consumption Input Diff.'!S157)/'Consumption Input Diff.'!S157,"NA")</f>
        <v>0</v>
      </c>
      <c r="T45" s="421">
        <f>IFERROR(('Consumption Input'!T46-'Consumption Input Diff.'!T157)/'Consumption Input Diff.'!T157,"NA")</f>
        <v>0</v>
      </c>
      <c r="U45" s="421">
        <f>IFERROR(('Consumption Input'!U46-'Consumption Input Diff.'!U157)/'Consumption Input Diff.'!U157,"NA")</f>
        <v>0</v>
      </c>
      <c r="V45" s="421">
        <f>IFERROR(('Consumption Input'!V46-'Consumption Input Diff.'!V157)/'Consumption Input Diff.'!V157,"NA")</f>
        <v>0</v>
      </c>
      <c r="W45" s="421">
        <f>IFERROR(('Consumption Input'!W46-'Consumption Input Diff.'!W157)/'Consumption Input Diff.'!W157,"NA")</f>
        <v>0</v>
      </c>
      <c r="X45" s="421">
        <f>IFERROR(('Consumption Input'!X46-'Consumption Input Diff.'!X157)/'Consumption Input Diff.'!X157,"NA")</f>
        <v>0</v>
      </c>
      <c r="Y45" s="421">
        <f>IFERROR(('Consumption Input'!Y46-'Consumption Input Diff.'!Y157)/'Consumption Input Diff.'!Y157,"NA")</f>
        <v>0</v>
      </c>
      <c r="Z45" s="421">
        <f>IFERROR(('Consumption Input'!Z46-'Consumption Input Diff.'!Z157)/'Consumption Input Diff.'!Z157,"NA")</f>
        <v>0</v>
      </c>
      <c r="AA45" s="421">
        <f>IFERROR(('Consumption Input'!AA46-'Consumption Input Diff.'!AA157)/'Consumption Input Diff.'!AA157,"NA")</f>
        <v>0</v>
      </c>
      <c r="AB45" s="421">
        <f>IFERROR(('Consumption Input'!AB46-'Consumption Input Diff.'!AB157)/'Consumption Input Diff.'!AB157,"NA")</f>
        <v>0</v>
      </c>
      <c r="AC45" s="421">
        <f>IFERROR(('Consumption Input'!AC46-'Consumption Input Diff.'!AC157)/'Consumption Input Diff.'!AC157,"NA")</f>
        <v>0</v>
      </c>
      <c r="AD45" s="421">
        <f>IFERROR(('Consumption Input'!AD46-'Consumption Input Diff.'!AD157)/'Consumption Input Diff.'!AD157,"NA")</f>
        <v>0</v>
      </c>
      <c r="AE45" s="421">
        <f>IFERROR(('Consumption Input'!AE46-'Consumption Input Diff.'!AE157)/'Consumption Input Diff.'!AE157,"NA")</f>
        <v>0</v>
      </c>
      <c r="AF45" s="421">
        <f>IFERROR(('Consumption Input'!AF46-'Consumption Input Diff.'!AF157)/'Consumption Input Diff.'!AF157,"NA")</f>
        <v>0</v>
      </c>
      <c r="AG45" s="421">
        <f>IFERROR(('Consumption Input'!AG46-'Consumption Input Diff.'!AG157)/'Consumption Input Diff.'!AG157,"NA")</f>
        <v>0</v>
      </c>
      <c r="AH45" s="421">
        <f>IFERROR(('Consumption Input'!AH46-'Consumption Input Diff.'!AH157)/'Consumption Input Diff.'!AH157,"NA")</f>
        <v>0</v>
      </c>
      <c r="AI45" s="421">
        <f>IFERROR(('Consumption Input'!AI46-'Consumption Input Diff.'!AI157)/'Consumption Input Diff.'!AI157,"NA")</f>
        <v>0</v>
      </c>
      <c r="AJ45" s="421">
        <f>IFERROR(('Consumption Input'!AJ46-'Consumption Input Diff.'!AJ157)/'Consumption Input Diff.'!AJ157,"NA")</f>
        <v>0</v>
      </c>
      <c r="AK45" s="5">
        <f>'Consumption Input'!V46-V157</f>
        <v>0</v>
      </c>
      <c r="AL45" s="5">
        <f>'Consumption Input'!W46-W157</f>
        <v>0</v>
      </c>
      <c r="AM45" s="5">
        <f>'Consumption Input'!X46-X157</f>
        <v>0</v>
      </c>
      <c r="AN45" s="5">
        <f>'Consumption Input'!Y46-Y157</f>
        <v>0</v>
      </c>
      <c r="AO45" s="5">
        <f>'Consumption Input'!Z46-Z157</f>
        <v>0</v>
      </c>
      <c r="AP45" s="5">
        <f>'Consumption Input'!AA46-AA157</f>
        <v>0</v>
      </c>
      <c r="AQ45" s="5">
        <f>'Consumption Input'!AB46-AB157</f>
        <v>0</v>
      </c>
      <c r="AR45" s="5">
        <f>'Consumption Input'!AC46-AC157</f>
        <v>0</v>
      </c>
      <c r="AS45" s="5">
        <f>'Consumption Input'!AD46-AD157</f>
        <v>0</v>
      </c>
      <c r="AT45" s="5">
        <f>'Consumption Input'!AE46-AE157</f>
        <v>0</v>
      </c>
      <c r="AU45" s="5">
        <f>'Consumption Input'!AF46-AF157</f>
        <v>0</v>
      </c>
      <c r="AV45" s="5">
        <f>'Consumption Input'!AG46-AG157</f>
        <v>0</v>
      </c>
      <c r="AW45" s="5">
        <f>'Consumption Input'!AH46-AH157</f>
        <v>0</v>
      </c>
      <c r="AX45" s="5">
        <f>'Consumption Input'!AI46-AI157</f>
        <v>0</v>
      </c>
      <c r="AY45" s="5">
        <f>'Consumption Input'!AJ46-AJ157</f>
        <v>0</v>
      </c>
      <c r="AZ45" s="21">
        <v>12</v>
      </c>
      <c r="BA45" s="6" t="s">
        <v>1618</v>
      </c>
      <c r="BB45" s="480">
        <v>36.726000000000091</v>
      </c>
      <c r="BC45" s="480">
        <v>40.632000000000005</v>
      </c>
      <c r="BD45" s="480">
        <v>28.54200000000003</v>
      </c>
      <c r="BE45" s="480">
        <v>45.630000000000088</v>
      </c>
      <c r="BF45" s="480">
        <v>35.37000000000004</v>
      </c>
      <c r="BG45" s="480">
        <v>47.903999999999805</v>
      </c>
      <c r="BH45" s="480">
        <v>2.159999999999985</v>
      </c>
      <c r="BI45" s="480">
        <v>12.113999999999985</v>
      </c>
      <c r="BJ45" s="480">
        <v>6.2039999999999154</v>
      </c>
      <c r="BK45" s="480">
        <v>23.022000000000041</v>
      </c>
      <c r="BL45" s="480">
        <v>16.980000000000114</v>
      </c>
      <c r="BM45" s="480">
        <v>49.265999999999934</v>
      </c>
      <c r="BN45" s="480">
        <v>61.722000000000023</v>
      </c>
      <c r="BO45" s="480">
        <v>59.015999999999899</v>
      </c>
      <c r="BP45" s="480">
        <v>62.856000000000094</v>
      </c>
      <c r="BQ45" s="480">
        <v>67.668000000000077</v>
      </c>
      <c r="BR45" s="480">
        <v>57.209999999999781</v>
      </c>
      <c r="BS45" s="480">
        <v>44.219999999999949</v>
      </c>
      <c r="BT45" s="480">
        <v>47.334000000000017</v>
      </c>
      <c r="BU45" s="480">
        <v>133.87199999999984</v>
      </c>
      <c r="BV45" s="480">
        <v>147.77069312812213</v>
      </c>
      <c r="BW45" s="480">
        <v>163.56713999999999</v>
      </c>
      <c r="BX45" s="480">
        <v>160.61969674331783</v>
      </c>
      <c r="BY45" s="480">
        <v>166.74568875089008</v>
      </c>
      <c r="BZ45" s="480">
        <v>164.53817096807006</v>
      </c>
      <c r="CA45" s="480">
        <v>162.16079406339975</v>
      </c>
      <c r="CB45" s="480">
        <v>166.11115754857593</v>
      </c>
      <c r="CC45" s="480">
        <v>163.84636925723936</v>
      </c>
      <c r="CD45" s="480">
        <v>166.88300781108319</v>
      </c>
      <c r="CE45" s="480">
        <v>158.73823037830232</v>
      </c>
      <c r="CF45" s="480">
        <v>145.41697993710437</v>
      </c>
      <c r="CG45" s="480">
        <v>152.81268515053802</v>
      </c>
    </row>
    <row r="46" spans="2:85">
      <c r="B46" s="456">
        <v>43</v>
      </c>
      <c r="C46" s="458" t="s">
        <v>1445</v>
      </c>
      <c r="D46" s="4"/>
      <c r="E46" s="462"/>
      <c r="F46" s="462"/>
      <c r="G46" s="462"/>
      <c r="H46" s="462"/>
      <c r="I46" s="462"/>
      <c r="J46" s="462"/>
      <c r="K46" s="462"/>
      <c r="L46" s="462"/>
      <c r="M46" s="462"/>
      <c r="N46" s="462"/>
      <c r="O46" s="462"/>
      <c r="P46" s="462"/>
      <c r="Q46" s="462"/>
      <c r="R46" s="462"/>
      <c r="S46" s="462"/>
      <c r="T46" s="462"/>
      <c r="U46" s="462"/>
      <c r="V46" s="462"/>
      <c r="W46" s="462"/>
      <c r="X46" s="462"/>
      <c r="Y46" s="462"/>
      <c r="Z46" s="462"/>
      <c r="AA46" s="462"/>
      <c r="AB46" s="462"/>
      <c r="AC46" s="462"/>
      <c r="AD46" s="462"/>
      <c r="AE46" s="462"/>
      <c r="AF46" s="462"/>
      <c r="AG46" s="462"/>
      <c r="AH46" s="462"/>
      <c r="AI46" s="462"/>
      <c r="AJ46" s="462"/>
      <c r="AK46" s="5"/>
      <c r="AL46" s="5"/>
      <c r="AM46" s="5"/>
      <c r="AN46" s="5"/>
      <c r="AO46" s="5"/>
      <c r="AP46" s="5"/>
      <c r="AQ46" s="5"/>
      <c r="AR46" s="5"/>
      <c r="AS46" s="5"/>
      <c r="AT46" s="5"/>
      <c r="AU46" s="5"/>
      <c r="AV46" s="5"/>
      <c r="AW46" s="5"/>
      <c r="AX46" s="5"/>
      <c r="AY46" s="5"/>
      <c r="AZ46" s="21">
        <v>13</v>
      </c>
      <c r="BA46" s="6" t="s">
        <v>1604</v>
      </c>
      <c r="BB46" s="480">
        <v>123.06334817514723</v>
      </c>
      <c r="BC46" s="480">
        <v>105.06134051999996</v>
      </c>
      <c r="BD46" s="480">
        <v>171.01352964211358</v>
      </c>
      <c r="BE46" s="480">
        <v>110.67020975747928</v>
      </c>
      <c r="BF46" s="480">
        <v>128.28867635803448</v>
      </c>
      <c r="BG46" s="480">
        <v>120.61074349815493</v>
      </c>
      <c r="BH46" s="480">
        <v>118.5905869373607</v>
      </c>
      <c r="BI46" s="480">
        <v>87.499823858914766</v>
      </c>
      <c r="BJ46" s="480">
        <v>150.76418520000007</v>
      </c>
      <c r="BK46" s="480">
        <v>215.9866516206726</v>
      </c>
      <c r="BL46" s="480">
        <v>98.722771036562733</v>
      </c>
      <c r="BM46" s="480">
        <v>174.28643426774994</v>
      </c>
      <c r="BN46" s="480">
        <v>145.81051577183675</v>
      </c>
      <c r="BO46" s="480">
        <v>122.83683504646952</v>
      </c>
      <c r="BP46" s="480">
        <v>218.28935787510309</v>
      </c>
      <c r="BQ46" s="480">
        <v>186.94181868530003</v>
      </c>
      <c r="BR46" s="480">
        <v>213.5899839965642</v>
      </c>
      <c r="BS46" s="480">
        <v>201.1547269133589</v>
      </c>
      <c r="BT46" s="480">
        <v>225.10882087824848</v>
      </c>
      <c r="BU46" s="480">
        <v>180.6926152492947</v>
      </c>
      <c r="BV46" s="480">
        <v>60.951921357330654</v>
      </c>
      <c r="BW46" s="480">
        <v>62.405128262155976</v>
      </c>
      <c r="BX46" s="480">
        <v>67.791519103521011</v>
      </c>
      <c r="BY46" s="480">
        <v>62.404493328103698</v>
      </c>
      <c r="BZ46" s="480">
        <v>61.364894639841161</v>
      </c>
      <c r="CA46" s="480">
        <v>62.521109549038684</v>
      </c>
      <c r="CB46" s="480">
        <v>61.243543376467009</v>
      </c>
      <c r="CC46" s="480">
        <v>57.021734077578316</v>
      </c>
      <c r="CD46" s="480">
        <v>58.860714737658327</v>
      </c>
      <c r="CE46" s="480">
        <v>56.436748170746554</v>
      </c>
      <c r="CF46" s="480">
        <v>46.243725640923849</v>
      </c>
      <c r="CG46" s="480">
        <v>48.061544731836854</v>
      </c>
    </row>
    <row r="47" spans="2:85">
      <c r="B47" s="456">
        <v>44</v>
      </c>
      <c r="D47" s="45" t="s">
        <v>1435</v>
      </c>
      <c r="E47" s="421"/>
      <c r="F47" s="421"/>
      <c r="G47" s="421"/>
      <c r="H47" s="421"/>
      <c r="I47" s="421"/>
      <c r="J47" s="421"/>
      <c r="K47" s="421"/>
      <c r="L47" s="421"/>
      <c r="M47" s="421"/>
      <c r="N47" s="421"/>
      <c r="O47" s="421"/>
      <c r="P47" s="421"/>
      <c r="Q47" s="421"/>
      <c r="R47" s="421"/>
      <c r="S47" s="421"/>
      <c r="T47" s="421"/>
      <c r="U47" s="421"/>
      <c r="V47" s="421"/>
      <c r="W47" s="421"/>
      <c r="X47" s="421"/>
      <c r="Y47" s="421"/>
      <c r="Z47" s="421"/>
      <c r="AA47" s="421"/>
      <c r="AB47" s="421"/>
      <c r="AC47" s="421"/>
      <c r="AD47" s="421"/>
      <c r="AE47" s="421"/>
      <c r="AF47" s="421"/>
      <c r="AG47" s="421"/>
      <c r="AH47" s="421"/>
      <c r="AI47" s="421"/>
      <c r="AJ47" s="421"/>
      <c r="AK47" s="5"/>
      <c r="AL47" s="5"/>
      <c r="AM47" s="5"/>
      <c r="AN47" s="5"/>
      <c r="AO47" s="5"/>
      <c r="AP47" s="5"/>
      <c r="AQ47" s="5"/>
      <c r="AR47" s="5"/>
      <c r="AS47" s="5"/>
      <c r="AT47" s="5"/>
      <c r="AU47" s="5"/>
      <c r="AV47" s="5"/>
      <c r="AW47" s="5"/>
      <c r="AX47" s="5"/>
      <c r="AY47" s="5"/>
      <c r="AZ47" s="21">
        <v>14</v>
      </c>
      <c r="BA47" s="6" t="s">
        <v>1894</v>
      </c>
      <c r="BB47" s="480">
        <v>107.090688</v>
      </c>
      <c r="BC47" s="480">
        <v>87.987967999999995</v>
      </c>
      <c r="BD47" s="480">
        <v>104.5664</v>
      </c>
      <c r="BE47" s="480">
        <v>104.582144</v>
      </c>
      <c r="BF47" s="480">
        <v>81.050111999999999</v>
      </c>
      <c r="BG47" s="480">
        <v>70.821759999999998</v>
      </c>
      <c r="BH47" s="480">
        <v>74.542591999999999</v>
      </c>
      <c r="BI47" s="480">
        <v>72.264960000000002</v>
      </c>
      <c r="BJ47" s="480">
        <v>107.274368</v>
      </c>
      <c r="BK47" s="480">
        <v>145.39583999999999</v>
      </c>
      <c r="BL47" s="480">
        <v>97.376639999999995</v>
      </c>
      <c r="BM47" s="480">
        <v>78.489087999999995</v>
      </c>
      <c r="BN47" s="480">
        <v>102.38848</v>
      </c>
      <c r="BO47" s="480">
        <v>80.483328</v>
      </c>
      <c r="BP47" s="480">
        <v>51.042048000000001</v>
      </c>
      <c r="BQ47" s="480">
        <v>62.512239487999999</v>
      </c>
      <c r="BR47" s="480">
        <v>70.050487680000003</v>
      </c>
      <c r="BS47" s="480">
        <v>78.037613055999998</v>
      </c>
      <c r="BT47" s="480">
        <v>84.885061759999999</v>
      </c>
      <c r="BU47" s="480">
        <v>46.170030464</v>
      </c>
      <c r="BV47" s="480">
        <v>26.102455167999999</v>
      </c>
      <c r="BW47" s="480">
        <v>22.614177792</v>
      </c>
      <c r="BX47" s="480">
        <v>14.715166335999998</v>
      </c>
      <c r="BY47" s="480">
        <v>100.016384</v>
      </c>
      <c r="BZ47" s="480">
        <v>106.11980800000001</v>
      </c>
      <c r="CA47" s="480">
        <v>99.265919999999994</v>
      </c>
      <c r="CB47" s="480">
        <v>93.577088000000003</v>
      </c>
      <c r="CC47" s="480">
        <v>100.336512</v>
      </c>
      <c r="CD47" s="480">
        <v>92.049919999999986</v>
      </c>
      <c r="CE47" s="480">
        <v>95.618560000000002</v>
      </c>
      <c r="CF47" s="480">
        <v>86.550015999999985</v>
      </c>
      <c r="CG47" s="480">
        <v>81.228543999999999</v>
      </c>
    </row>
    <row r="48" spans="2:85">
      <c r="B48" s="456">
        <v>45</v>
      </c>
      <c r="D48" s="45" t="s">
        <v>1439</v>
      </c>
      <c r="E48" s="421">
        <f>IFERROR(('Consumption Input'!E49-'Consumption Input Diff.'!E160)/'Consumption Input Diff.'!E160,"NA")</f>
        <v>0</v>
      </c>
      <c r="F48" s="421">
        <f>IFERROR(('Consumption Input'!F49-'Consumption Input Diff.'!F160)/'Consumption Input Diff.'!F160,"NA")</f>
        <v>0</v>
      </c>
      <c r="G48" s="421">
        <f>IFERROR(('Consumption Input'!G49-'Consumption Input Diff.'!G160)/'Consumption Input Diff.'!G160,"NA")</f>
        <v>0</v>
      </c>
      <c r="H48" s="421">
        <f>IFERROR(('Consumption Input'!H49-'Consumption Input Diff.'!H160)/'Consumption Input Diff.'!H160,"NA")</f>
        <v>0</v>
      </c>
      <c r="I48" s="421">
        <f>IFERROR(('Consumption Input'!I49-'Consumption Input Diff.'!I160)/'Consumption Input Diff.'!I160,"NA")</f>
        <v>0</v>
      </c>
      <c r="J48" s="421">
        <f>IFERROR(('Consumption Input'!J49-'Consumption Input Diff.'!J160)/'Consumption Input Diff.'!J160,"NA")</f>
        <v>0</v>
      </c>
      <c r="K48" s="421">
        <f>IFERROR(('Consumption Input'!K49-'Consumption Input Diff.'!K160)/'Consumption Input Diff.'!K160,"NA")</f>
        <v>0</v>
      </c>
      <c r="L48" s="421">
        <f>IFERROR(('Consumption Input'!L49-'Consumption Input Diff.'!L160)/'Consumption Input Diff.'!L160,"NA")</f>
        <v>0</v>
      </c>
      <c r="M48" s="421">
        <f>IFERROR(('Consumption Input'!M49-'Consumption Input Diff.'!M160)/'Consumption Input Diff.'!M160,"NA")</f>
        <v>0</v>
      </c>
      <c r="N48" s="421">
        <f>IFERROR(('Consumption Input'!N49-'Consumption Input Diff.'!N160)/'Consumption Input Diff.'!N160,"NA")</f>
        <v>0</v>
      </c>
      <c r="O48" s="421">
        <f>IFERROR(('Consumption Input'!O49-'Consumption Input Diff.'!O160)/'Consumption Input Diff.'!O160,"NA")</f>
        <v>0</v>
      </c>
      <c r="P48" s="421">
        <f>IFERROR(('Consumption Input'!P49-'Consumption Input Diff.'!P160)/'Consumption Input Diff.'!P160,"NA")</f>
        <v>0</v>
      </c>
      <c r="Q48" s="421">
        <f>IFERROR(('Consumption Input'!Q49-'Consumption Input Diff.'!Q160)/'Consumption Input Diff.'!Q160,"NA")</f>
        <v>0</v>
      </c>
      <c r="R48" s="421">
        <f>IFERROR(('Consumption Input'!R49-'Consumption Input Diff.'!R160)/'Consumption Input Diff.'!R160,"NA")</f>
        <v>0</v>
      </c>
      <c r="S48" s="421">
        <f>IFERROR(('Consumption Input'!S49-'Consumption Input Diff.'!S160)/'Consumption Input Diff.'!S160,"NA")</f>
        <v>0</v>
      </c>
      <c r="T48" s="421">
        <f>IFERROR(('Consumption Input'!T49-'Consumption Input Diff.'!T160)/'Consumption Input Diff.'!T160,"NA")</f>
        <v>0</v>
      </c>
      <c r="U48" s="421">
        <f>IFERROR(('Consumption Input'!U49-'Consumption Input Diff.'!U160)/'Consumption Input Diff.'!U160,"NA")</f>
        <v>0</v>
      </c>
      <c r="V48" s="421">
        <f>IFERROR(('Consumption Input'!V49-'Consumption Input Diff.'!V160)/'Consumption Input Diff.'!V160,"NA")</f>
        <v>0</v>
      </c>
      <c r="W48" s="421">
        <f>IFERROR(('Consumption Input'!W49-'Consumption Input Diff.'!W160)/'Consumption Input Diff.'!W160,"NA")</f>
        <v>0</v>
      </c>
      <c r="X48" s="421">
        <f>IFERROR(('Consumption Input'!X49-'Consumption Input Diff.'!X160)/'Consumption Input Diff.'!X160,"NA")</f>
        <v>0</v>
      </c>
      <c r="Y48" s="421">
        <f>IFERROR(('Consumption Input'!Y49-'Consumption Input Diff.'!Y160)/'Consumption Input Diff.'!Y160,"NA")</f>
        <v>0</v>
      </c>
      <c r="Z48" s="421">
        <f>IFERROR(('Consumption Input'!Z49-'Consumption Input Diff.'!Z160)/'Consumption Input Diff.'!Z160,"NA")</f>
        <v>0</v>
      </c>
      <c r="AA48" s="421">
        <f>IFERROR(('Consumption Input'!AA49-'Consumption Input Diff.'!AA160)/'Consumption Input Diff.'!AA160,"NA")</f>
        <v>0</v>
      </c>
      <c r="AB48" s="421">
        <f>IFERROR(('Consumption Input'!AB49-'Consumption Input Diff.'!AB160)/'Consumption Input Diff.'!AB160,"NA")</f>
        <v>0</v>
      </c>
      <c r="AC48" s="421">
        <f>IFERROR(('Consumption Input'!AC49-'Consumption Input Diff.'!AC160)/'Consumption Input Diff.'!AC160,"NA")</f>
        <v>0</v>
      </c>
      <c r="AD48" s="421">
        <f>IFERROR(('Consumption Input'!AD49-'Consumption Input Diff.'!AD160)/'Consumption Input Diff.'!AD160,"NA")</f>
        <v>0</v>
      </c>
      <c r="AE48" s="421">
        <f>IFERROR(('Consumption Input'!AE49-'Consumption Input Diff.'!AE160)/'Consumption Input Diff.'!AE160,"NA")</f>
        <v>0</v>
      </c>
      <c r="AF48" s="421">
        <f>IFERROR(('Consumption Input'!AF49-'Consumption Input Diff.'!AF160)/'Consumption Input Diff.'!AF160,"NA")</f>
        <v>0</v>
      </c>
      <c r="AG48" s="421">
        <f>IFERROR(('Consumption Input'!AG49-'Consumption Input Diff.'!AG160)/'Consumption Input Diff.'!AG160,"NA")</f>
        <v>0</v>
      </c>
      <c r="AH48" s="421">
        <f>IFERROR(('Consumption Input'!AH49-'Consumption Input Diff.'!AH160)/'Consumption Input Diff.'!AH160,"NA")</f>
        <v>0</v>
      </c>
      <c r="AI48" s="421">
        <f>IFERROR(('Consumption Input'!AI49-'Consumption Input Diff.'!AI160)/'Consumption Input Diff.'!AI160,"NA")</f>
        <v>0</v>
      </c>
      <c r="AJ48" s="421">
        <f>IFERROR(('Consumption Input'!AJ49-'Consumption Input Diff.'!AJ160)/'Consumption Input Diff.'!AJ160,"NA")</f>
        <v>1.6314181714133871E-3</v>
      </c>
      <c r="AK48" s="5">
        <f>'Consumption Input'!V49-V160</f>
        <v>0</v>
      </c>
      <c r="AL48" s="5">
        <f>'Consumption Input'!W49-W160</f>
        <v>0</v>
      </c>
      <c r="AM48" s="5">
        <f>'Consumption Input'!X49-X160</f>
        <v>0</v>
      </c>
      <c r="AN48" s="5">
        <f>'Consumption Input'!Y49-Y160</f>
        <v>0</v>
      </c>
      <c r="AO48" s="5">
        <f>'Consumption Input'!Z49-Z160</f>
        <v>0</v>
      </c>
      <c r="AP48" s="5">
        <f>'Consumption Input'!AA49-AA160</f>
        <v>0</v>
      </c>
      <c r="AQ48" s="5">
        <f>'Consumption Input'!AB49-AB160</f>
        <v>0</v>
      </c>
      <c r="AR48" s="5">
        <f>'Consumption Input'!AC49-AC160</f>
        <v>0</v>
      </c>
      <c r="AS48" s="5">
        <f>'Consumption Input'!AD49-AD160</f>
        <v>0</v>
      </c>
      <c r="AT48" s="5">
        <f>'Consumption Input'!AE49-AE160</f>
        <v>0</v>
      </c>
      <c r="AU48" s="5">
        <f>'Consumption Input'!AF49-AF160</f>
        <v>0</v>
      </c>
      <c r="AV48" s="5">
        <f>'Consumption Input'!AG49-AG160</f>
        <v>0</v>
      </c>
      <c r="AW48" s="5">
        <f>'Consumption Input'!AH49-AH160</f>
        <v>0</v>
      </c>
      <c r="AX48" s="5">
        <f>'Consumption Input'!AI49-AI160</f>
        <v>0</v>
      </c>
      <c r="AY48" s="5">
        <f>'Consumption Input'!AJ49-AJ160</f>
        <v>2.0069999999998345</v>
      </c>
      <c r="AZ48" s="21">
        <v>15</v>
      </c>
      <c r="BA48" s="6" t="s">
        <v>1895</v>
      </c>
      <c r="BB48" s="481"/>
      <c r="BC48" s="481"/>
      <c r="BD48" s="481"/>
      <c r="BE48" s="481"/>
      <c r="BF48" s="481"/>
      <c r="BG48" s="481"/>
      <c r="BH48" s="481"/>
      <c r="BI48" s="481"/>
      <c r="BJ48" s="481"/>
      <c r="BK48" s="481"/>
      <c r="BL48" s="481"/>
      <c r="BM48" s="481"/>
      <c r="BN48" s="481"/>
      <c r="BO48" s="481"/>
      <c r="BP48" s="481"/>
      <c r="BQ48" s="481"/>
      <c r="BR48" s="481"/>
      <c r="BS48" s="481"/>
      <c r="BT48" s="481"/>
      <c r="BU48" s="481"/>
      <c r="BV48" s="481"/>
      <c r="BW48" s="481"/>
      <c r="BX48" s="481"/>
      <c r="BY48" s="481"/>
      <c r="BZ48" s="481"/>
      <c r="CA48" s="481"/>
      <c r="CB48" s="481"/>
      <c r="CC48" s="481"/>
      <c r="CD48" s="481"/>
      <c r="CE48" s="481"/>
      <c r="CF48" s="481"/>
      <c r="CG48" s="480"/>
    </row>
    <row r="49" spans="2:85">
      <c r="B49" s="456">
        <v>46</v>
      </c>
      <c r="D49" s="45" t="s">
        <v>1622</v>
      </c>
      <c r="E49" s="421">
        <f>IFERROR(('Consumption Input'!E50-'Consumption Input Diff.'!E161)/'Consumption Input Diff.'!E161,"NA")</f>
        <v>0</v>
      </c>
      <c r="F49" s="421">
        <f>IFERROR(('Consumption Input'!F50-'Consumption Input Diff.'!F161)/'Consumption Input Diff.'!F161,"NA")</f>
        <v>0</v>
      </c>
      <c r="G49" s="421">
        <f>IFERROR(('Consumption Input'!G50-'Consumption Input Diff.'!G161)/'Consumption Input Diff.'!G161,"NA")</f>
        <v>0</v>
      </c>
      <c r="H49" s="421">
        <f>IFERROR(('Consumption Input'!H50-'Consumption Input Diff.'!H161)/'Consumption Input Diff.'!H161,"NA")</f>
        <v>0</v>
      </c>
      <c r="I49" s="421">
        <f>IFERROR(('Consumption Input'!I50-'Consumption Input Diff.'!I161)/'Consumption Input Diff.'!I161,"NA")</f>
        <v>0</v>
      </c>
      <c r="J49" s="421">
        <f>IFERROR(('Consumption Input'!J50-'Consumption Input Diff.'!J161)/'Consumption Input Diff.'!J161,"NA")</f>
        <v>0</v>
      </c>
      <c r="K49" s="421">
        <f>IFERROR(('Consumption Input'!K50-'Consumption Input Diff.'!K161)/'Consumption Input Diff.'!K161,"NA")</f>
        <v>0</v>
      </c>
      <c r="L49" s="421">
        <f>IFERROR(('Consumption Input'!L50-'Consumption Input Diff.'!L161)/'Consumption Input Diff.'!L161,"NA")</f>
        <v>0</v>
      </c>
      <c r="M49" s="421">
        <f>IFERROR(('Consumption Input'!M50-'Consumption Input Diff.'!M161)/'Consumption Input Diff.'!M161,"NA")</f>
        <v>0</v>
      </c>
      <c r="N49" s="421">
        <f>IFERROR(('Consumption Input'!N50-'Consumption Input Diff.'!N161)/'Consumption Input Diff.'!N161,"NA")</f>
        <v>0</v>
      </c>
      <c r="O49" s="421">
        <f>IFERROR(('Consumption Input'!O50-'Consumption Input Diff.'!O161)/'Consumption Input Diff.'!O161,"NA")</f>
        <v>0</v>
      </c>
      <c r="P49" s="421">
        <f>IFERROR(('Consumption Input'!P50-'Consumption Input Diff.'!P161)/'Consumption Input Diff.'!P161,"NA")</f>
        <v>0</v>
      </c>
      <c r="Q49" s="421">
        <f>IFERROR(('Consumption Input'!Q50-'Consumption Input Diff.'!Q161)/'Consumption Input Diff.'!Q161,"NA")</f>
        <v>0</v>
      </c>
      <c r="R49" s="421">
        <f>IFERROR(('Consumption Input'!R50-'Consumption Input Diff.'!R161)/'Consumption Input Diff.'!R161,"NA")</f>
        <v>0</v>
      </c>
      <c r="S49" s="421">
        <f>IFERROR(('Consumption Input'!S50-'Consumption Input Diff.'!S161)/'Consumption Input Diff.'!S161,"NA")</f>
        <v>0</v>
      </c>
      <c r="T49" s="421">
        <f>IFERROR(('Consumption Input'!T50-'Consumption Input Diff.'!T161)/'Consumption Input Diff.'!T161,"NA")</f>
        <v>0</v>
      </c>
      <c r="U49" s="421">
        <f>IFERROR(('Consumption Input'!U50-'Consumption Input Diff.'!U161)/'Consumption Input Diff.'!U161,"NA")</f>
        <v>0</v>
      </c>
      <c r="V49" s="421">
        <f>IFERROR(('Consumption Input'!V50-'Consumption Input Diff.'!V161)/'Consumption Input Diff.'!V161,"NA")</f>
        <v>0</v>
      </c>
      <c r="W49" s="421">
        <f>IFERROR(('Consumption Input'!W50-'Consumption Input Diff.'!W161)/'Consumption Input Diff.'!W161,"NA")</f>
        <v>0</v>
      </c>
      <c r="X49" s="421">
        <f>IFERROR(('Consumption Input'!X50-'Consumption Input Diff.'!X161)/'Consumption Input Diff.'!X161,"NA")</f>
        <v>0</v>
      </c>
      <c r="Y49" s="421">
        <f>IFERROR(('Consumption Input'!Y50-'Consumption Input Diff.'!Y161)/'Consumption Input Diff.'!Y161,"NA")</f>
        <v>0</v>
      </c>
      <c r="Z49" s="421">
        <f>IFERROR(('Consumption Input'!Z50-'Consumption Input Diff.'!Z161)/'Consumption Input Diff.'!Z161,"NA")</f>
        <v>0</v>
      </c>
      <c r="AA49" s="421">
        <f>IFERROR(('Consumption Input'!AA50-'Consumption Input Diff.'!AA161)/'Consumption Input Diff.'!AA161,"NA")</f>
        <v>0</v>
      </c>
      <c r="AB49" s="421">
        <f>IFERROR(('Consumption Input'!AB50-'Consumption Input Diff.'!AB161)/'Consumption Input Diff.'!AB161,"NA")</f>
        <v>0</v>
      </c>
      <c r="AC49" s="421">
        <f>IFERROR(('Consumption Input'!AC50-'Consumption Input Diff.'!AC161)/'Consumption Input Diff.'!AC161,"NA")</f>
        <v>0</v>
      </c>
      <c r="AD49" s="421">
        <f>IFERROR(('Consumption Input'!AD50-'Consumption Input Diff.'!AD161)/'Consumption Input Diff.'!AD161,"NA")</f>
        <v>0</v>
      </c>
      <c r="AE49" s="421">
        <f>IFERROR(('Consumption Input'!AE50-'Consumption Input Diff.'!AE161)/'Consumption Input Diff.'!AE161,"NA")</f>
        <v>0</v>
      </c>
      <c r="AF49" s="421">
        <f>IFERROR(('Consumption Input'!AF50-'Consumption Input Diff.'!AF161)/'Consumption Input Diff.'!AF161,"NA")</f>
        <v>0</v>
      </c>
      <c r="AG49" s="421">
        <f>IFERROR(('Consumption Input'!AG50-'Consumption Input Diff.'!AG161)/'Consumption Input Diff.'!AG161,"NA")</f>
        <v>0</v>
      </c>
      <c r="AH49" s="421">
        <f>IFERROR(('Consumption Input'!AH50-'Consumption Input Diff.'!AH161)/'Consumption Input Diff.'!AH161,"NA")</f>
        <v>0</v>
      </c>
      <c r="AI49" s="421">
        <f>IFERROR(('Consumption Input'!AI50-'Consumption Input Diff.'!AI161)/'Consumption Input Diff.'!AI161,"NA")</f>
        <v>0</v>
      </c>
      <c r="AJ49" s="421">
        <f>IFERROR(('Consumption Input'!AJ50-'Consumption Input Diff.'!AJ161)/'Consumption Input Diff.'!AJ161,"NA")</f>
        <v>0</v>
      </c>
      <c r="AK49" s="5">
        <f>'Consumption Input'!V50-V161</f>
        <v>0</v>
      </c>
      <c r="AL49" s="5">
        <f>'Consumption Input'!W50-W161</f>
        <v>0</v>
      </c>
      <c r="AM49" s="5">
        <f>'Consumption Input'!X50-X161</f>
        <v>0</v>
      </c>
      <c r="AN49" s="5">
        <f>'Consumption Input'!Y50-Y161</f>
        <v>0</v>
      </c>
      <c r="AO49" s="5">
        <f>'Consumption Input'!Z50-Z161</f>
        <v>0</v>
      </c>
      <c r="AP49" s="5">
        <f>'Consumption Input'!AA50-AA161</f>
        <v>0</v>
      </c>
      <c r="AQ49" s="5">
        <f>'Consumption Input'!AB50-AB161</f>
        <v>0</v>
      </c>
      <c r="AR49" s="5">
        <f>'Consumption Input'!AC50-AC161</f>
        <v>0</v>
      </c>
      <c r="AS49" s="5">
        <f>'Consumption Input'!AD50-AD161</f>
        <v>0</v>
      </c>
      <c r="AT49" s="5">
        <f>'Consumption Input'!AE50-AE161</f>
        <v>0</v>
      </c>
      <c r="AU49" s="5">
        <f>'Consumption Input'!AF50-AF161</f>
        <v>0</v>
      </c>
      <c r="AV49" s="5">
        <f>'Consumption Input'!AG50-AG161</f>
        <v>0</v>
      </c>
      <c r="AW49" s="5">
        <f>'Consumption Input'!AH50-AH161</f>
        <v>0</v>
      </c>
      <c r="AX49" s="5">
        <f>'Consumption Input'!AI50-AI161</f>
        <v>0</v>
      </c>
      <c r="AY49" s="5">
        <f>'Consumption Input'!AJ50-AJ161</f>
        <v>0</v>
      </c>
      <c r="AZ49" s="21">
        <v>16</v>
      </c>
      <c r="BA49" s="463" t="s">
        <v>1738</v>
      </c>
      <c r="BB49" s="480">
        <v>7.0441517976514909</v>
      </c>
      <c r="BC49" s="480">
        <v>7.0831999999999997</v>
      </c>
      <c r="BD49" s="480">
        <v>7.003591666666666</v>
      </c>
      <c r="BE49" s="480">
        <v>6.9239833333333332</v>
      </c>
      <c r="BF49" s="480">
        <v>6.8443749999999994</v>
      </c>
      <c r="BG49" s="480">
        <v>8.045781250000001</v>
      </c>
      <c r="BH49" s="480">
        <v>9.2471875000000008</v>
      </c>
      <c r="BI49" s="480">
        <v>10.448593750000002</v>
      </c>
      <c r="BJ49" s="480">
        <v>11.65</v>
      </c>
      <c r="BK49" s="480">
        <v>11.65</v>
      </c>
      <c r="BL49" s="480">
        <v>11.65</v>
      </c>
      <c r="BM49" s="480">
        <v>11.65</v>
      </c>
      <c r="BN49" s="480">
        <v>11.65</v>
      </c>
      <c r="BO49" s="480">
        <v>13.106249999999999</v>
      </c>
      <c r="BP49" s="480">
        <v>14.5625</v>
      </c>
      <c r="BQ49" s="480">
        <v>16.018749999999997</v>
      </c>
      <c r="BR49" s="480">
        <v>17.475000000000001</v>
      </c>
      <c r="BS49" s="480">
        <v>14.5625</v>
      </c>
      <c r="BT49" s="480">
        <v>11.65</v>
      </c>
      <c r="BU49" s="480">
        <v>8.7375000000000007</v>
      </c>
      <c r="BV49" s="480">
        <v>5.8250000000000002</v>
      </c>
      <c r="BW49" s="480">
        <v>5.8250000000000002</v>
      </c>
      <c r="BX49" s="480">
        <v>5.8250000000000002</v>
      </c>
      <c r="BY49" s="480">
        <v>5.8250000000000002</v>
      </c>
      <c r="BZ49" s="480">
        <v>5.8250000000000002</v>
      </c>
      <c r="CA49" s="480">
        <v>5.8250000000000002</v>
      </c>
      <c r="CB49" s="480">
        <v>5.8250000000000002</v>
      </c>
      <c r="CC49" s="480">
        <v>5.8250000000000002</v>
      </c>
      <c r="CD49" s="480">
        <v>5.8250000000000002</v>
      </c>
      <c r="CE49" s="480">
        <v>5.8250000000000002</v>
      </c>
      <c r="CF49" s="480">
        <v>5.8250000000000002</v>
      </c>
      <c r="CG49" s="480">
        <v>5.8250000000000002</v>
      </c>
    </row>
    <row r="50" spans="2:85">
      <c r="B50" s="456">
        <v>47</v>
      </c>
      <c r="D50" s="45" t="s">
        <v>1598</v>
      </c>
      <c r="E50" s="421">
        <f>IFERROR(('Consumption Input'!E51-'Consumption Input Diff.'!E162)/'Consumption Input Diff.'!E162,"NA")</f>
        <v>0</v>
      </c>
      <c r="F50" s="421">
        <f>IFERROR(('Consumption Input'!F51-'Consumption Input Diff.'!F162)/'Consumption Input Diff.'!F162,"NA")</f>
        <v>0</v>
      </c>
      <c r="G50" s="421">
        <f>IFERROR(('Consumption Input'!G51-'Consumption Input Diff.'!G162)/'Consumption Input Diff.'!G162,"NA")</f>
        <v>0</v>
      </c>
      <c r="H50" s="421">
        <f>IFERROR(('Consumption Input'!H51-'Consumption Input Diff.'!H162)/'Consumption Input Diff.'!H162,"NA")</f>
        <v>0</v>
      </c>
      <c r="I50" s="421">
        <f>IFERROR(('Consumption Input'!I51-'Consumption Input Diff.'!I162)/'Consumption Input Diff.'!I162,"NA")</f>
        <v>0</v>
      </c>
      <c r="J50" s="421">
        <f>IFERROR(('Consumption Input'!J51-'Consumption Input Diff.'!J162)/'Consumption Input Diff.'!J162,"NA")</f>
        <v>0</v>
      </c>
      <c r="K50" s="421">
        <f>IFERROR(('Consumption Input'!K51-'Consumption Input Diff.'!K162)/'Consumption Input Diff.'!K162,"NA")</f>
        <v>0</v>
      </c>
      <c r="L50" s="421">
        <f>IFERROR(('Consumption Input'!L51-'Consumption Input Diff.'!L162)/'Consumption Input Diff.'!L162,"NA")</f>
        <v>0</v>
      </c>
      <c r="M50" s="421">
        <f>IFERROR(('Consumption Input'!M51-'Consumption Input Diff.'!M162)/'Consumption Input Diff.'!M162,"NA")</f>
        <v>0</v>
      </c>
      <c r="N50" s="421">
        <f>IFERROR(('Consumption Input'!N51-'Consumption Input Diff.'!N162)/'Consumption Input Diff.'!N162,"NA")</f>
        <v>0</v>
      </c>
      <c r="O50" s="421">
        <f>IFERROR(('Consumption Input'!O51-'Consumption Input Diff.'!O162)/'Consumption Input Diff.'!O162,"NA")</f>
        <v>0</v>
      </c>
      <c r="P50" s="421">
        <f>IFERROR(('Consumption Input'!P51-'Consumption Input Diff.'!P162)/'Consumption Input Diff.'!P162,"NA")</f>
        <v>0</v>
      </c>
      <c r="Q50" s="421">
        <f>IFERROR(('Consumption Input'!Q51-'Consumption Input Diff.'!Q162)/'Consumption Input Diff.'!Q162,"NA")</f>
        <v>0</v>
      </c>
      <c r="R50" s="421">
        <f>IFERROR(('Consumption Input'!R51-'Consumption Input Diff.'!R162)/'Consumption Input Diff.'!R162,"NA")</f>
        <v>0</v>
      </c>
      <c r="S50" s="421">
        <f>IFERROR(('Consumption Input'!S51-'Consumption Input Diff.'!S162)/'Consumption Input Diff.'!S162,"NA")</f>
        <v>0</v>
      </c>
      <c r="T50" s="421">
        <f>IFERROR(('Consumption Input'!T51-'Consumption Input Diff.'!T162)/'Consumption Input Diff.'!T162,"NA")</f>
        <v>0</v>
      </c>
      <c r="U50" s="421">
        <f>IFERROR(('Consumption Input'!U51-'Consumption Input Diff.'!U162)/'Consumption Input Diff.'!U162,"NA")</f>
        <v>0</v>
      </c>
      <c r="V50" s="421">
        <f>IFERROR(('Consumption Input'!V51-'Consumption Input Diff.'!V162)/'Consumption Input Diff.'!V162,"NA")</f>
        <v>0</v>
      </c>
      <c r="W50" s="421">
        <f>IFERROR(('Consumption Input'!W51-'Consumption Input Diff.'!W162)/'Consumption Input Diff.'!W162,"NA")</f>
        <v>0</v>
      </c>
      <c r="X50" s="421">
        <f>IFERROR(('Consumption Input'!X51-'Consumption Input Diff.'!X162)/'Consumption Input Diff.'!X162,"NA")</f>
        <v>0</v>
      </c>
      <c r="Y50" s="421">
        <f>IFERROR(('Consumption Input'!Y51-'Consumption Input Diff.'!Y162)/'Consumption Input Diff.'!Y162,"NA")</f>
        <v>0</v>
      </c>
      <c r="Z50" s="421">
        <f>IFERROR(('Consumption Input'!Z51-'Consumption Input Diff.'!Z162)/'Consumption Input Diff.'!Z162,"NA")</f>
        <v>0</v>
      </c>
      <c r="AA50" s="421">
        <f>IFERROR(('Consumption Input'!AA51-'Consumption Input Diff.'!AA162)/'Consumption Input Diff.'!AA162,"NA")</f>
        <v>0</v>
      </c>
      <c r="AB50" s="421">
        <f>IFERROR(('Consumption Input'!AB51-'Consumption Input Diff.'!AB162)/'Consumption Input Diff.'!AB162,"NA")</f>
        <v>0</v>
      </c>
      <c r="AC50" s="421">
        <f>IFERROR(('Consumption Input'!AC51-'Consumption Input Diff.'!AC162)/'Consumption Input Diff.'!AC162,"NA")</f>
        <v>0</v>
      </c>
      <c r="AD50" s="421">
        <f>IFERROR(('Consumption Input'!AD51-'Consumption Input Diff.'!AD162)/'Consumption Input Diff.'!AD162,"NA")</f>
        <v>0</v>
      </c>
      <c r="AE50" s="421">
        <f>IFERROR(('Consumption Input'!AE51-'Consumption Input Diff.'!AE162)/'Consumption Input Diff.'!AE162,"NA")</f>
        <v>0</v>
      </c>
      <c r="AF50" s="421">
        <f>IFERROR(('Consumption Input'!AF51-'Consumption Input Diff.'!AF162)/'Consumption Input Diff.'!AF162,"NA")</f>
        <v>0</v>
      </c>
      <c r="AG50" s="421">
        <f>IFERROR(('Consumption Input'!AG51-'Consumption Input Diff.'!AG162)/'Consumption Input Diff.'!AG162,"NA")</f>
        <v>0</v>
      </c>
      <c r="AH50" s="421">
        <f>IFERROR(('Consumption Input'!AH51-'Consumption Input Diff.'!AH162)/'Consumption Input Diff.'!AH162,"NA")</f>
        <v>9.4136459329028387E-8</v>
      </c>
      <c r="AI50" s="421">
        <f>IFERROR(('Consumption Input'!AI51-'Consumption Input Diff.'!AI162)/'Consumption Input Diff.'!AI162,"NA")</f>
        <v>4.8214528497749301E-4</v>
      </c>
      <c r="AJ50" s="421">
        <f>IFERROR(('Consumption Input'!AJ51-'Consumption Input Diff.'!AJ162)/'Consumption Input Diff.'!AJ162,"NA")</f>
        <v>5.702300255635835E-4</v>
      </c>
      <c r="AK50" s="5">
        <f>'Consumption Input'!V51-V162</f>
        <v>0</v>
      </c>
      <c r="AL50" s="5">
        <f>'Consumption Input'!W51-W162</f>
        <v>0</v>
      </c>
      <c r="AM50" s="5">
        <f>'Consumption Input'!X51-X162</f>
        <v>0</v>
      </c>
      <c r="AN50" s="5">
        <f>'Consumption Input'!Y51-Y162</f>
        <v>0</v>
      </c>
      <c r="AO50" s="5">
        <f>'Consumption Input'!Z51-Z162</f>
        <v>0</v>
      </c>
      <c r="AP50" s="5">
        <f>'Consumption Input'!AA51-AA162</f>
        <v>0</v>
      </c>
      <c r="AQ50" s="5">
        <f>'Consumption Input'!AB51-AB162</f>
        <v>0</v>
      </c>
      <c r="AR50" s="5">
        <f>'Consumption Input'!AC51-AC162</f>
        <v>0</v>
      </c>
      <c r="AS50" s="5">
        <f>'Consumption Input'!AD51-AD162</f>
        <v>0</v>
      </c>
      <c r="AT50" s="5">
        <f>'Consumption Input'!AE51-AE162</f>
        <v>0</v>
      </c>
      <c r="AU50" s="5">
        <f>'Consumption Input'!AF51-AF162</f>
        <v>0</v>
      </c>
      <c r="AV50" s="5">
        <f>'Consumption Input'!AG51-AG162</f>
        <v>0</v>
      </c>
      <c r="AW50" s="5">
        <f>'Consumption Input'!AH51-AH162</f>
        <v>6.146435971459141E-4</v>
      </c>
      <c r="AX50" s="5">
        <f>'Consumption Input'!AI51-AI162</f>
        <v>2.9593186529418745</v>
      </c>
      <c r="AY50" s="5">
        <f>'Consumption Input'!AJ51-AJ162</f>
        <v>3.7522993563961791</v>
      </c>
      <c r="AZ50" s="21">
        <v>17</v>
      </c>
      <c r="BA50" s="463" t="s">
        <v>1896</v>
      </c>
      <c r="BB50" s="480">
        <v>33.299517999999999</v>
      </c>
      <c r="BC50" s="480">
        <v>35.126728</v>
      </c>
      <c r="BD50" s="480">
        <v>37.258473000000002</v>
      </c>
      <c r="BE50" s="480">
        <v>40.026972999999998</v>
      </c>
      <c r="BF50" s="480">
        <v>40.586210000000001</v>
      </c>
      <c r="BG50" s="480">
        <v>40.591746999999998</v>
      </c>
      <c r="BH50" s="480">
        <v>48.664693</v>
      </c>
      <c r="BI50" s="480">
        <v>43.7423</v>
      </c>
      <c r="BJ50" s="480">
        <v>42.369123999999999</v>
      </c>
      <c r="BK50" s="480">
        <v>37.435656999999999</v>
      </c>
      <c r="BL50" s="480">
        <v>33.083575000000003</v>
      </c>
      <c r="BM50" s="480">
        <v>36.333793999999997</v>
      </c>
      <c r="BN50" s="480">
        <v>32.169969999999999</v>
      </c>
      <c r="BO50" s="480">
        <v>31.045959</v>
      </c>
      <c r="BP50" s="480">
        <v>30.769109</v>
      </c>
      <c r="BQ50" s="480">
        <v>31.367453831000002</v>
      </c>
      <c r="BR50" s="480">
        <v>26.145730610999998</v>
      </c>
      <c r="BS50" s="480">
        <v>21.886576082000001</v>
      </c>
      <c r="BT50" s="480">
        <v>19.142239549999999</v>
      </c>
      <c r="BU50" s="480">
        <v>12.222667260999998</v>
      </c>
      <c r="BV50" s="480">
        <v>17.082724715000001</v>
      </c>
      <c r="BW50" s="480">
        <v>15.074953145</v>
      </c>
      <c r="BX50" s="480">
        <v>15.291095477000001</v>
      </c>
      <c r="BY50" s="480">
        <v>16.488781799000002</v>
      </c>
      <c r="BZ50" s="480">
        <v>14.783479928</v>
      </c>
      <c r="CA50" s="480">
        <v>12.357388007999999</v>
      </c>
      <c r="CB50" s="480">
        <v>12.84910683</v>
      </c>
      <c r="CC50" s="480">
        <v>10.161640824999997</v>
      </c>
      <c r="CD50" s="480">
        <v>12.411722589</v>
      </c>
      <c r="CE50" s="480">
        <v>10.423690423999998</v>
      </c>
      <c r="CF50" s="480">
        <v>9.2053898509999996</v>
      </c>
      <c r="CG50" s="480">
        <v>11.791190998999999</v>
      </c>
    </row>
    <row r="51" spans="2:85">
      <c r="B51" s="456">
        <v>48</v>
      </c>
      <c r="D51" s="45" t="s">
        <v>1623</v>
      </c>
      <c r="E51" s="421">
        <f>IFERROR(('Consumption Input'!E52-'Consumption Input Diff.'!E163)/'Consumption Input Diff.'!E163,"NA")</f>
        <v>0</v>
      </c>
      <c r="F51" s="421">
        <f>IFERROR(('Consumption Input'!F52-'Consumption Input Diff.'!F163)/'Consumption Input Diff.'!F163,"NA")</f>
        <v>0</v>
      </c>
      <c r="G51" s="421">
        <f>IFERROR(('Consumption Input'!G52-'Consumption Input Diff.'!G163)/'Consumption Input Diff.'!G163,"NA")</f>
        <v>0</v>
      </c>
      <c r="H51" s="421">
        <f>IFERROR(('Consumption Input'!H52-'Consumption Input Diff.'!H163)/'Consumption Input Diff.'!H163,"NA")</f>
        <v>0</v>
      </c>
      <c r="I51" s="421">
        <f>IFERROR(('Consumption Input'!I52-'Consumption Input Diff.'!I163)/'Consumption Input Diff.'!I163,"NA")</f>
        <v>0</v>
      </c>
      <c r="J51" s="421">
        <f>IFERROR(('Consumption Input'!J52-'Consumption Input Diff.'!J163)/'Consumption Input Diff.'!J163,"NA")</f>
        <v>0</v>
      </c>
      <c r="K51" s="421">
        <f>IFERROR(('Consumption Input'!K52-'Consumption Input Diff.'!K163)/'Consumption Input Diff.'!K163,"NA")</f>
        <v>0</v>
      </c>
      <c r="L51" s="421">
        <f>IFERROR(('Consumption Input'!L52-'Consumption Input Diff.'!L163)/'Consumption Input Diff.'!L163,"NA")</f>
        <v>0</v>
      </c>
      <c r="M51" s="421">
        <f>IFERROR(('Consumption Input'!M52-'Consumption Input Diff.'!M163)/'Consumption Input Diff.'!M163,"NA")</f>
        <v>0</v>
      </c>
      <c r="N51" s="421">
        <f>IFERROR(('Consumption Input'!N52-'Consumption Input Diff.'!N163)/'Consumption Input Diff.'!N163,"NA")</f>
        <v>0</v>
      </c>
      <c r="O51" s="421">
        <f>IFERROR(('Consumption Input'!O52-'Consumption Input Diff.'!O163)/'Consumption Input Diff.'!O163,"NA")</f>
        <v>0</v>
      </c>
      <c r="P51" s="421">
        <f>IFERROR(('Consumption Input'!P52-'Consumption Input Diff.'!P163)/'Consumption Input Diff.'!P163,"NA")</f>
        <v>0</v>
      </c>
      <c r="Q51" s="421">
        <f>IFERROR(('Consumption Input'!Q52-'Consumption Input Diff.'!Q163)/'Consumption Input Diff.'!Q163,"NA")</f>
        <v>0</v>
      </c>
      <c r="R51" s="421">
        <f>IFERROR(('Consumption Input'!R52-'Consumption Input Diff.'!R163)/'Consumption Input Diff.'!R163,"NA")</f>
        <v>0</v>
      </c>
      <c r="S51" s="421">
        <f>IFERROR(('Consumption Input'!S52-'Consumption Input Diff.'!S163)/'Consumption Input Diff.'!S163,"NA")</f>
        <v>0</v>
      </c>
      <c r="T51" s="421">
        <f>IFERROR(('Consumption Input'!T52-'Consumption Input Diff.'!T163)/'Consumption Input Diff.'!T163,"NA")</f>
        <v>0</v>
      </c>
      <c r="U51" s="421">
        <f>IFERROR(('Consumption Input'!U52-'Consumption Input Diff.'!U163)/'Consumption Input Diff.'!U163,"NA")</f>
        <v>0</v>
      </c>
      <c r="V51" s="421">
        <f>IFERROR(('Consumption Input'!V52-'Consumption Input Diff.'!V163)/'Consumption Input Diff.'!V163,"NA")</f>
        <v>0</v>
      </c>
      <c r="W51" s="421">
        <f>IFERROR(('Consumption Input'!W52-'Consumption Input Diff.'!W163)/'Consumption Input Diff.'!W163,"NA")</f>
        <v>0</v>
      </c>
      <c r="X51" s="421">
        <f>IFERROR(('Consumption Input'!X52-'Consumption Input Diff.'!X163)/'Consumption Input Diff.'!X163,"NA")</f>
        <v>0</v>
      </c>
      <c r="Y51" s="421">
        <f>IFERROR(('Consumption Input'!Y52-'Consumption Input Diff.'!Y163)/'Consumption Input Diff.'!Y163,"NA")</f>
        <v>0</v>
      </c>
      <c r="Z51" s="421">
        <f>IFERROR(('Consumption Input'!Z52-'Consumption Input Diff.'!Z163)/'Consumption Input Diff.'!Z163,"NA")</f>
        <v>0</v>
      </c>
      <c r="AA51" s="421">
        <f>IFERROR(('Consumption Input'!AA52-'Consumption Input Diff.'!AA163)/'Consumption Input Diff.'!AA163,"NA")</f>
        <v>0</v>
      </c>
      <c r="AB51" s="421">
        <f>IFERROR(('Consumption Input'!AB52-'Consumption Input Diff.'!AB163)/'Consumption Input Diff.'!AB163,"NA")</f>
        <v>0</v>
      </c>
      <c r="AC51" s="421">
        <f>IFERROR(('Consumption Input'!AC52-'Consumption Input Diff.'!AC163)/'Consumption Input Diff.'!AC163,"NA")</f>
        <v>0</v>
      </c>
      <c r="AD51" s="421">
        <f>IFERROR(('Consumption Input'!AD52-'Consumption Input Diff.'!AD163)/'Consumption Input Diff.'!AD163,"NA")</f>
        <v>0</v>
      </c>
      <c r="AE51" s="421">
        <f>IFERROR(('Consumption Input'!AE52-'Consumption Input Diff.'!AE163)/'Consumption Input Diff.'!AE163,"NA")</f>
        <v>0</v>
      </c>
      <c r="AF51" s="421">
        <f>IFERROR(('Consumption Input'!AF52-'Consumption Input Diff.'!AF163)/'Consumption Input Diff.'!AF163,"NA")</f>
        <v>0</v>
      </c>
      <c r="AG51" s="421">
        <f>IFERROR(('Consumption Input'!AG52-'Consumption Input Diff.'!AG163)/'Consumption Input Diff.'!AG163,"NA")</f>
        <v>0</v>
      </c>
      <c r="AH51" s="421">
        <f>IFERROR(('Consumption Input'!AH52-'Consumption Input Diff.'!AH163)/'Consumption Input Diff.'!AH163,"NA")</f>
        <v>0</v>
      </c>
      <c r="AI51" s="421">
        <f>IFERROR(('Consumption Input'!AI52-'Consumption Input Diff.'!AI163)/'Consumption Input Diff.'!AI163,"NA")</f>
        <v>0</v>
      </c>
      <c r="AJ51" s="421">
        <f>IFERROR(('Consumption Input'!AJ52-'Consumption Input Diff.'!AJ163)/'Consumption Input Diff.'!AJ163,"NA")</f>
        <v>0</v>
      </c>
      <c r="AK51" s="5">
        <f>'Consumption Input'!V52-V163</f>
        <v>0</v>
      </c>
      <c r="AL51" s="5">
        <f>'Consumption Input'!W52-W163</f>
        <v>0</v>
      </c>
      <c r="AM51" s="5">
        <f>'Consumption Input'!X52-X163</f>
        <v>0</v>
      </c>
      <c r="AN51" s="5">
        <f>'Consumption Input'!Y52-Y163</f>
        <v>0</v>
      </c>
      <c r="AO51" s="5">
        <f>'Consumption Input'!Z52-Z163</f>
        <v>0</v>
      </c>
      <c r="AP51" s="5">
        <f>'Consumption Input'!AA52-AA163</f>
        <v>0</v>
      </c>
      <c r="AQ51" s="5">
        <f>'Consumption Input'!AB52-AB163</f>
        <v>0</v>
      </c>
      <c r="AR51" s="5">
        <f>'Consumption Input'!AC52-AC163</f>
        <v>0</v>
      </c>
      <c r="AS51" s="5">
        <f>'Consumption Input'!AD52-AD163</f>
        <v>0</v>
      </c>
      <c r="AT51" s="5">
        <f>'Consumption Input'!AE52-AE163</f>
        <v>0</v>
      </c>
      <c r="AU51" s="5">
        <f>'Consumption Input'!AF52-AF163</f>
        <v>0</v>
      </c>
      <c r="AV51" s="5">
        <f>'Consumption Input'!AG52-AG163</f>
        <v>0</v>
      </c>
      <c r="AW51" s="5">
        <f>'Consumption Input'!AH52-AH163</f>
        <v>0</v>
      </c>
      <c r="AX51" s="5">
        <f>'Consumption Input'!AI52-AI163</f>
        <v>0</v>
      </c>
      <c r="AY51" s="5">
        <f>'Consumption Input'!AJ52-AJ163</f>
        <v>0</v>
      </c>
      <c r="AZ51" s="21">
        <v>18</v>
      </c>
      <c r="BA51" s="463" t="s">
        <v>1897</v>
      </c>
      <c r="BB51" s="480">
        <v>137.83467599999997</v>
      </c>
      <c r="BC51" s="480">
        <v>152.626068</v>
      </c>
      <c r="BD51" s="480">
        <v>100.062144</v>
      </c>
      <c r="BE51" s="480">
        <v>94.718232</v>
      </c>
      <c r="BF51" s="480">
        <v>105.85234800000001</v>
      </c>
      <c r="BG51" s="480">
        <v>97.123571999999996</v>
      </c>
      <c r="BH51" s="480">
        <v>89.032355999999993</v>
      </c>
      <c r="BI51" s="480">
        <v>97.749539999999996</v>
      </c>
      <c r="BJ51" s="480">
        <v>118.98608400000001</v>
      </c>
      <c r="BK51" s="480">
        <v>111.90916799999999</v>
      </c>
      <c r="BL51" s="480">
        <v>119.20633199999999</v>
      </c>
      <c r="BM51" s="480">
        <v>124.9038</v>
      </c>
      <c r="BN51" s="480">
        <v>134.17740000000001</v>
      </c>
      <c r="BO51" s="480">
        <v>125.964468</v>
      </c>
      <c r="BP51" s="480">
        <v>113.421924</v>
      </c>
      <c r="BQ51" s="480">
        <v>112.79127862799999</v>
      </c>
      <c r="BR51" s="480">
        <v>136.03287348000001</v>
      </c>
      <c r="BS51" s="480">
        <v>133.47382356</v>
      </c>
      <c r="BT51" s="480">
        <v>142.028916624</v>
      </c>
      <c r="BU51" s="480">
        <v>151.82563460399999</v>
      </c>
      <c r="BV51" s="480">
        <v>158.69992823999999</v>
      </c>
      <c r="BW51" s="480">
        <v>164.74156271999999</v>
      </c>
      <c r="BX51" s="480">
        <v>161.582447124</v>
      </c>
      <c r="BY51" s="480">
        <v>171.16153109999999</v>
      </c>
      <c r="BZ51" s="480">
        <v>182.74043793600001</v>
      </c>
      <c r="CA51" s="480">
        <v>188.926108812</v>
      </c>
      <c r="CB51" s="480">
        <v>191.34131360399999</v>
      </c>
      <c r="CC51" s="480">
        <v>198.81032320799997</v>
      </c>
      <c r="CD51" s="480">
        <v>197.967787668</v>
      </c>
      <c r="CE51" s="480">
        <v>180.154361268</v>
      </c>
      <c r="CF51" s="480">
        <v>170.665492032</v>
      </c>
      <c r="CG51" s="480">
        <v>170.80425406800001</v>
      </c>
    </row>
    <row r="52" spans="2:85">
      <c r="B52" s="456">
        <v>49</v>
      </c>
      <c r="D52" s="45" t="s">
        <v>1609</v>
      </c>
      <c r="E52" s="421">
        <f>IFERROR(('Consumption Input'!E53-'Consumption Input Diff.'!E164)/'Consumption Input Diff.'!E164,"NA")</f>
        <v>0</v>
      </c>
      <c r="F52" s="421">
        <f>IFERROR(('Consumption Input'!F53-'Consumption Input Diff.'!F164)/'Consumption Input Diff.'!F164,"NA")</f>
        <v>0</v>
      </c>
      <c r="G52" s="421">
        <f>IFERROR(('Consumption Input'!G53-'Consumption Input Diff.'!G164)/'Consumption Input Diff.'!G164,"NA")</f>
        <v>0</v>
      </c>
      <c r="H52" s="421">
        <f>IFERROR(('Consumption Input'!H53-'Consumption Input Diff.'!H164)/'Consumption Input Diff.'!H164,"NA")</f>
        <v>0</v>
      </c>
      <c r="I52" s="421">
        <f>IFERROR(('Consumption Input'!I53-'Consumption Input Diff.'!I164)/'Consumption Input Diff.'!I164,"NA")</f>
        <v>0</v>
      </c>
      <c r="J52" s="421">
        <f>IFERROR(('Consumption Input'!J53-'Consumption Input Diff.'!J164)/'Consumption Input Diff.'!J164,"NA")</f>
        <v>0</v>
      </c>
      <c r="K52" s="421">
        <f>IFERROR(('Consumption Input'!K53-'Consumption Input Diff.'!K164)/'Consumption Input Diff.'!K164,"NA")</f>
        <v>0</v>
      </c>
      <c r="L52" s="421">
        <f>IFERROR(('Consumption Input'!L53-'Consumption Input Diff.'!L164)/'Consumption Input Diff.'!L164,"NA")</f>
        <v>0</v>
      </c>
      <c r="M52" s="421">
        <f>IFERROR(('Consumption Input'!M53-'Consumption Input Diff.'!M164)/'Consumption Input Diff.'!M164,"NA")</f>
        <v>0</v>
      </c>
      <c r="N52" s="421">
        <f>IFERROR(('Consumption Input'!N53-'Consumption Input Diff.'!N164)/'Consumption Input Diff.'!N164,"NA")</f>
        <v>0</v>
      </c>
      <c r="O52" s="421">
        <f>IFERROR(('Consumption Input'!O53-'Consumption Input Diff.'!O164)/'Consumption Input Diff.'!O164,"NA")</f>
        <v>0</v>
      </c>
      <c r="P52" s="421">
        <f>IFERROR(('Consumption Input'!P53-'Consumption Input Diff.'!P164)/'Consumption Input Diff.'!P164,"NA")</f>
        <v>0</v>
      </c>
      <c r="Q52" s="421">
        <f>IFERROR(('Consumption Input'!Q53-'Consumption Input Diff.'!Q164)/'Consumption Input Diff.'!Q164,"NA")</f>
        <v>0</v>
      </c>
      <c r="R52" s="421">
        <f>IFERROR(('Consumption Input'!R53-'Consumption Input Diff.'!R164)/'Consumption Input Diff.'!R164,"NA")</f>
        <v>0</v>
      </c>
      <c r="S52" s="421">
        <f>IFERROR(('Consumption Input'!S53-'Consumption Input Diff.'!S164)/'Consumption Input Diff.'!S164,"NA")</f>
        <v>0</v>
      </c>
      <c r="T52" s="421">
        <f>IFERROR(('Consumption Input'!T53-'Consumption Input Diff.'!T164)/'Consumption Input Diff.'!T164,"NA")</f>
        <v>0</v>
      </c>
      <c r="U52" s="421">
        <f>IFERROR(('Consumption Input'!U53-'Consumption Input Diff.'!U164)/'Consumption Input Diff.'!U164,"NA")</f>
        <v>0</v>
      </c>
      <c r="V52" s="421">
        <f>IFERROR(('Consumption Input'!V53-'Consumption Input Diff.'!V164)/'Consumption Input Diff.'!V164,"NA")</f>
        <v>0</v>
      </c>
      <c r="W52" s="421">
        <f>IFERROR(('Consumption Input'!W53-'Consumption Input Diff.'!W164)/'Consumption Input Diff.'!W164,"NA")</f>
        <v>0</v>
      </c>
      <c r="X52" s="421">
        <f>IFERROR(('Consumption Input'!X53-'Consumption Input Diff.'!X164)/'Consumption Input Diff.'!X164,"NA")</f>
        <v>0</v>
      </c>
      <c r="Y52" s="421">
        <f>IFERROR(('Consumption Input'!Y53-'Consumption Input Diff.'!Y164)/'Consumption Input Diff.'!Y164,"NA")</f>
        <v>2.0071364852809959E-2</v>
      </c>
      <c r="Z52" s="421">
        <f>IFERROR(('Consumption Input'!Z53-'Consumption Input Diff.'!Z164)/'Consumption Input Diff.'!Z164,"NA")</f>
        <v>1.9729549988915879E-2</v>
      </c>
      <c r="AA52" s="421">
        <f>IFERROR(('Consumption Input'!AA53-'Consumption Input Diff.'!AA164)/'Consumption Input Diff.'!AA164,"NA")</f>
        <v>3.4561684596017349E-2</v>
      </c>
      <c r="AB52" s="421">
        <f>IFERROR(('Consumption Input'!AB53-'Consumption Input Diff.'!AB164)/'Consumption Input Diff.'!AB164,"NA")</f>
        <v>0.17266602502406148</v>
      </c>
      <c r="AC52" s="421">
        <f>IFERROR(('Consumption Input'!AC53-'Consumption Input Diff.'!AC164)/'Consumption Input Diff.'!AC164,"NA")</f>
        <v>0.27398863256435979</v>
      </c>
      <c r="AD52" s="421">
        <f>IFERROR(('Consumption Input'!AD53-'Consumption Input Diff.'!AD164)/'Consumption Input Diff.'!AD164,"NA")</f>
        <v>0.30316860086060771</v>
      </c>
      <c r="AE52" s="421">
        <f>IFERROR(('Consumption Input'!AE53-'Consumption Input Diff.'!AE164)/'Consumption Input Diff.'!AE164,"NA")</f>
        <v>0.33805049247141411</v>
      </c>
      <c r="AF52" s="421">
        <f>IFERROR(('Consumption Input'!AF53-'Consumption Input Diff.'!AF164)/'Consumption Input Diff.'!AF164,"NA")</f>
        <v>0.35572084882957788</v>
      </c>
      <c r="AG52" s="421">
        <f>IFERROR(('Consumption Input'!AG53-'Consumption Input Diff.'!AG164)/'Consumption Input Diff.'!AG164,"NA")</f>
        <v>0.41281218501511935</v>
      </c>
      <c r="AH52" s="421">
        <f>IFERROR(('Consumption Input'!AH53-'Consumption Input Diff.'!AH164)/'Consumption Input Diff.'!AH164,"NA")</f>
        <v>0.43690325549292536</v>
      </c>
      <c r="AI52" s="421">
        <f>IFERROR(('Consumption Input'!AI53-'Consumption Input Diff.'!AI164)/'Consumption Input Diff.'!AI164,"NA")</f>
        <v>0.89251313485113837</v>
      </c>
      <c r="AJ52" s="421">
        <f>IFERROR(('Consumption Input'!AJ53-'Consumption Input Diff.'!AJ164)/'Consumption Input Diff.'!AJ164,"NA")</f>
        <v>1.1370402802101578</v>
      </c>
      <c r="AK52" s="5">
        <f>'Consumption Input'!V53-V164</f>
        <v>0</v>
      </c>
      <c r="AL52" s="5">
        <f>'Consumption Input'!W53-W164</f>
        <v>0</v>
      </c>
      <c r="AM52" s="5">
        <f>'Consumption Input'!X53-X164</f>
        <v>0</v>
      </c>
      <c r="AN52" s="5">
        <f>'Consumption Input'!Y53-Y164</f>
        <v>8.9999999999999858E-2</v>
      </c>
      <c r="AO52" s="5">
        <f>'Consumption Input'!Z53-Z164</f>
        <v>8.8999999999999524E-2</v>
      </c>
      <c r="AP52" s="5">
        <f>'Consumption Input'!AA53-AA164</f>
        <v>0.1509999999999998</v>
      </c>
      <c r="AQ52" s="5">
        <f>'Consumption Input'!AB53-AB164</f>
        <v>0.89699999999999935</v>
      </c>
      <c r="AR52" s="5">
        <f>'Consumption Input'!AC53-AC164</f>
        <v>1.6390000000000002</v>
      </c>
      <c r="AS52" s="5">
        <f>'Consumption Input'!AD53-AD164</f>
        <v>2.3250000000000002</v>
      </c>
      <c r="AT52" s="5">
        <f>'Consumption Input'!AE53-AE164</f>
        <v>2.9860000000000007</v>
      </c>
      <c r="AU52" s="5">
        <f>'Consumption Input'!AF53-AF164</f>
        <v>3.2520000000000007</v>
      </c>
      <c r="AV52" s="5">
        <f>'Consumption Input'!AG53-AG164</f>
        <v>3.6859999999999999</v>
      </c>
      <c r="AW52" s="5">
        <f>'Consumption Input'!AH53-AH164</f>
        <v>3.798</v>
      </c>
      <c r="AX52" s="5">
        <f>'Consumption Input'!AI53-AI164</f>
        <v>4.077</v>
      </c>
      <c r="AY52" s="5">
        <f>'Consumption Input'!AJ53-AJ164</f>
        <v>5.1940000000000008</v>
      </c>
      <c r="AZ52" s="21">
        <v>19</v>
      </c>
      <c r="BA52" s="5" t="s">
        <v>1445</v>
      </c>
      <c r="BB52" s="482">
        <v>176</v>
      </c>
      <c r="BC52" s="482">
        <v>157.44999999999999</v>
      </c>
      <c r="BD52" s="482">
        <v>160.52699999999996</v>
      </c>
      <c r="BE52" s="482">
        <v>163.458</v>
      </c>
      <c r="BF52" s="482">
        <v>170.846</v>
      </c>
      <c r="BG52" s="482">
        <v>167.91300000000001</v>
      </c>
      <c r="BH52" s="482">
        <v>162.95699999999999</v>
      </c>
      <c r="BI52" s="482">
        <v>172.14599999999999</v>
      </c>
      <c r="BJ52" s="482">
        <v>180.21199999999999</v>
      </c>
      <c r="BK52" s="482">
        <v>182.09700000000001</v>
      </c>
      <c r="BL52" s="482">
        <v>179.36600000000001</v>
      </c>
      <c r="BM52" s="482">
        <v>164.33899999999997</v>
      </c>
      <c r="BN52" s="482">
        <v>162.392</v>
      </c>
      <c r="BO52" s="482">
        <v>150.13399999999999</v>
      </c>
      <c r="BP52" s="482">
        <v>152.102</v>
      </c>
      <c r="BQ52" s="482">
        <v>151.30699999999999</v>
      </c>
      <c r="BR52" s="482">
        <v>147.41399999999999</v>
      </c>
      <c r="BS52" s="482">
        <v>152.23099999999999</v>
      </c>
      <c r="BT52" s="482">
        <v>141.33000000000001</v>
      </c>
      <c r="BU52" s="482">
        <v>127.06500000000001</v>
      </c>
      <c r="BV52" s="482">
        <v>154.773</v>
      </c>
      <c r="BW52" s="482">
        <v>148.37200000000001</v>
      </c>
      <c r="BX52" s="482">
        <v>135.40799999999999</v>
      </c>
      <c r="BY52" s="482">
        <v>143.36099999999999</v>
      </c>
      <c r="BZ52" s="482">
        <v>149.36099999999999</v>
      </c>
      <c r="CA52" s="482">
        <v>162.81100000000001</v>
      </c>
      <c r="CB52" s="482">
        <v>154.351</v>
      </c>
      <c r="CC52" s="482">
        <v>141.983</v>
      </c>
      <c r="CD52" s="482">
        <v>136.98599999999999</v>
      </c>
      <c r="CE52" s="482">
        <v>131.32900000000001</v>
      </c>
      <c r="CF52" s="482">
        <v>115.61499999999999</v>
      </c>
      <c r="CG52" s="480">
        <v>118.586</v>
      </c>
    </row>
    <row r="53" spans="2:85">
      <c r="B53" s="456">
        <v>50</v>
      </c>
      <c r="D53" s="45" t="s">
        <v>1610</v>
      </c>
      <c r="E53" s="421">
        <f>IFERROR(('Consumption Input'!E54-'Consumption Input Diff.'!E165)/'Consumption Input Diff.'!E165,"NA")</f>
        <v>0</v>
      </c>
      <c r="F53" s="421">
        <f>IFERROR(('Consumption Input'!F54-'Consumption Input Diff.'!F165)/'Consumption Input Diff.'!F165,"NA")</f>
        <v>0</v>
      </c>
      <c r="G53" s="421">
        <f>IFERROR(('Consumption Input'!G54-'Consumption Input Diff.'!G165)/'Consumption Input Diff.'!G165,"NA")</f>
        <v>0</v>
      </c>
      <c r="H53" s="421">
        <f>IFERROR(('Consumption Input'!H54-'Consumption Input Diff.'!H165)/'Consumption Input Diff.'!H165,"NA")</f>
        <v>0</v>
      </c>
      <c r="I53" s="421">
        <f>IFERROR(('Consumption Input'!I54-'Consumption Input Diff.'!I165)/'Consumption Input Diff.'!I165,"NA")</f>
        <v>0</v>
      </c>
      <c r="J53" s="421">
        <f>IFERROR(('Consumption Input'!J54-'Consumption Input Diff.'!J165)/'Consumption Input Diff.'!J165,"NA")</f>
        <v>0</v>
      </c>
      <c r="K53" s="421">
        <f>IFERROR(('Consumption Input'!K54-'Consumption Input Diff.'!K165)/'Consumption Input Diff.'!K165,"NA")</f>
        <v>0</v>
      </c>
      <c r="L53" s="421">
        <f>IFERROR(('Consumption Input'!L54-'Consumption Input Diff.'!L165)/'Consumption Input Diff.'!L165,"NA")</f>
        <v>0</v>
      </c>
      <c r="M53" s="421">
        <f>IFERROR(('Consumption Input'!M54-'Consumption Input Diff.'!M165)/'Consumption Input Diff.'!M165,"NA")</f>
        <v>0</v>
      </c>
      <c r="N53" s="421">
        <f>IFERROR(('Consumption Input'!N54-'Consumption Input Diff.'!N165)/'Consumption Input Diff.'!N165,"NA")</f>
        <v>0</v>
      </c>
      <c r="O53" s="421">
        <f>IFERROR(('Consumption Input'!O54-'Consumption Input Diff.'!O165)/'Consumption Input Diff.'!O165,"NA")</f>
        <v>0</v>
      </c>
      <c r="P53" s="421">
        <f>IFERROR(('Consumption Input'!P54-'Consumption Input Diff.'!P165)/'Consumption Input Diff.'!P165,"NA")</f>
        <v>0</v>
      </c>
      <c r="Q53" s="421">
        <f>IFERROR(('Consumption Input'!Q54-'Consumption Input Diff.'!Q165)/'Consumption Input Diff.'!Q165,"NA")</f>
        <v>0</v>
      </c>
      <c r="R53" s="421">
        <f>IFERROR(('Consumption Input'!R54-'Consumption Input Diff.'!R165)/'Consumption Input Diff.'!R165,"NA")</f>
        <v>0</v>
      </c>
      <c r="S53" s="421">
        <f>IFERROR(('Consumption Input'!S54-'Consumption Input Diff.'!S165)/'Consumption Input Diff.'!S165,"NA")</f>
        <v>0</v>
      </c>
      <c r="T53" s="421">
        <f>IFERROR(('Consumption Input'!T54-'Consumption Input Diff.'!T165)/'Consumption Input Diff.'!T165,"NA")</f>
        <v>0</v>
      </c>
      <c r="U53" s="421">
        <f>IFERROR(('Consumption Input'!U54-'Consumption Input Diff.'!U165)/'Consumption Input Diff.'!U165,"NA")</f>
        <v>0</v>
      </c>
      <c r="V53" s="421">
        <f>IFERROR(('Consumption Input'!V54-'Consumption Input Diff.'!V165)/'Consumption Input Diff.'!V165,"NA")</f>
        <v>0</v>
      </c>
      <c r="W53" s="421">
        <f>IFERROR(('Consumption Input'!W54-'Consumption Input Diff.'!W165)/'Consumption Input Diff.'!W165,"NA")</f>
        <v>0</v>
      </c>
      <c r="X53" s="421">
        <f>IFERROR(('Consumption Input'!X54-'Consumption Input Diff.'!X165)/'Consumption Input Diff.'!X165,"NA")</f>
        <v>0</v>
      </c>
      <c r="Y53" s="421">
        <f>IFERROR(('Consumption Input'!Y54-'Consumption Input Diff.'!Y165)/'Consumption Input Diff.'!Y165,"NA")</f>
        <v>0</v>
      </c>
      <c r="Z53" s="421">
        <f>IFERROR(('Consumption Input'!Z54-'Consumption Input Diff.'!Z165)/'Consumption Input Diff.'!Z165,"NA")</f>
        <v>0</v>
      </c>
      <c r="AA53" s="421">
        <f>IFERROR(('Consumption Input'!AA54-'Consumption Input Diff.'!AA165)/'Consumption Input Diff.'!AA165,"NA")</f>
        <v>0</v>
      </c>
      <c r="AB53" s="421">
        <f>IFERROR(('Consumption Input'!AB54-'Consumption Input Diff.'!AB165)/'Consumption Input Diff.'!AB165,"NA")</f>
        <v>0</v>
      </c>
      <c r="AC53" s="421">
        <f>IFERROR(('Consumption Input'!AC54-'Consumption Input Diff.'!AC165)/'Consumption Input Diff.'!AC165,"NA")</f>
        <v>0</v>
      </c>
      <c r="AD53" s="421">
        <f>IFERROR(('Consumption Input'!AD54-'Consumption Input Diff.'!AD165)/'Consumption Input Diff.'!AD165,"NA")</f>
        <v>0</v>
      </c>
      <c r="AE53" s="421">
        <f>IFERROR(('Consumption Input'!AE54-'Consumption Input Diff.'!AE165)/'Consumption Input Diff.'!AE165,"NA")</f>
        <v>0</v>
      </c>
      <c r="AF53" s="421">
        <f>IFERROR(('Consumption Input'!AF54-'Consumption Input Diff.'!AF165)/'Consumption Input Diff.'!AF165,"NA")</f>
        <v>0</v>
      </c>
      <c r="AG53" s="421">
        <f>IFERROR(('Consumption Input'!AG54-'Consumption Input Diff.'!AG165)/'Consumption Input Diff.'!AG165,"NA")</f>
        <v>0</v>
      </c>
      <c r="AH53" s="421">
        <f>IFERROR(('Consumption Input'!AH54-'Consumption Input Diff.'!AH165)/'Consumption Input Diff.'!AH165,"NA")</f>
        <v>0</v>
      </c>
      <c r="AI53" s="421">
        <f>IFERROR(('Consumption Input'!AI54-'Consumption Input Diff.'!AI165)/'Consumption Input Diff.'!AI165,"NA")</f>
        <v>0</v>
      </c>
      <c r="AJ53" s="421">
        <f>IFERROR(('Consumption Input'!AJ54-'Consumption Input Diff.'!AJ165)/'Consumption Input Diff.'!AJ165,"NA")</f>
        <v>3.8115797817616245E-3</v>
      </c>
      <c r="AK53" s="5">
        <f>'Consumption Input'!V54-V165</f>
        <v>0</v>
      </c>
      <c r="AL53" s="5">
        <f>'Consumption Input'!W54-W165</f>
        <v>0</v>
      </c>
      <c r="AM53" s="5">
        <f>'Consumption Input'!X54-X165</f>
        <v>0</v>
      </c>
      <c r="AN53" s="5">
        <f>'Consumption Input'!Y54-Y165</f>
        <v>0</v>
      </c>
      <c r="AO53" s="5">
        <f>'Consumption Input'!Z54-Z165</f>
        <v>0</v>
      </c>
      <c r="AP53" s="5">
        <f>'Consumption Input'!AA54-AA165</f>
        <v>0</v>
      </c>
      <c r="AQ53" s="5">
        <f>'Consumption Input'!AB54-AB165</f>
        <v>0</v>
      </c>
      <c r="AR53" s="5">
        <f>'Consumption Input'!AC54-AC165</f>
        <v>0</v>
      </c>
      <c r="AS53" s="5">
        <f>'Consumption Input'!AD54-AD165</f>
        <v>0</v>
      </c>
      <c r="AT53" s="5">
        <f>'Consumption Input'!AE54-AE165</f>
        <v>0</v>
      </c>
      <c r="AU53" s="5">
        <f>'Consumption Input'!AF54-AF165</f>
        <v>0</v>
      </c>
      <c r="AV53" s="5">
        <f>'Consumption Input'!AG54-AG165</f>
        <v>0</v>
      </c>
      <c r="AW53" s="5">
        <f>'Consumption Input'!AH54-AH165</f>
        <v>0</v>
      </c>
      <c r="AX53" s="5">
        <f>'Consumption Input'!AI54-AI165</f>
        <v>0</v>
      </c>
      <c r="AY53" s="5">
        <f>'Consumption Input'!AJ54-AJ165</f>
        <v>0.45199999999998397</v>
      </c>
      <c r="AZ53" s="21">
        <v>20</v>
      </c>
      <c r="BA53" s="6" t="s">
        <v>1610</v>
      </c>
      <c r="BB53" s="480">
        <v>176</v>
      </c>
      <c r="BC53" s="480">
        <v>157.44999999999999</v>
      </c>
      <c r="BD53" s="480">
        <v>160.52699999999996</v>
      </c>
      <c r="BE53" s="480">
        <v>163.458</v>
      </c>
      <c r="BF53" s="480">
        <v>170.846</v>
      </c>
      <c r="BG53" s="480">
        <v>167.91300000000001</v>
      </c>
      <c r="BH53" s="480">
        <v>162.95699999999999</v>
      </c>
      <c r="BI53" s="480">
        <v>172.14599999999999</v>
      </c>
      <c r="BJ53" s="480">
        <v>180.21199999999999</v>
      </c>
      <c r="BK53" s="480">
        <v>182.09700000000001</v>
      </c>
      <c r="BL53" s="480">
        <v>179.36600000000001</v>
      </c>
      <c r="BM53" s="480">
        <v>164.33899999999997</v>
      </c>
      <c r="BN53" s="480">
        <v>162.392</v>
      </c>
      <c r="BO53" s="480">
        <v>150.13399999999999</v>
      </c>
      <c r="BP53" s="480">
        <v>152.102</v>
      </c>
      <c r="BQ53" s="480">
        <v>151.30699999999999</v>
      </c>
      <c r="BR53" s="480">
        <v>147.41399999999999</v>
      </c>
      <c r="BS53" s="480">
        <v>152.23099999999999</v>
      </c>
      <c r="BT53" s="480">
        <v>141.33000000000001</v>
      </c>
      <c r="BU53" s="480">
        <v>127.06500000000001</v>
      </c>
      <c r="BV53" s="480">
        <v>154.773</v>
      </c>
      <c r="BW53" s="480">
        <v>148.37200000000001</v>
      </c>
      <c r="BX53" s="480">
        <v>135.40799999999999</v>
      </c>
      <c r="BY53" s="480">
        <v>143.36099999999999</v>
      </c>
      <c r="BZ53" s="480">
        <v>149.36099999999999</v>
      </c>
      <c r="CA53" s="480">
        <v>162.81100000000001</v>
      </c>
      <c r="CB53" s="480">
        <v>154.351</v>
      </c>
      <c r="CC53" s="480">
        <v>141.983</v>
      </c>
      <c r="CD53" s="480">
        <v>136.98599999999999</v>
      </c>
      <c r="CE53" s="480">
        <v>131.32900000000001</v>
      </c>
      <c r="CF53" s="480">
        <v>115.61499999999999</v>
      </c>
      <c r="CG53" s="480">
        <v>118.586</v>
      </c>
    </row>
    <row r="54" spans="2:85">
      <c r="B54" s="456">
        <v>51</v>
      </c>
      <c r="D54" s="45" t="s">
        <v>1601</v>
      </c>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c r="AJ54" s="421"/>
      <c r="AK54" s="5"/>
      <c r="AL54" s="5"/>
      <c r="AM54" s="5"/>
      <c r="AN54" s="5"/>
      <c r="AO54" s="5"/>
      <c r="AP54" s="5"/>
      <c r="AQ54" s="5"/>
      <c r="AR54" s="5"/>
      <c r="AS54" s="5"/>
      <c r="AT54" s="5"/>
      <c r="AU54" s="5"/>
      <c r="AV54" s="5"/>
      <c r="AW54" s="5"/>
      <c r="AX54" s="5"/>
      <c r="AY54" s="5"/>
      <c r="AZ54" s="21">
        <v>21</v>
      </c>
      <c r="BA54" s="5" t="s">
        <v>1476</v>
      </c>
      <c r="BB54" s="483">
        <v>50.817426838388144</v>
      </c>
      <c r="BC54" s="483">
        <v>64.392210830673108</v>
      </c>
      <c r="BD54" s="483">
        <v>35.584726269756771</v>
      </c>
      <c r="BE54" s="483">
        <v>38.82687997842676</v>
      </c>
      <c r="BF54" s="483">
        <v>30.384964583127942</v>
      </c>
      <c r="BG54" s="483">
        <v>55.440855107745996</v>
      </c>
      <c r="BH54" s="483">
        <v>72.741515904336197</v>
      </c>
      <c r="BI54" s="483">
        <v>77.404311671140903</v>
      </c>
      <c r="BJ54" s="483">
        <v>76.60236589583549</v>
      </c>
      <c r="BK54" s="483">
        <v>135.24424760711611</v>
      </c>
      <c r="BL54" s="483">
        <v>140.82437068440578</v>
      </c>
      <c r="BM54" s="483">
        <v>85.513379103072083</v>
      </c>
      <c r="BN54" s="483">
        <v>140.23174983666777</v>
      </c>
      <c r="BO54" s="483">
        <v>120.62307560578336</v>
      </c>
      <c r="BP54" s="483">
        <v>113.39347688504112</v>
      </c>
      <c r="BQ54" s="483">
        <v>114.92968618294523</v>
      </c>
      <c r="BR54" s="483">
        <v>98.559137302910813</v>
      </c>
      <c r="BS54" s="483">
        <v>110.98064553734055</v>
      </c>
      <c r="BT54" s="483">
        <v>78.017961025666509</v>
      </c>
      <c r="BU54" s="483">
        <v>40.347229932612429</v>
      </c>
      <c r="BV54" s="483">
        <v>27.417366214417783</v>
      </c>
      <c r="BW54" s="483">
        <v>14.600021119828765</v>
      </c>
      <c r="BX54" s="483">
        <v>17.620195201115784</v>
      </c>
      <c r="BY54" s="483">
        <v>10.535102645808543</v>
      </c>
      <c r="BZ54" s="483">
        <v>10.65345324133561</v>
      </c>
      <c r="CA54" s="483">
        <v>10.348744679691782</v>
      </c>
      <c r="CB54" s="483">
        <v>10.512288057953826</v>
      </c>
      <c r="CC54" s="483">
        <v>3.4910608509255567</v>
      </c>
      <c r="CD54" s="483">
        <v>3.5746380564039066</v>
      </c>
      <c r="CE54" s="483">
        <v>3.6425698478538049</v>
      </c>
      <c r="CF54" s="483">
        <v>3.6423791873538054</v>
      </c>
      <c r="CG54" s="480">
        <v>3.6429511688538048</v>
      </c>
    </row>
    <row r="55" spans="2:85">
      <c r="B55" s="456">
        <v>52</v>
      </c>
      <c r="D55" s="45" t="s">
        <v>1602</v>
      </c>
      <c r="E55" s="421">
        <f>IFERROR(('Consumption Input'!E56-'Consumption Input Diff.'!E167)/'Consumption Input Diff.'!E167,"NA")</f>
        <v>0</v>
      </c>
      <c r="F55" s="421">
        <f>IFERROR(('Consumption Input'!F56-'Consumption Input Diff.'!F167)/'Consumption Input Diff.'!F167,"NA")</f>
        <v>0</v>
      </c>
      <c r="G55" s="421">
        <f>IFERROR(('Consumption Input'!G56-'Consumption Input Diff.'!G167)/'Consumption Input Diff.'!G167,"NA")</f>
        <v>0</v>
      </c>
      <c r="H55" s="421">
        <f>IFERROR(('Consumption Input'!H56-'Consumption Input Diff.'!H167)/'Consumption Input Diff.'!H167,"NA")</f>
        <v>0</v>
      </c>
      <c r="I55" s="421">
        <f>IFERROR(('Consumption Input'!I56-'Consumption Input Diff.'!I167)/'Consumption Input Diff.'!I167,"NA")</f>
        <v>0</v>
      </c>
      <c r="J55" s="421">
        <f>IFERROR(('Consumption Input'!J56-'Consumption Input Diff.'!J167)/'Consumption Input Diff.'!J167,"NA")</f>
        <v>0</v>
      </c>
      <c r="K55" s="421">
        <f>IFERROR(('Consumption Input'!K56-'Consumption Input Diff.'!K167)/'Consumption Input Diff.'!K167,"NA")</f>
        <v>0</v>
      </c>
      <c r="L55" s="421">
        <f>IFERROR(('Consumption Input'!L56-'Consumption Input Diff.'!L167)/'Consumption Input Diff.'!L167,"NA")</f>
        <v>0</v>
      </c>
      <c r="M55" s="421">
        <f>IFERROR(('Consumption Input'!M56-'Consumption Input Diff.'!M167)/'Consumption Input Diff.'!M167,"NA")</f>
        <v>0</v>
      </c>
      <c r="N55" s="421">
        <f>IFERROR(('Consumption Input'!N56-'Consumption Input Diff.'!N167)/'Consumption Input Diff.'!N167,"NA")</f>
        <v>0</v>
      </c>
      <c r="O55" s="421">
        <f>IFERROR(('Consumption Input'!O56-'Consumption Input Diff.'!O167)/'Consumption Input Diff.'!O167,"NA")</f>
        <v>0</v>
      </c>
      <c r="P55" s="421">
        <f>IFERROR(('Consumption Input'!P56-'Consumption Input Diff.'!P167)/'Consumption Input Diff.'!P167,"NA")</f>
        <v>0</v>
      </c>
      <c r="Q55" s="421">
        <f>IFERROR(('Consumption Input'!Q56-'Consumption Input Diff.'!Q167)/'Consumption Input Diff.'!Q167,"NA")</f>
        <v>0</v>
      </c>
      <c r="R55" s="421">
        <f>IFERROR(('Consumption Input'!R56-'Consumption Input Diff.'!R167)/'Consumption Input Diff.'!R167,"NA")</f>
        <v>0</v>
      </c>
      <c r="S55" s="421">
        <f>IFERROR(('Consumption Input'!S56-'Consumption Input Diff.'!S167)/'Consumption Input Diff.'!S167,"NA")</f>
        <v>0</v>
      </c>
      <c r="T55" s="421">
        <f>IFERROR(('Consumption Input'!T56-'Consumption Input Diff.'!T167)/'Consumption Input Diff.'!T167,"NA")</f>
        <v>0</v>
      </c>
      <c r="U55" s="421">
        <f>IFERROR(('Consumption Input'!U56-'Consumption Input Diff.'!U167)/'Consumption Input Diff.'!U167,"NA")</f>
        <v>0</v>
      </c>
      <c r="V55" s="421">
        <f>IFERROR(('Consumption Input'!V56-'Consumption Input Diff.'!V167)/'Consumption Input Diff.'!V167,"NA")</f>
        <v>0</v>
      </c>
      <c r="W55" s="421">
        <f>IFERROR(('Consumption Input'!W56-'Consumption Input Diff.'!W167)/'Consumption Input Diff.'!W167,"NA")</f>
        <v>0</v>
      </c>
      <c r="X55" s="421">
        <f>IFERROR(('Consumption Input'!X56-'Consumption Input Diff.'!X167)/'Consumption Input Diff.'!X167,"NA")</f>
        <v>0</v>
      </c>
      <c r="Y55" s="421">
        <f>IFERROR(('Consumption Input'!Y56-'Consumption Input Diff.'!Y167)/'Consumption Input Diff.'!Y167,"NA")</f>
        <v>0</v>
      </c>
      <c r="Z55" s="421">
        <f>IFERROR(('Consumption Input'!Z56-'Consumption Input Diff.'!Z167)/'Consumption Input Diff.'!Z167,"NA")</f>
        <v>0</v>
      </c>
      <c r="AA55" s="421">
        <f>IFERROR(('Consumption Input'!AA56-'Consumption Input Diff.'!AA167)/'Consumption Input Diff.'!AA167,"NA")</f>
        <v>0</v>
      </c>
      <c r="AB55" s="421">
        <f>IFERROR(('Consumption Input'!AB56-'Consumption Input Diff.'!AB167)/'Consumption Input Diff.'!AB167,"NA")</f>
        <v>0</v>
      </c>
      <c r="AC55" s="421">
        <f>IFERROR(('Consumption Input'!AC56-'Consumption Input Diff.'!AC167)/'Consumption Input Diff.'!AC167,"NA")</f>
        <v>0</v>
      </c>
      <c r="AD55" s="421">
        <f>IFERROR(('Consumption Input'!AD56-'Consumption Input Diff.'!AD167)/'Consumption Input Diff.'!AD167,"NA")</f>
        <v>0</v>
      </c>
      <c r="AE55" s="421">
        <f>IFERROR(('Consumption Input'!AE56-'Consumption Input Diff.'!AE167)/'Consumption Input Diff.'!AE167,"NA")</f>
        <v>0</v>
      </c>
      <c r="AF55" s="421">
        <f>IFERROR(('Consumption Input'!AF56-'Consumption Input Diff.'!AF167)/'Consumption Input Diff.'!AF167,"NA")</f>
        <v>0</v>
      </c>
      <c r="AG55" s="421">
        <f>IFERROR(('Consumption Input'!AG56-'Consumption Input Diff.'!AG167)/'Consumption Input Diff.'!AG167,"NA")</f>
        <v>0</v>
      </c>
      <c r="AH55" s="421">
        <f>IFERROR(('Consumption Input'!AH56-'Consumption Input Diff.'!AH167)/'Consumption Input Diff.'!AH167,"NA")</f>
        <v>0</v>
      </c>
      <c r="AI55" s="421">
        <f>IFERROR(('Consumption Input'!AI56-'Consumption Input Diff.'!AI167)/'Consumption Input Diff.'!AI167,"NA")</f>
        <v>0</v>
      </c>
      <c r="AJ55" s="421">
        <f>IFERROR(('Consumption Input'!AJ56-'Consumption Input Diff.'!AJ167)/'Consumption Input Diff.'!AJ167,"NA")</f>
        <v>7.3578803537549366E-3</v>
      </c>
      <c r="AK55" s="5">
        <f>'Consumption Input'!V56-V167</f>
        <v>0</v>
      </c>
      <c r="AL55" s="5">
        <f>'Consumption Input'!W56-W167</f>
        <v>0</v>
      </c>
      <c r="AM55" s="5">
        <f>'Consumption Input'!X56-X167</f>
        <v>0</v>
      </c>
      <c r="AN55" s="5">
        <f>'Consumption Input'!Y56-Y167</f>
        <v>0</v>
      </c>
      <c r="AO55" s="5">
        <f>'Consumption Input'!Z56-Z167</f>
        <v>0</v>
      </c>
      <c r="AP55" s="5">
        <f>'Consumption Input'!AA56-AA167</f>
        <v>0</v>
      </c>
      <c r="AQ55" s="5">
        <f>'Consumption Input'!AB56-AB167</f>
        <v>0</v>
      </c>
      <c r="AR55" s="5">
        <f>'Consumption Input'!AC56-AC167</f>
        <v>0</v>
      </c>
      <c r="AS55" s="5">
        <f>'Consumption Input'!AD56-AD167</f>
        <v>0</v>
      </c>
      <c r="AT55" s="5">
        <f>'Consumption Input'!AE56-AE167</f>
        <v>0</v>
      </c>
      <c r="AU55" s="5">
        <f>'Consumption Input'!AF56-AF167</f>
        <v>0</v>
      </c>
      <c r="AV55" s="5">
        <f>'Consumption Input'!AG56-AG167</f>
        <v>0</v>
      </c>
      <c r="AW55" s="5">
        <f>'Consumption Input'!AH56-AH167</f>
        <v>0</v>
      </c>
      <c r="AX55" s="5">
        <f>'Consumption Input'!AI56-AI167</f>
        <v>0</v>
      </c>
      <c r="AY55" s="5">
        <f>'Consumption Input'!AJ56-AJ167</f>
        <v>4.4909999999999854</v>
      </c>
      <c r="AZ55" s="21">
        <v>22</v>
      </c>
      <c r="BA55" s="6" t="s">
        <v>1610</v>
      </c>
      <c r="BB55" s="480">
        <v>0.70887719999999999</v>
      </c>
      <c r="BC55" s="480">
        <v>0.59589989625000006</v>
      </c>
      <c r="BD55" s="480">
        <v>1.4709201899999997</v>
      </c>
      <c r="BE55" s="480">
        <v>1.7262798491609597</v>
      </c>
      <c r="BF55" s="480">
        <v>1.8873855450000001</v>
      </c>
      <c r="BG55" s="480">
        <v>2.0092238137500003</v>
      </c>
      <c r="BH55" s="480">
        <v>1.4692859956352455</v>
      </c>
      <c r="BI55" s="480">
        <v>2.4699939937500002</v>
      </c>
      <c r="BJ55" s="480">
        <v>1.2671179950000002</v>
      </c>
      <c r="BK55" s="480">
        <v>1.3778800575000003</v>
      </c>
      <c r="BL55" s="480">
        <v>3.1041098278483639</v>
      </c>
      <c r="BM55" s="480">
        <v>2.514626553071917</v>
      </c>
      <c r="BN55" s="480">
        <v>3.0250545519965732</v>
      </c>
      <c r="BO55" s="480">
        <v>4.8564218045650707</v>
      </c>
      <c r="BP55" s="480">
        <v>5.072055102459017</v>
      </c>
      <c r="BQ55" s="480">
        <v>4.5822113527397264</v>
      </c>
      <c r="BR55" s="480">
        <v>6.1902337340753419</v>
      </c>
      <c r="BS55" s="480">
        <v>5.9368640874089742</v>
      </c>
      <c r="BT55" s="480">
        <v>2.6563538523058252</v>
      </c>
      <c r="BU55" s="480">
        <v>1.0411633874999999</v>
      </c>
      <c r="BV55" s="480">
        <v>1.0411633874999999</v>
      </c>
      <c r="BW55" s="480">
        <v>1.0411633874999999</v>
      </c>
      <c r="BX55" s="480">
        <v>1.0411633874999999</v>
      </c>
      <c r="BY55" s="480">
        <v>1.0411633874999999</v>
      </c>
      <c r="BZ55" s="480">
        <v>1.0411633874999999</v>
      </c>
      <c r="CA55" s="480">
        <v>1.0411633874999999</v>
      </c>
      <c r="CB55" s="480">
        <v>1.0411633874999999</v>
      </c>
      <c r="CC55" s="480">
        <v>1.0411633874999999</v>
      </c>
      <c r="CD55" s="480">
        <v>1.0411633874999999</v>
      </c>
      <c r="CE55" s="480">
        <v>1.0411633874999999</v>
      </c>
      <c r="CF55" s="480">
        <v>1.0411633874999999</v>
      </c>
      <c r="CG55" s="480">
        <v>1.0411633874999999</v>
      </c>
    </row>
    <row r="56" spans="2:85">
      <c r="B56" s="456">
        <v>53</v>
      </c>
      <c r="C56" s="458" t="s">
        <v>1474</v>
      </c>
      <c r="D56" s="4"/>
      <c r="E56" s="462"/>
      <c r="F56" s="462"/>
      <c r="G56" s="462"/>
      <c r="H56" s="462"/>
      <c r="I56" s="462"/>
      <c r="J56" s="462"/>
      <c r="K56" s="462"/>
      <c r="L56" s="462"/>
      <c r="M56" s="462"/>
      <c r="N56" s="462"/>
      <c r="O56" s="462"/>
      <c r="P56" s="462"/>
      <c r="Q56" s="462"/>
      <c r="R56" s="462"/>
      <c r="S56" s="462"/>
      <c r="T56" s="462"/>
      <c r="U56" s="462"/>
      <c r="V56" s="462"/>
      <c r="W56" s="462"/>
      <c r="X56" s="462"/>
      <c r="Y56" s="462"/>
      <c r="Z56" s="462"/>
      <c r="AA56" s="462"/>
      <c r="AB56" s="462"/>
      <c r="AC56" s="462"/>
      <c r="AD56" s="462"/>
      <c r="AE56" s="462"/>
      <c r="AF56" s="462"/>
      <c r="AG56" s="462"/>
      <c r="AH56" s="462"/>
      <c r="AI56" s="462"/>
      <c r="AJ56" s="462"/>
      <c r="AK56" s="5"/>
      <c r="AL56" s="5"/>
      <c r="AM56" s="5"/>
      <c r="AN56" s="5"/>
      <c r="AO56" s="5"/>
      <c r="AP56" s="5"/>
      <c r="AQ56" s="5"/>
      <c r="AR56" s="5"/>
      <c r="AS56" s="5"/>
      <c r="AT56" s="5"/>
      <c r="AU56" s="5"/>
      <c r="AV56" s="5"/>
      <c r="AW56" s="5"/>
      <c r="AX56" s="5"/>
      <c r="AY56" s="5"/>
      <c r="AZ56" s="21">
        <v>23</v>
      </c>
      <c r="BA56" s="6" t="s">
        <v>1785</v>
      </c>
      <c r="BB56" s="480">
        <v>50.108549638388141</v>
      </c>
      <c r="BC56" s="480">
        <v>63.796310934423104</v>
      </c>
      <c r="BD56" s="480">
        <v>34.11380607975677</v>
      </c>
      <c r="BE56" s="480">
        <v>37.1006001292658</v>
      </c>
      <c r="BF56" s="480">
        <v>28.497579038127942</v>
      </c>
      <c r="BG56" s="480">
        <v>53.431631293995999</v>
      </c>
      <c r="BH56" s="480">
        <v>71.27222990870095</v>
      </c>
      <c r="BI56" s="480">
        <v>74.934317677390908</v>
      </c>
      <c r="BJ56" s="480">
        <v>75.335247900835483</v>
      </c>
      <c r="BK56" s="480">
        <v>133.86636754961611</v>
      </c>
      <c r="BL56" s="480">
        <v>137.72026085655742</v>
      </c>
      <c r="BM56" s="480">
        <v>82.998752550000162</v>
      </c>
      <c r="BN56" s="480">
        <v>137.20669528467121</v>
      </c>
      <c r="BO56" s="480">
        <v>115.76665380121828</v>
      </c>
      <c r="BP56" s="480">
        <v>108.32142178258211</v>
      </c>
      <c r="BQ56" s="480">
        <v>110.34747483020551</v>
      </c>
      <c r="BR56" s="480">
        <v>92.368903568835464</v>
      </c>
      <c r="BS56" s="480">
        <v>105.04378144993157</v>
      </c>
      <c r="BT56" s="480">
        <v>75.361607173360682</v>
      </c>
      <c r="BU56" s="480">
        <v>39.306066545112429</v>
      </c>
      <c r="BV56" s="480">
        <v>26.376202826917783</v>
      </c>
      <c r="BW56" s="480">
        <v>13.558857732328766</v>
      </c>
      <c r="BX56" s="480">
        <v>16.579031813615785</v>
      </c>
      <c r="BY56" s="480">
        <v>9.4939392583085436</v>
      </c>
      <c r="BZ56" s="480">
        <v>9.6122898538356107</v>
      </c>
      <c r="CA56" s="480">
        <v>9.3075812921917827</v>
      </c>
      <c r="CB56" s="480">
        <v>9.4711246704538272</v>
      </c>
      <c r="CC56" s="480">
        <v>2.449897463425557</v>
      </c>
      <c r="CD56" s="480">
        <v>2.5334746689039065</v>
      </c>
      <c r="CE56" s="480">
        <v>2.6014064603538047</v>
      </c>
      <c r="CF56" s="480">
        <v>2.6012157998538057</v>
      </c>
      <c r="CG56" s="480">
        <v>2.6017877813538051</v>
      </c>
    </row>
    <row r="57" spans="2:85">
      <c r="B57" s="456">
        <v>54</v>
      </c>
      <c r="D57" s="45" t="s">
        <v>1435</v>
      </c>
      <c r="E57" s="421">
        <f>IFERROR(('Consumption Input'!E58-'Consumption Input Diff.'!E169)/'Consumption Input Diff.'!E169,"NA")</f>
        <v>0</v>
      </c>
      <c r="F57" s="421">
        <f>IFERROR(('Consumption Input'!F58-'Consumption Input Diff.'!F169)/'Consumption Input Diff.'!F169,"NA")</f>
        <v>0</v>
      </c>
      <c r="G57" s="421">
        <f>IFERROR(('Consumption Input'!G58-'Consumption Input Diff.'!G169)/'Consumption Input Diff.'!G169,"NA")</f>
        <v>0</v>
      </c>
      <c r="H57" s="421">
        <f>IFERROR(('Consumption Input'!H58-'Consumption Input Diff.'!H169)/'Consumption Input Diff.'!H169,"NA")</f>
        <v>0</v>
      </c>
      <c r="I57" s="421">
        <f>IFERROR(('Consumption Input'!I58-'Consumption Input Diff.'!I169)/'Consumption Input Diff.'!I169,"NA")</f>
        <v>0</v>
      </c>
      <c r="J57" s="421">
        <f>IFERROR(('Consumption Input'!J58-'Consumption Input Diff.'!J169)/'Consumption Input Diff.'!J169,"NA")</f>
        <v>0</v>
      </c>
      <c r="K57" s="421">
        <f>IFERROR(('Consumption Input'!K58-'Consumption Input Diff.'!K169)/'Consumption Input Diff.'!K169,"NA")</f>
        <v>0</v>
      </c>
      <c r="L57" s="421">
        <f>IFERROR(('Consumption Input'!L58-'Consumption Input Diff.'!L169)/'Consumption Input Diff.'!L169,"NA")</f>
        <v>0</v>
      </c>
      <c r="M57" s="421">
        <f>IFERROR(('Consumption Input'!M58-'Consumption Input Diff.'!M169)/'Consumption Input Diff.'!M169,"NA")</f>
        <v>0</v>
      </c>
      <c r="N57" s="421">
        <f>IFERROR(('Consumption Input'!N58-'Consumption Input Diff.'!N169)/'Consumption Input Diff.'!N169,"NA")</f>
        <v>0</v>
      </c>
      <c r="O57" s="421">
        <f>IFERROR(('Consumption Input'!O58-'Consumption Input Diff.'!O169)/'Consumption Input Diff.'!O169,"NA")</f>
        <v>0</v>
      </c>
      <c r="P57" s="421">
        <f>IFERROR(('Consumption Input'!P58-'Consumption Input Diff.'!P169)/'Consumption Input Diff.'!P169,"NA")</f>
        <v>0</v>
      </c>
      <c r="Q57" s="421">
        <f>IFERROR(('Consumption Input'!Q58-'Consumption Input Diff.'!Q169)/'Consumption Input Diff.'!Q169,"NA")</f>
        <v>0</v>
      </c>
      <c r="R57" s="421">
        <f>IFERROR(('Consumption Input'!R58-'Consumption Input Diff.'!R169)/'Consumption Input Diff.'!R169,"NA")</f>
        <v>0</v>
      </c>
      <c r="S57" s="421">
        <f>IFERROR(('Consumption Input'!S58-'Consumption Input Diff.'!S169)/'Consumption Input Diff.'!S169,"NA")</f>
        <v>0</v>
      </c>
      <c r="T57" s="421">
        <f>IFERROR(('Consumption Input'!T58-'Consumption Input Diff.'!T169)/'Consumption Input Diff.'!T169,"NA")</f>
        <v>0</v>
      </c>
      <c r="U57" s="421">
        <f>IFERROR(('Consumption Input'!U58-'Consumption Input Diff.'!U169)/'Consumption Input Diff.'!U169,"NA")</f>
        <v>0</v>
      </c>
      <c r="V57" s="421">
        <f>IFERROR(('Consumption Input'!V58-'Consumption Input Diff.'!V169)/'Consumption Input Diff.'!V169,"NA")</f>
        <v>0</v>
      </c>
      <c r="W57" s="421">
        <f>IFERROR(('Consumption Input'!W58-'Consumption Input Diff.'!W169)/'Consumption Input Diff.'!W169,"NA")</f>
        <v>0</v>
      </c>
      <c r="X57" s="421">
        <f>IFERROR(('Consumption Input'!X58-'Consumption Input Diff.'!X169)/'Consumption Input Diff.'!X169,"NA")</f>
        <v>0</v>
      </c>
      <c r="Y57" s="421">
        <f>IFERROR(('Consumption Input'!Y58-'Consumption Input Diff.'!Y169)/'Consumption Input Diff.'!Y169,"NA")</f>
        <v>0</v>
      </c>
      <c r="Z57" s="421">
        <f>IFERROR(('Consumption Input'!Z58-'Consumption Input Diff.'!Z169)/'Consumption Input Diff.'!Z169,"NA")</f>
        <v>0</v>
      </c>
      <c r="AA57" s="421">
        <f>IFERROR(('Consumption Input'!AA58-'Consumption Input Diff.'!AA169)/'Consumption Input Diff.'!AA169,"NA")</f>
        <v>0</v>
      </c>
      <c r="AB57" s="421">
        <f>IFERROR(('Consumption Input'!AB58-'Consumption Input Diff.'!AB169)/'Consumption Input Diff.'!AB169,"NA")</f>
        <v>0</v>
      </c>
      <c r="AC57" s="421">
        <f>IFERROR(('Consumption Input'!AC58-'Consumption Input Diff.'!AC169)/'Consumption Input Diff.'!AC169,"NA")</f>
        <v>0</v>
      </c>
      <c r="AD57" s="421">
        <f>IFERROR(('Consumption Input'!AD58-'Consumption Input Diff.'!AD169)/'Consumption Input Diff.'!AD169,"NA")</f>
        <v>0</v>
      </c>
      <c r="AE57" s="421">
        <f>IFERROR(('Consumption Input'!AE58-'Consumption Input Diff.'!AE169)/'Consumption Input Diff.'!AE169,"NA")</f>
        <v>0</v>
      </c>
      <c r="AF57" s="421">
        <f>IFERROR(('Consumption Input'!AF58-'Consumption Input Diff.'!AF169)/'Consumption Input Diff.'!AF169,"NA")</f>
        <v>0</v>
      </c>
      <c r="AG57" s="421">
        <f>IFERROR(('Consumption Input'!AG58-'Consumption Input Diff.'!AG169)/'Consumption Input Diff.'!AG169,"NA")</f>
        <v>0</v>
      </c>
      <c r="AH57" s="421">
        <f>IFERROR(('Consumption Input'!AH58-'Consumption Input Diff.'!AH169)/'Consumption Input Diff.'!AH169,"NA")</f>
        <v>0</v>
      </c>
      <c r="AI57" s="421">
        <f>IFERROR(('Consumption Input'!AI58-'Consumption Input Diff.'!AI169)/'Consumption Input Diff.'!AI169,"NA")</f>
        <v>0</v>
      </c>
      <c r="AJ57" s="421">
        <f>IFERROR(('Consumption Input'!AJ58-'Consumption Input Diff.'!AJ169)/'Consumption Input Diff.'!AJ169,"NA")</f>
        <v>1.3731565583792333E-4</v>
      </c>
      <c r="AK57" s="5">
        <f>'Consumption Input'!V58-V169</f>
        <v>0</v>
      </c>
      <c r="AL57" s="5">
        <f>'Consumption Input'!W58-W169</f>
        <v>0</v>
      </c>
      <c r="AM57" s="5">
        <f>'Consumption Input'!X58-X169</f>
        <v>0</v>
      </c>
      <c r="AN57" s="5">
        <f>'Consumption Input'!Y58-Y169</f>
        <v>0</v>
      </c>
      <c r="AO57" s="5">
        <f>'Consumption Input'!Z58-Z169</f>
        <v>0</v>
      </c>
      <c r="AP57" s="5">
        <f>'Consumption Input'!AA58-AA169</f>
        <v>0</v>
      </c>
      <c r="AQ57" s="5">
        <f>'Consumption Input'!AB58-AB169</f>
        <v>0</v>
      </c>
      <c r="AR57" s="5">
        <f>'Consumption Input'!AC58-AC169</f>
        <v>0</v>
      </c>
      <c r="AS57" s="5">
        <f>'Consumption Input'!AD58-AD169</f>
        <v>0</v>
      </c>
      <c r="AT57" s="5">
        <f>'Consumption Input'!AE58-AE169</f>
        <v>0</v>
      </c>
      <c r="AU57" s="5">
        <f>'Consumption Input'!AF58-AF169</f>
        <v>0</v>
      </c>
      <c r="AV57" s="5">
        <f>'Consumption Input'!AG58-AG169</f>
        <v>0</v>
      </c>
      <c r="AW57" s="5">
        <f>'Consumption Input'!AH58-AH169</f>
        <v>0</v>
      </c>
      <c r="AX57" s="5">
        <f>'Consumption Input'!AI58-AI169</f>
        <v>0</v>
      </c>
      <c r="AY57" s="5">
        <f>'Consumption Input'!AJ58-AJ169</f>
        <v>1.3039999999982683</v>
      </c>
      <c r="AZ57" s="21">
        <v>24</v>
      </c>
      <c r="BA57" s="4" t="s">
        <v>1480</v>
      </c>
      <c r="BB57" s="465">
        <v>4871.0590296096188</v>
      </c>
      <c r="BC57" s="465">
        <v>4914.7022879112683</v>
      </c>
      <c r="BD57" s="465">
        <v>5122.9549228649703</v>
      </c>
      <c r="BE57" s="465">
        <v>5099.6056837971028</v>
      </c>
      <c r="BF57" s="465">
        <v>5417.3989216423042</v>
      </c>
      <c r="BG57" s="465">
        <v>5378.2038520486267</v>
      </c>
      <c r="BH57" s="465">
        <v>5481.0647634111365</v>
      </c>
      <c r="BI57" s="465">
        <v>5761.0420660794616</v>
      </c>
      <c r="BJ57" s="465">
        <v>5861.7575366100928</v>
      </c>
      <c r="BK57" s="465">
        <v>6340.9920565658695</v>
      </c>
      <c r="BL57" s="465">
        <v>5896.0704411194974</v>
      </c>
      <c r="BM57" s="465">
        <v>5512.8325142377398</v>
      </c>
      <c r="BN57" s="465">
        <v>5727.5538110761054</v>
      </c>
      <c r="BO57" s="465">
        <v>5614.3466571735626</v>
      </c>
      <c r="BP57" s="465">
        <v>6115.4479564433605</v>
      </c>
      <c r="BQ57" s="465">
        <v>5753.0658589589602</v>
      </c>
      <c r="BR57" s="465">
        <v>5715.0938317953041</v>
      </c>
      <c r="BS57" s="465">
        <v>5503.7132662717522</v>
      </c>
      <c r="BT57" s="465">
        <v>5021.4907273841254</v>
      </c>
      <c r="BU57" s="465">
        <v>4725.4520450259188</v>
      </c>
      <c r="BV57" s="465">
        <v>4917.2587666629743</v>
      </c>
      <c r="BW57" s="465">
        <v>4826.0696491455483</v>
      </c>
      <c r="BX57" s="465">
        <v>4752.1916184806169</v>
      </c>
      <c r="BY57" s="465">
        <v>4983.0535231079775</v>
      </c>
      <c r="BZ57" s="465">
        <v>4884.6528254203913</v>
      </c>
      <c r="CA57" s="465">
        <v>5195.7577639597948</v>
      </c>
      <c r="CB57" s="465">
        <v>5271.1254572120733</v>
      </c>
      <c r="CC57" s="465">
        <v>5524.3487934702189</v>
      </c>
      <c r="CD57" s="465">
        <v>5929.6668096432259</v>
      </c>
      <c r="CE57" s="465">
        <v>6015.0157418306262</v>
      </c>
      <c r="CF57" s="465">
        <v>5968.6417203718156</v>
      </c>
      <c r="CG57" s="465">
        <v>6301.631546911718</v>
      </c>
    </row>
    <row r="58" spans="2:85">
      <c r="B58" s="456">
        <v>55</v>
      </c>
      <c r="D58" s="45" t="s">
        <v>1439</v>
      </c>
      <c r="E58" s="421">
        <f>IFERROR(('Consumption Input'!E59-'Consumption Input Diff.'!E170)/'Consumption Input Diff.'!E170,"NA")</f>
        <v>0</v>
      </c>
      <c r="F58" s="421">
        <f>IFERROR(('Consumption Input'!F59-'Consumption Input Diff.'!F170)/'Consumption Input Diff.'!F170,"NA")</f>
        <v>0</v>
      </c>
      <c r="G58" s="421">
        <f>IFERROR(('Consumption Input'!G59-'Consumption Input Diff.'!G170)/'Consumption Input Diff.'!G170,"NA")</f>
        <v>0</v>
      </c>
      <c r="H58" s="421">
        <f>IFERROR(('Consumption Input'!H59-'Consumption Input Diff.'!H170)/'Consumption Input Diff.'!H170,"NA")</f>
        <v>0</v>
      </c>
      <c r="I58" s="421">
        <f>IFERROR(('Consumption Input'!I59-'Consumption Input Diff.'!I170)/'Consumption Input Diff.'!I170,"NA")</f>
        <v>0</v>
      </c>
      <c r="J58" s="421">
        <f>IFERROR(('Consumption Input'!J59-'Consumption Input Diff.'!J170)/'Consumption Input Diff.'!J170,"NA")</f>
        <v>0</v>
      </c>
      <c r="K58" s="421">
        <f>IFERROR(('Consumption Input'!K59-'Consumption Input Diff.'!K170)/'Consumption Input Diff.'!K170,"NA")</f>
        <v>0</v>
      </c>
      <c r="L58" s="421">
        <f>IFERROR(('Consumption Input'!L59-'Consumption Input Diff.'!L170)/'Consumption Input Diff.'!L170,"NA")</f>
        <v>0</v>
      </c>
      <c r="M58" s="421">
        <f>IFERROR(('Consumption Input'!M59-'Consumption Input Diff.'!M170)/'Consumption Input Diff.'!M170,"NA")</f>
        <v>0</v>
      </c>
      <c r="N58" s="421">
        <f>IFERROR(('Consumption Input'!N59-'Consumption Input Diff.'!N170)/'Consumption Input Diff.'!N170,"NA")</f>
        <v>0</v>
      </c>
      <c r="O58" s="421">
        <f>IFERROR(('Consumption Input'!O59-'Consumption Input Diff.'!O170)/'Consumption Input Diff.'!O170,"NA")</f>
        <v>0</v>
      </c>
      <c r="P58" s="421">
        <f>IFERROR(('Consumption Input'!P59-'Consumption Input Diff.'!P170)/'Consumption Input Diff.'!P170,"NA")</f>
        <v>0</v>
      </c>
      <c r="Q58" s="421">
        <f>IFERROR(('Consumption Input'!Q59-'Consumption Input Diff.'!Q170)/'Consumption Input Diff.'!Q170,"NA")</f>
        <v>0</v>
      </c>
      <c r="R58" s="421">
        <f>IFERROR(('Consumption Input'!R59-'Consumption Input Diff.'!R170)/'Consumption Input Diff.'!R170,"NA")</f>
        <v>0</v>
      </c>
      <c r="S58" s="421">
        <f>IFERROR(('Consumption Input'!S59-'Consumption Input Diff.'!S170)/'Consumption Input Diff.'!S170,"NA")</f>
        <v>0</v>
      </c>
      <c r="T58" s="421">
        <f>IFERROR(('Consumption Input'!T59-'Consumption Input Diff.'!T170)/'Consumption Input Diff.'!T170,"NA")</f>
        <v>0</v>
      </c>
      <c r="U58" s="421">
        <f>IFERROR(('Consumption Input'!U59-'Consumption Input Diff.'!U170)/'Consumption Input Diff.'!U170,"NA")</f>
        <v>0</v>
      </c>
      <c r="V58" s="421">
        <f>IFERROR(('Consumption Input'!V59-'Consumption Input Diff.'!V170)/'Consumption Input Diff.'!V170,"NA")</f>
        <v>0</v>
      </c>
      <c r="W58" s="421">
        <f>IFERROR(('Consumption Input'!W59-'Consumption Input Diff.'!W170)/'Consumption Input Diff.'!W170,"NA")</f>
        <v>0</v>
      </c>
      <c r="X58" s="421">
        <f>IFERROR(('Consumption Input'!X59-'Consumption Input Diff.'!X170)/'Consumption Input Diff.'!X170,"NA")</f>
        <v>0</v>
      </c>
      <c r="Y58" s="421">
        <f>IFERROR(('Consumption Input'!Y59-'Consumption Input Diff.'!Y170)/'Consumption Input Diff.'!Y170,"NA")</f>
        <v>0</v>
      </c>
      <c r="Z58" s="421">
        <f>IFERROR(('Consumption Input'!Z59-'Consumption Input Diff.'!Z170)/'Consumption Input Diff.'!Z170,"NA")</f>
        <v>0</v>
      </c>
      <c r="AA58" s="421">
        <f>IFERROR(('Consumption Input'!AA59-'Consumption Input Diff.'!AA170)/'Consumption Input Diff.'!AA170,"NA")</f>
        <v>0</v>
      </c>
      <c r="AB58" s="421">
        <f>IFERROR(('Consumption Input'!AB59-'Consumption Input Diff.'!AB170)/'Consumption Input Diff.'!AB170,"NA")</f>
        <v>0</v>
      </c>
      <c r="AC58" s="421">
        <f>IFERROR(('Consumption Input'!AC59-'Consumption Input Diff.'!AC170)/'Consumption Input Diff.'!AC170,"NA")</f>
        <v>0</v>
      </c>
      <c r="AD58" s="421">
        <f>IFERROR(('Consumption Input'!AD59-'Consumption Input Diff.'!AD170)/'Consumption Input Diff.'!AD170,"NA")</f>
        <v>0</v>
      </c>
      <c r="AE58" s="421">
        <f>IFERROR(('Consumption Input'!AE59-'Consumption Input Diff.'!AE170)/'Consumption Input Diff.'!AE170,"NA")</f>
        <v>0</v>
      </c>
      <c r="AF58" s="421">
        <f>IFERROR(('Consumption Input'!AF59-'Consumption Input Diff.'!AF170)/'Consumption Input Diff.'!AF170,"NA")</f>
        <v>0</v>
      </c>
      <c r="AG58" s="421">
        <f>IFERROR(('Consumption Input'!AG59-'Consumption Input Diff.'!AG170)/'Consumption Input Diff.'!AG170,"NA")</f>
        <v>0</v>
      </c>
      <c r="AH58" s="421">
        <f>IFERROR(('Consumption Input'!AH59-'Consumption Input Diff.'!AH170)/'Consumption Input Diff.'!AH170,"NA")</f>
        <v>0</v>
      </c>
      <c r="AI58" s="421">
        <f>IFERROR(('Consumption Input'!AI59-'Consumption Input Diff.'!AI170)/'Consumption Input Diff.'!AI170,"NA")</f>
        <v>3.7500868770187144E-6</v>
      </c>
      <c r="AJ58" s="421">
        <f>IFERROR(('Consumption Input'!AJ59-'Consumption Input Diff.'!AJ170)/'Consumption Input Diff.'!AJ170,"NA")</f>
        <v>-1.4519692959431084E-4</v>
      </c>
      <c r="AK58" s="5">
        <f>'Consumption Input'!V59-V170</f>
        <v>0</v>
      </c>
      <c r="AL58" s="5">
        <f>'Consumption Input'!W59-W170</f>
        <v>0</v>
      </c>
      <c r="AM58" s="5">
        <f>'Consumption Input'!X59-X170</f>
        <v>0</v>
      </c>
      <c r="AN58" s="5">
        <f>'Consumption Input'!Y59-Y170</f>
        <v>0</v>
      </c>
      <c r="AO58" s="5">
        <f>'Consumption Input'!Z59-Z170</f>
        <v>0</v>
      </c>
      <c r="AP58" s="5">
        <f>'Consumption Input'!AA59-AA170</f>
        <v>0</v>
      </c>
      <c r="AQ58" s="5">
        <f>'Consumption Input'!AB59-AB170</f>
        <v>0</v>
      </c>
      <c r="AR58" s="5">
        <f>'Consumption Input'!AC59-AC170</f>
        <v>0</v>
      </c>
      <c r="AS58" s="5">
        <f>'Consumption Input'!AD59-AD170</f>
        <v>0</v>
      </c>
      <c r="AT58" s="5">
        <f>'Consumption Input'!AE59-AE170</f>
        <v>0</v>
      </c>
      <c r="AU58" s="5">
        <f>'Consumption Input'!AF59-AF170</f>
        <v>0</v>
      </c>
      <c r="AV58" s="5">
        <f>'Consumption Input'!AG59-AG170</f>
        <v>0</v>
      </c>
      <c r="AW58" s="5">
        <f>'Consumption Input'!AH59-AH170</f>
        <v>0</v>
      </c>
      <c r="AX58" s="5">
        <f>'Consumption Input'!AI59-AI170</f>
        <v>4.500000000007276E-2</v>
      </c>
      <c r="AY58" s="5">
        <f>'Consumption Input'!AJ59-AJ170</f>
        <v>-1.6820000000006985</v>
      </c>
    </row>
    <row r="59" spans="2:85">
      <c r="B59" s="456">
        <v>56</v>
      </c>
      <c r="D59" s="45" t="s">
        <v>1625</v>
      </c>
      <c r="E59" s="421">
        <f>IFERROR(('Consumption Input'!E60-'Consumption Input Diff.'!E171)/'Consumption Input Diff.'!E171,"NA")</f>
        <v>0</v>
      </c>
      <c r="F59" s="421">
        <f>IFERROR(('Consumption Input'!F60-'Consumption Input Diff.'!F171)/'Consumption Input Diff.'!F171,"NA")</f>
        <v>0</v>
      </c>
      <c r="G59" s="421">
        <f>IFERROR(('Consumption Input'!G60-'Consumption Input Diff.'!G171)/'Consumption Input Diff.'!G171,"NA")</f>
        <v>0</v>
      </c>
      <c r="H59" s="421">
        <f>IFERROR(('Consumption Input'!H60-'Consumption Input Diff.'!H171)/'Consumption Input Diff.'!H171,"NA")</f>
        <v>0</v>
      </c>
      <c r="I59" s="421">
        <f>IFERROR(('Consumption Input'!I60-'Consumption Input Diff.'!I171)/'Consumption Input Diff.'!I171,"NA")</f>
        <v>0</v>
      </c>
      <c r="J59" s="421">
        <f>IFERROR(('Consumption Input'!J60-'Consumption Input Diff.'!J171)/'Consumption Input Diff.'!J171,"NA")</f>
        <v>0</v>
      </c>
      <c r="K59" s="421">
        <f>IFERROR(('Consumption Input'!K60-'Consumption Input Diff.'!K171)/'Consumption Input Diff.'!K171,"NA")</f>
        <v>0</v>
      </c>
      <c r="L59" s="421">
        <f>IFERROR(('Consumption Input'!L60-'Consumption Input Diff.'!L171)/'Consumption Input Diff.'!L171,"NA")</f>
        <v>0</v>
      </c>
      <c r="M59" s="421">
        <f>IFERROR(('Consumption Input'!M60-'Consumption Input Diff.'!M171)/'Consumption Input Diff.'!M171,"NA")</f>
        <v>0</v>
      </c>
      <c r="N59" s="421">
        <f>IFERROR(('Consumption Input'!N60-'Consumption Input Diff.'!N171)/'Consumption Input Diff.'!N171,"NA")</f>
        <v>0</v>
      </c>
      <c r="O59" s="421">
        <f>IFERROR(('Consumption Input'!O60-'Consumption Input Diff.'!O171)/'Consumption Input Diff.'!O171,"NA")</f>
        <v>0</v>
      </c>
      <c r="P59" s="421">
        <f>IFERROR(('Consumption Input'!P60-'Consumption Input Diff.'!P171)/'Consumption Input Diff.'!P171,"NA")</f>
        <v>0</v>
      </c>
      <c r="Q59" s="421">
        <f>IFERROR(('Consumption Input'!Q60-'Consumption Input Diff.'!Q171)/'Consumption Input Diff.'!Q171,"NA")</f>
        <v>0</v>
      </c>
      <c r="R59" s="421">
        <f>IFERROR(('Consumption Input'!R60-'Consumption Input Diff.'!R171)/'Consumption Input Diff.'!R171,"NA")</f>
        <v>0</v>
      </c>
      <c r="S59" s="421">
        <f>IFERROR(('Consumption Input'!S60-'Consumption Input Diff.'!S171)/'Consumption Input Diff.'!S171,"NA")</f>
        <v>0</v>
      </c>
      <c r="T59" s="421">
        <f>IFERROR(('Consumption Input'!T60-'Consumption Input Diff.'!T171)/'Consumption Input Diff.'!T171,"NA")</f>
        <v>0</v>
      </c>
      <c r="U59" s="421">
        <f>IFERROR(('Consumption Input'!U60-'Consumption Input Diff.'!U171)/'Consumption Input Diff.'!U171,"NA")</f>
        <v>0</v>
      </c>
      <c r="V59" s="421">
        <f>IFERROR(('Consumption Input'!V60-'Consumption Input Diff.'!V171)/'Consumption Input Diff.'!V171,"NA")</f>
        <v>0</v>
      </c>
      <c r="W59" s="421">
        <f>IFERROR(('Consumption Input'!W60-'Consumption Input Diff.'!W171)/'Consumption Input Diff.'!W171,"NA")</f>
        <v>0</v>
      </c>
      <c r="X59" s="421">
        <f>IFERROR(('Consumption Input'!X60-'Consumption Input Diff.'!X171)/'Consumption Input Diff.'!X171,"NA")</f>
        <v>0</v>
      </c>
      <c r="Y59" s="421">
        <f>IFERROR(('Consumption Input'!Y60-'Consumption Input Diff.'!Y171)/'Consumption Input Diff.'!Y171,"NA")</f>
        <v>0</v>
      </c>
      <c r="Z59" s="421">
        <f>IFERROR(('Consumption Input'!Z60-'Consumption Input Diff.'!Z171)/'Consumption Input Diff.'!Z171,"NA")</f>
        <v>0</v>
      </c>
      <c r="AA59" s="421">
        <f>IFERROR(('Consumption Input'!AA60-'Consumption Input Diff.'!AA171)/'Consumption Input Diff.'!AA171,"NA")</f>
        <v>0</v>
      </c>
      <c r="AB59" s="421">
        <f>IFERROR(('Consumption Input'!AB60-'Consumption Input Diff.'!AB171)/'Consumption Input Diff.'!AB171,"NA")</f>
        <v>0</v>
      </c>
      <c r="AC59" s="421">
        <f>IFERROR(('Consumption Input'!AC60-'Consumption Input Diff.'!AC171)/'Consumption Input Diff.'!AC171,"NA")</f>
        <v>0</v>
      </c>
      <c r="AD59" s="421">
        <f>IFERROR(('Consumption Input'!AD60-'Consumption Input Diff.'!AD171)/'Consumption Input Diff.'!AD171,"NA")</f>
        <v>0</v>
      </c>
      <c r="AE59" s="421">
        <f>IFERROR(('Consumption Input'!AE60-'Consumption Input Diff.'!AE171)/'Consumption Input Diff.'!AE171,"NA")</f>
        <v>0</v>
      </c>
      <c r="AF59" s="421">
        <f>IFERROR(('Consumption Input'!AF60-'Consumption Input Diff.'!AF171)/'Consumption Input Diff.'!AF171,"NA")</f>
        <v>0</v>
      </c>
      <c r="AG59" s="421">
        <f>IFERROR(('Consumption Input'!AG60-'Consumption Input Diff.'!AG171)/'Consumption Input Diff.'!AG171,"NA")</f>
        <v>0</v>
      </c>
      <c r="AH59" s="421">
        <f>IFERROR(('Consumption Input'!AH60-'Consumption Input Diff.'!AH171)/'Consumption Input Diff.'!AH171,"NA")</f>
        <v>0</v>
      </c>
      <c r="AI59" s="421">
        <f>IFERROR(('Consumption Input'!AI60-'Consumption Input Diff.'!AI171)/'Consumption Input Diff.'!AI171,"NA")</f>
        <v>0</v>
      </c>
      <c r="AJ59" s="421">
        <f>IFERROR(('Consumption Input'!AJ60-'Consumption Input Diff.'!AJ171)/'Consumption Input Diff.'!AJ171,"NA")</f>
        <v>-5.0189045404477179E-5</v>
      </c>
      <c r="AK59" s="5">
        <f>'Consumption Input'!V60-V171</f>
        <v>0</v>
      </c>
      <c r="AL59" s="5">
        <f>'Consumption Input'!W60-W171</f>
        <v>0</v>
      </c>
      <c r="AM59" s="5">
        <f>'Consumption Input'!X60-X171</f>
        <v>0</v>
      </c>
      <c r="AN59" s="5">
        <f>'Consumption Input'!Y60-Y171</f>
        <v>0</v>
      </c>
      <c r="AO59" s="5">
        <f>'Consumption Input'!Z60-Z171</f>
        <v>0</v>
      </c>
      <c r="AP59" s="5">
        <f>'Consumption Input'!AA60-AA171</f>
        <v>0</v>
      </c>
      <c r="AQ59" s="5">
        <f>'Consumption Input'!AB60-AB171</f>
        <v>0</v>
      </c>
      <c r="AR59" s="5">
        <f>'Consumption Input'!AC60-AC171</f>
        <v>0</v>
      </c>
      <c r="AS59" s="5">
        <f>'Consumption Input'!AD60-AD171</f>
        <v>0</v>
      </c>
      <c r="AT59" s="5">
        <f>'Consumption Input'!AE60-AE171</f>
        <v>0</v>
      </c>
      <c r="AU59" s="5">
        <f>'Consumption Input'!AF60-AF171</f>
        <v>0</v>
      </c>
      <c r="AV59" s="5">
        <f>'Consumption Input'!AG60-AG171</f>
        <v>0</v>
      </c>
      <c r="AW59" s="5">
        <f>'Consumption Input'!AH60-AH171</f>
        <v>0</v>
      </c>
      <c r="AX59" s="5">
        <f>'Consumption Input'!AI60-AI171</f>
        <v>0</v>
      </c>
      <c r="AY59" s="5">
        <f>'Consumption Input'!AJ60-AJ171</f>
        <v>-3.0000000000072191E-3</v>
      </c>
    </row>
    <row r="60" spans="2:85">
      <c r="B60" s="456">
        <v>57</v>
      </c>
      <c r="D60" s="45" t="s">
        <v>1626</v>
      </c>
      <c r="E60" s="421">
        <f>IFERROR(('Consumption Input'!E61-'Consumption Input Diff.'!E172)/'Consumption Input Diff.'!E172,"NA")</f>
        <v>0</v>
      </c>
      <c r="F60" s="421">
        <f>IFERROR(('Consumption Input'!F61-'Consumption Input Diff.'!F172)/'Consumption Input Diff.'!F172,"NA")</f>
        <v>0</v>
      </c>
      <c r="G60" s="421">
        <f>IFERROR(('Consumption Input'!G61-'Consumption Input Diff.'!G172)/'Consumption Input Diff.'!G172,"NA")</f>
        <v>0</v>
      </c>
      <c r="H60" s="421">
        <f>IFERROR(('Consumption Input'!H61-'Consumption Input Diff.'!H172)/'Consumption Input Diff.'!H172,"NA")</f>
        <v>0</v>
      </c>
      <c r="I60" s="421">
        <f>IFERROR(('Consumption Input'!I61-'Consumption Input Diff.'!I172)/'Consumption Input Diff.'!I172,"NA")</f>
        <v>0</v>
      </c>
      <c r="J60" s="421">
        <f>IFERROR(('Consumption Input'!J61-'Consumption Input Diff.'!J172)/'Consumption Input Diff.'!J172,"NA")</f>
        <v>0</v>
      </c>
      <c r="K60" s="421">
        <f>IFERROR(('Consumption Input'!K61-'Consumption Input Diff.'!K172)/'Consumption Input Diff.'!K172,"NA")</f>
        <v>0</v>
      </c>
      <c r="L60" s="421">
        <f>IFERROR(('Consumption Input'!L61-'Consumption Input Diff.'!L172)/'Consumption Input Diff.'!L172,"NA")</f>
        <v>0</v>
      </c>
      <c r="M60" s="421">
        <f>IFERROR(('Consumption Input'!M61-'Consumption Input Diff.'!M172)/'Consumption Input Diff.'!M172,"NA")</f>
        <v>0</v>
      </c>
      <c r="N60" s="421">
        <f>IFERROR(('Consumption Input'!N61-'Consumption Input Diff.'!N172)/'Consumption Input Diff.'!N172,"NA")</f>
        <v>0</v>
      </c>
      <c r="O60" s="421">
        <f>IFERROR(('Consumption Input'!O61-'Consumption Input Diff.'!O172)/'Consumption Input Diff.'!O172,"NA")</f>
        <v>0</v>
      </c>
      <c r="P60" s="421">
        <f>IFERROR(('Consumption Input'!P61-'Consumption Input Diff.'!P172)/'Consumption Input Diff.'!P172,"NA")</f>
        <v>0</v>
      </c>
      <c r="Q60" s="421">
        <f>IFERROR(('Consumption Input'!Q61-'Consumption Input Diff.'!Q172)/'Consumption Input Diff.'!Q172,"NA")</f>
        <v>0</v>
      </c>
      <c r="R60" s="421">
        <f>IFERROR(('Consumption Input'!R61-'Consumption Input Diff.'!R172)/'Consumption Input Diff.'!R172,"NA")</f>
        <v>0</v>
      </c>
      <c r="S60" s="421">
        <f>IFERROR(('Consumption Input'!S61-'Consumption Input Diff.'!S172)/'Consumption Input Diff.'!S172,"NA")</f>
        <v>0</v>
      </c>
      <c r="T60" s="421">
        <f>IFERROR(('Consumption Input'!T61-'Consumption Input Diff.'!T172)/'Consumption Input Diff.'!T172,"NA")</f>
        <v>0</v>
      </c>
      <c r="U60" s="421">
        <f>IFERROR(('Consumption Input'!U61-'Consumption Input Diff.'!U172)/'Consumption Input Diff.'!U172,"NA")</f>
        <v>0</v>
      </c>
      <c r="V60" s="421">
        <f>IFERROR(('Consumption Input'!V61-'Consumption Input Diff.'!V172)/'Consumption Input Diff.'!V172,"NA")</f>
        <v>0</v>
      </c>
      <c r="W60" s="421">
        <f>IFERROR(('Consumption Input'!W61-'Consumption Input Diff.'!W172)/'Consumption Input Diff.'!W172,"NA")</f>
        <v>0</v>
      </c>
      <c r="X60" s="421">
        <f>IFERROR(('Consumption Input'!X61-'Consumption Input Diff.'!X172)/'Consumption Input Diff.'!X172,"NA")</f>
        <v>0</v>
      </c>
      <c r="Y60" s="421">
        <f>IFERROR(('Consumption Input'!Y61-'Consumption Input Diff.'!Y172)/'Consumption Input Diff.'!Y172,"NA")</f>
        <v>0</v>
      </c>
      <c r="Z60" s="421">
        <f>IFERROR(('Consumption Input'!Z61-'Consumption Input Diff.'!Z172)/'Consumption Input Diff.'!Z172,"NA")</f>
        <v>0</v>
      </c>
      <c r="AA60" s="421">
        <f>IFERROR(('Consumption Input'!AA61-'Consumption Input Diff.'!AA172)/'Consumption Input Diff.'!AA172,"NA")</f>
        <v>0</v>
      </c>
      <c r="AB60" s="421">
        <f>IFERROR(('Consumption Input'!AB61-'Consumption Input Diff.'!AB172)/'Consumption Input Diff.'!AB172,"NA")</f>
        <v>0</v>
      </c>
      <c r="AC60" s="421">
        <f>IFERROR(('Consumption Input'!AC61-'Consumption Input Diff.'!AC172)/'Consumption Input Diff.'!AC172,"NA")</f>
        <v>0</v>
      </c>
      <c r="AD60" s="421">
        <f>IFERROR(('Consumption Input'!AD61-'Consumption Input Diff.'!AD172)/'Consumption Input Diff.'!AD172,"NA")</f>
        <v>0</v>
      </c>
      <c r="AE60" s="421">
        <f>IFERROR(('Consumption Input'!AE61-'Consumption Input Diff.'!AE172)/'Consumption Input Diff.'!AE172,"NA")</f>
        <v>0</v>
      </c>
      <c r="AF60" s="421">
        <f>IFERROR(('Consumption Input'!AF61-'Consumption Input Diff.'!AF172)/'Consumption Input Diff.'!AF172,"NA")</f>
        <v>0</v>
      </c>
      <c r="AG60" s="421">
        <f>IFERROR(('Consumption Input'!AG61-'Consumption Input Diff.'!AG172)/'Consumption Input Diff.'!AG172,"NA")</f>
        <v>0</v>
      </c>
      <c r="AH60" s="421">
        <f>IFERROR(('Consumption Input'!AH61-'Consumption Input Diff.'!AH172)/'Consumption Input Diff.'!AH172,"NA")</f>
        <v>0</v>
      </c>
      <c r="AI60" s="421">
        <f>IFERROR(('Consumption Input'!AI61-'Consumption Input Diff.'!AI172)/'Consumption Input Diff.'!AI172,"NA")</f>
        <v>0</v>
      </c>
      <c r="AJ60" s="421">
        <f>IFERROR(('Consumption Input'!AJ61-'Consumption Input Diff.'!AJ172)/'Consumption Input Diff.'!AJ172,"NA")</f>
        <v>-1.7450788775735985E-5</v>
      </c>
      <c r="AK60" s="5">
        <f>'Consumption Input'!V61-V172</f>
        <v>0</v>
      </c>
      <c r="AL60" s="5">
        <f>'Consumption Input'!W61-W172</f>
        <v>0</v>
      </c>
      <c r="AM60" s="5">
        <f>'Consumption Input'!X61-X172</f>
        <v>0</v>
      </c>
      <c r="AN60" s="5">
        <f>'Consumption Input'!Y61-Y172</f>
        <v>0</v>
      </c>
      <c r="AO60" s="5">
        <f>'Consumption Input'!Z61-Z172</f>
        <v>0</v>
      </c>
      <c r="AP60" s="5">
        <f>'Consumption Input'!AA61-AA172</f>
        <v>0</v>
      </c>
      <c r="AQ60" s="5">
        <f>'Consumption Input'!AB61-AB172</f>
        <v>0</v>
      </c>
      <c r="AR60" s="5">
        <f>'Consumption Input'!AC61-AC172</f>
        <v>0</v>
      </c>
      <c r="AS60" s="5">
        <f>'Consumption Input'!AD61-AD172</f>
        <v>0</v>
      </c>
      <c r="AT60" s="5">
        <f>'Consumption Input'!AE61-AE172</f>
        <v>0</v>
      </c>
      <c r="AU60" s="5">
        <f>'Consumption Input'!AF61-AF172</f>
        <v>0</v>
      </c>
      <c r="AV60" s="5">
        <f>'Consumption Input'!AG61-AG172</f>
        <v>0</v>
      </c>
      <c r="AW60" s="5">
        <f>'Consumption Input'!AH61-AH172</f>
        <v>0</v>
      </c>
      <c r="AX60" s="5">
        <f>'Consumption Input'!AI61-AI172</f>
        <v>0</v>
      </c>
      <c r="AY60" s="5">
        <f>'Consumption Input'!AJ61-AJ172</f>
        <v>-1.0000000000047748E-3</v>
      </c>
    </row>
    <row r="61" spans="2:85">
      <c r="B61" s="456">
        <v>58</v>
      </c>
      <c r="D61" s="45" t="s">
        <v>1603</v>
      </c>
      <c r="E61" s="421"/>
      <c r="F61" s="421"/>
      <c r="G61" s="421"/>
      <c r="H61" s="421"/>
      <c r="I61" s="421"/>
      <c r="J61" s="421"/>
      <c r="K61" s="421"/>
      <c r="L61" s="421"/>
      <c r="M61" s="421"/>
      <c r="N61" s="421"/>
      <c r="O61" s="421"/>
      <c r="P61" s="421"/>
      <c r="Q61" s="421"/>
      <c r="R61" s="421"/>
      <c r="S61" s="421"/>
      <c r="T61" s="421"/>
      <c r="U61" s="421"/>
      <c r="V61" s="421"/>
      <c r="W61" s="421"/>
      <c r="X61" s="421"/>
      <c r="Y61" s="421"/>
      <c r="Z61" s="421"/>
      <c r="AA61" s="421"/>
      <c r="AB61" s="421"/>
      <c r="AC61" s="421"/>
      <c r="AD61" s="421"/>
      <c r="AE61" s="421"/>
      <c r="AF61" s="421"/>
      <c r="AG61" s="421"/>
      <c r="AH61" s="421"/>
      <c r="AI61" s="421"/>
      <c r="AJ61" s="421"/>
      <c r="AK61" s="5"/>
      <c r="AL61" s="5"/>
      <c r="AM61" s="5"/>
      <c r="AN61" s="5"/>
      <c r="AO61" s="5"/>
      <c r="AP61" s="5"/>
      <c r="AQ61" s="5"/>
      <c r="AR61" s="5"/>
      <c r="AS61" s="5"/>
      <c r="AT61" s="5"/>
      <c r="AU61" s="5"/>
      <c r="AV61" s="5"/>
      <c r="AW61" s="5"/>
      <c r="AX61" s="5"/>
      <c r="AY61" s="5"/>
    </row>
    <row r="62" spans="2:85">
      <c r="B62" s="456">
        <v>59</v>
      </c>
      <c r="D62" s="6" t="s">
        <v>1604</v>
      </c>
      <c r="E62" s="421">
        <f>IFERROR(('Consumption Input'!E63-'Consumption Input Diff.'!E174)/'Consumption Input Diff.'!E174,"NA")</f>
        <v>0</v>
      </c>
      <c r="F62" s="421">
        <f>IFERROR(('Consumption Input'!F63-'Consumption Input Diff.'!F174)/'Consumption Input Diff.'!F174,"NA")</f>
        <v>0</v>
      </c>
      <c r="G62" s="421">
        <f>IFERROR(('Consumption Input'!G63-'Consumption Input Diff.'!G174)/'Consumption Input Diff.'!G174,"NA")</f>
        <v>0</v>
      </c>
      <c r="H62" s="421">
        <f>IFERROR(('Consumption Input'!H63-'Consumption Input Diff.'!H174)/'Consumption Input Diff.'!H174,"NA")</f>
        <v>0</v>
      </c>
      <c r="I62" s="421">
        <f>IFERROR(('Consumption Input'!I63-'Consumption Input Diff.'!I174)/'Consumption Input Diff.'!I174,"NA")</f>
        <v>0</v>
      </c>
      <c r="J62" s="421">
        <f>IFERROR(('Consumption Input'!J63-'Consumption Input Diff.'!J174)/'Consumption Input Diff.'!J174,"NA")</f>
        <v>0</v>
      </c>
      <c r="K62" s="421">
        <f>IFERROR(('Consumption Input'!K63-'Consumption Input Diff.'!K174)/'Consumption Input Diff.'!K174,"NA")</f>
        <v>0</v>
      </c>
      <c r="L62" s="421">
        <f>IFERROR(('Consumption Input'!L63-'Consumption Input Diff.'!L174)/'Consumption Input Diff.'!L174,"NA")</f>
        <v>0</v>
      </c>
      <c r="M62" s="421">
        <f>IFERROR(('Consumption Input'!M63-'Consumption Input Diff.'!M174)/'Consumption Input Diff.'!M174,"NA")</f>
        <v>0</v>
      </c>
      <c r="N62" s="421">
        <f>IFERROR(('Consumption Input'!N63-'Consumption Input Diff.'!N174)/'Consumption Input Diff.'!N174,"NA")</f>
        <v>0</v>
      </c>
      <c r="O62" s="421">
        <f>IFERROR(('Consumption Input'!O63-'Consumption Input Diff.'!O174)/'Consumption Input Diff.'!O174,"NA")</f>
        <v>0</v>
      </c>
      <c r="P62" s="421">
        <f>IFERROR(('Consumption Input'!P63-'Consumption Input Diff.'!P174)/'Consumption Input Diff.'!P174,"NA")</f>
        <v>0</v>
      </c>
      <c r="Q62" s="421">
        <f>IFERROR(('Consumption Input'!Q63-'Consumption Input Diff.'!Q174)/'Consumption Input Diff.'!Q174,"NA")</f>
        <v>0</v>
      </c>
      <c r="R62" s="421">
        <f>IFERROR(('Consumption Input'!R63-'Consumption Input Diff.'!R174)/'Consumption Input Diff.'!R174,"NA")</f>
        <v>0</v>
      </c>
      <c r="S62" s="421">
        <f>IFERROR(('Consumption Input'!S63-'Consumption Input Diff.'!S174)/'Consumption Input Diff.'!S174,"NA")</f>
        <v>0</v>
      </c>
      <c r="T62" s="421">
        <f>IFERROR(('Consumption Input'!T63-'Consumption Input Diff.'!T174)/'Consumption Input Diff.'!T174,"NA")</f>
        <v>0</v>
      </c>
      <c r="U62" s="421">
        <f>IFERROR(('Consumption Input'!U63-'Consumption Input Diff.'!U174)/'Consumption Input Diff.'!U174,"NA")</f>
        <v>0</v>
      </c>
      <c r="V62" s="421">
        <f>IFERROR(('Consumption Input'!V63-'Consumption Input Diff.'!V174)/'Consumption Input Diff.'!V174,"NA")</f>
        <v>0</v>
      </c>
      <c r="W62" s="421">
        <f>IFERROR(('Consumption Input'!W63-'Consumption Input Diff.'!W174)/'Consumption Input Diff.'!W174,"NA")</f>
        <v>0</v>
      </c>
      <c r="X62" s="421">
        <f>IFERROR(('Consumption Input'!X63-'Consumption Input Diff.'!X174)/'Consumption Input Diff.'!X174,"NA")</f>
        <v>0</v>
      </c>
      <c r="Y62" s="421">
        <f>IFERROR(('Consumption Input'!Y63-'Consumption Input Diff.'!Y174)/'Consumption Input Diff.'!Y174,"NA")</f>
        <v>0</v>
      </c>
      <c r="Z62" s="421">
        <f>IFERROR(('Consumption Input'!Z63-'Consumption Input Diff.'!Z174)/'Consumption Input Diff.'!Z174,"NA")</f>
        <v>0</v>
      </c>
      <c r="AA62" s="421">
        <f>IFERROR(('Consumption Input'!AA63-'Consumption Input Diff.'!AA174)/'Consumption Input Diff.'!AA174,"NA")</f>
        <v>0</v>
      </c>
      <c r="AB62" s="421">
        <f>IFERROR(('Consumption Input'!AB63-'Consumption Input Diff.'!AB174)/'Consumption Input Diff.'!AB174,"NA")</f>
        <v>0</v>
      </c>
      <c r="AC62" s="421">
        <f>IFERROR(('Consumption Input'!AC63-'Consumption Input Diff.'!AC174)/'Consumption Input Diff.'!AC174,"NA")</f>
        <v>0</v>
      </c>
      <c r="AD62" s="421">
        <f>IFERROR(('Consumption Input'!AD63-'Consumption Input Diff.'!AD174)/'Consumption Input Diff.'!AD174,"NA")</f>
        <v>0</v>
      </c>
      <c r="AE62" s="421">
        <f>IFERROR(('Consumption Input'!AE63-'Consumption Input Diff.'!AE174)/'Consumption Input Diff.'!AE174,"NA")</f>
        <v>0</v>
      </c>
      <c r="AF62" s="421">
        <f>IFERROR(('Consumption Input'!AF63-'Consumption Input Diff.'!AF174)/'Consumption Input Diff.'!AF174,"NA")</f>
        <v>0</v>
      </c>
      <c r="AG62" s="421">
        <f>IFERROR(('Consumption Input'!AG63-'Consumption Input Diff.'!AG174)/'Consumption Input Diff.'!AG174,"NA")</f>
        <v>0</v>
      </c>
      <c r="AH62" s="421">
        <f>IFERROR(('Consumption Input'!AH63-'Consumption Input Diff.'!AH174)/'Consumption Input Diff.'!AH174,"NA")</f>
        <v>0</v>
      </c>
      <c r="AI62" s="421">
        <f>IFERROR(('Consumption Input'!AI63-'Consumption Input Diff.'!AI174)/'Consumption Input Diff.'!AI174,"NA")</f>
        <v>0</v>
      </c>
      <c r="AJ62" s="421">
        <f>IFERROR(('Consumption Input'!AJ63-'Consumption Input Diff.'!AJ174)/'Consumption Input Diff.'!AJ174,"NA")</f>
        <v>0</v>
      </c>
      <c r="AK62" s="5">
        <f>'Consumption Input'!V63-V174</f>
        <v>0</v>
      </c>
      <c r="AL62" s="5">
        <f>'Consumption Input'!W63-W174</f>
        <v>0</v>
      </c>
      <c r="AM62" s="5">
        <f>'Consumption Input'!X63-X174</f>
        <v>0</v>
      </c>
      <c r="AN62" s="5">
        <f>'Consumption Input'!Y63-Y174</f>
        <v>0</v>
      </c>
      <c r="AO62" s="5">
        <f>'Consumption Input'!Z63-Z174</f>
        <v>0</v>
      </c>
      <c r="AP62" s="5">
        <f>'Consumption Input'!AA63-AA174</f>
        <v>0</v>
      </c>
      <c r="AQ62" s="5">
        <f>'Consumption Input'!AB63-AB174</f>
        <v>0</v>
      </c>
      <c r="AR62" s="5">
        <f>'Consumption Input'!AC63-AC174</f>
        <v>0</v>
      </c>
      <c r="AS62" s="5">
        <f>'Consumption Input'!AD63-AD174</f>
        <v>0</v>
      </c>
      <c r="AT62" s="5">
        <f>'Consumption Input'!AE63-AE174</f>
        <v>0</v>
      </c>
      <c r="AU62" s="5">
        <f>'Consumption Input'!AF63-AF174</f>
        <v>0</v>
      </c>
      <c r="AV62" s="5">
        <f>'Consumption Input'!AG63-AG174</f>
        <v>0</v>
      </c>
      <c r="AW62" s="5">
        <f>'Consumption Input'!AH63-AH174</f>
        <v>0</v>
      </c>
      <c r="AX62" s="5">
        <f>'Consumption Input'!AI63-AI174</f>
        <v>0</v>
      </c>
      <c r="AY62" s="5">
        <f>'Consumption Input'!AJ63-AJ174</f>
        <v>0</v>
      </c>
    </row>
    <row r="63" spans="2:85">
      <c r="B63" s="456">
        <v>60</v>
      </c>
      <c r="C63" s="138"/>
      <c r="D63" s="7" t="s">
        <v>1627</v>
      </c>
      <c r="E63" s="484"/>
      <c r="F63" s="484"/>
      <c r="G63" s="484"/>
      <c r="H63" s="484"/>
      <c r="I63" s="484"/>
      <c r="J63" s="484"/>
      <c r="K63" s="484"/>
      <c r="L63" s="484"/>
      <c r="M63" s="484"/>
      <c r="N63" s="484"/>
      <c r="O63" s="484"/>
      <c r="P63" s="484"/>
      <c r="Q63" s="484"/>
      <c r="R63" s="484"/>
      <c r="S63" s="484"/>
      <c r="T63" s="484"/>
      <c r="U63" s="484"/>
      <c r="V63" s="484"/>
      <c r="W63" s="484"/>
      <c r="X63" s="484"/>
      <c r="Y63" s="484"/>
      <c r="Z63" s="484"/>
      <c r="AA63" s="484"/>
      <c r="AB63" s="484"/>
      <c r="AC63" s="484"/>
      <c r="AD63" s="484"/>
      <c r="AE63" s="484"/>
      <c r="AF63" s="484"/>
      <c r="AG63" s="484"/>
      <c r="AH63" s="484"/>
      <c r="AI63" s="484"/>
      <c r="AJ63" s="484"/>
      <c r="AY63" s="5"/>
    </row>
    <row r="64" spans="2:85">
      <c r="B64" s="456">
        <v>61</v>
      </c>
      <c r="E64" s="466"/>
      <c r="F64" s="466"/>
      <c r="G64" s="466"/>
      <c r="H64" s="466"/>
      <c r="I64" s="466"/>
      <c r="J64" s="466"/>
      <c r="K64" s="466"/>
      <c r="L64" s="468"/>
      <c r="M64" s="468"/>
      <c r="N64" s="468"/>
      <c r="O64" s="468"/>
      <c r="P64" s="468"/>
      <c r="Q64" s="468"/>
      <c r="R64" s="468"/>
      <c r="S64" s="468"/>
      <c r="T64" s="468"/>
      <c r="U64" s="468"/>
      <c r="V64" s="468"/>
      <c r="W64" s="468"/>
      <c r="X64" s="468"/>
      <c r="Y64" s="468"/>
      <c r="Z64" s="468"/>
      <c r="AA64" s="468"/>
      <c r="AB64" s="468"/>
      <c r="AC64" s="468"/>
      <c r="AD64" s="468"/>
      <c r="AE64" s="468"/>
      <c r="AF64" s="468"/>
      <c r="AG64" s="468"/>
      <c r="AH64" s="468"/>
      <c r="AI64" s="468"/>
      <c r="AJ64" s="468"/>
      <c r="AY64" s="5"/>
    </row>
    <row r="65" spans="2:51">
      <c r="B65" s="456">
        <v>62</v>
      </c>
      <c r="C65" s="469" t="s">
        <v>1628</v>
      </c>
      <c r="D65" s="136"/>
      <c r="E65" s="470"/>
      <c r="F65" s="470"/>
      <c r="G65" s="470"/>
      <c r="H65" s="470"/>
      <c r="I65" s="470"/>
      <c r="J65" s="470"/>
      <c r="K65" s="470"/>
      <c r="L65" s="471"/>
      <c r="M65" s="471"/>
      <c r="N65" s="471"/>
      <c r="O65" s="471"/>
      <c r="P65" s="471"/>
      <c r="Q65" s="471"/>
      <c r="R65" s="471"/>
      <c r="S65" s="471"/>
      <c r="T65" s="471"/>
      <c r="U65" s="471"/>
      <c r="V65" s="471"/>
      <c r="W65" s="471"/>
      <c r="X65" s="471"/>
      <c r="Y65" s="471"/>
      <c r="Z65" s="471"/>
      <c r="AA65" s="471"/>
      <c r="AB65" s="471"/>
      <c r="AC65" s="471"/>
      <c r="AD65" s="471"/>
      <c r="AE65" s="471"/>
      <c r="AF65" s="471"/>
      <c r="AG65" s="471"/>
      <c r="AH65" s="471"/>
      <c r="AI65" s="471"/>
      <c r="AJ65" s="471"/>
      <c r="AY65" s="5"/>
    </row>
    <row r="66" spans="2:51">
      <c r="B66" s="456">
        <v>63</v>
      </c>
      <c r="C66" s="45" t="s">
        <v>2004</v>
      </c>
      <c r="E66" s="466"/>
      <c r="F66" s="466"/>
      <c r="G66" s="466"/>
      <c r="H66" s="466"/>
      <c r="I66" s="466"/>
      <c r="J66" s="466"/>
      <c r="K66" s="466"/>
      <c r="L66" s="468"/>
      <c r="M66" s="468"/>
      <c r="N66" s="468"/>
      <c r="O66" s="468"/>
      <c r="P66" s="468"/>
      <c r="Q66" s="468"/>
      <c r="R66" s="468"/>
      <c r="S66" s="468"/>
      <c r="T66" s="468"/>
      <c r="U66" s="468"/>
      <c r="V66" s="468"/>
      <c r="W66" s="468"/>
      <c r="X66" s="468"/>
      <c r="Y66" s="468"/>
      <c r="Z66" s="468"/>
      <c r="AA66" s="468"/>
      <c r="AB66" s="468"/>
      <c r="AC66" s="468"/>
      <c r="AD66" s="468"/>
      <c r="AE66" s="468"/>
      <c r="AF66" s="468"/>
      <c r="AG66" s="468"/>
      <c r="AH66" s="468"/>
      <c r="AI66" s="468"/>
      <c r="AJ66" s="468"/>
      <c r="AY66" s="5"/>
    </row>
    <row r="67" spans="2:51">
      <c r="B67" s="456">
        <v>64</v>
      </c>
      <c r="C67" s="45"/>
      <c r="E67" s="466"/>
      <c r="F67" s="466"/>
      <c r="G67" s="466"/>
      <c r="H67" s="466"/>
      <c r="I67" s="466"/>
      <c r="J67" s="466"/>
      <c r="K67" s="466"/>
      <c r="L67" s="468"/>
      <c r="M67" s="468"/>
      <c r="N67" s="468"/>
      <c r="O67" s="468"/>
      <c r="P67" s="468"/>
      <c r="Q67" s="468"/>
      <c r="R67" s="468"/>
      <c r="S67" s="468"/>
      <c r="T67" s="468"/>
      <c r="U67" s="468"/>
      <c r="V67" s="468"/>
      <c r="W67" s="468"/>
      <c r="X67" s="468"/>
      <c r="Y67" s="468"/>
      <c r="Z67" s="468"/>
      <c r="AA67" s="468"/>
      <c r="AB67" s="468"/>
      <c r="AC67" s="468"/>
      <c r="AD67" s="468"/>
      <c r="AE67" s="468"/>
      <c r="AF67" s="468"/>
      <c r="AG67" s="468"/>
      <c r="AH67" s="468"/>
      <c r="AI67" s="468"/>
      <c r="AJ67" s="468"/>
      <c r="AY67" s="5"/>
    </row>
    <row r="68" spans="2:51">
      <c r="B68" s="456">
        <v>65</v>
      </c>
      <c r="D68" s="45" t="s">
        <v>1493</v>
      </c>
      <c r="E68" s="421">
        <f>IFERROR(('Consumption Input'!E69-'Consumption Input Diff.'!E180)/'Consumption Input Diff.'!E180,"NA")</f>
        <v>0</v>
      </c>
      <c r="F68" s="421">
        <f>IFERROR(('Consumption Input'!F69-'Consumption Input Diff.'!F180)/'Consumption Input Diff.'!F180,"NA")</f>
        <v>0</v>
      </c>
      <c r="G68" s="421">
        <f>IFERROR(('Consumption Input'!G69-'Consumption Input Diff.'!G180)/'Consumption Input Diff.'!G180,"NA")</f>
        <v>0</v>
      </c>
      <c r="H68" s="421">
        <f>IFERROR(('Consumption Input'!H69-'Consumption Input Diff.'!H180)/'Consumption Input Diff.'!H180,"NA")</f>
        <v>0</v>
      </c>
      <c r="I68" s="421">
        <f>IFERROR(('Consumption Input'!I69-'Consumption Input Diff.'!I180)/'Consumption Input Diff.'!I180,"NA")</f>
        <v>0</v>
      </c>
      <c r="J68" s="421">
        <f>IFERROR(('Consumption Input'!J69-'Consumption Input Diff.'!J180)/'Consumption Input Diff.'!J180,"NA")</f>
        <v>0</v>
      </c>
      <c r="K68" s="421">
        <f>IFERROR(('Consumption Input'!K69-'Consumption Input Diff.'!K180)/'Consumption Input Diff.'!K180,"NA")</f>
        <v>0</v>
      </c>
      <c r="L68" s="421">
        <f>IFERROR(('Consumption Input'!L69-'Consumption Input Diff.'!L180)/'Consumption Input Diff.'!L180,"NA")</f>
        <v>0</v>
      </c>
      <c r="M68" s="421">
        <f>IFERROR(('Consumption Input'!M69-'Consumption Input Diff.'!M180)/'Consumption Input Diff.'!M180,"NA")</f>
        <v>0</v>
      </c>
      <c r="N68" s="421">
        <f>IFERROR(('Consumption Input'!N69-'Consumption Input Diff.'!N180)/'Consumption Input Diff.'!N180,"NA")</f>
        <v>0</v>
      </c>
      <c r="O68" s="421">
        <f>IFERROR(('Consumption Input'!O69-'Consumption Input Diff.'!O180)/'Consumption Input Diff.'!O180,"NA")</f>
        <v>0</v>
      </c>
      <c r="P68" s="421">
        <f>IFERROR(('Consumption Input'!P69-'Consumption Input Diff.'!P180)/'Consumption Input Diff.'!P180,"NA")</f>
        <v>0</v>
      </c>
      <c r="Q68" s="421">
        <f>IFERROR(('Consumption Input'!Q69-'Consumption Input Diff.'!Q180)/'Consumption Input Diff.'!Q180,"NA")</f>
        <v>0</v>
      </c>
      <c r="R68" s="421">
        <f>IFERROR(('Consumption Input'!R69-'Consumption Input Diff.'!R180)/'Consumption Input Diff.'!R180,"NA")</f>
        <v>0</v>
      </c>
      <c r="S68" s="421">
        <f>IFERROR(('Consumption Input'!S69-'Consumption Input Diff.'!S180)/'Consumption Input Diff.'!S180,"NA")</f>
        <v>0</v>
      </c>
      <c r="T68" s="421">
        <f>IFERROR(('Consumption Input'!T69-'Consumption Input Diff.'!T180)/'Consumption Input Diff.'!T180,"NA")</f>
        <v>0</v>
      </c>
      <c r="U68" s="421">
        <f>IFERROR(('Consumption Input'!U69-'Consumption Input Diff.'!U180)/'Consumption Input Diff.'!U180,"NA")</f>
        <v>0</v>
      </c>
      <c r="V68" s="421">
        <f>IFERROR(('Consumption Input'!V69-'Consumption Input Diff.'!V180)/'Consumption Input Diff.'!V180,"NA")</f>
        <v>0</v>
      </c>
      <c r="W68" s="421">
        <f>IFERROR(('Consumption Input'!W69-'Consumption Input Diff.'!W180)/'Consumption Input Diff.'!W180,"NA")</f>
        <v>0</v>
      </c>
      <c r="X68" s="421">
        <f>IFERROR(('Consumption Input'!X69-'Consumption Input Diff.'!X180)/'Consumption Input Diff.'!X180,"NA")</f>
        <v>0</v>
      </c>
      <c r="Y68" s="421">
        <f>IFERROR(('Consumption Input'!Y69-'Consumption Input Diff.'!Y180)/'Consumption Input Diff.'!Y180,"NA")</f>
        <v>0</v>
      </c>
      <c r="Z68" s="421">
        <f>IFERROR(('Consumption Input'!Z69-'Consumption Input Diff.'!Z180)/'Consumption Input Diff.'!Z180,"NA")</f>
        <v>0</v>
      </c>
      <c r="AA68" s="421">
        <f>IFERROR(('Consumption Input'!AA69-'Consumption Input Diff.'!AA180)/'Consumption Input Diff.'!AA180,"NA")</f>
        <v>0</v>
      </c>
      <c r="AB68" s="421">
        <f>IFERROR(('Consumption Input'!AB69-'Consumption Input Diff.'!AB180)/'Consumption Input Diff.'!AB180,"NA")</f>
        <v>0</v>
      </c>
      <c r="AC68" s="421">
        <f>IFERROR(('Consumption Input'!AC69-'Consumption Input Diff.'!AC180)/'Consumption Input Diff.'!AC180,"NA")</f>
        <v>0</v>
      </c>
      <c r="AD68" s="421">
        <f>IFERROR(('Consumption Input'!AD69-'Consumption Input Diff.'!AD180)/'Consumption Input Diff.'!AD180,"NA")</f>
        <v>0</v>
      </c>
      <c r="AE68" s="421">
        <f>IFERROR(('Consumption Input'!AE69-'Consumption Input Diff.'!AE180)/'Consumption Input Diff.'!AE180,"NA")</f>
        <v>0</v>
      </c>
      <c r="AF68" s="421">
        <f>IFERROR(('Consumption Input'!AF69-'Consumption Input Diff.'!AF180)/'Consumption Input Diff.'!AF180,"NA")</f>
        <v>0</v>
      </c>
      <c r="AG68" s="421">
        <f>IFERROR(('Consumption Input'!AG69-'Consumption Input Diff.'!AG180)/'Consumption Input Diff.'!AG180,"NA")</f>
        <v>0</v>
      </c>
      <c r="AH68" s="421">
        <f>IFERROR(('Consumption Input'!AH69-'Consumption Input Diff.'!AH180)/'Consumption Input Diff.'!AH180,"NA")</f>
        <v>0</v>
      </c>
      <c r="AI68" s="421">
        <f>IFERROR(('Consumption Input'!AI69-'Consumption Input Diff.'!AI180)/'Consumption Input Diff.'!AI180,"NA")</f>
        <v>0</v>
      </c>
      <c r="AJ68" s="421">
        <f>IFERROR(('Consumption Input'!AJ69-'Consumption Input Diff.'!AJ180)/'Consumption Input Diff.'!AJ180,"NA")</f>
        <v>0</v>
      </c>
      <c r="AK68" s="5">
        <f>'Consumption Input'!V69-V180</f>
        <v>0</v>
      </c>
      <c r="AL68" s="5">
        <f>'Consumption Input'!W69-W180</f>
        <v>0</v>
      </c>
      <c r="AM68" s="5">
        <f>'Consumption Input'!X69-X180</f>
        <v>0</v>
      </c>
      <c r="AN68" s="5">
        <f>'Consumption Input'!Y69-Y180</f>
        <v>0</v>
      </c>
      <c r="AO68" s="5">
        <f>'Consumption Input'!Z69-Z180</f>
        <v>0</v>
      </c>
      <c r="AP68" s="5">
        <f>'Consumption Input'!AA69-AA180</f>
        <v>0</v>
      </c>
      <c r="AQ68" s="5">
        <f>'Consumption Input'!AB69-AB180</f>
        <v>0</v>
      </c>
      <c r="AR68" s="5">
        <f>'Consumption Input'!AC69-AC180</f>
        <v>0</v>
      </c>
      <c r="AS68" s="5">
        <f>'Consumption Input'!AD69-AD180</f>
        <v>0</v>
      </c>
      <c r="AT68" s="5">
        <f>'Consumption Input'!AE69-AE180</f>
        <v>0</v>
      </c>
      <c r="AU68" s="5">
        <f>'Consumption Input'!AF69-AF180</f>
        <v>0</v>
      </c>
      <c r="AV68" s="5">
        <f>'Consumption Input'!AG69-AG180</f>
        <v>0</v>
      </c>
      <c r="AW68" s="5">
        <f>'Consumption Input'!AH69-AH180</f>
        <v>0</v>
      </c>
      <c r="AX68" s="5">
        <f>'Consumption Input'!AI69-AI180</f>
        <v>0</v>
      </c>
      <c r="AY68" s="5">
        <f>'Consumption Input'!AJ69-AJ180</f>
        <v>0</v>
      </c>
    </row>
    <row r="69" spans="2:51">
      <c r="B69" s="456">
        <v>66</v>
      </c>
      <c r="D69" s="45" t="s">
        <v>1630</v>
      </c>
      <c r="E69" s="421">
        <f>IFERROR(('Consumption Input'!E70-'Consumption Input Diff.'!E181)/'Consumption Input Diff.'!E181,"NA")</f>
        <v>0</v>
      </c>
      <c r="F69" s="421">
        <f>IFERROR(('Consumption Input'!F70-'Consumption Input Diff.'!F181)/'Consumption Input Diff.'!F181,"NA")</f>
        <v>0</v>
      </c>
      <c r="G69" s="421">
        <f>IFERROR(('Consumption Input'!G70-'Consumption Input Diff.'!G181)/'Consumption Input Diff.'!G181,"NA")</f>
        <v>0</v>
      </c>
      <c r="H69" s="421">
        <f>IFERROR(('Consumption Input'!H70-'Consumption Input Diff.'!H181)/'Consumption Input Diff.'!H181,"NA")</f>
        <v>0</v>
      </c>
      <c r="I69" s="421">
        <f>IFERROR(('Consumption Input'!I70-'Consumption Input Diff.'!I181)/'Consumption Input Diff.'!I181,"NA")</f>
        <v>0</v>
      </c>
      <c r="J69" s="421">
        <f>IFERROR(('Consumption Input'!J70-'Consumption Input Diff.'!J181)/'Consumption Input Diff.'!J181,"NA")</f>
        <v>0</v>
      </c>
      <c r="K69" s="421">
        <f>IFERROR(('Consumption Input'!K70-'Consumption Input Diff.'!K181)/'Consumption Input Diff.'!K181,"NA")</f>
        <v>0</v>
      </c>
      <c r="L69" s="421">
        <f>IFERROR(('Consumption Input'!L70-'Consumption Input Diff.'!L181)/'Consumption Input Diff.'!L181,"NA")</f>
        <v>0</v>
      </c>
      <c r="M69" s="421">
        <f>IFERROR(('Consumption Input'!M70-'Consumption Input Diff.'!M181)/'Consumption Input Diff.'!M181,"NA")</f>
        <v>0</v>
      </c>
      <c r="N69" s="421">
        <f>IFERROR(('Consumption Input'!N70-'Consumption Input Diff.'!N181)/'Consumption Input Diff.'!N181,"NA")</f>
        <v>0</v>
      </c>
      <c r="O69" s="421">
        <f>IFERROR(('Consumption Input'!O70-'Consumption Input Diff.'!O181)/'Consumption Input Diff.'!O181,"NA")</f>
        <v>0</v>
      </c>
      <c r="P69" s="421">
        <f>IFERROR(('Consumption Input'!P70-'Consumption Input Diff.'!P181)/'Consumption Input Diff.'!P181,"NA")</f>
        <v>0</v>
      </c>
      <c r="Q69" s="421">
        <f>IFERROR(('Consumption Input'!Q70-'Consumption Input Diff.'!Q181)/'Consumption Input Diff.'!Q181,"NA")</f>
        <v>0</v>
      </c>
      <c r="R69" s="421">
        <f>IFERROR(('Consumption Input'!R70-'Consumption Input Diff.'!R181)/'Consumption Input Diff.'!R181,"NA")</f>
        <v>0</v>
      </c>
      <c r="S69" s="421">
        <f>IFERROR(('Consumption Input'!S70-'Consumption Input Diff.'!S181)/'Consumption Input Diff.'!S181,"NA")</f>
        <v>0</v>
      </c>
      <c r="T69" s="421">
        <f>IFERROR(('Consumption Input'!T70-'Consumption Input Diff.'!T181)/'Consumption Input Diff.'!T181,"NA")</f>
        <v>0</v>
      </c>
      <c r="U69" s="421">
        <f>IFERROR(('Consumption Input'!U70-'Consumption Input Diff.'!U181)/'Consumption Input Diff.'!U181,"NA")</f>
        <v>0</v>
      </c>
      <c r="V69" s="421">
        <f>IFERROR(('Consumption Input'!V70-'Consumption Input Diff.'!V181)/'Consumption Input Diff.'!V181,"NA")</f>
        <v>0</v>
      </c>
      <c r="W69" s="421">
        <f>IFERROR(('Consumption Input'!W70-'Consumption Input Diff.'!W181)/'Consumption Input Diff.'!W181,"NA")</f>
        <v>0</v>
      </c>
      <c r="X69" s="421">
        <f>IFERROR(('Consumption Input'!X70-'Consumption Input Diff.'!X181)/'Consumption Input Diff.'!X181,"NA")</f>
        <v>0</v>
      </c>
      <c r="Y69" s="421">
        <f>IFERROR(('Consumption Input'!Y70-'Consumption Input Diff.'!Y181)/'Consumption Input Diff.'!Y181,"NA")</f>
        <v>0</v>
      </c>
      <c r="Z69" s="421">
        <f>IFERROR(('Consumption Input'!Z70-'Consumption Input Diff.'!Z181)/'Consumption Input Diff.'!Z181,"NA")</f>
        <v>0</v>
      </c>
      <c r="AA69" s="421">
        <f>IFERROR(('Consumption Input'!AA70-'Consumption Input Diff.'!AA181)/'Consumption Input Diff.'!AA181,"NA")</f>
        <v>0</v>
      </c>
      <c r="AB69" s="421">
        <f>IFERROR(('Consumption Input'!AB70-'Consumption Input Diff.'!AB181)/'Consumption Input Diff.'!AB181,"NA")</f>
        <v>0</v>
      </c>
      <c r="AC69" s="421">
        <f>IFERROR(('Consumption Input'!AC70-'Consumption Input Diff.'!AC181)/'Consumption Input Diff.'!AC181,"NA")</f>
        <v>0</v>
      </c>
      <c r="AD69" s="421">
        <f>IFERROR(('Consumption Input'!AD70-'Consumption Input Diff.'!AD181)/'Consumption Input Diff.'!AD181,"NA")</f>
        <v>0</v>
      </c>
      <c r="AE69" s="421">
        <f>IFERROR(('Consumption Input'!AE70-'Consumption Input Diff.'!AE181)/'Consumption Input Diff.'!AE181,"NA")</f>
        <v>0</v>
      </c>
      <c r="AF69" s="421">
        <f>IFERROR(('Consumption Input'!AF70-'Consumption Input Diff.'!AF181)/'Consumption Input Diff.'!AF181,"NA")</f>
        <v>0</v>
      </c>
      <c r="AG69" s="421">
        <f>IFERROR(('Consumption Input'!AG70-'Consumption Input Diff.'!AG181)/'Consumption Input Diff.'!AG181,"NA")</f>
        <v>0</v>
      </c>
      <c r="AH69" s="421">
        <f>IFERROR(('Consumption Input'!AH70-'Consumption Input Diff.'!AH181)/'Consumption Input Diff.'!AH181,"NA")</f>
        <v>0</v>
      </c>
      <c r="AI69" s="421">
        <f>IFERROR(('Consumption Input'!AI70-'Consumption Input Diff.'!AI181)/'Consumption Input Diff.'!AI181,"NA")</f>
        <v>0</v>
      </c>
      <c r="AJ69" s="421">
        <f>IFERROR(('Consumption Input'!AJ70-'Consumption Input Diff.'!AJ181)/'Consumption Input Diff.'!AJ181,"NA")</f>
        <v>0</v>
      </c>
      <c r="AK69" s="5">
        <f>'Consumption Input'!V70-V181</f>
        <v>0</v>
      </c>
      <c r="AL69" s="5">
        <f>'Consumption Input'!W70-W181</f>
        <v>0</v>
      </c>
      <c r="AM69" s="5">
        <f>'Consumption Input'!X70-X181</f>
        <v>0</v>
      </c>
      <c r="AN69" s="5">
        <f>'Consumption Input'!Y70-Y181</f>
        <v>0</v>
      </c>
      <c r="AO69" s="5">
        <f>'Consumption Input'!Z70-Z181</f>
        <v>0</v>
      </c>
      <c r="AP69" s="5">
        <f>'Consumption Input'!AA70-AA181</f>
        <v>0</v>
      </c>
      <c r="AQ69" s="5">
        <f>'Consumption Input'!AB70-AB181</f>
        <v>0</v>
      </c>
      <c r="AR69" s="5">
        <f>'Consumption Input'!AC70-AC181</f>
        <v>0</v>
      </c>
      <c r="AS69" s="5">
        <f>'Consumption Input'!AD70-AD181</f>
        <v>0</v>
      </c>
      <c r="AT69" s="5">
        <f>'Consumption Input'!AE70-AE181</f>
        <v>0</v>
      </c>
      <c r="AU69" s="5">
        <f>'Consumption Input'!AF70-AF181</f>
        <v>0</v>
      </c>
      <c r="AV69" s="5">
        <f>'Consumption Input'!AG70-AG181</f>
        <v>0</v>
      </c>
      <c r="AW69" s="5">
        <f>'Consumption Input'!AH70-AH181</f>
        <v>0</v>
      </c>
      <c r="AX69" s="5">
        <f>'Consumption Input'!AI70-AI181</f>
        <v>0</v>
      </c>
      <c r="AY69" s="5">
        <f>'Consumption Input'!AJ70-AJ181</f>
        <v>0</v>
      </c>
    </row>
    <row r="70" spans="2:51">
      <c r="B70" s="456">
        <v>67</v>
      </c>
      <c r="C70" s="98"/>
      <c r="D70" s="472" t="s">
        <v>1492</v>
      </c>
      <c r="E70" s="484">
        <f>IFERROR(('Consumption Input'!E71-'Consumption Input Diff.'!E182)/'Consumption Input Diff.'!E182,"NA")</f>
        <v>0</v>
      </c>
      <c r="F70" s="484">
        <f>IFERROR(('Consumption Input'!F71-'Consumption Input Diff.'!F182)/'Consumption Input Diff.'!F182,"NA")</f>
        <v>0</v>
      </c>
      <c r="G70" s="484">
        <f>IFERROR(('Consumption Input'!G71-'Consumption Input Diff.'!G182)/'Consumption Input Diff.'!G182,"NA")</f>
        <v>0</v>
      </c>
      <c r="H70" s="484">
        <f>IFERROR(('Consumption Input'!H71-'Consumption Input Diff.'!H182)/'Consumption Input Diff.'!H182,"NA")</f>
        <v>0</v>
      </c>
      <c r="I70" s="484">
        <f>IFERROR(('Consumption Input'!I71-'Consumption Input Diff.'!I182)/'Consumption Input Diff.'!I182,"NA")</f>
        <v>0</v>
      </c>
      <c r="J70" s="484">
        <f>IFERROR(('Consumption Input'!J71-'Consumption Input Diff.'!J182)/'Consumption Input Diff.'!J182,"NA")</f>
        <v>0</v>
      </c>
      <c r="K70" s="484">
        <f>IFERROR(('Consumption Input'!K71-'Consumption Input Diff.'!K182)/'Consumption Input Diff.'!K182,"NA")</f>
        <v>0</v>
      </c>
      <c r="L70" s="484">
        <f>IFERROR(('Consumption Input'!L71-'Consumption Input Diff.'!L182)/'Consumption Input Diff.'!L182,"NA")</f>
        <v>0</v>
      </c>
      <c r="M70" s="484">
        <f>IFERROR(('Consumption Input'!M71-'Consumption Input Diff.'!M182)/'Consumption Input Diff.'!M182,"NA")</f>
        <v>0</v>
      </c>
      <c r="N70" s="484">
        <f>IFERROR(('Consumption Input'!N71-'Consumption Input Diff.'!N182)/'Consumption Input Diff.'!N182,"NA")</f>
        <v>0</v>
      </c>
      <c r="O70" s="484">
        <f>IFERROR(('Consumption Input'!O71-'Consumption Input Diff.'!O182)/'Consumption Input Diff.'!O182,"NA")</f>
        <v>0</v>
      </c>
      <c r="P70" s="484">
        <f>IFERROR(('Consumption Input'!P71-'Consumption Input Diff.'!P182)/'Consumption Input Diff.'!P182,"NA")</f>
        <v>0</v>
      </c>
      <c r="Q70" s="484">
        <f>IFERROR(('Consumption Input'!Q71-'Consumption Input Diff.'!Q182)/'Consumption Input Diff.'!Q182,"NA")</f>
        <v>0</v>
      </c>
      <c r="R70" s="484">
        <f>IFERROR(('Consumption Input'!R71-'Consumption Input Diff.'!R182)/'Consumption Input Diff.'!R182,"NA")</f>
        <v>0</v>
      </c>
      <c r="S70" s="484">
        <f>IFERROR(('Consumption Input'!S71-'Consumption Input Diff.'!S182)/'Consumption Input Diff.'!S182,"NA")</f>
        <v>0</v>
      </c>
      <c r="T70" s="484">
        <f>IFERROR(('Consumption Input'!T71-'Consumption Input Diff.'!T182)/'Consumption Input Diff.'!T182,"NA")</f>
        <v>0</v>
      </c>
      <c r="U70" s="484">
        <f>IFERROR(('Consumption Input'!U71-'Consumption Input Diff.'!U182)/'Consumption Input Diff.'!U182,"NA")</f>
        <v>0</v>
      </c>
      <c r="V70" s="484">
        <f>IFERROR(('Consumption Input'!V71-'Consumption Input Diff.'!V182)/'Consumption Input Diff.'!V182,"NA")</f>
        <v>0</v>
      </c>
      <c r="W70" s="484">
        <f>IFERROR(('Consumption Input'!W71-'Consumption Input Diff.'!W182)/'Consumption Input Diff.'!W182,"NA")</f>
        <v>0</v>
      </c>
      <c r="X70" s="484">
        <f>IFERROR(('Consumption Input'!X71-'Consumption Input Diff.'!X182)/'Consumption Input Diff.'!X182,"NA")</f>
        <v>0</v>
      </c>
      <c r="Y70" s="484">
        <f>IFERROR(('Consumption Input'!Y71-'Consumption Input Diff.'!Y182)/'Consumption Input Diff.'!Y182,"NA")</f>
        <v>0</v>
      </c>
      <c r="Z70" s="484">
        <f>IFERROR(('Consumption Input'!Z71-'Consumption Input Diff.'!Z182)/'Consumption Input Diff.'!Z182,"NA")</f>
        <v>0</v>
      </c>
      <c r="AA70" s="484">
        <f>IFERROR(('Consumption Input'!AA71-'Consumption Input Diff.'!AA182)/'Consumption Input Diff.'!AA182,"NA")</f>
        <v>0</v>
      </c>
      <c r="AB70" s="484">
        <f>IFERROR(('Consumption Input'!AB71-'Consumption Input Diff.'!AB182)/'Consumption Input Diff.'!AB182,"NA")</f>
        <v>0</v>
      </c>
      <c r="AC70" s="484">
        <f>IFERROR(('Consumption Input'!AC71-'Consumption Input Diff.'!AC182)/'Consumption Input Diff.'!AC182,"NA")</f>
        <v>0</v>
      </c>
      <c r="AD70" s="484">
        <f>IFERROR(('Consumption Input'!AD71-'Consumption Input Diff.'!AD182)/'Consumption Input Diff.'!AD182,"NA")</f>
        <v>0</v>
      </c>
      <c r="AE70" s="484">
        <f>IFERROR(('Consumption Input'!AE71-'Consumption Input Diff.'!AE182)/'Consumption Input Diff.'!AE182,"NA")</f>
        <v>0</v>
      </c>
      <c r="AF70" s="484">
        <f>IFERROR(('Consumption Input'!AF71-'Consumption Input Diff.'!AF182)/'Consumption Input Diff.'!AF182,"NA")</f>
        <v>0</v>
      </c>
      <c r="AG70" s="484">
        <f>IFERROR(('Consumption Input'!AG71-'Consumption Input Diff.'!AG182)/'Consumption Input Diff.'!AG182,"NA")</f>
        <v>0</v>
      </c>
      <c r="AH70" s="484">
        <f>IFERROR(('Consumption Input'!AH71-'Consumption Input Diff.'!AH182)/'Consumption Input Diff.'!AH182,"NA")</f>
        <v>0</v>
      </c>
      <c r="AI70" s="484">
        <f>IFERROR(('Consumption Input'!AI71-'Consumption Input Diff.'!AI182)/'Consumption Input Diff.'!AI182,"NA")</f>
        <v>0</v>
      </c>
      <c r="AJ70" s="484">
        <f>IFERROR(('Consumption Input'!AJ71-'Consumption Input Diff.'!AJ182)/'Consumption Input Diff.'!AJ182,"NA")</f>
        <v>0</v>
      </c>
      <c r="AK70" s="5">
        <f>'Consumption Input'!V71-V182</f>
        <v>0</v>
      </c>
      <c r="AL70" s="5">
        <f>'Consumption Input'!W71-W182</f>
        <v>0</v>
      </c>
      <c r="AM70" s="5">
        <f>'Consumption Input'!X71-X182</f>
        <v>0</v>
      </c>
      <c r="AN70" s="5">
        <f>'Consumption Input'!Y71-Y182</f>
        <v>0</v>
      </c>
      <c r="AO70" s="5">
        <f>'Consumption Input'!Z71-Z182</f>
        <v>0</v>
      </c>
      <c r="AP70" s="5">
        <f>'Consumption Input'!AA71-AA182</f>
        <v>0</v>
      </c>
      <c r="AQ70" s="5">
        <f>'Consumption Input'!AB71-AB182</f>
        <v>0</v>
      </c>
      <c r="AR70" s="5">
        <f>'Consumption Input'!AC71-AC182</f>
        <v>0</v>
      </c>
      <c r="AS70" s="5">
        <f>'Consumption Input'!AD71-AD182</f>
        <v>0</v>
      </c>
      <c r="AT70" s="5">
        <f>'Consumption Input'!AE71-AE182</f>
        <v>0</v>
      </c>
      <c r="AU70" s="5">
        <f>'Consumption Input'!AF71-AF182</f>
        <v>0</v>
      </c>
      <c r="AV70" s="5">
        <f>'Consumption Input'!AG71-AG182</f>
        <v>0</v>
      </c>
      <c r="AW70" s="5">
        <f>'Consumption Input'!AH71-AH182</f>
        <v>0</v>
      </c>
      <c r="AX70" s="5">
        <f>'Consumption Input'!AI71-AI182</f>
        <v>0</v>
      </c>
      <c r="AY70" s="5">
        <f>'Consumption Input'!AJ71-AJ182</f>
        <v>0</v>
      </c>
    </row>
    <row r="71" spans="2:51">
      <c r="B71" s="456">
        <v>68</v>
      </c>
      <c r="E71" s="466"/>
      <c r="F71" s="466"/>
      <c r="G71" s="466"/>
      <c r="H71" s="466"/>
      <c r="I71" s="466"/>
      <c r="J71" s="466"/>
      <c r="K71" s="466"/>
      <c r="L71" s="468"/>
      <c r="M71" s="468"/>
      <c r="N71" s="468"/>
      <c r="O71" s="468"/>
      <c r="P71" s="473"/>
      <c r="Q71" s="473"/>
      <c r="R71" s="473"/>
      <c r="S71" s="473"/>
      <c r="T71" s="473"/>
      <c r="U71" s="473"/>
      <c r="V71" s="473"/>
      <c r="W71" s="473"/>
      <c r="X71" s="473"/>
      <c r="Y71" s="473"/>
      <c r="Z71" s="473"/>
      <c r="AA71" s="473"/>
      <c r="AB71" s="473"/>
      <c r="AC71" s="473"/>
      <c r="AD71" s="473"/>
      <c r="AE71" s="473"/>
      <c r="AF71" s="473"/>
      <c r="AG71" s="473"/>
      <c r="AH71" s="473"/>
      <c r="AI71" s="473"/>
      <c r="AJ71" s="473"/>
      <c r="AY71" s="5"/>
    </row>
    <row r="72" spans="2:51">
      <c r="B72" s="456">
        <v>69</v>
      </c>
      <c r="C72" s="469" t="s">
        <v>1631</v>
      </c>
      <c r="D72" s="136"/>
      <c r="E72" s="470"/>
      <c r="F72" s="470"/>
      <c r="G72" s="470"/>
      <c r="H72" s="470"/>
      <c r="I72" s="470"/>
      <c r="J72" s="470"/>
      <c r="K72" s="470"/>
      <c r="L72" s="471"/>
      <c r="M72" s="471"/>
      <c r="N72" s="471"/>
      <c r="O72" s="471"/>
      <c r="P72" s="468"/>
      <c r="Q72" s="468"/>
      <c r="R72" s="468"/>
      <c r="S72" s="468"/>
      <c r="T72" s="468"/>
      <c r="U72" s="468"/>
      <c r="V72" s="468"/>
      <c r="W72" s="468"/>
      <c r="X72" s="468"/>
      <c r="Y72" s="468"/>
      <c r="Z72" s="468"/>
      <c r="AA72" s="468"/>
      <c r="AB72" s="468"/>
      <c r="AC72" s="468"/>
      <c r="AD72" s="468"/>
      <c r="AE72" s="468"/>
      <c r="AF72" s="468"/>
      <c r="AG72" s="468"/>
      <c r="AH72" s="468"/>
      <c r="AI72" s="468"/>
      <c r="AJ72" s="468"/>
      <c r="AY72" s="5"/>
    </row>
    <row r="73" spans="2:51">
      <c r="B73" s="456">
        <v>70</v>
      </c>
      <c r="C73" s="76"/>
      <c r="D73" s="1" t="s">
        <v>2005</v>
      </c>
      <c r="E73" s="466"/>
      <c r="F73" s="466"/>
      <c r="G73" s="466"/>
      <c r="H73" s="466"/>
      <c r="I73" s="466"/>
      <c r="J73" s="466"/>
      <c r="K73" s="466"/>
      <c r="L73" s="468"/>
      <c r="M73" s="468"/>
      <c r="N73" s="468"/>
      <c r="O73" s="468"/>
      <c r="P73" s="468"/>
      <c r="Q73" s="468"/>
      <c r="R73" s="468"/>
      <c r="S73" s="468"/>
      <c r="T73" s="468"/>
      <c r="U73" s="468"/>
      <c r="V73" s="468"/>
      <c r="W73" s="468"/>
      <c r="X73" s="468"/>
      <c r="Y73" s="468"/>
      <c r="Z73" s="468"/>
      <c r="AA73" s="468"/>
      <c r="AB73" s="468"/>
      <c r="AC73" s="468"/>
      <c r="AD73" s="468"/>
      <c r="AE73" s="468"/>
      <c r="AF73" s="468"/>
      <c r="AG73" s="468"/>
      <c r="AH73" s="468"/>
      <c r="AI73" s="468"/>
      <c r="AJ73" s="468"/>
      <c r="AY73" s="5"/>
    </row>
    <row r="74" spans="2:51">
      <c r="B74" s="456">
        <v>71</v>
      </c>
      <c r="C74" s="45"/>
      <c r="D74" s="1" t="s">
        <v>2006</v>
      </c>
      <c r="E74" s="466"/>
      <c r="F74" s="466"/>
      <c r="G74" s="466"/>
      <c r="H74" s="466"/>
      <c r="I74" s="466"/>
      <c r="J74" s="466"/>
      <c r="K74" s="466"/>
      <c r="L74" s="468"/>
      <c r="M74" s="468"/>
      <c r="N74" s="468"/>
      <c r="O74" s="468"/>
      <c r="P74" s="468"/>
      <c r="Q74" s="468"/>
      <c r="R74" s="468"/>
      <c r="S74" s="468"/>
      <c r="T74" s="468"/>
      <c r="U74" s="468"/>
      <c r="V74" s="468"/>
      <c r="W74" s="468"/>
      <c r="X74" s="468"/>
      <c r="Y74" s="468"/>
      <c r="Z74" s="468"/>
      <c r="AA74" s="468"/>
      <c r="AB74" s="468"/>
      <c r="AC74" s="468"/>
      <c r="AD74" s="468"/>
      <c r="AE74" s="468"/>
      <c r="AF74" s="468"/>
      <c r="AG74" s="468"/>
      <c r="AH74" s="468"/>
      <c r="AI74" s="468"/>
      <c r="AJ74" s="468"/>
      <c r="AY74" s="5"/>
    </row>
    <row r="75" spans="2:51">
      <c r="B75" s="456">
        <v>72</v>
      </c>
      <c r="C75" s="45"/>
      <c r="D75" s="6" t="s">
        <v>2007</v>
      </c>
      <c r="E75" s="466"/>
      <c r="F75" s="466"/>
      <c r="G75" s="466"/>
      <c r="H75" s="466"/>
      <c r="I75" s="466"/>
      <c r="J75" s="466"/>
      <c r="K75" s="466"/>
      <c r="L75" s="468"/>
      <c r="M75" s="468"/>
      <c r="N75" s="468"/>
      <c r="O75" s="468"/>
      <c r="P75" s="468"/>
      <c r="Q75" s="468"/>
      <c r="R75" s="468"/>
      <c r="S75" s="468"/>
      <c r="T75" s="468"/>
      <c r="U75" s="468"/>
      <c r="V75" s="468"/>
      <c r="W75" s="468"/>
      <c r="X75" s="468"/>
      <c r="Y75" s="468"/>
      <c r="Z75" s="468"/>
      <c r="AA75" s="468"/>
      <c r="AB75" s="468"/>
      <c r="AC75" s="468"/>
      <c r="AD75" s="468"/>
      <c r="AE75" s="468"/>
      <c r="AF75" s="468"/>
      <c r="AG75" s="468"/>
      <c r="AH75" s="468"/>
      <c r="AI75" s="468"/>
      <c r="AJ75" s="468"/>
      <c r="AY75" s="5"/>
    </row>
    <row r="76" spans="2:51">
      <c r="B76" s="456">
        <v>73</v>
      </c>
      <c r="C76" s="45"/>
      <c r="D76" s="6" t="s">
        <v>2008</v>
      </c>
      <c r="E76" s="466"/>
      <c r="F76" s="466"/>
      <c r="G76" s="466"/>
      <c r="H76" s="466"/>
      <c r="I76" s="466"/>
      <c r="J76" s="466"/>
      <c r="K76" s="466"/>
      <c r="L76" s="468"/>
      <c r="M76" s="468"/>
      <c r="N76" s="468"/>
      <c r="O76" s="468"/>
      <c r="P76" s="468"/>
      <c r="Q76" s="468"/>
      <c r="R76" s="468"/>
      <c r="S76" s="468"/>
      <c r="T76" s="468"/>
      <c r="U76" s="468"/>
      <c r="V76" s="468"/>
      <c r="W76" s="468"/>
      <c r="X76" s="468"/>
      <c r="Y76" s="468"/>
      <c r="Z76" s="468"/>
      <c r="AA76" s="468"/>
      <c r="AB76" s="468"/>
      <c r="AC76" s="468"/>
      <c r="AD76" s="468"/>
      <c r="AE76" s="468"/>
      <c r="AF76" s="468"/>
      <c r="AG76" s="468"/>
      <c r="AH76" s="468"/>
      <c r="AI76" s="468"/>
      <c r="AJ76" s="468"/>
      <c r="AY76" s="5"/>
    </row>
    <row r="77" spans="2:51">
      <c r="B77" s="456">
        <v>74</v>
      </c>
      <c r="C77" s="45"/>
      <c r="D77" s="6" t="s">
        <v>2009</v>
      </c>
      <c r="E77" s="466"/>
      <c r="F77" s="466"/>
      <c r="G77" s="466"/>
      <c r="H77" s="466"/>
      <c r="I77" s="466"/>
      <c r="J77" s="466"/>
      <c r="K77" s="466"/>
      <c r="L77" s="468"/>
      <c r="M77" s="468"/>
      <c r="N77" s="468"/>
      <c r="O77" s="468"/>
      <c r="P77" s="468"/>
      <c r="Q77" s="468"/>
      <c r="R77" s="468"/>
      <c r="S77" s="468"/>
      <c r="T77" s="468"/>
      <c r="U77" s="468"/>
      <c r="V77" s="468"/>
      <c r="W77" s="468"/>
      <c r="X77" s="468"/>
      <c r="Y77" s="468"/>
      <c r="Z77" s="468"/>
      <c r="AA77" s="468"/>
      <c r="AB77" s="468"/>
      <c r="AC77" s="468"/>
      <c r="AD77" s="468"/>
      <c r="AE77" s="468"/>
      <c r="AF77" s="468"/>
      <c r="AG77" s="468"/>
      <c r="AH77" s="468"/>
      <c r="AI77" s="468"/>
      <c r="AJ77" s="468"/>
      <c r="AY77" s="5"/>
    </row>
    <row r="78" spans="2:51">
      <c r="B78" s="456">
        <v>75</v>
      </c>
      <c r="C78" s="45"/>
      <c r="D78" s="6" t="s">
        <v>2010</v>
      </c>
      <c r="E78" s="466"/>
      <c r="F78" s="466"/>
      <c r="G78" s="466"/>
      <c r="H78" s="466"/>
      <c r="I78" s="466"/>
      <c r="J78" s="466"/>
      <c r="K78" s="466"/>
      <c r="L78" s="468"/>
      <c r="M78" s="468"/>
      <c r="N78" s="468"/>
      <c r="O78" s="468"/>
      <c r="P78" s="468"/>
      <c r="Q78" s="468"/>
      <c r="R78" s="468"/>
      <c r="S78" s="468"/>
      <c r="T78" s="468"/>
      <c r="U78" s="468"/>
      <c r="V78" s="468"/>
      <c r="W78" s="468"/>
      <c r="X78" s="468"/>
      <c r="Y78" s="468"/>
      <c r="Z78" s="468"/>
      <c r="AA78" s="468"/>
      <c r="AB78" s="468"/>
      <c r="AC78" s="468"/>
      <c r="AD78" s="468"/>
      <c r="AE78" s="468"/>
      <c r="AF78" s="468"/>
      <c r="AG78" s="468"/>
      <c r="AH78" s="468"/>
      <c r="AI78" s="468"/>
      <c r="AJ78" s="468"/>
      <c r="AY78" s="5"/>
    </row>
    <row r="79" spans="2:51">
      <c r="B79" s="456">
        <v>76</v>
      </c>
      <c r="D79" s="45" t="s">
        <v>1434</v>
      </c>
      <c r="E79" s="421">
        <f>IFERROR(('Consumption Input'!E76-'Consumption Input Diff.'!E191)/'Consumption Input Diff.'!E191, "NA")</f>
        <v>0</v>
      </c>
      <c r="F79" s="421">
        <f>IFERROR(('Consumption Input'!F76-'Consumption Input Diff.'!F191)/'Consumption Input Diff.'!F191, "NA")</f>
        <v>0</v>
      </c>
      <c r="G79" s="421">
        <f>IFERROR(('Consumption Input'!G76-'Consumption Input Diff.'!G191)/'Consumption Input Diff.'!G191, "NA")</f>
        <v>0</v>
      </c>
      <c r="H79" s="421">
        <f>IFERROR(('Consumption Input'!H76-'Consumption Input Diff.'!H191)/'Consumption Input Diff.'!H191, "NA")</f>
        <v>0</v>
      </c>
      <c r="I79" s="421">
        <f>IFERROR(('Consumption Input'!I76-'Consumption Input Diff.'!I191)/'Consumption Input Diff.'!I191, "NA")</f>
        <v>0</v>
      </c>
      <c r="J79" s="421">
        <f>IFERROR(('Consumption Input'!J76-'Consumption Input Diff.'!J191)/'Consumption Input Diff.'!J191, "NA")</f>
        <v>0</v>
      </c>
      <c r="K79" s="421">
        <f>IFERROR(('Consumption Input'!K76-'Consumption Input Diff.'!K191)/'Consumption Input Diff.'!K191, "NA")</f>
        <v>0</v>
      </c>
      <c r="L79" s="421">
        <f>IFERROR(('Consumption Input'!L76-'Consumption Input Diff.'!L191)/'Consumption Input Diff.'!L191, "NA")</f>
        <v>0</v>
      </c>
      <c r="M79" s="421">
        <f>IFERROR(('Consumption Input'!M76-'Consumption Input Diff.'!M191)/'Consumption Input Diff.'!M191, "NA")</f>
        <v>0</v>
      </c>
      <c r="N79" s="421">
        <f>IFERROR(('Consumption Input'!N76-'Consumption Input Diff.'!N191)/'Consumption Input Diff.'!N191, "NA")</f>
        <v>0</v>
      </c>
      <c r="O79" s="421">
        <f>IFERROR(('Consumption Input'!O76-'Consumption Input Diff.'!O191)/'Consumption Input Diff.'!O191, "NA")</f>
        <v>0</v>
      </c>
      <c r="P79" s="421">
        <f>IFERROR(('Consumption Input'!P76-'Consumption Input Diff.'!P191)/'Consumption Input Diff.'!P191, "NA")</f>
        <v>0</v>
      </c>
      <c r="Q79" s="421">
        <f>IFERROR(('Consumption Input'!Q76-'Consumption Input Diff.'!Q191)/'Consumption Input Diff.'!Q191, "NA")</f>
        <v>0</v>
      </c>
      <c r="R79" s="421">
        <f>IFERROR(('Consumption Input'!R76-'Consumption Input Diff.'!R191)/'Consumption Input Diff.'!R191, "NA")</f>
        <v>0</v>
      </c>
      <c r="S79" s="421">
        <f>IFERROR(('Consumption Input'!S76-'Consumption Input Diff.'!S191)/'Consumption Input Diff.'!S191, "NA")</f>
        <v>0</v>
      </c>
      <c r="T79" s="421">
        <f>IFERROR(('Consumption Input'!T76-'Consumption Input Diff.'!T191)/'Consumption Input Diff.'!T191, "NA")</f>
        <v>0</v>
      </c>
      <c r="U79" s="421">
        <f>IFERROR(('Consumption Input'!U76-'Consumption Input Diff.'!U191)/'Consumption Input Diff.'!U191, "NA")</f>
        <v>0</v>
      </c>
      <c r="V79" s="421">
        <f>IFERROR(('Consumption Input'!V76-'Consumption Input Diff.'!V191)/'Consumption Input Diff.'!V191, "NA")</f>
        <v>0</v>
      </c>
      <c r="W79" s="421">
        <f>IFERROR(('Consumption Input'!W76-'Consumption Input Diff.'!W191)/'Consumption Input Diff.'!W191, "NA")</f>
        <v>0</v>
      </c>
      <c r="X79" s="421">
        <f>IFERROR(('Consumption Input'!X76-'Consumption Input Diff.'!X191)/'Consumption Input Diff.'!X191, "NA")</f>
        <v>0</v>
      </c>
      <c r="Y79" s="421">
        <f>IFERROR(('Consumption Input'!Y76-'Consumption Input Diff.'!Y191)/'Consumption Input Diff.'!Y191, "NA")</f>
        <v>0</v>
      </c>
      <c r="Z79" s="421">
        <f>IFERROR(('Consumption Input'!Z76-'Consumption Input Diff.'!Z191)/'Consumption Input Diff.'!Z191, "NA")</f>
        <v>0</v>
      </c>
      <c r="AA79" s="421">
        <f>IFERROR(('Consumption Input'!AA76-'Consumption Input Diff.'!AA191)/'Consumption Input Diff.'!AA191, "NA")</f>
        <v>0</v>
      </c>
      <c r="AB79" s="421">
        <f>IFERROR(('Consumption Input'!AB76-'Consumption Input Diff.'!AB191)/'Consumption Input Diff.'!AB191, "NA")</f>
        <v>0</v>
      </c>
      <c r="AC79" s="421">
        <f>IFERROR(('Consumption Input'!AC76-'Consumption Input Diff.'!AC191)/'Consumption Input Diff.'!AC191, "NA")</f>
        <v>0</v>
      </c>
      <c r="AD79" s="421">
        <f>IFERROR(('Consumption Input'!AD76-'Consumption Input Diff.'!AD191)/'Consumption Input Diff.'!AD191, "NA")</f>
        <v>0</v>
      </c>
      <c r="AE79" s="421">
        <f>IFERROR(('Consumption Input'!AE76-'Consumption Input Diff.'!AE191)/'Consumption Input Diff.'!AE191, "NA")</f>
        <v>0</v>
      </c>
      <c r="AF79" s="421">
        <f>IFERROR(('Consumption Input'!AF76-'Consumption Input Diff.'!AF191)/'Consumption Input Diff.'!AF191, "NA")</f>
        <v>0</v>
      </c>
      <c r="AG79" s="421">
        <f>IFERROR(('Consumption Input'!AG76-'Consumption Input Diff.'!AG191)/'Consumption Input Diff.'!AG191, "NA")</f>
        <v>-3.2243029668366557E-7</v>
      </c>
      <c r="AH79" s="421">
        <f>IFERROR(('Consumption Input'!AH76-'Consumption Input Diff.'!AH191)/'Consumption Input Diff.'!AH191, "NA")</f>
        <v>1.5597040796339526E-5</v>
      </c>
      <c r="AI79" s="421">
        <f>IFERROR(('Consumption Input'!AI76-'Consumption Input Diff.'!AI191)/'Consumption Input Diff.'!AI191, "NA")</f>
        <v>1.3782665928162312E-5</v>
      </c>
      <c r="AJ79" s="421">
        <f>IFERROR(('Consumption Input'!AJ76-'Consumption Input Diff.'!AJ191)/'Consumption Input Diff.'!AJ191, "NA")</f>
        <v>-1.8998286431524868E-5</v>
      </c>
      <c r="AK79" s="5">
        <f>'Consumption Input'!V76-V191</f>
        <v>0</v>
      </c>
      <c r="AL79" s="5">
        <f>'Consumption Input'!W76-W191</f>
        <v>0</v>
      </c>
      <c r="AM79" s="5">
        <f>'Consumption Input'!X76-X191</f>
        <v>0</v>
      </c>
      <c r="AN79" s="5">
        <f>'Consumption Input'!Y76-Y191</f>
        <v>0</v>
      </c>
      <c r="AO79" s="5">
        <f>'Consumption Input'!Z76-Z191</f>
        <v>0</v>
      </c>
      <c r="AP79" s="5">
        <f>'Consumption Input'!AA76-AA191</f>
        <v>0</v>
      </c>
      <c r="AQ79" s="5">
        <f>'Consumption Input'!AB76-AB191</f>
        <v>0</v>
      </c>
      <c r="AR79" s="5">
        <f>'Consumption Input'!AC76-AC191</f>
        <v>0</v>
      </c>
      <c r="AS79" s="5">
        <f>'Consumption Input'!AD76-AD191</f>
        <v>0</v>
      </c>
      <c r="AT79" s="5">
        <f>'Consumption Input'!AE76-AE191</f>
        <v>0</v>
      </c>
      <c r="AU79" s="5">
        <f>'Consumption Input'!AF76-AF191</f>
        <v>0</v>
      </c>
      <c r="AV79" s="5">
        <f>'Consumption Input'!AG76-AG191</f>
        <v>-4.7279929412979982E-4</v>
      </c>
      <c r="AW79" s="5">
        <f>'Consumption Input'!AH76-AH191</f>
        <v>2.2408083727441408E-2</v>
      </c>
      <c r="AX79" s="5">
        <f>'Consumption Input'!AI76-AI191</f>
        <v>2.0134008297191031E-2</v>
      </c>
      <c r="AY79" s="5">
        <f>'Consumption Input'!AJ76-AJ191</f>
        <v>-2.7831412269733846E-2</v>
      </c>
    </row>
    <row r="80" spans="2:51">
      <c r="B80" s="456">
        <v>77</v>
      </c>
      <c r="D80" s="45" t="s">
        <v>1441</v>
      </c>
      <c r="E80" s="421">
        <f>IFERROR(('Consumption Input'!E77-'Consumption Input Diff.'!E192)/'Consumption Input Diff.'!E192, "NA")</f>
        <v>0</v>
      </c>
      <c r="F80" s="421">
        <f>IFERROR(('Consumption Input'!F77-'Consumption Input Diff.'!F192)/'Consumption Input Diff.'!F192, "NA")</f>
        <v>0</v>
      </c>
      <c r="G80" s="421">
        <f>IFERROR(('Consumption Input'!G77-'Consumption Input Diff.'!G192)/'Consumption Input Diff.'!G192, "NA")</f>
        <v>0</v>
      </c>
      <c r="H80" s="421">
        <f>IFERROR(('Consumption Input'!H77-'Consumption Input Diff.'!H192)/'Consumption Input Diff.'!H192, "NA")</f>
        <v>0</v>
      </c>
      <c r="I80" s="421">
        <f>IFERROR(('Consumption Input'!I77-'Consumption Input Diff.'!I192)/'Consumption Input Diff.'!I192, "NA")</f>
        <v>0</v>
      </c>
      <c r="J80" s="421">
        <f>IFERROR(('Consumption Input'!J77-'Consumption Input Diff.'!J192)/'Consumption Input Diff.'!J192, "NA")</f>
        <v>0</v>
      </c>
      <c r="K80" s="421">
        <f>IFERROR(('Consumption Input'!K77-'Consumption Input Diff.'!K192)/'Consumption Input Diff.'!K192, "NA")</f>
        <v>0</v>
      </c>
      <c r="L80" s="421">
        <f>IFERROR(('Consumption Input'!L77-'Consumption Input Diff.'!L192)/'Consumption Input Diff.'!L192, "NA")</f>
        <v>0</v>
      </c>
      <c r="M80" s="421">
        <f>IFERROR(('Consumption Input'!M77-'Consumption Input Diff.'!M192)/'Consumption Input Diff.'!M192, "NA")</f>
        <v>0</v>
      </c>
      <c r="N80" s="421">
        <f>IFERROR(('Consumption Input'!N77-'Consumption Input Diff.'!N192)/'Consumption Input Diff.'!N192, "NA")</f>
        <v>0</v>
      </c>
      <c r="O80" s="421">
        <f>IFERROR(('Consumption Input'!O77-'Consumption Input Diff.'!O192)/'Consumption Input Diff.'!O192, "NA")</f>
        <v>0</v>
      </c>
      <c r="P80" s="421">
        <f>IFERROR(('Consumption Input'!P77-'Consumption Input Diff.'!P192)/'Consumption Input Diff.'!P192, "NA")</f>
        <v>0</v>
      </c>
      <c r="Q80" s="421">
        <f>IFERROR(('Consumption Input'!Q77-'Consumption Input Diff.'!Q192)/'Consumption Input Diff.'!Q192, "NA")</f>
        <v>0</v>
      </c>
      <c r="R80" s="421">
        <f>IFERROR(('Consumption Input'!R77-'Consumption Input Diff.'!R192)/'Consumption Input Diff.'!R192, "NA")</f>
        <v>0</v>
      </c>
      <c r="S80" s="421">
        <f>IFERROR(('Consumption Input'!S77-'Consumption Input Diff.'!S192)/'Consumption Input Diff.'!S192, "NA")</f>
        <v>0</v>
      </c>
      <c r="T80" s="421">
        <f>IFERROR(('Consumption Input'!T77-'Consumption Input Diff.'!T192)/'Consumption Input Diff.'!T192, "NA")</f>
        <v>0</v>
      </c>
      <c r="U80" s="421">
        <f>IFERROR(('Consumption Input'!U77-'Consumption Input Diff.'!U192)/'Consumption Input Diff.'!U192, "NA")</f>
        <v>0</v>
      </c>
      <c r="V80" s="421">
        <f>IFERROR(('Consumption Input'!V77-'Consumption Input Diff.'!V192)/'Consumption Input Diff.'!V192, "NA")</f>
        <v>0</v>
      </c>
      <c r="W80" s="421">
        <f>IFERROR(('Consumption Input'!W77-'Consumption Input Diff.'!W192)/'Consumption Input Diff.'!W192, "NA")</f>
        <v>0</v>
      </c>
      <c r="X80" s="421">
        <f>IFERROR(('Consumption Input'!X77-'Consumption Input Diff.'!X192)/'Consumption Input Diff.'!X192, "NA")</f>
        <v>0</v>
      </c>
      <c r="Y80" s="421">
        <f>IFERROR(('Consumption Input'!Y77-'Consumption Input Diff.'!Y192)/'Consumption Input Diff.'!Y192, "NA")</f>
        <v>0</v>
      </c>
      <c r="Z80" s="421">
        <f>IFERROR(('Consumption Input'!Z77-'Consumption Input Diff.'!Z192)/'Consumption Input Diff.'!Z192, "NA")</f>
        <v>0</v>
      </c>
      <c r="AA80" s="421">
        <f>IFERROR(('Consumption Input'!AA77-'Consumption Input Diff.'!AA192)/'Consumption Input Diff.'!AA192, "NA")</f>
        <v>0</v>
      </c>
      <c r="AB80" s="421">
        <f>IFERROR(('Consumption Input'!AB77-'Consumption Input Diff.'!AB192)/'Consumption Input Diff.'!AB192, "NA")</f>
        <v>0</v>
      </c>
      <c r="AC80" s="421">
        <f>IFERROR(('Consumption Input'!AC77-'Consumption Input Diff.'!AC192)/'Consumption Input Diff.'!AC192, "NA")</f>
        <v>0</v>
      </c>
      <c r="AD80" s="421">
        <f>IFERROR(('Consumption Input'!AD77-'Consumption Input Diff.'!AD192)/'Consumption Input Diff.'!AD192, "NA")</f>
        <v>0</v>
      </c>
      <c r="AE80" s="421">
        <f>IFERROR(('Consumption Input'!AE77-'Consumption Input Diff.'!AE192)/'Consumption Input Diff.'!AE192, "NA")</f>
        <v>0</v>
      </c>
      <c r="AF80" s="421">
        <f>IFERROR(('Consumption Input'!AF77-'Consumption Input Diff.'!AF192)/'Consumption Input Diff.'!AF192, "NA")</f>
        <v>0</v>
      </c>
      <c r="AG80" s="421">
        <f>IFERROR(('Consumption Input'!AG77-'Consumption Input Diff.'!AG192)/'Consumption Input Diff.'!AG192, "NA")</f>
        <v>-6.040455714690885E-8</v>
      </c>
      <c r="AH80" s="421">
        <f>IFERROR(('Consumption Input'!AH77-'Consumption Input Diff.'!AH192)/'Consumption Input Diff.'!AH192, "NA")</f>
        <v>2.9071078921537953E-6</v>
      </c>
      <c r="AI80" s="421">
        <f>IFERROR(('Consumption Input'!AI77-'Consumption Input Diff.'!AI192)/'Consumption Input Diff.'!AI192, "NA")</f>
        <v>2.7612201657293438E-6</v>
      </c>
      <c r="AJ80" s="421">
        <f>IFERROR(('Consumption Input'!AJ77-'Consumption Input Diff.'!AJ192)/'Consumption Input Diff.'!AJ192, "NA")</f>
        <v>-3.6998637927567637E-6</v>
      </c>
      <c r="AK80" s="5">
        <f>'Consumption Input'!V77-V192</f>
        <v>0</v>
      </c>
      <c r="AL80" s="5">
        <f>'Consumption Input'!W77-W192</f>
        <v>0</v>
      </c>
      <c r="AM80" s="5">
        <f>'Consumption Input'!X77-X192</f>
        <v>0</v>
      </c>
      <c r="AN80" s="5">
        <f>'Consumption Input'!Y77-Y192</f>
        <v>0</v>
      </c>
      <c r="AO80" s="5">
        <f>'Consumption Input'!Z77-Z192</f>
        <v>0</v>
      </c>
      <c r="AP80" s="5">
        <f>'Consumption Input'!AA77-AA192</f>
        <v>0</v>
      </c>
      <c r="AQ80" s="5">
        <f>'Consumption Input'!AB77-AB192</f>
        <v>0</v>
      </c>
      <c r="AR80" s="5">
        <f>'Consumption Input'!AC77-AC192</f>
        <v>0</v>
      </c>
      <c r="AS80" s="5">
        <f>'Consumption Input'!AD77-AD192</f>
        <v>0</v>
      </c>
      <c r="AT80" s="5">
        <f>'Consumption Input'!AE77-AE192</f>
        <v>0</v>
      </c>
      <c r="AU80" s="5">
        <f>'Consumption Input'!AF77-AF192</f>
        <v>0</v>
      </c>
      <c r="AV80" s="5">
        <f>'Consumption Input'!AG77-AG192</f>
        <v>-8.3435169472068083E-5</v>
      </c>
      <c r="AW80" s="5">
        <f>'Consumption Input'!AH77-AH192</f>
        <v>3.9543677166875568E-3</v>
      </c>
      <c r="AX80" s="5">
        <f>'Consumption Input'!AI77-AI192</f>
        <v>3.5530602876860939E-3</v>
      </c>
      <c r="AY80" s="5">
        <f>'Consumption Input'!AJ77-AJ192</f>
        <v>-4.911425694672289E-3</v>
      </c>
    </row>
    <row r="81" spans="1:51">
      <c r="B81" s="456">
        <v>78</v>
      </c>
      <c r="D81" s="45" t="s">
        <v>1443</v>
      </c>
      <c r="E81" s="421">
        <f>IFERROR(('Consumption Input'!E78-'Consumption Input Diff.'!E193)/'Consumption Input Diff.'!E193, "NA")</f>
        <v>0</v>
      </c>
      <c r="F81" s="421">
        <f>IFERROR(('Consumption Input'!F78-'Consumption Input Diff.'!F193)/'Consumption Input Diff.'!F193, "NA")</f>
        <v>0</v>
      </c>
      <c r="G81" s="421">
        <f>IFERROR(('Consumption Input'!G78-'Consumption Input Diff.'!G193)/'Consumption Input Diff.'!G193, "NA")</f>
        <v>0</v>
      </c>
      <c r="H81" s="421">
        <f>IFERROR(('Consumption Input'!H78-'Consumption Input Diff.'!H193)/'Consumption Input Diff.'!H193, "NA")</f>
        <v>0</v>
      </c>
      <c r="I81" s="421">
        <f>IFERROR(('Consumption Input'!I78-'Consumption Input Diff.'!I193)/'Consumption Input Diff.'!I193, "NA")</f>
        <v>0</v>
      </c>
      <c r="J81" s="421">
        <f>IFERROR(('Consumption Input'!J78-'Consumption Input Diff.'!J193)/'Consumption Input Diff.'!J193, "NA")</f>
        <v>0</v>
      </c>
      <c r="K81" s="421">
        <f>IFERROR(('Consumption Input'!K78-'Consumption Input Diff.'!K193)/'Consumption Input Diff.'!K193, "NA")</f>
        <v>0</v>
      </c>
      <c r="L81" s="421">
        <f>IFERROR(('Consumption Input'!L78-'Consumption Input Diff.'!L193)/'Consumption Input Diff.'!L193, "NA")</f>
        <v>0</v>
      </c>
      <c r="M81" s="421">
        <f>IFERROR(('Consumption Input'!M78-'Consumption Input Diff.'!M193)/'Consumption Input Diff.'!M193, "NA")</f>
        <v>0</v>
      </c>
      <c r="N81" s="421">
        <f>IFERROR(('Consumption Input'!N78-'Consumption Input Diff.'!N193)/'Consumption Input Diff.'!N193, "NA")</f>
        <v>0</v>
      </c>
      <c r="O81" s="421">
        <f>IFERROR(('Consumption Input'!O78-'Consumption Input Diff.'!O193)/'Consumption Input Diff.'!O193, "NA")</f>
        <v>0</v>
      </c>
      <c r="P81" s="421">
        <f>IFERROR(('Consumption Input'!P78-'Consumption Input Diff.'!P193)/'Consumption Input Diff.'!P193, "NA")</f>
        <v>0</v>
      </c>
      <c r="Q81" s="421">
        <f>IFERROR(('Consumption Input'!Q78-'Consumption Input Diff.'!Q193)/'Consumption Input Diff.'!Q193, "NA")</f>
        <v>0</v>
      </c>
      <c r="R81" s="421">
        <f>IFERROR(('Consumption Input'!R78-'Consumption Input Diff.'!R193)/'Consumption Input Diff.'!R193, "NA")</f>
        <v>0</v>
      </c>
      <c r="S81" s="421">
        <f>IFERROR(('Consumption Input'!S78-'Consumption Input Diff.'!S193)/'Consumption Input Diff.'!S193, "NA")</f>
        <v>0</v>
      </c>
      <c r="T81" s="421">
        <f>IFERROR(('Consumption Input'!T78-'Consumption Input Diff.'!T193)/'Consumption Input Diff.'!T193, "NA")</f>
        <v>0</v>
      </c>
      <c r="U81" s="421">
        <f>IFERROR(('Consumption Input'!U78-'Consumption Input Diff.'!U193)/'Consumption Input Diff.'!U193, "NA")</f>
        <v>0</v>
      </c>
      <c r="V81" s="421">
        <f>IFERROR(('Consumption Input'!V78-'Consumption Input Diff.'!V193)/'Consumption Input Diff.'!V193, "NA")</f>
        <v>0</v>
      </c>
      <c r="W81" s="421">
        <f>IFERROR(('Consumption Input'!W78-'Consumption Input Diff.'!W193)/'Consumption Input Diff.'!W193, "NA")</f>
        <v>0</v>
      </c>
      <c r="X81" s="421">
        <f>IFERROR(('Consumption Input'!X78-'Consumption Input Diff.'!X193)/'Consumption Input Diff.'!X193, "NA")</f>
        <v>0</v>
      </c>
      <c r="Y81" s="421">
        <f>IFERROR(('Consumption Input'!Y78-'Consumption Input Diff.'!Y193)/'Consumption Input Diff.'!Y193, "NA")</f>
        <v>0</v>
      </c>
      <c r="Z81" s="421">
        <f>IFERROR(('Consumption Input'!Z78-'Consumption Input Diff.'!Z193)/'Consumption Input Diff.'!Z193, "NA")</f>
        <v>0</v>
      </c>
      <c r="AA81" s="421">
        <f>IFERROR(('Consumption Input'!AA78-'Consumption Input Diff.'!AA193)/'Consumption Input Diff.'!AA193, "NA")</f>
        <v>0</v>
      </c>
      <c r="AB81" s="421">
        <f>IFERROR(('Consumption Input'!AB78-'Consumption Input Diff.'!AB193)/'Consumption Input Diff.'!AB193, "NA")</f>
        <v>0</v>
      </c>
      <c r="AC81" s="421">
        <f>IFERROR(('Consumption Input'!AC78-'Consumption Input Diff.'!AC193)/'Consumption Input Diff.'!AC193, "NA")</f>
        <v>0</v>
      </c>
      <c r="AD81" s="421">
        <f>IFERROR(('Consumption Input'!AD78-'Consumption Input Diff.'!AD193)/'Consumption Input Diff.'!AD193, "NA")</f>
        <v>0</v>
      </c>
      <c r="AE81" s="421">
        <f>IFERROR(('Consumption Input'!AE78-'Consumption Input Diff.'!AE193)/'Consumption Input Diff.'!AE193, "NA")</f>
        <v>0</v>
      </c>
      <c r="AF81" s="421">
        <f>IFERROR(('Consumption Input'!AF78-'Consumption Input Diff.'!AF193)/'Consumption Input Diff.'!AF193, "NA")</f>
        <v>0</v>
      </c>
      <c r="AG81" s="421">
        <f>IFERROR(('Consumption Input'!AG78-'Consumption Input Diff.'!AG193)/'Consumption Input Diff.'!AG193, "NA")</f>
        <v>0</v>
      </c>
      <c r="AH81" s="421">
        <f>IFERROR(('Consumption Input'!AH78-'Consumption Input Diff.'!AH193)/'Consumption Input Diff.'!AH193, "NA")</f>
        <v>0</v>
      </c>
      <c r="AI81" s="421">
        <f>IFERROR(('Consumption Input'!AI78-'Consumption Input Diff.'!AI193)/'Consumption Input Diff.'!AI193, "NA")</f>
        <v>0</v>
      </c>
      <c r="AJ81" s="421">
        <f>IFERROR(('Consumption Input'!AJ78-'Consumption Input Diff.'!AJ193)/'Consumption Input Diff.'!AJ193, "NA")</f>
        <v>-1.8888688527256894E-4</v>
      </c>
      <c r="AK81" s="5">
        <f>'Consumption Input'!V78-V193</f>
        <v>0</v>
      </c>
      <c r="AL81" s="5">
        <f>'Consumption Input'!W78-W193</f>
        <v>0</v>
      </c>
      <c r="AM81" s="5">
        <f>'Consumption Input'!X78-X193</f>
        <v>0</v>
      </c>
      <c r="AN81" s="5">
        <f>'Consumption Input'!Y78-Y193</f>
        <v>0</v>
      </c>
      <c r="AO81" s="5">
        <f>'Consumption Input'!Z78-Z193</f>
        <v>0</v>
      </c>
      <c r="AP81" s="5">
        <f>'Consumption Input'!AA78-AA193</f>
        <v>0</v>
      </c>
      <c r="AQ81" s="5">
        <f>'Consumption Input'!AB78-AB193</f>
        <v>0</v>
      </c>
      <c r="AR81" s="5">
        <f>'Consumption Input'!AC78-AC193</f>
        <v>0</v>
      </c>
      <c r="AS81" s="5">
        <f>'Consumption Input'!AD78-AD193</f>
        <v>0</v>
      </c>
      <c r="AT81" s="5">
        <f>'Consumption Input'!AE78-AE193</f>
        <v>0</v>
      </c>
      <c r="AU81" s="5">
        <f>'Consumption Input'!AF78-AF193</f>
        <v>0</v>
      </c>
      <c r="AV81" s="5">
        <f>'Consumption Input'!AG78-AG193</f>
        <v>0</v>
      </c>
      <c r="AW81" s="5">
        <f>'Consumption Input'!AH78-AH193</f>
        <v>0</v>
      </c>
      <c r="AX81" s="5">
        <f>'Consumption Input'!AI78-AI193</f>
        <v>0</v>
      </c>
      <c r="AY81" s="5">
        <f>'Consumption Input'!AJ78-AJ193</f>
        <v>-0.2152419999997619</v>
      </c>
    </row>
    <row r="82" spans="1:51">
      <c r="B82" s="456">
        <v>79</v>
      </c>
      <c r="D82" s="45" t="s">
        <v>1445</v>
      </c>
      <c r="E82" s="421">
        <f>IFERROR(('Consumption Input'!E79-'Consumption Input Diff.'!E194)/'Consumption Input Diff.'!E194, "NA")</f>
        <v>0</v>
      </c>
      <c r="F82" s="421">
        <f>IFERROR(('Consumption Input'!F79-'Consumption Input Diff.'!F194)/'Consumption Input Diff.'!F194, "NA")</f>
        <v>0</v>
      </c>
      <c r="G82" s="421">
        <f>IFERROR(('Consumption Input'!G79-'Consumption Input Diff.'!G194)/'Consumption Input Diff.'!G194, "NA")</f>
        <v>0</v>
      </c>
      <c r="H82" s="421">
        <f>IFERROR(('Consumption Input'!H79-'Consumption Input Diff.'!H194)/'Consumption Input Diff.'!H194, "NA")</f>
        <v>0</v>
      </c>
      <c r="I82" s="421">
        <f>IFERROR(('Consumption Input'!I79-'Consumption Input Diff.'!I194)/'Consumption Input Diff.'!I194, "NA")</f>
        <v>0</v>
      </c>
      <c r="J82" s="421">
        <f>IFERROR(('Consumption Input'!J79-'Consumption Input Diff.'!J194)/'Consumption Input Diff.'!J194, "NA")</f>
        <v>0</v>
      </c>
      <c r="K82" s="421">
        <f>IFERROR(('Consumption Input'!K79-'Consumption Input Diff.'!K194)/'Consumption Input Diff.'!K194, "NA")</f>
        <v>0</v>
      </c>
      <c r="L82" s="421">
        <f>IFERROR(('Consumption Input'!L79-'Consumption Input Diff.'!L194)/'Consumption Input Diff.'!L194, "NA")</f>
        <v>0</v>
      </c>
      <c r="M82" s="421">
        <f>IFERROR(('Consumption Input'!M79-'Consumption Input Diff.'!M194)/'Consumption Input Diff.'!M194, "NA")</f>
        <v>0</v>
      </c>
      <c r="N82" s="421">
        <f>IFERROR(('Consumption Input'!N79-'Consumption Input Diff.'!N194)/'Consumption Input Diff.'!N194, "NA")</f>
        <v>0</v>
      </c>
      <c r="O82" s="421">
        <f>IFERROR(('Consumption Input'!O79-'Consumption Input Diff.'!O194)/'Consumption Input Diff.'!O194, "NA")</f>
        <v>0</v>
      </c>
      <c r="P82" s="421">
        <f>IFERROR(('Consumption Input'!P79-'Consumption Input Diff.'!P194)/'Consumption Input Diff.'!P194, "NA")</f>
        <v>0</v>
      </c>
      <c r="Q82" s="421">
        <f>IFERROR(('Consumption Input'!Q79-'Consumption Input Diff.'!Q194)/'Consumption Input Diff.'!Q194, "NA")</f>
        <v>0</v>
      </c>
      <c r="R82" s="421">
        <f>IFERROR(('Consumption Input'!R79-'Consumption Input Diff.'!R194)/'Consumption Input Diff.'!R194, "NA")</f>
        <v>0</v>
      </c>
      <c r="S82" s="421">
        <f>IFERROR(('Consumption Input'!S79-'Consumption Input Diff.'!S194)/'Consumption Input Diff.'!S194, "NA")</f>
        <v>0</v>
      </c>
      <c r="T82" s="421">
        <f>IFERROR(('Consumption Input'!T79-'Consumption Input Diff.'!T194)/'Consumption Input Diff.'!T194, "NA")</f>
        <v>0</v>
      </c>
      <c r="U82" s="421">
        <f>IFERROR(('Consumption Input'!U79-'Consumption Input Diff.'!U194)/'Consumption Input Diff.'!U194, "NA")</f>
        <v>0</v>
      </c>
      <c r="V82" s="421">
        <f>IFERROR(('Consumption Input'!V79-'Consumption Input Diff.'!V194)/'Consumption Input Diff.'!V194, "NA")</f>
        <v>0</v>
      </c>
      <c r="W82" s="421">
        <f>IFERROR(('Consumption Input'!W79-'Consumption Input Diff.'!W194)/'Consumption Input Diff.'!W194, "NA")</f>
        <v>0</v>
      </c>
      <c r="X82" s="421">
        <f>IFERROR(('Consumption Input'!X79-'Consumption Input Diff.'!X194)/'Consumption Input Diff.'!X194, "NA")</f>
        <v>0</v>
      </c>
      <c r="Y82" s="421">
        <f>IFERROR(('Consumption Input'!Y79-'Consumption Input Diff.'!Y194)/'Consumption Input Diff.'!Y194, "NA")</f>
        <v>0</v>
      </c>
      <c r="Z82" s="421">
        <f>IFERROR(('Consumption Input'!Z79-'Consumption Input Diff.'!Z194)/'Consumption Input Diff.'!Z194, "NA")</f>
        <v>0</v>
      </c>
      <c r="AA82" s="421">
        <f>IFERROR(('Consumption Input'!AA79-'Consumption Input Diff.'!AA194)/'Consumption Input Diff.'!AA194, "NA")</f>
        <v>0</v>
      </c>
      <c r="AB82" s="421">
        <f>IFERROR(('Consumption Input'!AB79-'Consumption Input Diff.'!AB194)/'Consumption Input Diff.'!AB194, "NA")</f>
        <v>0</v>
      </c>
      <c r="AC82" s="421">
        <f>IFERROR(('Consumption Input'!AC79-'Consumption Input Diff.'!AC194)/'Consumption Input Diff.'!AC194, "NA")</f>
        <v>0</v>
      </c>
      <c r="AD82" s="421">
        <f>IFERROR(('Consumption Input'!AD79-'Consumption Input Diff.'!AD194)/'Consumption Input Diff.'!AD194, "NA")</f>
        <v>0</v>
      </c>
      <c r="AE82" s="421">
        <f>IFERROR(('Consumption Input'!AE79-'Consumption Input Diff.'!AE194)/'Consumption Input Diff.'!AE194, "NA")</f>
        <v>0</v>
      </c>
      <c r="AF82" s="421">
        <f>IFERROR(('Consumption Input'!AF79-'Consumption Input Diff.'!AF194)/'Consumption Input Diff.'!AF194, "NA")</f>
        <v>0</v>
      </c>
      <c r="AG82" s="421">
        <f>IFERROR(('Consumption Input'!AG79-'Consumption Input Diff.'!AG194)/'Consumption Input Diff.'!AG194, "NA")</f>
        <v>5.1130636271624723E-5</v>
      </c>
      <c r="AH82" s="421">
        <f>IFERROR(('Consumption Input'!AH79-'Consumption Input Diff.'!AH194)/'Consumption Input Diff.'!AH194, "NA")</f>
        <v>-2.2212427959487761E-3</v>
      </c>
      <c r="AI82" s="421">
        <f>IFERROR(('Consumption Input'!AI79-'Consumption Input Diff.'!AI194)/'Consumption Input Diff.'!AI194, "NA")</f>
        <v>-2.153447704926939E-3</v>
      </c>
      <c r="AJ82" s="421">
        <f>IFERROR(('Consumption Input'!AJ79-'Consumption Input Diff.'!AJ194)/'Consumption Input Diff.'!AJ194, "NA")</f>
        <v>2.5468413573616479E-3</v>
      </c>
      <c r="AK82" s="5">
        <f>'Consumption Input'!V79-V194</f>
        <v>0</v>
      </c>
      <c r="AL82" s="5">
        <f>'Consumption Input'!W79-W194</f>
        <v>0</v>
      </c>
      <c r="AM82" s="5">
        <f>'Consumption Input'!X79-X194</f>
        <v>0</v>
      </c>
      <c r="AN82" s="5">
        <f>'Consumption Input'!Y79-Y194</f>
        <v>0</v>
      </c>
      <c r="AO82" s="5">
        <f>'Consumption Input'!Z79-Z194</f>
        <v>0</v>
      </c>
      <c r="AP82" s="5">
        <f>'Consumption Input'!AA79-AA194</f>
        <v>0</v>
      </c>
      <c r="AQ82" s="5">
        <f>'Consumption Input'!AB79-AB194</f>
        <v>0</v>
      </c>
      <c r="AR82" s="5">
        <f>'Consumption Input'!AC79-AC194</f>
        <v>0</v>
      </c>
      <c r="AS82" s="5">
        <f>'Consumption Input'!AD79-AD194</f>
        <v>0</v>
      </c>
      <c r="AT82" s="5">
        <f>'Consumption Input'!AE79-AE194</f>
        <v>0</v>
      </c>
      <c r="AU82" s="5">
        <f>'Consumption Input'!AF79-AF194</f>
        <v>0</v>
      </c>
      <c r="AV82" s="5">
        <f>'Consumption Input'!AG79-AG194</f>
        <v>5.5623446378838537E-4</v>
      </c>
      <c r="AW82" s="5">
        <f>'Consumption Input'!AH79-AH194</f>
        <v>-2.6362451444068569E-2</v>
      </c>
      <c r="AX82" s="5">
        <f>'Consumption Input'!AI79-AI194</f>
        <v>-2.3687068584814952E-2</v>
      </c>
      <c r="AY82" s="5">
        <f>'Consumption Input'!AJ79-AJ194</f>
        <v>3.2742837964381266E-2</v>
      </c>
    </row>
    <row r="83" spans="1:51">
      <c r="B83" s="456">
        <v>80</v>
      </c>
      <c r="C83" s="136"/>
      <c r="D83" s="136"/>
      <c r="E83" s="474"/>
      <c r="F83" s="474"/>
      <c r="G83" s="474"/>
      <c r="H83" s="474"/>
      <c r="I83" s="474"/>
      <c r="J83" s="474"/>
      <c r="K83" s="475"/>
      <c r="L83" s="476"/>
      <c r="M83" s="476"/>
      <c r="N83" s="476"/>
      <c r="O83" s="476"/>
      <c r="P83" s="476"/>
      <c r="Q83" s="476"/>
      <c r="R83" s="476"/>
      <c r="S83" s="476"/>
      <c r="T83" s="476"/>
      <c r="U83" s="476"/>
      <c r="V83" s="476"/>
      <c r="W83" s="476"/>
      <c r="X83" s="476"/>
      <c r="Y83" s="476"/>
      <c r="Z83" s="476"/>
      <c r="AA83" s="476"/>
      <c r="AB83" s="476"/>
      <c r="AC83" s="476"/>
      <c r="AD83" s="476"/>
      <c r="AE83" s="476"/>
      <c r="AF83" s="476"/>
      <c r="AG83" s="476"/>
      <c r="AH83" s="476"/>
      <c r="AI83" s="476"/>
      <c r="AJ83" s="476"/>
      <c r="AY83" s="5"/>
    </row>
    <row r="84" spans="1:51">
      <c r="B84" s="456">
        <v>81</v>
      </c>
      <c r="C84" s="477" t="s">
        <v>1638</v>
      </c>
      <c r="D84" s="136"/>
      <c r="E84" s="474"/>
      <c r="F84" s="474"/>
      <c r="G84" s="474"/>
      <c r="H84" s="474"/>
      <c r="I84" s="474"/>
      <c r="J84" s="474"/>
      <c r="K84" s="475"/>
      <c r="L84" s="476"/>
      <c r="M84" s="476"/>
      <c r="N84" s="476"/>
      <c r="O84" s="476"/>
      <c r="P84" s="476"/>
      <c r="Q84" s="476"/>
      <c r="R84" s="476"/>
      <c r="S84" s="476"/>
      <c r="T84" s="476"/>
      <c r="U84" s="476"/>
      <c r="V84" s="476"/>
      <c r="W84" s="476"/>
      <c r="X84" s="476"/>
      <c r="Y84" s="476"/>
      <c r="Z84" s="476"/>
      <c r="AA84" s="476"/>
      <c r="AB84" s="476"/>
      <c r="AC84" s="476"/>
      <c r="AD84" s="476"/>
      <c r="AE84" s="476"/>
      <c r="AF84" s="476"/>
      <c r="AG84" s="476"/>
      <c r="AH84" s="476"/>
      <c r="AI84" s="476"/>
      <c r="AJ84" s="476"/>
      <c r="AY84" s="5"/>
    </row>
    <row r="85" spans="1:51">
      <c r="B85" s="456">
        <v>82</v>
      </c>
      <c r="C85" s="98"/>
      <c r="D85" s="98" t="s">
        <v>1639</v>
      </c>
      <c r="E85" s="484">
        <f>IFERROR(('Consumption Input'!E82-'Consumption Input Diff.'!E197)/'Consumption Input Diff.'!E197, "NA")</f>
        <v>0</v>
      </c>
      <c r="F85" s="484">
        <f>IFERROR(('Consumption Input'!F82-'Consumption Input Diff.'!F197)/'Consumption Input Diff.'!F197, "NA")</f>
        <v>0</v>
      </c>
      <c r="G85" s="484">
        <f>IFERROR(('Consumption Input'!G82-'Consumption Input Diff.'!G197)/'Consumption Input Diff.'!G197, "NA")</f>
        <v>0</v>
      </c>
      <c r="H85" s="484">
        <f>IFERROR(('Consumption Input'!H82-'Consumption Input Diff.'!H197)/'Consumption Input Diff.'!H197, "NA")</f>
        <v>0</v>
      </c>
      <c r="I85" s="484">
        <f>IFERROR(('Consumption Input'!I82-'Consumption Input Diff.'!I197)/'Consumption Input Diff.'!I197, "NA")</f>
        <v>0</v>
      </c>
      <c r="J85" s="484">
        <f>IFERROR(('Consumption Input'!J82-'Consumption Input Diff.'!J197)/'Consumption Input Diff.'!J197, "NA")</f>
        <v>0</v>
      </c>
      <c r="K85" s="484">
        <f>IFERROR(('Consumption Input'!K82-'Consumption Input Diff.'!K197)/'Consumption Input Diff.'!K197, "NA")</f>
        <v>0</v>
      </c>
      <c r="L85" s="484">
        <f>IFERROR(('Consumption Input'!L82-'Consumption Input Diff.'!L197)/'Consumption Input Diff.'!L197, "NA")</f>
        <v>0</v>
      </c>
      <c r="M85" s="484">
        <f>IFERROR(('Consumption Input'!M82-'Consumption Input Diff.'!M197)/'Consumption Input Diff.'!M197, "NA")</f>
        <v>0</v>
      </c>
      <c r="N85" s="484">
        <f>IFERROR(('Consumption Input'!N82-'Consumption Input Diff.'!N197)/'Consumption Input Diff.'!N197, "NA")</f>
        <v>0</v>
      </c>
      <c r="O85" s="484">
        <f>IFERROR(('Consumption Input'!O82-'Consumption Input Diff.'!O197)/'Consumption Input Diff.'!O197, "NA")</f>
        <v>0</v>
      </c>
      <c r="P85" s="484">
        <f>IFERROR(('Consumption Input'!P82-'Consumption Input Diff.'!P197)/'Consumption Input Diff.'!P197, "NA")</f>
        <v>0</v>
      </c>
      <c r="Q85" s="484">
        <f>IFERROR(('Consumption Input'!Q82-'Consumption Input Diff.'!Q197)/'Consumption Input Diff.'!Q197, "NA")</f>
        <v>0</v>
      </c>
      <c r="R85" s="484">
        <f>IFERROR(('Consumption Input'!R82-'Consumption Input Diff.'!R197)/'Consumption Input Diff.'!R197, "NA")</f>
        <v>0</v>
      </c>
      <c r="S85" s="484">
        <f>IFERROR(('Consumption Input'!S82-'Consumption Input Diff.'!S197)/'Consumption Input Diff.'!S197, "NA")</f>
        <v>0</v>
      </c>
      <c r="T85" s="484">
        <f>IFERROR(('Consumption Input'!T82-'Consumption Input Diff.'!T197)/'Consumption Input Diff.'!T197, "NA")</f>
        <v>0</v>
      </c>
      <c r="U85" s="484">
        <f>IFERROR(('Consumption Input'!U82-'Consumption Input Diff.'!U197)/'Consumption Input Diff.'!U197, "NA")</f>
        <v>0</v>
      </c>
      <c r="V85" s="484">
        <f>IFERROR(('Consumption Input'!V82-'Consumption Input Diff.'!V197)/'Consumption Input Diff.'!V197, "NA")</f>
        <v>0</v>
      </c>
      <c r="W85" s="484">
        <f>IFERROR(('Consumption Input'!W82-'Consumption Input Diff.'!W197)/'Consumption Input Diff.'!W197, "NA")</f>
        <v>0</v>
      </c>
      <c r="X85" s="484">
        <f>IFERROR(('Consumption Input'!X82-'Consumption Input Diff.'!X197)/'Consumption Input Diff.'!X197, "NA")</f>
        <v>0</v>
      </c>
      <c r="Y85" s="484">
        <f>IFERROR(('Consumption Input'!Y82-'Consumption Input Diff.'!Y197)/'Consumption Input Diff.'!Y197, "NA")</f>
        <v>0</v>
      </c>
      <c r="Z85" s="484">
        <f>IFERROR(('Consumption Input'!Z82-'Consumption Input Diff.'!Z197)/'Consumption Input Diff.'!Z197, "NA")</f>
        <v>0</v>
      </c>
      <c r="AA85" s="484">
        <f>IFERROR(('Consumption Input'!AA82-'Consumption Input Diff.'!AA197)/'Consumption Input Diff.'!AA197, "NA")</f>
        <v>0</v>
      </c>
      <c r="AB85" s="484">
        <f>IFERROR(('Consumption Input'!AB82-'Consumption Input Diff.'!AB197)/'Consumption Input Diff.'!AB197, "NA")</f>
        <v>0</v>
      </c>
      <c r="AC85" s="484">
        <f>IFERROR(('Consumption Input'!AC82-'Consumption Input Diff.'!AC197)/'Consumption Input Diff.'!AC197, "NA")</f>
        <v>0</v>
      </c>
      <c r="AD85" s="484">
        <f>IFERROR(('Consumption Input'!AD82-'Consumption Input Diff.'!AD197)/'Consumption Input Diff.'!AD197, "NA")</f>
        <v>0</v>
      </c>
      <c r="AE85" s="484">
        <f>IFERROR(('Consumption Input'!AE82-'Consumption Input Diff.'!AE197)/'Consumption Input Diff.'!AE197, "NA")</f>
        <v>0</v>
      </c>
      <c r="AF85" s="484">
        <f>IFERROR(('Consumption Input'!AF82-'Consumption Input Diff.'!AF197)/'Consumption Input Diff.'!AF197, "NA")</f>
        <v>0</v>
      </c>
      <c r="AG85" s="484">
        <f>IFERROR(('Consumption Input'!AG82-'Consumption Input Diff.'!AG197)/'Consumption Input Diff.'!AG197, "NA")</f>
        <v>0</v>
      </c>
      <c r="AH85" s="484">
        <f>IFERROR(('Consumption Input'!AH82-'Consumption Input Diff.'!AH197)/'Consumption Input Diff.'!AH197, "NA")</f>
        <v>0</v>
      </c>
      <c r="AI85" s="484">
        <f>IFERROR(('Consumption Input'!AI82-'Consumption Input Diff.'!AI197)/'Consumption Input Diff.'!AI197, "NA")</f>
        <v>0</v>
      </c>
      <c r="AJ85" s="484">
        <f>IFERROR(('Consumption Input'!AJ82-'Consumption Input Diff.'!AJ197)/'Consumption Input Diff.'!AJ197, "NA")</f>
        <v>0</v>
      </c>
      <c r="AK85" s="5">
        <f>'Consumption Input'!V82-V197</f>
        <v>0</v>
      </c>
      <c r="AL85" s="5">
        <f>'Consumption Input'!W82-W197</f>
        <v>0</v>
      </c>
      <c r="AM85" s="5">
        <f>'Consumption Input'!X82-X197</f>
        <v>0</v>
      </c>
      <c r="AN85" s="5">
        <f>'Consumption Input'!Y82-Y197</f>
        <v>0</v>
      </c>
      <c r="AO85" s="5">
        <f>'Consumption Input'!Z82-Z197</f>
        <v>0</v>
      </c>
      <c r="AP85" s="5">
        <f>'Consumption Input'!AA82-AA197</f>
        <v>0</v>
      </c>
      <c r="AQ85" s="5">
        <f>'Consumption Input'!AB82-AB197</f>
        <v>0</v>
      </c>
      <c r="AR85" s="5">
        <f>'Consumption Input'!AC82-AC197</f>
        <v>0</v>
      </c>
      <c r="AS85" s="5">
        <f>'Consumption Input'!AD82-AD197</f>
        <v>0</v>
      </c>
      <c r="AT85" s="5">
        <f>'Consumption Input'!AE82-AE197</f>
        <v>0</v>
      </c>
      <c r="AU85" s="5">
        <f>'Consumption Input'!AF82-AF197</f>
        <v>0</v>
      </c>
      <c r="AV85" s="5">
        <f>'Consumption Input'!AG82-AG197</f>
        <v>0</v>
      </c>
      <c r="AW85" s="5">
        <f>'Consumption Input'!AH82-AH197</f>
        <v>0</v>
      </c>
      <c r="AX85" s="5">
        <f>'Consumption Input'!AI82-AI197</f>
        <v>0</v>
      </c>
      <c r="AY85" s="5">
        <f>'Consumption Input'!AJ82-AJ197</f>
        <v>0</v>
      </c>
    </row>
    <row r="86" spans="1:51">
      <c r="B86" s="456"/>
      <c r="D86" s="1" t="s">
        <v>1482</v>
      </c>
      <c r="E86" s="287"/>
      <c r="F86" s="287"/>
      <c r="G86" s="287"/>
      <c r="H86" s="287"/>
      <c r="I86" s="466"/>
      <c r="J86" s="466"/>
      <c r="K86" s="466"/>
      <c r="L86" s="468"/>
      <c r="M86" s="468"/>
      <c r="T86" s="1"/>
      <c r="U86" s="1"/>
      <c r="V86" s="1"/>
      <c r="W86" s="1"/>
      <c r="X86" s="1"/>
      <c r="Y86" s="1"/>
      <c r="Z86" s="1"/>
      <c r="AA86" s="1"/>
      <c r="AB86" s="1"/>
      <c r="AC86" s="1"/>
      <c r="AD86" s="1"/>
      <c r="AE86" s="1"/>
      <c r="AF86" s="1"/>
      <c r="AG86" s="1"/>
      <c r="AK86" s="5"/>
      <c r="AL86" s="5"/>
      <c r="AM86" s="5"/>
      <c r="AN86" s="5"/>
      <c r="AO86" s="5"/>
      <c r="AP86" s="5"/>
      <c r="AQ86" s="5"/>
      <c r="AR86" s="5"/>
      <c r="AS86" s="5"/>
      <c r="AT86" s="5"/>
      <c r="AU86" s="5"/>
      <c r="AV86" s="5"/>
      <c r="AW86" s="5"/>
      <c r="AX86" s="5"/>
      <c r="AY86" s="5"/>
    </row>
    <row r="87" spans="1:51">
      <c r="B87" s="456"/>
      <c r="D87" s="1" t="s">
        <v>2011</v>
      </c>
      <c r="E87" s="287"/>
      <c r="F87" s="287"/>
      <c r="G87" s="287"/>
      <c r="H87" s="287"/>
      <c r="I87" s="466"/>
      <c r="J87" s="466"/>
      <c r="K87" s="466"/>
      <c r="L87" s="468"/>
      <c r="M87" s="468"/>
      <c r="T87" s="1"/>
      <c r="U87" s="1"/>
      <c r="V87" s="1"/>
      <c r="W87" s="1"/>
      <c r="X87" s="1"/>
      <c r="Y87" s="1"/>
      <c r="Z87" s="1"/>
      <c r="AA87" s="1"/>
      <c r="AB87" s="1"/>
      <c r="AC87" s="1"/>
      <c r="AD87" s="1"/>
      <c r="AE87" s="1"/>
      <c r="AF87" s="1"/>
      <c r="AG87" s="1"/>
      <c r="AK87" s="5"/>
      <c r="AL87" s="5"/>
      <c r="AM87" s="5"/>
      <c r="AN87" s="5"/>
      <c r="AO87" s="5"/>
      <c r="AP87" s="5"/>
      <c r="AQ87" s="5"/>
      <c r="AR87" s="5"/>
      <c r="AS87" s="5"/>
      <c r="AT87" s="5"/>
      <c r="AU87" s="5"/>
      <c r="AV87" s="5"/>
      <c r="AW87" s="5"/>
      <c r="AX87" s="5"/>
      <c r="AY87" s="5"/>
    </row>
    <row r="88" spans="1:51">
      <c r="B88" s="456"/>
      <c r="E88" s="287"/>
      <c r="F88" s="287"/>
      <c r="G88" s="287"/>
      <c r="H88" s="287"/>
      <c r="I88" s="466"/>
      <c r="J88" s="466"/>
      <c r="K88" s="466"/>
      <c r="L88" s="468"/>
      <c r="M88" s="468"/>
      <c r="T88" s="1"/>
      <c r="U88" s="1"/>
      <c r="V88" s="1"/>
      <c r="W88" s="1"/>
      <c r="X88" s="1"/>
      <c r="Y88" s="1"/>
      <c r="Z88" s="1"/>
      <c r="AA88" s="1"/>
      <c r="AB88" s="1"/>
      <c r="AC88" s="1"/>
      <c r="AD88" s="1"/>
      <c r="AE88" s="1"/>
      <c r="AF88" s="1"/>
      <c r="AG88" s="1"/>
      <c r="AK88" s="5"/>
      <c r="AL88" s="5"/>
      <c r="AM88" s="5"/>
      <c r="AN88" s="5"/>
      <c r="AO88" s="5"/>
      <c r="AP88" s="5"/>
      <c r="AQ88" s="5"/>
      <c r="AR88" s="5"/>
      <c r="AS88" s="5"/>
      <c r="AT88" s="5"/>
      <c r="AU88" s="5"/>
      <c r="AV88" s="5"/>
      <c r="AW88" s="5"/>
      <c r="AX88" s="5"/>
      <c r="AY88" s="5"/>
    </row>
    <row r="89" spans="1:51">
      <c r="B89" s="456"/>
      <c r="E89" s="287"/>
      <c r="F89" s="287"/>
      <c r="G89" s="287"/>
      <c r="H89" s="287"/>
      <c r="I89" s="466"/>
      <c r="J89" s="466"/>
      <c r="K89" s="466"/>
      <c r="L89" s="468"/>
      <c r="M89" s="468"/>
      <c r="T89" s="1"/>
      <c r="U89" s="1"/>
      <c r="V89" s="1"/>
      <c r="W89" s="1"/>
      <c r="X89" s="1"/>
      <c r="Y89" s="1"/>
      <c r="Z89" s="1"/>
      <c r="AA89" s="1"/>
      <c r="AB89" s="1"/>
      <c r="AC89" s="1"/>
      <c r="AD89" s="1"/>
      <c r="AE89" s="1"/>
      <c r="AF89" s="1"/>
      <c r="AG89" s="1"/>
      <c r="AK89" s="5"/>
      <c r="AL89" s="5"/>
      <c r="AM89" s="5"/>
      <c r="AN89" s="5"/>
      <c r="AO89" s="5"/>
      <c r="AP89" s="5"/>
      <c r="AQ89" s="5"/>
      <c r="AR89" s="5"/>
      <c r="AS89" s="5"/>
      <c r="AT89" s="5"/>
      <c r="AU89" s="5"/>
      <c r="AV89" s="5"/>
      <c r="AW89" s="5"/>
      <c r="AX89" s="5"/>
      <c r="AY89" s="5"/>
    </row>
    <row r="90" spans="1:51">
      <c r="A90" s="136"/>
      <c r="B90" s="648" t="s">
        <v>1640</v>
      </c>
      <c r="C90" s="477"/>
      <c r="D90" s="477"/>
      <c r="E90" s="649"/>
      <c r="F90" s="622"/>
      <c r="G90" s="622"/>
      <c r="H90" s="622"/>
      <c r="I90" s="470"/>
      <c r="J90" s="470"/>
      <c r="K90" s="470"/>
      <c r="L90" s="471"/>
      <c r="M90" s="471"/>
      <c r="N90" s="136"/>
      <c r="O90" s="136"/>
      <c r="P90" s="136"/>
      <c r="Q90" s="136"/>
      <c r="R90" s="136"/>
      <c r="S90" s="136"/>
      <c r="T90" s="136"/>
      <c r="U90" s="136"/>
      <c r="V90" s="136"/>
      <c r="W90" s="136"/>
      <c r="X90" s="136"/>
      <c r="Y90" s="136"/>
      <c r="Z90" s="136"/>
      <c r="AA90" s="136"/>
      <c r="AB90" s="136"/>
      <c r="AC90" s="136"/>
      <c r="AD90" s="136"/>
      <c r="AE90" s="136"/>
      <c r="AF90" s="136"/>
      <c r="AG90" s="136"/>
      <c r="AH90" s="136"/>
      <c r="AI90" s="136"/>
      <c r="AJ90" s="136"/>
      <c r="AK90" s="5"/>
      <c r="AL90" s="5"/>
      <c r="AM90" s="5"/>
      <c r="AN90" s="5"/>
      <c r="AO90" s="5"/>
      <c r="AP90" s="5"/>
      <c r="AQ90" s="5"/>
      <c r="AR90" s="5"/>
      <c r="AS90" s="5"/>
      <c r="AT90" s="5"/>
      <c r="AU90" s="5"/>
      <c r="AV90" s="5"/>
      <c r="AW90" s="5"/>
      <c r="AX90" s="5"/>
      <c r="AY90" s="5"/>
    </row>
    <row r="91" spans="1:51" ht="13.5" thickBot="1">
      <c r="B91" s="456"/>
      <c r="D91" s="651" t="s">
        <v>1641</v>
      </c>
      <c r="E91" s="287"/>
      <c r="F91" s="287"/>
      <c r="G91" s="287"/>
      <c r="H91" s="287"/>
      <c r="I91" s="466"/>
      <c r="J91" s="466"/>
      <c r="K91" s="466"/>
      <c r="L91" s="468"/>
      <c r="M91" s="468"/>
      <c r="T91" s="1"/>
      <c r="U91" s="1"/>
      <c r="V91" s="1"/>
      <c r="W91" s="1"/>
      <c r="X91" s="1"/>
      <c r="Y91" s="1"/>
      <c r="Z91" s="1"/>
      <c r="AA91" s="1"/>
      <c r="AB91" s="1"/>
      <c r="AC91" s="1"/>
      <c r="AD91" s="1"/>
      <c r="AE91" s="1"/>
      <c r="AF91" s="1"/>
      <c r="AG91" s="1"/>
      <c r="AK91" s="5"/>
      <c r="AL91" s="5"/>
      <c r="AM91" s="5"/>
      <c r="AN91" s="5"/>
      <c r="AO91" s="5"/>
      <c r="AP91" s="5"/>
      <c r="AQ91" s="5"/>
      <c r="AR91" s="5"/>
      <c r="AS91" s="5"/>
      <c r="AT91" s="5"/>
      <c r="AU91" s="5"/>
      <c r="AV91" s="5"/>
      <c r="AW91" s="5"/>
      <c r="AX91" s="5"/>
      <c r="AY91" s="5"/>
    </row>
    <row r="92" spans="1:51">
      <c r="B92" s="456"/>
      <c r="D92" s="657" t="s">
        <v>1642</v>
      </c>
      <c r="E92" s="653"/>
      <c r="F92" s="653"/>
      <c r="G92" s="653"/>
      <c r="H92" s="653"/>
      <c r="I92" s="653"/>
      <c r="J92" s="653"/>
      <c r="K92" s="653"/>
      <c r="L92" s="653"/>
      <c r="M92" s="653"/>
      <c r="N92" s="653"/>
      <c r="O92" s="653"/>
      <c r="P92" s="653"/>
      <c r="Q92" s="653"/>
      <c r="R92" s="653"/>
      <c r="S92" s="653"/>
      <c r="T92" s="653"/>
      <c r="U92" s="653"/>
      <c r="V92" s="653"/>
      <c r="W92" s="653"/>
      <c r="X92" s="653"/>
      <c r="Y92" s="653"/>
      <c r="Z92" s="653"/>
      <c r="AA92" s="653"/>
      <c r="AB92" s="653"/>
      <c r="AC92" s="653"/>
      <c r="AD92" s="653"/>
      <c r="AE92" s="653"/>
      <c r="AF92" s="653"/>
      <c r="AG92" s="653"/>
      <c r="AH92" s="653"/>
      <c r="AI92" s="653"/>
      <c r="AJ92" s="653"/>
      <c r="AK92" s="5"/>
      <c r="AL92" s="5"/>
      <c r="AM92" s="5"/>
      <c r="AN92" s="5"/>
      <c r="AO92" s="5"/>
      <c r="AP92" s="5"/>
      <c r="AQ92" s="5"/>
      <c r="AR92" s="5"/>
      <c r="AS92" s="5"/>
      <c r="AT92" s="5"/>
      <c r="AU92" s="5"/>
      <c r="AV92" s="5"/>
      <c r="AW92" s="5"/>
      <c r="AX92" s="5"/>
      <c r="AY92" s="5"/>
    </row>
    <row r="93" spans="1:51">
      <c r="B93" s="456"/>
      <c r="D93" s="658" t="s">
        <v>1643</v>
      </c>
      <c r="E93" s="421">
        <f>IFERROR(('Consumption Input'!E90-'Consumption Input Diff.'!E205)/'Consumption Input Diff.'!E205, "NA")</f>
        <v>0</v>
      </c>
      <c r="F93" s="421">
        <f>IFERROR(('Consumption Input'!F90-'Consumption Input Diff.'!F205)/'Consumption Input Diff.'!F205, "NA")</f>
        <v>0</v>
      </c>
      <c r="G93" s="421">
        <f>IFERROR(('Consumption Input'!G90-'Consumption Input Diff.'!G205)/'Consumption Input Diff.'!G205, "NA")</f>
        <v>0</v>
      </c>
      <c r="H93" s="421">
        <f>IFERROR(('Consumption Input'!H90-'Consumption Input Diff.'!H205)/'Consumption Input Diff.'!H205, "NA")</f>
        <v>0</v>
      </c>
      <c r="I93" s="421">
        <f>IFERROR(('Consumption Input'!I90-'Consumption Input Diff.'!I205)/'Consumption Input Diff.'!I205, "NA")</f>
        <v>0</v>
      </c>
      <c r="J93" s="421">
        <f>IFERROR(('Consumption Input'!J90-'Consumption Input Diff.'!J205)/'Consumption Input Diff.'!J205, "NA")</f>
        <v>0</v>
      </c>
      <c r="K93" s="421">
        <f>IFERROR(('Consumption Input'!K90-'Consumption Input Diff.'!K205)/'Consumption Input Diff.'!K205, "NA")</f>
        <v>0</v>
      </c>
      <c r="L93" s="421">
        <f>IFERROR(('Consumption Input'!L90-'Consumption Input Diff.'!L205)/'Consumption Input Diff.'!L205, "NA")</f>
        <v>0</v>
      </c>
      <c r="M93" s="421">
        <f>IFERROR(('Consumption Input'!M90-'Consumption Input Diff.'!M205)/'Consumption Input Diff.'!M205, "NA")</f>
        <v>0</v>
      </c>
      <c r="N93" s="421">
        <f>IFERROR(('Consumption Input'!N90-'Consumption Input Diff.'!N205)/'Consumption Input Diff.'!N205, "NA")</f>
        <v>0</v>
      </c>
      <c r="O93" s="421">
        <f>IFERROR(('Consumption Input'!O90-'Consumption Input Diff.'!O205)/'Consumption Input Diff.'!O205, "NA")</f>
        <v>0</v>
      </c>
      <c r="P93" s="421">
        <f>IFERROR(('Consumption Input'!P90-'Consumption Input Diff.'!P205)/'Consumption Input Diff.'!P205, "NA")</f>
        <v>0</v>
      </c>
      <c r="Q93" s="421">
        <f>IFERROR(('Consumption Input'!Q90-'Consumption Input Diff.'!Q205)/'Consumption Input Diff.'!Q205, "NA")</f>
        <v>0</v>
      </c>
      <c r="R93" s="421">
        <f>IFERROR(('Consumption Input'!R90-'Consumption Input Diff.'!R205)/'Consumption Input Diff.'!R205, "NA")</f>
        <v>0</v>
      </c>
      <c r="S93" s="421">
        <f>IFERROR(('Consumption Input'!S90-'Consumption Input Diff.'!S205)/'Consumption Input Diff.'!S205, "NA")</f>
        <v>0</v>
      </c>
      <c r="T93" s="421">
        <f>IFERROR(('Consumption Input'!T90-'Consumption Input Diff.'!T205)/'Consumption Input Diff.'!T205, "NA")</f>
        <v>0</v>
      </c>
      <c r="U93" s="421">
        <f>IFERROR(('Consumption Input'!U90-'Consumption Input Diff.'!U205)/'Consumption Input Diff.'!U205, "NA")</f>
        <v>0</v>
      </c>
      <c r="V93" s="421">
        <f>IFERROR(('Consumption Input'!V90-'Consumption Input Diff.'!V205)/'Consumption Input Diff.'!V205, "NA")</f>
        <v>0</v>
      </c>
      <c r="W93" s="421">
        <f>IFERROR(('Consumption Input'!W90-'Consumption Input Diff.'!W205)/'Consumption Input Diff.'!W205, "NA")</f>
        <v>0</v>
      </c>
      <c r="X93" s="421">
        <f>IFERROR(('Consumption Input'!X90-'Consumption Input Diff.'!X205)/'Consumption Input Diff.'!X205, "NA")</f>
        <v>0</v>
      </c>
      <c r="Y93" s="421">
        <f>IFERROR(('Consumption Input'!Y90-'Consumption Input Diff.'!Y205)/'Consumption Input Diff.'!Y205, "NA")</f>
        <v>0</v>
      </c>
      <c r="Z93" s="421">
        <f>IFERROR(('Consumption Input'!Z90-'Consumption Input Diff.'!Z205)/'Consumption Input Diff.'!Z205, "NA")</f>
        <v>0</v>
      </c>
      <c r="AA93" s="421">
        <f>IFERROR(('Consumption Input'!AA90-'Consumption Input Diff.'!AA205)/'Consumption Input Diff.'!AA205, "NA")</f>
        <v>0</v>
      </c>
      <c r="AB93" s="421">
        <f>IFERROR(('Consumption Input'!AB90-'Consumption Input Diff.'!AB205)/'Consumption Input Diff.'!AB205, "NA")</f>
        <v>0</v>
      </c>
      <c r="AC93" s="421">
        <f>IFERROR(('Consumption Input'!AC90-'Consumption Input Diff.'!AC205)/'Consumption Input Diff.'!AC205, "NA")</f>
        <v>0</v>
      </c>
      <c r="AD93" s="421">
        <f>IFERROR(('Consumption Input'!AD90-'Consumption Input Diff.'!AD205)/'Consumption Input Diff.'!AD205, "NA")</f>
        <v>0</v>
      </c>
      <c r="AE93" s="421">
        <f>IFERROR(('Consumption Input'!AE90-'Consumption Input Diff.'!AE205)/'Consumption Input Diff.'!AE205, "NA")</f>
        <v>0</v>
      </c>
      <c r="AF93" s="421">
        <f>IFERROR(('Consumption Input'!AF90-'Consumption Input Diff.'!AF205)/'Consumption Input Diff.'!AF205, "NA")</f>
        <v>0</v>
      </c>
      <c r="AG93" s="421">
        <f>IFERROR(('Consumption Input'!AG90-'Consumption Input Diff.'!AG205)/'Consumption Input Diff.'!AG205, "NA")</f>
        <v>0</v>
      </c>
      <c r="AH93" s="421">
        <f>IFERROR(('Consumption Input'!AH90-'Consumption Input Diff.'!AH205)/'Consumption Input Diff.'!AH205, "NA")</f>
        <v>0</v>
      </c>
      <c r="AI93" s="421">
        <f>IFERROR(('Consumption Input'!AI90-'Consumption Input Diff.'!AI205)/'Consumption Input Diff.'!AI205, "NA")</f>
        <v>0</v>
      </c>
      <c r="AJ93" s="421">
        <f>IFERROR(('Consumption Input'!AJ90-'Consumption Input Diff.'!AJ205)/'Consumption Input Diff.'!AJ205, "NA")</f>
        <v>0</v>
      </c>
      <c r="AK93" s="5">
        <f>'Consumption Input'!V90-V205</f>
        <v>0</v>
      </c>
      <c r="AL93" s="5">
        <f>'Consumption Input'!W90-W205</f>
        <v>0</v>
      </c>
      <c r="AM93" s="5">
        <f>'Consumption Input'!X90-X205</f>
        <v>0</v>
      </c>
      <c r="AN93" s="5">
        <f>'Consumption Input'!Y90-Y205</f>
        <v>0</v>
      </c>
      <c r="AO93" s="5">
        <f>'Consumption Input'!Z90-Z205</f>
        <v>0</v>
      </c>
      <c r="AP93" s="5">
        <f>'Consumption Input'!AA90-AA205</f>
        <v>0</v>
      </c>
      <c r="AQ93" s="5">
        <f>'Consumption Input'!AB90-AB205</f>
        <v>0</v>
      </c>
      <c r="AR93" s="5">
        <f>'Consumption Input'!AC90-AC205</f>
        <v>0</v>
      </c>
      <c r="AS93" s="5">
        <f>'Consumption Input'!AD90-AD205</f>
        <v>0</v>
      </c>
      <c r="AT93" s="5">
        <f>'Consumption Input'!AE90-AE205</f>
        <v>0</v>
      </c>
      <c r="AU93" s="5">
        <f>'Consumption Input'!AF90-AF205</f>
        <v>0</v>
      </c>
      <c r="AV93" s="5">
        <f>'Consumption Input'!AG90-AG205</f>
        <v>0</v>
      </c>
      <c r="AW93" s="5">
        <f>'Consumption Input'!AH90-AH205</f>
        <v>0</v>
      </c>
      <c r="AX93" s="5">
        <f>'Consumption Input'!AI90-AI205</f>
        <v>0</v>
      </c>
      <c r="AY93" s="5">
        <f>'Consumption Input'!AJ90-AJ205</f>
        <v>0</v>
      </c>
    </row>
    <row r="94" spans="1:51" ht="13.5" thickBot="1">
      <c r="B94" s="456"/>
      <c r="D94" s="658" t="s">
        <v>1644</v>
      </c>
      <c r="E94" s="464"/>
      <c r="F94" s="464"/>
      <c r="G94" s="464"/>
      <c r="H94" s="464"/>
      <c r="I94" s="464"/>
      <c r="J94" s="464"/>
      <c r="K94" s="464"/>
      <c r="L94" s="464"/>
      <c r="M94" s="464"/>
      <c r="N94" s="464"/>
      <c r="O94" s="464"/>
      <c r="P94" s="464"/>
      <c r="Q94" s="464"/>
      <c r="R94" s="464"/>
      <c r="S94" s="464"/>
      <c r="T94" s="464"/>
      <c r="U94" s="464"/>
      <c r="V94" s="464"/>
      <c r="W94" s="464"/>
      <c r="X94" s="464"/>
      <c r="Y94" s="464"/>
      <c r="Z94" s="464"/>
      <c r="AA94" s="464"/>
      <c r="AB94" s="464"/>
      <c r="AC94" s="464"/>
      <c r="AD94" s="464"/>
      <c r="AE94" s="464"/>
      <c r="AF94" s="464"/>
      <c r="AG94" s="464"/>
      <c r="AH94" s="464"/>
      <c r="AI94" s="464"/>
      <c r="AJ94" s="464"/>
      <c r="AK94" s="5"/>
      <c r="AL94" s="5"/>
      <c r="AM94" s="5"/>
      <c r="AN94" s="5"/>
      <c r="AO94" s="5"/>
      <c r="AP94" s="5"/>
      <c r="AQ94" s="5"/>
      <c r="AR94" s="5"/>
      <c r="AS94" s="5"/>
      <c r="AT94" s="5"/>
      <c r="AU94" s="5"/>
      <c r="AV94" s="5"/>
      <c r="AW94" s="5"/>
      <c r="AX94" s="5"/>
      <c r="AY94" s="5"/>
    </row>
    <row r="95" spans="1:51">
      <c r="B95" s="456"/>
      <c r="D95" s="657" t="s">
        <v>1645</v>
      </c>
      <c r="E95" s="653"/>
      <c r="F95" s="653"/>
      <c r="G95" s="653"/>
      <c r="H95" s="653"/>
      <c r="I95" s="653"/>
      <c r="J95" s="653"/>
      <c r="K95" s="653"/>
      <c r="L95" s="653"/>
      <c r="M95" s="653"/>
      <c r="N95" s="653"/>
      <c r="O95" s="653"/>
      <c r="P95" s="653"/>
      <c r="Q95" s="653"/>
      <c r="R95" s="653"/>
      <c r="S95" s="653"/>
      <c r="T95" s="653"/>
      <c r="U95" s="653"/>
      <c r="V95" s="653"/>
      <c r="W95" s="653"/>
      <c r="X95" s="653"/>
      <c r="Y95" s="653"/>
      <c r="Z95" s="653"/>
      <c r="AA95" s="653"/>
      <c r="AB95" s="653"/>
      <c r="AC95" s="653"/>
      <c r="AD95" s="653"/>
      <c r="AE95" s="653"/>
      <c r="AF95" s="653"/>
      <c r="AG95" s="653"/>
      <c r="AH95" s="653"/>
      <c r="AI95" s="653"/>
      <c r="AJ95" s="653"/>
      <c r="AK95" s="5"/>
      <c r="AL95" s="5"/>
      <c r="AM95" s="5"/>
      <c r="AN95" s="5"/>
      <c r="AO95" s="5"/>
      <c r="AP95" s="5"/>
      <c r="AQ95" s="5"/>
      <c r="AR95" s="5"/>
      <c r="AS95" s="5"/>
      <c r="AT95" s="5"/>
      <c r="AU95" s="5"/>
      <c r="AV95" s="5"/>
      <c r="AW95" s="5"/>
      <c r="AX95" s="5"/>
      <c r="AY95" s="5"/>
    </row>
    <row r="96" spans="1:51">
      <c r="B96" s="456"/>
      <c r="D96" s="658" t="s">
        <v>1646</v>
      </c>
      <c r="E96" s="421">
        <f>IFERROR(('Consumption Input'!E93-'Consumption Input Diff.'!E208)/'Consumption Input Diff.'!E208, "NA")</f>
        <v>0</v>
      </c>
      <c r="F96" s="421">
        <f>IFERROR(('Consumption Input'!F93-'Consumption Input Diff.'!F208)/'Consumption Input Diff.'!F208, "NA")</f>
        <v>0</v>
      </c>
      <c r="G96" s="421">
        <f>IFERROR(('Consumption Input'!G93-'Consumption Input Diff.'!G208)/'Consumption Input Diff.'!G208, "NA")</f>
        <v>0</v>
      </c>
      <c r="H96" s="421">
        <f>IFERROR(('Consumption Input'!H93-'Consumption Input Diff.'!H208)/'Consumption Input Diff.'!H208, "NA")</f>
        <v>0</v>
      </c>
      <c r="I96" s="421">
        <f>IFERROR(('Consumption Input'!I93-'Consumption Input Diff.'!I208)/'Consumption Input Diff.'!I208, "NA")</f>
        <v>0</v>
      </c>
      <c r="J96" s="421">
        <f>IFERROR(('Consumption Input'!J93-'Consumption Input Diff.'!J208)/'Consumption Input Diff.'!J208, "NA")</f>
        <v>0</v>
      </c>
      <c r="K96" s="421">
        <f>IFERROR(('Consumption Input'!K93-'Consumption Input Diff.'!K208)/'Consumption Input Diff.'!K208, "NA")</f>
        <v>0</v>
      </c>
      <c r="L96" s="421">
        <f>IFERROR(('Consumption Input'!L93-'Consumption Input Diff.'!L208)/'Consumption Input Diff.'!L208, "NA")</f>
        <v>0</v>
      </c>
      <c r="M96" s="421">
        <f>IFERROR(('Consumption Input'!M93-'Consumption Input Diff.'!M208)/'Consumption Input Diff.'!M208, "NA")</f>
        <v>0</v>
      </c>
      <c r="N96" s="421">
        <f>IFERROR(('Consumption Input'!N93-'Consumption Input Diff.'!N208)/'Consumption Input Diff.'!N208, "NA")</f>
        <v>0</v>
      </c>
      <c r="O96" s="421">
        <f>IFERROR(('Consumption Input'!O93-'Consumption Input Diff.'!O208)/'Consumption Input Diff.'!O208, "NA")</f>
        <v>0</v>
      </c>
      <c r="P96" s="421">
        <f>IFERROR(('Consumption Input'!P93-'Consumption Input Diff.'!P208)/'Consumption Input Diff.'!P208, "NA")</f>
        <v>0</v>
      </c>
      <c r="Q96" s="421">
        <f>IFERROR(('Consumption Input'!Q93-'Consumption Input Diff.'!Q208)/'Consumption Input Diff.'!Q208, "NA")</f>
        <v>0</v>
      </c>
      <c r="R96" s="421">
        <f>IFERROR(('Consumption Input'!R93-'Consumption Input Diff.'!R208)/'Consumption Input Diff.'!R208, "NA")</f>
        <v>0</v>
      </c>
      <c r="S96" s="421">
        <f>IFERROR(('Consumption Input'!S93-'Consumption Input Diff.'!S208)/'Consumption Input Diff.'!S208, "NA")</f>
        <v>0</v>
      </c>
      <c r="T96" s="421">
        <f>IFERROR(('Consumption Input'!T93-'Consumption Input Diff.'!T208)/'Consumption Input Diff.'!T208, "NA")</f>
        <v>0</v>
      </c>
      <c r="U96" s="421">
        <f>IFERROR(('Consumption Input'!U93-'Consumption Input Diff.'!U208)/'Consumption Input Diff.'!U208, "NA")</f>
        <v>0</v>
      </c>
      <c r="V96" s="421">
        <f>IFERROR(('Consumption Input'!V93-'Consumption Input Diff.'!V208)/'Consumption Input Diff.'!V208, "NA")</f>
        <v>0</v>
      </c>
      <c r="W96" s="421">
        <f>IFERROR(('Consumption Input'!W93-'Consumption Input Diff.'!W208)/'Consumption Input Diff.'!W208, "NA")</f>
        <v>0</v>
      </c>
      <c r="X96" s="421">
        <f>IFERROR(('Consumption Input'!X93-'Consumption Input Diff.'!X208)/'Consumption Input Diff.'!X208, "NA")</f>
        <v>0</v>
      </c>
      <c r="Y96" s="421">
        <f>IFERROR(('Consumption Input'!Y93-'Consumption Input Diff.'!Y208)/'Consumption Input Diff.'!Y208, "NA")</f>
        <v>0</v>
      </c>
      <c r="Z96" s="421">
        <f>IFERROR(('Consumption Input'!Z93-'Consumption Input Diff.'!Z208)/'Consumption Input Diff.'!Z208, "NA")</f>
        <v>0</v>
      </c>
      <c r="AA96" s="421">
        <f>IFERROR(('Consumption Input'!AA93-'Consumption Input Diff.'!AA208)/'Consumption Input Diff.'!AA208, "NA")</f>
        <v>0</v>
      </c>
      <c r="AB96" s="421">
        <f>IFERROR(('Consumption Input'!AB93-'Consumption Input Diff.'!AB208)/'Consumption Input Diff.'!AB208, "NA")</f>
        <v>0</v>
      </c>
      <c r="AC96" s="421">
        <f>IFERROR(('Consumption Input'!AC93-'Consumption Input Diff.'!AC208)/'Consumption Input Diff.'!AC208, "NA")</f>
        <v>0</v>
      </c>
      <c r="AD96" s="421">
        <f>IFERROR(('Consumption Input'!AD93-'Consumption Input Diff.'!AD208)/'Consumption Input Diff.'!AD208, "NA")</f>
        <v>0</v>
      </c>
      <c r="AE96" s="421">
        <f>IFERROR(('Consumption Input'!AE93-'Consumption Input Diff.'!AE208)/'Consumption Input Diff.'!AE208, "NA")</f>
        <v>0</v>
      </c>
      <c r="AF96" s="421">
        <f>IFERROR(('Consumption Input'!AF93-'Consumption Input Diff.'!AF208)/'Consumption Input Diff.'!AF208, "NA")</f>
        <v>0</v>
      </c>
      <c r="AG96" s="421">
        <f>IFERROR(('Consumption Input'!AG93-'Consumption Input Diff.'!AG208)/'Consumption Input Diff.'!AG208, "NA")</f>
        <v>0</v>
      </c>
      <c r="AH96" s="421">
        <f>IFERROR(('Consumption Input'!AH93-'Consumption Input Diff.'!AH208)/'Consumption Input Diff.'!AH208, "NA")</f>
        <v>0</v>
      </c>
      <c r="AI96" s="421">
        <f>IFERROR(('Consumption Input'!AI93-'Consumption Input Diff.'!AI208)/'Consumption Input Diff.'!AI208, "NA")</f>
        <v>0</v>
      </c>
      <c r="AJ96" s="421">
        <f>IFERROR(('Consumption Input'!AJ93-'Consumption Input Diff.'!AJ208)/'Consumption Input Diff.'!AJ208, "NA")</f>
        <v>0</v>
      </c>
      <c r="AK96" s="5">
        <f>'Consumption Input'!V93-V208</f>
        <v>0</v>
      </c>
      <c r="AL96" s="5">
        <f>'Consumption Input'!W93-W208</f>
        <v>0</v>
      </c>
      <c r="AM96" s="5">
        <f>'Consumption Input'!X93-X208</f>
        <v>0</v>
      </c>
      <c r="AN96" s="5">
        <f>'Consumption Input'!Y93-Y208</f>
        <v>0</v>
      </c>
      <c r="AO96" s="5">
        <f>'Consumption Input'!Z93-Z208</f>
        <v>0</v>
      </c>
      <c r="AP96" s="5">
        <f>'Consumption Input'!AA93-AA208</f>
        <v>0</v>
      </c>
      <c r="AQ96" s="5">
        <f>'Consumption Input'!AB93-AB208</f>
        <v>0</v>
      </c>
      <c r="AR96" s="5">
        <f>'Consumption Input'!AC93-AC208</f>
        <v>0</v>
      </c>
      <c r="AS96" s="5">
        <f>'Consumption Input'!AD93-AD208</f>
        <v>0</v>
      </c>
      <c r="AT96" s="5">
        <f>'Consumption Input'!AE93-AE208</f>
        <v>0</v>
      </c>
      <c r="AU96" s="5">
        <f>'Consumption Input'!AF93-AF208</f>
        <v>0</v>
      </c>
      <c r="AV96" s="5">
        <f>'Consumption Input'!AG93-AG208</f>
        <v>0</v>
      </c>
      <c r="AW96" s="5">
        <f>'Consumption Input'!AH93-AH208</f>
        <v>0</v>
      </c>
      <c r="AX96" s="5">
        <f>'Consumption Input'!AI93-AI208</f>
        <v>0</v>
      </c>
      <c r="AY96" s="5">
        <f>'Consumption Input'!AJ93-AJ208</f>
        <v>0</v>
      </c>
    </row>
    <row r="97" spans="2:51">
      <c r="B97" s="456"/>
      <c r="D97" s="658" t="s">
        <v>1647</v>
      </c>
      <c r="E97" s="464"/>
      <c r="F97" s="464"/>
      <c r="G97" s="464"/>
      <c r="H97" s="464"/>
      <c r="I97" s="464"/>
      <c r="J97" s="464"/>
      <c r="K97" s="464"/>
      <c r="L97" s="464"/>
      <c r="M97" s="464"/>
      <c r="N97" s="464"/>
      <c r="O97" s="464"/>
      <c r="P97" s="464"/>
      <c r="Q97" s="464"/>
      <c r="R97" s="464"/>
      <c r="S97" s="464"/>
      <c r="T97" s="464"/>
      <c r="U97" s="464"/>
      <c r="V97" s="464"/>
      <c r="W97" s="464"/>
      <c r="X97" s="464"/>
      <c r="Y97" s="464"/>
      <c r="Z97" s="464"/>
      <c r="AA97" s="464"/>
      <c r="AB97" s="464"/>
      <c r="AC97" s="464"/>
      <c r="AD97" s="464"/>
      <c r="AE97" s="464"/>
      <c r="AF97" s="464"/>
      <c r="AG97" s="464"/>
      <c r="AH97" s="464"/>
      <c r="AI97" s="464"/>
      <c r="AJ97" s="464"/>
      <c r="AK97" s="5"/>
      <c r="AL97" s="5"/>
      <c r="AM97" s="5"/>
      <c r="AN97" s="5"/>
      <c r="AO97" s="5"/>
      <c r="AP97" s="5"/>
      <c r="AQ97" s="5"/>
      <c r="AR97" s="5"/>
      <c r="AS97" s="5"/>
      <c r="AT97" s="5"/>
      <c r="AU97" s="5"/>
      <c r="AV97" s="5"/>
      <c r="AW97" s="5"/>
      <c r="AX97" s="5"/>
      <c r="AY97" s="5"/>
    </row>
    <row r="98" spans="2:51" ht="52.5" thickBot="1">
      <c r="B98" s="456"/>
      <c r="D98" s="660" t="s">
        <v>1648</v>
      </c>
      <c r="E98" s="522"/>
      <c r="F98" s="522"/>
      <c r="G98" s="522"/>
      <c r="H98" s="522"/>
      <c r="I98" s="522"/>
      <c r="J98" s="522"/>
      <c r="K98" s="522"/>
      <c r="L98" s="522"/>
      <c r="M98" s="522"/>
      <c r="N98" s="522"/>
      <c r="O98" s="522"/>
      <c r="P98" s="522"/>
      <c r="Q98" s="522"/>
      <c r="R98" s="522"/>
      <c r="S98" s="522"/>
      <c r="T98" s="522"/>
      <c r="U98" s="522"/>
      <c r="V98" s="522"/>
      <c r="W98" s="522"/>
      <c r="X98" s="522"/>
      <c r="Y98" s="522"/>
      <c r="Z98" s="522"/>
      <c r="AA98" s="522"/>
      <c r="AB98" s="522"/>
      <c r="AC98" s="522"/>
      <c r="AD98" s="522"/>
      <c r="AE98" s="522"/>
      <c r="AF98" s="522"/>
      <c r="AG98" s="522"/>
      <c r="AH98" s="522"/>
      <c r="AI98" s="522"/>
      <c r="AJ98" s="522"/>
      <c r="AK98" s="5"/>
      <c r="AL98" s="5"/>
      <c r="AM98" s="5"/>
      <c r="AN98" s="5"/>
      <c r="AO98" s="5"/>
      <c r="AP98" s="5"/>
      <c r="AQ98" s="5"/>
      <c r="AR98" s="5"/>
      <c r="AS98" s="5"/>
      <c r="AT98" s="5"/>
      <c r="AU98" s="5"/>
      <c r="AV98" s="5"/>
      <c r="AW98" s="5"/>
      <c r="AX98" s="5"/>
      <c r="AY98" s="5"/>
    </row>
    <row r="99" spans="2:51">
      <c r="B99" s="456"/>
      <c r="D99" s="657" t="s">
        <v>1650</v>
      </c>
      <c r="E99" s="653"/>
      <c r="F99" s="653"/>
      <c r="G99" s="653"/>
      <c r="H99" s="653"/>
      <c r="I99" s="653"/>
      <c r="J99" s="653"/>
      <c r="K99" s="653"/>
      <c r="L99" s="653"/>
      <c r="M99" s="653"/>
      <c r="N99" s="653"/>
      <c r="O99" s="653"/>
      <c r="P99" s="653"/>
      <c r="Q99" s="653"/>
      <c r="R99" s="653"/>
      <c r="S99" s="653"/>
      <c r="T99" s="653"/>
      <c r="U99" s="653"/>
      <c r="V99" s="653"/>
      <c r="W99" s="653"/>
      <c r="X99" s="653"/>
      <c r="Y99" s="653"/>
      <c r="Z99" s="653"/>
      <c r="AA99" s="653"/>
      <c r="AB99" s="653"/>
      <c r="AC99" s="653"/>
      <c r="AD99" s="653"/>
      <c r="AE99" s="653"/>
      <c r="AF99" s="653"/>
      <c r="AG99" s="653"/>
      <c r="AH99" s="653"/>
      <c r="AI99" s="653"/>
      <c r="AJ99" s="653"/>
      <c r="AK99" s="5"/>
      <c r="AL99" s="5"/>
      <c r="AM99" s="5"/>
      <c r="AN99" s="5"/>
      <c r="AO99" s="5"/>
      <c r="AP99" s="5"/>
      <c r="AQ99" s="5"/>
      <c r="AR99" s="5"/>
      <c r="AS99" s="5"/>
      <c r="AT99" s="5"/>
      <c r="AU99" s="5"/>
      <c r="AV99" s="5"/>
      <c r="AW99" s="5"/>
      <c r="AX99" s="5"/>
      <c r="AY99" s="5"/>
    </row>
    <row r="100" spans="2:51">
      <c r="B100" s="456"/>
      <c r="D100" s="658" t="s">
        <v>1651</v>
      </c>
      <c r="E100" s="421">
        <f>IFERROR(('Consumption Input'!E97-'Consumption Input Diff.'!E212)/'Consumption Input Diff.'!E212, "NA")</f>
        <v>0</v>
      </c>
      <c r="F100" s="421">
        <f>IFERROR(('Consumption Input'!F97-'Consumption Input Diff.'!F212)/'Consumption Input Diff.'!F212, "NA")</f>
        <v>0</v>
      </c>
      <c r="G100" s="421">
        <f>IFERROR(('Consumption Input'!G97-'Consumption Input Diff.'!G212)/'Consumption Input Diff.'!G212, "NA")</f>
        <v>0</v>
      </c>
      <c r="H100" s="421">
        <f>IFERROR(('Consumption Input'!H97-'Consumption Input Diff.'!H212)/'Consumption Input Diff.'!H212, "NA")</f>
        <v>0</v>
      </c>
      <c r="I100" s="421">
        <f>IFERROR(('Consumption Input'!I97-'Consumption Input Diff.'!I212)/'Consumption Input Diff.'!I212, "NA")</f>
        <v>0</v>
      </c>
      <c r="J100" s="421">
        <f>IFERROR(('Consumption Input'!J97-'Consumption Input Diff.'!J212)/'Consumption Input Diff.'!J212, "NA")</f>
        <v>0</v>
      </c>
      <c r="K100" s="421">
        <f>IFERROR(('Consumption Input'!K97-'Consumption Input Diff.'!K212)/'Consumption Input Diff.'!K212, "NA")</f>
        <v>0</v>
      </c>
      <c r="L100" s="421">
        <f>IFERROR(('Consumption Input'!L97-'Consumption Input Diff.'!L212)/'Consumption Input Diff.'!L212, "NA")</f>
        <v>0</v>
      </c>
      <c r="M100" s="421">
        <f>IFERROR(('Consumption Input'!M97-'Consumption Input Diff.'!M212)/'Consumption Input Diff.'!M212, "NA")</f>
        <v>0</v>
      </c>
      <c r="N100" s="421">
        <f>IFERROR(('Consumption Input'!N97-'Consumption Input Diff.'!N212)/'Consumption Input Diff.'!N212, "NA")</f>
        <v>0</v>
      </c>
      <c r="O100" s="421">
        <f>IFERROR(('Consumption Input'!O97-'Consumption Input Diff.'!O212)/'Consumption Input Diff.'!O212, "NA")</f>
        <v>0</v>
      </c>
      <c r="P100" s="421">
        <f>IFERROR(('Consumption Input'!P97-'Consumption Input Diff.'!P212)/'Consumption Input Diff.'!P212, "NA")</f>
        <v>0</v>
      </c>
      <c r="Q100" s="421">
        <f>IFERROR(('Consumption Input'!Q97-'Consumption Input Diff.'!Q212)/'Consumption Input Diff.'!Q212, "NA")</f>
        <v>0</v>
      </c>
      <c r="R100" s="421">
        <f>IFERROR(('Consumption Input'!R97-'Consumption Input Diff.'!R212)/'Consumption Input Diff.'!R212, "NA")</f>
        <v>0</v>
      </c>
      <c r="S100" s="421">
        <f>IFERROR(('Consumption Input'!S97-'Consumption Input Diff.'!S212)/'Consumption Input Diff.'!S212, "NA")</f>
        <v>0</v>
      </c>
      <c r="T100" s="421">
        <f>IFERROR(('Consumption Input'!T97-'Consumption Input Diff.'!T212)/'Consumption Input Diff.'!T212, "NA")</f>
        <v>0</v>
      </c>
      <c r="U100" s="421">
        <f>IFERROR(('Consumption Input'!U97-'Consumption Input Diff.'!U212)/'Consumption Input Diff.'!U212, "NA")</f>
        <v>0</v>
      </c>
      <c r="V100" s="421">
        <f>IFERROR(('Consumption Input'!V97-'Consumption Input Diff.'!V212)/'Consumption Input Diff.'!V212, "NA")</f>
        <v>0</v>
      </c>
      <c r="W100" s="421">
        <f>IFERROR(('Consumption Input'!W97-'Consumption Input Diff.'!W212)/'Consumption Input Diff.'!W212, "NA")</f>
        <v>0</v>
      </c>
      <c r="X100" s="421">
        <f>IFERROR(('Consumption Input'!X97-'Consumption Input Diff.'!X212)/'Consumption Input Diff.'!X212, "NA")</f>
        <v>0</v>
      </c>
      <c r="Y100" s="421">
        <f>IFERROR(('Consumption Input'!Y97-'Consumption Input Diff.'!Y212)/'Consumption Input Diff.'!Y212, "NA")</f>
        <v>0</v>
      </c>
      <c r="Z100" s="421">
        <f>IFERROR(('Consumption Input'!Z97-'Consumption Input Diff.'!Z212)/'Consumption Input Diff.'!Z212, "NA")</f>
        <v>0</v>
      </c>
      <c r="AA100" s="421">
        <f>IFERROR(('Consumption Input'!AA97-'Consumption Input Diff.'!AA212)/'Consumption Input Diff.'!AA212, "NA")</f>
        <v>0</v>
      </c>
      <c r="AB100" s="421">
        <f>IFERROR(('Consumption Input'!AB97-'Consumption Input Diff.'!AB212)/'Consumption Input Diff.'!AB212, "NA")</f>
        <v>0</v>
      </c>
      <c r="AC100" s="421">
        <f>IFERROR(('Consumption Input'!AC97-'Consumption Input Diff.'!AC212)/'Consumption Input Diff.'!AC212, "NA")</f>
        <v>0</v>
      </c>
      <c r="AD100" s="421">
        <f>IFERROR(('Consumption Input'!AD97-'Consumption Input Diff.'!AD212)/'Consumption Input Diff.'!AD212, "NA")</f>
        <v>0</v>
      </c>
      <c r="AE100" s="421">
        <f>IFERROR(('Consumption Input'!AE97-'Consumption Input Diff.'!AE212)/'Consumption Input Diff.'!AE212, "NA")</f>
        <v>0</v>
      </c>
      <c r="AF100" s="421">
        <f>IFERROR(('Consumption Input'!AF97-'Consumption Input Diff.'!AF212)/'Consumption Input Diff.'!AF212, "NA")</f>
        <v>0</v>
      </c>
      <c r="AG100" s="421">
        <f>IFERROR(('Consumption Input'!AG97-'Consumption Input Diff.'!AG212)/'Consumption Input Diff.'!AG212, "NA")</f>
        <v>0</v>
      </c>
      <c r="AH100" s="421">
        <f>IFERROR(('Consumption Input'!AH97-'Consumption Input Diff.'!AH212)/'Consumption Input Diff.'!AH212, "NA")</f>
        <v>-1.6299113020360856E-5</v>
      </c>
      <c r="AI100" s="421">
        <f>IFERROR(('Consumption Input'!AI97-'Consumption Input Diff.'!AI212)/'Consumption Input Diff.'!AI212, "NA")</f>
        <v>7.1197181008819275E-3</v>
      </c>
      <c r="AJ100" s="421">
        <f>IFERROR(('Consumption Input'!AJ97-'Consumption Input Diff.'!AJ212)/'Consumption Input Diff.'!AJ212, "NA")</f>
        <v>3.0046447290973406E-3</v>
      </c>
      <c r="AK100" s="5">
        <f>'Consumption Input'!V97-V212</f>
        <v>0</v>
      </c>
      <c r="AL100" s="5">
        <f>'Consumption Input'!W97-W212</f>
        <v>0</v>
      </c>
      <c r="AM100" s="5">
        <f>'Consumption Input'!X97-X212</f>
        <v>0</v>
      </c>
      <c r="AN100" s="5">
        <f>'Consumption Input'!Y97-Y212</f>
        <v>0</v>
      </c>
      <c r="AO100" s="5">
        <f>'Consumption Input'!Z97-Z212</f>
        <v>0</v>
      </c>
      <c r="AP100" s="5">
        <f>'Consumption Input'!AA97-AA212</f>
        <v>0</v>
      </c>
      <c r="AQ100" s="5">
        <f>'Consumption Input'!AB97-AB212</f>
        <v>0</v>
      </c>
      <c r="AR100" s="5">
        <f>'Consumption Input'!AC97-AC212</f>
        <v>0</v>
      </c>
      <c r="AS100" s="5">
        <f>'Consumption Input'!AD97-AD212</f>
        <v>0</v>
      </c>
      <c r="AT100" s="5">
        <f>'Consumption Input'!AE97-AE212</f>
        <v>0</v>
      </c>
      <c r="AU100" s="5">
        <f>'Consumption Input'!AF97-AF212</f>
        <v>0</v>
      </c>
      <c r="AV100" s="5">
        <f>'Consumption Input'!AG97-AG212</f>
        <v>0</v>
      </c>
      <c r="AW100" s="5">
        <f>'Consumption Input'!AH97-AH212</f>
        <v>-0.16647715321596479</v>
      </c>
      <c r="AX100" s="5">
        <f>'Consumption Input'!AI97-AI212</f>
        <v>70.60880883538448</v>
      </c>
      <c r="AY100" s="5">
        <f>'Consumption Input'!AJ97-AJ212</f>
        <v>30.568714048031325</v>
      </c>
    </row>
    <row r="101" spans="2:51">
      <c r="B101" s="456"/>
      <c r="D101" s="658" t="s">
        <v>1652</v>
      </c>
      <c r="E101" s="464"/>
      <c r="F101" s="464"/>
      <c r="G101" s="464"/>
      <c r="H101" s="464"/>
      <c r="I101" s="464"/>
      <c r="J101" s="464"/>
      <c r="K101" s="464"/>
      <c r="L101" s="464"/>
      <c r="M101" s="464"/>
      <c r="N101" s="464"/>
      <c r="O101" s="464"/>
      <c r="P101" s="464"/>
      <c r="Q101" s="464"/>
      <c r="R101" s="464"/>
      <c r="S101" s="464"/>
      <c r="T101" s="464"/>
      <c r="U101" s="464"/>
      <c r="V101" s="464"/>
      <c r="W101" s="464"/>
      <c r="X101" s="464"/>
      <c r="Y101" s="464"/>
      <c r="Z101" s="464"/>
      <c r="AA101" s="464"/>
      <c r="AB101" s="464"/>
      <c r="AC101" s="464"/>
      <c r="AD101" s="464"/>
      <c r="AE101" s="464"/>
      <c r="AF101" s="464"/>
      <c r="AG101" s="464"/>
      <c r="AH101" s="464"/>
      <c r="AI101" s="464"/>
      <c r="AJ101" s="464"/>
      <c r="AK101" s="5"/>
      <c r="AL101" s="5"/>
      <c r="AM101" s="5"/>
      <c r="AN101" s="5"/>
      <c r="AO101" s="5"/>
      <c r="AP101" s="5"/>
      <c r="AQ101" s="5"/>
      <c r="AR101" s="5"/>
      <c r="AS101" s="5"/>
      <c r="AT101" s="5"/>
      <c r="AU101" s="5"/>
      <c r="AV101" s="5"/>
      <c r="AW101" s="5"/>
      <c r="AX101" s="5"/>
      <c r="AY101" s="5"/>
    </row>
    <row r="102" spans="2:51">
      <c r="B102" s="456"/>
      <c r="D102" s="658" t="s">
        <v>1653</v>
      </c>
      <c r="E102" s="464"/>
      <c r="F102" s="464"/>
      <c r="G102" s="464"/>
      <c r="H102" s="464"/>
      <c r="I102" s="464"/>
      <c r="J102" s="464"/>
      <c r="K102" s="464"/>
      <c r="L102" s="464"/>
      <c r="M102" s="464"/>
      <c r="N102" s="464"/>
      <c r="O102" s="464"/>
      <c r="P102" s="464"/>
      <c r="Q102" s="464"/>
      <c r="R102" s="464"/>
      <c r="S102" s="464"/>
      <c r="T102" s="464"/>
      <c r="U102" s="464"/>
      <c r="V102" s="464"/>
      <c r="W102" s="464"/>
      <c r="X102" s="464"/>
      <c r="Y102" s="464"/>
      <c r="Z102" s="464"/>
      <c r="AA102" s="464"/>
      <c r="AB102" s="464"/>
      <c r="AC102" s="464"/>
      <c r="AD102" s="464"/>
      <c r="AE102" s="464"/>
      <c r="AF102" s="464"/>
      <c r="AG102" s="464"/>
      <c r="AH102" s="464"/>
      <c r="AI102" s="464"/>
      <c r="AJ102" s="464"/>
      <c r="AK102" s="5"/>
      <c r="AL102" s="5"/>
      <c r="AM102" s="5"/>
      <c r="AN102" s="5"/>
      <c r="AO102" s="5"/>
      <c r="AP102" s="5"/>
      <c r="AQ102" s="5"/>
      <c r="AR102" s="5"/>
      <c r="AS102" s="5"/>
      <c r="AT102" s="5"/>
      <c r="AU102" s="5"/>
      <c r="AV102" s="5"/>
      <c r="AW102" s="5"/>
      <c r="AX102" s="5"/>
      <c r="AY102" s="5"/>
    </row>
    <row r="103" spans="2:51">
      <c r="B103" s="456"/>
      <c r="D103" s="658" t="s">
        <v>1654</v>
      </c>
      <c r="E103" s="464"/>
      <c r="F103" s="464"/>
      <c r="G103" s="464"/>
      <c r="H103" s="464"/>
      <c r="I103" s="464"/>
      <c r="J103" s="464"/>
      <c r="K103" s="464"/>
      <c r="L103" s="464"/>
      <c r="M103" s="464"/>
      <c r="N103" s="464"/>
      <c r="O103" s="464"/>
      <c r="P103" s="464"/>
      <c r="Q103" s="464"/>
      <c r="R103" s="464"/>
      <c r="S103" s="464"/>
      <c r="T103" s="464"/>
      <c r="U103" s="464"/>
      <c r="V103" s="464"/>
      <c r="W103" s="464"/>
      <c r="X103" s="464"/>
      <c r="Y103" s="464"/>
      <c r="Z103" s="464"/>
      <c r="AA103" s="464"/>
      <c r="AB103" s="464"/>
      <c r="AC103" s="464"/>
      <c r="AD103" s="464"/>
      <c r="AE103" s="464"/>
      <c r="AF103" s="464"/>
      <c r="AG103" s="464"/>
      <c r="AH103" s="464"/>
      <c r="AI103" s="464"/>
      <c r="AJ103" s="464"/>
      <c r="AK103" s="5"/>
      <c r="AL103" s="5"/>
      <c r="AM103" s="5"/>
      <c r="AN103" s="5"/>
      <c r="AO103" s="5"/>
      <c r="AP103" s="5"/>
      <c r="AQ103" s="5"/>
      <c r="AR103" s="5"/>
      <c r="AS103" s="5"/>
      <c r="AT103" s="5"/>
      <c r="AU103" s="5"/>
      <c r="AV103" s="5"/>
      <c r="AW103" s="5"/>
      <c r="AX103" s="5"/>
      <c r="AY103" s="5"/>
    </row>
    <row r="104" spans="2:51" ht="13.5" thickBot="1">
      <c r="B104" s="456"/>
      <c r="D104" s="661" t="s">
        <v>1655</v>
      </c>
      <c r="E104" s="522"/>
      <c r="F104" s="522"/>
      <c r="G104" s="522"/>
      <c r="H104" s="522"/>
      <c r="I104" s="522"/>
      <c r="J104" s="522"/>
      <c r="K104" s="522"/>
      <c r="L104" s="522"/>
      <c r="M104" s="522"/>
      <c r="N104" s="522"/>
      <c r="O104" s="522"/>
      <c r="P104" s="522"/>
      <c r="Q104" s="522"/>
      <c r="R104" s="522"/>
      <c r="S104" s="522"/>
      <c r="T104" s="522"/>
      <c r="U104" s="522"/>
      <c r="V104" s="522"/>
      <c r="W104" s="522"/>
      <c r="X104" s="522"/>
      <c r="Y104" s="522"/>
      <c r="Z104" s="522"/>
      <c r="AA104" s="522"/>
      <c r="AB104" s="522"/>
      <c r="AC104" s="522"/>
      <c r="AD104" s="522"/>
      <c r="AE104" s="522"/>
      <c r="AF104" s="522"/>
      <c r="AG104" s="522"/>
      <c r="AH104" s="522"/>
      <c r="AI104" s="522"/>
      <c r="AJ104" s="522"/>
      <c r="AK104" s="5"/>
      <c r="AL104" s="5"/>
      <c r="AM104" s="5"/>
      <c r="AN104" s="5"/>
      <c r="AO104" s="5"/>
      <c r="AP104" s="5"/>
      <c r="AQ104" s="5"/>
      <c r="AR104" s="5"/>
      <c r="AS104" s="5"/>
      <c r="AT104" s="5"/>
      <c r="AU104" s="5"/>
      <c r="AV104" s="5"/>
      <c r="AW104" s="5"/>
      <c r="AX104" s="5"/>
      <c r="AY104" s="5"/>
    </row>
    <row r="105" spans="2:51">
      <c r="B105" s="456"/>
      <c r="D105" s="657" t="s">
        <v>1656</v>
      </c>
      <c r="E105" s="653"/>
      <c r="F105" s="653"/>
      <c r="G105" s="653"/>
      <c r="H105" s="653"/>
      <c r="I105" s="653"/>
      <c r="J105" s="653"/>
      <c r="K105" s="653"/>
      <c r="L105" s="653"/>
      <c r="M105" s="653"/>
      <c r="N105" s="653"/>
      <c r="O105" s="653"/>
      <c r="P105" s="653"/>
      <c r="Q105" s="653"/>
      <c r="R105" s="653"/>
      <c r="S105" s="653"/>
      <c r="T105" s="653"/>
      <c r="U105" s="653"/>
      <c r="V105" s="653"/>
      <c r="W105" s="653"/>
      <c r="X105" s="653"/>
      <c r="Y105" s="653"/>
      <c r="Z105" s="653"/>
      <c r="AA105" s="653"/>
      <c r="AB105" s="653"/>
      <c r="AC105" s="653"/>
      <c r="AD105" s="653"/>
      <c r="AE105" s="653"/>
      <c r="AF105" s="653"/>
      <c r="AG105" s="653"/>
      <c r="AH105" s="653"/>
      <c r="AI105" s="653"/>
      <c r="AJ105" s="653"/>
      <c r="AK105" s="5"/>
      <c r="AL105" s="5"/>
      <c r="AM105" s="5"/>
      <c r="AN105" s="5"/>
      <c r="AO105" s="5"/>
      <c r="AP105" s="5"/>
      <c r="AQ105" s="5"/>
      <c r="AR105" s="5"/>
      <c r="AS105" s="5"/>
      <c r="AT105" s="5"/>
      <c r="AU105" s="5"/>
      <c r="AV105" s="5"/>
      <c r="AW105" s="5"/>
      <c r="AX105" s="5"/>
      <c r="AY105" s="5"/>
    </row>
    <row r="106" spans="2:51">
      <c r="B106" s="456"/>
      <c r="D106" s="662" t="s">
        <v>1657</v>
      </c>
      <c r="E106" s="421">
        <f>IFERROR(('Consumption Input'!E103-'Consumption Input Diff.'!E218)/'Consumption Input Diff.'!E218, "NA")</f>
        <v>0</v>
      </c>
      <c r="F106" s="421">
        <f>IFERROR(('Consumption Input'!F103-'Consumption Input Diff.'!F218)/'Consumption Input Diff.'!F218, "NA")</f>
        <v>0</v>
      </c>
      <c r="G106" s="421">
        <f>IFERROR(('Consumption Input'!G103-'Consumption Input Diff.'!G218)/'Consumption Input Diff.'!G218, "NA")</f>
        <v>0</v>
      </c>
      <c r="H106" s="421">
        <f>IFERROR(('Consumption Input'!H103-'Consumption Input Diff.'!H218)/'Consumption Input Diff.'!H218, "NA")</f>
        <v>0</v>
      </c>
      <c r="I106" s="421">
        <f>IFERROR(('Consumption Input'!I103-'Consumption Input Diff.'!I218)/'Consumption Input Diff.'!I218, "NA")</f>
        <v>0</v>
      </c>
      <c r="J106" s="421">
        <f>IFERROR(('Consumption Input'!J103-'Consumption Input Diff.'!J218)/'Consumption Input Diff.'!J218, "NA")</f>
        <v>0</v>
      </c>
      <c r="K106" s="421">
        <f>IFERROR(('Consumption Input'!K103-'Consumption Input Diff.'!K218)/'Consumption Input Diff.'!K218, "NA")</f>
        <v>0</v>
      </c>
      <c r="L106" s="421">
        <f>IFERROR(('Consumption Input'!L103-'Consumption Input Diff.'!L218)/'Consumption Input Diff.'!L218, "NA")</f>
        <v>0</v>
      </c>
      <c r="M106" s="421">
        <f>IFERROR(('Consumption Input'!M103-'Consumption Input Diff.'!M218)/'Consumption Input Diff.'!M218, "NA")</f>
        <v>0</v>
      </c>
      <c r="N106" s="421">
        <f>IFERROR(('Consumption Input'!N103-'Consumption Input Diff.'!N218)/'Consumption Input Diff.'!N218, "NA")</f>
        <v>0</v>
      </c>
      <c r="O106" s="421">
        <f>IFERROR(('Consumption Input'!O103-'Consumption Input Diff.'!O218)/'Consumption Input Diff.'!O218, "NA")</f>
        <v>0</v>
      </c>
      <c r="P106" s="421">
        <f>IFERROR(('Consumption Input'!P103-'Consumption Input Diff.'!P218)/'Consumption Input Diff.'!P218, "NA")</f>
        <v>0</v>
      </c>
      <c r="Q106" s="421">
        <f>IFERROR(('Consumption Input'!Q103-'Consumption Input Diff.'!Q218)/'Consumption Input Diff.'!Q218, "NA")</f>
        <v>0</v>
      </c>
      <c r="R106" s="421">
        <f>IFERROR(('Consumption Input'!R103-'Consumption Input Diff.'!R218)/'Consumption Input Diff.'!R218, "NA")</f>
        <v>0</v>
      </c>
      <c r="S106" s="421">
        <f>IFERROR(('Consumption Input'!S103-'Consumption Input Diff.'!S218)/'Consumption Input Diff.'!S218, "NA")</f>
        <v>0</v>
      </c>
      <c r="T106" s="421">
        <f>IFERROR(('Consumption Input'!T103-'Consumption Input Diff.'!T218)/'Consumption Input Diff.'!T218, "NA")</f>
        <v>0</v>
      </c>
      <c r="U106" s="421">
        <f>IFERROR(('Consumption Input'!U103-'Consumption Input Diff.'!U218)/'Consumption Input Diff.'!U218, "NA")</f>
        <v>0</v>
      </c>
      <c r="V106" s="421">
        <f>IFERROR(('Consumption Input'!V103-'Consumption Input Diff.'!V218)/'Consumption Input Diff.'!V218, "NA")</f>
        <v>0</v>
      </c>
      <c r="W106" s="421">
        <f>IFERROR(('Consumption Input'!W103-'Consumption Input Diff.'!W218)/'Consumption Input Diff.'!W218, "NA")</f>
        <v>0</v>
      </c>
      <c r="X106" s="421">
        <f>IFERROR(('Consumption Input'!X103-'Consumption Input Diff.'!X218)/'Consumption Input Diff.'!X218, "NA")</f>
        <v>0</v>
      </c>
      <c r="Y106" s="421">
        <f>IFERROR(('Consumption Input'!Y103-'Consumption Input Diff.'!Y218)/'Consumption Input Diff.'!Y218, "NA")</f>
        <v>0</v>
      </c>
      <c r="Z106" s="421">
        <f>IFERROR(('Consumption Input'!Z103-'Consumption Input Diff.'!Z218)/'Consumption Input Diff.'!Z218, "NA")</f>
        <v>0</v>
      </c>
      <c r="AA106" s="421">
        <f>IFERROR(('Consumption Input'!AA103-'Consumption Input Diff.'!AA218)/'Consumption Input Diff.'!AA218, "NA")</f>
        <v>0</v>
      </c>
      <c r="AB106" s="421">
        <f>IFERROR(('Consumption Input'!AB103-'Consumption Input Diff.'!AB218)/'Consumption Input Diff.'!AB218, "NA")</f>
        <v>0</v>
      </c>
      <c r="AC106" s="421">
        <f>IFERROR(('Consumption Input'!AC103-'Consumption Input Diff.'!AC218)/'Consumption Input Diff.'!AC218, "NA")</f>
        <v>0</v>
      </c>
      <c r="AD106" s="421">
        <f>IFERROR(('Consumption Input'!AD103-'Consumption Input Diff.'!AD218)/'Consumption Input Diff.'!AD218, "NA")</f>
        <v>0</v>
      </c>
      <c r="AE106" s="421">
        <f>IFERROR(('Consumption Input'!AE103-'Consumption Input Diff.'!AE218)/'Consumption Input Diff.'!AE218, "NA")</f>
        <v>0</v>
      </c>
      <c r="AF106" s="421">
        <f>IFERROR(('Consumption Input'!AF103-'Consumption Input Diff.'!AF218)/'Consumption Input Diff.'!AF218, "NA")</f>
        <v>0</v>
      </c>
      <c r="AG106" s="421">
        <f>IFERROR(('Consumption Input'!AG103-'Consumption Input Diff.'!AG218)/'Consumption Input Diff.'!AG218, "NA")</f>
        <v>0</v>
      </c>
      <c r="AH106" s="421">
        <f>IFERROR(('Consumption Input'!AH103-'Consumption Input Diff.'!AH218)/'Consumption Input Diff.'!AH218, "NA")</f>
        <v>0</v>
      </c>
      <c r="AI106" s="421">
        <f>IFERROR(('Consumption Input'!AI103-'Consumption Input Diff.'!AI218)/'Consumption Input Diff.'!AI218, "NA")</f>
        <v>-9.6324131614219314E-4</v>
      </c>
      <c r="AJ106" s="421">
        <f>IFERROR(('Consumption Input'!AJ103-'Consumption Input Diff.'!AJ218)/'Consumption Input Diff.'!AJ218, "NA")</f>
        <v>-6.5082040950765623E-9</v>
      </c>
      <c r="AK106" s="5">
        <f>'Consumption Input'!V103-V218</f>
        <v>0</v>
      </c>
      <c r="AL106" s="5">
        <f>'Consumption Input'!W103-W218</f>
        <v>0</v>
      </c>
      <c r="AM106" s="5">
        <f>'Consumption Input'!X103-X218</f>
        <v>0</v>
      </c>
      <c r="AN106" s="5">
        <f>'Consumption Input'!Y103-Y218</f>
        <v>0</v>
      </c>
      <c r="AO106" s="5">
        <f>'Consumption Input'!Z103-Z218</f>
        <v>0</v>
      </c>
      <c r="AP106" s="5">
        <f>'Consumption Input'!AA103-AA218</f>
        <v>0</v>
      </c>
      <c r="AQ106" s="5">
        <f>'Consumption Input'!AB103-AB218</f>
        <v>0</v>
      </c>
      <c r="AR106" s="5">
        <f>'Consumption Input'!AC103-AC218</f>
        <v>0</v>
      </c>
      <c r="AS106" s="5">
        <f>'Consumption Input'!AD103-AD218</f>
        <v>0</v>
      </c>
      <c r="AT106" s="5">
        <f>'Consumption Input'!AE103-AE218</f>
        <v>0</v>
      </c>
      <c r="AU106" s="5">
        <f>'Consumption Input'!AF103-AF218</f>
        <v>0</v>
      </c>
      <c r="AV106" s="5">
        <f>'Consumption Input'!AG103-AG218</f>
        <v>0</v>
      </c>
      <c r="AW106" s="5">
        <f>'Consumption Input'!AH103-AH218</f>
        <v>0</v>
      </c>
      <c r="AX106" s="5">
        <f>'Consumption Input'!AI103-AI218</f>
        <v>-4.2133196664153161E-2</v>
      </c>
      <c r="AY106" s="5">
        <f>'Consumption Input'!AJ103-AJ218</f>
        <v>-3.1739762107463321E-7</v>
      </c>
    </row>
    <row r="107" spans="2:51" ht="13.5" thickBot="1">
      <c r="B107" s="456"/>
      <c r="D107" s="663" t="s">
        <v>1658</v>
      </c>
      <c r="E107" s="522"/>
      <c r="F107" s="522"/>
      <c r="G107" s="522"/>
      <c r="H107" s="522"/>
      <c r="I107" s="522"/>
      <c r="J107" s="522"/>
      <c r="K107" s="522"/>
      <c r="L107" s="522"/>
      <c r="M107" s="522"/>
      <c r="N107" s="522"/>
      <c r="O107" s="522"/>
      <c r="P107" s="522"/>
      <c r="Q107" s="522"/>
      <c r="R107" s="522"/>
      <c r="S107" s="522"/>
      <c r="T107" s="522"/>
      <c r="U107" s="522"/>
      <c r="V107" s="522"/>
      <c r="W107" s="522"/>
      <c r="X107" s="522"/>
      <c r="Y107" s="522"/>
      <c r="Z107" s="522"/>
      <c r="AA107" s="522"/>
      <c r="AB107" s="522"/>
      <c r="AC107" s="522"/>
      <c r="AD107" s="522"/>
      <c r="AE107" s="522"/>
      <c r="AF107" s="522"/>
      <c r="AG107" s="522"/>
      <c r="AH107" s="522"/>
      <c r="AI107" s="522"/>
      <c r="AJ107" s="522"/>
      <c r="AK107" s="5"/>
      <c r="AL107" s="5"/>
      <c r="AM107" s="5"/>
      <c r="AN107" s="5"/>
      <c r="AO107" s="5"/>
      <c r="AP107" s="5"/>
      <c r="AQ107" s="5"/>
      <c r="AR107" s="5"/>
      <c r="AS107" s="5"/>
      <c r="AT107" s="5"/>
      <c r="AU107" s="5"/>
      <c r="AV107" s="5"/>
      <c r="AW107" s="5"/>
      <c r="AX107" s="5"/>
      <c r="AY107" s="5"/>
    </row>
    <row r="108" spans="2:51" ht="13.5" thickBot="1">
      <c r="B108" s="456"/>
      <c r="D108" s="458" t="s">
        <v>2012</v>
      </c>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464"/>
      <c r="AI108" s="464"/>
      <c r="AJ108" s="464"/>
      <c r="AK108" s="5"/>
      <c r="AL108" s="5"/>
      <c r="AM108" s="5"/>
      <c r="AN108" s="5"/>
      <c r="AO108" s="5"/>
      <c r="AP108" s="5"/>
      <c r="AQ108" s="5"/>
      <c r="AR108" s="5"/>
      <c r="AS108" s="5"/>
      <c r="AT108" s="5"/>
      <c r="AU108" s="5"/>
      <c r="AV108" s="5"/>
      <c r="AW108" s="5"/>
      <c r="AX108" s="5"/>
      <c r="AY108" s="5"/>
    </row>
    <row r="109" spans="2:51">
      <c r="B109" s="456"/>
      <c r="D109" s="657" t="s">
        <v>1660</v>
      </c>
      <c r="E109" s="653"/>
      <c r="F109" s="653"/>
      <c r="G109" s="653"/>
      <c r="H109" s="653"/>
      <c r="I109" s="653"/>
      <c r="J109" s="653"/>
      <c r="K109" s="653"/>
      <c r="L109" s="653"/>
      <c r="M109" s="653"/>
      <c r="N109" s="653"/>
      <c r="O109" s="653"/>
      <c r="P109" s="653"/>
      <c r="Q109" s="653"/>
      <c r="R109" s="653"/>
      <c r="S109" s="653"/>
      <c r="T109" s="653"/>
      <c r="U109" s="653"/>
      <c r="V109" s="653"/>
      <c r="W109" s="653"/>
      <c r="X109" s="653"/>
      <c r="Y109" s="653"/>
      <c r="Z109" s="653"/>
      <c r="AA109" s="653"/>
      <c r="AB109" s="653"/>
      <c r="AC109" s="653"/>
      <c r="AD109" s="653"/>
      <c r="AE109" s="653"/>
      <c r="AF109" s="653"/>
      <c r="AG109" s="653"/>
      <c r="AH109" s="653"/>
      <c r="AI109" s="653"/>
      <c r="AJ109" s="653"/>
      <c r="AK109" s="5"/>
      <c r="AL109" s="5"/>
      <c r="AM109" s="5"/>
      <c r="AN109" s="5"/>
      <c r="AO109" s="5"/>
      <c r="AP109" s="5"/>
      <c r="AQ109" s="5"/>
      <c r="AR109" s="5"/>
      <c r="AS109" s="5"/>
      <c r="AT109" s="5"/>
      <c r="AU109" s="5"/>
      <c r="AV109" s="5"/>
      <c r="AW109" s="5"/>
      <c r="AX109" s="5"/>
      <c r="AY109" s="5"/>
    </row>
    <row r="110" spans="2:51">
      <c r="B110" s="456"/>
      <c r="D110" s="662" t="s">
        <v>1661</v>
      </c>
      <c r="E110" s="421" t="str">
        <f>IFERROR(('Consumption Input'!E107-'Consumption Input Diff.'!E222)/'Consumption Input Diff.'!E222, "NA")</f>
        <v>NA</v>
      </c>
      <c r="F110" s="421" t="str">
        <f>IFERROR(('Consumption Input'!F107-'Consumption Input Diff.'!F222)/'Consumption Input Diff.'!F222, "NA")</f>
        <v>NA</v>
      </c>
      <c r="G110" s="421" t="str">
        <f>IFERROR(('Consumption Input'!G107-'Consumption Input Diff.'!G222)/'Consumption Input Diff.'!G222, "NA")</f>
        <v>NA</v>
      </c>
      <c r="H110" s="421" t="str">
        <f>IFERROR(('Consumption Input'!H107-'Consumption Input Diff.'!H222)/'Consumption Input Diff.'!H222, "NA")</f>
        <v>NA</v>
      </c>
      <c r="I110" s="421" t="str">
        <f>IFERROR(('Consumption Input'!I107-'Consumption Input Diff.'!I222)/'Consumption Input Diff.'!I222, "NA")</f>
        <v>NA</v>
      </c>
      <c r="J110" s="421" t="str">
        <f>IFERROR(('Consumption Input'!J107-'Consumption Input Diff.'!J222)/'Consumption Input Diff.'!J222, "NA")</f>
        <v>NA</v>
      </c>
      <c r="K110" s="421" t="str">
        <f>IFERROR(('Consumption Input'!K107-'Consumption Input Diff.'!K222)/'Consumption Input Diff.'!K222, "NA")</f>
        <v>NA</v>
      </c>
      <c r="L110" s="421" t="str">
        <f>IFERROR(('Consumption Input'!L107-'Consumption Input Diff.'!L222)/'Consumption Input Diff.'!L222, "NA")</f>
        <v>NA</v>
      </c>
      <c r="M110" s="421" t="str">
        <f>IFERROR(('Consumption Input'!M107-'Consumption Input Diff.'!M222)/'Consumption Input Diff.'!M222, "NA")</f>
        <v>NA</v>
      </c>
      <c r="N110" s="421" t="str">
        <f>IFERROR(('Consumption Input'!N107-'Consumption Input Diff.'!N222)/'Consumption Input Diff.'!N222, "NA")</f>
        <v>NA</v>
      </c>
      <c r="O110" s="421" t="str">
        <f>IFERROR(('Consumption Input'!O107-'Consumption Input Diff.'!O222)/'Consumption Input Diff.'!O222, "NA")</f>
        <v>NA</v>
      </c>
      <c r="P110" s="421" t="str">
        <f>IFERROR(('Consumption Input'!P107-'Consumption Input Diff.'!P222)/'Consumption Input Diff.'!P222, "NA")</f>
        <v>NA</v>
      </c>
      <c r="Q110" s="421" t="str">
        <f>IFERROR(('Consumption Input'!Q107-'Consumption Input Diff.'!Q222)/'Consumption Input Diff.'!Q222, "NA")</f>
        <v>NA</v>
      </c>
      <c r="R110" s="421" t="str">
        <f>IFERROR(('Consumption Input'!R107-'Consumption Input Diff.'!R222)/'Consumption Input Diff.'!R222, "NA")</f>
        <v>NA</v>
      </c>
      <c r="S110" s="421" t="str">
        <f>IFERROR(('Consumption Input'!S107-'Consumption Input Diff.'!S222)/'Consumption Input Diff.'!S222, "NA")</f>
        <v>NA</v>
      </c>
      <c r="T110" s="421" t="str">
        <f>IFERROR(('Consumption Input'!T107-'Consumption Input Diff.'!T222)/'Consumption Input Diff.'!T222, "NA")</f>
        <v>NA</v>
      </c>
      <c r="U110" s="421" t="str">
        <f>IFERROR(('Consumption Input'!U107-'Consumption Input Diff.'!U222)/'Consumption Input Diff.'!U222, "NA")</f>
        <v>NA</v>
      </c>
      <c r="V110" s="421" t="str">
        <f>IFERROR(('Consumption Input'!V107-'Consumption Input Diff.'!V222)/'Consumption Input Diff.'!V222, "NA")</f>
        <v>NA</v>
      </c>
      <c r="W110" s="421" t="str">
        <f>IFERROR(('Consumption Input'!W107-'Consumption Input Diff.'!W222)/'Consumption Input Diff.'!W222, "NA")</f>
        <v>NA</v>
      </c>
      <c r="X110" s="421" t="str">
        <f>IFERROR(('Consumption Input'!X107-'Consumption Input Diff.'!X222)/'Consumption Input Diff.'!X222, "NA")</f>
        <v>NA</v>
      </c>
      <c r="Y110" s="421" t="str">
        <f>IFERROR(('Consumption Input'!Y107-'Consumption Input Diff.'!Y222)/'Consumption Input Diff.'!Y222, "NA")</f>
        <v>NA</v>
      </c>
      <c r="Z110" s="421" t="str">
        <f>IFERROR(('Consumption Input'!Z107-'Consumption Input Diff.'!Z222)/'Consumption Input Diff.'!Z222, "NA")</f>
        <v>NA</v>
      </c>
      <c r="AA110" s="421" t="str">
        <f>IFERROR(('Consumption Input'!AA107-'Consumption Input Diff.'!AA222)/'Consumption Input Diff.'!AA222, "NA")</f>
        <v>NA</v>
      </c>
      <c r="AB110" s="421" t="str">
        <f>IFERROR(('Consumption Input'!AB107-'Consumption Input Diff.'!AB222)/'Consumption Input Diff.'!AB222, "NA")</f>
        <v>NA</v>
      </c>
      <c r="AC110" s="421" t="str">
        <f>IFERROR(('Consumption Input'!AC107-'Consumption Input Diff.'!AC222)/'Consumption Input Diff.'!AC222, "NA")</f>
        <v>NA</v>
      </c>
      <c r="AD110" s="421" t="str">
        <f>IFERROR(('Consumption Input'!AD107-'Consumption Input Diff.'!AD222)/'Consumption Input Diff.'!AD222, "NA")</f>
        <v>NA</v>
      </c>
      <c r="AE110" s="421" t="str">
        <f>IFERROR(('Consumption Input'!AE107-'Consumption Input Diff.'!AE222)/'Consumption Input Diff.'!AE222, "NA")</f>
        <v>NA</v>
      </c>
      <c r="AF110" s="421" t="str">
        <f>IFERROR(('Consumption Input'!AF107-'Consumption Input Diff.'!AF222)/'Consumption Input Diff.'!AF222, "NA")</f>
        <v>NA</v>
      </c>
      <c r="AG110" s="421" t="str">
        <f>IFERROR(('Consumption Input'!AG107-'Consumption Input Diff.'!AG222)/'Consumption Input Diff.'!AG222, "NA")</f>
        <v>NA</v>
      </c>
      <c r="AH110" s="421" t="str">
        <f>IFERROR(('Consumption Input'!AH107-'Consumption Input Diff.'!AH222)/'Consumption Input Diff.'!AH222, "NA")</f>
        <v>NA</v>
      </c>
      <c r="AI110" s="421" t="str">
        <f>IFERROR(('Consumption Input'!AI107-'Consumption Input Diff.'!AI222)/'Consumption Input Diff.'!AI222, "NA")</f>
        <v>NA</v>
      </c>
      <c r="AJ110" s="421" t="str">
        <f>IFERROR(('Consumption Input'!AJ107-'Consumption Input Diff.'!AJ222)/'Consumption Input Diff.'!AJ222, "NA")</f>
        <v>NA</v>
      </c>
      <c r="AK110" s="5">
        <f>'Consumption Input'!V107-V222</f>
        <v>0</v>
      </c>
      <c r="AL110" s="5">
        <f>'Consumption Input'!W107-W222</f>
        <v>0</v>
      </c>
      <c r="AM110" s="5">
        <f>'Consumption Input'!X107-X222</f>
        <v>0</v>
      </c>
      <c r="AN110" s="5">
        <f>'Consumption Input'!Y107-Y222</f>
        <v>0</v>
      </c>
      <c r="AO110" s="5">
        <f>'Consumption Input'!Z107-Z222</f>
        <v>0</v>
      </c>
      <c r="AP110" s="5">
        <f>'Consumption Input'!AA107-AA222</f>
        <v>0</v>
      </c>
      <c r="AQ110" s="5">
        <f>'Consumption Input'!AB107-AB222</f>
        <v>0</v>
      </c>
      <c r="AR110" s="5">
        <f>'Consumption Input'!AC107-AC222</f>
        <v>0</v>
      </c>
      <c r="AS110" s="5">
        <f>'Consumption Input'!AD107-AD222</f>
        <v>0</v>
      </c>
      <c r="AT110" s="5">
        <f>'Consumption Input'!AE107-AE222</f>
        <v>0</v>
      </c>
      <c r="AU110" s="5">
        <f>'Consumption Input'!AF107-AF222</f>
        <v>0</v>
      </c>
      <c r="AV110" s="5">
        <f>'Consumption Input'!AG107-AG222</f>
        <v>0</v>
      </c>
      <c r="AW110" s="5">
        <f>'Consumption Input'!AH107-AH222</f>
        <v>0</v>
      </c>
      <c r="AX110" s="5">
        <f>'Consumption Input'!AI107-AI222</f>
        <v>0</v>
      </c>
      <c r="AY110" s="5">
        <f>'Consumption Input'!AJ107-AJ222</f>
        <v>0</v>
      </c>
    </row>
    <row r="111" spans="2:51" ht="13.5" thickBot="1">
      <c r="B111" s="456"/>
      <c r="D111" s="663" t="s">
        <v>1662</v>
      </c>
      <c r="E111" s="522"/>
      <c r="F111" s="522"/>
      <c r="G111" s="522"/>
      <c r="H111" s="522"/>
      <c r="I111" s="522"/>
      <c r="J111" s="522"/>
      <c r="K111" s="522"/>
      <c r="L111" s="522"/>
      <c r="M111" s="522"/>
      <c r="N111" s="522"/>
      <c r="O111" s="522"/>
      <c r="P111" s="522"/>
      <c r="Q111" s="522"/>
      <c r="R111" s="522"/>
      <c r="S111" s="522"/>
      <c r="T111" s="522"/>
      <c r="U111" s="522"/>
      <c r="V111" s="522"/>
      <c r="W111" s="522"/>
      <c r="X111" s="522"/>
      <c r="Y111" s="522"/>
      <c r="Z111" s="522"/>
      <c r="AA111" s="522"/>
      <c r="AB111" s="522"/>
      <c r="AC111" s="522"/>
      <c r="AD111" s="522"/>
      <c r="AE111" s="522"/>
      <c r="AF111" s="522"/>
      <c r="AG111" s="522"/>
      <c r="AH111" s="522"/>
      <c r="AI111" s="522"/>
      <c r="AJ111" s="522"/>
    </row>
    <row r="112" spans="2:51">
      <c r="V112" s="1"/>
      <c r="W112" s="1"/>
      <c r="X112" s="1"/>
      <c r="Y112" s="1"/>
      <c r="Z112" s="1"/>
      <c r="AA112" s="1"/>
      <c r="AB112" s="1"/>
      <c r="AC112" s="1"/>
      <c r="AD112" s="1"/>
      <c r="AE112" s="1"/>
      <c r="AF112" s="1"/>
      <c r="AG112" s="1"/>
    </row>
    <row r="113" spans="2:36">
      <c r="V113" s="1"/>
      <c r="W113" s="1"/>
      <c r="X113" s="1"/>
      <c r="Y113" s="1"/>
      <c r="Z113" s="1"/>
      <c r="AA113" s="1"/>
      <c r="AB113" s="1"/>
      <c r="AC113" s="1"/>
      <c r="AD113" s="1"/>
      <c r="AE113" s="1"/>
      <c r="AF113" s="1"/>
      <c r="AG113" s="1"/>
    </row>
    <row r="114" spans="2:36">
      <c r="V114" s="1"/>
      <c r="W114" s="1"/>
      <c r="X114" s="1"/>
      <c r="Y114" s="1"/>
      <c r="Z114" s="1"/>
      <c r="AA114" s="1"/>
      <c r="AB114" s="1"/>
      <c r="AC114" s="1"/>
      <c r="AD114" s="1"/>
      <c r="AE114" s="1"/>
      <c r="AF114" s="1"/>
      <c r="AG114" s="1"/>
    </row>
    <row r="115" spans="2:36" ht="17.45">
      <c r="B115" s="497" t="s">
        <v>2013</v>
      </c>
      <c r="V115" s="1"/>
      <c r="W115" s="1"/>
      <c r="X115" s="1"/>
      <c r="Y115" s="1"/>
      <c r="Z115" s="1"/>
      <c r="AA115" s="1"/>
      <c r="AB115" s="1"/>
      <c r="AC115" s="1"/>
      <c r="AD115" s="1"/>
      <c r="AE115" s="1"/>
      <c r="AF115" s="1"/>
      <c r="AG115" s="1"/>
    </row>
    <row r="116" spans="2:36">
      <c r="B116" s="456">
        <v>1</v>
      </c>
      <c r="C116" s="457" t="s">
        <v>1596</v>
      </c>
      <c r="D116" s="4"/>
      <c r="E116" s="23">
        <v>1990</v>
      </c>
      <c r="F116" s="23">
        <v>1991</v>
      </c>
      <c r="G116" s="23">
        <v>1992</v>
      </c>
      <c r="H116" s="23">
        <v>1993</v>
      </c>
      <c r="I116" s="454">
        <v>1994</v>
      </c>
      <c r="J116" s="454">
        <v>1995</v>
      </c>
      <c r="K116" s="454">
        <v>1996</v>
      </c>
      <c r="L116" s="454">
        <v>1997</v>
      </c>
      <c r="M116" s="454">
        <v>1998</v>
      </c>
      <c r="N116" s="454">
        <v>1999</v>
      </c>
      <c r="O116" s="454">
        <v>2000</v>
      </c>
      <c r="P116" s="454">
        <v>2001</v>
      </c>
      <c r="Q116" s="454">
        <v>2002</v>
      </c>
      <c r="R116" s="454">
        <v>2003</v>
      </c>
      <c r="S116" s="454">
        <v>2004</v>
      </c>
      <c r="T116" s="454">
        <v>2005</v>
      </c>
      <c r="U116" s="454">
        <v>2006</v>
      </c>
      <c r="V116" s="454">
        <v>2007</v>
      </c>
      <c r="W116" s="454">
        <v>2008</v>
      </c>
      <c r="X116" s="454">
        <v>2009</v>
      </c>
      <c r="Y116" s="454">
        <v>2010</v>
      </c>
      <c r="Z116" s="454">
        <v>2011</v>
      </c>
      <c r="AA116" s="454">
        <v>2012</v>
      </c>
      <c r="AB116" s="454">
        <v>2013</v>
      </c>
      <c r="AC116" s="454">
        <v>2014</v>
      </c>
      <c r="AD116" s="454">
        <v>2015</v>
      </c>
      <c r="AE116" s="454">
        <v>2016</v>
      </c>
      <c r="AF116" s="454">
        <v>2017</v>
      </c>
      <c r="AG116" s="454">
        <v>2018</v>
      </c>
      <c r="AH116" s="454">
        <v>2019</v>
      </c>
      <c r="AI116" s="454">
        <v>2020</v>
      </c>
      <c r="AJ116" s="454">
        <v>2021</v>
      </c>
    </row>
    <row r="117" spans="2:36">
      <c r="B117" s="456">
        <v>2</v>
      </c>
      <c r="C117" s="458" t="s">
        <v>1434</v>
      </c>
      <c r="D117" s="4"/>
      <c r="E117" s="727">
        <v>5893.3346223037925</v>
      </c>
      <c r="F117" s="727">
        <v>6074.530375125848</v>
      </c>
      <c r="G117" s="727">
        <v>6196.4747554111</v>
      </c>
      <c r="H117" s="727">
        <v>6433.0801894129536</v>
      </c>
      <c r="I117" s="727">
        <v>6284.3908983075471</v>
      </c>
      <c r="J117" s="727">
        <v>6230.9598462298691</v>
      </c>
      <c r="K117" s="727">
        <v>6765.9843143339212</v>
      </c>
      <c r="L117" s="727">
        <v>6440.9106764874477</v>
      </c>
      <c r="M117" s="727">
        <v>5863.1331920888251</v>
      </c>
      <c r="N117" s="727">
        <v>6189.1113020619541</v>
      </c>
      <c r="O117" s="727">
        <v>6541.3833736270035</v>
      </c>
      <c r="P117" s="727">
        <v>6361.9208175678841</v>
      </c>
      <c r="Q117" s="727">
        <v>6364.0183829159378</v>
      </c>
      <c r="R117" s="727">
        <v>6685.4611013876074</v>
      </c>
      <c r="S117" s="727">
        <v>6463.8832256173373</v>
      </c>
      <c r="T117" s="727">
        <v>6321.2127122039037</v>
      </c>
      <c r="U117" s="727">
        <v>5677.8256659016733</v>
      </c>
      <c r="V117" s="727">
        <v>6049.6992629315555</v>
      </c>
      <c r="W117" s="727">
        <v>6202.5517557032708</v>
      </c>
      <c r="X117" s="727">
        <v>6009.9947774082329</v>
      </c>
      <c r="Y117" s="727">
        <v>5981.4043095684319</v>
      </c>
      <c r="Z117" s="727">
        <v>5838.4823349326225</v>
      </c>
      <c r="AA117" s="727">
        <v>5074.7345985399934</v>
      </c>
      <c r="AB117" s="727">
        <v>5939.8048728677331</v>
      </c>
      <c r="AC117" s="727">
        <v>6245.7349783567688</v>
      </c>
      <c r="AD117" s="727">
        <v>5715.9009443173991</v>
      </c>
      <c r="AE117" s="727">
        <v>5305.0931437679719</v>
      </c>
      <c r="AF117" s="727">
        <v>5329.621376022802</v>
      </c>
      <c r="AG117" s="727">
        <v>6120.1386884550357</v>
      </c>
      <c r="AH117" s="727">
        <v>6183.0602619151005</v>
      </c>
      <c r="AI117" s="727">
        <v>5687.4097041242885</v>
      </c>
      <c r="AJ117" s="727">
        <v>5702.0687214738673</v>
      </c>
    </row>
    <row r="118" spans="2:36">
      <c r="B118" s="456">
        <v>3</v>
      </c>
      <c r="D118" s="45" t="s">
        <v>1435</v>
      </c>
      <c r="E118" s="728">
        <v>31.113999999999997</v>
      </c>
      <c r="F118" s="728">
        <v>25.354999999999997</v>
      </c>
      <c r="G118" s="728">
        <v>25.588999999999995</v>
      </c>
      <c r="H118" s="728">
        <v>25.748999999999999</v>
      </c>
      <c r="I118" s="728">
        <v>20.844999999999999</v>
      </c>
      <c r="J118" s="728">
        <v>17.451000000000001</v>
      </c>
      <c r="K118" s="728">
        <v>16.583999999999996</v>
      </c>
      <c r="L118" s="728">
        <v>15.991999999999999</v>
      </c>
      <c r="M118" s="728">
        <v>11.547999999999998</v>
      </c>
      <c r="N118" s="728">
        <v>13.981</v>
      </c>
      <c r="O118" s="728">
        <v>11.358000000000001</v>
      </c>
      <c r="P118" s="728">
        <v>11.971</v>
      </c>
      <c r="Q118" s="728">
        <v>12.247999999999998</v>
      </c>
      <c r="R118" s="728">
        <v>12.246999999999998</v>
      </c>
      <c r="S118" s="728">
        <v>11.433999999999999</v>
      </c>
      <c r="T118" s="728">
        <v>8.4350000000000005</v>
      </c>
      <c r="U118" s="728">
        <v>6.4080000000000004</v>
      </c>
      <c r="V118" s="728">
        <v>7.782</v>
      </c>
      <c r="W118" s="728">
        <v>0</v>
      </c>
      <c r="X118" s="728">
        <v>0</v>
      </c>
      <c r="Y118" s="728">
        <v>0</v>
      </c>
      <c r="Z118" s="728">
        <v>0</v>
      </c>
      <c r="AA118" s="728">
        <v>0</v>
      </c>
      <c r="AB118" s="728">
        <v>0</v>
      </c>
      <c r="AC118" s="728">
        <v>0</v>
      </c>
      <c r="AD118" s="728">
        <v>0</v>
      </c>
      <c r="AE118" s="728">
        <v>0</v>
      </c>
      <c r="AF118" s="728">
        <v>0</v>
      </c>
      <c r="AG118" s="728">
        <v>0</v>
      </c>
      <c r="AH118" s="728">
        <v>0</v>
      </c>
      <c r="AI118" s="728">
        <v>0</v>
      </c>
      <c r="AJ118" s="728">
        <v>0</v>
      </c>
    </row>
    <row r="119" spans="2:36">
      <c r="B119" s="456">
        <v>4</v>
      </c>
      <c r="D119" s="45" t="s">
        <v>1439</v>
      </c>
      <c r="E119" s="728">
        <v>4486.5529999999999</v>
      </c>
      <c r="F119" s="728">
        <v>4667.223</v>
      </c>
      <c r="G119" s="728">
        <v>4804.5809999999992</v>
      </c>
      <c r="H119" s="728">
        <v>5058.3729999999996</v>
      </c>
      <c r="I119" s="728">
        <v>4959.84</v>
      </c>
      <c r="J119" s="728">
        <v>4954.1890000000003</v>
      </c>
      <c r="K119" s="728">
        <v>5354.3890000000001</v>
      </c>
      <c r="L119" s="728">
        <v>5092.9189999999999</v>
      </c>
      <c r="M119" s="728">
        <v>4646.0870000000004</v>
      </c>
      <c r="N119" s="728">
        <v>4834.8990000000003</v>
      </c>
      <c r="O119" s="728">
        <v>5104.5929999999989</v>
      </c>
      <c r="P119" s="728">
        <v>4889.018</v>
      </c>
      <c r="Q119" s="728">
        <v>4994.9939999999988</v>
      </c>
      <c r="R119" s="728">
        <v>5209.4279999999999</v>
      </c>
      <c r="S119" s="728">
        <v>4980.8310000000001</v>
      </c>
      <c r="T119" s="728">
        <v>4946.3540000000003</v>
      </c>
      <c r="U119" s="728">
        <v>4475.9129999999996</v>
      </c>
      <c r="V119" s="728">
        <v>4835.4399999999996</v>
      </c>
      <c r="W119" s="728">
        <v>5010.0609999999997</v>
      </c>
      <c r="X119" s="728">
        <v>4883.1119999999992</v>
      </c>
      <c r="Y119" s="728">
        <v>4878.1109999999999</v>
      </c>
      <c r="Z119" s="728">
        <v>4804.5789999999997</v>
      </c>
      <c r="AA119" s="728">
        <v>4242.0940000000001</v>
      </c>
      <c r="AB119" s="728">
        <v>5022.9419999999991</v>
      </c>
      <c r="AC119" s="728">
        <v>5242.4830000000002</v>
      </c>
      <c r="AD119" s="728">
        <v>4776.9269999999997</v>
      </c>
      <c r="AE119" s="728">
        <v>4505.8440000000001</v>
      </c>
      <c r="AF119" s="728">
        <v>4563.4719999999998</v>
      </c>
      <c r="AG119" s="728">
        <v>5174.3940000000002</v>
      </c>
      <c r="AH119" s="728">
        <v>5208.0320000000002</v>
      </c>
      <c r="AI119" s="728">
        <v>4845.6689999999999</v>
      </c>
      <c r="AJ119" s="728">
        <v>4888.3890000000001</v>
      </c>
    </row>
    <row r="120" spans="2:36">
      <c r="B120" s="456">
        <v>5</v>
      </c>
      <c r="D120" s="45" t="s">
        <v>1598</v>
      </c>
      <c r="E120" s="728">
        <v>959.16162230379325</v>
      </c>
      <c r="F120" s="728">
        <v>930.97437512584872</v>
      </c>
      <c r="G120" s="728">
        <v>931.40975541110095</v>
      </c>
      <c r="H120" s="728">
        <v>883.26418941295469</v>
      </c>
      <c r="I120" s="728">
        <v>854.60689830754677</v>
      </c>
      <c r="J120" s="728">
        <v>789.70184622986881</v>
      </c>
      <c r="K120" s="728">
        <v>836.88531433392143</v>
      </c>
      <c r="L120" s="728">
        <v>783.72667648744778</v>
      </c>
      <c r="M120" s="728">
        <v>672.74219208882482</v>
      </c>
      <c r="N120" s="728">
        <v>702.39830206195472</v>
      </c>
      <c r="O120" s="728">
        <v>775.24537362700482</v>
      </c>
      <c r="P120" s="728">
        <v>839.4798175678842</v>
      </c>
      <c r="Q120" s="728">
        <v>758.9913829159392</v>
      </c>
      <c r="R120" s="728">
        <v>848.29510138760679</v>
      </c>
      <c r="S120" s="728">
        <v>874.44622561733672</v>
      </c>
      <c r="T120" s="728">
        <v>769.09971220390366</v>
      </c>
      <c r="U120" s="728">
        <v>683.04866590167433</v>
      </c>
      <c r="V120" s="728">
        <v>678.27826293155636</v>
      </c>
      <c r="W120" s="728">
        <v>617.78375570327125</v>
      </c>
      <c r="X120" s="728">
        <v>551.40877740823362</v>
      </c>
      <c r="Y120" s="728">
        <v>544.35430956843277</v>
      </c>
      <c r="Z120" s="728">
        <v>522.76533493262275</v>
      </c>
      <c r="AA120" s="728">
        <v>429.34759853999361</v>
      </c>
      <c r="AB120" s="728">
        <v>445.12987286773392</v>
      </c>
      <c r="AC120" s="728">
        <v>499.98197835676922</v>
      </c>
      <c r="AD120" s="728">
        <v>483.14794431739955</v>
      </c>
      <c r="AE120" s="728">
        <v>355.71114376797266</v>
      </c>
      <c r="AF120" s="728">
        <v>327.03637602280179</v>
      </c>
      <c r="AG120" s="728">
        <v>430.95668845503508</v>
      </c>
      <c r="AH120" s="728">
        <v>400.86926191510105</v>
      </c>
      <c r="AI120" s="728">
        <v>335.97070412428781</v>
      </c>
      <c r="AJ120" s="728">
        <v>308.52672147386738</v>
      </c>
    </row>
    <row r="121" spans="2:36">
      <c r="B121" s="456">
        <v>6</v>
      </c>
      <c r="D121" s="45" t="s">
        <v>1599</v>
      </c>
      <c r="E121" s="728">
        <v>63.908999999999992</v>
      </c>
      <c r="F121" s="728">
        <v>72.34</v>
      </c>
      <c r="G121" s="728">
        <v>65.004000000000005</v>
      </c>
      <c r="H121" s="728">
        <v>75.614000000000004</v>
      </c>
      <c r="I121" s="728">
        <v>64.923000000000002</v>
      </c>
      <c r="J121" s="728">
        <v>74.295000000000002</v>
      </c>
      <c r="K121" s="728">
        <v>88.781000000000006</v>
      </c>
      <c r="L121" s="728">
        <v>92.882999999999996</v>
      </c>
      <c r="M121" s="728">
        <v>108.31699999999999</v>
      </c>
      <c r="N121" s="728">
        <v>111.164</v>
      </c>
      <c r="O121" s="728">
        <v>94.572000000000003</v>
      </c>
      <c r="P121" s="728">
        <v>95.084999999999994</v>
      </c>
      <c r="Q121" s="728">
        <v>59.936999999999998</v>
      </c>
      <c r="R121" s="728">
        <v>70.301000000000002</v>
      </c>
      <c r="S121" s="728">
        <v>84.759</v>
      </c>
      <c r="T121" s="728">
        <v>83.804000000000002</v>
      </c>
      <c r="U121" s="728">
        <v>66.350999999999985</v>
      </c>
      <c r="V121" s="728">
        <v>43.917999999999999</v>
      </c>
      <c r="W121" s="728">
        <v>21.263000000000002</v>
      </c>
      <c r="X121" s="728">
        <v>27.693000000000001</v>
      </c>
      <c r="Y121" s="728">
        <v>29.104999999999997</v>
      </c>
      <c r="Z121" s="728">
        <v>18.526</v>
      </c>
      <c r="AA121" s="728">
        <v>7.7370000000000001</v>
      </c>
      <c r="AB121" s="728">
        <v>8.26</v>
      </c>
      <c r="AC121" s="728">
        <v>13.747999999999999</v>
      </c>
      <c r="AD121" s="728">
        <v>10.117000000000001</v>
      </c>
      <c r="AE121" s="728">
        <v>13.65</v>
      </c>
      <c r="AF121" s="728">
        <v>8.4120000000000008</v>
      </c>
      <c r="AG121" s="728">
        <v>8.2409999999999997</v>
      </c>
      <c r="AH121" s="728">
        <v>10.754</v>
      </c>
      <c r="AI121" s="728">
        <v>10.836</v>
      </c>
      <c r="AJ121" s="728">
        <v>8.5699999999999985</v>
      </c>
    </row>
    <row r="122" spans="2:36">
      <c r="B122" s="456">
        <v>7</v>
      </c>
      <c r="D122" s="45" t="s">
        <v>1600</v>
      </c>
      <c r="E122" s="729">
        <v>352.59699999999998</v>
      </c>
      <c r="F122" s="729">
        <v>378.63799999999998</v>
      </c>
      <c r="G122" s="729">
        <v>369.89100000000002</v>
      </c>
      <c r="H122" s="729">
        <v>390.08</v>
      </c>
      <c r="I122" s="729">
        <v>384.17599999999993</v>
      </c>
      <c r="J122" s="729">
        <v>395.32299999999998</v>
      </c>
      <c r="K122" s="729">
        <v>469.34500000000003</v>
      </c>
      <c r="L122" s="729">
        <v>455.38999999999993</v>
      </c>
      <c r="M122" s="729">
        <v>424.43900000000002</v>
      </c>
      <c r="N122" s="729">
        <v>526.66899999999998</v>
      </c>
      <c r="O122" s="729">
        <v>555.61500000000001</v>
      </c>
      <c r="P122" s="729">
        <v>526.36699999999996</v>
      </c>
      <c r="Q122" s="729">
        <v>537.84799999999996</v>
      </c>
      <c r="R122" s="729">
        <v>545.19000000000005</v>
      </c>
      <c r="S122" s="729">
        <v>512.41300000000001</v>
      </c>
      <c r="T122" s="729">
        <v>513.52</v>
      </c>
      <c r="U122" s="729">
        <v>446.10500000000002</v>
      </c>
      <c r="V122" s="729">
        <v>484.28100000000001</v>
      </c>
      <c r="W122" s="729">
        <v>553.44399999999996</v>
      </c>
      <c r="X122" s="729">
        <v>547.78099999999995</v>
      </c>
      <c r="Y122" s="729">
        <v>529.83399999999995</v>
      </c>
      <c r="Z122" s="729">
        <v>492.61200000000002</v>
      </c>
      <c r="AA122" s="729">
        <v>395.55599999999998</v>
      </c>
      <c r="AB122" s="729">
        <v>463.47300000000001</v>
      </c>
      <c r="AC122" s="729">
        <v>489.52199999999999</v>
      </c>
      <c r="AD122" s="729">
        <v>445.709</v>
      </c>
      <c r="AE122" s="729">
        <v>429.88799999999998</v>
      </c>
      <c r="AF122" s="729">
        <v>430.70099999999996</v>
      </c>
      <c r="AG122" s="729">
        <v>506.54700000000008</v>
      </c>
      <c r="AH122" s="729">
        <v>563.40499999999997</v>
      </c>
      <c r="AI122" s="729">
        <v>494.93400000000003</v>
      </c>
      <c r="AJ122" s="729">
        <v>496.58300000000003</v>
      </c>
    </row>
    <row r="123" spans="2:36">
      <c r="B123" s="456">
        <v>8</v>
      </c>
      <c r="C123" s="458" t="s">
        <v>1441</v>
      </c>
      <c r="D123" s="4"/>
      <c r="E123" s="727">
        <v>3826.5305033072682</v>
      </c>
      <c r="F123" s="727">
        <v>3922.4479438924127</v>
      </c>
      <c r="G123" s="727">
        <v>3878.0989913285539</v>
      </c>
      <c r="H123" s="727">
        <v>3822.0428640770542</v>
      </c>
      <c r="I123" s="727">
        <v>3857.1844676723431</v>
      </c>
      <c r="J123" s="727">
        <v>3936.8559095338287</v>
      </c>
      <c r="K123" s="727">
        <v>4107.4791342902354</v>
      </c>
      <c r="L123" s="727">
        <v>4127.045970744115</v>
      </c>
      <c r="M123" s="727">
        <v>3842.49904747972</v>
      </c>
      <c r="N123" s="727">
        <v>3857.9612691942052</v>
      </c>
      <c r="O123" s="727">
        <v>4110.1695111509571</v>
      </c>
      <c r="P123" s="727">
        <v>3956.2892981178366</v>
      </c>
      <c r="Q123" s="727">
        <v>3997.1597471370542</v>
      </c>
      <c r="R123" s="727">
        <v>4166.3466678033128</v>
      </c>
      <c r="S123" s="727">
        <v>4112.6457631588755</v>
      </c>
      <c r="T123" s="727">
        <v>3930.9463692419449</v>
      </c>
      <c r="U123" s="727">
        <v>3684.4693305515289</v>
      </c>
      <c r="V123" s="727">
        <v>3890.2750170964523</v>
      </c>
      <c r="W123" s="727">
        <v>3994.5522625331714</v>
      </c>
      <c r="X123" s="727">
        <v>3987.6031183102473</v>
      </c>
      <c r="Y123" s="727">
        <v>3932.2065513341677</v>
      </c>
      <c r="Z123" s="727">
        <v>3947.9016428321897</v>
      </c>
      <c r="AA123" s="727">
        <v>3553.8060225485397</v>
      </c>
      <c r="AB123" s="727">
        <v>4001.8358111369439</v>
      </c>
      <c r="AC123" s="727">
        <v>4170.2571765433158</v>
      </c>
      <c r="AD123" s="727">
        <v>4284.6570637483765</v>
      </c>
      <c r="AE123" s="727">
        <v>4081.7605007528646</v>
      </c>
      <c r="AF123" s="727">
        <v>4102.4414438714566</v>
      </c>
      <c r="AG123" s="727">
        <v>4391.6224951641643</v>
      </c>
      <c r="AH123" s="727">
        <v>4465.2720630346048</v>
      </c>
      <c r="AI123" s="727">
        <v>4064.5090163638815</v>
      </c>
      <c r="AJ123" s="727">
        <v>4163.2481505211499</v>
      </c>
    </row>
    <row r="124" spans="2:36">
      <c r="B124" s="456">
        <v>9</v>
      </c>
      <c r="D124" s="45" t="s">
        <v>1435</v>
      </c>
      <c r="E124" s="728">
        <v>124.45599999999999</v>
      </c>
      <c r="F124" s="728">
        <v>115.505</v>
      </c>
      <c r="G124" s="728">
        <v>116.57</v>
      </c>
      <c r="H124" s="728">
        <v>117.30200000000001</v>
      </c>
      <c r="I124" s="728">
        <v>118.119</v>
      </c>
      <c r="J124" s="728">
        <v>116.788</v>
      </c>
      <c r="K124" s="728">
        <v>121.613</v>
      </c>
      <c r="L124" s="728">
        <v>129.39099999999996</v>
      </c>
      <c r="M124" s="728">
        <v>93.436000000000007</v>
      </c>
      <c r="N124" s="728">
        <v>102.524</v>
      </c>
      <c r="O124" s="728">
        <v>91.894999999999982</v>
      </c>
      <c r="P124" s="728">
        <v>96.858000000000004</v>
      </c>
      <c r="Q124" s="728">
        <v>89.82</v>
      </c>
      <c r="R124" s="728">
        <v>81.962999999999994</v>
      </c>
      <c r="S124" s="728">
        <v>102.904</v>
      </c>
      <c r="T124" s="728">
        <v>96.998999999999995</v>
      </c>
      <c r="U124" s="728">
        <v>64.789000000000001</v>
      </c>
      <c r="V124" s="728">
        <v>70.034999999999997</v>
      </c>
      <c r="W124" s="728">
        <v>80.757000000000005</v>
      </c>
      <c r="X124" s="728">
        <v>73.35299999999998</v>
      </c>
      <c r="Y124" s="728">
        <v>69.653999999999996</v>
      </c>
      <c r="Z124" s="728">
        <v>61.715000000000003</v>
      </c>
      <c r="AA124" s="728">
        <v>43.552</v>
      </c>
      <c r="AB124" s="728">
        <v>41.427999999999997</v>
      </c>
      <c r="AC124" s="728">
        <v>40.204000000000001</v>
      </c>
      <c r="AD124" s="728">
        <v>31.119</v>
      </c>
      <c r="AE124" s="728">
        <v>23.745999999999999</v>
      </c>
      <c r="AF124" s="728">
        <v>20.657</v>
      </c>
      <c r="AG124" s="728">
        <v>18.721</v>
      </c>
      <c r="AH124" s="728">
        <v>16.716000000000001</v>
      </c>
      <c r="AI124" s="728">
        <v>14.512</v>
      </c>
      <c r="AJ124" s="728">
        <v>14.914999999999999</v>
      </c>
    </row>
    <row r="125" spans="2:36">
      <c r="B125" s="456">
        <v>10</v>
      </c>
      <c r="D125" s="45" t="s">
        <v>1439</v>
      </c>
      <c r="E125" s="728">
        <v>2679.5970000000002</v>
      </c>
      <c r="F125" s="728">
        <v>2795.4009999999998</v>
      </c>
      <c r="G125" s="728">
        <v>2871.1860000000001</v>
      </c>
      <c r="H125" s="728">
        <v>2920.4160000000002</v>
      </c>
      <c r="I125" s="728">
        <v>2961.9810000000002</v>
      </c>
      <c r="J125" s="728">
        <v>3095.989</v>
      </c>
      <c r="K125" s="728">
        <v>3226.317</v>
      </c>
      <c r="L125" s="728">
        <v>3285.32</v>
      </c>
      <c r="M125" s="728">
        <v>3082.9749999999999</v>
      </c>
      <c r="N125" s="728">
        <v>3115.0309999999999</v>
      </c>
      <c r="O125" s="728">
        <v>3251.5259999999998</v>
      </c>
      <c r="P125" s="728">
        <v>3097.2620000000002</v>
      </c>
      <c r="Q125" s="728">
        <v>3212.4560000000001</v>
      </c>
      <c r="R125" s="728">
        <v>3260.9160000000002</v>
      </c>
      <c r="S125" s="728">
        <v>3200.9720000000002</v>
      </c>
      <c r="T125" s="728">
        <v>3073.2159999999999</v>
      </c>
      <c r="U125" s="728">
        <v>2901.6869999999999</v>
      </c>
      <c r="V125" s="728">
        <v>3085.0520000000001</v>
      </c>
      <c r="W125" s="728">
        <v>3228.4290000000001</v>
      </c>
      <c r="X125" s="728">
        <v>3186.5940000000001</v>
      </c>
      <c r="Y125" s="728">
        <v>3164.6779999999999</v>
      </c>
      <c r="Z125" s="728">
        <v>3216.1</v>
      </c>
      <c r="AA125" s="728">
        <v>2959.511</v>
      </c>
      <c r="AB125" s="728">
        <v>3379.7930000000001</v>
      </c>
      <c r="AC125" s="728">
        <v>3571.9250000000002</v>
      </c>
      <c r="AD125" s="728">
        <v>3315.5909999999999</v>
      </c>
      <c r="AE125" s="728">
        <v>3223.5169999999998</v>
      </c>
      <c r="AF125" s="728">
        <v>3272.8519999999999</v>
      </c>
      <c r="AG125" s="728">
        <v>3638.2959999999998</v>
      </c>
      <c r="AH125" s="728">
        <v>3647.2860000000001</v>
      </c>
      <c r="AI125" s="728">
        <v>3286.058</v>
      </c>
      <c r="AJ125" s="728">
        <v>3418.634</v>
      </c>
    </row>
    <row r="126" spans="2:36">
      <c r="B126" s="456">
        <v>11</v>
      </c>
      <c r="D126" s="45" t="s">
        <v>1598</v>
      </c>
      <c r="E126" s="728">
        <v>525.43999566420916</v>
      </c>
      <c r="F126" s="728">
        <v>517.70475472123883</v>
      </c>
      <c r="G126" s="728">
        <v>481.7106870891397</v>
      </c>
      <c r="H126" s="728">
        <v>447.19714989129727</v>
      </c>
      <c r="I126" s="728">
        <v>446.03928608644321</v>
      </c>
      <c r="J126" s="728">
        <v>417.98561887975018</v>
      </c>
      <c r="K126" s="728">
        <v>436.44149897665596</v>
      </c>
      <c r="L126" s="728">
        <v>397.77250711810092</v>
      </c>
      <c r="M126" s="728">
        <v>373.75041217494294</v>
      </c>
      <c r="N126" s="728">
        <v>372.04125214627527</v>
      </c>
      <c r="O126" s="728">
        <v>420.66423512859734</v>
      </c>
      <c r="P126" s="728">
        <v>469.83222308608197</v>
      </c>
      <c r="Q126" s="728">
        <v>392.00123666113984</v>
      </c>
      <c r="R126" s="728">
        <v>451.45653809227287</v>
      </c>
      <c r="S126" s="728">
        <v>445.19728206635546</v>
      </c>
      <c r="T126" s="728">
        <v>402.91828930643072</v>
      </c>
      <c r="U126" s="728">
        <v>384.87557577992158</v>
      </c>
      <c r="V126" s="728">
        <v>358.64300306112045</v>
      </c>
      <c r="W126" s="728">
        <v>316.31051650433983</v>
      </c>
      <c r="X126" s="728">
        <v>374.23363264539944</v>
      </c>
      <c r="Y126" s="728">
        <v>379.2395840848954</v>
      </c>
      <c r="Z126" s="728">
        <v>391.50017179881013</v>
      </c>
      <c r="AA126" s="728">
        <v>316.14615916759277</v>
      </c>
      <c r="AB126" s="728">
        <v>311.16565797744818</v>
      </c>
      <c r="AC126" s="728">
        <v>334.44481207684021</v>
      </c>
      <c r="AD126" s="728">
        <v>315.50184891875796</v>
      </c>
      <c r="AE126" s="728">
        <v>266.87008790446106</v>
      </c>
      <c r="AF126" s="728">
        <v>244.08127973765193</v>
      </c>
      <c r="AG126" s="728">
        <v>274.29842514226129</v>
      </c>
      <c r="AH126" s="728">
        <v>278.75390620940499</v>
      </c>
      <c r="AI126" s="728">
        <v>227.33639706196578</v>
      </c>
      <c r="AJ126" s="728">
        <v>208.7661799650418</v>
      </c>
    </row>
    <row r="127" spans="2:36">
      <c r="B127" s="456">
        <v>12</v>
      </c>
      <c r="D127" s="45" t="s">
        <v>1599</v>
      </c>
      <c r="E127" s="728">
        <v>11.834999999999999</v>
      </c>
      <c r="F127" s="728">
        <v>12.087999999999999</v>
      </c>
      <c r="G127" s="728">
        <v>11.124000000000001</v>
      </c>
      <c r="H127" s="728">
        <v>14.039</v>
      </c>
      <c r="I127" s="728">
        <v>19.459</v>
      </c>
      <c r="J127" s="728">
        <v>22.102</v>
      </c>
      <c r="K127" s="728">
        <v>21.031999999999996</v>
      </c>
      <c r="L127" s="728">
        <v>24.645</v>
      </c>
      <c r="M127" s="728">
        <v>31.149999999999995</v>
      </c>
      <c r="N127" s="728">
        <v>26.943000000000001</v>
      </c>
      <c r="O127" s="728">
        <v>29.65</v>
      </c>
      <c r="P127" s="728">
        <v>31.402999999999999</v>
      </c>
      <c r="Q127" s="728">
        <v>15.949000000000002</v>
      </c>
      <c r="R127" s="728">
        <v>18.635000000000002</v>
      </c>
      <c r="S127" s="728">
        <v>20.493999999999996</v>
      </c>
      <c r="T127" s="728">
        <v>21.593</v>
      </c>
      <c r="U127" s="728">
        <v>15.172000000000001</v>
      </c>
      <c r="V127" s="728">
        <v>9.1750000000000007</v>
      </c>
      <c r="W127" s="728">
        <v>4.4359999999999999</v>
      </c>
      <c r="X127" s="728">
        <v>4.2240000000000002</v>
      </c>
      <c r="Y127" s="728">
        <v>4.8220000000000001</v>
      </c>
      <c r="Z127" s="728">
        <v>3.1919999999999997</v>
      </c>
      <c r="AA127" s="728">
        <v>1.2030000000000001</v>
      </c>
      <c r="AB127" s="728">
        <v>1.018</v>
      </c>
      <c r="AC127" s="728">
        <v>2.04</v>
      </c>
      <c r="AD127" s="728">
        <v>1.371</v>
      </c>
      <c r="AE127" s="728">
        <v>2.077</v>
      </c>
      <c r="AF127" s="728">
        <v>1.1879999999999999</v>
      </c>
      <c r="AG127" s="728">
        <v>1.3369999999999997</v>
      </c>
      <c r="AH127" s="728">
        <v>1.839</v>
      </c>
      <c r="AI127" s="728">
        <v>1.6930000000000001</v>
      </c>
      <c r="AJ127" s="728">
        <v>1.339</v>
      </c>
    </row>
    <row r="128" spans="2:36">
      <c r="B128" s="456">
        <v>13</v>
      </c>
      <c r="D128" s="45" t="s">
        <v>1600</v>
      </c>
      <c r="E128" s="728">
        <v>102.4</v>
      </c>
      <c r="F128" s="728">
        <v>108.37</v>
      </c>
      <c r="G128" s="728">
        <v>107.04600000000001</v>
      </c>
      <c r="H128" s="728">
        <v>109.389</v>
      </c>
      <c r="I128" s="728">
        <v>107.40300000000001</v>
      </c>
      <c r="J128" s="728">
        <v>108.873</v>
      </c>
      <c r="K128" s="728">
        <v>122.553</v>
      </c>
      <c r="L128" s="728">
        <v>120.39700000000001</v>
      </c>
      <c r="M128" s="728">
        <v>117.72299999999998</v>
      </c>
      <c r="N128" s="728">
        <v>140.345</v>
      </c>
      <c r="O128" s="728">
        <v>150.58799999999999</v>
      </c>
      <c r="P128" s="728">
        <v>142.863</v>
      </c>
      <c r="Q128" s="728">
        <v>140.98099999999999</v>
      </c>
      <c r="R128" s="728">
        <v>157.05799999999999</v>
      </c>
      <c r="S128" s="728">
        <v>152.16800000000001</v>
      </c>
      <c r="T128" s="728">
        <v>131.55600000000001</v>
      </c>
      <c r="U128" s="728">
        <v>123.33099999999999</v>
      </c>
      <c r="V128" s="728">
        <v>121.57299999999998</v>
      </c>
      <c r="W128" s="728">
        <v>158.18100000000001</v>
      </c>
      <c r="X128" s="728">
        <v>139.03299999999999</v>
      </c>
      <c r="Y128" s="728">
        <v>140.011</v>
      </c>
      <c r="Z128" s="728">
        <v>142.50899999999999</v>
      </c>
      <c r="AA128" s="728">
        <v>135.52500000000001</v>
      </c>
      <c r="AB128" s="728">
        <v>151.61699999999999</v>
      </c>
      <c r="AC128" s="728">
        <v>160.47300000000001</v>
      </c>
      <c r="AD128" s="728">
        <v>148.02799999999999</v>
      </c>
      <c r="AE128" s="728">
        <v>150.012</v>
      </c>
      <c r="AF128" s="728">
        <v>155.673</v>
      </c>
      <c r="AG128" s="728">
        <v>175.96600000000001</v>
      </c>
      <c r="AH128" s="728">
        <v>182.02799999999999</v>
      </c>
      <c r="AI128" s="728">
        <v>201.04499999999996</v>
      </c>
      <c r="AJ128" s="728">
        <v>201.667</v>
      </c>
    </row>
    <row r="129" spans="2:36">
      <c r="B129" s="456">
        <v>14</v>
      </c>
      <c r="D129" s="45" t="s">
        <v>1601</v>
      </c>
      <c r="E129" s="728">
        <v>152.96050764305841</v>
      </c>
      <c r="F129" s="728">
        <v>161.45118917117387</v>
      </c>
      <c r="G129" s="728">
        <v>101.30830423941403</v>
      </c>
      <c r="H129" s="728">
        <v>40.827714185755994</v>
      </c>
      <c r="I129" s="728">
        <v>32.102181585899856</v>
      </c>
      <c r="J129" s="728">
        <v>33.511290654078138</v>
      </c>
      <c r="K129" s="728">
        <v>42.21763531357977</v>
      </c>
      <c r="L129" s="728">
        <v>58.145463626014312</v>
      </c>
      <c r="M129" s="728">
        <v>58.129635304776826</v>
      </c>
      <c r="N129" s="728">
        <v>27.655017047930102</v>
      </c>
      <c r="O129" s="728">
        <v>74.094276022359935</v>
      </c>
      <c r="P129" s="728">
        <v>48.024075031754613</v>
      </c>
      <c r="Q129" s="728">
        <v>65.907510475913895</v>
      </c>
      <c r="R129" s="728">
        <v>84.871129711039018</v>
      </c>
      <c r="S129" s="728">
        <v>68.15548109252012</v>
      </c>
      <c r="T129" s="728">
        <v>88.571079935514064</v>
      </c>
      <c r="U129" s="728">
        <v>119.07375477160654</v>
      </c>
      <c r="V129" s="728">
        <v>170.05901403533215</v>
      </c>
      <c r="W129" s="728">
        <v>135.13574602883136</v>
      </c>
      <c r="X129" s="728">
        <v>138.63648566484724</v>
      </c>
      <c r="Y129" s="728">
        <v>111.76596724927209</v>
      </c>
      <c r="Z129" s="728">
        <v>78.957471033379463</v>
      </c>
      <c r="AA129" s="728">
        <v>66.110863380946256</v>
      </c>
      <c r="AB129" s="728">
        <v>92.061153159495916</v>
      </c>
      <c r="AC129" s="728">
        <v>52.706364466475023</v>
      </c>
      <c r="AD129" s="728">
        <v>468.55321482961898</v>
      </c>
      <c r="AE129" s="728">
        <v>410.80241284840372</v>
      </c>
      <c r="AF129" s="728">
        <v>403.66216413380448</v>
      </c>
      <c r="AG129" s="728">
        <v>279.54407002190311</v>
      </c>
      <c r="AH129" s="728">
        <v>336.10215682519936</v>
      </c>
      <c r="AI129" s="728">
        <v>331.41461930191497</v>
      </c>
      <c r="AJ129" s="728">
        <v>314.08897055610743</v>
      </c>
    </row>
    <row r="130" spans="2:36">
      <c r="B130" s="456">
        <v>15</v>
      </c>
      <c r="D130" s="45" t="s">
        <v>1602</v>
      </c>
      <c r="E130" s="728">
        <v>229.84200000000001</v>
      </c>
      <c r="F130" s="728">
        <v>211.928</v>
      </c>
      <c r="G130" s="728">
        <v>189.08099999999999</v>
      </c>
      <c r="H130" s="728">
        <v>172.71700000000001</v>
      </c>
      <c r="I130" s="728">
        <v>171.946</v>
      </c>
      <c r="J130" s="728">
        <v>141.48099999999999</v>
      </c>
      <c r="K130" s="728">
        <v>137.191</v>
      </c>
      <c r="L130" s="728">
        <v>111.242</v>
      </c>
      <c r="M130" s="728">
        <v>85.209000000000003</v>
      </c>
      <c r="N130" s="728">
        <v>73.302000000000007</v>
      </c>
      <c r="O130" s="728">
        <v>91.584000000000003</v>
      </c>
      <c r="P130" s="728">
        <v>69.856999999999999</v>
      </c>
      <c r="Q130" s="728">
        <v>79.801000000000002</v>
      </c>
      <c r="R130" s="728">
        <v>111.119</v>
      </c>
      <c r="S130" s="728">
        <v>122.492</v>
      </c>
      <c r="T130" s="728">
        <v>115.82899999999998</v>
      </c>
      <c r="U130" s="728">
        <v>75.262</v>
      </c>
      <c r="V130" s="728">
        <v>75.388000000000005</v>
      </c>
      <c r="W130" s="728">
        <v>71.016000000000005</v>
      </c>
      <c r="X130" s="728">
        <v>71.28</v>
      </c>
      <c r="Y130" s="728">
        <v>61.689999999999991</v>
      </c>
      <c r="Z130" s="728">
        <v>53.746000000000002</v>
      </c>
      <c r="AA130" s="728">
        <v>31.396000000000001</v>
      </c>
      <c r="AB130" s="728">
        <v>24.402999999999999</v>
      </c>
      <c r="AC130" s="728">
        <v>7.9390000000000001</v>
      </c>
      <c r="AD130" s="728">
        <v>3.972</v>
      </c>
      <c r="AE130" s="728">
        <v>4.4390000000000001</v>
      </c>
      <c r="AF130" s="728">
        <v>3.8319999999999999</v>
      </c>
      <c r="AG130" s="728">
        <v>3.1059999999999999</v>
      </c>
      <c r="AH130" s="728">
        <v>2.3370000000000002</v>
      </c>
      <c r="AI130" s="728">
        <v>2.3380000000000001</v>
      </c>
      <c r="AJ130" s="728">
        <v>3.6449999999999996</v>
      </c>
    </row>
    <row r="131" spans="2:36">
      <c r="B131" s="456">
        <v>16</v>
      </c>
      <c r="D131" s="45" t="s">
        <v>1603</v>
      </c>
      <c r="E131" s="728"/>
      <c r="F131" s="728"/>
      <c r="G131" s="728"/>
      <c r="H131" s="728"/>
      <c r="I131" s="728"/>
      <c r="J131" s="728"/>
      <c r="K131" s="728"/>
      <c r="L131" s="728"/>
      <c r="M131" s="728"/>
      <c r="N131" s="728"/>
      <c r="O131" s="728"/>
      <c r="P131" s="728"/>
      <c r="Q131" s="728"/>
      <c r="R131" s="728"/>
      <c r="S131" s="728"/>
      <c r="T131" s="728"/>
      <c r="U131" s="728"/>
      <c r="V131" s="728"/>
      <c r="W131" s="728"/>
      <c r="X131" s="728"/>
      <c r="Y131" s="728"/>
      <c r="Z131" s="728"/>
      <c r="AA131" s="728"/>
      <c r="AB131" s="728"/>
      <c r="AC131" s="728"/>
      <c r="AD131" s="728"/>
      <c r="AE131" s="728"/>
      <c r="AF131" s="728"/>
      <c r="AG131" s="728"/>
      <c r="AH131" s="728"/>
      <c r="AI131" s="728"/>
      <c r="AJ131" s="728"/>
    </row>
    <row r="132" spans="2:36">
      <c r="B132" s="456">
        <v>17</v>
      </c>
      <c r="D132" s="7" t="s">
        <v>1604</v>
      </c>
      <c r="E132" s="728">
        <v>0</v>
      </c>
      <c r="F132" s="728">
        <v>0</v>
      </c>
      <c r="G132" s="728">
        <v>7.2999999999999995E-2</v>
      </c>
      <c r="H132" s="728">
        <v>0.155</v>
      </c>
      <c r="I132" s="728">
        <v>0.13500000000000001</v>
      </c>
      <c r="J132" s="728">
        <v>0.126</v>
      </c>
      <c r="K132" s="728">
        <v>0.114</v>
      </c>
      <c r="L132" s="728">
        <v>0.13300000000000001</v>
      </c>
      <c r="M132" s="728">
        <v>0.126</v>
      </c>
      <c r="N132" s="728">
        <v>0.11999999999999998</v>
      </c>
      <c r="O132" s="728">
        <v>0.16800000000000001</v>
      </c>
      <c r="P132" s="728">
        <v>0.19</v>
      </c>
      <c r="Q132" s="728">
        <v>0.24399999999999999</v>
      </c>
      <c r="R132" s="728">
        <v>0.32800000000000001</v>
      </c>
      <c r="S132" s="728">
        <v>0.26300000000000001</v>
      </c>
      <c r="T132" s="728">
        <v>0.26400000000000001</v>
      </c>
      <c r="U132" s="728">
        <v>0.27900000000000003</v>
      </c>
      <c r="V132" s="728">
        <v>0.35</v>
      </c>
      <c r="W132" s="728">
        <v>0.28699999999999998</v>
      </c>
      <c r="X132" s="728">
        <v>0.24899999999999997</v>
      </c>
      <c r="Y132" s="728">
        <v>0.34599999999999992</v>
      </c>
      <c r="Z132" s="728">
        <v>0.182</v>
      </c>
      <c r="AA132" s="728">
        <v>0.36199999999999993</v>
      </c>
      <c r="AB132" s="728">
        <v>0.35</v>
      </c>
      <c r="AC132" s="728">
        <v>0.52500000000000002</v>
      </c>
      <c r="AD132" s="728">
        <v>0.52100000000000002</v>
      </c>
      <c r="AE132" s="728">
        <v>0.29699999999999999</v>
      </c>
      <c r="AF132" s="728">
        <v>0.496</v>
      </c>
      <c r="AG132" s="728">
        <v>0.35399999999999998</v>
      </c>
      <c r="AH132" s="728">
        <v>0.20999999999999996</v>
      </c>
      <c r="AI132" s="728">
        <v>0.112</v>
      </c>
      <c r="AJ132" s="728">
        <v>0.193</v>
      </c>
    </row>
    <row r="133" spans="2:36">
      <c r="B133" s="456">
        <v>18</v>
      </c>
      <c r="C133" s="458" t="s">
        <v>1443</v>
      </c>
      <c r="D133" s="4"/>
      <c r="E133" s="727">
        <v>17846.004640186238</v>
      </c>
      <c r="F133" s="727">
        <v>17736.091586653645</v>
      </c>
      <c r="G133" s="727">
        <v>18432.318401487184</v>
      </c>
      <c r="H133" s="727">
        <v>18425.242963917197</v>
      </c>
      <c r="I133" s="727">
        <v>18851.776567220371</v>
      </c>
      <c r="J133" s="727">
        <v>19164.376634598637</v>
      </c>
      <c r="K133" s="727">
        <v>19791.376059290167</v>
      </c>
      <c r="L133" s="727">
        <v>19984.362790295381</v>
      </c>
      <c r="M133" s="727">
        <v>19635.18177561459</v>
      </c>
      <c r="N133" s="727">
        <v>19302.69774465634</v>
      </c>
      <c r="O133" s="727">
        <v>19327.9403016537</v>
      </c>
      <c r="P133" s="727">
        <v>18785.300553599955</v>
      </c>
      <c r="Q133" s="727">
        <v>18821.415235071476</v>
      </c>
      <c r="R133" s="727">
        <v>18663.215898338454</v>
      </c>
      <c r="S133" s="727">
        <v>19505.478085307743</v>
      </c>
      <c r="T133" s="727">
        <v>18646.577144848696</v>
      </c>
      <c r="U133" s="727">
        <v>18963.526403205506</v>
      </c>
      <c r="V133" s="727">
        <v>18687.660358879348</v>
      </c>
      <c r="W133" s="727">
        <v>17635.491264981156</v>
      </c>
      <c r="X133" s="727">
        <v>16264.732942414417</v>
      </c>
      <c r="Y133" s="727">
        <v>17313.5173268791</v>
      </c>
      <c r="Z133" s="727">
        <v>17333.59872541123</v>
      </c>
      <c r="AA133" s="727">
        <v>17510.395784760174</v>
      </c>
      <c r="AB133" s="727">
        <v>18247.299058356784</v>
      </c>
      <c r="AC133" s="727">
        <v>17923.769149942273</v>
      </c>
      <c r="AD133" s="727">
        <v>18024.286776296834</v>
      </c>
      <c r="AE133" s="727">
        <v>18090.100558550148</v>
      </c>
      <c r="AF133" s="727">
        <v>18353.169410252711</v>
      </c>
      <c r="AG133" s="727">
        <v>19231.921871823168</v>
      </c>
      <c r="AH133" s="727">
        <v>19417.061024481311</v>
      </c>
      <c r="AI133" s="727">
        <v>18693.900050446548</v>
      </c>
      <c r="AJ133" s="727">
        <v>19208.523796135036</v>
      </c>
    </row>
    <row r="134" spans="2:36">
      <c r="B134" s="456">
        <v>19</v>
      </c>
      <c r="D134" s="45" t="s">
        <v>1605</v>
      </c>
      <c r="E134" s="728">
        <v>0</v>
      </c>
      <c r="F134" s="728">
        <v>0</v>
      </c>
      <c r="G134" s="728">
        <v>0</v>
      </c>
      <c r="H134" s="728">
        <v>0.99005191520268454</v>
      </c>
      <c r="I134" s="728">
        <v>8.9173041849727497</v>
      </c>
      <c r="J134" s="728">
        <v>37.763361390527734</v>
      </c>
      <c r="K134" s="728">
        <v>24.077376524524198</v>
      </c>
      <c r="L134" s="728">
        <v>0</v>
      </c>
      <c r="M134" s="728">
        <v>10.911311877562298</v>
      </c>
      <c r="N134" s="728">
        <v>40.077270031991247</v>
      </c>
      <c r="O134" s="728">
        <v>53.543709066435099</v>
      </c>
      <c r="P134" s="728">
        <v>24.764394990510937</v>
      </c>
      <c r="Q134" s="728">
        <v>40.297952859316297</v>
      </c>
      <c r="R134" s="728">
        <v>51.888657662241599</v>
      </c>
      <c r="S134" s="728">
        <v>167.7675714419388</v>
      </c>
      <c r="T134" s="728">
        <v>80.441129905107346</v>
      </c>
      <c r="U134" s="728">
        <v>62.874654862045077</v>
      </c>
      <c r="V134" s="728">
        <v>2.3203149182869538</v>
      </c>
      <c r="W134" s="728">
        <v>29.160207416902495</v>
      </c>
      <c r="X134" s="728">
        <v>6.3849143400174171</v>
      </c>
      <c r="Y134" s="728">
        <v>64.75700410595033</v>
      </c>
      <c r="Z134" s="728">
        <v>60.841185085936445</v>
      </c>
      <c r="AA134" s="728">
        <v>132.48279136693179</v>
      </c>
      <c r="AB134" s="728">
        <v>119.90639149360095</v>
      </c>
      <c r="AC134" s="728">
        <v>49.106364978524198</v>
      </c>
      <c r="AD134" s="728">
        <v>122.35139828043901</v>
      </c>
      <c r="AE134" s="728">
        <v>89.635253981130802</v>
      </c>
      <c r="AF134" s="728">
        <v>113.00308641767964</v>
      </c>
      <c r="AG134" s="728">
        <v>124.67753407088412</v>
      </c>
      <c r="AH134" s="728">
        <v>112.83747864130271</v>
      </c>
      <c r="AI134" s="728">
        <v>70.002935895880114</v>
      </c>
      <c r="AJ134" s="728">
        <v>124.63691314907896</v>
      </c>
    </row>
    <row r="135" spans="2:36">
      <c r="B135" s="456">
        <v>20</v>
      </c>
      <c r="D135" s="45" t="s">
        <v>1606</v>
      </c>
      <c r="E135" s="728">
        <v>1675.7669404973112</v>
      </c>
      <c r="F135" s="728">
        <v>1637.9893079180183</v>
      </c>
      <c r="G135" s="728">
        <v>1593.9478971513965</v>
      </c>
      <c r="H135" s="728">
        <v>1624.3691617540001</v>
      </c>
      <c r="I135" s="728">
        <v>1634.914452988</v>
      </c>
      <c r="J135" s="728">
        <v>1567.5108617499998</v>
      </c>
      <c r="K135" s="728">
        <v>1494.8058598</v>
      </c>
      <c r="L135" s="728">
        <v>1495.9194377854421</v>
      </c>
      <c r="M135" s="728">
        <v>1509.0749911519999</v>
      </c>
      <c r="N135" s="728">
        <v>1410.9831003280001</v>
      </c>
      <c r="O135" s="728">
        <v>1373.1050144515743</v>
      </c>
      <c r="P135" s="728">
        <v>1394.5239986459715</v>
      </c>
      <c r="Q135" s="728">
        <v>1281.5946293979716</v>
      </c>
      <c r="R135" s="728">
        <v>1286.5828854639717</v>
      </c>
      <c r="S135" s="728">
        <v>1296.8503801009715</v>
      </c>
      <c r="T135" s="728">
        <v>1257.0265170799714</v>
      </c>
      <c r="U135" s="728">
        <v>1231.2915277639715</v>
      </c>
      <c r="V135" s="728">
        <v>1181.5016579259716</v>
      </c>
      <c r="W135" s="728">
        <v>1131.8699307999716</v>
      </c>
      <c r="X135" s="728">
        <v>929.18640987197159</v>
      </c>
      <c r="Y135" s="728">
        <v>1002.5923769639714</v>
      </c>
      <c r="Z135" s="728">
        <v>915.32146756797158</v>
      </c>
      <c r="AA135" s="728">
        <v>832.16353998197155</v>
      </c>
      <c r="AB135" s="728">
        <v>846.3609344639716</v>
      </c>
      <c r="AC135" s="728">
        <v>842.53472303172452</v>
      </c>
      <c r="AD135" s="728">
        <v>743.38780531650434</v>
      </c>
      <c r="AE135" s="728">
        <v>671.06735095745114</v>
      </c>
      <c r="AF135" s="728">
        <v>623.57681240843033</v>
      </c>
      <c r="AG135" s="728">
        <v>578.56878432287908</v>
      </c>
      <c r="AH135" s="728">
        <v>526.91306642672191</v>
      </c>
      <c r="AI135" s="728">
        <v>457.98518519386892</v>
      </c>
      <c r="AJ135" s="728">
        <v>459.18172359781039</v>
      </c>
    </row>
    <row r="136" spans="2:36">
      <c r="B136" s="456">
        <v>21</v>
      </c>
      <c r="D136" s="45" t="s">
        <v>1607</v>
      </c>
      <c r="E136" s="728"/>
      <c r="F136" s="728"/>
      <c r="G136" s="728"/>
      <c r="H136" s="728"/>
      <c r="I136" s="728"/>
      <c r="J136" s="728"/>
      <c r="K136" s="728"/>
      <c r="L136" s="728"/>
      <c r="M136" s="728"/>
      <c r="N136" s="728"/>
      <c r="O136" s="728"/>
      <c r="P136" s="728"/>
      <c r="Q136" s="728"/>
      <c r="R136" s="728"/>
      <c r="S136" s="728"/>
      <c r="T136" s="728"/>
      <c r="U136" s="728"/>
      <c r="V136" s="728"/>
      <c r="W136" s="728"/>
      <c r="X136" s="728"/>
      <c r="Y136" s="728"/>
      <c r="Z136" s="728"/>
      <c r="AA136" s="728"/>
      <c r="AB136" s="728"/>
      <c r="AC136" s="728"/>
      <c r="AD136" s="728"/>
      <c r="AE136" s="728"/>
      <c r="AF136" s="728"/>
      <c r="AG136" s="728"/>
      <c r="AH136" s="728"/>
      <c r="AI136" s="728"/>
      <c r="AJ136" s="728"/>
    </row>
    <row r="137" spans="2:36">
      <c r="B137" s="456">
        <v>22</v>
      </c>
      <c r="D137" s="45" t="s">
        <v>1439</v>
      </c>
      <c r="E137" s="728">
        <v>7993.1381541127721</v>
      </c>
      <c r="F137" s="728">
        <v>8106.186538507146</v>
      </c>
      <c r="G137" s="728">
        <v>8420.583142909436</v>
      </c>
      <c r="H137" s="728">
        <v>8576.5936056149731</v>
      </c>
      <c r="I137" s="728">
        <v>8619.798576906609</v>
      </c>
      <c r="J137" s="728">
        <v>9071.5290918915325</v>
      </c>
      <c r="K137" s="728">
        <v>9386.3660914836473</v>
      </c>
      <c r="L137" s="728">
        <v>9416.5082266472109</v>
      </c>
      <c r="M137" s="728">
        <v>9227.0733414263941</v>
      </c>
      <c r="N137" s="728">
        <v>8817.2157531256053</v>
      </c>
      <c r="O137" s="728">
        <v>9038.2946285140843</v>
      </c>
      <c r="P137" s="728">
        <v>8325.4690296393874</v>
      </c>
      <c r="Q137" s="728">
        <v>8448.5696850214154</v>
      </c>
      <c r="R137" s="728">
        <v>8174.946676384684</v>
      </c>
      <c r="S137" s="728">
        <v>8204.2447102981805</v>
      </c>
      <c r="T137" s="728">
        <v>7585.0517920141347</v>
      </c>
      <c r="U137" s="728">
        <v>7541.4583065914294</v>
      </c>
      <c r="V137" s="728">
        <v>7738.8395001602103</v>
      </c>
      <c r="W137" s="728">
        <v>7790.0732111808638</v>
      </c>
      <c r="X137" s="728">
        <v>7344.627521184957</v>
      </c>
      <c r="Y137" s="728">
        <v>7979.88483813116</v>
      </c>
      <c r="Z137" s="728">
        <v>8172.0100719061047</v>
      </c>
      <c r="AA137" s="728">
        <v>8495.7543983742817</v>
      </c>
      <c r="AB137" s="728">
        <v>8828.5197285528957</v>
      </c>
      <c r="AC137" s="728">
        <v>9127.5053889729134</v>
      </c>
      <c r="AD137" s="728">
        <v>9119.932101192273</v>
      </c>
      <c r="AE137" s="728">
        <v>9302.0557908767769</v>
      </c>
      <c r="AF137" s="728">
        <v>9477.6281353869836</v>
      </c>
      <c r="AG137" s="728">
        <v>10056.058622156899</v>
      </c>
      <c r="AH137" s="728">
        <v>10213.878080850258</v>
      </c>
      <c r="AI137" s="728">
        <v>9917.3601868644328</v>
      </c>
      <c r="AJ137" s="728">
        <v>10173.819803719296</v>
      </c>
    </row>
    <row r="138" spans="2:36">
      <c r="B138" s="456">
        <v>23</v>
      </c>
      <c r="D138" s="45" t="s">
        <v>1608</v>
      </c>
      <c r="E138" s="728">
        <v>1170.193</v>
      </c>
      <c r="F138" s="728">
        <v>1076.5350000000001</v>
      </c>
      <c r="G138" s="728">
        <v>1102.22</v>
      </c>
      <c r="H138" s="728">
        <v>1149.02</v>
      </c>
      <c r="I138" s="728">
        <v>1172.9169999999999</v>
      </c>
      <c r="J138" s="728">
        <v>1178.175</v>
      </c>
      <c r="K138" s="728">
        <v>1175.932</v>
      </c>
      <c r="L138" s="728">
        <v>1223.5659999999998</v>
      </c>
      <c r="M138" s="728">
        <v>1262.5519999999999</v>
      </c>
      <c r="N138" s="728">
        <v>1324.413</v>
      </c>
      <c r="O138" s="728">
        <v>1275.6780000000001</v>
      </c>
      <c r="P138" s="728">
        <v>1256.8649999999998</v>
      </c>
      <c r="Q138" s="728">
        <v>1239.9570000000001</v>
      </c>
      <c r="R138" s="728">
        <v>1219.538</v>
      </c>
      <c r="S138" s="728">
        <v>1303.848</v>
      </c>
      <c r="T138" s="728">
        <v>1323.2380000000001</v>
      </c>
      <c r="U138" s="728">
        <v>1261.1659999999999</v>
      </c>
      <c r="V138" s="728">
        <v>1197.039</v>
      </c>
      <c r="W138" s="728">
        <v>1011.9709999999999</v>
      </c>
      <c r="X138" s="728">
        <v>873.08299999999997</v>
      </c>
      <c r="Y138" s="728">
        <v>877.76800000000003</v>
      </c>
      <c r="Z138" s="728">
        <v>859.48900000000003</v>
      </c>
      <c r="AA138" s="728">
        <v>826.697</v>
      </c>
      <c r="AB138" s="728">
        <v>783.34699999999998</v>
      </c>
      <c r="AC138" s="728">
        <v>792.63599999999997</v>
      </c>
      <c r="AD138" s="728">
        <v>831.66</v>
      </c>
      <c r="AE138" s="728">
        <v>853.36599999999999</v>
      </c>
      <c r="AF138" s="728">
        <v>849.18200000000002</v>
      </c>
      <c r="AG138" s="728">
        <v>792.76300000000003</v>
      </c>
      <c r="AH138" s="728">
        <v>843.88300000000004</v>
      </c>
      <c r="AI138" s="728">
        <v>832.27300000000002</v>
      </c>
      <c r="AJ138" s="728">
        <v>898.08500000000004</v>
      </c>
    </row>
    <row r="139" spans="2:36">
      <c r="B139" s="456">
        <v>24</v>
      </c>
      <c r="D139" s="45" t="s">
        <v>1598</v>
      </c>
      <c r="E139" s="728">
        <v>1105.5139478891408</v>
      </c>
      <c r="F139" s="728">
        <v>1057.8850890755318</v>
      </c>
      <c r="G139" s="728">
        <v>1035.541073514046</v>
      </c>
      <c r="H139" s="728">
        <v>996.98221157074806</v>
      </c>
      <c r="I139" s="728">
        <v>980.17152811553308</v>
      </c>
      <c r="J139" s="728">
        <v>972.16981855704648</v>
      </c>
      <c r="K139" s="728">
        <v>1053.1641851246604</v>
      </c>
      <c r="L139" s="728">
        <v>1061.1741793992151</v>
      </c>
      <c r="M139" s="728">
        <v>1035.7897571355177</v>
      </c>
      <c r="N139" s="728">
        <v>991.33042099010402</v>
      </c>
      <c r="O139" s="728">
        <v>1011.7034042448118</v>
      </c>
      <c r="P139" s="728">
        <v>1189.4559095107932</v>
      </c>
      <c r="Q139" s="728">
        <v>1056.1621774933967</v>
      </c>
      <c r="R139" s="728">
        <v>1063.3596473344055</v>
      </c>
      <c r="S139" s="728">
        <v>1146.4264852456388</v>
      </c>
      <c r="T139" s="728">
        <v>1135.454460287282</v>
      </c>
      <c r="U139" s="728">
        <v>1199.1920073974511</v>
      </c>
      <c r="V139" s="728">
        <v>1169.8929558530394</v>
      </c>
      <c r="W139" s="728">
        <v>1103.0322710146504</v>
      </c>
      <c r="X139" s="728">
        <v>1013.3637134268664</v>
      </c>
      <c r="Y139" s="728">
        <v>1114.2976907534569</v>
      </c>
      <c r="Z139" s="728">
        <v>1233.2131247042555</v>
      </c>
      <c r="AA139" s="728">
        <v>1129.1412541479124</v>
      </c>
      <c r="AB139" s="728">
        <v>1144.6256218316271</v>
      </c>
      <c r="AC139" s="728">
        <v>1279.1197728073407</v>
      </c>
      <c r="AD139" s="728">
        <v>1023.8757268846846</v>
      </c>
      <c r="AE139" s="728">
        <v>945.84546731513615</v>
      </c>
      <c r="AF139" s="728">
        <v>911.04400382083668</v>
      </c>
      <c r="AG139" s="728">
        <v>1063.9257864067736</v>
      </c>
      <c r="AH139" s="728">
        <v>1026.9575995594166</v>
      </c>
      <c r="AI139" s="728">
        <v>878.52199141066194</v>
      </c>
      <c r="AJ139" s="728">
        <v>806.70444704263878</v>
      </c>
    </row>
    <row r="140" spans="2:36">
      <c r="B140" s="456">
        <v>25</v>
      </c>
      <c r="D140" s="45" t="s">
        <v>1599</v>
      </c>
      <c r="E140" s="728">
        <v>12.273999999999997</v>
      </c>
      <c r="F140" s="728">
        <v>11.382</v>
      </c>
      <c r="G140" s="728">
        <v>9.7899999999999974</v>
      </c>
      <c r="H140" s="728">
        <v>13.053000000000001</v>
      </c>
      <c r="I140" s="728">
        <v>16.911999999999999</v>
      </c>
      <c r="J140" s="728">
        <v>15.444000000000001</v>
      </c>
      <c r="K140" s="728">
        <v>18.300999999999998</v>
      </c>
      <c r="L140" s="728">
        <v>18.812000000000001</v>
      </c>
      <c r="M140" s="728">
        <v>22.071000000000002</v>
      </c>
      <c r="N140" s="728">
        <v>12.84</v>
      </c>
      <c r="O140" s="728">
        <v>15.64</v>
      </c>
      <c r="P140" s="728">
        <v>23.222999999999999</v>
      </c>
      <c r="Q140" s="728">
        <v>13.807999999999998</v>
      </c>
      <c r="R140" s="728">
        <v>24.113</v>
      </c>
      <c r="S140" s="728">
        <v>28.219000000000001</v>
      </c>
      <c r="T140" s="728">
        <v>39.076000000000001</v>
      </c>
      <c r="U140" s="728">
        <v>29.576000000000001</v>
      </c>
      <c r="V140" s="728">
        <v>13.421999999999999</v>
      </c>
      <c r="W140" s="728">
        <v>3.83</v>
      </c>
      <c r="X140" s="728">
        <v>4.399</v>
      </c>
      <c r="Y140" s="728">
        <v>7.3179999999999996</v>
      </c>
      <c r="Z140" s="728">
        <v>3.6150000000000002</v>
      </c>
      <c r="AA140" s="728">
        <v>2.0079999999999996</v>
      </c>
      <c r="AB140" s="728">
        <v>1.4770000000000001</v>
      </c>
      <c r="AC140" s="728">
        <v>2.8290000000000002</v>
      </c>
      <c r="AD140" s="728">
        <v>1.728</v>
      </c>
      <c r="AE140" s="728">
        <v>2.266</v>
      </c>
      <c r="AF140" s="728">
        <v>1.1149999999999998</v>
      </c>
      <c r="AG140" s="728">
        <v>1.623</v>
      </c>
      <c r="AH140" s="728">
        <v>1.4199999999999997</v>
      </c>
      <c r="AI140" s="728">
        <v>3.0230000000000001</v>
      </c>
      <c r="AJ140" s="728">
        <v>2.391</v>
      </c>
    </row>
    <row r="141" spans="2:36">
      <c r="B141" s="456">
        <v>26</v>
      </c>
      <c r="D141" s="45" t="s">
        <v>1609</v>
      </c>
      <c r="E141" s="728">
        <v>1529.3263026540001</v>
      </c>
      <c r="F141" s="728">
        <v>1662.5429146240001</v>
      </c>
      <c r="G141" s="728">
        <v>1774.584744773</v>
      </c>
      <c r="H141" s="728">
        <v>1703.870114736</v>
      </c>
      <c r="I141" s="728">
        <v>1911.1828129390001</v>
      </c>
      <c r="J141" s="728">
        <v>1929.459552923</v>
      </c>
      <c r="K141" s="728">
        <v>1987.1319279320001</v>
      </c>
      <c r="L141" s="728">
        <v>2035.4176398889997</v>
      </c>
      <c r="M141" s="728">
        <v>1953.9419755939998</v>
      </c>
      <c r="N141" s="728">
        <v>2145.6808347430001</v>
      </c>
      <c r="O141" s="728">
        <v>2153.0463699279999</v>
      </c>
      <c r="P141" s="728">
        <v>1947.4696663549998</v>
      </c>
      <c r="Q141" s="728">
        <v>2088.4931587649999</v>
      </c>
      <c r="R141" s="728">
        <v>1963.4302249479999</v>
      </c>
      <c r="S141" s="728">
        <v>2068.8134216240001</v>
      </c>
      <c r="T141" s="728">
        <v>1941.3347836830001</v>
      </c>
      <c r="U141" s="728">
        <v>2030.245257243</v>
      </c>
      <c r="V141" s="728">
        <v>2026.8967288409997</v>
      </c>
      <c r="W141" s="728">
        <v>1750.339128134</v>
      </c>
      <c r="X141" s="728">
        <v>1863.969982933</v>
      </c>
      <c r="Y141" s="728">
        <v>2050.787662186</v>
      </c>
      <c r="Z141" s="728">
        <v>2116.7727574290002</v>
      </c>
      <c r="AA141" s="728">
        <v>2266.5298697640001</v>
      </c>
      <c r="AB141" s="728">
        <v>2450.8997876879998</v>
      </c>
      <c r="AC141" s="728">
        <v>2321.8422789450001</v>
      </c>
      <c r="AD141" s="728">
        <v>2458.9284433160001</v>
      </c>
      <c r="AE141" s="728">
        <v>2482.8298605</v>
      </c>
      <c r="AF141" s="728">
        <v>2503.3099335739998</v>
      </c>
      <c r="AG141" s="728">
        <v>2803.5094620589998</v>
      </c>
      <c r="AH141" s="728">
        <v>2808.0516228589995</v>
      </c>
      <c r="AI141" s="728">
        <v>2901.3998120400001</v>
      </c>
      <c r="AJ141" s="728">
        <v>3091.5415112810001</v>
      </c>
    </row>
    <row r="142" spans="2:36">
      <c r="B142" s="456">
        <v>27</v>
      </c>
      <c r="D142" s="45" t="s">
        <v>1610</v>
      </c>
      <c r="E142" s="728">
        <v>186.34299999999999</v>
      </c>
      <c r="F142" s="728">
        <v>166.70299999999997</v>
      </c>
      <c r="G142" s="728">
        <v>169.96</v>
      </c>
      <c r="H142" s="728">
        <v>173.06399999999999</v>
      </c>
      <c r="I142" s="728">
        <v>180.886</v>
      </c>
      <c r="J142" s="728">
        <v>177.78</v>
      </c>
      <c r="K142" s="728">
        <v>172.53399999999999</v>
      </c>
      <c r="L142" s="728">
        <v>182.262</v>
      </c>
      <c r="M142" s="728">
        <v>190.80199999999999</v>
      </c>
      <c r="N142" s="728">
        <v>192.79900000000001</v>
      </c>
      <c r="O142" s="728">
        <v>189.90700000000001</v>
      </c>
      <c r="P142" s="728">
        <v>173.99700000000001</v>
      </c>
      <c r="Q142" s="728">
        <v>171.935</v>
      </c>
      <c r="R142" s="728">
        <v>158.95699999999999</v>
      </c>
      <c r="S142" s="728">
        <v>161.04</v>
      </c>
      <c r="T142" s="728">
        <v>160.19900000000001</v>
      </c>
      <c r="U142" s="728">
        <v>156.078</v>
      </c>
      <c r="V142" s="728">
        <v>161.17699999999999</v>
      </c>
      <c r="W142" s="728">
        <v>149.63499999999999</v>
      </c>
      <c r="X142" s="728">
        <v>134.53299999999999</v>
      </c>
      <c r="Y142" s="728">
        <v>135.87899999999999</v>
      </c>
      <c r="Z142" s="728">
        <v>127.396</v>
      </c>
      <c r="AA142" s="728">
        <v>118.313</v>
      </c>
      <c r="AB142" s="728">
        <v>125.09100000000001</v>
      </c>
      <c r="AC142" s="728">
        <v>130.66300000000001</v>
      </c>
      <c r="AD142" s="728">
        <v>142.13499999999999</v>
      </c>
      <c r="AE142" s="728">
        <v>135.148</v>
      </c>
      <c r="AF142" s="728">
        <v>124.895</v>
      </c>
      <c r="AG142" s="728">
        <v>121.98699999999999</v>
      </c>
      <c r="AH142" s="728">
        <v>118.313</v>
      </c>
      <c r="AI142" s="728">
        <v>111.09</v>
      </c>
      <c r="AJ142" s="728">
        <v>113.944</v>
      </c>
    </row>
    <row r="143" spans="2:36">
      <c r="B143" s="456">
        <v>28</v>
      </c>
      <c r="D143" s="45" t="s">
        <v>1601</v>
      </c>
      <c r="E143" s="728">
        <v>254.77987474583767</v>
      </c>
      <c r="F143" s="728">
        <v>366.90623952794652</v>
      </c>
      <c r="G143" s="728">
        <v>247.26111013930699</v>
      </c>
      <c r="H143" s="728">
        <v>247.74678732727477</v>
      </c>
      <c r="I143" s="728">
        <v>245.08213908625572</v>
      </c>
      <c r="J143" s="728">
        <v>370.45284458653009</v>
      </c>
      <c r="K143" s="728">
        <v>318.06057842633408</v>
      </c>
      <c r="L143" s="728">
        <v>288.24879807351357</v>
      </c>
      <c r="M143" s="728">
        <v>297.48128442811611</v>
      </c>
      <c r="N143" s="728">
        <v>147.60023743863499</v>
      </c>
      <c r="O143" s="728">
        <v>249.90433044879916</v>
      </c>
      <c r="P143" s="728">
        <v>378.51501245829439</v>
      </c>
      <c r="Q143" s="728">
        <v>451.4043065343742</v>
      </c>
      <c r="R143" s="728">
        <v>459.09323254515476</v>
      </c>
      <c r="S143" s="728">
        <v>567.57382359701342</v>
      </c>
      <c r="T143" s="728">
        <v>689.47242905420046</v>
      </c>
      <c r="U143" s="728">
        <v>920.69404499461075</v>
      </c>
      <c r="V143" s="728">
        <v>850.69234786283857</v>
      </c>
      <c r="W143" s="728">
        <v>738.35845325676746</v>
      </c>
      <c r="X143" s="728">
        <v>635.50066694660484</v>
      </c>
      <c r="Y143" s="728">
        <v>559.73983247556157</v>
      </c>
      <c r="Z143" s="728">
        <v>455.91850589696293</v>
      </c>
      <c r="AA143" s="728">
        <v>432.15795489207591</v>
      </c>
      <c r="AB143" s="728">
        <v>606.17213673969331</v>
      </c>
      <c r="AC143" s="728">
        <v>205.64544280576979</v>
      </c>
      <c r="AD143" s="728">
        <v>321.37593394893571</v>
      </c>
      <c r="AE143" s="728">
        <v>287.24977837765573</v>
      </c>
      <c r="AF143" s="728">
        <v>295.7313872007777</v>
      </c>
      <c r="AG143" s="728">
        <v>205.56170090472864</v>
      </c>
      <c r="AH143" s="728">
        <v>242.74768433861655</v>
      </c>
      <c r="AI143" s="728">
        <v>240.19941906570548</v>
      </c>
      <c r="AJ143" s="728">
        <v>221.59033246820391</v>
      </c>
    </row>
    <row r="144" spans="2:36">
      <c r="B144" s="456">
        <v>29</v>
      </c>
      <c r="D144" s="45" t="s">
        <v>1602</v>
      </c>
      <c r="E144" s="728">
        <v>364.14793428817552</v>
      </c>
      <c r="F144" s="728">
        <v>270.89068600000002</v>
      </c>
      <c r="G144" s="728">
        <v>328.05710599999998</v>
      </c>
      <c r="H144" s="728">
        <v>391.19952599999999</v>
      </c>
      <c r="I144" s="728">
        <v>368.358946</v>
      </c>
      <c r="J144" s="728">
        <v>284.66320949999999</v>
      </c>
      <c r="K144" s="728">
        <v>281.661473</v>
      </c>
      <c r="L144" s="728">
        <v>235.56173650000002</v>
      </c>
      <c r="M144" s="728">
        <v>173.25800000000001</v>
      </c>
      <c r="N144" s="728">
        <v>154.0335</v>
      </c>
      <c r="O144" s="728">
        <v>190.34200000000001</v>
      </c>
      <c r="P144" s="728">
        <v>156.09950000000001</v>
      </c>
      <c r="Q144" s="728">
        <v>146.09800000000001</v>
      </c>
      <c r="R144" s="728">
        <v>171.71474999999998</v>
      </c>
      <c r="S144" s="728">
        <v>195.26749999999996</v>
      </c>
      <c r="T144" s="728">
        <v>223.23224999999999</v>
      </c>
      <c r="U144" s="728">
        <v>176.39400000000001</v>
      </c>
      <c r="V144" s="728">
        <v>122.51024999999997</v>
      </c>
      <c r="W144" s="728">
        <v>115.7595</v>
      </c>
      <c r="X144" s="728">
        <v>43.692750000000004</v>
      </c>
      <c r="Y144" s="728">
        <v>25.895999999999972</v>
      </c>
      <c r="Z144" s="728">
        <v>50.0505</v>
      </c>
      <c r="AA144" s="728">
        <v>0</v>
      </c>
      <c r="AB144" s="728">
        <v>0</v>
      </c>
      <c r="AC144" s="728">
        <v>0</v>
      </c>
      <c r="AD144" s="728">
        <v>0</v>
      </c>
      <c r="AE144" s="728">
        <v>2.1189999999999927</v>
      </c>
      <c r="AF144" s="728">
        <v>2.7844999999999942</v>
      </c>
      <c r="AG144" s="728">
        <v>0</v>
      </c>
      <c r="AH144" s="728">
        <v>0</v>
      </c>
      <c r="AI144" s="728">
        <v>0</v>
      </c>
      <c r="AJ144" s="728">
        <v>5.840999999999994</v>
      </c>
    </row>
    <row r="145" spans="2:36">
      <c r="B145" s="456">
        <v>30</v>
      </c>
      <c r="D145" s="45" t="s">
        <v>1603</v>
      </c>
      <c r="E145" s="728"/>
      <c r="F145" s="728"/>
      <c r="G145" s="728"/>
      <c r="H145" s="728"/>
      <c r="I145" s="728"/>
      <c r="J145" s="728"/>
      <c r="K145" s="728"/>
      <c r="L145" s="728"/>
      <c r="M145" s="728"/>
      <c r="N145" s="728"/>
      <c r="O145" s="728"/>
      <c r="P145" s="728"/>
      <c r="Q145" s="728"/>
      <c r="R145" s="728"/>
      <c r="S145" s="728"/>
      <c r="T145" s="728"/>
      <c r="U145" s="728"/>
      <c r="V145" s="728"/>
      <c r="W145" s="728"/>
      <c r="X145" s="728"/>
      <c r="Y145" s="728"/>
      <c r="Z145" s="728"/>
      <c r="AA145" s="728"/>
      <c r="AB145" s="728"/>
      <c r="AC145" s="728"/>
      <c r="AD145" s="728"/>
      <c r="AE145" s="728"/>
      <c r="AF145" s="728"/>
      <c r="AG145" s="728"/>
      <c r="AH145" s="728"/>
      <c r="AI145" s="728"/>
      <c r="AJ145" s="728"/>
    </row>
    <row r="146" spans="2:36">
      <c r="B146" s="456">
        <v>31</v>
      </c>
      <c r="D146" s="6" t="s">
        <v>1611</v>
      </c>
      <c r="E146" s="728">
        <v>0.23725599999999999</v>
      </c>
      <c r="F146" s="728">
        <v>-8.0768000000000006E-2</v>
      </c>
      <c r="G146" s="728">
        <v>0.15648799999999999</v>
      </c>
      <c r="H146" s="728">
        <v>0.14639199999999999</v>
      </c>
      <c r="I146" s="728">
        <v>6.0979839999999994</v>
      </c>
      <c r="J146" s="728">
        <v>5.2903039999999999</v>
      </c>
      <c r="K146" s="728">
        <v>6.9510959999999997</v>
      </c>
      <c r="L146" s="728">
        <v>9.0561119999999988</v>
      </c>
      <c r="M146" s="728">
        <v>4.0030639999999993</v>
      </c>
      <c r="N146" s="728">
        <v>6.3958159999999999</v>
      </c>
      <c r="O146" s="728">
        <v>3.8162880000000001</v>
      </c>
      <c r="P146" s="728">
        <v>6.0727439999999993</v>
      </c>
      <c r="Q146" s="728">
        <v>7.5164720000000003</v>
      </c>
      <c r="R146" s="728">
        <v>7.4710399999999995</v>
      </c>
      <c r="S146" s="728">
        <v>10.615944000000001</v>
      </c>
      <c r="T146" s="728">
        <v>8.3241519999999998</v>
      </c>
      <c r="U146" s="728">
        <v>0.641096</v>
      </c>
      <c r="V146" s="728">
        <v>1.781944</v>
      </c>
      <c r="W146" s="728">
        <v>9.5911999999999997E-2</v>
      </c>
      <c r="X146" s="728">
        <v>-0.80263200000000001</v>
      </c>
      <c r="Y146" s="728">
        <v>-0.24230399999999999</v>
      </c>
      <c r="Z146" s="728">
        <v>1.0096000000000001E-2</v>
      </c>
      <c r="AA146" s="728">
        <v>-5.0480000000000004E-3</v>
      </c>
      <c r="AB146" s="728">
        <v>-0.37859999999999999</v>
      </c>
      <c r="AC146" s="728">
        <v>-0.141344</v>
      </c>
      <c r="AD146" s="728">
        <v>-0.34831200000000001</v>
      </c>
      <c r="AE146" s="728">
        <v>-0.29278399999999999</v>
      </c>
      <c r="AF146" s="728">
        <v>-0.19182399999999999</v>
      </c>
      <c r="AG146" s="728">
        <v>-1.5547839999999999</v>
      </c>
      <c r="AH146" s="728">
        <v>-1.1913279999999999</v>
      </c>
      <c r="AI146" s="728">
        <v>-0.78748799999999985</v>
      </c>
      <c r="AJ146" s="728">
        <v>-0.83796800000000005</v>
      </c>
    </row>
    <row r="147" spans="2:36">
      <c r="B147" s="456">
        <v>32</v>
      </c>
      <c r="D147" s="6" t="s">
        <v>1612</v>
      </c>
      <c r="E147" s="728">
        <v>50.883400000000002</v>
      </c>
      <c r="F147" s="728">
        <v>38.947000000000003</v>
      </c>
      <c r="G147" s="728">
        <v>27.3644</v>
      </c>
      <c r="H147" s="728">
        <v>21.1526</v>
      </c>
      <c r="I147" s="728">
        <v>18.681799999999999</v>
      </c>
      <c r="J147" s="728">
        <v>14.534800000000001</v>
      </c>
      <c r="K147" s="728">
        <v>13.7286</v>
      </c>
      <c r="L147" s="728">
        <v>4.6226000000000003</v>
      </c>
      <c r="M147" s="728">
        <v>0</v>
      </c>
      <c r="N147" s="728">
        <v>0</v>
      </c>
      <c r="O147" s="728">
        <v>0</v>
      </c>
      <c r="P147" s="728">
        <v>0</v>
      </c>
      <c r="Q147" s="728">
        <v>0</v>
      </c>
      <c r="R147" s="728">
        <v>0</v>
      </c>
      <c r="S147" s="728">
        <v>0</v>
      </c>
      <c r="T147" s="728">
        <v>0</v>
      </c>
      <c r="U147" s="728">
        <v>0</v>
      </c>
      <c r="V147" s="728">
        <v>0</v>
      </c>
      <c r="W147" s="728">
        <v>0</v>
      </c>
      <c r="X147" s="728">
        <v>0</v>
      </c>
      <c r="Y147" s="728">
        <v>0</v>
      </c>
      <c r="Z147" s="728">
        <v>0</v>
      </c>
      <c r="AA147" s="728">
        <v>0</v>
      </c>
      <c r="AB147" s="728">
        <v>0</v>
      </c>
      <c r="AC147" s="728">
        <v>0</v>
      </c>
      <c r="AD147" s="728">
        <v>0</v>
      </c>
      <c r="AE147" s="728">
        <v>0</v>
      </c>
      <c r="AF147" s="728">
        <v>0</v>
      </c>
      <c r="AG147" s="728">
        <v>0</v>
      </c>
      <c r="AH147" s="728">
        <v>0</v>
      </c>
      <c r="AI147" s="728">
        <v>0</v>
      </c>
      <c r="AJ147" s="728">
        <v>0</v>
      </c>
    </row>
    <row r="148" spans="2:36">
      <c r="B148" s="456">
        <v>33</v>
      </c>
      <c r="D148" s="6" t="s">
        <v>1613</v>
      </c>
      <c r="E148" s="728">
        <v>53.696165999999998</v>
      </c>
      <c r="F148" s="728">
        <v>-25.918302000000001</v>
      </c>
      <c r="G148" s="728">
        <v>75.685224000000005</v>
      </c>
      <c r="H148" s="728">
        <v>0</v>
      </c>
      <c r="I148" s="728">
        <v>0</v>
      </c>
      <c r="J148" s="728">
        <v>0</v>
      </c>
      <c r="K148" s="728">
        <v>0</v>
      </c>
      <c r="L148" s="728">
        <v>0</v>
      </c>
      <c r="M148" s="728">
        <v>0</v>
      </c>
      <c r="N148" s="728">
        <v>0</v>
      </c>
      <c r="O148" s="728">
        <v>0</v>
      </c>
      <c r="P148" s="728">
        <v>0</v>
      </c>
      <c r="Q148" s="728">
        <v>0</v>
      </c>
      <c r="R148" s="728">
        <v>0</v>
      </c>
      <c r="S148" s="728">
        <v>0</v>
      </c>
      <c r="T148" s="728">
        <v>0</v>
      </c>
      <c r="U148" s="728">
        <v>0</v>
      </c>
      <c r="V148" s="728">
        <v>0</v>
      </c>
      <c r="W148" s="728">
        <v>0</v>
      </c>
      <c r="X148" s="728">
        <v>0</v>
      </c>
      <c r="Y148" s="728">
        <v>0</v>
      </c>
      <c r="Z148" s="728">
        <v>0</v>
      </c>
      <c r="AA148" s="728">
        <v>0</v>
      </c>
      <c r="AB148" s="728">
        <v>0</v>
      </c>
      <c r="AC148" s="728">
        <v>0</v>
      </c>
      <c r="AD148" s="728">
        <v>0</v>
      </c>
      <c r="AE148" s="728">
        <v>0</v>
      </c>
      <c r="AF148" s="728">
        <v>0</v>
      </c>
      <c r="AG148" s="728">
        <v>0</v>
      </c>
      <c r="AH148" s="728">
        <v>0</v>
      </c>
      <c r="AI148" s="728">
        <v>0</v>
      </c>
      <c r="AJ148" s="728">
        <v>0</v>
      </c>
    </row>
    <row r="149" spans="2:36">
      <c r="B149" s="456">
        <v>34</v>
      </c>
      <c r="D149" s="6" t="s">
        <v>1614</v>
      </c>
      <c r="E149" s="728">
        <v>137.83467599999997</v>
      </c>
      <c r="F149" s="728">
        <v>152.626068</v>
      </c>
      <c r="G149" s="728">
        <v>100.062144</v>
      </c>
      <c r="H149" s="728">
        <v>94.718232</v>
      </c>
      <c r="I149" s="728">
        <v>105.85234800000001</v>
      </c>
      <c r="J149" s="728">
        <v>97.123571999999996</v>
      </c>
      <c r="K149" s="728">
        <v>89.032355999999993</v>
      </c>
      <c r="L149" s="728">
        <v>97.749539999999996</v>
      </c>
      <c r="M149" s="728">
        <v>118.98608400000001</v>
      </c>
      <c r="N149" s="728">
        <v>111.90916799999999</v>
      </c>
      <c r="O149" s="728">
        <v>119.20633199999999</v>
      </c>
      <c r="P149" s="728">
        <v>124.9038</v>
      </c>
      <c r="Q149" s="728">
        <v>134.17740000000001</v>
      </c>
      <c r="R149" s="728">
        <v>125.964468</v>
      </c>
      <c r="S149" s="728">
        <v>113.421924</v>
      </c>
      <c r="T149" s="728">
        <v>112.79127862799999</v>
      </c>
      <c r="U149" s="728">
        <v>136.03287348000001</v>
      </c>
      <c r="V149" s="728">
        <v>133.47382356</v>
      </c>
      <c r="W149" s="728">
        <v>142.028916624</v>
      </c>
      <c r="X149" s="728">
        <v>151.82563460399999</v>
      </c>
      <c r="Y149" s="728">
        <v>158.69992823999999</v>
      </c>
      <c r="Z149" s="728">
        <v>164.74156271999999</v>
      </c>
      <c r="AA149" s="728">
        <v>161.582447124</v>
      </c>
      <c r="AB149" s="728">
        <v>171.16153109999999</v>
      </c>
      <c r="AC149" s="728">
        <v>182.74043793600001</v>
      </c>
      <c r="AD149" s="728">
        <v>188.926108812</v>
      </c>
      <c r="AE149" s="728">
        <v>191.34131360399999</v>
      </c>
      <c r="AF149" s="728">
        <v>198.81032320799997</v>
      </c>
      <c r="AG149" s="728">
        <v>197.967787668</v>
      </c>
      <c r="AH149" s="728">
        <v>180.154361268</v>
      </c>
      <c r="AI149" s="728">
        <v>170.665492032</v>
      </c>
      <c r="AJ149" s="728">
        <v>170.80425406800001</v>
      </c>
    </row>
    <row r="150" spans="2:36">
      <c r="B150" s="456">
        <v>35</v>
      </c>
      <c r="D150" s="6" t="s">
        <v>1615</v>
      </c>
      <c r="E150" s="728">
        <v>347.800704</v>
      </c>
      <c r="F150" s="728">
        <v>298.94707199999999</v>
      </c>
      <c r="G150" s="728">
        <v>377.12652800000001</v>
      </c>
      <c r="H150" s="728">
        <v>350.59264000000002</v>
      </c>
      <c r="I150" s="728">
        <v>398.33894400000003</v>
      </c>
      <c r="J150" s="728">
        <v>372.96486399999992</v>
      </c>
      <c r="K150" s="728">
        <v>479.31033600000001</v>
      </c>
      <c r="L150" s="728">
        <v>536.37708799999996</v>
      </c>
      <c r="M150" s="728">
        <v>583.99219200000005</v>
      </c>
      <c r="N150" s="728">
        <v>502.07615999999996</v>
      </c>
      <c r="O150" s="728">
        <v>613.53318400000001</v>
      </c>
      <c r="P150" s="728">
        <v>493.71609599999999</v>
      </c>
      <c r="Q150" s="728">
        <v>582.55423999999994</v>
      </c>
      <c r="R150" s="728">
        <v>612.95590400000003</v>
      </c>
      <c r="S150" s="728">
        <v>749.43014400000004</v>
      </c>
      <c r="T150" s="728">
        <v>698.66624000000002</v>
      </c>
      <c r="U150" s="728">
        <v>628.85209599999985</v>
      </c>
      <c r="V150" s="728">
        <v>562.45439999999985</v>
      </c>
      <c r="W150" s="728">
        <v>477.17439999999999</v>
      </c>
      <c r="X150" s="728">
        <v>471.868672</v>
      </c>
      <c r="Y150" s="728">
        <v>490.57254399999999</v>
      </c>
      <c r="Z150" s="728">
        <v>487.31878399999999</v>
      </c>
      <c r="AA150" s="728">
        <v>453.92051199999997</v>
      </c>
      <c r="AB150" s="728">
        <v>517.83590400000003</v>
      </c>
      <c r="AC150" s="728">
        <v>442.60582399999998</v>
      </c>
      <c r="AD150" s="728">
        <v>428.05836799999997</v>
      </c>
      <c r="AE150" s="728">
        <v>420.02368000000001</v>
      </c>
      <c r="AF150" s="728">
        <v>436.17702400000002</v>
      </c>
      <c r="AG150" s="728">
        <v>447.08761600000003</v>
      </c>
      <c r="AH150" s="728">
        <v>396.69107200000002</v>
      </c>
      <c r="AI150" s="728">
        <v>354.60736000000003</v>
      </c>
      <c r="AJ150" s="728">
        <v>354.81727999999993</v>
      </c>
    </row>
    <row r="151" spans="2:36">
      <c r="B151" s="456">
        <v>36</v>
      </c>
      <c r="D151" s="6" t="s">
        <v>1616</v>
      </c>
      <c r="E151" s="728">
        <v>753.92392500000005</v>
      </c>
      <c r="F151" s="728">
        <v>827.29562499999997</v>
      </c>
      <c r="G151" s="728">
        <v>814.51557500000001</v>
      </c>
      <c r="H151" s="728">
        <v>844.07745</v>
      </c>
      <c r="I151" s="728">
        <v>838.64272500000004</v>
      </c>
      <c r="J151" s="728">
        <v>801.01322500000003</v>
      </c>
      <c r="K151" s="728">
        <v>729.64532499999996</v>
      </c>
      <c r="L151" s="728">
        <v>861.24372500000004</v>
      </c>
      <c r="M151" s="728">
        <v>818.66880000000003</v>
      </c>
      <c r="N151" s="728">
        <v>811.14289999999994</v>
      </c>
      <c r="O151" s="728">
        <v>722.15437499999985</v>
      </c>
      <c r="P151" s="728">
        <v>662.45394999999996</v>
      </c>
      <c r="Q151" s="728">
        <v>632.06492500000002</v>
      </c>
      <c r="R151" s="728">
        <v>699.37862500000006</v>
      </c>
      <c r="S151" s="728">
        <v>779.48985000000005</v>
      </c>
      <c r="T151" s="728">
        <v>707.98215000000005</v>
      </c>
      <c r="U151" s="728">
        <v>790.63890000000004</v>
      </c>
      <c r="V151" s="728">
        <v>744.09132499999998</v>
      </c>
      <c r="W151" s="728">
        <v>647.76329999999996</v>
      </c>
      <c r="X151" s="728">
        <v>424.776475</v>
      </c>
      <c r="Y151" s="728">
        <v>452.52095000000003</v>
      </c>
      <c r="Z151" s="728">
        <v>388.52749999999997</v>
      </c>
      <c r="AA151" s="728">
        <v>287.24239999999998</v>
      </c>
      <c r="AB151" s="728">
        <v>223.91882499999997</v>
      </c>
      <c r="AC151" s="728">
        <v>247.22465</v>
      </c>
      <c r="AD151" s="728">
        <v>229.03899999999999</v>
      </c>
      <c r="AE151" s="728">
        <v>222.45675</v>
      </c>
      <c r="AF151" s="728">
        <v>262.92885000000001</v>
      </c>
      <c r="AG151" s="728">
        <v>239.0813</v>
      </c>
      <c r="AH151" s="728">
        <v>234.08927499999999</v>
      </c>
      <c r="AI151" s="728">
        <v>217.01037500000001</v>
      </c>
      <c r="AJ151" s="728">
        <v>216.89387500000001</v>
      </c>
    </row>
    <row r="152" spans="2:36">
      <c r="B152" s="456">
        <v>37</v>
      </c>
      <c r="D152" s="6" t="s">
        <v>1617</v>
      </c>
      <c r="E152" s="728">
        <v>251.29147799899997</v>
      </c>
      <c r="F152" s="728">
        <v>295.16232000100001</v>
      </c>
      <c r="G152" s="728">
        <v>323.80196999999998</v>
      </c>
      <c r="H152" s="728">
        <v>333.578873999</v>
      </c>
      <c r="I152" s="728">
        <v>340.04888399999999</v>
      </c>
      <c r="J152" s="728">
        <v>339.241872</v>
      </c>
      <c r="K152" s="728">
        <v>356.374643999</v>
      </c>
      <c r="L152" s="728">
        <v>330.19777200099998</v>
      </c>
      <c r="M152" s="728">
        <v>295.15768200100001</v>
      </c>
      <c r="N152" s="728">
        <v>366.39736199899994</v>
      </c>
      <c r="O152" s="728">
        <v>344.49672600000002</v>
      </c>
      <c r="P152" s="728">
        <v>264.20366999999999</v>
      </c>
      <c r="Q152" s="728">
        <v>224.71573799999999</v>
      </c>
      <c r="R152" s="728">
        <v>221.69640000000001</v>
      </c>
      <c r="S152" s="728">
        <v>223.31042400000001</v>
      </c>
      <c r="T152" s="728">
        <v>197.00591887799999</v>
      </c>
      <c r="U152" s="728">
        <v>140.65054558200001</v>
      </c>
      <c r="V152" s="728">
        <v>180.06334662</v>
      </c>
      <c r="W152" s="728">
        <v>153.64088324400001</v>
      </c>
      <c r="X152" s="728">
        <v>128.031011382</v>
      </c>
      <c r="Y152" s="728">
        <v>156.10362413999997</v>
      </c>
      <c r="Z152" s="728">
        <v>54.890164163999998</v>
      </c>
      <c r="AA152" s="728">
        <v>84.751528296000004</v>
      </c>
      <c r="AB152" s="728">
        <v>94.586564988000006</v>
      </c>
      <c r="AC152" s="728">
        <v>88.736298461999993</v>
      </c>
      <c r="AD152" s="728">
        <v>161.092586238</v>
      </c>
      <c r="AE152" s="728">
        <v>112.59575665799998</v>
      </c>
      <c r="AF152" s="728">
        <v>173.416777236</v>
      </c>
      <c r="AG152" s="728">
        <v>224.56171001999999</v>
      </c>
      <c r="AH152" s="728">
        <v>334.55773781400001</v>
      </c>
      <c r="AI152" s="728">
        <v>354.31124881800002</v>
      </c>
      <c r="AJ152" s="728">
        <v>435.91840790999998</v>
      </c>
    </row>
    <row r="153" spans="2:36">
      <c r="B153" s="456">
        <v>38</v>
      </c>
      <c r="D153" s="6" t="s">
        <v>1604</v>
      </c>
      <c r="E153" s="728">
        <v>714.21500000000003</v>
      </c>
      <c r="F153" s="728">
        <v>692.649</v>
      </c>
      <c r="G153" s="728">
        <v>797.70600000000002</v>
      </c>
      <c r="H153" s="728">
        <v>725.29600000000005</v>
      </c>
      <c r="I153" s="728">
        <v>723.1579999999999</v>
      </c>
      <c r="J153" s="728">
        <v>721.29399999999998</v>
      </c>
      <c r="K153" s="728">
        <v>756.83799999999997</v>
      </c>
      <c r="L153" s="728">
        <v>727.41</v>
      </c>
      <c r="M153" s="728">
        <v>858.48500000000001</v>
      </c>
      <c r="N153" s="728">
        <v>935.76400000000001</v>
      </c>
      <c r="O153" s="728">
        <v>796.06899999999985</v>
      </c>
      <c r="P153" s="728">
        <v>857.57500000000005</v>
      </c>
      <c r="Q153" s="728">
        <v>842.08199999999999</v>
      </c>
      <c r="R153" s="728">
        <v>824.68799999999999</v>
      </c>
      <c r="S153" s="728">
        <v>936.76400000000001</v>
      </c>
      <c r="T153" s="728">
        <v>893.53300000000002</v>
      </c>
      <c r="U153" s="728">
        <v>937.85</v>
      </c>
      <c r="V153" s="728">
        <v>909.53599999999983</v>
      </c>
      <c r="W153" s="728">
        <v>870.15</v>
      </c>
      <c r="X153" s="728">
        <v>804.67499999999995</v>
      </c>
      <c r="Y153" s="728">
        <v>693.9849999999999</v>
      </c>
      <c r="Z153" s="728">
        <v>662.69600000000003</v>
      </c>
      <c r="AA153" s="728">
        <v>716.74699999999984</v>
      </c>
      <c r="AB153" s="728">
        <v>663.26099999999997</v>
      </c>
      <c r="AC153" s="728">
        <v>653.46400000000006</v>
      </c>
      <c r="AD153" s="728">
        <v>663.28599999999994</v>
      </c>
      <c r="AE153" s="728">
        <v>652.68799999999987</v>
      </c>
      <c r="AF153" s="728">
        <v>610.07100000000003</v>
      </c>
      <c r="AG153" s="728">
        <v>628.62300000000005</v>
      </c>
      <c r="AH153" s="728">
        <v>602.32499999999993</v>
      </c>
      <c r="AI153" s="728">
        <v>495.16800000000001</v>
      </c>
      <c r="AJ153" s="728">
        <v>514.91899999999998</v>
      </c>
    </row>
    <row r="154" spans="2:36">
      <c r="B154" s="456">
        <v>39</v>
      </c>
      <c r="D154" s="6" t="s">
        <v>1618</v>
      </c>
      <c r="E154" s="728">
        <v>1473.21</v>
      </c>
      <c r="F154" s="728">
        <v>1426.5540000000001</v>
      </c>
      <c r="G154" s="728">
        <v>1446.96</v>
      </c>
      <c r="H154" s="728">
        <v>1430.19</v>
      </c>
      <c r="I154" s="728">
        <v>1439.4059999999999</v>
      </c>
      <c r="J154" s="728">
        <v>1417.452</v>
      </c>
      <c r="K154" s="728">
        <v>1437.09</v>
      </c>
      <c r="L154" s="728">
        <v>1447.1039999999998</v>
      </c>
      <c r="M154" s="728">
        <v>1437.2339999999999</v>
      </c>
      <c r="N154" s="728">
        <v>1437.12</v>
      </c>
      <c r="O154" s="728">
        <v>1448.19</v>
      </c>
      <c r="P154" s="728">
        <v>1466.5920000000001</v>
      </c>
      <c r="Q154" s="728">
        <v>1461.1020000000001</v>
      </c>
      <c r="R154" s="728">
        <v>1536.3059999999998</v>
      </c>
      <c r="S154" s="728">
        <v>1546.134</v>
      </c>
      <c r="T154" s="728">
        <v>1497.0840000000001</v>
      </c>
      <c r="U154" s="728">
        <v>1553.3579999999999</v>
      </c>
      <c r="V154" s="728">
        <v>1526.856</v>
      </c>
      <c r="W154" s="728">
        <v>1470.3</v>
      </c>
      <c r="X154" s="728">
        <v>1455.0179999999998</v>
      </c>
      <c r="Y154" s="728">
        <v>1471.8119999999999</v>
      </c>
      <c r="Z154" s="728">
        <v>1486.9739999999999</v>
      </c>
      <c r="AA154" s="728">
        <v>1480.818</v>
      </c>
      <c r="AB154" s="728">
        <v>1537.296</v>
      </c>
      <c r="AC154" s="728">
        <v>1516.944</v>
      </c>
      <c r="AD154" s="728">
        <v>1495.0259999999998</v>
      </c>
      <c r="AE154" s="728">
        <v>1604.700167</v>
      </c>
      <c r="AF154" s="728">
        <v>1582.8214069999999</v>
      </c>
      <c r="AG154" s="728">
        <v>1612.156549</v>
      </c>
      <c r="AH154" s="728">
        <v>1533.4747440000001</v>
      </c>
      <c r="AI154" s="728">
        <v>1404.786141</v>
      </c>
      <c r="AJ154" s="728">
        <v>1476.2316089999997</v>
      </c>
    </row>
    <row r="155" spans="2:36">
      <c r="B155" s="456">
        <v>40</v>
      </c>
      <c r="D155" s="6" t="s">
        <v>1619</v>
      </c>
      <c r="E155" s="728">
        <v>107.090688</v>
      </c>
      <c r="F155" s="728">
        <v>87.987967999999995</v>
      </c>
      <c r="G155" s="728">
        <v>104.5664</v>
      </c>
      <c r="H155" s="728">
        <v>104.582144</v>
      </c>
      <c r="I155" s="728">
        <v>81.050111999999999</v>
      </c>
      <c r="J155" s="728">
        <v>70.821759999999998</v>
      </c>
      <c r="K155" s="728">
        <v>74.542591999999999</v>
      </c>
      <c r="L155" s="728">
        <v>72.264960000000002</v>
      </c>
      <c r="M155" s="728">
        <v>107.274368</v>
      </c>
      <c r="N155" s="728">
        <v>145.39583999999999</v>
      </c>
      <c r="O155" s="728">
        <v>97.376639999999995</v>
      </c>
      <c r="P155" s="728">
        <v>78.489087999999995</v>
      </c>
      <c r="Q155" s="728">
        <v>102.38848</v>
      </c>
      <c r="R155" s="728">
        <v>80.483328</v>
      </c>
      <c r="S155" s="728">
        <v>51.042048000000001</v>
      </c>
      <c r="T155" s="728">
        <v>62.512239487999999</v>
      </c>
      <c r="U155" s="728">
        <v>70.050487680000003</v>
      </c>
      <c r="V155" s="728">
        <v>78.037613055999998</v>
      </c>
      <c r="W155" s="728">
        <v>84.885061759999999</v>
      </c>
      <c r="X155" s="728">
        <v>46.170030464</v>
      </c>
      <c r="Y155" s="728">
        <v>26.102455167999999</v>
      </c>
      <c r="Z155" s="728">
        <v>22.614177792</v>
      </c>
      <c r="AA155" s="728">
        <v>14.715166335999998</v>
      </c>
      <c r="AB155" s="728">
        <v>100.016384</v>
      </c>
      <c r="AC155" s="728">
        <v>106.11980800000001</v>
      </c>
      <c r="AD155" s="728">
        <v>99.265919999999994</v>
      </c>
      <c r="AE155" s="728">
        <v>93.577088000000003</v>
      </c>
      <c r="AF155" s="728">
        <v>100.336512</v>
      </c>
      <c r="AG155" s="728">
        <v>92.049919999999986</v>
      </c>
      <c r="AH155" s="728">
        <v>95.618560000000002</v>
      </c>
      <c r="AI155" s="728">
        <v>86.550015999999985</v>
      </c>
      <c r="AJ155" s="728">
        <v>81.228543999999999</v>
      </c>
    </row>
    <row r="156" spans="2:36">
      <c r="B156" s="456">
        <v>41</v>
      </c>
      <c r="D156" s="6" t="s">
        <v>1620</v>
      </c>
      <c r="E156" s="728">
        <v>-368.96132499999999</v>
      </c>
      <c r="F156" s="728">
        <v>-450.22590000000002</v>
      </c>
      <c r="G156" s="728">
        <v>-354.82987500000002</v>
      </c>
      <c r="H156" s="728">
        <v>-396.0068</v>
      </c>
      <c r="I156" s="728">
        <v>-279.22719999999998</v>
      </c>
      <c r="J156" s="728">
        <v>-320.89924999999994</v>
      </c>
      <c r="K156" s="728">
        <v>-112.83607499999999</v>
      </c>
      <c r="L156" s="728">
        <v>-102.875325</v>
      </c>
      <c r="M156" s="728">
        <v>-313.94420000000002</v>
      </c>
      <c r="N156" s="728">
        <v>-287.91227499999997</v>
      </c>
      <c r="O156" s="728">
        <v>-401.15027499999997</v>
      </c>
      <c r="P156" s="728">
        <v>-75.4221</v>
      </c>
      <c r="Q156" s="728">
        <v>-135.67590000000001</v>
      </c>
      <c r="R156" s="728">
        <v>-50.3979</v>
      </c>
      <c r="S156" s="728">
        <v>-75.550249999999991</v>
      </c>
      <c r="T156" s="728">
        <v>2.7843499999999994</v>
      </c>
      <c r="U156" s="728">
        <v>70.336875000000006</v>
      </c>
      <c r="V156" s="728">
        <v>65.187574999999995</v>
      </c>
      <c r="W156" s="728">
        <v>-53.718150000000001</v>
      </c>
      <c r="X156" s="728">
        <v>-77.792874999999995</v>
      </c>
      <c r="Y156" s="728">
        <v>27.96</v>
      </c>
      <c r="Z156" s="728">
        <v>56.123874999999998</v>
      </c>
      <c r="AA156" s="728">
        <v>60.084874999999997</v>
      </c>
      <c r="AB156" s="728">
        <v>16.713066699999999</v>
      </c>
      <c r="AC156" s="728">
        <v>-80.589975925000005</v>
      </c>
      <c r="AD156" s="728">
        <v>-17.7906917</v>
      </c>
      <c r="AE156" s="728">
        <v>8.5789784499999993</v>
      </c>
      <c r="AF156" s="728">
        <v>76.367841174999995</v>
      </c>
      <c r="AG156" s="728">
        <v>30.862160625000001</v>
      </c>
      <c r="AH156" s="728">
        <v>135.91637929999999</v>
      </c>
      <c r="AI156" s="728">
        <v>190.52798527499996</v>
      </c>
      <c r="AJ156" s="728">
        <v>49.021871900000001</v>
      </c>
    </row>
    <row r="157" spans="2:36">
      <c r="B157" s="456">
        <v>42</v>
      </c>
      <c r="D157" s="6" t="s">
        <v>1621</v>
      </c>
      <c r="E157" s="728">
        <v>33.299517999999999</v>
      </c>
      <c r="F157" s="728">
        <v>35.126728</v>
      </c>
      <c r="G157" s="728">
        <v>37.258473000000002</v>
      </c>
      <c r="H157" s="728">
        <v>40.026972999999998</v>
      </c>
      <c r="I157" s="728">
        <v>40.586210000000001</v>
      </c>
      <c r="J157" s="728">
        <v>40.591746999999998</v>
      </c>
      <c r="K157" s="728">
        <v>48.664693</v>
      </c>
      <c r="L157" s="728">
        <v>43.7423</v>
      </c>
      <c r="M157" s="728">
        <v>42.369123999999999</v>
      </c>
      <c r="N157" s="728">
        <v>37.435656999999999</v>
      </c>
      <c r="O157" s="728">
        <v>33.083575000000003</v>
      </c>
      <c r="P157" s="728">
        <v>36.333793999999997</v>
      </c>
      <c r="Q157" s="728">
        <v>32.169969999999999</v>
      </c>
      <c r="R157" s="728">
        <v>31.045959</v>
      </c>
      <c r="S157" s="728">
        <v>30.769109</v>
      </c>
      <c r="T157" s="728">
        <v>31.367453831000002</v>
      </c>
      <c r="U157" s="728">
        <v>26.145730610999998</v>
      </c>
      <c r="V157" s="728">
        <v>21.886576082000001</v>
      </c>
      <c r="W157" s="728">
        <v>19.142239549999999</v>
      </c>
      <c r="X157" s="728">
        <v>12.222667260999998</v>
      </c>
      <c r="Y157" s="728">
        <v>17.082724715000001</v>
      </c>
      <c r="Z157" s="728">
        <v>15.074953145</v>
      </c>
      <c r="AA157" s="728">
        <v>15.291095477000001</v>
      </c>
      <c r="AB157" s="728">
        <v>16.488781799000002</v>
      </c>
      <c r="AC157" s="728">
        <v>14.783479928</v>
      </c>
      <c r="AD157" s="728">
        <v>12.357388007999999</v>
      </c>
      <c r="AE157" s="728">
        <v>12.84910683</v>
      </c>
      <c r="AF157" s="728">
        <v>10.161640824999997</v>
      </c>
      <c r="AG157" s="728">
        <v>12.411722589</v>
      </c>
      <c r="AH157" s="728">
        <v>10.423690423999998</v>
      </c>
      <c r="AI157" s="728">
        <v>9.2053898509999996</v>
      </c>
      <c r="AJ157" s="728">
        <v>11.791190998999999</v>
      </c>
    </row>
    <row r="158" spans="2:36">
      <c r="B158" s="456">
        <v>43</v>
      </c>
      <c r="C158" s="458" t="s">
        <v>1445</v>
      </c>
      <c r="D158" s="4"/>
      <c r="E158" s="727">
        <v>22245.487667015866</v>
      </c>
      <c r="F158" s="727">
        <v>21743.140806419928</v>
      </c>
      <c r="G158" s="727">
        <v>22336.023169549855</v>
      </c>
      <c r="H158" s="727">
        <v>22681.951841792681</v>
      </c>
      <c r="I158" s="727">
        <v>23376.559025152605</v>
      </c>
      <c r="J158" s="727">
        <v>23773.976469330817</v>
      </c>
      <c r="K158" s="727">
        <v>24396.284175957229</v>
      </c>
      <c r="L158" s="727">
        <v>24731.585802663329</v>
      </c>
      <c r="M158" s="727">
        <v>25244.655594583295</v>
      </c>
      <c r="N158" s="727">
        <v>26113.18807500296</v>
      </c>
      <c r="O158" s="727">
        <v>26558.685909046995</v>
      </c>
      <c r="P158" s="727">
        <v>26142.707080207096</v>
      </c>
      <c r="Q158" s="727">
        <v>26701.596939669711</v>
      </c>
      <c r="R158" s="727">
        <v>26641.94978761809</v>
      </c>
      <c r="S158" s="727">
        <v>27367.185205455229</v>
      </c>
      <c r="T158" s="727">
        <v>27707.387122542666</v>
      </c>
      <c r="U158" s="727">
        <v>27603.752618791885</v>
      </c>
      <c r="V158" s="727">
        <v>27595.36431409897</v>
      </c>
      <c r="W158" s="727">
        <v>26355.068614098807</v>
      </c>
      <c r="X158" s="727">
        <v>25206.475977828424</v>
      </c>
      <c r="Y158" s="727">
        <v>25516.474646000759</v>
      </c>
      <c r="Z158" s="727">
        <v>25090.413441877394</v>
      </c>
      <c r="AA158" s="727">
        <v>24883.111677241861</v>
      </c>
      <c r="AB158" s="727">
        <v>25020.633793397235</v>
      </c>
      <c r="AC158" s="727">
        <v>25602.226218706473</v>
      </c>
      <c r="AD158" s="727">
        <v>25870.683519914703</v>
      </c>
      <c r="AE158" s="727">
        <v>26488.315184236348</v>
      </c>
      <c r="AF158" s="727">
        <v>26828.557748585175</v>
      </c>
      <c r="AG158" s="727">
        <v>27357.093745964059</v>
      </c>
      <c r="AH158" s="727">
        <v>27325.033302974785</v>
      </c>
      <c r="AI158" s="727">
        <v>23274.270149600085</v>
      </c>
      <c r="AJ158" s="727">
        <v>25959.56350968191</v>
      </c>
    </row>
    <row r="159" spans="2:36">
      <c r="B159" s="456">
        <v>44</v>
      </c>
      <c r="D159" s="45" t="s">
        <v>1435</v>
      </c>
      <c r="E159" s="728">
        <v>0</v>
      </c>
      <c r="F159" s="728">
        <v>0</v>
      </c>
      <c r="G159" s="728">
        <v>0</v>
      </c>
      <c r="H159" s="728">
        <v>0</v>
      </c>
      <c r="I159" s="728">
        <v>0</v>
      </c>
      <c r="J159" s="728">
        <v>0</v>
      </c>
      <c r="K159" s="728">
        <v>0</v>
      </c>
      <c r="L159" s="728">
        <v>0</v>
      </c>
      <c r="M159" s="728">
        <v>0</v>
      </c>
      <c r="N159" s="728">
        <v>0</v>
      </c>
      <c r="O159" s="728">
        <v>0</v>
      </c>
      <c r="P159" s="728">
        <v>0</v>
      </c>
      <c r="Q159" s="728">
        <v>0</v>
      </c>
      <c r="R159" s="728">
        <v>0</v>
      </c>
      <c r="S159" s="728">
        <v>0</v>
      </c>
      <c r="T159" s="728">
        <v>0</v>
      </c>
      <c r="U159" s="728">
        <v>0</v>
      </c>
      <c r="V159" s="728">
        <v>0</v>
      </c>
      <c r="W159" s="728">
        <v>0</v>
      </c>
      <c r="X159" s="728">
        <v>0</v>
      </c>
      <c r="Y159" s="728">
        <v>0</v>
      </c>
      <c r="Z159" s="728">
        <v>0</v>
      </c>
      <c r="AA159" s="728">
        <v>0</v>
      </c>
      <c r="AB159" s="728">
        <v>0</v>
      </c>
      <c r="AC159" s="728">
        <v>0</v>
      </c>
      <c r="AD159" s="728">
        <v>0</v>
      </c>
      <c r="AE159" s="728">
        <v>0</v>
      </c>
      <c r="AF159" s="728">
        <v>0</v>
      </c>
      <c r="AG159" s="728">
        <v>0</v>
      </c>
      <c r="AH159" s="728">
        <v>0</v>
      </c>
      <c r="AI159" s="728">
        <v>0</v>
      </c>
      <c r="AJ159" s="728">
        <v>0</v>
      </c>
    </row>
    <row r="160" spans="2:36">
      <c r="B160" s="456">
        <v>45</v>
      </c>
      <c r="D160" s="45" t="s">
        <v>1439</v>
      </c>
      <c r="E160" s="728">
        <v>679.22799999999995</v>
      </c>
      <c r="F160" s="728">
        <v>620.32399999999996</v>
      </c>
      <c r="G160" s="728">
        <v>608.10599999999999</v>
      </c>
      <c r="H160" s="728">
        <v>644.101</v>
      </c>
      <c r="I160" s="728">
        <v>708.53800000000001</v>
      </c>
      <c r="J160" s="728">
        <v>723.952</v>
      </c>
      <c r="K160" s="728">
        <v>736.88599999999997</v>
      </c>
      <c r="L160" s="728">
        <v>780.31200000000001</v>
      </c>
      <c r="M160" s="728">
        <v>666.09699999999998</v>
      </c>
      <c r="N160" s="728">
        <v>675.33500000000004</v>
      </c>
      <c r="O160" s="728">
        <v>671.99099999999999</v>
      </c>
      <c r="P160" s="728">
        <v>658.04600000000005</v>
      </c>
      <c r="Q160" s="728">
        <v>698.91600000000005</v>
      </c>
      <c r="R160" s="728">
        <v>627.44600000000003</v>
      </c>
      <c r="S160" s="728">
        <v>601.95500000000004</v>
      </c>
      <c r="T160" s="728">
        <v>623.90300000000002</v>
      </c>
      <c r="U160" s="728">
        <v>624.97500000000002</v>
      </c>
      <c r="V160" s="728">
        <v>663.46199999999999</v>
      </c>
      <c r="W160" s="728">
        <v>692.13400000000001</v>
      </c>
      <c r="X160" s="728">
        <v>714.87199999999996</v>
      </c>
      <c r="Y160" s="728">
        <v>718.952</v>
      </c>
      <c r="Z160" s="728">
        <v>733.548</v>
      </c>
      <c r="AA160" s="728">
        <v>779.779</v>
      </c>
      <c r="AB160" s="728">
        <v>887.27299999999991</v>
      </c>
      <c r="AC160" s="728">
        <v>759.702</v>
      </c>
      <c r="AD160" s="728">
        <v>744.84100000000001</v>
      </c>
      <c r="AE160" s="728">
        <v>757.18200000000002</v>
      </c>
      <c r="AF160" s="728">
        <v>798.56399999999996</v>
      </c>
      <c r="AG160" s="728">
        <v>962.17200000000003</v>
      </c>
      <c r="AH160" s="728">
        <v>1114.1110000000001</v>
      </c>
      <c r="AI160" s="728">
        <v>1108.6599999999999</v>
      </c>
      <c r="AJ160" s="728">
        <v>1230.2180000000001</v>
      </c>
    </row>
    <row r="161" spans="2:36">
      <c r="B161" s="456">
        <v>46</v>
      </c>
      <c r="D161" s="45" t="s">
        <v>1622</v>
      </c>
      <c r="E161" s="728">
        <v>44.978000000000002</v>
      </c>
      <c r="F161" s="728">
        <v>41.722000000000001</v>
      </c>
      <c r="G161" s="728">
        <v>41.055</v>
      </c>
      <c r="H161" s="728">
        <v>38.395000000000003</v>
      </c>
      <c r="I161" s="728">
        <v>38.137999999999998</v>
      </c>
      <c r="J161" s="728">
        <v>39.581000000000003</v>
      </c>
      <c r="K161" s="728">
        <v>37.354999999999997</v>
      </c>
      <c r="L161" s="728">
        <v>39.697000000000003</v>
      </c>
      <c r="M161" s="728">
        <v>35.497999999999998</v>
      </c>
      <c r="N161" s="728">
        <v>39.171999999999997</v>
      </c>
      <c r="O161" s="728">
        <v>36.284999999999997</v>
      </c>
      <c r="P161" s="728">
        <v>34.936999999999998</v>
      </c>
      <c r="Q161" s="728">
        <v>33.731000000000002</v>
      </c>
      <c r="R161" s="728">
        <v>30.222000000000001</v>
      </c>
      <c r="S161" s="728">
        <v>31.242000000000001</v>
      </c>
      <c r="T161" s="728">
        <v>35.366</v>
      </c>
      <c r="U161" s="728">
        <v>33.448</v>
      </c>
      <c r="V161" s="728">
        <v>31.59</v>
      </c>
      <c r="W161" s="728">
        <v>28.283999999999999</v>
      </c>
      <c r="X161" s="728">
        <v>26.557999999999996</v>
      </c>
      <c r="Y161" s="728">
        <v>27.047000000000001</v>
      </c>
      <c r="Z161" s="728">
        <v>27.056999999999999</v>
      </c>
      <c r="AA161" s="728">
        <v>25.114000000000001</v>
      </c>
      <c r="AB161" s="728">
        <v>22.358000000000001</v>
      </c>
      <c r="AC161" s="728">
        <v>21.695999999999998</v>
      </c>
      <c r="AD161" s="728">
        <v>21.140999999999995</v>
      </c>
      <c r="AE161" s="728">
        <v>20.465</v>
      </c>
      <c r="AF161" s="728">
        <v>20.949000000000002</v>
      </c>
      <c r="AG161" s="728">
        <v>22.393000000000001</v>
      </c>
      <c r="AH161" s="728">
        <v>23.387</v>
      </c>
      <c r="AI161" s="728">
        <v>20.202000000000002</v>
      </c>
      <c r="AJ161" s="728">
        <v>21.55</v>
      </c>
    </row>
    <row r="162" spans="2:36">
      <c r="B162" s="456">
        <v>47</v>
      </c>
      <c r="D162" s="45" t="s">
        <v>1598</v>
      </c>
      <c r="E162" s="728">
        <v>3712.8010494047617</v>
      </c>
      <c r="F162" s="728">
        <v>3598.9672351190479</v>
      </c>
      <c r="G162" s="728">
        <v>3811.6465839285711</v>
      </c>
      <c r="H162" s="728">
        <v>4036.036401785715</v>
      </c>
      <c r="I162" s="728">
        <v>4308.1451744047627</v>
      </c>
      <c r="J162" s="728">
        <v>4508.9989410714297</v>
      </c>
      <c r="K162" s="728">
        <v>4713.094042857143</v>
      </c>
      <c r="L162" s="728">
        <v>4927.6624946428565</v>
      </c>
      <c r="M162" s="728">
        <v>5113.9790029761907</v>
      </c>
      <c r="N162" s="728">
        <v>5364.8889363095241</v>
      </c>
      <c r="O162" s="728">
        <v>5528.261324458158</v>
      </c>
      <c r="P162" s="728">
        <v>5489.3510178571441</v>
      </c>
      <c r="Q162" s="728">
        <v>5678.4138750000002</v>
      </c>
      <c r="R162" s="728">
        <v>5814.7696357142859</v>
      </c>
      <c r="S162" s="728">
        <v>6061.2517369047628</v>
      </c>
      <c r="T162" s="728">
        <v>6320.699455952381</v>
      </c>
      <c r="U162" s="728">
        <v>6477.9353452380956</v>
      </c>
      <c r="V162" s="728">
        <v>6551.0562928571426</v>
      </c>
      <c r="W162" s="728">
        <v>6229.1028145244054</v>
      </c>
      <c r="X162" s="728">
        <v>5605.7221304398809</v>
      </c>
      <c r="Y162" s="728">
        <v>5857.5844457255953</v>
      </c>
      <c r="Z162" s="728">
        <v>5875.2594188077364</v>
      </c>
      <c r="AA162" s="728">
        <v>5843.1484955148835</v>
      </c>
      <c r="AB162" s="728">
        <v>5870.6860832964303</v>
      </c>
      <c r="AC162" s="728">
        <v>6073.8520259787183</v>
      </c>
      <c r="AD162" s="728">
        <v>6268.1546686932488</v>
      </c>
      <c r="AE162" s="728">
        <v>6221.6073754624076</v>
      </c>
      <c r="AF162" s="728">
        <v>6409.1572999197597</v>
      </c>
      <c r="AG162" s="728">
        <v>6562.291516890692</v>
      </c>
      <c r="AH162" s="728">
        <v>6529.2831441386024</v>
      </c>
      <c r="AI162" s="728">
        <v>6137.8151879677062</v>
      </c>
      <c r="AJ162" s="728">
        <v>6580.3258127062254</v>
      </c>
    </row>
    <row r="163" spans="2:36">
      <c r="B163" s="456">
        <v>48</v>
      </c>
      <c r="D163" s="45" t="s">
        <v>1623</v>
      </c>
      <c r="E163" s="728">
        <v>3129.4879999999998</v>
      </c>
      <c r="F163" s="728">
        <v>3025.0039999999999</v>
      </c>
      <c r="G163" s="728">
        <v>3001.3290000000002</v>
      </c>
      <c r="H163" s="728">
        <v>3028.0059999999999</v>
      </c>
      <c r="I163" s="728">
        <v>3154.4989999999998</v>
      </c>
      <c r="J163" s="728">
        <v>3132.1959999999999</v>
      </c>
      <c r="K163" s="728">
        <v>3274.2370000000001</v>
      </c>
      <c r="L163" s="728">
        <v>3308.1669999999999</v>
      </c>
      <c r="M163" s="728">
        <v>3356.7829999999999</v>
      </c>
      <c r="N163" s="728">
        <v>3461.7829999999999</v>
      </c>
      <c r="O163" s="728">
        <v>3580.3499999999995</v>
      </c>
      <c r="P163" s="728">
        <v>3425.9859999999999</v>
      </c>
      <c r="Q163" s="728">
        <v>3340.3180000000002</v>
      </c>
      <c r="R163" s="728">
        <v>3265.4569999999999</v>
      </c>
      <c r="S163" s="728">
        <v>3382.5299999999997</v>
      </c>
      <c r="T163" s="728">
        <v>3474.7539999999999</v>
      </c>
      <c r="U163" s="728">
        <v>3379.3809999999999</v>
      </c>
      <c r="V163" s="728">
        <v>3357.6089999999999</v>
      </c>
      <c r="W163" s="728">
        <v>3192.8389999999995</v>
      </c>
      <c r="X163" s="728">
        <v>2883.277</v>
      </c>
      <c r="Y163" s="728">
        <v>2962.8689999999997</v>
      </c>
      <c r="Z163" s="728">
        <v>2949.8180000000002</v>
      </c>
      <c r="AA163" s="728">
        <v>2901.4340000000002</v>
      </c>
      <c r="AB163" s="728">
        <v>2968.5590000000002</v>
      </c>
      <c r="AC163" s="728">
        <v>3042.0889999999999</v>
      </c>
      <c r="AD163" s="728">
        <v>3204.165</v>
      </c>
      <c r="AE163" s="728">
        <v>3349.8769999999995</v>
      </c>
      <c r="AF163" s="728">
        <v>3481.3459999999995</v>
      </c>
      <c r="AG163" s="728">
        <v>3532.7570000000001</v>
      </c>
      <c r="AH163" s="728">
        <v>3608.0210000000002</v>
      </c>
      <c r="AI163" s="728">
        <v>2233.8429999999998</v>
      </c>
      <c r="AJ163" s="728">
        <v>2835.0430000000001</v>
      </c>
    </row>
    <row r="164" spans="2:36">
      <c r="B164" s="456">
        <v>49</v>
      </c>
      <c r="D164" s="45" t="s">
        <v>1624</v>
      </c>
      <c r="E164" s="728">
        <v>22.914999999999999</v>
      </c>
      <c r="F164" s="728">
        <v>21.158999999999995</v>
      </c>
      <c r="G164" s="728">
        <v>19.437000000000001</v>
      </c>
      <c r="H164" s="728">
        <v>20.27</v>
      </c>
      <c r="I164" s="728">
        <v>34.045999999999999</v>
      </c>
      <c r="J164" s="728">
        <v>17.753</v>
      </c>
      <c r="K164" s="728">
        <v>15.655999999999999</v>
      </c>
      <c r="L164" s="728">
        <v>14.241</v>
      </c>
      <c r="M164" s="728">
        <v>17.667000000000002</v>
      </c>
      <c r="N164" s="728">
        <v>14.29</v>
      </c>
      <c r="O164" s="728">
        <v>11.898999999999999</v>
      </c>
      <c r="P164" s="728">
        <v>13.738</v>
      </c>
      <c r="Q164" s="728">
        <v>14.3</v>
      </c>
      <c r="R164" s="728">
        <v>17.893999999999995</v>
      </c>
      <c r="S164" s="728">
        <v>19.129000000000001</v>
      </c>
      <c r="T164" s="728">
        <v>28.234999999999999</v>
      </c>
      <c r="U164" s="728">
        <v>27.501999999999999</v>
      </c>
      <c r="V164" s="728">
        <v>21.972999999999999</v>
      </c>
      <c r="W164" s="728">
        <v>40.197000000000003</v>
      </c>
      <c r="X164" s="728">
        <v>28.07</v>
      </c>
      <c r="Y164" s="728">
        <v>4.484</v>
      </c>
      <c r="Z164" s="728">
        <v>4.5110000000000001</v>
      </c>
      <c r="AA164" s="728">
        <v>4.3689999999999998</v>
      </c>
      <c r="AB164" s="728">
        <v>5.1950000000000003</v>
      </c>
      <c r="AC164" s="728">
        <v>5.9820000000000002</v>
      </c>
      <c r="AD164" s="728">
        <v>7.6689999999999996</v>
      </c>
      <c r="AE164" s="728">
        <v>8.8330000000000002</v>
      </c>
      <c r="AF164" s="728">
        <v>9.1419999999999995</v>
      </c>
      <c r="AG164" s="728">
        <v>8.9289999999999985</v>
      </c>
      <c r="AH164" s="728">
        <v>8.6929999999999996</v>
      </c>
      <c r="AI164" s="728">
        <v>4.5679999999999996</v>
      </c>
      <c r="AJ164" s="728">
        <v>4.5679999999999996</v>
      </c>
    </row>
    <row r="165" spans="2:36">
      <c r="B165" s="456">
        <v>50</v>
      </c>
      <c r="D165" s="45" t="s">
        <v>1610</v>
      </c>
      <c r="E165" s="728">
        <v>176</v>
      </c>
      <c r="F165" s="728">
        <v>157.44999999999999</v>
      </c>
      <c r="G165" s="728">
        <v>160.52699999999996</v>
      </c>
      <c r="H165" s="728">
        <v>163.458</v>
      </c>
      <c r="I165" s="728">
        <v>170.846</v>
      </c>
      <c r="J165" s="728">
        <v>167.91300000000001</v>
      </c>
      <c r="K165" s="728">
        <v>162.95699999999999</v>
      </c>
      <c r="L165" s="728">
        <v>172.14599999999999</v>
      </c>
      <c r="M165" s="728">
        <v>180.21199999999999</v>
      </c>
      <c r="N165" s="728">
        <v>182.09700000000001</v>
      </c>
      <c r="O165" s="728">
        <v>179.36600000000001</v>
      </c>
      <c r="P165" s="728">
        <v>164.33899999999997</v>
      </c>
      <c r="Q165" s="728">
        <v>162.392</v>
      </c>
      <c r="R165" s="728">
        <v>150.13399999999999</v>
      </c>
      <c r="S165" s="728">
        <v>152.102</v>
      </c>
      <c r="T165" s="728">
        <v>151.30699999999999</v>
      </c>
      <c r="U165" s="728">
        <v>147.41399999999999</v>
      </c>
      <c r="V165" s="728">
        <v>152.23099999999999</v>
      </c>
      <c r="W165" s="728">
        <v>141.33000000000001</v>
      </c>
      <c r="X165" s="728">
        <v>127.06500000000001</v>
      </c>
      <c r="Y165" s="728">
        <v>154.773</v>
      </c>
      <c r="Z165" s="728">
        <v>148.37200000000001</v>
      </c>
      <c r="AA165" s="728">
        <v>135.40799999999999</v>
      </c>
      <c r="AB165" s="728">
        <v>143.36099999999999</v>
      </c>
      <c r="AC165" s="728">
        <v>149.36099999999999</v>
      </c>
      <c r="AD165" s="728">
        <v>162.81100000000001</v>
      </c>
      <c r="AE165" s="728">
        <v>154.351</v>
      </c>
      <c r="AF165" s="728">
        <v>141.983</v>
      </c>
      <c r="AG165" s="728">
        <v>136.98599999999999</v>
      </c>
      <c r="AH165" s="728">
        <v>131.32900000000001</v>
      </c>
      <c r="AI165" s="728">
        <v>115.61499999999999</v>
      </c>
      <c r="AJ165" s="728">
        <v>118.586</v>
      </c>
    </row>
    <row r="166" spans="2:36">
      <c r="B166" s="456">
        <v>51</v>
      </c>
      <c r="D166" s="45" t="s">
        <v>1601</v>
      </c>
      <c r="E166" s="728">
        <v>13464.072617611104</v>
      </c>
      <c r="F166" s="728">
        <v>13252.593571300882</v>
      </c>
      <c r="G166" s="728">
        <v>13623.953585621284</v>
      </c>
      <c r="H166" s="728">
        <v>13850.228440006968</v>
      </c>
      <c r="I166" s="728">
        <v>14079.756850747843</v>
      </c>
      <c r="J166" s="728">
        <v>14273.068528259388</v>
      </c>
      <c r="K166" s="728">
        <v>14604.797133100084</v>
      </c>
      <c r="L166" s="728">
        <v>14777.650308020475</v>
      </c>
      <c r="M166" s="728">
        <v>15200.709591607108</v>
      </c>
      <c r="N166" s="728">
        <v>15710.173138693437</v>
      </c>
      <c r="O166" s="728">
        <v>15662.993584588839</v>
      </c>
      <c r="P166" s="728">
        <v>15770.776062349951</v>
      </c>
      <c r="Q166" s="728">
        <v>16096.71506466971</v>
      </c>
      <c r="R166" s="728">
        <v>16165.098151903805</v>
      </c>
      <c r="S166" s="728">
        <v>16379.467468550463</v>
      </c>
      <c r="T166" s="728">
        <v>16235.680666590284</v>
      </c>
      <c r="U166" s="728">
        <v>16007.419273553787</v>
      </c>
      <c r="V166" s="728">
        <v>15823.800021241826</v>
      </c>
      <c r="W166" s="728">
        <v>15105.259799574404</v>
      </c>
      <c r="X166" s="728">
        <v>15030.395847388543</v>
      </c>
      <c r="Y166" s="728">
        <v>14898.785200275166</v>
      </c>
      <c r="Z166" s="728">
        <v>14575.527023069657</v>
      </c>
      <c r="AA166" s="728">
        <v>14523.338181726976</v>
      </c>
      <c r="AB166" s="728">
        <v>14542.048710100808</v>
      </c>
      <c r="AC166" s="728">
        <v>15103.007192727755</v>
      </c>
      <c r="AD166" s="728">
        <v>14998.501851221452</v>
      </c>
      <c r="AE166" s="728">
        <v>15352.875808773939</v>
      </c>
      <c r="AF166" s="728">
        <v>15302.831448665418</v>
      </c>
      <c r="AG166" s="728">
        <v>15527.534229073368</v>
      </c>
      <c r="AH166" s="728">
        <v>15381.106158836184</v>
      </c>
      <c r="AI166" s="728">
        <v>13262.10596163238</v>
      </c>
      <c r="AJ166" s="728">
        <v>14558.906696975688</v>
      </c>
    </row>
    <row r="167" spans="2:36">
      <c r="B167" s="456">
        <v>52</v>
      </c>
      <c r="D167" s="45" t="s">
        <v>1602</v>
      </c>
      <c r="E167" s="728">
        <v>1016.005</v>
      </c>
      <c r="F167" s="728">
        <v>1025.921</v>
      </c>
      <c r="G167" s="728">
        <v>1069.9689999999998</v>
      </c>
      <c r="H167" s="728">
        <v>901.45699999999988</v>
      </c>
      <c r="I167" s="728">
        <v>882.58999999999992</v>
      </c>
      <c r="J167" s="728">
        <v>910.51400000000001</v>
      </c>
      <c r="K167" s="728">
        <v>851.30200000000002</v>
      </c>
      <c r="L167" s="728">
        <v>711.71</v>
      </c>
      <c r="M167" s="728">
        <v>673.71</v>
      </c>
      <c r="N167" s="728">
        <v>665.44899999999996</v>
      </c>
      <c r="O167" s="728">
        <v>887.54</v>
      </c>
      <c r="P167" s="728">
        <v>585.53399999999999</v>
      </c>
      <c r="Q167" s="728">
        <v>676.81100000000004</v>
      </c>
      <c r="R167" s="728">
        <v>570.92899999999997</v>
      </c>
      <c r="S167" s="728">
        <v>739.50800000000004</v>
      </c>
      <c r="T167" s="728">
        <v>837.44200000000001</v>
      </c>
      <c r="U167" s="728">
        <v>905.678</v>
      </c>
      <c r="V167" s="728">
        <v>993.64300000000003</v>
      </c>
      <c r="W167" s="728">
        <v>925.92200000000003</v>
      </c>
      <c r="X167" s="728">
        <v>790.51599999999996</v>
      </c>
      <c r="Y167" s="728">
        <v>891.98</v>
      </c>
      <c r="Z167" s="728">
        <v>776.32100000000003</v>
      </c>
      <c r="AA167" s="728">
        <v>670.52099999999996</v>
      </c>
      <c r="AB167" s="728">
        <v>581.15300000000002</v>
      </c>
      <c r="AC167" s="728">
        <v>446.53699999999998</v>
      </c>
      <c r="AD167" s="728">
        <v>463.4</v>
      </c>
      <c r="AE167" s="728">
        <v>623.12400000000002</v>
      </c>
      <c r="AF167" s="728">
        <v>664.58499999999992</v>
      </c>
      <c r="AG167" s="728">
        <v>604.03099999999995</v>
      </c>
      <c r="AH167" s="728">
        <v>529.10299999999995</v>
      </c>
      <c r="AI167" s="728">
        <v>391.46100000000001</v>
      </c>
      <c r="AJ167" s="728">
        <v>610.36599999999999</v>
      </c>
    </row>
    <row r="168" spans="2:36">
      <c r="B168" s="456">
        <v>53</v>
      </c>
      <c r="C168" s="458" t="s">
        <v>1474</v>
      </c>
      <c r="D168" s="4"/>
      <c r="E168" s="727">
        <v>20858.922999999995</v>
      </c>
      <c r="F168" s="727">
        <v>20825.329000000002</v>
      </c>
      <c r="G168" s="727">
        <v>20967.804</v>
      </c>
      <c r="H168" s="727">
        <v>21857.217000000001</v>
      </c>
      <c r="I168" s="727">
        <v>22296.853999999999</v>
      </c>
      <c r="J168" s="727">
        <v>22522.761000000002</v>
      </c>
      <c r="K168" s="727">
        <v>23108.737999999998</v>
      </c>
      <c r="L168" s="727">
        <v>23956.755999999998</v>
      </c>
      <c r="M168" s="727">
        <v>25196.677</v>
      </c>
      <c r="N168" s="727">
        <v>25392.841</v>
      </c>
      <c r="O168" s="727">
        <v>26657.685999999994</v>
      </c>
      <c r="P168" s="727">
        <v>26348.149999999998</v>
      </c>
      <c r="Q168" s="727">
        <v>26510.776999999998</v>
      </c>
      <c r="R168" s="727">
        <v>26635.811000000002</v>
      </c>
      <c r="S168" s="727">
        <v>27100.967000000004</v>
      </c>
      <c r="T168" s="727">
        <v>27973.853000000003</v>
      </c>
      <c r="U168" s="727">
        <v>27473.98</v>
      </c>
      <c r="V168" s="727">
        <v>28460.787000000004</v>
      </c>
      <c r="W168" s="727">
        <v>27801.215</v>
      </c>
      <c r="X168" s="727">
        <v>25630.093000000001</v>
      </c>
      <c r="Y168" s="727">
        <v>27031.422000000002</v>
      </c>
      <c r="Z168" s="727">
        <v>26042.419999999995</v>
      </c>
      <c r="AA168" s="727">
        <v>25322.245999999999</v>
      </c>
      <c r="AB168" s="727">
        <v>25081.975999999999</v>
      </c>
      <c r="AC168" s="727">
        <v>25084.55</v>
      </c>
      <c r="AD168" s="727">
        <v>24340.673999999999</v>
      </c>
      <c r="AE168" s="727">
        <v>23541.563999999998</v>
      </c>
      <c r="AF168" s="727">
        <v>22395.162</v>
      </c>
      <c r="AG168" s="727">
        <v>23234.814999999999</v>
      </c>
      <c r="AH168" s="727">
        <v>22028.247000000003</v>
      </c>
      <c r="AI168" s="727">
        <v>20413.401999999998</v>
      </c>
      <c r="AJ168" s="727">
        <v>21285.653000000002</v>
      </c>
    </row>
    <row r="169" spans="2:36">
      <c r="B169" s="456">
        <v>54</v>
      </c>
      <c r="D169" s="45" t="s">
        <v>1435</v>
      </c>
      <c r="E169" s="728">
        <v>16260.951999999999</v>
      </c>
      <c r="F169" s="728">
        <v>16249.708999999999</v>
      </c>
      <c r="G169" s="728">
        <v>16465.595000000001</v>
      </c>
      <c r="H169" s="728">
        <v>17195.927</v>
      </c>
      <c r="I169" s="728">
        <v>17260.875</v>
      </c>
      <c r="J169" s="728">
        <v>17466.285</v>
      </c>
      <c r="K169" s="728">
        <v>18429.026999999998</v>
      </c>
      <c r="L169" s="728">
        <v>18904.537999999997</v>
      </c>
      <c r="M169" s="728">
        <v>19215.682000000001</v>
      </c>
      <c r="N169" s="728">
        <v>19279.487000000001</v>
      </c>
      <c r="O169" s="728">
        <v>20220.170999999995</v>
      </c>
      <c r="P169" s="728">
        <v>19613.672999999999</v>
      </c>
      <c r="Q169" s="728">
        <v>19782.780999999999</v>
      </c>
      <c r="R169" s="728">
        <v>20184.742999999999</v>
      </c>
      <c r="S169" s="728">
        <v>20305.035</v>
      </c>
      <c r="T169" s="728">
        <v>20737.241000000002</v>
      </c>
      <c r="U169" s="728">
        <v>20461.883000000002</v>
      </c>
      <c r="V169" s="728">
        <v>20807.722000000002</v>
      </c>
      <c r="W169" s="728">
        <v>20512.955000000002</v>
      </c>
      <c r="X169" s="728">
        <v>18225.331999999999</v>
      </c>
      <c r="Y169" s="728">
        <v>19133.455000000002</v>
      </c>
      <c r="Z169" s="728">
        <v>18035.174999999999</v>
      </c>
      <c r="AA169" s="728">
        <v>15821.247999999998</v>
      </c>
      <c r="AB169" s="728">
        <v>16450.559000000001</v>
      </c>
      <c r="AC169" s="728">
        <v>16427.400000000001</v>
      </c>
      <c r="AD169" s="728">
        <v>14138.249999999998</v>
      </c>
      <c r="AE169" s="728">
        <v>12996.353999999999</v>
      </c>
      <c r="AF169" s="728">
        <v>12622.233</v>
      </c>
      <c r="AG169" s="728">
        <v>12052.957</v>
      </c>
      <c r="AH169" s="728">
        <v>10181.262000000001</v>
      </c>
      <c r="AI169" s="728">
        <v>8229.2829999999994</v>
      </c>
      <c r="AJ169" s="728">
        <v>9496.3680000000004</v>
      </c>
    </row>
    <row r="170" spans="2:36">
      <c r="B170" s="456">
        <v>55</v>
      </c>
      <c r="D170" s="45" t="s">
        <v>1439</v>
      </c>
      <c r="E170" s="728">
        <v>3308.538</v>
      </c>
      <c r="F170" s="728">
        <v>3377.3589999999999</v>
      </c>
      <c r="G170" s="728">
        <v>3511.502</v>
      </c>
      <c r="H170" s="728">
        <v>3537.5010000000002</v>
      </c>
      <c r="I170" s="728">
        <v>3977.299</v>
      </c>
      <c r="J170" s="728">
        <v>4301.9709999999995</v>
      </c>
      <c r="K170" s="728">
        <v>3862.4490000000001</v>
      </c>
      <c r="L170" s="728">
        <v>4125.5119999999997</v>
      </c>
      <c r="M170" s="728">
        <v>4674.8999999999996</v>
      </c>
      <c r="N170" s="728">
        <v>4902.1480000000001</v>
      </c>
      <c r="O170" s="728">
        <v>5293.375</v>
      </c>
      <c r="P170" s="728">
        <v>5458.1009999999997</v>
      </c>
      <c r="Q170" s="728">
        <v>5766.8119999999999</v>
      </c>
      <c r="R170" s="728">
        <v>5246.2489999999998</v>
      </c>
      <c r="S170" s="728">
        <v>5594.9350000000004</v>
      </c>
      <c r="T170" s="728">
        <v>6014.5479999999998</v>
      </c>
      <c r="U170" s="728">
        <v>6375.1390000000001</v>
      </c>
      <c r="V170" s="728">
        <v>7005.2340000000004</v>
      </c>
      <c r="W170" s="728">
        <v>6828.924</v>
      </c>
      <c r="X170" s="728">
        <v>7022.39</v>
      </c>
      <c r="Y170" s="728">
        <v>7527.6409999999996</v>
      </c>
      <c r="Z170" s="728">
        <v>7712.2049999999999</v>
      </c>
      <c r="AA170" s="728">
        <v>9286.7929999999997</v>
      </c>
      <c r="AB170" s="728">
        <v>8376.2540000000008</v>
      </c>
      <c r="AC170" s="728">
        <v>8361.6810000000005</v>
      </c>
      <c r="AD170" s="728">
        <v>9926.4590000000007</v>
      </c>
      <c r="AE170" s="728">
        <v>10301.311</v>
      </c>
      <c r="AF170" s="728">
        <v>9555.2070000000003</v>
      </c>
      <c r="AG170" s="728">
        <v>10921.508</v>
      </c>
      <c r="AH170" s="728">
        <v>11658.398999999999</v>
      </c>
      <c r="AI170" s="728">
        <v>11999.722</v>
      </c>
      <c r="AJ170" s="728">
        <v>11584.267</v>
      </c>
    </row>
    <row r="171" spans="2:36">
      <c r="B171" s="456">
        <v>56</v>
      </c>
      <c r="D171" s="45" t="s">
        <v>1625</v>
      </c>
      <c r="E171" s="728">
        <v>96.504000000000005</v>
      </c>
      <c r="F171" s="728">
        <v>83.64</v>
      </c>
      <c r="G171" s="728">
        <v>73.530999999999992</v>
      </c>
      <c r="H171" s="728">
        <v>86.495999999999981</v>
      </c>
      <c r="I171" s="728">
        <v>119.96299999999999</v>
      </c>
      <c r="J171" s="728">
        <v>107.976</v>
      </c>
      <c r="K171" s="728">
        <v>109.3</v>
      </c>
      <c r="L171" s="728">
        <v>110.514</v>
      </c>
      <c r="M171" s="728">
        <v>135.58099999999999</v>
      </c>
      <c r="N171" s="728">
        <v>139.99199999999996</v>
      </c>
      <c r="O171" s="728">
        <v>174.66499999999999</v>
      </c>
      <c r="P171" s="728">
        <v>170.34700000000001</v>
      </c>
      <c r="Q171" s="728">
        <v>127.29799999999999</v>
      </c>
      <c r="R171" s="728">
        <v>160.78899999999999</v>
      </c>
      <c r="S171" s="728">
        <v>111.164</v>
      </c>
      <c r="T171" s="728">
        <v>114.47</v>
      </c>
      <c r="U171" s="728">
        <v>73.388000000000005</v>
      </c>
      <c r="V171" s="728">
        <v>88.65</v>
      </c>
      <c r="W171" s="728">
        <v>72.524000000000001</v>
      </c>
      <c r="X171" s="728">
        <v>69.573999999999998</v>
      </c>
      <c r="Y171" s="728">
        <v>79.679000000000002</v>
      </c>
      <c r="Z171" s="728">
        <v>63.655000000000001</v>
      </c>
      <c r="AA171" s="728">
        <v>52.430999999999997</v>
      </c>
      <c r="AB171" s="728">
        <v>55.42</v>
      </c>
      <c r="AC171" s="728">
        <v>82.176000000000002</v>
      </c>
      <c r="AD171" s="728">
        <v>70.388000000000005</v>
      </c>
      <c r="AE171" s="728">
        <v>54.902000000000001</v>
      </c>
      <c r="AF171" s="728">
        <v>54.725999999999999</v>
      </c>
      <c r="AG171" s="728">
        <v>80.617000000000004</v>
      </c>
      <c r="AH171" s="728">
        <v>53.878999999999998</v>
      </c>
      <c r="AI171" s="728">
        <v>44.274000000000001</v>
      </c>
      <c r="AJ171" s="728">
        <v>59.774000000000001</v>
      </c>
    </row>
    <row r="172" spans="2:36">
      <c r="B172" s="456">
        <v>57</v>
      </c>
      <c r="D172" s="45" t="s">
        <v>1626</v>
      </c>
      <c r="E172" s="728">
        <v>1162.5619999999999</v>
      </c>
      <c r="F172" s="728">
        <v>1085.2919999999999</v>
      </c>
      <c r="G172" s="728">
        <v>872.17</v>
      </c>
      <c r="H172" s="728">
        <v>958.64499999999998</v>
      </c>
      <c r="I172" s="728">
        <v>869</v>
      </c>
      <c r="J172" s="728">
        <v>565.97299999999996</v>
      </c>
      <c r="K172" s="728">
        <v>628.39099999999996</v>
      </c>
      <c r="L172" s="728">
        <v>714.63400000000001</v>
      </c>
      <c r="M172" s="728">
        <v>1046.96</v>
      </c>
      <c r="N172" s="728">
        <v>958.72299999999996</v>
      </c>
      <c r="O172" s="728">
        <v>870.83399999999995</v>
      </c>
      <c r="P172" s="728">
        <v>1002.8029999999999</v>
      </c>
      <c r="Q172" s="728">
        <v>658.71</v>
      </c>
      <c r="R172" s="728">
        <v>869.36300000000006</v>
      </c>
      <c r="S172" s="728">
        <v>879.02200000000005</v>
      </c>
      <c r="T172" s="728">
        <v>876.46199999999999</v>
      </c>
      <c r="U172" s="728">
        <v>360.52699999999999</v>
      </c>
      <c r="V172" s="728">
        <v>396.62400000000002</v>
      </c>
      <c r="W172" s="728">
        <v>240.42099999999999</v>
      </c>
      <c r="X172" s="728">
        <v>180.95500000000001</v>
      </c>
      <c r="Y172" s="728">
        <v>154.05199999999999</v>
      </c>
      <c r="Z172" s="728">
        <v>93.064999999999998</v>
      </c>
      <c r="AA172" s="728">
        <v>76.72</v>
      </c>
      <c r="AB172" s="728">
        <v>77.22499999999998</v>
      </c>
      <c r="AC172" s="728">
        <v>95.138000000000005</v>
      </c>
      <c r="AD172" s="728">
        <v>93.861000000000004</v>
      </c>
      <c r="AE172" s="728">
        <v>70.680000000000007</v>
      </c>
      <c r="AF172" s="728">
        <v>65.787999999999997</v>
      </c>
      <c r="AG172" s="728">
        <v>78.251000000000005</v>
      </c>
      <c r="AH172" s="728">
        <v>58.793999999999997</v>
      </c>
      <c r="AI172" s="728">
        <v>52.695999999999998</v>
      </c>
      <c r="AJ172" s="728">
        <v>57.304000000000002</v>
      </c>
    </row>
    <row r="173" spans="2:36">
      <c r="B173" s="456">
        <v>58</v>
      </c>
      <c r="D173" s="45" t="s">
        <v>1603</v>
      </c>
      <c r="E173" s="728"/>
      <c r="F173" s="728"/>
      <c r="G173" s="728"/>
      <c r="H173" s="728"/>
      <c r="I173" s="728"/>
      <c r="J173" s="728"/>
      <c r="K173" s="728"/>
      <c r="L173" s="728"/>
      <c r="M173" s="728"/>
      <c r="N173" s="728"/>
      <c r="O173" s="728"/>
      <c r="P173" s="728"/>
      <c r="Q173" s="728"/>
      <c r="R173" s="728"/>
      <c r="S173" s="728"/>
      <c r="T173" s="728"/>
      <c r="U173" s="728"/>
      <c r="V173" s="728"/>
      <c r="W173" s="728"/>
      <c r="X173" s="728"/>
      <c r="Y173" s="728"/>
      <c r="Z173" s="728"/>
      <c r="AA173" s="728"/>
      <c r="AB173" s="728"/>
      <c r="AC173" s="728"/>
      <c r="AD173" s="728"/>
      <c r="AE173" s="728"/>
      <c r="AF173" s="728"/>
      <c r="AG173" s="728"/>
      <c r="AH173" s="728"/>
      <c r="AI173" s="728"/>
      <c r="AJ173" s="728"/>
    </row>
    <row r="174" spans="2:36">
      <c r="B174" s="456">
        <v>59</v>
      </c>
      <c r="D174" s="6" t="s">
        <v>1604</v>
      </c>
      <c r="E174" s="728">
        <v>30.367000000000001</v>
      </c>
      <c r="F174" s="728">
        <v>29.329000000000001</v>
      </c>
      <c r="G174" s="728">
        <v>45.005999999999993</v>
      </c>
      <c r="H174" s="728">
        <v>78.647999999999996</v>
      </c>
      <c r="I174" s="728">
        <v>69.716999999999999</v>
      </c>
      <c r="J174" s="728">
        <v>80.555999999999997</v>
      </c>
      <c r="K174" s="728">
        <v>79.570999999999998</v>
      </c>
      <c r="L174" s="728">
        <v>101.55800000000001</v>
      </c>
      <c r="M174" s="728">
        <v>123.55399999999999</v>
      </c>
      <c r="N174" s="728">
        <v>112.49099999999999</v>
      </c>
      <c r="O174" s="728">
        <v>98.641000000000005</v>
      </c>
      <c r="P174" s="728">
        <v>103.226</v>
      </c>
      <c r="Q174" s="728">
        <v>175.17599999999999</v>
      </c>
      <c r="R174" s="728">
        <v>174.66699999999997</v>
      </c>
      <c r="S174" s="728">
        <v>210.81100000000001</v>
      </c>
      <c r="T174" s="728">
        <v>231.13200000000001</v>
      </c>
      <c r="U174" s="728">
        <v>203.04300000000001</v>
      </c>
      <c r="V174" s="728">
        <v>162.55699999999999</v>
      </c>
      <c r="W174" s="728">
        <v>146.39099999999999</v>
      </c>
      <c r="X174" s="728">
        <v>131.84200000000001</v>
      </c>
      <c r="Y174" s="728">
        <v>136.595</v>
      </c>
      <c r="Z174" s="728">
        <v>138.32</v>
      </c>
      <c r="AA174" s="728">
        <v>85.054000000000002</v>
      </c>
      <c r="AB174" s="728">
        <v>122.518</v>
      </c>
      <c r="AC174" s="728">
        <v>118.15499999999999</v>
      </c>
      <c r="AD174" s="728">
        <v>111.71599999999999</v>
      </c>
      <c r="AE174" s="728">
        <v>118.31699999999999</v>
      </c>
      <c r="AF174" s="728">
        <v>97.207999999999998</v>
      </c>
      <c r="AG174" s="728">
        <v>101.482</v>
      </c>
      <c r="AH174" s="728">
        <v>75.912999999999997</v>
      </c>
      <c r="AI174" s="728">
        <v>87.427000000000007</v>
      </c>
      <c r="AJ174" s="728">
        <v>87.94</v>
      </c>
    </row>
    <row r="175" spans="2:36">
      <c r="B175" s="456">
        <v>60</v>
      </c>
      <c r="C175" s="138"/>
      <c r="D175" s="7" t="s">
        <v>1627</v>
      </c>
      <c r="E175" s="729" t="s">
        <v>106</v>
      </c>
      <c r="F175" s="729" t="s">
        <v>106</v>
      </c>
      <c r="G175" s="729" t="s">
        <v>106</v>
      </c>
      <c r="H175" s="729" t="s">
        <v>106</v>
      </c>
      <c r="I175" s="729" t="s">
        <v>106</v>
      </c>
      <c r="J175" s="729" t="s">
        <v>106</v>
      </c>
      <c r="K175" s="729" t="s">
        <v>106</v>
      </c>
      <c r="L175" s="729" t="s">
        <v>106</v>
      </c>
      <c r="M175" s="729" t="s">
        <v>106</v>
      </c>
      <c r="N175" s="729" t="s">
        <v>106</v>
      </c>
      <c r="O175" s="729" t="s">
        <v>106</v>
      </c>
      <c r="P175" s="729" t="s">
        <v>106</v>
      </c>
      <c r="Q175" s="729" t="s">
        <v>106</v>
      </c>
      <c r="R175" s="729" t="s">
        <v>106</v>
      </c>
      <c r="S175" s="729" t="s">
        <v>106</v>
      </c>
      <c r="T175" s="729" t="s">
        <v>106</v>
      </c>
      <c r="U175" s="729" t="s">
        <v>106</v>
      </c>
      <c r="V175" s="729" t="s">
        <v>106</v>
      </c>
      <c r="W175" s="729" t="s">
        <v>106</v>
      </c>
      <c r="X175" s="729" t="s">
        <v>106</v>
      </c>
      <c r="Y175" s="729" t="s">
        <v>106</v>
      </c>
      <c r="Z175" s="729" t="s">
        <v>106</v>
      </c>
      <c r="AA175" s="729" t="s">
        <v>106</v>
      </c>
      <c r="AB175" s="729" t="s">
        <v>106</v>
      </c>
      <c r="AC175" s="729" t="s">
        <v>106</v>
      </c>
      <c r="AD175" s="729" t="s">
        <v>106</v>
      </c>
      <c r="AE175" s="729" t="s">
        <v>106</v>
      </c>
      <c r="AF175" s="729" t="s">
        <v>106</v>
      </c>
      <c r="AG175" s="729" t="s">
        <v>106</v>
      </c>
      <c r="AH175" s="729" t="s">
        <v>106</v>
      </c>
      <c r="AI175" s="729" t="s">
        <v>106</v>
      </c>
      <c r="AJ175" s="729" t="s">
        <v>106</v>
      </c>
    </row>
    <row r="176" spans="2:36">
      <c r="B176" s="456">
        <v>61</v>
      </c>
      <c r="E176" s="466"/>
      <c r="F176" s="466"/>
      <c r="G176" s="466"/>
      <c r="H176" s="466"/>
      <c r="I176" s="466"/>
      <c r="J176" s="466"/>
      <c r="K176" s="466"/>
      <c r="L176" s="468"/>
      <c r="M176" s="468"/>
      <c r="N176" s="468"/>
      <c r="O176" s="468"/>
      <c r="P176" s="468"/>
      <c r="Q176" s="468"/>
      <c r="R176" s="468"/>
      <c r="S176" s="468"/>
      <c r="T176" s="468"/>
      <c r="U176" s="468"/>
      <c r="V176" s="468"/>
      <c r="W176" s="468"/>
      <c r="X176" s="468"/>
      <c r="Y176" s="468"/>
      <c r="Z176" s="468"/>
      <c r="AA176" s="468"/>
      <c r="AB176" s="468"/>
      <c r="AC176" s="468"/>
      <c r="AD176" s="468"/>
      <c r="AE176" s="468"/>
      <c r="AF176" s="468"/>
      <c r="AG176" s="468"/>
      <c r="AH176" s="468"/>
      <c r="AI176" s="1032"/>
      <c r="AJ176" s="1032"/>
    </row>
    <row r="177" spans="2:36">
      <c r="B177" s="456">
        <v>62</v>
      </c>
      <c r="C177" s="469" t="s">
        <v>1628</v>
      </c>
      <c r="D177" s="136"/>
      <c r="E177" s="470"/>
      <c r="F177" s="470"/>
      <c r="G177" s="470"/>
      <c r="H177" s="470"/>
      <c r="I177" s="470"/>
      <c r="J177" s="470"/>
      <c r="K177" s="470"/>
      <c r="L177" s="471"/>
      <c r="M177" s="471"/>
      <c r="N177" s="471"/>
      <c r="O177" s="471"/>
      <c r="P177" s="471"/>
      <c r="Q177" s="471"/>
      <c r="R177" s="471"/>
      <c r="S177" s="471"/>
      <c r="T177" s="471"/>
      <c r="U177" s="471"/>
      <c r="V177" s="471"/>
      <c r="W177" s="471"/>
      <c r="X177" s="471"/>
      <c r="Y177" s="471"/>
      <c r="Z177" s="471"/>
      <c r="AA177" s="471"/>
      <c r="AB177" s="471"/>
      <c r="AC177" s="471"/>
      <c r="AD177" s="471"/>
      <c r="AE177" s="471"/>
      <c r="AF177" s="471"/>
      <c r="AG177" s="471"/>
      <c r="AH177" s="471"/>
      <c r="AI177" s="1033"/>
      <c r="AJ177" s="1033"/>
    </row>
    <row r="178" spans="2:36">
      <c r="B178" s="456">
        <v>63</v>
      </c>
      <c r="C178" s="45" t="s">
        <v>2014</v>
      </c>
      <c r="E178" s="466"/>
      <c r="F178" s="466"/>
      <c r="G178" s="466"/>
      <c r="H178" s="466"/>
      <c r="I178" s="466"/>
      <c r="J178" s="466"/>
      <c r="K178" s="466"/>
      <c r="L178" s="468"/>
      <c r="M178" s="468"/>
      <c r="N178" s="468"/>
      <c r="O178" s="468"/>
      <c r="P178" s="468"/>
      <c r="Q178" s="468"/>
      <c r="R178" s="468"/>
      <c r="S178" s="468"/>
      <c r="T178" s="468"/>
      <c r="U178" s="468"/>
      <c r="V178" s="468"/>
      <c r="W178" s="468"/>
      <c r="X178" s="468"/>
      <c r="Y178" s="468"/>
      <c r="Z178" s="468"/>
      <c r="AA178" s="468"/>
      <c r="AB178" s="468"/>
      <c r="AC178" s="468"/>
      <c r="AD178" s="468"/>
      <c r="AE178" s="468"/>
      <c r="AF178" s="468"/>
      <c r="AG178" s="468"/>
      <c r="AH178" s="468"/>
      <c r="AI178" s="1032"/>
      <c r="AJ178" s="1032"/>
    </row>
    <row r="179" spans="2:36">
      <c r="B179" s="456">
        <v>64</v>
      </c>
      <c r="C179" s="45"/>
      <c r="E179" s="466"/>
      <c r="F179" s="466"/>
      <c r="G179" s="466"/>
      <c r="H179" s="466"/>
      <c r="I179" s="466"/>
      <c r="J179" s="466"/>
      <c r="K179" s="466"/>
      <c r="L179" s="468"/>
      <c r="M179" s="468"/>
      <c r="N179" s="468"/>
      <c r="O179" s="468"/>
      <c r="P179" s="468"/>
      <c r="Q179" s="468"/>
      <c r="R179" s="468"/>
      <c r="S179" s="468"/>
      <c r="T179" s="468"/>
      <c r="U179" s="468"/>
      <c r="V179" s="468"/>
      <c r="W179" s="468"/>
      <c r="X179" s="468"/>
      <c r="Y179" s="468"/>
      <c r="Z179" s="468"/>
      <c r="AA179" s="468"/>
      <c r="AB179" s="468"/>
      <c r="AC179" s="468"/>
      <c r="AD179" s="468"/>
      <c r="AE179" s="468"/>
      <c r="AF179" s="468"/>
      <c r="AG179" s="468"/>
      <c r="AH179" s="468"/>
      <c r="AI179" s="1032"/>
      <c r="AJ179" s="1032"/>
    </row>
    <row r="180" spans="2:36">
      <c r="B180" s="456">
        <v>65</v>
      </c>
      <c r="D180" s="45" t="s">
        <v>1493</v>
      </c>
      <c r="E180" s="730">
        <v>715.70055592900007</v>
      </c>
      <c r="F180" s="730">
        <v>801.50766322200002</v>
      </c>
      <c r="G180" s="730">
        <v>669.84178850199987</v>
      </c>
      <c r="H180" s="730">
        <v>533.93118914900003</v>
      </c>
      <c r="I180" s="730">
        <v>524.47212730800004</v>
      </c>
      <c r="J180" s="730">
        <v>523.21106827400001</v>
      </c>
      <c r="K180" s="730">
        <v>536.39262509299999</v>
      </c>
      <c r="L180" s="730">
        <v>575.2013833389999</v>
      </c>
      <c r="M180" s="730">
        <v>594.80495348299996</v>
      </c>
      <c r="N180" s="730">
        <v>489.72961205199994</v>
      </c>
      <c r="O180" s="730">
        <v>444.07453713799998</v>
      </c>
      <c r="P180" s="730">
        <v>426.03679463999998</v>
      </c>
      <c r="Q180" s="730">
        <v>448.92601071049995</v>
      </c>
      <c r="R180" s="730">
        <v>471.81522678099998</v>
      </c>
      <c r="S180" s="730">
        <v>553.10206909199985</v>
      </c>
      <c r="T180" s="730">
        <v>581.00483759499991</v>
      </c>
      <c r="U180" s="730">
        <v>599.36729735599988</v>
      </c>
      <c r="V180" s="730">
        <v>607.53837294199991</v>
      </c>
      <c r="W180" s="730">
        <v>654.61012900100002</v>
      </c>
      <c r="X180" s="730">
        <v>604.77958704599996</v>
      </c>
      <c r="Y180" s="730">
        <v>619.80747230299994</v>
      </c>
      <c r="Z180" s="730">
        <v>518.37060009499999</v>
      </c>
      <c r="AA180" s="730">
        <v>459.45652509599995</v>
      </c>
      <c r="AB180" s="730">
        <v>379.79377073972995</v>
      </c>
      <c r="AC180" s="730">
        <v>369.176946595</v>
      </c>
      <c r="AD180" s="730">
        <v>406.84953077499995</v>
      </c>
      <c r="AE180" s="730">
        <v>450.68101104299996</v>
      </c>
      <c r="AF180" s="730">
        <v>445.32404695299994</v>
      </c>
      <c r="AG180" s="730">
        <v>417.56628810500001</v>
      </c>
      <c r="AH180" s="730">
        <v>336.22633963073997</v>
      </c>
      <c r="AI180" s="730">
        <v>293.98832453499995</v>
      </c>
      <c r="AJ180" s="730">
        <v>292.29712153499997</v>
      </c>
    </row>
    <row r="181" spans="2:36">
      <c r="B181" s="456">
        <v>66</v>
      </c>
      <c r="D181" s="45" t="s">
        <v>1630</v>
      </c>
      <c r="E181" s="730">
        <v>157.99296592261908</v>
      </c>
      <c r="F181" s="730">
        <v>149.30996711904763</v>
      </c>
      <c r="G181" s="730">
        <v>145.93635013333335</v>
      </c>
      <c r="H181" s="730">
        <v>146.63490493690477</v>
      </c>
      <c r="I181" s="730">
        <v>121.18688681309524</v>
      </c>
      <c r="J181" s="730">
        <v>125.73552141190476</v>
      </c>
      <c r="K181" s="730">
        <v>114.13606579817262</v>
      </c>
      <c r="L181" s="730">
        <v>125.50521382260119</v>
      </c>
      <c r="M181" s="730">
        <v>158.80061981404765</v>
      </c>
      <c r="N181" s="730">
        <v>113.58632542480953</v>
      </c>
      <c r="O181" s="730">
        <v>85.858733881526433</v>
      </c>
      <c r="P181" s="730">
        <v>72.397487179080514</v>
      </c>
      <c r="Q181" s="730">
        <v>82.553591993078072</v>
      </c>
      <c r="R181" s="730">
        <v>103.89016370482545</v>
      </c>
      <c r="S181" s="730">
        <v>143.56371847427505</v>
      </c>
      <c r="T181" s="730">
        <v>126.88802077883335</v>
      </c>
      <c r="U181" s="730">
        <v>119.3104984527381</v>
      </c>
      <c r="V181" s="730">
        <v>111.33230301900001</v>
      </c>
      <c r="W181" s="730">
        <v>122.22402446130357</v>
      </c>
      <c r="X181" s="730">
        <v>111.01643203936906</v>
      </c>
      <c r="Y181" s="730">
        <v>128.2033434235893</v>
      </c>
      <c r="Z181" s="730">
        <v>107.41368474261905</v>
      </c>
      <c r="AA181" s="730">
        <v>91.666193134638803</v>
      </c>
      <c r="AB181" s="730">
        <v>75.44056699365828</v>
      </c>
      <c r="AC181" s="730">
        <v>82.047052513449216</v>
      </c>
      <c r="AD181" s="730">
        <v>113.50034480709412</v>
      </c>
      <c r="AE181" s="730">
        <v>117.52308765543356</v>
      </c>
      <c r="AF181" s="730">
        <v>121.30000998407694</v>
      </c>
      <c r="AG181" s="730">
        <v>134.44842939592129</v>
      </c>
      <c r="AH181" s="730">
        <v>136.25532563870291</v>
      </c>
      <c r="AI181" s="730">
        <v>104.9583132795492</v>
      </c>
      <c r="AJ181" s="730">
        <v>100.08479845833058</v>
      </c>
    </row>
    <row r="182" spans="2:36">
      <c r="B182" s="456">
        <v>67</v>
      </c>
      <c r="C182" s="98"/>
      <c r="D182" s="472" t="s">
        <v>1492</v>
      </c>
      <c r="E182" s="731">
        <v>541.82069611021325</v>
      </c>
      <c r="F182" s="731">
        <v>653.83474818058585</v>
      </c>
      <c r="G182" s="731">
        <v>659.49550556120562</v>
      </c>
      <c r="H182" s="731">
        <v>661.52276025554227</v>
      </c>
      <c r="I182" s="731">
        <v>682.46745276342131</v>
      </c>
      <c r="J182" s="731">
        <v>705.05567371155803</v>
      </c>
      <c r="K182" s="731">
        <v>719.8022298769738</v>
      </c>
      <c r="L182" s="731">
        <v>755.82884678099151</v>
      </c>
      <c r="M182" s="731">
        <v>750.24196992392456</v>
      </c>
      <c r="N182" s="731">
        <v>798.34012176602073</v>
      </c>
      <c r="O182" s="731">
        <v>881.45014880742485</v>
      </c>
      <c r="P182" s="731">
        <v>801.17289306002192</v>
      </c>
      <c r="Q182" s="731">
        <v>776.20775422890858</v>
      </c>
      <c r="R182" s="731">
        <v>784.31912822478034</v>
      </c>
      <c r="S182" s="731">
        <v>799.1259685693858</v>
      </c>
      <c r="T182" s="731">
        <v>854.39812796000024</v>
      </c>
      <c r="U182" s="731">
        <v>856.69363534447564</v>
      </c>
      <c r="V182" s="731">
        <v>873.82720853348292</v>
      </c>
      <c r="W182" s="731">
        <v>797.87819334561755</v>
      </c>
      <c r="X182" s="731">
        <v>750.11662055458169</v>
      </c>
      <c r="Y182" s="731">
        <v>866.4359203494854</v>
      </c>
      <c r="Z182" s="731">
        <v>920.81140713384332</v>
      </c>
      <c r="AA182" s="731">
        <v>917.17514185690175</v>
      </c>
      <c r="AB182" s="731">
        <v>932.49186776158558</v>
      </c>
      <c r="AC182" s="731">
        <v>988.79048924126096</v>
      </c>
      <c r="AD182" s="731">
        <v>1023.2524866426733</v>
      </c>
      <c r="AE182" s="731">
        <v>1052.0845621630212</v>
      </c>
      <c r="AF182" s="731">
        <v>1104.1889361689159</v>
      </c>
      <c r="AG182" s="731">
        <v>1147.6629896579316</v>
      </c>
      <c r="AH182" s="731">
        <v>1112.0356750483818</v>
      </c>
      <c r="AI182" s="731">
        <v>563.66616431474301</v>
      </c>
      <c r="AJ182" s="731">
        <v>721.46880886175848</v>
      </c>
    </row>
    <row r="183" spans="2:36">
      <c r="B183" s="456">
        <v>68</v>
      </c>
      <c r="E183" s="466"/>
      <c r="F183" s="466"/>
      <c r="G183" s="466"/>
      <c r="H183" s="466"/>
      <c r="I183" s="466"/>
      <c r="J183" s="466"/>
      <c r="K183" s="466"/>
      <c r="L183" s="468"/>
      <c r="M183" s="468"/>
      <c r="N183" s="468"/>
      <c r="O183" s="468"/>
      <c r="P183" s="473"/>
      <c r="Q183" s="473"/>
      <c r="R183" s="473"/>
      <c r="S183" s="473"/>
      <c r="T183" s="473"/>
      <c r="U183" s="473"/>
      <c r="V183" s="473"/>
      <c r="W183" s="473"/>
      <c r="X183" s="473"/>
      <c r="Y183" s="473"/>
      <c r="Z183" s="473"/>
      <c r="AA183" s="473"/>
      <c r="AB183" s="473"/>
      <c r="AC183" s="473"/>
      <c r="AD183" s="473"/>
      <c r="AE183" s="473"/>
      <c r="AF183" s="473"/>
      <c r="AG183" s="473"/>
      <c r="AH183" s="473"/>
      <c r="AI183" s="1034"/>
      <c r="AJ183" s="1034"/>
    </row>
    <row r="184" spans="2:36">
      <c r="B184" s="456">
        <v>69</v>
      </c>
      <c r="C184" s="469" t="s">
        <v>1631</v>
      </c>
      <c r="D184" s="136"/>
      <c r="E184" s="470"/>
      <c r="F184" s="470"/>
      <c r="G184" s="470"/>
      <c r="H184" s="470"/>
      <c r="I184" s="470"/>
      <c r="J184" s="470"/>
      <c r="K184" s="470"/>
      <c r="L184" s="471"/>
      <c r="M184" s="471"/>
      <c r="N184" s="471"/>
      <c r="O184" s="471"/>
      <c r="P184" s="468"/>
      <c r="Q184" s="468"/>
      <c r="R184" s="468"/>
      <c r="S184" s="468"/>
      <c r="T184" s="468"/>
      <c r="U184" s="468"/>
      <c r="V184" s="468"/>
      <c r="W184" s="468"/>
      <c r="X184" s="468"/>
      <c r="Y184" s="468"/>
      <c r="Z184" s="468"/>
      <c r="AA184" s="468"/>
      <c r="AB184" s="468"/>
      <c r="AC184" s="468"/>
      <c r="AD184" s="468"/>
      <c r="AE184" s="468"/>
      <c r="AF184" s="468"/>
      <c r="AG184" s="468"/>
      <c r="AH184" s="468"/>
      <c r="AI184" s="1032"/>
      <c r="AJ184" s="1032"/>
    </row>
    <row r="185" spans="2:36">
      <c r="B185" s="456">
        <v>70</v>
      </c>
      <c r="C185" s="76"/>
      <c r="D185" s="1" t="s">
        <v>2005</v>
      </c>
      <c r="E185" s="466"/>
      <c r="F185" s="466"/>
      <c r="G185" s="466"/>
      <c r="H185" s="466"/>
      <c r="I185" s="466"/>
      <c r="J185" s="466"/>
      <c r="K185" s="466"/>
      <c r="L185" s="468"/>
      <c r="M185" s="468"/>
      <c r="N185" s="468"/>
      <c r="O185" s="468"/>
      <c r="P185" s="468"/>
      <c r="Q185" s="468"/>
      <c r="R185" s="468"/>
      <c r="S185" s="468"/>
      <c r="T185" s="468"/>
      <c r="U185" s="468"/>
      <c r="V185" s="468"/>
      <c r="W185" s="468"/>
      <c r="X185" s="468"/>
      <c r="Y185" s="468"/>
      <c r="Z185" s="468"/>
      <c r="AA185" s="468"/>
      <c r="AB185" s="468"/>
      <c r="AC185" s="468"/>
      <c r="AD185" s="468"/>
      <c r="AE185" s="468"/>
      <c r="AF185" s="468"/>
      <c r="AG185" s="468"/>
      <c r="AH185" s="468"/>
      <c r="AI185" s="1032"/>
      <c r="AJ185" s="1032"/>
    </row>
    <row r="186" spans="2:36">
      <c r="B186" s="456">
        <v>71</v>
      </c>
      <c r="C186" s="45"/>
      <c r="D186" s="1" t="s">
        <v>2006</v>
      </c>
      <c r="E186" s="466"/>
      <c r="F186" s="466"/>
      <c r="G186" s="466"/>
      <c r="H186" s="466"/>
      <c r="I186" s="466"/>
      <c r="J186" s="466"/>
      <c r="K186" s="466"/>
      <c r="L186" s="468"/>
      <c r="M186" s="468"/>
      <c r="N186" s="468"/>
      <c r="O186" s="468"/>
      <c r="P186" s="468"/>
      <c r="Q186" s="468"/>
      <c r="R186" s="468"/>
      <c r="S186" s="468"/>
      <c r="T186" s="468"/>
      <c r="U186" s="468"/>
      <c r="V186" s="468"/>
      <c r="W186" s="468"/>
      <c r="X186" s="468"/>
      <c r="Y186" s="468"/>
      <c r="Z186" s="468"/>
      <c r="AA186" s="468"/>
      <c r="AB186" s="468"/>
      <c r="AC186" s="468"/>
      <c r="AD186" s="468"/>
      <c r="AE186" s="468"/>
      <c r="AF186" s="468"/>
      <c r="AG186" s="468"/>
      <c r="AH186" s="468"/>
      <c r="AI186" s="1032"/>
      <c r="AJ186" s="1032"/>
    </row>
    <row r="187" spans="2:36">
      <c r="B187" s="456">
        <v>72</v>
      </c>
      <c r="C187" s="45"/>
      <c r="D187" s="6" t="s">
        <v>2015</v>
      </c>
      <c r="E187" s="466"/>
      <c r="F187" s="466"/>
      <c r="G187" s="466"/>
      <c r="H187" s="466"/>
      <c r="I187" s="466"/>
      <c r="J187" s="466"/>
      <c r="K187" s="466"/>
      <c r="L187" s="468"/>
      <c r="M187" s="468"/>
      <c r="N187" s="468"/>
      <c r="O187" s="468"/>
      <c r="P187" s="468"/>
      <c r="Q187" s="468"/>
      <c r="R187" s="468"/>
      <c r="S187" s="468"/>
      <c r="T187" s="468"/>
      <c r="U187" s="468"/>
      <c r="V187" s="468"/>
      <c r="W187" s="468"/>
      <c r="X187" s="468"/>
      <c r="Y187" s="468"/>
      <c r="Z187" s="468"/>
      <c r="AA187" s="468"/>
      <c r="AB187" s="468"/>
      <c r="AC187" s="468"/>
      <c r="AD187" s="468"/>
      <c r="AE187" s="468"/>
      <c r="AF187" s="468"/>
      <c r="AG187" s="468"/>
      <c r="AH187" s="468"/>
      <c r="AI187" s="1032"/>
      <c r="AJ187" s="1032"/>
    </row>
    <row r="188" spans="2:36">
      <c r="B188" s="456">
        <v>73</v>
      </c>
      <c r="C188" s="45"/>
      <c r="D188" s="6" t="s">
        <v>2008</v>
      </c>
      <c r="E188" s="466"/>
      <c r="F188" s="466"/>
      <c r="G188" s="466"/>
      <c r="H188" s="466"/>
      <c r="I188" s="466"/>
      <c r="J188" s="466"/>
      <c r="K188" s="466"/>
      <c r="L188" s="468"/>
      <c r="M188" s="468"/>
      <c r="N188" s="468"/>
      <c r="O188" s="468"/>
      <c r="P188" s="468"/>
      <c r="Q188" s="468"/>
      <c r="R188" s="468"/>
      <c r="S188" s="468"/>
      <c r="T188" s="468"/>
      <c r="U188" s="468"/>
      <c r="V188" s="468"/>
      <c r="W188" s="468"/>
      <c r="X188" s="468"/>
      <c r="Y188" s="468"/>
      <c r="Z188" s="468"/>
      <c r="AA188" s="468"/>
      <c r="AB188" s="468"/>
      <c r="AC188" s="468"/>
      <c r="AD188" s="468"/>
      <c r="AE188" s="468"/>
      <c r="AF188" s="468"/>
      <c r="AG188" s="468"/>
      <c r="AH188" s="468"/>
      <c r="AI188" s="1032"/>
      <c r="AJ188" s="1032"/>
    </row>
    <row r="189" spans="2:36">
      <c r="B189" s="456">
        <v>74</v>
      </c>
      <c r="C189" s="45"/>
      <c r="D189" s="6" t="s">
        <v>2009</v>
      </c>
      <c r="E189" s="466"/>
      <c r="F189" s="466"/>
      <c r="G189" s="466"/>
      <c r="H189" s="466"/>
      <c r="I189" s="466"/>
      <c r="J189" s="466"/>
      <c r="K189" s="466"/>
      <c r="L189" s="468"/>
      <c r="M189" s="468"/>
      <c r="N189" s="468"/>
      <c r="O189" s="468"/>
      <c r="P189" s="468"/>
      <c r="Q189" s="468"/>
      <c r="R189" s="468"/>
      <c r="S189" s="468"/>
      <c r="T189" s="468"/>
      <c r="U189" s="468"/>
      <c r="V189" s="468"/>
      <c r="W189" s="468"/>
      <c r="X189" s="468"/>
      <c r="Y189" s="468"/>
      <c r="Z189" s="468"/>
      <c r="AA189" s="468"/>
      <c r="AB189" s="468"/>
      <c r="AC189" s="468"/>
      <c r="AD189" s="468"/>
      <c r="AE189" s="468"/>
      <c r="AF189" s="468"/>
      <c r="AG189" s="468"/>
      <c r="AH189" s="468"/>
      <c r="AI189" s="1032"/>
      <c r="AJ189" s="1032"/>
    </row>
    <row r="190" spans="2:36">
      <c r="B190" s="456">
        <v>75</v>
      </c>
      <c r="C190" s="45"/>
      <c r="D190" s="6" t="s">
        <v>2010</v>
      </c>
      <c r="E190" s="466"/>
      <c r="F190" s="466"/>
      <c r="G190" s="466"/>
      <c r="H190" s="466"/>
      <c r="I190" s="466"/>
      <c r="J190" s="466"/>
      <c r="K190" s="466"/>
      <c r="L190" s="468"/>
      <c r="M190" s="468"/>
      <c r="N190" s="468"/>
      <c r="O190" s="468"/>
      <c r="P190" s="468"/>
      <c r="Q190" s="468"/>
      <c r="R190" s="468"/>
      <c r="S190" s="468"/>
      <c r="T190" s="468"/>
      <c r="U190" s="468"/>
      <c r="V190" s="468"/>
      <c r="W190" s="468"/>
      <c r="X190" s="468"/>
      <c r="Y190" s="468"/>
      <c r="Z190" s="468"/>
      <c r="AA190" s="468"/>
      <c r="AB190" s="468"/>
      <c r="AC190" s="468"/>
      <c r="AD190" s="468"/>
      <c r="AE190" s="468"/>
      <c r="AF190" s="468"/>
      <c r="AG190" s="468"/>
      <c r="AH190" s="468"/>
      <c r="AI190" s="1032"/>
      <c r="AJ190" s="1032"/>
    </row>
    <row r="191" spans="2:36">
      <c r="B191" s="456">
        <v>76</v>
      </c>
      <c r="D191" s="45" t="s">
        <v>1434</v>
      </c>
      <c r="E191" s="728">
        <v>924.01869900000008</v>
      </c>
      <c r="F191" s="728">
        <v>955.41734999999994</v>
      </c>
      <c r="G191" s="728">
        <v>935.93878799999993</v>
      </c>
      <c r="H191" s="728">
        <v>994.78081799999995</v>
      </c>
      <c r="I191" s="728">
        <v>1008.4816820000001</v>
      </c>
      <c r="J191" s="728">
        <v>1042.501471</v>
      </c>
      <c r="K191" s="728">
        <v>1082.5117500000001</v>
      </c>
      <c r="L191" s="728">
        <v>1075.880095</v>
      </c>
      <c r="M191" s="728">
        <v>1130.1091200000001</v>
      </c>
      <c r="N191" s="728">
        <v>1144.9230680000001</v>
      </c>
      <c r="O191" s="728">
        <v>1192.4464909999999</v>
      </c>
      <c r="P191" s="728">
        <v>1201.6065930000002</v>
      </c>
      <c r="Q191" s="728">
        <v>1265.1798690000001</v>
      </c>
      <c r="R191" s="728">
        <v>1275.8239099999998</v>
      </c>
      <c r="S191" s="728">
        <v>1291.9815779999999</v>
      </c>
      <c r="T191" s="728">
        <v>1359.2271070000002</v>
      </c>
      <c r="U191" s="728">
        <v>1351.5200360000001</v>
      </c>
      <c r="V191" s="728">
        <v>1392.240996</v>
      </c>
      <c r="W191" s="728">
        <v>1380.6617450000001</v>
      </c>
      <c r="X191" s="728">
        <v>1364.758153</v>
      </c>
      <c r="Y191" s="728">
        <v>1445.6833948661408</v>
      </c>
      <c r="Z191" s="728">
        <v>1422.721892969158</v>
      </c>
      <c r="AA191" s="728">
        <v>1374.3365857484939</v>
      </c>
      <c r="AB191" s="728">
        <v>1394.426687369496</v>
      </c>
      <c r="AC191" s="728">
        <v>1406.5648320264895</v>
      </c>
      <c r="AD191" s="728">
        <v>1403.1594936096537</v>
      </c>
      <c r="AE191" s="728">
        <v>1409.7279324305819</v>
      </c>
      <c r="AF191" s="728">
        <v>1376.855802943903</v>
      </c>
      <c r="AG191" s="728">
        <v>1466.3612538670966</v>
      </c>
      <c r="AH191" s="728">
        <v>1436.6881525821468</v>
      </c>
      <c r="AI191" s="728">
        <v>1460.8210343436485</v>
      </c>
      <c r="AJ191" s="728">
        <v>1464.94329212511</v>
      </c>
    </row>
    <row r="192" spans="2:36">
      <c r="B192" s="456">
        <v>77</v>
      </c>
      <c r="D192" s="45" t="s">
        <v>1441</v>
      </c>
      <c r="E192" s="728">
        <v>838.26310599999999</v>
      </c>
      <c r="F192" s="728">
        <v>855.24385600000005</v>
      </c>
      <c r="G192" s="728">
        <v>850.00692200000003</v>
      </c>
      <c r="H192" s="728">
        <v>884.74634000000003</v>
      </c>
      <c r="I192" s="728">
        <v>913.10569099999998</v>
      </c>
      <c r="J192" s="728">
        <v>953.11724800000002</v>
      </c>
      <c r="K192" s="728">
        <v>980.06111899999996</v>
      </c>
      <c r="L192" s="728">
        <v>1026.6261050000001</v>
      </c>
      <c r="M192" s="728">
        <v>1077.956919</v>
      </c>
      <c r="N192" s="728">
        <v>1103.8212100000001</v>
      </c>
      <c r="O192" s="728">
        <v>1159.34664</v>
      </c>
      <c r="P192" s="728">
        <v>1190.5178759999999</v>
      </c>
      <c r="Q192" s="728">
        <v>1204.5313130000002</v>
      </c>
      <c r="R192" s="728">
        <v>1198.727601</v>
      </c>
      <c r="S192" s="728">
        <v>1230.4247309999998</v>
      </c>
      <c r="T192" s="728">
        <v>1275.0790200000001</v>
      </c>
      <c r="U192" s="728">
        <v>1299.7436950000001</v>
      </c>
      <c r="V192" s="728">
        <v>1336.315196</v>
      </c>
      <c r="W192" s="728">
        <v>1336.1334850000001</v>
      </c>
      <c r="X192" s="728">
        <v>1306.8525239999999</v>
      </c>
      <c r="Y192" s="728">
        <v>1330.1949507999072</v>
      </c>
      <c r="Z192" s="728">
        <v>1328.0434625239691</v>
      </c>
      <c r="AA192" s="728">
        <v>1327.069762661499</v>
      </c>
      <c r="AB192" s="728">
        <v>1337.0107578887346</v>
      </c>
      <c r="AC192" s="728">
        <v>1352.0447078870275</v>
      </c>
      <c r="AD192" s="728">
        <v>1360.5861731075861</v>
      </c>
      <c r="AE192" s="728">
        <v>1366.9566411936321</v>
      </c>
      <c r="AF192" s="728">
        <v>1352.5714694606888</v>
      </c>
      <c r="AG192" s="728">
        <v>1381.2727617412522</v>
      </c>
      <c r="AH192" s="728">
        <v>1360.2411273968494</v>
      </c>
      <c r="AI192" s="728">
        <v>1286.7718162371145</v>
      </c>
      <c r="AJ192" s="728">
        <v>1327.4612174338429</v>
      </c>
    </row>
    <row r="193" spans="1:36">
      <c r="B193" s="456">
        <v>78</v>
      </c>
      <c r="D193" s="45" t="s">
        <v>1443</v>
      </c>
      <c r="E193" s="728">
        <v>1070.0506350000001</v>
      </c>
      <c r="F193" s="728">
        <v>1070.6405699999998</v>
      </c>
      <c r="G193" s="728">
        <v>1106.5552339999999</v>
      </c>
      <c r="H193" s="728">
        <v>1116.4021270000001</v>
      </c>
      <c r="I193" s="728">
        <v>1154.3065789999998</v>
      </c>
      <c r="J193" s="728">
        <v>1163.3698899999999</v>
      </c>
      <c r="K193" s="728">
        <v>1186.2693940000001</v>
      </c>
      <c r="L193" s="728">
        <v>1194.43579</v>
      </c>
      <c r="M193" s="728">
        <v>1212.0689980000002</v>
      </c>
      <c r="N193" s="728">
        <v>1229.8458929999999</v>
      </c>
      <c r="O193" s="728">
        <v>1235.1819030000001</v>
      </c>
      <c r="P193" s="728">
        <v>1159.2579250000001</v>
      </c>
      <c r="Q193" s="728">
        <v>1156.4219270000001</v>
      </c>
      <c r="R193" s="728">
        <v>1180.6677730000001</v>
      </c>
      <c r="S193" s="728">
        <v>1186.319534</v>
      </c>
      <c r="T193" s="728">
        <v>1169.1715959999999</v>
      </c>
      <c r="U193" s="728">
        <v>1158.2241780000002</v>
      </c>
      <c r="V193" s="728">
        <v>1153.5021100000001</v>
      </c>
      <c r="W193" s="728">
        <v>1141.712863</v>
      </c>
      <c r="X193" s="728">
        <v>1044.3544260000001</v>
      </c>
      <c r="Y193" s="728">
        <v>1103.1314380000001</v>
      </c>
      <c r="Z193" s="728">
        <v>1124.0696010000001</v>
      </c>
      <c r="AA193" s="728">
        <v>1123.3703640000001</v>
      </c>
      <c r="AB193" s="728">
        <v>1128.813811</v>
      </c>
      <c r="AC193" s="728">
        <v>1136.150022</v>
      </c>
      <c r="AD193" s="728">
        <v>1127.6752509999999</v>
      </c>
      <c r="AE193" s="728">
        <v>1116.55188</v>
      </c>
      <c r="AF193" s="728">
        <v>1125.2573340000001</v>
      </c>
      <c r="AG193" s="728">
        <v>1144.5762849999999</v>
      </c>
      <c r="AH193" s="728">
        <v>1145.6231869999999</v>
      </c>
      <c r="AI193" s="728">
        <v>1097.784568</v>
      </c>
      <c r="AJ193" s="728">
        <v>1139.528558</v>
      </c>
    </row>
    <row r="194" spans="1:36">
      <c r="B194" s="456">
        <v>79</v>
      </c>
      <c r="D194" s="45" t="s">
        <v>1445</v>
      </c>
      <c r="E194" s="728">
        <v>4.7511650000000012</v>
      </c>
      <c r="F194" s="728">
        <v>4.7584430000000006</v>
      </c>
      <c r="G194" s="728">
        <v>4.7057460000000004</v>
      </c>
      <c r="H194" s="728">
        <v>4.7709320000000011</v>
      </c>
      <c r="I194" s="728">
        <v>4.9942460000000004</v>
      </c>
      <c r="J194" s="728">
        <v>4.9745200000000009</v>
      </c>
      <c r="K194" s="728">
        <v>4.9227780000000001</v>
      </c>
      <c r="L194" s="728">
        <v>4.9073330000000004</v>
      </c>
      <c r="M194" s="728">
        <v>4.9615980000000013</v>
      </c>
      <c r="N194" s="728">
        <v>5.1261939999999999</v>
      </c>
      <c r="O194" s="728">
        <v>5.3817430000000002</v>
      </c>
      <c r="P194" s="728">
        <v>5.7243250000000012</v>
      </c>
      <c r="Q194" s="728">
        <v>5.5171979999999996</v>
      </c>
      <c r="R194" s="728">
        <v>6.8097279999999989</v>
      </c>
      <c r="S194" s="728">
        <v>7.223641999999999</v>
      </c>
      <c r="T194" s="728">
        <v>7.5063209999999998</v>
      </c>
      <c r="U194" s="728">
        <v>7.3575429999999997</v>
      </c>
      <c r="V194" s="728">
        <v>8.1725950000000012</v>
      </c>
      <c r="W194" s="728">
        <v>7.6532109999999998</v>
      </c>
      <c r="X194" s="728">
        <v>7.767989</v>
      </c>
      <c r="Y194" s="728">
        <v>7.7418333339517735</v>
      </c>
      <c r="Z194" s="728">
        <v>7.7652605068729059</v>
      </c>
      <c r="AA194" s="728">
        <v>7.5295835900072872</v>
      </c>
      <c r="AB194" s="728">
        <v>8.078501741769287</v>
      </c>
      <c r="AC194" s="728">
        <v>8.5145890864831077</v>
      </c>
      <c r="AD194" s="728">
        <v>8.7389912827603418</v>
      </c>
      <c r="AE194" s="728">
        <v>9.0618753757858599</v>
      </c>
      <c r="AF194" s="728">
        <v>9.6307565954084442</v>
      </c>
      <c r="AG194" s="728">
        <v>10.878692391650743</v>
      </c>
      <c r="AH194" s="728">
        <v>11.868334021003848</v>
      </c>
      <c r="AI194" s="728">
        <v>10.999602419237105</v>
      </c>
      <c r="AJ194" s="728">
        <v>12.85625344104691</v>
      </c>
    </row>
    <row r="195" spans="1:36">
      <c r="B195" s="456">
        <v>80</v>
      </c>
      <c r="C195" s="136"/>
      <c r="D195" s="136"/>
      <c r="E195" s="474"/>
      <c r="F195" s="474"/>
      <c r="G195" s="474"/>
      <c r="H195" s="474"/>
      <c r="I195" s="474"/>
      <c r="J195" s="474"/>
      <c r="K195" s="475"/>
      <c r="L195" s="476"/>
      <c r="M195" s="476"/>
      <c r="N195" s="476"/>
      <c r="O195" s="476"/>
      <c r="P195" s="476"/>
      <c r="Q195" s="476"/>
      <c r="R195" s="476"/>
      <c r="S195" s="476"/>
      <c r="T195" s="476"/>
      <c r="U195" s="476"/>
      <c r="V195" s="476"/>
      <c r="W195" s="476"/>
      <c r="X195" s="476"/>
      <c r="Y195" s="476"/>
      <c r="Z195" s="476"/>
      <c r="AA195" s="476"/>
      <c r="AB195" s="476"/>
      <c r="AC195" s="476"/>
      <c r="AD195" s="476"/>
      <c r="AE195" s="476"/>
      <c r="AF195" s="476"/>
      <c r="AG195" s="476"/>
      <c r="AH195" s="476"/>
      <c r="AI195" s="1035"/>
      <c r="AJ195" s="1035"/>
    </row>
    <row r="196" spans="1:36">
      <c r="B196" s="456">
        <v>81</v>
      </c>
      <c r="C196" s="477" t="s">
        <v>1638</v>
      </c>
      <c r="D196" s="136"/>
      <c r="E196" s="474"/>
      <c r="F196" s="474"/>
      <c r="G196" s="474"/>
      <c r="H196" s="474"/>
      <c r="I196" s="474"/>
      <c r="J196" s="474"/>
      <c r="K196" s="475"/>
      <c r="L196" s="476"/>
      <c r="M196" s="476"/>
      <c r="N196" s="476"/>
      <c r="O196" s="476"/>
      <c r="P196" s="476"/>
      <c r="Q196" s="476"/>
      <c r="R196" s="476"/>
      <c r="S196" s="476"/>
      <c r="T196" s="476"/>
      <c r="U196" s="476"/>
      <c r="V196" s="476"/>
      <c r="W196" s="476"/>
      <c r="X196" s="476"/>
      <c r="Y196" s="476"/>
      <c r="Z196" s="476"/>
      <c r="AA196" s="476"/>
      <c r="AB196" s="476"/>
      <c r="AC196" s="476"/>
      <c r="AD196" s="476"/>
      <c r="AE196" s="476"/>
      <c r="AF196" s="476"/>
      <c r="AG196" s="476"/>
      <c r="AH196" s="476"/>
      <c r="AI196" s="1035"/>
      <c r="AJ196" s="1035"/>
    </row>
    <row r="197" spans="1:36">
      <c r="B197" s="456">
        <v>82</v>
      </c>
      <c r="C197" s="98"/>
      <c r="D197" s="98" t="s">
        <v>1639</v>
      </c>
      <c r="E197" s="729">
        <v>52.661732914724006</v>
      </c>
      <c r="F197" s="729">
        <v>54.477508511167997</v>
      </c>
      <c r="G197" s="729">
        <v>55.062727838455992</v>
      </c>
      <c r="H197" s="729">
        <v>57.282584905960007</v>
      </c>
      <c r="I197" s="729">
        <v>53.006967277171995</v>
      </c>
      <c r="J197" s="729">
        <v>45.646614975556005</v>
      </c>
      <c r="K197" s="729">
        <v>48.889469098303998</v>
      </c>
      <c r="L197" s="729">
        <v>50.245459942111999</v>
      </c>
      <c r="M197" s="729">
        <v>50.408609775284006</v>
      </c>
      <c r="N197" s="729">
        <v>50.589768356</v>
      </c>
      <c r="O197" s="729">
        <v>48.085855096000003</v>
      </c>
      <c r="P197" s="729">
        <v>46.88259662838</v>
      </c>
      <c r="Q197" s="729">
        <v>49.444349348091997</v>
      </c>
      <c r="R197" s="729">
        <v>49.215476496139992</v>
      </c>
      <c r="S197" s="729">
        <v>50.535045130479993</v>
      </c>
      <c r="T197" s="729">
        <v>50.128234625812006</v>
      </c>
      <c r="U197" s="729">
        <v>49.706114951411998</v>
      </c>
      <c r="V197" s="729">
        <v>49.942170728703992</v>
      </c>
      <c r="W197" s="729">
        <v>50.634000022720002</v>
      </c>
      <c r="X197" s="729">
        <v>51.209541096000002</v>
      </c>
      <c r="Y197" s="729">
        <v>51.927955165439997</v>
      </c>
      <c r="Z197" s="729">
        <v>52.258424015999999</v>
      </c>
      <c r="AA197" s="729">
        <v>53.098996235912004</v>
      </c>
      <c r="AB197" s="729">
        <v>53.823187960959999</v>
      </c>
      <c r="AC197" s="729">
        <v>54.172122691999995</v>
      </c>
      <c r="AD197" s="729">
        <v>54.3107659</v>
      </c>
      <c r="AE197" s="729">
        <v>53.997653484000004</v>
      </c>
      <c r="AF197" s="729">
        <v>54.342153655700002</v>
      </c>
      <c r="AG197" s="729">
        <v>54.479861208000003</v>
      </c>
      <c r="AH197" s="729">
        <v>52.792910404000004</v>
      </c>
      <c r="AI197" s="729">
        <v>54.215646163999999</v>
      </c>
      <c r="AJ197" s="729">
        <v>54.505905003999999</v>
      </c>
    </row>
    <row r="198" spans="1:36">
      <c r="B198" s="456"/>
      <c r="D198" s="1" t="s">
        <v>1482</v>
      </c>
      <c r="E198" s="287"/>
      <c r="F198" s="287"/>
      <c r="G198" s="287"/>
      <c r="H198" s="287"/>
      <c r="I198" s="466"/>
      <c r="J198" s="466"/>
      <c r="K198" s="466"/>
      <c r="L198" s="468"/>
      <c r="M198" s="468"/>
      <c r="T198" s="1"/>
      <c r="U198" s="1"/>
      <c r="V198" s="1"/>
      <c r="W198" s="1"/>
      <c r="X198" s="1"/>
      <c r="Y198" s="1"/>
      <c r="Z198" s="1"/>
      <c r="AA198" s="1"/>
      <c r="AB198" s="1"/>
      <c r="AC198" s="1"/>
      <c r="AD198" s="1"/>
      <c r="AE198" s="1"/>
      <c r="AF198" s="1"/>
      <c r="AG198" s="1"/>
      <c r="AI198" s="1036"/>
      <c r="AJ198" s="1036"/>
    </row>
    <row r="199" spans="1:36">
      <c r="B199" s="456"/>
      <c r="D199" s="1" t="s">
        <v>2011</v>
      </c>
      <c r="E199" s="287"/>
      <c r="F199" s="287"/>
      <c r="G199" s="287"/>
      <c r="H199" s="287"/>
      <c r="I199" s="466"/>
      <c r="J199" s="466"/>
      <c r="K199" s="466"/>
      <c r="L199" s="468"/>
      <c r="M199" s="468"/>
      <c r="T199" s="1"/>
      <c r="U199" s="1"/>
      <c r="V199" s="1"/>
      <c r="W199" s="1"/>
      <c r="X199" s="1"/>
      <c r="Y199" s="1"/>
      <c r="Z199" s="1"/>
      <c r="AA199" s="1"/>
      <c r="AB199" s="1"/>
      <c r="AC199" s="1"/>
      <c r="AD199" s="1"/>
      <c r="AE199" s="1"/>
      <c r="AF199" s="1"/>
      <c r="AG199" s="1"/>
      <c r="AI199" s="1036"/>
      <c r="AJ199" s="1036"/>
    </row>
    <row r="200" spans="1:36">
      <c r="B200" s="456"/>
      <c r="E200" s="287"/>
      <c r="F200" s="287"/>
      <c r="G200" s="287"/>
      <c r="H200" s="287"/>
      <c r="I200" s="466"/>
      <c r="J200" s="466"/>
      <c r="K200" s="466"/>
      <c r="L200" s="468"/>
      <c r="M200" s="468"/>
      <c r="T200" s="1"/>
      <c r="U200" s="1"/>
      <c r="V200" s="1"/>
      <c r="W200" s="1"/>
      <c r="X200" s="1"/>
      <c r="Y200" s="1"/>
      <c r="Z200" s="1"/>
      <c r="AA200" s="1"/>
      <c r="AB200" s="1"/>
      <c r="AC200" s="1"/>
      <c r="AD200" s="1"/>
      <c r="AE200" s="1"/>
      <c r="AF200" s="1"/>
      <c r="AG200" s="1"/>
      <c r="AI200" s="1036"/>
      <c r="AJ200" s="1036"/>
    </row>
    <row r="201" spans="1:36">
      <c r="B201" s="456"/>
      <c r="E201" s="287"/>
      <c r="F201" s="287"/>
      <c r="G201" s="287"/>
      <c r="H201" s="287"/>
      <c r="I201" s="466"/>
      <c r="J201" s="466"/>
      <c r="K201" s="466"/>
      <c r="L201" s="468"/>
      <c r="M201" s="468"/>
      <c r="T201" s="1"/>
      <c r="U201" s="1"/>
      <c r="V201" s="1"/>
      <c r="W201" s="1"/>
      <c r="X201" s="1"/>
      <c r="Y201" s="1"/>
      <c r="Z201" s="1"/>
      <c r="AA201" s="1"/>
      <c r="AB201" s="1"/>
      <c r="AC201" s="1"/>
      <c r="AD201" s="1"/>
      <c r="AE201" s="1"/>
      <c r="AF201" s="1"/>
      <c r="AG201" s="1"/>
      <c r="AI201" s="1036"/>
      <c r="AJ201" s="1066"/>
    </row>
    <row r="202" spans="1:36">
      <c r="A202" s="136"/>
      <c r="B202" s="648" t="s">
        <v>1640</v>
      </c>
      <c r="C202" s="477"/>
      <c r="D202" s="477"/>
      <c r="E202" s="649"/>
      <c r="F202" s="622"/>
      <c r="G202" s="622"/>
      <c r="H202" s="622"/>
      <c r="I202" s="470"/>
      <c r="J202" s="470"/>
      <c r="K202" s="470"/>
      <c r="L202" s="471"/>
      <c r="M202" s="471"/>
      <c r="N202" s="136"/>
      <c r="O202" s="136"/>
      <c r="P202" s="136"/>
      <c r="Q202" s="136"/>
      <c r="R202" s="136"/>
      <c r="S202" s="136"/>
      <c r="T202" s="136"/>
      <c r="U202" s="136"/>
      <c r="V202" s="136"/>
      <c r="W202" s="136"/>
      <c r="X202" s="136"/>
      <c r="Y202" s="136"/>
      <c r="Z202" s="136"/>
      <c r="AA202" s="136"/>
      <c r="AB202" s="136"/>
      <c r="AC202" s="136"/>
      <c r="AD202" s="136"/>
      <c r="AE202" s="136"/>
      <c r="AF202" s="136"/>
      <c r="AG202" s="136"/>
      <c r="AH202" s="136"/>
      <c r="AI202" s="1037"/>
      <c r="AJ202" s="1036"/>
    </row>
    <row r="203" spans="1:36" ht="13.5" thickBot="1">
      <c r="B203" s="456"/>
      <c r="D203" s="651" t="s">
        <v>1641</v>
      </c>
      <c r="E203" s="287"/>
      <c r="F203" s="287"/>
      <c r="G203" s="287"/>
      <c r="H203" s="287"/>
      <c r="I203" s="466"/>
      <c r="J203" s="466"/>
      <c r="K203" s="466"/>
      <c r="L203" s="468"/>
      <c r="M203" s="468"/>
      <c r="T203" s="1"/>
      <c r="U203" s="1"/>
      <c r="V203" s="1"/>
      <c r="W203" s="1"/>
      <c r="X203" s="1"/>
      <c r="Y203" s="1"/>
      <c r="Z203" s="1"/>
      <c r="AA203" s="1"/>
      <c r="AB203" s="1"/>
      <c r="AC203" s="1"/>
      <c r="AD203" s="1"/>
      <c r="AE203" s="1"/>
      <c r="AF203" s="1"/>
      <c r="AG203" s="1"/>
      <c r="AI203" s="1036"/>
      <c r="AJ203" s="1036"/>
    </row>
    <row r="204" spans="1:36">
      <c r="B204" s="456"/>
      <c r="D204" s="657" t="s">
        <v>1642</v>
      </c>
      <c r="E204" s="732">
        <v>0</v>
      </c>
      <c r="F204" s="732">
        <v>0</v>
      </c>
      <c r="G204" s="732">
        <v>0</v>
      </c>
      <c r="H204" s="732">
        <v>0.99005191520268454</v>
      </c>
      <c r="I204" s="732">
        <v>8.9173041849727497</v>
      </c>
      <c r="J204" s="732">
        <v>37.763361390527734</v>
      </c>
      <c r="K204" s="732">
        <v>24.077376524524198</v>
      </c>
      <c r="L204" s="732">
        <v>0</v>
      </c>
      <c r="M204" s="732">
        <v>10.911311877562298</v>
      </c>
      <c r="N204" s="732">
        <v>40.077270031991247</v>
      </c>
      <c r="O204" s="732">
        <v>53.543709066435099</v>
      </c>
      <c r="P204" s="732">
        <v>24.764394990510937</v>
      </c>
      <c r="Q204" s="732">
        <v>40.297952859316297</v>
      </c>
      <c r="R204" s="732">
        <v>51.888657662241599</v>
      </c>
      <c r="S204" s="732">
        <v>167.7675714419388</v>
      </c>
      <c r="T204" s="732">
        <v>80.441129905107346</v>
      </c>
      <c r="U204" s="732">
        <v>62.874654862045077</v>
      </c>
      <c r="V204" s="732">
        <v>2.3203149182869538</v>
      </c>
      <c r="W204" s="732">
        <v>29.160207416902495</v>
      </c>
      <c r="X204" s="732">
        <v>6.3849143400174171</v>
      </c>
      <c r="Y204" s="732">
        <v>64.75700410595033</v>
      </c>
      <c r="Z204" s="732">
        <v>60.841185085936445</v>
      </c>
      <c r="AA204" s="732">
        <v>132.48279136693179</v>
      </c>
      <c r="AB204" s="732">
        <v>119.90639149360095</v>
      </c>
      <c r="AC204" s="732">
        <v>49.106364978524198</v>
      </c>
      <c r="AD204" s="732">
        <v>122.35139828043901</v>
      </c>
      <c r="AE204" s="732">
        <v>89.635253981130802</v>
      </c>
      <c r="AF204" s="732">
        <v>113.00308641767964</v>
      </c>
      <c r="AG204" s="732">
        <v>124.67753407088412</v>
      </c>
      <c r="AH204" s="732">
        <v>112.83747864130271</v>
      </c>
      <c r="AI204" s="732">
        <v>70.002935895880114</v>
      </c>
      <c r="AJ204" s="732">
        <v>124.63691314907896</v>
      </c>
    </row>
    <row r="205" spans="1:36">
      <c r="B205" s="456"/>
      <c r="D205" s="658" t="s">
        <v>1643</v>
      </c>
      <c r="E205" s="728">
        <v>1041.8621770950001</v>
      </c>
      <c r="F205" s="728">
        <v>907.24501151100003</v>
      </c>
      <c r="G205" s="728">
        <v>867.38425930799997</v>
      </c>
      <c r="H205" s="728">
        <v>839.45237999999995</v>
      </c>
      <c r="I205" s="728">
        <v>850.64247880000005</v>
      </c>
      <c r="J205" s="728">
        <v>884.7063776</v>
      </c>
      <c r="K205" s="728">
        <v>849.71436800000004</v>
      </c>
      <c r="L205" s="728">
        <v>809.44042679999995</v>
      </c>
      <c r="M205" s="728">
        <v>773.09996765400001</v>
      </c>
      <c r="N205" s="728">
        <v>770.88660717599998</v>
      </c>
      <c r="O205" s="728">
        <v>793.68861100200002</v>
      </c>
      <c r="P205" s="728">
        <v>715.13648795400002</v>
      </c>
      <c r="Q205" s="728">
        <v>648.78589062000003</v>
      </c>
      <c r="R205" s="728">
        <v>664.99182867499997</v>
      </c>
      <c r="S205" s="728">
        <v>649.17594319199998</v>
      </c>
      <c r="T205" s="728">
        <v>615.82671110399997</v>
      </c>
      <c r="U205" s="728">
        <v>603.10818086400002</v>
      </c>
      <c r="V205" s="728">
        <v>598.07516203700004</v>
      </c>
      <c r="W205" s="728">
        <v>580.01318123700003</v>
      </c>
      <c r="X205" s="728">
        <v>403.60101982200001</v>
      </c>
      <c r="Y205" s="728">
        <v>554.61816313500003</v>
      </c>
      <c r="Z205" s="728">
        <v>563.69003090399997</v>
      </c>
      <c r="AA205" s="728">
        <v>594.23628859200005</v>
      </c>
      <c r="AB205" s="728">
        <v>616.41030884999998</v>
      </c>
      <c r="AC205" s="728">
        <v>606.05963883000004</v>
      </c>
      <c r="AD205" s="728">
        <v>562.20173282200005</v>
      </c>
      <c r="AE205" s="728">
        <v>471.59452646400001</v>
      </c>
      <c r="AF205" s="728">
        <v>502.85741119899996</v>
      </c>
      <c r="AG205" s="728">
        <v>524.573510016</v>
      </c>
      <c r="AH205" s="728">
        <v>514.36450309500003</v>
      </c>
      <c r="AI205" s="728">
        <v>413.91523633200001</v>
      </c>
      <c r="AJ205" s="728">
        <v>504.19558158199993</v>
      </c>
    </row>
    <row r="206" spans="1:36" ht="13.5" thickBot="1">
      <c r="B206" s="456"/>
      <c r="D206" s="658" t="s">
        <v>1644</v>
      </c>
      <c r="E206" s="728">
        <v>1044.7647202336889</v>
      </c>
      <c r="F206" s="728">
        <v>932.22358615298174</v>
      </c>
      <c r="G206" s="728">
        <v>887.16476440660347</v>
      </c>
      <c r="H206" s="728">
        <v>838.46232808479726</v>
      </c>
      <c r="I206" s="728">
        <v>841.7251746150273</v>
      </c>
      <c r="J206" s="728">
        <v>846.94301620947226</v>
      </c>
      <c r="K206" s="728">
        <v>825.63699147547584</v>
      </c>
      <c r="L206" s="728">
        <v>836.8151535665578</v>
      </c>
      <c r="M206" s="728">
        <v>762.18865577643771</v>
      </c>
      <c r="N206" s="728">
        <v>730.80933714400874</v>
      </c>
      <c r="O206" s="728">
        <v>740.14490193556492</v>
      </c>
      <c r="P206" s="728">
        <v>690.37209296348908</v>
      </c>
      <c r="Q206" s="728">
        <v>608.48793776068374</v>
      </c>
      <c r="R206" s="728">
        <v>613.10317101275837</v>
      </c>
      <c r="S206" s="728">
        <v>481.40837175006118</v>
      </c>
      <c r="T206" s="728">
        <v>535.38558119889262</v>
      </c>
      <c r="U206" s="728">
        <v>540.23352600195494</v>
      </c>
      <c r="V206" s="728">
        <v>595.75484711871309</v>
      </c>
      <c r="W206" s="728">
        <v>550.85297382009753</v>
      </c>
      <c r="X206" s="728">
        <v>397.21610548198259</v>
      </c>
      <c r="Y206" s="728">
        <v>489.8611590290497</v>
      </c>
      <c r="Z206" s="728">
        <v>502.84884581806352</v>
      </c>
      <c r="AA206" s="728">
        <v>461.75349722506826</v>
      </c>
      <c r="AB206" s="728">
        <v>496.50391735639903</v>
      </c>
      <c r="AC206" s="728">
        <v>556.95327385147584</v>
      </c>
      <c r="AD206" s="728">
        <v>439.85033454156104</v>
      </c>
      <c r="AE206" s="728">
        <v>381.95927248286921</v>
      </c>
      <c r="AF206" s="728">
        <v>389.85432478132032</v>
      </c>
      <c r="AG206" s="728">
        <v>399.89597594511588</v>
      </c>
      <c r="AH206" s="728">
        <v>401.52702445369732</v>
      </c>
      <c r="AI206" s="728">
        <v>343.91230043611989</v>
      </c>
      <c r="AJ206" s="728">
        <v>379.55866843292097</v>
      </c>
    </row>
    <row r="207" spans="1:36">
      <c r="B207" s="456"/>
      <c r="D207" s="657" t="s">
        <v>1645</v>
      </c>
      <c r="E207" s="732">
        <v>1675.7669404973112</v>
      </c>
      <c r="F207" s="732">
        <v>1637.9893079180183</v>
      </c>
      <c r="G207" s="732">
        <v>1593.9478971513965</v>
      </c>
      <c r="H207" s="732">
        <v>1624.3691617540001</v>
      </c>
      <c r="I207" s="732">
        <v>1634.914452988</v>
      </c>
      <c r="J207" s="732">
        <v>1567.5108617499998</v>
      </c>
      <c r="K207" s="732">
        <v>1494.8058598</v>
      </c>
      <c r="L207" s="732">
        <v>1495.9194377854421</v>
      </c>
      <c r="M207" s="732">
        <v>1509.0749911519999</v>
      </c>
      <c r="N207" s="732">
        <v>1410.9831003280001</v>
      </c>
      <c r="O207" s="732">
        <v>1373.1050144515743</v>
      </c>
      <c r="P207" s="732">
        <v>1394.5239986459715</v>
      </c>
      <c r="Q207" s="732">
        <v>1281.5946293979716</v>
      </c>
      <c r="R207" s="732">
        <v>1286.5828854639717</v>
      </c>
      <c r="S207" s="732">
        <v>1296.8503801009715</v>
      </c>
      <c r="T207" s="732">
        <v>1257.0265170799714</v>
      </c>
      <c r="U207" s="732">
        <v>1231.2915277639715</v>
      </c>
      <c r="V207" s="732">
        <v>1181.5016579259716</v>
      </c>
      <c r="W207" s="732">
        <v>1131.8699307999716</v>
      </c>
      <c r="X207" s="732">
        <v>929.18640987197159</v>
      </c>
      <c r="Y207" s="732">
        <v>1002.5923769639714</v>
      </c>
      <c r="Z207" s="732">
        <v>915.32146756797158</v>
      </c>
      <c r="AA207" s="732">
        <v>832.16353998197155</v>
      </c>
      <c r="AB207" s="732">
        <v>846.3609344639716</v>
      </c>
      <c r="AC207" s="732">
        <v>842.53472303172452</v>
      </c>
      <c r="AD207" s="732">
        <v>743.38780531650434</v>
      </c>
      <c r="AE207" s="732">
        <v>671.06735095745114</v>
      </c>
      <c r="AF207" s="732">
        <v>623.57681240843033</v>
      </c>
      <c r="AG207" s="732">
        <v>578.56878432287908</v>
      </c>
      <c r="AH207" s="732">
        <v>526.91306642672191</v>
      </c>
      <c r="AI207" s="732">
        <v>457.98518519386892</v>
      </c>
      <c r="AJ207" s="732">
        <v>459.18172359781039</v>
      </c>
    </row>
    <row r="208" spans="1:36">
      <c r="B208" s="456"/>
      <c r="D208" s="658" t="s">
        <v>1646</v>
      </c>
      <c r="E208" s="728">
        <v>1714.1461336360001</v>
      </c>
      <c r="F208" s="728">
        <v>1693.5948625599999</v>
      </c>
      <c r="G208" s="728">
        <v>1647.43719225</v>
      </c>
      <c r="H208" s="728">
        <v>1656.835671754</v>
      </c>
      <c r="I208" s="728">
        <v>1659.0433529879999</v>
      </c>
      <c r="J208" s="728">
        <v>1603.5608717499997</v>
      </c>
      <c r="K208" s="728">
        <v>1584.6800398</v>
      </c>
      <c r="L208" s="728">
        <v>1585.6231745519999</v>
      </c>
      <c r="M208" s="728">
        <v>1562.1585711519999</v>
      </c>
      <c r="N208" s="728">
        <v>1455.8963003280001</v>
      </c>
      <c r="O208" s="728">
        <v>1462.8096731539999</v>
      </c>
      <c r="P208" s="728">
        <v>1476.5013149819999</v>
      </c>
      <c r="Q208" s="728">
        <v>1370.571715734</v>
      </c>
      <c r="R208" s="728">
        <v>1376.4200118000001</v>
      </c>
      <c r="S208" s="728">
        <v>1397.700796437</v>
      </c>
      <c r="T208" s="728">
        <v>1338.2154634159999</v>
      </c>
      <c r="U208" s="728">
        <v>1311.3576441</v>
      </c>
      <c r="V208" s="728">
        <v>1266.536894262</v>
      </c>
      <c r="W208" s="728">
        <v>1213.178327136</v>
      </c>
      <c r="X208" s="728">
        <v>988.89824620800005</v>
      </c>
      <c r="Y208" s="728">
        <v>1076.7576632999999</v>
      </c>
      <c r="Z208" s="728">
        <v>997.25100390399996</v>
      </c>
      <c r="AA208" s="728">
        <v>918.82329631799996</v>
      </c>
      <c r="AB208" s="728">
        <v>929.98666079999998</v>
      </c>
      <c r="AC208" s="728">
        <v>924.41491012500001</v>
      </c>
      <c r="AD208" s="728">
        <v>817.5568090139999</v>
      </c>
      <c r="AE208" s="728">
        <v>733.74121028499997</v>
      </c>
      <c r="AF208" s="728">
        <v>691.95408765000002</v>
      </c>
      <c r="AG208" s="728">
        <v>654.94342691999998</v>
      </c>
      <c r="AH208" s="728">
        <v>602.88323471699994</v>
      </c>
      <c r="AI208" s="728">
        <v>524.09622705000004</v>
      </c>
      <c r="AJ208" s="728">
        <v>531.84841090800001</v>
      </c>
    </row>
    <row r="209" spans="2:36">
      <c r="B209" s="456"/>
      <c r="D209" s="658" t="s">
        <v>1647</v>
      </c>
      <c r="E209" s="728">
        <v>0</v>
      </c>
      <c r="F209" s="728">
        <v>0</v>
      </c>
      <c r="G209" s="728">
        <v>0</v>
      </c>
      <c r="H209" s="728">
        <v>0</v>
      </c>
      <c r="I209" s="728">
        <v>0</v>
      </c>
      <c r="J209" s="728">
        <v>0</v>
      </c>
      <c r="K209" s="728">
        <v>0</v>
      </c>
      <c r="L209" s="728">
        <v>0</v>
      </c>
      <c r="M209" s="728">
        <v>0</v>
      </c>
      <c r="N209" s="728">
        <v>0</v>
      </c>
      <c r="O209" s="728">
        <v>17.747978702425556</v>
      </c>
      <c r="P209" s="728">
        <v>19.719976336028392</v>
      </c>
      <c r="Q209" s="728">
        <v>19.719976336028392</v>
      </c>
      <c r="R209" s="728">
        <v>19.719976336028392</v>
      </c>
      <c r="S209" s="728">
        <v>19.719976336028392</v>
      </c>
      <c r="T209" s="728">
        <v>19.719976336028392</v>
      </c>
      <c r="U209" s="728">
        <v>19.719976336028399</v>
      </c>
      <c r="V209" s="728">
        <v>19.719976336028395</v>
      </c>
      <c r="W209" s="728">
        <v>19.719976336028395</v>
      </c>
      <c r="X209" s="728">
        <v>19.719976336028395</v>
      </c>
      <c r="Y209" s="728">
        <v>19.719976336028392</v>
      </c>
      <c r="Z209" s="728">
        <v>19.719976336028395</v>
      </c>
      <c r="AA209" s="728">
        <v>19.719976336028395</v>
      </c>
      <c r="AB209" s="728">
        <v>19.719976336028395</v>
      </c>
      <c r="AC209" s="728">
        <v>23.946937093275487</v>
      </c>
      <c r="AD209" s="728">
        <v>19.819253697495558</v>
      </c>
      <c r="AE209" s="728">
        <v>16.446709327548803</v>
      </c>
      <c r="AF209" s="728">
        <v>17.611025241569706</v>
      </c>
      <c r="AG209" s="728">
        <v>15.001232597120884</v>
      </c>
      <c r="AH209" s="728">
        <v>17.081318290278052</v>
      </c>
      <c r="AI209" s="728">
        <v>15.711728002366396</v>
      </c>
      <c r="AJ209" s="728">
        <v>16.420069019917172</v>
      </c>
    </row>
    <row r="210" spans="2:36" ht="51.95">
      <c r="B210" s="456"/>
      <c r="D210" s="659" t="s">
        <v>1648</v>
      </c>
      <c r="E210" s="728">
        <v>2.9025431386887703</v>
      </c>
      <c r="F210" s="728">
        <v>24.978574641981709</v>
      </c>
      <c r="G210" s="728">
        <v>19.780505098603498</v>
      </c>
      <c r="H210" s="728">
        <v>0</v>
      </c>
      <c r="I210" s="728">
        <v>0</v>
      </c>
      <c r="J210" s="728">
        <v>0</v>
      </c>
      <c r="K210" s="728">
        <v>0</v>
      </c>
      <c r="L210" s="728">
        <v>27.374726766557842</v>
      </c>
      <c r="M210" s="728">
        <v>0</v>
      </c>
      <c r="N210" s="728">
        <v>0</v>
      </c>
      <c r="O210" s="728">
        <v>0</v>
      </c>
      <c r="P210" s="728">
        <v>0</v>
      </c>
      <c r="Q210" s="728">
        <v>0</v>
      </c>
      <c r="R210" s="728">
        <v>0</v>
      </c>
      <c r="S210" s="728">
        <v>0</v>
      </c>
      <c r="T210" s="728">
        <v>0</v>
      </c>
      <c r="U210" s="728">
        <v>0</v>
      </c>
      <c r="V210" s="728">
        <v>0</v>
      </c>
      <c r="W210" s="728">
        <v>0</v>
      </c>
      <c r="X210" s="728">
        <v>0</v>
      </c>
      <c r="Y210" s="728">
        <v>0</v>
      </c>
      <c r="Z210" s="728">
        <v>0</v>
      </c>
      <c r="AA210" s="728">
        <v>0</v>
      </c>
      <c r="AB210" s="728">
        <v>0</v>
      </c>
      <c r="AC210" s="728">
        <v>0</v>
      </c>
      <c r="AD210" s="728">
        <v>0</v>
      </c>
      <c r="AE210" s="728">
        <v>0</v>
      </c>
      <c r="AF210" s="728">
        <v>0</v>
      </c>
      <c r="AG210" s="728">
        <v>0</v>
      </c>
      <c r="AH210" s="728">
        <v>0</v>
      </c>
      <c r="AI210" s="728">
        <v>0</v>
      </c>
      <c r="AJ210" s="728">
        <v>0</v>
      </c>
    </row>
    <row r="211" spans="2:36" ht="13.5" thickBot="1">
      <c r="B211" s="456"/>
      <c r="D211" s="661" t="s">
        <v>1649</v>
      </c>
      <c r="E211" s="733">
        <v>35.476649999999999</v>
      </c>
      <c r="F211" s="733">
        <v>30.62698</v>
      </c>
      <c r="G211" s="733">
        <v>33.70879</v>
      </c>
      <c r="H211" s="733">
        <v>32.46651</v>
      </c>
      <c r="I211" s="733">
        <v>24.128900000000002</v>
      </c>
      <c r="J211" s="733">
        <v>36.05001</v>
      </c>
      <c r="K211" s="733">
        <v>89.874179999999996</v>
      </c>
      <c r="L211" s="733">
        <v>62.329009999999997</v>
      </c>
      <c r="M211" s="733">
        <v>53.083579999999998</v>
      </c>
      <c r="N211" s="733">
        <v>44.913200000000003</v>
      </c>
      <c r="O211" s="733">
        <v>71.956680000000006</v>
      </c>
      <c r="P211" s="733">
        <v>62.257339999999999</v>
      </c>
      <c r="Q211" s="733">
        <v>69.257109999999997</v>
      </c>
      <c r="R211" s="733">
        <v>70.117149999999995</v>
      </c>
      <c r="S211" s="733">
        <v>81.130439999999993</v>
      </c>
      <c r="T211" s="733">
        <v>61.468969999999999</v>
      </c>
      <c r="U211" s="733">
        <v>60.346139999999998</v>
      </c>
      <c r="V211" s="733">
        <v>65.315259999999995</v>
      </c>
      <c r="W211" s="733">
        <v>61.588419999999999</v>
      </c>
      <c r="X211" s="733">
        <v>39.991860000000003</v>
      </c>
      <c r="Y211" s="733">
        <v>54.445309999999999</v>
      </c>
      <c r="Z211" s="733">
        <v>62.209560000000003</v>
      </c>
      <c r="AA211" s="733">
        <v>66.939779999999999</v>
      </c>
      <c r="AB211" s="733">
        <v>63.905749999999998</v>
      </c>
      <c r="AC211" s="733">
        <v>57.933250000000001</v>
      </c>
      <c r="AD211" s="733">
        <v>54.34975</v>
      </c>
      <c r="AE211" s="733">
        <v>46.227150000000002</v>
      </c>
      <c r="AF211" s="733">
        <v>50.766249999999999</v>
      </c>
      <c r="AG211" s="733">
        <v>61.37341</v>
      </c>
      <c r="AH211" s="733">
        <v>58.888849999999998</v>
      </c>
      <c r="AI211" s="733">
        <v>50.399313853764752</v>
      </c>
      <c r="AJ211" s="733">
        <v>56.246618290272437</v>
      </c>
    </row>
    <row r="212" spans="2:36">
      <c r="B212" s="456"/>
      <c r="D212" s="722" t="s">
        <v>1650</v>
      </c>
      <c r="E212" s="728">
        <v>7993.1381541127721</v>
      </c>
      <c r="F212" s="728">
        <v>8106.186538507146</v>
      </c>
      <c r="G212" s="728">
        <v>8420.583142909436</v>
      </c>
      <c r="H212" s="728">
        <v>8576.5936056149731</v>
      </c>
      <c r="I212" s="728">
        <v>8619.798576906609</v>
      </c>
      <c r="J212" s="728">
        <v>9071.5290918915325</v>
      </c>
      <c r="K212" s="728">
        <v>9386.3660914836473</v>
      </c>
      <c r="L212" s="728">
        <v>9416.5082266472109</v>
      </c>
      <c r="M212" s="728">
        <v>9227.0733414263941</v>
      </c>
      <c r="N212" s="728">
        <v>8817.2157531256053</v>
      </c>
      <c r="O212" s="728">
        <v>9038.2946285140843</v>
      </c>
      <c r="P212" s="728">
        <v>8325.4690296393874</v>
      </c>
      <c r="Q212" s="728">
        <v>8448.5696850214154</v>
      </c>
      <c r="R212" s="728">
        <v>8174.946676384684</v>
      </c>
      <c r="S212" s="728">
        <v>8204.2447102981805</v>
      </c>
      <c r="T212" s="728">
        <v>7585.0517920141347</v>
      </c>
      <c r="U212" s="728">
        <v>7541.4583065914294</v>
      </c>
      <c r="V212" s="728">
        <v>7738.8395001602103</v>
      </c>
      <c r="W212" s="728">
        <v>7790.0732111808638</v>
      </c>
      <c r="X212" s="728">
        <v>7344.627521184957</v>
      </c>
      <c r="Y212" s="728">
        <v>7979.88483813116</v>
      </c>
      <c r="Z212" s="728">
        <v>8172.0100719061047</v>
      </c>
      <c r="AA212" s="728">
        <v>8495.7543983742817</v>
      </c>
      <c r="AB212" s="728">
        <v>8828.5197285528957</v>
      </c>
      <c r="AC212" s="728">
        <v>9127.5053889729134</v>
      </c>
      <c r="AD212" s="728">
        <v>9119.932101192273</v>
      </c>
      <c r="AE212" s="728">
        <v>9302.0557908767769</v>
      </c>
      <c r="AF212" s="728">
        <v>9477.6281353869836</v>
      </c>
      <c r="AG212" s="728">
        <v>10056.058622156899</v>
      </c>
      <c r="AH212" s="728">
        <v>10213.878080850258</v>
      </c>
      <c r="AI212" s="728">
        <v>9917.3601868644328</v>
      </c>
      <c r="AJ212" s="728">
        <v>10173.819803719296</v>
      </c>
    </row>
    <row r="213" spans="2:36">
      <c r="B213" s="456"/>
      <c r="D213" s="658" t="s">
        <v>1651</v>
      </c>
      <c r="E213" s="728">
        <v>8442.8610000000008</v>
      </c>
      <c r="F213" s="728">
        <v>8572.3179999999993</v>
      </c>
      <c r="G213" s="728">
        <v>8917.7970000000005</v>
      </c>
      <c r="H213" s="728">
        <v>9061.6630000000005</v>
      </c>
      <c r="I213" s="728">
        <v>9126.0460000000003</v>
      </c>
      <c r="J213" s="728">
        <v>9591.8250000000007</v>
      </c>
      <c r="K213" s="728">
        <v>9900.5669999999991</v>
      </c>
      <c r="L213" s="728">
        <v>9932.9359999999997</v>
      </c>
      <c r="M213" s="728">
        <v>9763.3649999999998</v>
      </c>
      <c r="N213" s="728">
        <v>9375.3029999999999</v>
      </c>
      <c r="O213" s="728">
        <v>9499.7929999999997</v>
      </c>
      <c r="P213" s="728">
        <v>8676.3420000000006</v>
      </c>
      <c r="Q213" s="728">
        <v>8831.57</v>
      </c>
      <c r="R213" s="728">
        <v>8488.3389999999999</v>
      </c>
      <c r="S213" s="728">
        <v>8549.8320000000003</v>
      </c>
      <c r="T213" s="728">
        <v>7907.3440000000001</v>
      </c>
      <c r="U213" s="728">
        <v>7861.0249999999996</v>
      </c>
      <c r="V213" s="728">
        <v>8073.57</v>
      </c>
      <c r="W213" s="728">
        <v>8083.4049999999988</v>
      </c>
      <c r="X213" s="728">
        <v>7608.9719999999998</v>
      </c>
      <c r="Y213" s="728">
        <v>8277.9850000000006</v>
      </c>
      <c r="Z213" s="728">
        <v>8480.5329999999994</v>
      </c>
      <c r="AA213" s="728">
        <v>8818.6110000000008</v>
      </c>
      <c r="AB213" s="728">
        <v>9140.4549999999999</v>
      </c>
      <c r="AC213" s="728">
        <v>9441.0519999999997</v>
      </c>
      <c r="AD213" s="728">
        <v>9425.6810000000005</v>
      </c>
      <c r="AE213" s="728">
        <v>9617.4590000000007</v>
      </c>
      <c r="AF213" s="728">
        <v>9864.3469999999998</v>
      </c>
      <c r="AG213" s="728">
        <v>10473.767</v>
      </c>
      <c r="AH213" s="728">
        <v>10630.355</v>
      </c>
      <c r="AI213" s="728">
        <v>10339.735000000001</v>
      </c>
      <c r="AJ213" s="728">
        <v>10572.902</v>
      </c>
    </row>
    <row r="214" spans="2:36">
      <c r="B214" s="456"/>
      <c r="D214" s="658" t="s">
        <v>1652</v>
      </c>
      <c r="E214" s="728">
        <v>0</v>
      </c>
      <c r="F214" s="728">
        <v>0</v>
      </c>
      <c r="G214" s="728">
        <v>0</v>
      </c>
      <c r="H214" s="728">
        <v>0</v>
      </c>
      <c r="I214" s="728">
        <v>0</v>
      </c>
      <c r="J214" s="728">
        <v>0</v>
      </c>
      <c r="K214" s="728">
        <v>0</v>
      </c>
      <c r="L214" s="728">
        <v>0</v>
      </c>
      <c r="M214" s="728">
        <v>0</v>
      </c>
      <c r="N214" s="728">
        <v>0</v>
      </c>
      <c r="O214" s="728">
        <v>0</v>
      </c>
      <c r="P214" s="728">
        <v>0</v>
      </c>
      <c r="Q214" s="728">
        <v>0</v>
      </c>
      <c r="R214" s="728">
        <v>0</v>
      </c>
      <c r="S214" s="728">
        <v>0</v>
      </c>
      <c r="T214" s="728">
        <v>0</v>
      </c>
      <c r="U214" s="728">
        <v>0</v>
      </c>
      <c r="V214" s="728">
        <v>0</v>
      </c>
      <c r="W214" s="728">
        <v>0</v>
      </c>
      <c r="X214" s="728">
        <v>0</v>
      </c>
      <c r="Y214" s="728">
        <v>0</v>
      </c>
      <c r="Z214" s="728">
        <v>0</v>
      </c>
      <c r="AA214" s="728">
        <v>0</v>
      </c>
      <c r="AB214" s="728">
        <v>0</v>
      </c>
      <c r="AC214" s="728">
        <v>0</v>
      </c>
      <c r="AD214" s="728">
        <v>0</v>
      </c>
      <c r="AE214" s="728">
        <v>0</v>
      </c>
      <c r="AF214" s="728">
        <v>0</v>
      </c>
      <c r="AG214" s="728">
        <v>0</v>
      </c>
      <c r="AH214" s="728">
        <v>0</v>
      </c>
      <c r="AI214" s="728">
        <v>0</v>
      </c>
      <c r="AJ214" s="728">
        <v>0</v>
      </c>
    </row>
    <row r="215" spans="2:36">
      <c r="B215" s="456"/>
      <c r="D215" s="658" t="s">
        <v>1653</v>
      </c>
      <c r="E215" s="728">
        <v>0</v>
      </c>
      <c r="F215" s="728">
        <v>0</v>
      </c>
      <c r="G215" s="728">
        <v>0</v>
      </c>
      <c r="H215" s="728">
        <v>0</v>
      </c>
      <c r="I215" s="728">
        <v>0</v>
      </c>
      <c r="J215" s="728">
        <v>0</v>
      </c>
      <c r="K215" s="728">
        <v>0</v>
      </c>
      <c r="L215" s="728">
        <v>0</v>
      </c>
      <c r="M215" s="728">
        <v>0</v>
      </c>
      <c r="N215" s="728">
        <v>0</v>
      </c>
      <c r="O215" s="728">
        <v>0</v>
      </c>
      <c r="P215" s="728">
        <v>0</v>
      </c>
      <c r="Q215" s="728">
        <v>0</v>
      </c>
      <c r="R215" s="728">
        <v>0</v>
      </c>
      <c r="S215" s="728">
        <v>0</v>
      </c>
      <c r="T215" s="728">
        <v>0</v>
      </c>
      <c r="U215" s="728">
        <v>0</v>
      </c>
      <c r="V215" s="728">
        <v>0</v>
      </c>
      <c r="W215" s="728">
        <v>0</v>
      </c>
      <c r="X215" s="728">
        <v>0</v>
      </c>
      <c r="Y215" s="728">
        <v>0</v>
      </c>
      <c r="Z215" s="728">
        <v>0</v>
      </c>
      <c r="AA215" s="728">
        <v>0</v>
      </c>
      <c r="AB215" s="728">
        <v>0</v>
      </c>
      <c r="AC215" s="728">
        <v>0</v>
      </c>
      <c r="AD215" s="728">
        <v>0</v>
      </c>
      <c r="AE215" s="728">
        <v>0</v>
      </c>
      <c r="AF215" s="728">
        <v>0</v>
      </c>
      <c r="AG215" s="728">
        <v>0</v>
      </c>
      <c r="AH215" s="728">
        <v>0</v>
      </c>
      <c r="AI215" s="728">
        <v>0</v>
      </c>
      <c r="AJ215" s="728">
        <v>0</v>
      </c>
    </row>
    <row r="216" spans="2:36">
      <c r="B216" s="456"/>
      <c r="D216" s="658" t="s">
        <v>1654</v>
      </c>
      <c r="E216" s="728">
        <v>0</v>
      </c>
      <c r="F216" s="728">
        <v>0</v>
      </c>
      <c r="G216" s="728">
        <v>0</v>
      </c>
      <c r="H216" s="728">
        <v>0</v>
      </c>
      <c r="I216" s="728">
        <v>0</v>
      </c>
      <c r="J216" s="728">
        <v>0</v>
      </c>
      <c r="K216" s="728">
        <v>0</v>
      </c>
      <c r="L216" s="728">
        <v>0</v>
      </c>
      <c r="M216" s="728">
        <v>0</v>
      </c>
      <c r="N216" s="728">
        <v>0</v>
      </c>
      <c r="O216" s="728">
        <v>0</v>
      </c>
      <c r="P216" s="728">
        <v>0</v>
      </c>
      <c r="Q216" s="728">
        <v>0</v>
      </c>
      <c r="R216" s="728">
        <v>0</v>
      </c>
      <c r="S216" s="728">
        <v>0</v>
      </c>
      <c r="T216" s="728">
        <v>0</v>
      </c>
      <c r="U216" s="728">
        <v>0</v>
      </c>
      <c r="V216" s="728">
        <v>0</v>
      </c>
      <c r="W216" s="728">
        <v>0</v>
      </c>
      <c r="X216" s="728">
        <v>0</v>
      </c>
      <c r="Y216" s="728">
        <v>0</v>
      </c>
      <c r="Z216" s="728">
        <v>0</v>
      </c>
      <c r="AA216" s="728">
        <v>0</v>
      </c>
      <c r="AB216" s="728">
        <v>0</v>
      </c>
      <c r="AC216" s="728">
        <v>0</v>
      </c>
      <c r="AD216" s="728">
        <v>0</v>
      </c>
      <c r="AE216" s="728">
        <v>0</v>
      </c>
      <c r="AF216" s="728">
        <v>0</v>
      </c>
      <c r="AG216" s="728">
        <v>0</v>
      </c>
      <c r="AH216" s="728">
        <v>0</v>
      </c>
      <c r="AI216" s="728">
        <v>0</v>
      </c>
      <c r="AJ216" s="728">
        <v>0</v>
      </c>
    </row>
    <row r="217" spans="2:36">
      <c r="B217" s="456"/>
      <c r="D217" s="658" t="s">
        <v>1655</v>
      </c>
      <c r="E217" s="728">
        <v>374.83531288722821</v>
      </c>
      <c r="F217" s="728">
        <v>378.86265149285344</v>
      </c>
      <c r="G217" s="728">
        <v>395.52298709056464</v>
      </c>
      <c r="H217" s="728">
        <v>378.33123038502708</v>
      </c>
      <c r="I217" s="728">
        <v>393.54367109339199</v>
      </c>
      <c r="J217" s="728">
        <v>382.53488810846778</v>
      </c>
      <c r="K217" s="728">
        <v>393.96499451635157</v>
      </c>
      <c r="L217" s="728">
        <v>393.26160335278962</v>
      </c>
      <c r="M217" s="728">
        <v>408.0775295736056</v>
      </c>
      <c r="N217" s="728">
        <v>381.45557087439443</v>
      </c>
      <c r="O217" s="728">
        <v>346.8644214859155</v>
      </c>
      <c r="P217" s="728">
        <v>264.48087836061399</v>
      </c>
      <c r="Q217" s="728">
        <v>298.3124429785849</v>
      </c>
      <c r="R217" s="728">
        <v>242.13650361531592</v>
      </c>
      <c r="S217" s="728">
        <v>258.25006570181955</v>
      </c>
      <c r="T217" s="728">
        <v>237.14810798586524</v>
      </c>
      <c r="U217" s="728">
        <v>233.71018940857064</v>
      </c>
      <c r="V217" s="728">
        <v>244.87005383978945</v>
      </c>
      <c r="W217" s="728">
        <v>224.20544581913478</v>
      </c>
      <c r="X217" s="728">
        <v>217.29492881504237</v>
      </c>
      <c r="Y217" s="728">
        <v>235.36468686884066</v>
      </c>
      <c r="Z217" s="728">
        <v>238.44438809389447</v>
      </c>
      <c r="AA217" s="728">
        <v>244.13045762571915</v>
      </c>
      <c r="AB217" s="728">
        <v>247.67280044710373</v>
      </c>
      <c r="AC217" s="728">
        <v>251.2189710270863</v>
      </c>
      <c r="AD217" s="728">
        <v>249.35372780772784</v>
      </c>
      <c r="AE217" s="728">
        <v>269.37285312322354</v>
      </c>
      <c r="AF217" s="728">
        <v>336.62826461301654</v>
      </c>
      <c r="AG217" s="728">
        <v>364.83611784310114</v>
      </c>
      <c r="AH217" s="728">
        <v>365.36787514974111</v>
      </c>
      <c r="AI217" s="728">
        <v>378.63375265770395</v>
      </c>
      <c r="AJ217" s="728">
        <v>350.31334754181114</v>
      </c>
    </row>
    <row r="218" spans="2:36" ht="13.5" thickBot="1">
      <c r="B218" s="456"/>
      <c r="D218" s="661" t="s">
        <v>1649</v>
      </c>
      <c r="E218" s="733">
        <v>74.887533000000005</v>
      </c>
      <c r="F218" s="733">
        <v>87.268810000000002</v>
      </c>
      <c r="G218" s="733">
        <v>101.69087</v>
      </c>
      <c r="H218" s="733">
        <v>106.738164</v>
      </c>
      <c r="I218" s="733">
        <v>112.70375199999999</v>
      </c>
      <c r="J218" s="733">
        <v>137.76102</v>
      </c>
      <c r="K218" s="733">
        <v>120.23591399999999</v>
      </c>
      <c r="L218" s="733">
        <v>123.16616999999999</v>
      </c>
      <c r="M218" s="733">
        <v>128.21412900000001</v>
      </c>
      <c r="N218" s="733">
        <v>176.631676</v>
      </c>
      <c r="O218" s="733">
        <v>114.63395</v>
      </c>
      <c r="P218" s="733">
        <v>86.392092000000005</v>
      </c>
      <c r="Q218" s="733">
        <v>84.687871999999999</v>
      </c>
      <c r="R218" s="733">
        <v>71.25582</v>
      </c>
      <c r="S218" s="733">
        <v>87.337224000000006</v>
      </c>
      <c r="T218" s="733">
        <v>85.144099999999995</v>
      </c>
      <c r="U218" s="733">
        <v>85.856504000000001</v>
      </c>
      <c r="V218" s="733">
        <v>89.860445999999996</v>
      </c>
      <c r="W218" s="733">
        <v>69.126343000000006</v>
      </c>
      <c r="X218" s="733">
        <v>47.049550000000004</v>
      </c>
      <c r="Y218" s="733">
        <v>62.735475000000001</v>
      </c>
      <c r="Z218" s="733">
        <v>70.078540000000004</v>
      </c>
      <c r="AA218" s="733">
        <v>78.726144000000005</v>
      </c>
      <c r="AB218" s="733">
        <v>64.262471000000005</v>
      </c>
      <c r="AC218" s="733">
        <v>62.327640000000002</v>
      </c>
      <c r="AD218" s="733">
        <v>56.395170999999998</v>
      </c>
      <c r="AE218" s="733">
        <v>46.030355999999998</v>
      </c>
      <c r="AF218" s="733">
        <v>50.090600000000002</v>
      </c>
      <c r="AG218" s="733">
        <v>52.872259999999997</v>
      </c>
      <c r="AH218" s="733">
        <v>51.109043999999997</v>
      </c>
      <c r="AI218" s="733">
        <v>43.741060477864181</v>
      </c>
      <c r="AJ218" s="733">
        <v>48.768848738893055</v>
      </c>
    </row>
    <row r="219" spans="2:36">
      <c r="B219" s="456"/>
      <c r="D219" s="722" t="s">
        <v>1656</v>
      </c>
      <c r="E219" s="732">
        <v>364.14793428817552</v>
      </c>
      <c r="F219" s="732">
        <v>270.89068600000002</v>
      </c>
      <c r="G219" s="732">
        <v>328.05710599999998</v>
      </c>
      <c r="H219" s="732">
        <v>391.19952599999999</v>
      </c>
      <c r="I219" s="732">
        <v>368.358946</v>
      </c>
      <c r="J219" s="732">
        <v>284.66320949999999</v>
      </c>
      <c r="K219" s="732">
        <v>281.661473</v>
      </c>
      <c r="L219" s="732">
        <v>235.56173650000002</v>
      </c>
      <c r="M219" s="732">
        <v>173.25800000000001</v>
      </c>
      <c r="N219" s="732">
        <v>154.0335</v>
      </c>
      <c r="O219" s="732">
        <v>190.34200000000001</v>
      </c>
      <c r="P219" s="732">
        <v>156.09950000000001</v>
      </c>
      <c r="Q219" s="732">
        <v>146.09800000000001</v>
      </c>
      <c r="R219" s="732">
        <v>171.71474999999998</v>
      </c>
      <c r="S219" s="732">
        <v>195.26749999999996</v>
      </c>
      <c r="T219" s="732">
        <v>223.23224999999999</v>
      </c>
      <c r="U219" s="732">
        <v>176.39400000000001</v>
      </c>
      <c r="V219" s="732">
        <v>122.51024999999997</v>
      </c>
      <c r="W219" s="732">
        <v>115.7595</v>
      </c>
      <c r="X219" s="732">
        <v>43.692750000000004</v>
      </c>
      <c r="Y219" s="732">
        <v>25.895999999999972</v>
      </c>
      <c r="Z219" s="732">
        <v>50.0505</v>
      </c>
      <c r="AA219" s="732">
        <v>0</v>
      </c>
      <c r="AB219" s="732">
        <v>0</v>
      </c>
      <c r="AC219" s="732">
        <v>0</v>
      </c>
      <c r="AD219" s="732">
        <v>0</v>
      </c>
      <c r="AE219" s="732">
        <v>2.1189999999999927</v>
      </c>
      <c r="AF219" s="732">
        <v>2.7844999999999942</v>
      </c>
      <c r="AG219" s="732">
        <v>0</v>
      </c>
      <c r="AH219" s="732">
        <v>0</v>
      </c>
      <c r="AI219" s="732">
        <v>0</v>
      </c>
      <c r="AJ219" s="732">
        <v>5.840999999999994</v>
      </c>
    </row>
    <row r="220" spans="2:36">
      <c r="B220" s="456"/>
      <c r="D220" s="658" t="s">
        <v>1657</v>
      </c>
      <c r="E220" s="728">
        <v>411.44499999999999</v>
      </c>
      <c r="F220" s="728">
        <v>333.899</v>
      </c>
      <c r="G220" s="728">
        <v>386.916</v>
      </c>
      <c r="H220" s="728">
        <v>445.90899999999999</v>
      </c>
      <c r="I220" s="728">
        <v>418.91899999999998</v>
      </c>
      <c r="J220" s="728">
        <v>336.72899999999998</v>
      </c>
      <c r="K220" s="728">
        <v>335.233</v>
      </c>
      <c r="L220" s="728">
        <v>290.63900000000001</v>
      </c>
      <c r="M220" s="728">
        <v>229.84100000000001</v>
      </c>
      <c r="N220" s="728">
        <v>207.47300000000001</v>
      </c>
      <c r="O220" s="728">
        <v>240.63800000000001</v>
      </c>
      <c r="P220" s="728">
        <v>203.25200000000001</v>
      </c>
      <c r="Q220" s="728">
        <v>190.107</v>
      </c>
      <c r="R220" s="728">
        <v>220.43899999999999</v>
      </c>
      <c r="S220" s="728">
        <v>248.70699999999997</v>
      </c>
      <c r="T220" s="728">
        <v>281.387</v>
      </c>
      <c r="U220" s="728">
        <v>239.26400000000001</v>
      </c>
      <c r="V220" s="728">
        <v>193.23899999999998</v>
      </c>
      <c r="W220" s="728">
        <v>194.34700000000001</v>
      </c>
      <c r="X220" s="728">
        <v>130.13900000000001</v>
      </c>
      <c r="Y220" s="728">
        <v>120.20099999999998</v>
      </c>
      <c r="Z220" s="728">
        <v>134.92500000000001</v>
      </c>
      <c r="AA220" s="728">
        <v>69.885000000000005</v>
      </c>
      <c r="AB220" s="728">
        <v>48.225000000000001</v>
      </c>
      <c r="AC220" s="728">
        <v>40.579000000000001</v>
      </c>
      <c r="AD220" s="728">
        <v>33.856000000000002</v>
      </c>
      <c r="AE220" s="728">
        <v>52.414999999999992</v>
      </c>
      <c r="AF220" s="728">
        <v>49.936999999999998</v>
      </c>
      <c r="AG220" s="728">
        <v>43.34</v>
      </c>
      <c r="AH220" s="728">
        <v>40.9</v>
      </c>
      <c r="AI220" s="728">
        <v>31.972000000000001</v>
      </c>
      <c r="AJ220" s="728">
        <v>49.849999999999994</v>
      </c>
    </row>
    <row r="221" spans="2:36" ht="13.5" thickBot="1">
      <c r="B221" s="456"/>
      <c r="D221" s="661" t="s">
        <v>1658</v>
      </c>
      <c r="E221" s="733">
        <v>47.297065711824445</v>
      </c>
      <c r="F221" s="733">
        <v>63.008313999999999</v>
      </c>
      <c r="G221" s="733">
        <v>58.858893999999999</v>
      </c>
      <c r="H221" s="733">
        <v>54.709474</v>
      </c>
      <c r="I221" s="733">
        <v>50.560053999999994</v>
      </c>
      <c r="J221" s="733">
        <v>52.065790499999991</v>
      </c>
      <c r="K221" s="733">
        <v>53.571526999999996</v>
      </c>
      <c r="L221" s="733">
        <v>55.077263499999994</v>
      </c>
      <c r="M221" s="733">
        <v>56.582999999999998</v>
      </c>
      <c r="N221" s="733">
        <v>53.439500000000002</v>
      </c>
      <c r="O221" s="733">
        <v>50.295999999999999</v>
      </c>
      <c r="P221" s="733">
        <v>47.152500000000003</v>
      </c>
      <c r="Q221" s="733">
        <v>44.009</v>
      </c>
      <c r="R221" s="733">
        <v>48.724249999999998</v>
      </c>
      <c r="S221" s="733">
        <v>53.439500000000002</v>
      </c>
      <c r="T221" s="733">
        <v>58.15475</v>
      </c>
      <c r="U221" s="733">
        <v>62.87</v>
      </c>
      <c r="V221" s="733">
        <v>70.728750000000005</v>
      </c>
      <c r="W221" s="733">
        <v>78.587500000000006</v>
      </c>
      <c r="X221" s="733">
        <v>86.446250000000006</v>
      </c>
      <c r="Y221" s="733">
        <v>94.305000000000007</v>
      </c>
      <c r="Z221" s="733">
        <v>84.874500000000012</v>
      </c>
      <c r="AA221" s="733">
        <v>75.444000000000003</v>
      </c>
      <c r="AB221" s="733">
        <v>66.013500000000008</v>
      </c>
      <c r="AC221" s="733">
        <v>56.582999999999998</v>
      </c>
      <c r="AD221" s="733">
        <v>53.439500000000002</v>
      </c>
      <c r="AE221" s="733">
        <v>50.295999999999999</v>
      </c>
      <c r="AF221" s="733">
        <v>47.152500000000003</v>
      </c>
      <c r="AG221" s="733">
        <v>44.009</v>
      </c>
      <c r="AH221" s="733">
        <v>44.009</v>
      </c>
      <c r="AI221" s="733">
        <v>44.009</v>
      </c>
      <c r="AJ221" s="733">
        <v>44.009</v>
      </c>
    </row>
    <row r="222" spans="2:36" ht="13.5" thickBot="1">
      <c r="B222" s="456"/>
      <c r="D222" s="734" t="s">
        <v>1659</v>
      </c>
      <c r="E222" s="464"/>
      <c r="F222" s="464"/>
      <c r="G222" s="464"/>
      <c r="H222" s="464"/>
      <c r="I222" s="464"/>
      <c r="J222" s="464"/>
      <c r="K222" s="464"/>
      <c r="L222" s="464"/>
      <c r="M222" s="464"/>
      <c r="N222" s="464"/>
      <c r="O222" s="464"/>
      <c r="P222" s="464"/>
      <c r="Q222" s="464"/>
      <c r="R222" s="464"/>
      <c r="S222" s="464"/>
      <c r="T222" s="464"/>
      <c r="U222" s="464"/>
      <c r="V222" s="464"/>
      <c r="W222" s="464"/>
      <c r="X222" s="464"/>
      <c r="Y222" s="464"/>
      <c r="Z222" s="464"/>
      <c r="AA222" s="464"/>
      <c r="AB222" s="464"/>
      <c r="AC222" s="464"/>
      <c r="AD222" s="464"/>
      <c r="AE222" s="464"/>
      <c r="AF222" s="464"/>
      <c r="AG222" s="464"/>
      <c r="AH222" s="464"/>
      <c r="AI222" s="1038"/>
      <c r="AJ222" s="1038"/>
    </row>
    <row r="223" spans="2:36">
      <c r="B223" s="456"/>
      <c r="D223" s="657" t="s">
        <v>1660</v>
      </c>
      <c r="E223" s="732">
        <v>13574.282568208118</v>
      </c>
      <c r="F223" s="732">
        <v>13500.57098877737</v>
      </c>
      <c r="G223" s="732">
        <v>13697.544291501712</v>
      </c>
      <c r="H223" s="732">
        <v>13932.580685611681</v>
      </c>
      <c r="I223" s="732">
        <v>14141.603962852994</v>
      </c>
      <c r="J223" s="732">
        <v>14461.004716828676</v>
      </c>
      <c r="K223" s="732">
        <v>14740.101863815333</v>
      </c>
      <c r="L223" s="732">
        <v>14871.630460769971</v>
      </c>
      <c r="M223" s="732">
        <v>15320.102414796915</v>
      </c>
      <c r="N223" s="732">
        <v>15707.0282751374</v>
      </c>
      <c r="O223" s="732">
        <v>15794.266285936159</v>
      </c>
      <c r="P223" s="732">
        <v>15868.411640863436</v>
      </c>
      <c r="Q223" s="732">
        <v>16264.221231225971</v>
      </c>
      <c r="R223" s="732">
        <v>16331.190557888969</v>
      </c>
      <c r="S223" s="732">
        <v>16606.910201008344</v>
      </c>
      <c r="T223" s="732">
        <v>16621.722608779855</v>
      </c>
      <c r="U223" s="732">
        <v>16635.958195986212</v>
      </c>
      <c r="V223" s="732">
        <v>16494.826659756789</v>
      </c>
      <c r="W223" s="732">
        <v>15703.603013924343</v>
      </c>
      <c r="X223" s="732">
        <v>15530.841999999997</v>
      </c>
      <c r="Y223" s="732">
        <v>15278.812</v>
      </c>
      <c r="Z223" s="732">
        <v>14831.718000000001</v>
      </c>
      <c r="AA223" s="732">
        <v>14749.918</v>
      </c>
      <c r="AB223" s="732">
        <v>14958.057000000001</v>
      </c>
      <c r="AC223" s="732">
        <v>15115.327000000001</v>
      </c>
      <c r="AD223" s="732">
        <v>15197.739000000001</v>
      </c>
      <c r="AE223" s="732">
        <v>15458.085000000001</v>
      </c>
      <c r="AF223" s="732">
        <v>15420.721000000001</v>
      </c>
      <c r="AG223" s="732">
        <v>15421.023999999999</v>
      </c>
      <c r="AH223" s="732">
        <v>15369.018000000002</v>
      </c>
      <c r="AI223" s="732">
        <v>13238.507</v>
      </c>
      <c r="AJ223" s="732">
        <v>14501.171999999999</v>
      </c>
    </row>
    <row r="224" spans="2:36">
      <c r="D224" s="658" t="s">
        <v>1661</v>
      </c>
      <c r="E224" s="728">
        <v>13514.99</v>
      </c>
      <c r="F224" s="728">
        <v>13432.467000000001</v>
      </c>
      <c r="G224" s="728">
        <v>13618.953000000001</v>
      </c>
      <c r="H224" s="728">
        <v>13932.580685611681</v>
      </c>
      <c r="I224" s="728">
        <v>14141.603962852994</v>
      </c>
      <c r="J224" s="728">
        <v>14461.004716828676</v>
      </c>
      <c r="K224" s="728">
        <v>14740.101863815333</v>
      </c>
      <c r="L224" s="728">
        <v>14871.630460769971</v>
      </c>
      <c r="M224" s="728">
        <v>15320.102414796915</v>
      </c>
      <c r="N224" s="728">
        <v>15707.0282751374</v>
      </c>
      <c r="O224" s="728">
        <v>15794.266285936159</v>
      </c>
      <c r="P224" s="728">
        <v>15868.411640863436</v>
      </c>
      <c r="Q224" s="728">
        <v>16264.221231225971</v>
      </c>
      <c r="R224" s="728">
        <v>16331.190557888969</v>
      </c>
      <c r="S224" s="728">
        <v>16606.910201008344</v>
      </c>
      <c r="T224" s="728">
        <v>16621.722608779855</v>
      </c>
      <c r="U224" s="728">
        <v>16635.958195986212</v>
      </c>
      <c r="V224" s="728">
        <v>16494.826659756789</v>
      </c>
      <c r="W224" s="728">
        <v>15703.603013924343</v>
      </c>
      <c r="X224" s="728">
        <v>15530.841999999997</v>
      </c>
      <c r="Y224" s="728">
        <v>15278.812</v>
      </c>
      <c r="Z224" s="728">
        <v>14831.718000000001</v>
      </c>
      <c r="AA224" s="728">
        <v>14749.918</v>
      </c>
      <c r="AB224" s="728">
        <v>14958.057000000001</v>
      </c>
      <c r="AC224" s="728">
        <v>15115.327000000001</v>
      </c>
      <c r="AD224" s="728">
        <v>15197.739000000001</v>
      </c>
      <c r="AE224" s="728">
        <v>15458.085000000001</v>
      </c>
      <c r="AF224" s="728">
        <v>15420.721000000001</v>
      </c>
      <c r="AG224" s="728">
        <v>15421.023999999999</v>
      </c>
      <c r="AH224" s="728">
        <v>15369.018000000002</v>
      </c>
      <c r="AI224" s="728">
        <v>13238.507</v>
      </c>
      <c r="AJ224" s="728">
        <v>14501.171999999999</v>
      </c>
    </row>
    <row r="225" spans="4:36" ht="13.5" thickBot="1">
      <c r="D225" s="661" t="s">
        <v>1662</v>
      </c>
      <c r="E225" s="735">
        <v>59.292568208118979</v>
      </c>
      <c r="F225" s="735">
        <v>68.103988777369921</v>
      </c>
      <c r="G225" s="735">
        <v>78.591291501711424</v>
      </c>
      <c r="H225" s="735"/>
      <c r="I225" s="735"/>
      <c r="J225" s="735"/>
      <c r="K225" s="735"/>
      <c r="L225" s="735"/>
      <c r="M225" s="735"/>
      <c r="N225" s="735"/>
      <c r="O225" s="735"/>
      <c r="P225" s="735"/>
      <c r="Q225" s="735"/>
      <c r="R225" s="735"/>
      <c r="S225" s="735"/>
      <c r="T225" s="736"/>
      <c r="U225" s="736"/>
      <c r="V225" s="736"/>
      <c r="W225" s="736"/>
      <c r="X225" s="736"/>
      <c r="Y225" s="736"/>
      <c r="Z225" s="736"/>
      <c r="AA225" s="736"/>
      <c r="AB225" s="736"/>
      <c r="AC225" s="736"/>
      <c r="AD225" s="736"/>
      <c r="AE225" s="736"/>
      <c r="AF225" s="736"/>
      <c r="AG225" s="736"/>
      <c r="AH225" s="736"/>
      <c r="AI225" s="736"/>
      <c r="AJ225" s="736"/>
    </row>
    <row r="226" spans="4:36" ht="13.5" thickBot="1">
      <c r="D226" s="5" t="s">
        <v>1663</v>
      </c>
      <c r="T226" s="5"/>
      <c r="U226" s="5"/>
      <c r="V226" s="5"/>
      <c r="W226" s="5"/>
      <c r="X226" s="5"/>
      <c r="Y226" s="5"/>
      <c r="Z226" s="5"/>
      <c r="AA226" s="5"/>
      <c r="AB226" s="5"/>
      <c r="AC226" s="5"/>
      <c r="AD226" s="5"/>
      <c r="AE226" s="5"/>
      <c r="AF226" s="5"/>
      <c r="AG226" s="5"/>
      <c r="AH226" s="5"/>
      <c r="AI226" s="5"/>
      <c r="AJ226" s="5"/>
    </row>
    <row r="227" spans="4:36">
      <c r="D227" s="737" t="s">
        <v>1660</v>
      </c>
      <c r="E227" s="738">
        <v>185.91429600590578</v>
      </c>
      <c r="F227" s="738">
        <v>194.70375539108969</v>
      </c>
      <c r="G227" s="738">
        <v>195.05882594187352</v>
      </c>
      <c r="H227" s="738">
        <v>177.04579271139008</v>
      </c>
      <c r="I227" s="738">
        <v>190.39786800525917</v>
      </c>
      <c r="J227" s="738">
        <v>198.10710994656262</v>
      </c>
      <c r="K227" s="738">
        <v>198.6109440219121</v>
      </c>
      <c r="L227" s="738">
        <v>210.04407857297315</v>
      </c>
      <c r="M227" s="738">
        <v>197.604907120353</v>
      </c>
      <c r="N227" s="738">
        <v>150.24884622895564</v>
      </c>
      <c r="O227" s="738">
        <v>148.65199207083398</v>
      </c>
      <c r="P227" s="738">
        <v>291.87223269601344</v>
      </c>
      <c r="Q227" s="738">
        <v>305.23906833905966</v>
      </c>
      <c r="R227" s="738">
        <v>318.91511637470978</v>
      </c>
      <c r="S227" s="738">
        <v>364.51484808932554</v>
      </c>
      <c r="T227" s="738">
        <v>347.37681033506647</v>
      </c>
      <c r="U227" s="738">
        <v>364.13512572342307</v>
      </c>
      <c r="V227" s="738">
        <v>291.45995503479281</v>
      </c>
      <c r="W227" s="738">
        <v>232.58317664310408</v>
      </c>
      <c r="X227" s="738">
        <v>224.67700000000002</v>
      </c>
      <c r="Y227" s="738">
        <v>242.96499999999997</v>
      </c>
      <c r="Z227" s="738">
        <v>237.54599999999996</v>
      </c>
      <c r="AA227" s="738">
        <v>235.64100000000002</v>
      </c>
      <c r="AB227" s="738">
        <v>245.01400000000001</v>
      </c>
      <c r="AC227" s="738">
        <v>195.83899999999997</v>
      </c>
      <c r="AD227" s="738">
        <v>240.31800000000004</v>
      </c>
      <c r="AE227" s="738">
        <v>243.95599999999999</v>
      </c>
      <c r="AF227" s="738">
        <v>245.88299999999998</v>
      </c>
      <c r="AG227" s="738">
        <v>250.69499999999994</v>
      </c>
      <c r="AH227" s="738">
        <v>247.81700000000004</v>
      </c>
      <c r="AI227" s="738">
        <v>250.11600000000001</v>
      </c>
      <c r="AJ227" s="738">
        <v>245.47299999999998</v>
      </c>
    </row>
    <row r="228" spans="4:36">
      <c r="D228" s="658" t="s">
        <v>1661</v>
      </c>
      <c r="E228" s="728">
        <v>184.38499999999999</v>
      </c>
      <c r="F228" s="728">
        <v>192.31700000000001</v>
      </c>
      <c r="G228" s="728">
        <v>193.10900000000001</v>
      </c>
      <c r="H228" s="728">
        <v>177.04579271139008</v>
      </c>
      <c r="I228" s="728">
        <v>190.39786800525917</v>
      </c>
      <c r="J228" s="728">
        <v>198.10710994656262</v>
      </c>
      <c r="K228" s="728">
        <v>198.6109440219121</v>
      </c>
      <c r="L228" s="728">
        <v>210.04407857297315</v>
      </c>
      <c r="M228" s="728">
        <v>197.604907120353</v>
      </c>
      <c r="N228" s="728">
        <v>150.24884622895564</v>
      </c>
      <c r="O228" s="728">
        <v>148.65199207083398</v>
      </c>
      <c r="P228" s="728">
        <v>291.87223269601344</v>
      </c>
      <c r="Q228" s="728">
        <v>305.23906833905966</v>
      </c>
      <c r="R228" s="728">
        <v>318.91511637470978</v>
      </c>
      <c r="S228" s="728">
        <v>364.51484808932554</v>
      </c>
      <c r="T228" s="728">
        <v>347.37681033506647</v>
      </c>
      <c r="U228" s="728">
        <v>364.13512572342307</v>
      </c>
      <c r="V228" s="728">
        <v>291.45995503479281</v>
      </c>
      <c r="W228" s="728">
        <v>232.58317664310408</v>
      </c>
      <c r="X228" s="728">
        <v>224.67700000000002</v>
      </c>
      <c r="Y228" s="728">
        <v>242.96499999999997</v>
      </c>
      <c r="Z228" s="728">
        <v>237.54599999999996</v>
      </c>
      <c r="AA228" s="728">
        <v>235.64100000000002</v>
      </c>
      <c r="AB228" s="728">
        <v>245.01400000000001</v>
      </c>
      <c r="AC228" s="728">
        <v>195.83899999999997</v>
      </c>
      <c r="AD228" s="728">
        <v>240.31800000000004</v>
      </c>
      <c r="AE228" s="728">
        <v>243.95599999999999</v>
      </c>
      <c r="AF228" s="728">
        <v>245.88299999999998</v>
      </c>
      <c r="AG228" s="728">
        <v>250.69499999999994</v>
      </c>
      <c r="AH228" s="728">
        <v>247.81700000000004</v>
      </c>
      <c r="AI228" s="728">
        <v>250.11600000000001</v>
      </c>
      <c r="AJ228" s="728">
        <v>245.47299999999998</v>
      </c>
    </row>
    <row r="229" spans="4:36" ht="13.5" thickBot="1">
      <c r="D229" s="661" t="s">
        <v>1662</v>
      </c>
      <c r="E229" s="735">
        <v>1.5292960059058021</v>
      </c>
      <c r="F229" s="735">
        <v>2.3867553910896904</v>
      </c>
      <c r="G229" s="735">
        <v>1.9498259418735089</v>
      </c>
      <c r="H229" s="735"/>
      <c r="I229" s="735"/>
      <c r="J229" s="735"/>
      <c r="K229" s="735"/>
      <c r="L229" s="735"/>
      <c r="M229" s="735"/>
      <c r="N229" s="735"/>
      <c r="O229" s="735"/>
      <c r="P229" s="735"/>
      <c r="Q229" s="735"/>
      <c r="R229" s="735"/>
      <c r="S229" s="735"/>
      <c r="T229" s="735"/>
      <c r="U229" s="735"/>
      <c r="V229" s="735"/>
      <c r="W229" s="735"/>
      <c r="X229" s="735"/>
      <c r="Y229" s="735"/>
      <c r="Z229" s="735"/>
      <c r="AA229" s="735"/>
      <c r="AB229" s="735"/>
      <c r="AC229" s="735"/>
      <c r="AD229" s="735"/>
      <c r="AE229" s="735"/>
      <c r="AF229" s="735"/>
      <c r="AG229" s="735"/>
      <c r="AH229" s="735"/>
      <c r="AI229" s="735"/>
      <c r="AJ229" s="735"/>
    </row>
    <row r="230" spans="4:36" ht="13.5" thickBot="1">
      <c r="D230" s="5" t="s">
        <v>1664</v>
      </c>
      <c r="T230" s="1"/>
      <c r="U230" s="1"/>
      <c r="V230" s="1"/>
      <c r="W230" s="1"/>
      <c r="X230" s="1"/>
      <c r="Y230" s="1"/>
      <c r="Z230" s="1"/>
      <c r="AA230" s="1"/>
      <c r="AB230" s="1"/>
      <c r="AC230" s="1"/>
      <c r="AD230" s="1"/>
      <c r="AE230" s="1"/>
      <c r="AF230" s="1"/>
      <c r="AG230" s="1"/>
    </row>
    <row r="231" spans="4:36">
      <c r="D231" s="737" t="s">
        <v>1660</v>
      </c>
      <c r="E231" s="738">
        <v>111.6161357859752</v>
      </c>
      <c r="F231" s="738">
        <v>85.676255831540388</v>
      </c>
      <c r="G231" s="738">
        <v>79.919882556415075</v>
      </c>
      <c r="H231" s="738">
        <v>29.176463196927415</v>
      </c>
      <c r="I231" s="738">
        <v>24.939340561744736</v>
      </c>
      <c r="J231" s="738">
        <v>17.920836724761557</v>
      </c>
      <c r="K231" s="738">
        <v>26.362539002754506</v>
      </c>
      <c r="L231" s="738">
        <v>42.370030377055478</v>
      </c>
      <c r="M231" s="738">
        <v>38.61318942273185</v>
      </c>
      <c r="N231" s="738">
        <v>28.151271813645288</v>
      </c>
      <c r="O231" s="738">
        <v>44.073913053005924</v>
      </c>
      <c r="P231" s="738">
        <v>37.031276280550429</v>
      </c>
      <c r="Q231" s="738">
        <v>44.566582114968881</v>
      </c>
      <c r="R231" s="738">
        <v>58.956839896320879</v>
      </c>
      <c r="S231" s="738">
        <v>43.771724142328104</v>
      </c>
      <c r="T231" s="738">
        <v>44.624756465080345</v>
      </c>
      <c r="U231" s="738">
        <v>47.093751610365629</v>
      </c>
      <c r="V231" s="738">
        <v>58.264768348416823</v>
      </c>
      <c r="W231" s="738">
        <v>42.567808292554766</v>
      </c>
      <c r="X231" s="738">
        <v>49.014000000000003</v>
      </c>
      <c r="Y231" s="738">
        <v>48.513999999999996</v>
      </c>
      <c r="Z231" s="738">
        <v>41.138999999999996</v>
      </c>
      <c r="AA231" s="738">
        <v>36.048000000000002</v>
      </c>
      <c r="AB231" s="738">
        <v>37.211000000000006</v>
      </c>
      <c r="AC231" s="738">
        <v>50.192999999999991</v>
      </c>
      <c r="AD231" s="738">
        <v>350.37399999999997</v>
      </c>
      <c r="AE231" s="738">
        <v>348.887</v>
      </c>
      <c r="AF231" s="738">
        <v>335.62100000000004</v>
      </c>
      <c r="AG231" s="738">
        <v>340.92100000000005</v>
      </c>
      <c r="AH231" s="738">
        <v>343.12099999999992</v>
      </c>
      <c r="AI231" s="738">
        <v>345.09699999999998</v>
      </c>
      <c r="AJ231" s="738">
        <v>347.94100000000003</v>
      </c>
    </row>
    <row r="232" spans="4:36">
      <c r="D232" s="658" t="s">
        <v>1661</v>
      </c>
      <c r="E232" s="728">
        <v>110.69799999999999</v>
      </c>
      <c r="F232" s="728">
        <v>84.626000000000005</v>
      </c>
      <c r="G232" s="728">
        <v>79.121000000000009</v>
      </c>
      <c r="H232" s="728">
        <v>29.176463196927415</v>
      </c>
      <c r="I232" s="728">
        <v>24.939340561744736</v>
      </c>
      <c r="J232" s="728">
        <v>17.920836724761557</v>
      </c>
      <c r="K232" s="728">
        <v>26.362539002754506</v>
      </c>
      <c r="L232" s="728">
        <v>42.370030377055478</v>
      </c>
      <c r="M232" s="728">
        <v>38.61318942273185</v>
      </c>
      <c r="N232" s="728">
        <v>28.151271813645288</v>
      </c>
      <c r="O232" s="728">
        <v>44.073913053005924</v>
      </c>
      <c r="P232" s="728">
        <v>37.031276280550429</v>
      </c>
      <c r="Q232" s="728">
        <v>44.566582114968881</v>
      </c>
      <c r="R232" s="728">
        <v>58.956839896320879</v>
      </c>
      <c r="S232" s="728">
        <v>43.771724142328104</v>
      </c>
      <c r="T232" s="728">
        <v>44.624756465080345</v>
      </c>
      <c r="U232" s="728">
        <v>47.093751610365629</v>
      </c>
      <c r="V232" s="728">
        <v>58.264768348416823</v>
      </c>
      <c r="W232" s="728">
        <v>42.567808292554766</v>
      </c>
      <c r="X232" s="728">
        <v>49.014000000000003</v>
      </c>
      <c r="Y232" s="728">
        <v>48.513999999999996</v>
      </c>
      <c r="Z232" s="728">
        <v>41.138999999999996</v>
      </c>
      <c r="AA232" s="728">
        <v>36.048000000000002</v>
      </c>
      <c r="AB232" s="728">
        <v>37.211000000000006</v>
      </c>
      <c r="AC232" s="728">
        <v>50.192999999999991</v>
      </c>
      <c r="AD232" s="728">
        <v>350.37399999999997</v>
      </c>
      <c r="AE232" s="728">
        <v>348.887</v>
      </c>
      <c r="AF232" s="728">
        <v>335.62100000000004</v>
      </c>
      <c r="AG232" s="728">
        <v>340.92100000000005</v>
      </c>
      <c r="AH232" s="728">
        <v>343.12099999999992</v>
      </c>
      <c r="AI232" s="728">
        <v>345.09699999999998</v>
      </c>
      <c r="AJ232" s="728">
        <v>347.94100000000003</v>
      </c>
    </row>
    <row r="233" spans="4:36" ht="13.5" thickBot="1">
      <c r="D233" s="661" t="s">
        <v>1662</v>
      </c>
      <c r="E233" s="735">
        <v>0.91813578597521628</v>
      </c>
      <c r="F233" s="735">
        <v>1.05025583154038</v>
      </c>
      <c r="G233" s="735">
        <v>0.79888255641506034</v>
      </c>
      <c r="H233" s="735"/>
      <c r="I233" s="735"/>
      <c r="J233" s="735"/>
      <c r="K233" s="735"/>
      <c r="L233" s="735"/>
      <c r="M233" s="735"/>
      <c r="N233" s="735"/>
      <c r="O233" s="735"/>
      <c r="P233" s="735"/>
      <c r="Q233" s="735"/>
      <c r="R233" s="735"/>
      <c r="S233" s="735"/>
      <c r="T233" s="735"/>
      <c r="U233" s="735"/>
      <c r="V233" s="735"/>
      <c r="W233" s="735"/>
      <c r="X233" s="735"/>
      <c r="Y233" s="735"/>
      <c r="Z233" s="735"/>
      <c r="AA233" s="735"/>
      <c r="AB233" s="735"/>
      <c r="AC233" s="735"/>
      <c r="AD233" s="735"/>
      <c r="AE233" s="735"/>
      <c r="AF233" s="735"/>
      <c r="AG233" s="735"/>
      <c r="AH233" s="735"/>
      <c r="AI233" s="735"/>
      <c r="AJ233" s="735"/>
    </row>
    <row r="234" spans="4:36">
      <c r="T234" s="1"/>
      <c r="U234" s="1"/>
      <c r="V234" s="1"/>
      <c r="W234" s="1"/>
      <c r="X234" s="1"/>
      <c r="Y234" s="1"/>
      <c r="Z234" s="1"/>
      <c r="AA234" s="1"/>
      <c r="AB234" s="1"/>
      <c r="AC234" s="1"/>
      <c r="AD234" s="1"/>
      <c r="AE234" s="1"/>
      <c r="AF234" s="1"/>
      <c r="AG234" s="1"/>
    </row>
    <row r="235" spans="4:36" ht="13.5" thickBot="1">
      <c r="D235" s="5" t="s">
        <v>1665</v>
      </c>
      <c r="T235" s="1"/>
      <c r="U235" s="1"/>
      <c r="V235" s="1"/>
      <c r="W235" s="1"/>
      <c r="X235" s="1"/>
      <c r="Y235" s="1"/>
      <c r="Z235" s="1"/>
      <c r="AA235" s="1"/>
      <c r="AB235" s="1"/>
      <c r="AC235" s="1"/>
      <c r="AD235" s="1"/>
      <c r="AE235" s="1"/>
      <c r="AF235" s="1"/>
      <c r="AG235" s="1"/>
    </row>
    <row r="236" spans="4:36">
      <c r="D236" s="737" t="s">
        <v>1666</v>
      </c>
      <c r="E236" s="738">
        <v>1105.5139478891408</v>
      </c>
      <c r="F236" s="738">
        <v>1057.8850890755318</v>
      </c>
      <c r="G236" s="738">
        <v>1035.541073514046</v>
      </c>
      <c r="H236" s="738">
        <v>996.98221157074806</v>
      </c>
      <c r="I236" s="738">
        <v>980.17152811553308</v>
      </c>
      <c r="J236" s="738">
        <v>972.16981855704648</v>
      </c>
      <c r="K236" s="738">
        <v>1053.1641851246604</v>
      </c>
      <c r="L236" s="738">
        <v>1061.1741793992151</v>
      </c>
      <c r="M236" s="738">
        <v>1035.7897571355177</v>
      </c>
      <c r="N236" s="738">
        <v>991.33042099010402</v>
      </c>
      <c r="O236" s="738">
        <v>1011.7034042448118</v>
      </c>
      <c r="P236" s="738">
        <v>1189.4559095107932</v>
      </c>
      <c r="Q236" s="738">
        <v>1056.1621774933967</v>
      </c>
      <c r="R236" s="738">
        <v>1063.3596473344055</v>
      </c>
      <c r="S236" s="738">
        <v>1146.4264852456388</v>
      </c>
      <c r="T236" s="738">
        <v>1135.454460287282</v>
      </c>
      <c r="U236" s="738">
        <v>1199.1920073974511</v>
      </c>
      <c r="V236" s="738">
        <v>1169.8929558530394</v>
      </c>
      <c r="W236" s="738">
        <v>1103.0322710146504</v>
      </c>
      <c r="X236" s="738">
        <v>1013.3637134268664</v>
      </c>
      <c r="Y236" s="738">
        <v>1114.2976907534569</v>
      </c>
      <c r="Z236" s="738">
        <v>1233.2131247042555</v>
      </c>
      <c r="AA236" s="738">
        <v>1129.1412541479124</v>
      </c>
      <c r="AB236" s="738">
        <v>1144.6256218316271</v>
      </c>
      <c r="AC236" s="738">
        <v>1279.1197728073407</v>
      </c>
      <c r="AD236" s="738">
        <v>1023.8757268846846</v>
      </c>
      <c r="AE236" s="738">
        <v>945.84546731513615</v>
      </c>
      <c r="AF236" s="738">
        <v>911.04400382083668</v>
      </c>
      <c r="AG236" s="738">
        <v>1063.9257864067736</v>
      </c>
      <c r="AH236" s="738">
        <v>1026.9575995594166</v>
      </c>
      <c r="AI236" s="738">
        <v>878.52199141066194</v>
      </c>
      <c r="AJ236" s="738">
        <v>806.70444704263878</v>
      </c>
    </row>
    <row r="237" spans="4:36">
      <c r="D237" s="658" t="s">
        <v>1667</v>
      </c>
      <c r="E237" s="588">
        <v>1128.175555627236</v>
      </c>
      <c r="F237" s="588">
        <v>1078.6347099088653</v>
      </c>
      <c r="G237" s="588">
        <v>1052.540503871189</v>
      </c>
      <c r="H237" s="588">
        <v>1013.0051222850337</v>
      </c>
      <c r="I237" s="588">
        <v>988.79127990124732</v>
      </c>
      <c r="J237" s="588">
        <v>987.17557331895125</v>
      </c>
      <c r="K237" s="588">
        <v>1072.6481166722795</v>
      </c>
      <c r="L237" s="588">
        <v>1078.245035351596</v>
      </c>
      <c r="M237" s="588">
        <v>1055.8276184450415</v>
      </c>
      <c r="N237" s="588">
        <v>1007.3658138472468</v>
      </c>
      <c r="O237" s="588">
        <v>1028.4739953162405</v>
      </c>
      <c r="P237" s="588">
        <v>1201.3412672488885</v>
      </c>
      <c r="Q237" s="588">
        <v>1063.0734013029205</v>
      </c>
      <c r="R237" s="588">
        <v>1065.483275905834</v>
      </c>
      <c r="S237" s="588">
        <v>1149.5550650075436</v>
      </c>
      <c r="T237" s="588">
        <v>1137.6970852872821</v>
      </c>
      <c r="U237" s="588">
        <v>1211.3554395403082</v>
      </c>
      <c r="V237" s="588">
        <v>1181.6120237101823</v>
      </c>
      <c r="W237" s="588">
        <v>1110.7368043479837</v>
      </c>
      <c r="X237" s="588">
        <v>1016.5784199744854</v>
      </c>
      <c r="Y237" s="588">
        <v>1118.112372301076</v>
      </c>
      <c r="Z237" s="588">
        <v>1236.1780497042555</v>
      </c>
      <c r="AA237" s="588">
        <v>1131.8096589098172</v>
      </c>
      <c r="AB237" s="588">
        <v>1147.0482670697222</v>
      </c>
      <c r="AC237" s="588">
        <v>1281.4322978073408</v>
      </c>
      <c r="AD237" s="588">
        <v>1025.169154265637</v>
      </c>
      <c r="AE237" s="588">
        <v>946.69480779132664</v>
      </c>
      <c r="AF237" s="588">
        <v>911.64758477321766</v>
      </c>
      <c r="AG237" s="588">
        <v>1064.3924798591545</v>
      </c>
      <c r="AH237" s="588">
        <v>1027.2795001546547</v>
      </c>
      <c r="AI237" s="588">
        <v>878.79748616270956</v>
      </c>
      <c r="AJ237" s="588">
        <v>807.01190456486529</v>
      </c>
    </row>
    <row r="238" spans="4:36" ht="13.5" thickBot="1">
      <c r="D238" s="661" t="s">
        <v>1649</v>
      </c>
      <c r="E238" s="735">
        <v>22.661607738095238</v>
      </c>
      <c r="F238" s="735">
        <v>20.749620833333331</v>
      </c>
      <c r="G238" s="735">
        <v>16.99943035714286</v>
      </c>
      <c r="H238" s="735">
        <v>16.022910714285718</v>
      </c>
      <c r="I238" s="735">
        <v>8.6197517857142856</v>
      </c>
      <c r="J238" s="735">
        <v>15.005754761904761</v>
      </c>
      <c r="K238" s="735">
        <v>19.483931547619047</v>
      </c>
      <c r="L238" s="735">
        <v>17.070855952380953</v>
      </c>
      <c r="M238" s="735">
        <v>20.037861309523809</v>
      </c>
      <c r="N238" s="735">
        <v>16.035392857142856</v>
      </c>
      <c r="O238" s="735">
        <v>16.770591071428573</v>
      </c>
      <c r="P238" s="735">
        <v>11.885357738095239</v>
      </c>
      <c r="Q238" s="735">
        <v>6.9112238095238085</v>
      </c>
      <c r="R238" s="735">
        <v>2.1236285714285712</v>
      </c>
      <c r="S238" s="735">
        <v>3.1285797619047622</v>
      </c>
      <c r="T238" s="735">
        <v>2.2426249999999999</v>
      </c>
      <c r="U238" s="735">
        <v>12.163432142857143</v>
      </c>
      <c r="V238" s="735">
        <v>11.719067857142859</v>
      </c>
      <c r="W238" s="735">
        <v>7.7045333333333339</v>
      </c>
      <c r="X238" s="735">
        <v>3.2147065476190479</v>
      </c>
      <c r="Y238" s="735">
        <v>3.8146815476190481</v>
      </c>
      <c r="Z238" s="735">
        <v>2.964925</v>
      </c>
      <c r="AA238" s="735">
        <v>2.6684047619047617</v>
      </c>
      <c r="AB238" s="735">
        <v>2.4226452380952384</v>
      </c>
      <c r="AC238" s="735">
        <v>2.3125249999999999</v>
      </c>
      <c r="AD238" s="735">
        <v>1.2934273809523809</v>
      </c>
      <c r="AE238" s="735">
        <v>0.84934047619047615</v>
      </c>
      <c r="AF238" s="735">
        <v>0.60358095238095244</v>
      </c>
      <c r="AG238" s="735">
        <v>0.46669345238095239</v>
      </c>
      <c r="AH238" s="735">
        <v>0.32190059523809522</v>
      </c>
      <c r="AI238" s="735">
        <v>0.27549475204760249</v>
      </c>
      <c r="AJ238" s="735">
        <v>0.30745752222651035</v>
      </c>
    </row>
    <row r="239" spans="4:36">
      <c r="AH239" s="227"/>
      <c r="AI239" s="5"/>
      <c r="AJ239" s="5"/>
    </row>
    <row r="240" spans="4:36" ht="13.5" thickBot="1">
      <c r="D240" s="5" t="s">
        <v>1668</v>
      </c>
      <c r="AH240" s="227"/>
      <c r="AI240" s="5"/>
      <c r="AJ240" s="5"/>
    </row>
    <row r="241" spans="4:36">
      <c r="D241" s="657" t="s">
        <v>1669</v>
      </c>
      <c r="E241" s="738">
        <v>924.01869900000008</v>
      </c>
      <c r="F241" s="738">
        <v>955.41734999999994</v>
      </c>
      <c r="G241" s="738">
        <v>935.93878799999993</v>
      </c>
      <c r="H241" s="738">
        <v>994.78081799999995</v>
      </c>
      <c r="I241" s="738">
        <v>1008.4816820000001</v>
      </c>
      <c r="J241" s="738">
        <v>1042.501471</v>
      </c>
      <c r="K241" s="738">
        <v>1082.5117500000001</v>
      </c>
      <c r="L241" s="738">
        <v>1075.880095</v>
      </c>
      <c r="M241" s="738">
        <v>1130.1091200000001</v>
      </c>
      <c r="N241" s="738">
        <v>1144.9230680000001</v>
      </c>
      <c r="O241" s="738">
        <v>1192.4464909999999</v>
      </c>
      <c r="P241" s="738">
        <v>1201.6065930000002</v>
      </c>
      <c r="Q241" s="738">
        <v>1265.1798690000001</v>
      </c>
      <c r="R241" s="738">
        <v>1275.8239099999998</v>
      </c>
      <c r="S241" s="738">
        <v>1291.9815779999999</v>
      </c>
      <c r="T241" s="738">
        <v>1359.2271070000002</v>
      </c>
      <c r="U241" s="738">
        <v>1351.5200360000001</v>
      </c>
      <c r="V241" s="738">
        <v>1392.240996</v>
      </c>
      <c r="W241" s="738">
        <v>1380.6617450000001</v>
      </c>
      <c r="X241" s="738">
        <v>1364.758153</v>
      </c>
      <c r="Y241" s="738">
        <v>1445.6833948661408</v>
      </c>
      <c r="Z241" s="738">
        <v>1422.721892969158</v>
      </c>
      <c r="AA241" s="738">
        <v>1374.3365857484939</v>
      </c>
      <c r="AB241" s="738">
        <v>1394.426687369496</v>
      </c>
      <c r="AC241" s="738">
        <v>1406.5648320264895</v>
      </c>
      <c r="AD241" s="738">
        <v>1403.1594936096537</v>
      </c>
      <c r="AE241" s="738">
        <v>1409.7279324305819</v>
      </c>
      <c r="AF241" s="738">
        <v>1376.855802943903</v>
      </c>
      <c r="AG241" s="738">
        <v>1466.3612538670966</v>
      </c>
      <c r="AH241" s="738">
        <v>1436.6881525821468</v>
      </c>
      <c r="AI241" s="738">
        <v>1460.8210343436485</v>
      </c>
      <c r="AJ241" s="738">
        <v>1464.94329212511</v>
      </c>
    </row>
    <row r="242" spans="4:36">
      <c r="D242" s="662" t="s">
        <v>1670</v>
      </c>
      <c r="E242" s="588">
        <v>924.01869900000008</v>
      </c>
      <c r="F242" s="588">
        <v>955.41734999999994</v>
      </c>
      <c r="G242" s="588">
        <v>935.93878799999993</v>
      </c>
      <c r="H242" s="588">
        <v>994.78081799999995</v>
      </c>
      <c r="I242" s="588">
        <v>1008.4816820000001</v>
      </c>
      <c r="J242" s="588">
        <v>1042.501471</v>
      </c>
      <c r="K242" s="588">
        <v>1082.5117500000001</v>
      </c>
      <c r="L242" s="588">
        <v>1075.880095</v>
      </c>
      <c r="M242" s="588">
        <v>1130.1091200000001</v>
      </c>
      <c r="N242" s="588">
        <v>1144.9230680000001</v>
      </c>
      <c r="O242" s="588">
        <v>1192.4464909999999</v>
      </c>
      <c r="P242" s="588">
        <v>1201.6065930000002</v>
      </c>
      <c r="Q242" s="588">
        <v>1265.1798690000001</v>
      </c>
      <c r="R242" s="588">
        <v>1275.8239099999998</v>
      </c>
      <c r="S242" s="588">
        <v>1291.9815779999999</v>
      </c>
      <c r="T242" s="588">
        <v>1359.2271070000002</v>
      </c>
      <c r="U242" s="588">
        <v>1351.5200360000001</v>
      </c>
      <c r="V242" s="588">
        <v>1392.240996</v>
      </c>
      <c r="W242" s="588">
        <v>1380.6617450000001</v>
      </c>
      <c r="X242" s="588">
        <v>1364.758153</v>
      </c>
      <c r="Y242" s="588">
        <v>1445.7084029999999</v>
      </c>
      <c r="Z242" s="588">
        <v>1422.801093</v>
      </c>
      <c r="AA242" s="588">
        <v>1374.5147080000002</v>
      </c>
      <c r="AB242" s="588">
        <v>1394.8121289999999</v>
      </c>
      <c r="AC242" s="588">
        <v>1407.2083110000001</v>
      </c>
      <c r="AD242" s="588">
        <v>1404.096499</v>
      </c>
      <c r="AE242" s="588">
        <v>1411.0581529999999</v>
      </c>
      <c r="AF242" s="588">
        <v>1378.6477420000001</v>
      </c>
      <c r="AG242" s="588">
        <v>1469.0930589999998</v>
      </c>
      <c r="AH242" s="588">
        <v>1440.2889090000001</v>
      </c>
      <c r="AI242" s="588">
        <v>1464.6050460000001</v>
      </c>
      <c r="AJ242" s="588">
        <v>1470.4868819999999</v>
      </c>
    </row>
    <row r="243" spans="4:36">
      <c r="D243" s="662" t="s">
        <v>1671</v>
      </c>
      <c r="E243" s="588">
        <v>0</v>
      </c>
      <c r="F243" s="588">
        <v>0</v>
      </c>
      <c r="G243" s="588">
        <v>0</v>
      </c>
      <c r="H243" s="588">
        <v>0</v>
      </c>
      <c r="I243" s="588">
        <v>0</v>
      </c>
      <c r="J243" s="588">
        <v>0</v>
      </c>
      <c r="K243" s="588">
        <v>0</v>
      </c>
      <c r="L243" s="588">
        <v>0</v>
      </c>
      <c r="M243" s="588">
        <v>0</v>
      </c>
      <c r="N243" s="588">
        <v>0</v>
      </c>
      <c r="O243" s="588">
        <v>0</v>
      </c>
      <c r="P243" s="588">
        <v>0</v>
      </c>
      <c r="Q243" s="588">
        <v>0</v>
      </c>
      <c r="R243" s="588">
        <v>0</v>
      </c>
      <c r="S243" s="588">
        <v>0</v>
      </c>
      <c r="T243" s="588">
        <v>0</v>
      </c>
      <c r="U243" s="588">
        <v>0</v>
      </c>
      <c r="V243" s="588">
        <v>0</v>
      </c>
      <c r="W243" s="588">
        <v>0</v>
      </c>
      <c r="X243" s="588">
        <v>0</v>
      </c>
      <c r="Y243" s="588">
        <v>2.5008133859007842E-2</v>
      </c>
      <c r="Z243" s="588">
        <v>7.9200030841970359E-2</v>
      </c>
      <c r="AA243" s="588">
        <v>0.17812225150619385</v>
      </c>
      <c r="AB243" s="588">
        <v>0.38544163050389324</v>
      </c>
      <c r="AC243" s="588">
        <v>0.6434789735106422</v>
      </c>
      <c r="AD243" s="588">
        <v>0.93700539034629116</v>
      </c>
      <c r="AE243" s="588">
        <v>1.3302205694179818</v>
      </c>
      <c r="AF243" s="588">
        <v>1.7919390560971764</v>
      </c>
      <c r="AG243" s="588">
        <v>2.7318051329031325</v>
      </c>
      <c r="AH243" s="588">
        <v>3.6007564178532716</v>
      </c>
      <c r="AI243" s="588">
        <v>3.7840116563515385</v>
      </c>
      <c r="AJ243" s="588">
        <v>5.5435898748898733</v>
      </c>
    </row>
    <row r="244" spans="4:36">
      <c r="D244" s="722" t="s">
        <v>1672</v>
      </c>
      <c r="E244" s="588">
        <v>838.26310599999999</v>
      </c>
      <c r="F244" s="588">
        <v>855.24385600000005</v>
      </c>
      <c r="G244" s="588">
        <v>850.00692200000003</v>
      </c>
      <c r="H244" s="588">
        <v>884.74634000000003</v>
      </c>
      <c r="I244" s="588">
        <v>913.10569099999998</v>
      </c>
      <c r="J244" s="588">
        <v>953.11724800000002</v>
      </c>
      <c r="K244" s="588">
        <v>980.06111899999996</v>
      </c>
      <c r="L244" s="588">
        <v>1026.6261050000001</v>
      </c>
      <c r="M244" s="588">
        <v>1077.956919</v>
      </c>
      <c r="N244" s="588">
        <v>1103.8212100000001</v>
      </c>
      <c r="O244" s="588">
        <v>1159.34664</v>
      </c>
      <c r="P244" s="588">
        <v>1190.5178759999999</v>
      </c>
      <c r="Q244" s="588">
        <v>1204.5313130000002</v>
      </c>
      <c r="R244" s="588">
        <v>1198.727601</v>
      </c>
      <c r="S244" s="588">
        <v>1230.4247309999998</v>
      </c>
      <c r="T244" s="588">
        <v>1275.0790200000001</v>
      </c>
      <c r="U244" s="588">
        <v>1299.7436950000001</v>
      </c>
      <c r="V244" s="588">
        <v>1336.315196</v>
      </c>
      <c r="W244" s="588">
        <v>1336.1334850000001</v>
      </c>
      <c r="X244" s="588">
        <v>1306.8525239999999</v>
      </c>
      <c r="Y244" s="588">
        <v>1330.1949507999072</v>
      </c>
      <c r="Z244" s="588">
        <v>1328.0434625239691</v>
      </c>
      <c r="AA244" s="588">
        <v>1327.069762661499</v>
      </c>
      <c r="AB244" s="588">
        <v>1337.0107578887346</v>
      </c>
      <c r="AC244" s="588">
        <v>1352.0447078870275</v>
      </c>
      <c r="AD244" s="588">
        <v>1360.5861731075861</v>
      </c>
      <c r="AE244" s="588">
        <v>1366.9566411936321</v>
      </c>
      <c r="AF244" s="588">
        <v>1352.5714694606888</v>
      </c>
      <c r="AG244" s="588">
        <v>1381.2727617412522</v>
      </c>
      <c r="AH244" s="588">
        <v>1360.2411273968494</v>
      </c>
      <c r="AI244" s="588">
        <v>1286.7718162371145</v>
      </c>
      <c r="AJ244" s="588">
        <v>1327.4612174338429</v>
      </c>
    </row>
    <row r="245" spans="4:36">
      <c r="D245" s="662" t="s">
        <v>1673</v>
      </c>
      <c r="E245" s="588">
        <v>838.26310599999999</v>
      </c>
      <c r="F245" s="588">
        <v>855.24385600000005</v>
      </c>
      <c r="G245" s="588">
        <v>850.00692200000003</v>
      </c>
      <c r="H245" s="588">
        <v>884.74634000000003</v>
      </c>
      <c r="I245" s="588">
        <v>913.10569099999998</v>
      </c>
      <c r="J245" s="588">
        <v>953.11724800000002</v>
      </c>
      <c r="K245" s="588">
        <v>980.06111899999996</v>
      </c>
      <c r="L245" s="588">
        <v>1026.6261050000001</v>
      </c>
      <c r="M245" s="588">
        <v>1077.956919</v>
      </c>
      <c r="N245" s="588">
        <v>1103.8212100000001</v>
      </c>
      <c r="O245" s="588">
        <v>1159.34664</v>
      </c>
      <c r="P245" s="588">
        <v>1190.5178759999999</v>
      </c>
      <c r="Q245" s="588">
        <v>1204.5313130000002</v>
      </c>
      <c r="R245" s="588">
        <v>1198.727601</v>
      </c>
      <c r="S245" s="588">
        <v>1230.4247309999998</v>
      </c>
      <c r="T245" s="588">
        <v>1275.0790200000001</v>
      </c>
      <c r="U245" s="588">
        <v>1299.7436950000001</v>
      </c>
      <c r="V245" s="588">
        <v>1336.315196</v>
      </c>
      <c r="W245" s="588">
        <v>1336.1334850000001</v>
      </c>
      <c r="X245" s="588">
        <v>1306.8525239999999</v>
      </c>
      <c r="Y245" s="588">
        <v>1330.1993640000001</v>
      </c>
      <c r="Z245" s="588">
        <v>1328.0574389999999</v>
      </c>
      <c r="AA245" s="588">
        <v>1327.1011960000001</v>
      </c>
      <c r="AB245" s="588">
        <v>1337.0787769999999</v>
      </c>
      <c r="AC245" s="588">
        <v>1352.158263</v>
      </c>
      <c r="AD245" s="588">
        <v>1360.7515270000001</v>
      </c>
      <c r="AE245" s="588">
        <v>1367.191386</v>
      </c>
      <c r="AF245" s="588">
        <v>1352.887694</v>
      </c>
      <c r="AG245" s="588">
        <v>1381.7548449999999</v>
      </c>
      <c r="AH245" s="588">
        <v>1360.8765550000001</v>
      </c>
      <c r="AI245" s="588">
        <v>1287.4395830000001</v>
      </c>
      <c r="AJ245" s="588">
        <v>1328.439498</v>
      </c>
    </row>
    <row r="246" spans="4:36" ht="13.5" thickBot="1">
      <c r="D246" s="663" t="s">
        <v>1674</v>
      </c>
      <c r="E246" s="735">
        <v>0</v>
      </c>
      <c r="F246" s="735">
        <v>0</v>
      </c>
      <c r="G246" s="735">
        <v>0</v>
      </c>
      <c r="H246" s="735">
        <v>0</v>
      </c>
      <c r="I246" s="735">
        <v>0</v>
      </c>
      <c r="J246" s="735">
        <v>0</v>
      </c>
      <c r="K246" s="735">
        <v>0</v>
      </c>
      <c r="L246" s="735">
        <v>0</v>
      </c>
      <c r="M246" s="735">
        <v>0</v>
      </c>
      <c r="N246" s="735">
        <v>0</v>
      </c>
      <c r="O246" s="735">
        <v>0</v>
      </c>
      <c r="P246" s="735">
        <v>0</v>
      </c>
      <c r="Q246" s="735">
        <v>0</v>
      </c>
      <c r="R246" s="735">
        <v>0</v>
      </c>
      <c r="S246" s="735">
        <v>0</v>
      </c>
      <c r="T246" s="735">
        <v>0</v>
      </c>
      <c r="U246" s="735">
        <v>0</v>
      </c>
      <c r="V246" s="735">
        <v>0</v>
      </c>
      <c r="W246" s="735">
        <v>0</v>
      </c>
      <c r="X246" s="735">
        <v>0</v>
      </c>
      <c r="Y246" s="735">
        <v>4.4132000927660899E-3</v>
      </c>
      <c r="Z246" s="735">
        <v>1.3976476030935945E-2</v>
      </c>
      <c r="AA246" s="735">
        <v>3.1433338501093033E-2</v>
      </c>
      <c r="AB246" s="735">
        <v>6.8019111265392923E-2</v>
      </c>
      <c r="AC246" s="735">
        <v>0.11355511297246627</v>
      </c>
      <c r="AD246" s="735">
        <v>0.16535389241405138</v>
      </c>
      <c r="AE246" s="735">
        <v>0.23474480636787914</v>
      </c>
      <c r="AF246" s="735">
        <v>0.31622453931126643</v>
      </c>
      <c r="AG246" s="735">
        <v>0.4820832587476116</v>
      </c>
      <c r="AH246" s="735">
        <v>0.63542760315057734</v>
      </c>
      <c r="AI246" s="735">
        <v>0.66776676288556569</v>
      </c>
      <c r="AJ246" s="735">
        <v>0.97828056615703651</v>
      </c>
    </row>
  </sheetData>
  <phoneticPr fontId="33" type="noConversion"/>
  <conditionalFormatting sqref="E5:AJ21">
    <cfRule type="cellIs" dxfId="27" priority="41" operator="equal">
      <formula>"NA"</formula>
    </cfRule>
    <cfRule type="cellIs" dxfId="26" priority="42" operator="notEqual">
      <formula>0</formula>
    </cfRule>
  </conditionalFormatting>
  <conditionalFormatting sqref="E24:AJ45">
    <cfRule type="cellIs" dxfId="25" priority="39" operator="equal">
      <formula>"NA"</formula>
    </cfRule>
    <cfRule type="cellIs" dxfId="24" priority="40" operator="notEqual">
      <formula>0</formula>
    </cfRule>
  </conditionalFormatting>
  <conditionalFormatting sqref="E48:AJ55">
    <cfRule type="cellIs" dxfId="23" priority="37" operator="equal">
      <formula>"NA"</formula>
    </cfRule>
    <cfRule type="cellIs" dxfId="22" priority="38" operator="notEqual">
      <formula>0</formula>
    </cfRule>
  </conditionalFormatting>
  <conditionalFormatting sqref="E57:AJ62">
    <cfRule type="cellIs" dxfId="21" priority="35" operator="equal">
      <formula>"NA"</formula>
    </cfRule>
    <cfRule type="cellIs" dxfId="20" priority="36" operator="notEqual">
      <formula>0</formula>
    </cfRule>
  </conditionalFormatting>
  <conditionalFormatting sqref="E68:AJ70">
    <cfRule type="cellIs" dxfId="19" priority="33" operator="equal">
      <formula>"NA"</formula>
    </cfRule>
    <cfRule type="cellIs" dxfId="18" priority="34" operator="notEqual">
      <formula>0</formula>
    </cfRule>
  </conditionalFormatting>
  <conditionalFormatting sqref="E79:AJ82">
    <cfRule type="cellIs" dxfId="17" priority="29" operator="equal">
      <formula>"NA"</formula>
    </cfRule>
    <cfRule type="cellIs" dxfId="16" priority="30" operator="notEqual">
      <formula>0</formula>
    </cfRule>
  </conditionalFormatting>
  <conditionalFormatting sqref="E85:AJ85">
    <cfRule type="cellIs" dxfId="15" priority="27" operator="equal">
      <formula>"NA"</formula>
    </cfRule>
    <cfRule type="cellIs" dxfId="14" priority="28" operator="notEqual">
      <formula>0</formula>
    </cfRule>
  </conditionalFormatting>
  <conditionalFormatting sqref="E93:AJ93">
    <cfRule type="cellIs" dxfId="13" priority="25" operator="equal">
      <formula>"NA"</formula>
    </cfRule>
    <cfRule type="cellIs" dxfId="12" priority="26" operator="notEqual">
      <formula>0</formula>
    </cfRule>
  </conditionalFormatting>
  <conditionalFormatting sqref="E96:AJ96">
    <cfRule type="cellIs" dxfId="11" priority="23" operator="equal">
      <formula>"NA"</formula>
    </cfRule>
    <cfRule type="cellIs" dxfId="10" priority="24" operator="notEqual">
      <formula>0</formula>
    </cfRule>
  </conditionalFormatting>
  <conditionalFormatting sqref="E100:AJ100">
    <cfRule type="cellIs" dxfId="9" priority="21" operator="equal">
      <formula>"NA"</formula>
    </cfRule>
    <cfRule type="cellIs" dxfId="8" priority="22" operator="notEqual">
      <formula>0</formula>
    </cfRule>
  </conditionalFormatting>
  <conditionalFormatting sqref="E106:AJ106">
    <cfRule type="cellIs" dxfId="7" priority="19" operator="equal">
      <formula>"NA"</formula>
    </cfRule>
    <cfRule type="cellIs" dxfId="6" priority="20" operator="notEqual">
      <formula>0</formula>
    </cfRule>
  </conditionalFormatting>
  <conditionalFormatting sqref="E110:AJ110">
    <cfRule type="cellIs" dxfId="5" priority="17" operator="equal">
      <formula>"NA"</formula>
    </cfRule>
    <cfRule type="cellIs" dxfId="4" priority="18" operator="notEqual">
      <formula>0</formula>
    </cfRule>
  </conditionalFormatting>
  <conditionalFormatting sqref="AK5:AY110">
    <cfRule type="cellIs" priority="1" operator="equal">
      <formula>"NA"</formula>
    </cfRule>
    <cfRule type="cellIs" dxfId="3" priority="2" operator="notEqual">
      <formula>0</formula>
    </cfRule>
  </conditionalFormatting>
  <conditionalFormatting sqref="BB6:CG27">
    <cfRule type="cellIs" dxfId="2" priority="9" operator="equal">
      <formula>"NA"</formula>
    </cfRule>
    <cfRule type="cellIs" dxfId="1" priority="10" operator="notEqual">
      <formula>0</formula>
    </cfRule>
  </conditionalFormatting>
  <pageMargins left="0.75" right="0.75" top="1" bottom="1" header="0.5" footer="0.5"/>
  <pageSetup orientation="portrait" r:id="rId1"/>
  <headerFooter alignWithMargins="0"/>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ransitionEvaluation="1" transitionEntry="1" codeName="Sheet11"/>
  <dimension ref="A1:BX114"/>
  <sheetViews>
    <sheetView workbookViewId="0">
      <selection activeCell="C34" sqref="C34"/>
    </sheetView>
  </sheetViews>
  <sheetFormatPr defaultColWidth="9.6640625" defaultRowHeight="12.95"/>
  <cols>
    <col min="1" max="1" width="2.6640625" style="1" customWidth="1"/>
    <col min="2" max="2" width="30" style="1" customWidth="1"/>
    <col min="3" max="3" width="17" style="1" customWidth="1"/>
    <col min="4" max="35" width="12" style="1" customWidth="1"/>
    <col min="36" max="36" width="20" style="1" customWidth="1"/>
    <col min="37" max="48" width="8" style="1" customWidth="1"/>
    <col min="49" max="57" width="8.6640625" style="1" customWidth="1"/>
    <col min="58" max="66" width="7" style="1" customWidth="1"/>
    <col min="67" max="75" width="9" style="1" customWidth="1"/>
    <col min="76" max="84" width="8" style="1" customWidth="1"/>
    <col min="85" max="16384" width="9.6640625" style="1"/>
  </cols>
  <sheetData>
    <row r="1" spans="1:36" ht="21.6">
      <c r="A1" s="1121" t="s">
        <v>2016</v>
      </c>
      <c r="C1" s="45"/>
      <c r="D1" s="45"/>
      <c r="E1" s="45"/>
      <c r="F1" s="45"/>
      <c r="G1" s="45"/>
      <c r="H1" s="45"/>
      <c r="I1" s="45"/>
      <c r="J1" s="45"/>
      <c r="K1" s="45"/>
      <c r="L1" s="45"/>
      <c r="P1" s="45"/>
      <c r="Q1" s="45"/>
    </row>
    <row r="2" spans="1:36">
      <c r="A2" s="408" t="s">
        <v>2017</v>
      </c>
      <c r="C2" s="45"/>
      <c r="D2" s="45"/>
      <c r="E2" s="45"/>
      <c r="F2" s="45"/>
      <c r="G2" s="45"/>
      <c r="H2" s="45"/>
      <c r="I2" s="45"/>
      <c r="J2" s="45"/>
      <c r="K2" s="45"/>
      <c r="L2" s="45"/>
    </row>
    <row r="3" spans="1:36">
      <c r="C3" s="45"/>
      <c r="D3" s="45"/>
      <c r="E3" s="45"/>
      <c r="F3" s="45"/>
      <c r="G3" s="45"/>
      <c r="H3" s="45"/>
      <c r="I3" s="45"/>
      <c r="J3" s="45"/>
      <c r="K3" s="45"/>
      <c r="L3" s="45"/>
    </row>
    <row r="4" spans="1:36">
      <c r="C4" s="45"/>
      <c r="D4" s="45"/>
      <c r="E4" s="45"/>
      <c r="F4" s="45"/>
      <c r="G4" s="45"/>
      <c r="H4" s="45"/>
      <c r="I4" s="45"/>
      <c r="J4" s="45"/>
      <c r="K4" s="45"/>
      <c r="L4" s="45"/>
    </row>
    <row r="5" spans="1:36">
      <c r="B5" s="45"/>
      <c r="C5" s="45"/>
      <c r="D5" s="45"/>
      <c r="E5" s="45"/>
      <c r="F5" s="45"/>
      <c r="G5" s="45"/>
      <c r="H5" s="45"/>
      <c r="I5" s="45"/>
      <c r="J5" s="45"/>
      <c r="K5" s="45"/>
      <c r="L5" s="45"/>
    </row>
    <row r="6" spans="1:36">
      <c r="B6" s="76" t="s">
        <v>2018</v>
      </c>
      <c r="D6" s="409"/>
      <c r="E6" s="409"/>
      <c r="F6" s="409"/>
      <c r="G6" s="409"/>
      <c r="H6" s="409"/>
      <c r="I6" s="409"/>
      <c r="J6" s="409"/>
      <c r="K6" s="409"/>
      <c r="L6" s="409"/>
    </row>
    <row r="7" spans="1:36">
      <c r="B7" s="391" t="s">
        <v>1413</v>
      </c>
      <c r="C7" s="391">
        <v>1990</v>
      </c>
      <c r="D7" s="391">
        <v>1991</v>
      </c>
      <c r="E7" s="391">
        <v>1992</v>
      </c>
      <c r="F7" s="391">
        <v>1993</v>
      </c>
      <c r="G7" s="391">
        <v>1994</v>
      </c>
      <c r="H7" s="391">
        <v>1995</v>
      </c>
      <c r="I7" s="391">
        <v>1996</v>
      </c>
      <c r="J7" s="391">
        <v>1997</v>
      </c>
      <c r="K7" s="391">
        <v>1998</v>
      </c>
      <c r="L7" s="391">
        <v>1999</v>
      </c>
      <c r="M7" s="391">
        <v>2000</v>
      </c>
      <c r="N7" s="391">
        <v>2001</v>
      </c>
      <c r="O7" s="391">
        <v>2002</v>
      </c>
      <c r="P7" s="391">
        <v>2003</v>
      </c>
      <c r="Q7" s="391">
        <v>2004</v>
      </c>
      <c r="R7" s="391">
        <v>2005</v>
      </c>
      <c r="S7" s="391">
        <v>2006</v>
      </c>
      <c r="T7" s="391">
        <v>2007</v>
      </c>
      <c r="U7" s="391">
        <v>2008</v>
      </c>
      <c r="V7" s="391">
        <v>2009</v>
      </c>
      <c r="W7" s="391">
        <v>2010</v>
      </c>
      <c r="X7" s="391">
        <v>2011</v>
      </c>
      <c r="Y7" s="391">
        <v>2012</v>
      </c>
      <c r="Z7" s="391">
        <v>2013</v>
      </c>
      <c r="AA7" s="391">
        <v>2014</v>
      </c>
      <c r="AB7" s="391">
        <v>2015</v>
      </c>
      <c r="AC7" s="391">
        <v>2016</v>
      </c>
      <c r="AD7" s="391">
        <v>2017</v>
      </c>
      <c r="AE7" s="391">
        <v>2018</v>
      </c>
      <c r="AF7" s="391">
        <v>2019</v>
      </c>
      <c r="AG7" s="391">
        <v>2020</v>
      </c>
      <c r="AH7" s="391">
        <v>2021</v>
      </c>
      <c r="AI7" s="391">
        <v>2022</v>
      </c>
      <c r="AJ7" s="700" t="s">
        <v>1528</v>
      </c>
    </row>
    <row r="8" spans="1:36">
      <c r="B8" s="444" t="s">
        <v>1434</v>
      </c>
      <c r="C8" s="412">
        <f>'Consumption Input'!E76</f>
        <v>924.01869900000008</v>
      </c>
      <c r="D8" s="412">
        <f>'Consumption Input'!F76</f>
        <v>955.41734999999994</v>
      </c>
      <c r="E8" s="412">
        <f>'Consumption Input'!G76</f>
        <v>935.93878799999993</v>
      </c>
      <c r="F8" s="412">
        <f>'Consumption Input'!H76</f>
        <v>994.78081799999995</v>
      </c>
      <c r="G8" s="412">
        <f>'Consumption Input'!I76</f>
        <v>1008.4816820000001</v>
      </c>
      <c r="H8" s="412">
        <f>'Consumption Input'!J76</f>
        <v>1042.501471</v>
      </c>
      <c r="I8" s="412">
        <f>'Consumption Input'!K76</f>
        <v>1082.5117500000001</v>
      </c>
      <c r="J8" s="412">
        <f>'Consumption Input'!L76</f>
        <v>1075.880095</v>
      </c>
      <c r="K8" s="412">
        <f>'Consumption Input'!M76</f>
        <v>1130.1091200000001</v>
      </c>
      <c r="L8" s="412">
        <f>'Consumption Input'!N76</f>
        <v>1144.9230680000001</v>
      </c>
      <c r="M8" s="412">
        <f>'Consumption Input'!O76</f>
        <v>1192.4464909999999</v>
      </c>
      <c r="N8" s="412">
        <f>'Consumption Input'!P76</f>
        <v>1201.6065930000002</v>
      </c>
      <c r="O8" s="412">
        <f>'Consumption Input'!Q76</f>
        <v>1265.1798690000001</v>
      </c>
      <c r="P8" s="412">
        <f>'Consumption Input'!R76</f>
        <v>1275.8239099999998</v>
      </c>
      <c r="Q8" s="412">
        <f>'Consumption Input'!S76</f>
        <v>1291.9815779999999</v>
      </c>
      <c r="R8" s="412">
        <f>'Consumption Input'!T76</f>
        <v>1359.2271070000002</v>
      </c>
      <c r="S8" s="412">
        <f>'Consumption Input'!U76</f>
        <v>1351.5200360000001</v>
      </c>
      <c r="T8" s="412">
        <f>'Consumption Input'!V76</f>
        <v>1392.240996</v>
      </c>
      <c r="U8" s="412">
        <f>'Consumption Input'!W76</f>
        <v>1380.6617450000001</v>
      </c>
      <c r="V8" s="412">
        <f>'Consumption Input'!X76</f>
        <v>1364.758153</v>
      </c>
      <c r="W8" s="412">
        <f>'Consumption Input'!Y76</f>
        <v>1445.6833948661408</v>
      </c>
      <c r="X8" s="412">
        <f>'Consumption Input'!Z76</f>
        <v>1422.721892969158</v>
      </c>
      <c r="Y8" s="412">
        <f>'Consumption Input'!AA76</f>
        <v>1374.3365857484939</v>
      </c>
      <c r="Z8" s="412">
        <f>'Consumption Input'!AB76</f>
        <v>1394.426687369496</v>
      </c>
      <c r="AA8" s="412">
        <f>'Consumption Input'!AC76</f>
        <v>1406.5648320264895</v>
      </c>
      <c r="AB8" s="412">
        <f>'Consumption Input'!AD76</f>
        <v>1403.1594936096537</v>
      </c>
      <c r="AC8" s="412">
        <f>'Consumption Input'!AE76</f>
        <v>1409.7279324305819</v>
      </c>
      <c r="AD8" s="412">
        <f>'Consumption Input'!AF76</f>
        <v>1376.855802943903</v>
      </c>
      <c r="AE8" s="412">
        <f>'Consumption Input'!AG76</f>
        <v>1466.3607810678025</v>
      </c>
      <c r="AF8" s="412">
        <f>'Consumption Input'!AH76</f>
        <v>1436.7105606658743</v>
      </c>
      <c r="AG8" s="412">
        <f>'Consumption Input'!AI76</f>
        <v>1460.8411683519457</v>
      </c>
      <c r="AH8" s="412">
        <f>'Consumption Input'!AJ76</f>
        <v>1464.9154607128403</v>
      </c>
      <c r="AI8" s="412">
        <f>'Consumption Input'!AK76</f>
        <v>1501.0014174763287</v>
      </c>
      <c r="AJ8" s="283">
        <f>(AI8-AH8)/AH8</f>
        <v>2.4633473897482574E-2</v>
      </c>
    </row>
    <row r="9" spans="1:36">
      <c r="B9" s="445" t="s">
        <v>1441</v>
      </c>
      <c r="C9" s="414">
        <f>'Consumption Input'!E77</f>
        <v>838.26310599999999</v>
      </c>
      <c r="D9" s="414">
        <f>'Consumption Input'!F77</f>
        <v>855.24385600000005</v>
      </c>
      <c r="E9" s="414">
        <f>'Consumption Input'!G77</f>
        <v>850.00692200000003</v>
      </c>
      <c r="F9" s="414">
        <f>'Consumption Input'!H77</f>
        <v>884.74634000000003</v>
      </c>
      <c r="G9" s="414">
        <f>'Consumption Input'!I77</f>
        <v>913.10569099999998</v>
      </c>
      <c r="H9" s="414">
        <f>'Consumption Input'!J77</f>
        <v>953.11724800000002</v>
      </c>
      <c r="I9" s="414">
        <f>'Consumption Input'!K77</f>
        <v>980.06111899999996</v>
      </c>
      <c r="J9" s="414">
        <f>'Consumption Input'!L77</f>
        <v>1026.6261050000001</v>
      </c>
      <c r="K9" s="414">
        <f>'Consumption Input'!M77</f>
        <v>1077.956919</v>
      </c>
      <c r="L9" s="414">
        <f>'Consumption Input'!N77</f>
        <v>1103.8212100000001</v>
      </c>
      <c r="M9" s="414">
        <f>'Consumption Input'!O77</f>
        <v>1159.34664</v>
      </c>
      <c r="N9" s="414">
        <f>'Consumption Input'!P77</f>
        <v>1190.5178759999999</v>
      </c>
      <c r="O9" s="414">
        <f>'Consumption Input'!Q77</f>
        <v>1204.5313130000002</v>
      </c>
      <c r="P9" s="414">
        <f>'Consumption Input'!R77</f>
        <v>1198.727601</v>
      </c>
      <c r="Q9" s="414">
        <f>'Consumption Input'!S77</f>
        <v>1230.4247309999998</v>
      </c>
      <c r="R9" s="414">
        <f>'Consumption Input'!T77</f>
        <v>1275.0790200000001</v>
      </c>
      <c r="S9" s="414">
        <f>'Consumption Input'!U77</f>
        <v>1299.7436950000001</v>
      </c>
      <c r="T9" s="414">
        <f>'Consumption Input'!V77</f>
        <v>1336.315196</v>
      </c>
      <c r="U9" s="414">
        <f>'Consumption Input'!W77</f>
        <v>1336.1334850000001</v>
      </c>
      <c r="V9" s="414">
        <f>'Consumption Input'!X77</f>
        <v>1306.8525239999999</v>
      </c>
      <c r="W9" s="414">
        <f>'Consumption Input'!Y77</f>
        <v>1330.1949507999072</v>
      </c>
      <c r="X9" s="414">
        <f>'Consumption Input'!Z77</f>
        <v>1328.0434625239691</v>
      </c>
      <c r="Y9" s="414">
        <f>'Consumption Input'!AA77</f>
        <v>1327.069762661499</v>
      </c>
      <c r="Z9" s="414">
        <f>'Consumption Input'!AB77</f>
        <v>1337.0107578887346</v>
      </c>
      <c r="AA9" s="414">
        <f>'Consumption Input'!AC77</f>
        <v>1352.0447078870275</v>
      </c>
      <c r="AB9" s="414">
        <f>'Consumption Input'!AD77</f>
        <v>1360.5861731075861</v>
      </c>
      <c r="AC9" s="414">
        <f>'Consumption Input'!AE77</f>
        <v>1366.9566411936321</v>
      </c>
      <c r="AD9" s="414">
        <f>'Consumption Input'!AF77</f>
        <v>1352.5714694606888</v>
      </c>
      <c r="AE9" s="414">
        <f>'Consumption Input'!AG77</f>
        <v>1381.2726783060828</v>
      </c>
      <c r="AF9" s="414">
        <f>'Consumption Input'!AH77</f>
        <v>1360.2450817645661</v>
      </c>
      <c r="AG9" s="414">
        <f>'Consumption Input'!AI77</f>
        <v>1286.7753692974022</v>
      </c>
      <c r="AH9" s="414">
        <f>'Consumption Input'!AJ77</f>
        <v>1327.4563060081482</v>
      </c>
      <c r="AI9" s="414">
        <f>'Consumption Input'!AK77</f>
        <v>1389.4201522017052</v>
      </c>
      <c r="AJ9" s="283">
        <f>(AI9-AH9)/AH9</f>
        <v>4.667863334793379E-2</v>
      </c>
    </row>
    <row r="10" spans="1:36">
      <c r="B10" s="445" t="s">
        <v>1443</v>
      </c>
      <c r="C10" s="414">
        <f>'Consumption Input'!E78</f>
        <v>1070.0506350000001</v>
      </c>
      <c r="D10" s="414">
        <f>'Consumption Input'!F78</f>
        <v>1070.6405699999998</v>
      </c>
      <c r="E10" s="414">
        <f>'Consumption Input'!G78</f>
        <v>1106.5552339999999</v>
      </c>
      <c r="F10" s="414">
        <f>'Consumption Input'!H78</f>
        <v>1116.4021270000001</v>
      </c>
      <c r="G10" s="414">
        <f>'Consumption Input'!I78</f>
        <v>1154.3065789999998</v>
      </c>
      <c r="H10" s="414">
        <f>'Consumption Input'!J78</f>
        <v>1163.3698899999999</v>
      </c>
      <c r="I10" s="414">
        <f>'Consumption Input'!K78</f>
        <v>1186.2693940000001</v>
      </c>
      <c r="J10" s="414">
        <f>'Consumption Input'!L78</f>
        <v>1194.43579</v>
      </c>
      <c r="K10" s="414">
        <f>'Consumption Input'!M78</f>
        <v>1212.0689980000002</v>
      </c>
      <c r="L10" s="414">
        <f>'Consumption Input'!N78</f>
        <v>1229.8458929999999</v>
      </c>
      <c r="M10" s="414">
        <f>'Consumption Input'!O78</f>
        <v>1235.1819030000001</v>
      </c>
      <c r="N10" s="414">
        <f>'Consumption Input'!P78</f>
        <v>1159.2579250000001</v>
      </c>
      <c r="O10" s="414">
        <f>'Consumption Input'!Q78</f>
        <v>1156.4219270000001</v>
      </c>
      <c r="P10" s="414">
        <f>'Consumption Input'!R78</f>
        <v>1180.6677730000001</v>
      </c>
      <c r="Q10" s="414">
        <f>'Consumption Input'!S78</f>
        <v>1186.319534</v>
      </c>
      <c r="R10" s="414">
        <f>'Consumption Input'!T78</f>
        <v>1169.1715959999999</v>
      </c>
      <c r="S10" s="414">
        <f>'Consumption Input'!U78</f>
        <v>1158.2241780000002</v>
      </c>
      <c r="T10" s="414">
        <f>'Consumption Input'!V78</f>
        <v>1153.5021100000001</v>
      </c>
      <c r="U10" s="414">
        <f>'Consumption Input'!W78</f>
        <v>1141.712863</v>
      </c>
      <c r="V10" s="414">
        <f>'Consumption Input'!X78</f>
        <v>1044.3544260000001</v>
      </c>
      <c r="W10" s="414">
        <f>'Consumption Input'!Y78</f>
        <v>1103.1314380000001</v>
      </c>
      <c r="X10" s="414">
        <f>'Consumption Input'!Z78</f>
        <v>1124.0696010000001</v>
      </c>
      <c r="Y10" s="414">
        <f>'Consumption Input'!AA78</f>
        <v>1123.3703640000001</v>
      </c>
      <c r="Z10" s="414">
        <f>'Consumption Input'!AB78</f>
        <v>1128.813811</v>
      </c>
      <c r="AA10" s="414">
        <f>'Consumption Input'!AC78</f>
        <v>1136.150022</v>
      </c>
      <c r="AB10" s="414">
        <f>'Consumption Input'!AD78</f>
        <v>1127.6752509999999</v>
      </c>
      <c r="AC10" s="414">
        <f>'Consumption Input'!AE78</f>
        <v>1116.55188</v>
      </c>
      <c r="AD10" s="414">
        <f>'Consumption Input'!AF78</f>
        <v>1125.2573340000001</v>
      </c>
      <c r="AE10" s="414">
        <f>'Consumption Input'!AG78</f>
        <v>1144.5762849999999</v>
      </c>
      <c r="AF10" s="414">
        <f>'Consumption Input'!AH78</f>
        <v>1145.6231869999999</v>
      </c>
      <c r="AG10" s="414">
        <f>'Consumption Input'!AI78</f>
        <v>1097.784568</v>
      </c>
      <c r="AH10" s="414">
        <f>'Consumption Input'!AJ78</f>
        <v>1139.3133160000002</v>
      </c>
      <c r="AI10" s="414">
        <f>'Consumption Input'!AK78</f>
        <v>1163.7761580000001</v>
      </c>
      <c r="AJ10" s="283">
        <f>(AI10-AH10)/AH10</f>
        <v>2.14715668257843E-2</v>
      </c>
    </row>
    <row r="11" spans="1:36">
      <c r="B11" s="445" t="s">
        <v>1445</v>
      </c>
      <c r="C11" s="414">
        <f>'Consumption Input'!E79</f>
        <v>4.7511650000000012</v>
      </c>
      <c r="D11" s="414">
        <f>'Consumption Input'!F79</f>
        <v>4.7584430000000006</v>
      </c>
      <c r="E11" s="414">
        <f>'Consumption Input'!G79</f>
        <v>4.7057460000000004</v>
      </c>
      <c r="F11" s="414">
        <f>'Consumption Input'!H79</f>
        <v>4.7709320000000011</v>
      </c>
      <c r="G11" s="414">
        <f>'Consumption Input'!I79</f>
        <v>4.9942460000000004</v>
      </c>
      <c r="H11" s="414">
        <f>'Consumption Input'!J79</f>
        <v>4.9745200000000009</v>
      </c>
      <c r="I11" s="414">
        <f>'Consumption Input'!K79</f>
        <v>4.9227780000000001</v>
      </c>
      <c r="J11" s="414">
        <f>'Consumption Input'!L79</f>
        <v>4.9073330000000004</v>
      </c>
      <c r="K11" s="414">
        <f>'Consumption Input'!M79</f>
        <v>4.9615980000000013</v>
      </c>
      <c r="L11" s="414">
        <f>'Consumption Input'!N79</f>
        <v>5.1261939999999999</v>
      </c>
      <c r="M11" s="414">
        <f>'Consumption Input'!O79</f>
        <v>5.3817430000000002</v>
      </c>
      <c r="N11" s="414">
        <f>'Consumption Input'!P79</f>
        <v>5.7243250000000012</v>
      </c>
      <c r="O11" s="414">
        <f>'Consumption Input'!Q79</f>
        <v>5.5171979999999996</v>
      </c>
      <c r="P11" s="414">
        <f>'Consumption Input'!R79</f>
        <v>6.8097279999999989</v>
      </c>
      <c r="Q11" s="414">
        <f>'Consumption Input'!S79</f>
        <v>7.223641999999999</v>
      </c>
      <c r="R11" s="414">
        <f>'Consumption Input'!T79</f>
        <v>7.5063209999999998</v>
      </c>
      <c r="S11" s="414">
        <f>'Consumption Input'!U79</f>
        <v>7.3575429999999997</v>
      </c>
      <c r="T11" s="414">
        <f>'Consumption Input'!V79</f>
        <v>8.1725950000000012</v>
      </c>
      <c r="U11" s="414">
        <f>'Consumption Input'!W79</f>
        <v>7.6532109999999998</v>
      </c>
      <c r="V11" s="414">
        <f>'Consumption Input'!X79</f>
        <v>7.767989</v>
      </c>
      <c r="W11" s="414">
        <f>'Consumption Input'!Y79</f>
        <v>7.7418333339517735</v>
      </c>
      <c r="X11" s="414">
        <f>'Consumption Input'!Z79</f>
        <v>7.7652605068729059</v>
      </c>
      <c r="Y11" s="414">
        <f>'Consumption Input'!AA79</f>
        <v>7.5295835900072872</v>
      </c>
      <c r="Z11" s="414">
        <f>'Consumption Input'!AB79</f>
        <v>8.078501741769287</v>
      </c>
      <c r="AA11" s="414">
        <f>'Consumption Input'!AC79</f>
        <v>8.5145890864831077</v>
      </c>
      <c r="AB11" s="414">
        <f>'Consumption Input'!AD79</f>
        <v>8.7389912827603418</v>
      </c>
      <c r="AC11" s="414">
        <f>'Consumption Input'!AE79</f>
        <v>9.0618753757858599</v>
      </c>
      <c r="AD11" s="414">
        <f>'Consumption Input'!AF79</f>
        <v>9.6307565954084442</v>
      </c>
      <c r="AE11" s="414">
        <f>'Consumption Input'!AG79</f>
        <v>10.879248626114531</v>
      </c>
      <c r="AF11" s="414">
        <f>'Consumption Input'!AH79</f>
        <v>11.84197156955978</v>
      </c>
      <c r="AG11" s="414">
        <f>'Consumption Input'!AI79</f>
        <v>10.97591535065229</v>
      </c>
      <c r="AH11" s="414">
        <f>'Consumption Input'!AJ79</f>
        <v>12.888996279011291</v>
      </c>
      <c r="AI11" s="414">
        <f>'Consumption Input'!AK79</f>
        <v>16.174275502940858</v>
      </c>
      <c r="AJ11" s="283">
        <f>(AI11-AH11)/AH11</f>
        <v>0.25489022983732135</v>
      </c>
    </row>
    <row r="12" spans="1:36">
      <c r="B12" s="445" t="s">
        <v>1476</v>
      </c>
      <c r="C12" s="415"/>
      <c r="D12" s="415"/>
      <c r="E12" s="415"/>
      <c r="F12" s="415"/>
      <c r="G12" s="415"/>
      <c r="H12" s="415"/>
      <c r="I12" s="415"/>
      <c r="J12" s="415"/>
      <c r="K12" s="415"/>
      <c r="L12" s="415"/>
      <c r="M12" s="415"/>
      <c r="N12" s="415"/>
      <c r="O12" s="415"/>
      <c r="P12" s="415"/>
      <c r="Q12" s="415"/>
      <c r="R12" s="415"/>
      <c r="S12" s="415"/>
      <c r="T12" s="415"/>
      <c r="U12" s="415"/>
      <c r="V12" s="415"/>
      <c r="W12" s="415"/>
      <c r="X12" s="415"/>
      <c r="Y12" s="415"/>
      <c r="Z12" s="415"/>
      <c r="AA12" s="415"/>
      <c r="AB12" s="415"/>
      <c r="AC12" s="415"/>
      <c r="AD12" s="415"/>
      <c r="AE12" s="415"/>
      <c r="AF12" s="415"/>
      <c r="AG12" s="415"/>
      <c r="AH12" s="415"/>
      <c r="AI12" s="415"/>
      <c r="AJ12" s="283"/>
    </row>
    <row r="13" spans="1:36">
      <c r="B13" s="446" t="s">
        <v>1480</v>
      </c>
      <c r="C13" s="442">
        <f t="shared" ref="C13:L13" si="0">SUM(C8:C12)</f>
        <v>2837.0836050000003</v>
      </c>
      <c r="D13" s="442">
        <f t="shared" si="0"/>
        <v>2886.060219</v>
      </c>
      <c r="E13" s="442">
        <f t="shared" si="0"/>
        <v>2897.20669</v>
      </c>
      <c r="F13" s="442">
        <f t="shared" si="0"/>
        <v>3000.7002170000001</v>
      </c>
      <c r="G13" s="442">
        <f t="shared" si="0"/>
        <v>3080.8881980000001</v>
      </c>
      <c r="H13" s="442">
        <f t="shared" si="0"/>
        <v>3163.9631290000002</v>
      </c>
      <c r="I13" s="442">
        <f t="shared" si="0"/>
        <v>3253.7650410000006</v>
      </c>
      <c r="J13" s="442">
        <f t="shared" si="0"/>
        <v>3301.8493229999999</v>
      </c>
      <c r="K13" s="442">
        <f t="shared" si="0"/>
        <v>3425.0966350000003</v>
      </c>
      <c r="L13" s="443">
        <f t="shared" si="0"/>
        <v>3483.7163649999998</v>
      </c>
      <c r="M13" s="443">
        <f t="shared" ref="M13:U13" si="1">SUM(M8:M12)</f>
        <v>3592.356777</v>
      </c>
      <c r="N13" s="443">
        <f t="shared" si="1"/>
        <v>3557.1067190000003</v>
      </c>
      <c r="O13" s="443">
        <f t="shared" si="1"/>
        <v>3631.6503070000003</v>
      </c>
      <c r="P13" s="443">
        <f t="shared" si="1"/>
        <v>3662.029012</v>
      </c>
      <c r="Q13" s="443">
        <f t="shared" si="1"/>
        <v>3715.9494850000001</v>
      </c>
      <c r="R13" s="443">
        <f t="shared" si="1"/>
        <v>3810.9840439999998</v>
      </c>
      <c r="S13" s="443">
        <f t="shared" si="1"/>
        <v>3816.8454520000005</v>
      </c>
      <c r="T13" s="443">
        <f t="shared" si="1"/>
        <v>3890.2308970000004</v>
      </c>
      <c r="U13" s="443">
        <f t="shared" si="1"/>
        <v>3866.1613040000002</v>
      </c>
      <c r="V13" s="443">
        <f t="shared" ref="V13:AA13" si="2">SUM(V8:V12)</f>
        <v>3723.7330919999995</v>
      </c>
      <c r="W13" s="443">
        <f t="shared" si="2"/>
        <v>3886.7516169999999</v>
      </c>
      <c r="X13" s="443">
        <f t="shared" si="2"/>
        <v>3882.6002170000002</v>
      </c>
      <c r="Y13" s="443">
        <f t="shared" si="2"/>
        <v>3832.3062960000002</v>
      </c>
      <c r="Z13" s="443">
        <f t="shared" si="2"/>
        <v>3868.3297579999999</v>
      </c>
      <c r="AA13" s="443">
        <f t="shared" si="2"/>
        <v>3903.2741510000005</v>
      </c>
      <c r="AB13" s="443">
        <f>SUM(AB8:AB12)</f>
        <v>3900.159909</v>
      </c>
      <c r="AC13" s="443">
        <f>SUM(AC8:AC12)</f>
        <v>3902.2983289999997</v>
      </c>
      <c r="AD13" s="443">
        <f>SUM(AD8:AD12)</f>
        <v>3864.3153630000006</v>
      </c>
      <c r="AE13" s="443">
        <f t="shared" ref="AE13:AF13" si="3">SUM(AE8:AE12)</f>
        <v>4003.0889929999994</v>
      </c>
      <c r="AF13" s="443">
        <f t="shared" si="3"/>
        <v>3954.4208010000002</v>
      </c>
      <c r="AG13" s="443">
        <f t="shared" ref="AG13:AH13" si="4">SUM(AG8:AG12)</f>
        <v>3856.3770210000007</v>
      </c>
      <c r="AH13" s="443">
        <f t="shared" si="4"/>
        <v>3944.574079</v>
      </c>
      <c r="AI13" s="443">
        <f t="shared" ref="AI13" si="5">SUM(AI8:AI12)</f>
        <v>4070.3720031809748</v>
      </c>
      <c r="AJ13" s="283">
        <f>(AI13-AH13)/AH13</f>
        <v>3.1891383369042021E-2</v>
      </c>
    </row>
    <row r="14" spans="1:36">
      <c r="B14" s="45" t="s">
        <v>2019</v>
      </c>
      <c r="X14" s="283"/>
      <c r="Y14" s="283"/>
      <c r="Z14" s="283"/>
      <c r="AA14" s="283"/>
      <c r="AB14" s="283"/>
      <c r="AC14" s="283"/>
      <c r="AD14" s="283"/>
      <c r="AE14" s="283"/>
      <c r="AF14" s="283"/>
      <c r="AG14" s="283"/>
      <c r="AH14" s="283"/>
      <c r="AI14" s="283"/>
    </row>
    <row r="15" spans="1:36">
      <c r="B15" s="45"/>
      <c r="D15" s="45"/>
      <c r="E15" s="45"/>
      <c r="F15" s="45"/>
      <c r="G15" s="45"/>
      <c r="H15" s="45"/>
      <c r="I15" s="45"/>
      <c r="J15" s="45"/>
      <c r="K15" s="45"/>
      <c r="L15" s="45"/>
    </row>
    <row r="16" spans="1:36">
      <c r="C16" s="45"/>
      <c r="D16" s="45"/>
      <c r="E16" s="45"/>
      <c r="F16" s="45"/>
      <c r="G16" s="45"/>
      <c r="H16" s="45"/>
      <c r="I16" s="45"/>
      <c r="J16" s="45"/>
      <c r="K16" s="45"/>
      <c r="L16" s="45"/>
    </row>
    <row r="17" spans="2:76">
      <c r="C17" s="5" t="s">
        <v>2020</v>
      </c>
      <c r="BX17" s="88"/>
    </row>
    <row r="18" spans="2:76">
      <c r="C18" s="136" t="s">
        <v>1540</v>
      </c>
      <c r="D18" s="136">
        <f t="shared" ref="D18:L18" si="6">D13-C13</f>
        <v>48.976613999999699</v>
      </c>
      <c r="E18" s="136">
        <f t="shared" si="6"/>
        <v>11.14647100000002</v>
      </c>
      <c r="F18" s="136">
        <f t="shared" si="6"/>
        <v>103.49352700000009</v>
      </c>
      <c r="G18" s="136">
        <f t="shared" si="6"/>
        <v>80.187981000000036</v>
      </c>
      <c r="H18" s="136">
        <f t="shared" si="6"/>
        <v>83.074931000000106</v>
      </c>
      <c r="I18" s="136">
        <f>I13-H13</f>
        <v>89.801912000000357</v>
      </c>
      <c r="J18" s="136">
        <f t="shared" si="6"/>
        <v>48.084281999999348</v>
      </c>
      <c r="K18" s="136">
        <f t="shared" si="6"/>
        <v>123.24731200000042</v>
      </c>
      <c r="L18" s="136">
        <f t="shared" si="6"/>
        <v>58.619729999999436</v>
      </c>
      <c r="M18" s="136">
        <f t="shared" ref="M18:Y18" si="7">M13-L13</f>
        <v>108.6404120000002</v>
      </c>
      <c r="N18" s="136">
        <f t="shared" si="7"/>
        <v>-35.250057999999626</v>
      </c>
      <c r="O18" s="136">
        <f t="shared" si="7"/>
        <v>74.543588</v>
      </c>
      <c r="P18" s="136">
        <f t="shared" si="7"/>
        <v>30.378704999999627</v>
      </c>
      <c r="Q18" s="136">
        <f t="shared" si="7"/>
        <v>53.920473000000129</v>
      </c>
      <c r="R18" s="136">
        <f t="shared" si="7"/>
        <v>95.034558999999717</v>
      </c>
      <c r="S18" s="136">
        <f t="shared" si="7"/>
        <v>5.8614080000006652</v>
      </c>
      <c r="T18" s="136">
        <f t="shared" si="7"/>
        <v>73.385444999999891</v>
      </c>
      <c r="U18" s="136">
        <f t="shared" si="7"/>
        <v>-24.069593000000168</v>
      </c>
      <c r="V18" s="136">
        <f t="shared" si="7"/>
        <v>-142.42821200000071</v>
      </c>
      <c r="W18" s="136">
        <f t="shared" si="7"/>
        <v>163.01852500000041</v>
      </c>
      <c r="X18" s="136">
        <f t="shared" si="7"/>
        <v>-4.1513999999997395</v>
      </c>
      <c r="Y18" s="136">
        <f t="shared" si="7"/>
        <v>-50.293920999999955</v>
      </c>
      <c r="Z18" s="136">
        <f t="shared" ref="Z18:AD18" si="8">Z13-Y13</f>
        <v>36.023461999999654</v>
      </c>
      <c r="AA18" s="136">
        <f t="shared" si="8"/>
        <v>34.944393000000673</v>
      </c>
      <c r="AB18" s="136">
        <f t="shared" si="8"/>
        <v>-3.1142420000005586</v>
      </c>
      <c r="AC18" s="136">
        <f t="shared" si="8"/>
        <v>2.1384199999997691</v>
      </c>
      <c r="AD18" s="136">
        <f t="shared" si="8"/>
        <v>-37.982965999999124</v>
      </c>
      <c r="AE18" s="136">
        <f t="shared" ref="AE18" si="9">AE13-AD13</f>
        <v>138.77362999999878</v>
      </c>
      <c r="AF18" s="136">
        <f t="shared" ref="AF18:AI18" si="10">AF13-AE13</f>
        <v>-48.668191999999181</v>
      </c>
      <c r="AG18" s="136">
        <f t="shared" si="10"/>
        <v>-98.043779999999515</v>
      </c>
      <c r="AH18" s="136">
        <f t="shared" si="10"/>
        <v>88.197057999999288</v>
      </c>
      <c r="AI18" s="136">
        <f t="shared" si="10"/>
        <v>125.79792418097486</v>
      </c>
      <c r="BX18" s="88"/>
    </row>
    <row r="19" spans="2:76">
      <c r="C19" s="98" t="s">
        <v>1541</v>
      </c>
      <c r="D19" s="416">
        <f t="shared" ref="D19:L19" si="11">D18/C13</f>
        <v>1.7263014002719068E-2</v>
      </c>
      <c r="E19" s="416">
        <f t="shared" si="11"/>
        <v>3.8621754759719448E-3</v>
      </c>
      <c r="F19" s="416">
        <f t="shared" si="11"/>
        <v>3.5721830740353594E-2</v>
      </c>
      <c r="G19" s="416">
        <f t="shared" si="11"/>
        <v>2.672308967943799E-2</v>
      </c>
      <c r="H19" s="416">
        <f t="shared" si="11"/>
        <v>2.6964604250790183E-2</v>
      </c>
      <c r="I19" s="416">
        <f t="shared" si="11"/>
        <v>2.8382730246411903E-2</v>
      </c>
      <c r="J19" s="416">
        <f t="shared" si="11"/>
        <v>1.4778043710624323E-2</v>
      </c>
      <c r="K19" s="416">
        <f t="shared" si="11"/>
        <v>3.7326752357076116E-2</v>
      </c>
      <c r="L19" s="417">
        <f t="shared" si="11"/>
        <v>1.7114766748763405E-2</v>
      </c>
      <c r="M19" s="417">
        <f t="shared" ref="M19:Y19" si="12">M18/L13</f>
        <v>3.1185205859892158E-2</v>
      </c>
      <c r="N19" s="417">
        <f t="shared" si="12"/>
        <v>-9.8125159020082554E-3</v>
      </c>
      <c r="O19" s="417">
        <f t="shared" si="12"/>
        <v>2.095624165612783E-2</v>
      </c>
      <c r="P19" s="417">
        <f t="shared" si="12"/>
        <v>8.3649862822543011E-3</v>
      </c>
      <c r="Q19" s="417">
        <f t="shared" si="12"/>
        <v>1.472420694191926E-2</v>
      </c>
      <c r="R19" s="417">
        <f t="shared" si="12"/>
        <v>2.5574771504193284E-2</v>
      </c>
      <c r="S19" s="417">
        <f t="shared" si="12"/>
        <v>1.538030055315725E-3</v>
      </c>
      <c r="T19" s="417">
        <f t="shared" si="12"/>
        <v>1.9226726867221315E-2</v>
      </c>
      <c r="U19" s="417">
        <f t="shared" si="12"/>
        <v>-6.1871887909177147E-3</v>
      </c>
      <c r="V19" s="417">
        <f t="shared" si="12"/>
        <v>-3.6839697260598492E-2</v>
      </c>
      <c r="W19" s="417">
        <f t="shared" si="12"/>
        <v>4.3778251816765937E-2</v>
      </c>
      <c r="X19" s="417">
        <f t="shared" si="12"/>
        <v>-1.0680898624553759E-3</v>
      </c>
      <c r="Y19" s="417">
        <f t="shared" si="12"/>
        <v>-1.2953669754559732E-2</v>
      </c>
      <c r="Z19" s="417">
        <f t="shared" ref="Z19:AD19" si="13">Z18/Y13</f>
        <v>9.3999433285380726E-3</v>
      </c>
      <c r="AA19" s="417">
        <f t="shared" si="13"/>
        <v>9.0334576383342222E-3</v>
      </c>
      <c r="AB19" s="417">
        <f t="shared" si="13"/>
        <v>-7.9785377084074514E-4</v>
      </c>
      <c r="AC19" s="417">
        <f t="shared" si="13"/>
        <v>5.482903393435628E-4</v>
      </c>
      <c r="AD19" s="417">
        <f t="shared" si="13"/>
        <v>-9.7334859607549826E-3</v>
      </c>
      <c r="AE19" s="417">
        <f t="shared" ref="AE19" si="14">AE18/AD13</f>
        <v>3.5911569570311684E-2</v>
      </c>
      <c r="AF19" s="417">
        <f t="shared" ref="AF19:AI19" si="15">AF18/AE13</f>
        <v>-1.2157659268905288E-2</v>
      </c>
      <c r="AG19" s="417">
        <f t="shared" si="15"/>
        <v>-2.4793461529234836E-2</v>
      </c>
      <c r="AH19" s="417">
        <f t="shared" si="15"/>
        <v>2.2870444855292917E-2</v>
      </c>
      <c r="AI19" s="417">
        <f t="shared" si="15"/>
        <v>3.1891383369042021E-2</v>
      </c>
    </row>
    <row r="22" spans="2:76">
      <c r="B22" s="76" t="s">
        <v>2021</v>
      </c>
      <c r="D22" s="409"/>
      <c r="E22" s="409"/>
      <c r="F22" s="409"/>
      <c r="G22" s="409"/>
      <c r="H22" s="409"/>
      <c r="I22" s="409"/>
      <c r="J22" s="409"/>
      <c r="K22" s="409"/>
      <c r="L22" s="409"/>
      <c r="AI22" s="1036"/>
    </row>
    <row r="23" spans="2:76">
      <c r="B23" s="391" t="s">
        <v>1413</v>
      </c>
      <c r="C23" s="23">
        <v>1990</v>
      </c>
      <c r="D23" s="23">
        <v>1991</v>
      </c>
      <c r="E23" s="23">
        <v>1992</v>
      </c>
      <c r="F23" s="23">
        <v>1993</v>
      </c>
      <c r="G23" s="23">
        <v>1994</v>
      </c>
      <c r="H23" s="23">
        <v>1995</v>
      </c>
      <c r="I23" s="23">
        <v>1996</v>
      </c>
      <c r="J23" s="23">
        <v>1997</v>
      </c>
      <c r="K23" s="23">
        <v>1998</v>
      </c>
      <c r="L23" s="23">
        <v>1999</v>
      </c>
      <c r="M23" s="23">
        <v>2000</v>
      </c>
      <c r="N23" s="23">
        <v>2001</v>
      </c>
      <c r="O23" s="23">
        <v>2002</v>
      </c>
      <c r="P23" s="23">
        <v>2003</v>
      </c>
      <c r="Q23" s="23">
        <v>2004</v>
      </c>
      <c r="R23" s="23">
        <v>2005</v>
      </c>
      <c r="S23" s="23">
        <v>2006</v>
      </c>
      <c r="T23" s="23">
        <v>2007</v>
      </c>
      <c r="U23" s="23">
        <v>2008</v>
      </c>
      <c r="V23" s="23">
        <v>2009</v>
      </c>
      <c r="W23" s="23">
        <v>2010</v>
      </c>
      <c r="X23" s="23">
        <v>2011</v>
      </c>
      <c r="Y23" s="23">
        <v>2012</v>
      </c>
      <c r="Z23" s="23">
        <v>2013</v>
      </c>
      <c r="AA23" s="391">
        <v>2014</v>
      </c>
      <c r="AB23" s="391">
        <v>2015</v>
      </c>
      <c r="AC23" s="391">
        <v>2016</v>
      </c>
      <c r="AD23" s="391">
        <v>2017</v>
      </c>
      <c r="AE23" s="391">
        <v>2018</v>
      </c>
      <c r="AF23" s="391">
        <v>2019</v>
      </c>
      <c r="AG23" s="391">
        <v>2020</v>
      </c>
      <c r="AH23" s="391">
        <v>2021</v>
      </c>
      <c r="AI23" s="391">
        <v>2022</v>
      </c>
    </row>
    <row r="24" spans="2:76">
      <c r="B24" s="444" t="s">
        <v>1434</v>
      </c>
      <c r="C24" s="418">
        <f>C8/C$13</f>
        <v>0.32569315101308055</v>
      </c>
      <c r="D24" s="418">
        <f t="shared" ref="D24:L24" si="16">D8/D$13</f>
        <v>0.33104553526296326</v>
      </c>
      <c r="E24" s="418">
        <f t="shared" si="16"/>
        <v>0.32304867693095102</v>
      </c>
      <c r="F24" s="418">
        <f t="shared" si="16"/>
        <v>0.33151622823373827</v>
      </c>
      <c r="G24" s="418">
        <f t="shared" si="16"/>
        <v>0.32733472206316006</v>
      </c>
      <c r="H24" s="418">
        <f t="shared" si="16"/>
        <v>0.32949229447231021</v>
      </c>
      <c r="I24" s="418">
        <f t="shared" si="16"/>
        <v>0.33269511976418087</v>
      </c>
      <c r="J24" s="418">
        <f t="shared" si="16"/>
        <v>0.3258416692444569</v>
      </c>
      <c r="K24" s="418">
        <f t="shared" si="16"/>
        <v>0.329949557758974</v>
      </c>
      <c r="L24" s="419">
        <f t="shared" si="16"/>
        <v>0.32864990947677225</v>
      </c>
      <c r="M24" s="419">
        <f t="shared" ref="M24:N27" si="17">M8/M$13</f>
        <v>0.33193988376505845</v>
      </c>
      <c r="N24" s="419">
        <f t="shared" si="17"/>
        <v>0.33780448210387248</v>
      </c>
      <c r="O24" s="419">
        <f t="shared" ref="O24:P27" si="18">O8/O$13</f>
        <v>0.34837601697535908</v>
      </c>
      <c r="P24" s="419">
        <f t="shared" si="18"/>
        <v>0.34839262764420714</v>
      </c>
      <c r="Q24" s="419">
        <f t="shared" ref="Q24:R27" si="19">Q8/Q$13</f>
        <v>0.34768545245711269</v>
      </c>
      <c r="R24" s="419">
        <f t="shared" si="19"/>
        <v>0.3566604035353973</v>
      </c>
      <c r="S24" s="419">
        <f t="shared" ref="S24:U27" si="20">S8/S$13</f>
        <v>0.35409346618732312</v>
      </c>
      <c r="T24" s="419">
        <f t="shared" si="20"/>
        <v>0.35788132706303982</v>
      </c>
      <c r="U24" s="419">
        <f t="shared" si="20"/>
        <v>0.35711436653497686</v>
      </c>
      <c r="V24" s="419">
        <f t="shared" ref="V24:W27" si="21">V8/V$13</f>
        <v>0.36650267870487863</v>
      </c>
      <c r="W24" s="419">
        <f t="shared" si="21"/>
        <v>0.37195157738996337</v>
      </c>
      <c r="X24" s="419">
        <f t="shared" ref="X24:Y27" si="22">X8/X$13</f>
        <v>0.36643533030770392</v>
      </c>
      <c r="Y24" s="419">
        <f t="shared" si="22"/>
        <v>0.35861866969844464</v>
      </c>
      <c r="Z24" s="419">
        <f t="shared" ref="Z24:AA27" si="23">Z8/Z$13</f>
        <v>0.36047254877527329</v>
      </c>
      <c r="AA24" s="419">
        <f t="shared" si="23"/>
        <v>0.3603551217805529</v>
      </c>
      <c r="AB24" s="419">
        <f t="shared" ref="AB24:AC27" si="24">AB8/AB$13</f>
        <v>0.3597697341515988</v>
      </c>
      <c r="AC24" s="419">
        <f t="shared" si="24"/>
        <v>0.36125580711094368</v>
      </c>
      <c r="AD24" s="419">
        <f t="shared" ref="AD24:AD27" si="25">AD8/AD$13</f>
        <v>0.35630006187564428</v>
      </c>
      <c r="AE24" s="419">
        <f t="shared" ref="AE24:AF24" si="26">AE8/AE$13</f>
        <v>0.3663073150839149</v>
      </c>
      <c r="AF24" s="419">
        <f t="shared" si="26"/>
        <v>0.36331757113521063</v>
      </c>
      <c r="AG24" s="419">
        <f t="shared" ref="AG24:AH24" si="27">AG8/AG$13</f>
        <v>0.3788118123297845</v>
      </c>
      <c r="AH24" s="419">
        <f t="shared" si="27"/>
        <v>0.37137481293904745</v>
      </c>
      <c r="AI24" s="419">
        <f t="shared" ref="AI24" si="28">AI8/AI$13</f>
        <v>0.36876271168907998</v>
      </c>
    </row>
    <row r="25" spans="2:76">
      <c r="B25" s="445" t="s">
        <v>1441</v>
      </c>
      <c r="C25" s="420">
        <f t="shared" ref="C25:L25" si="29">C9/C$13</f>
        <v>0.29546647991714714</v>
      </c>
      <c r="D25" s="420">
        <f t="shared" si="29"/>
        <v>0.29633610912537928</v>
      </c>
      <c r="E25" s="420">
        <f t="shared" si="29"/>
        <v>0.29338842994318781</v>
      </c>
      <c r="F25" s="420">
        <f t="shared" si="29"/>
        <v>0.29484662779294224</v>
      </c>
      <c r="G25" s="420">
        <f t="shared" si="29"/>
        <v>0.2963774185615547</v>
      </c>
      <c r="H25" s="420">
        <f t="shared" si="29"/>
        <v>0.30124157872258189</v>
      </c>
      <c r="I25" s="420">
        <f t="shared" si="29"/>
        <v>0.30120832532480324</v>
      </c>
      <c r="J25" s="420">
        <f t="shared" si="29"/>
        <v>0.31092457728120265</v>
      </c>
      <c r="K25" s="420">
        <f t="shared" si="29"/>
        <v>0.31472306736828753</v>
      </c>
      <c r="L25" s="421">
        <f t="shared" si="29"/>
        <v>0.31685163037088987</v>
      </c>
      <c r="M25" s="421">
        <f t="shared" si="17"/>
        <v>0.32272591837834597</v>
      </c>
      <c r="N25" s="421">
        <f t="shared" si="17"/>
        <v>0.33468714043380932</v>
      </c>
      <c r="O25" s="421">
        <f t="shared" si="18"/>
        <v>0.33167601811172953</v>
      </c>
      <c r="P25" s="421">
        <f t="shared" si="18"/>
        <v>0.32733973353895429</v>
      </c>
      <c r="Q25" s="421">
        <f t="shared" si="19"/>
        <v>0.33111987554373329</v>
      </c>
      <c r="R25" s="421">
        <f t="shared" si="19"/>
        <v>0.33457999437375763</v>
      </c>
      <c r="S25" s="421">
        <f t="shared" si="20"/>
        <v>0.34052824809004079</v>
      </c>
      <c r="T25" s="421">
        <f t="shared" si="20"/>
        <v>0.34350536803111509</v>
      </c>
      <c r="U25" s="421">
        <f t="shared" si="20"/>
        <v>0.34559693192770108</v>
      </c>
      <c r="V25" s="421">
        <f t="shared" si="21"/>
        <v>0.35095225455541323</v>
      </c>
      <c r="W25" s="421">
        <f t="shared" si="21"/>
        <v>0.34223821892344691</v>
      </c>
      <c r="X25" s="421">
        <f t="shared" si="22"/>
        <v>0.34205001501548338</v>
      </c>
      <c r="Y25" s="421">
        <f t="shared" si="22"/>
        <v>0.34628488960985149</v>
      </c>
      <c r="Z25" s="421">
        <f t="shared" si="23"/>
        <v>0.34562998542812817</v>
      </c>
      <c r="AA25" s="421">
        <f t="shared" si="23"/>
        <v>0.34638732909412473</v>
      </c>
      <c r="AB25" s="421">
        <f t="shared" si="24"/>
        <v>0.34885394569794448</v>
      </c>
      <c r="AC25" s="421">
        <f t="shared" si="24"/>
        <v>0.35029526856905568</v>
      </c>
      <c r="AD25" s="421">
        <f t="shared" si="25"/>
        <v>0.35001580937499915</v>
      </c>
      <c r="AE25" s="421">
        <f t="shared" ref="AE25:AF25" si="30">AE9/AE$13</f>
        <v>0.34505170400194574</v>
      </c>
      <c r="AF25" s="421">
        <f t="shared" si="30"/>
        <v>0.34398086349853946</v>
      </c>
      <c r="AG25" s="421">
        <f t="shared" ref="AG25:AH25" si="31">AG9/AG$13</f>
        <v>0.33367468022193725</v>
      </c>
      <c r="AH25" s="421">
        <f t="shared" si="31"/>
        <v>0.33652715842636055</v>
      </c>
      <c r="AI25" s="421">
        <f t="shared" ref="AI25" si="32">AI9/AI$13</f>
        <v>0.34134967298219437</v>
      </c>
    </row>
    <row r="26" spans="2:76">
      <c r="B26" s="445" t="s">
        <v>1443</v>
      </c>
      <c r="C26" s="420">
        <f t="shared" ref="C26:L26" si="33">C10/C$13</f>
        <v>0.37716570393419901</v>
      </c>
      <c r="D26" s="420">
        <f t="shared" si="33"/>
        <v>0.37096958786638534</v>
      </c>
      <c r="E26" s="420">
        <f t="shared" si="33"/>
        <v>0.38193865761092799</v>
      </c>
      <c r="F26" s="420">
        <f t="shared" si="33"/>
        <v>0.37204720440755712</v>
      </c>
      <c r="G26" s="420">
        <f t="shared" si="33"/>
        <v>0.37466681840299609</v>
      </c>
      <c r="H26" s="420">
        <f t="shared" si="33"/>
        <v>0.36769388345169929</v>
      </c>
      <c r="I26" s="420">
        <f t="shared" si="33"/>
        <v>0.36458360669933815</v>
      </c>
      <c r="J26" s="420">
        <f t="shared" si="33"/>
        <v>0.36174751575724767</v>
      </c>
      <c r="K26" s="420">
        <f t="shared" si="33"/>
        <v>0.35387877399260592</v>
      </c>
      <c r="L26" s="421">
        <f t="shared" si="33"/>
        <v>0.35302698731617321</v>
      </c>
      <c r="M26" s="421">
        <f t="shared" si="17"/>
        <v>0.34383608858346981</v>
      </c>
      <c r="N26" s="421">
        <f t="shared" si="17"/>
        <v>0.32589911312132325</v>
      </c>
      <c r="O26" s="421">
        <f t="shared" si="18"/>
        <v>0.31842876633000666</v>
      </c>
      <c r="P26" s="421">
        <f t="shared" si="18"/>
        <v>0.32240808828414608</v>
      </c>
      <c r="Q26" s="421">
        <f t="shared" si="19"/>
        <v>0.3192507160790965</v>
      </c>
      <c r="R26" s="421">
        <f t="shared" si="19"/>
        <v>0.30678994781957686</v>
      </c>
      <c r="S26" s="421">
        <f t="shared" si="20"/>
        <v>0.30345063549615264</v>
      </c>
      <c r="T26" s="421">
        <f t="shared" si="20"/>
        <v>0.29651250543754037</v>
      </c>
      <c r="U26" s="421">
        <f t="shared" si="20"/>
        <v>0.29530916411034464</v>
      </c>
      <c r="V26" s="421">
        <f t="shared" si="21"/>
        <v>0.28045899107099598</v>
      </c>
      <c r="W26" s="421">
        <f t="shared" si="21"/>
        <v>0.2838183518532772</v>
      </c>
      <c r="X26" s="421">
        <f t="shared" si="22"/>
        <v>0.28951463920448239</v>
      </c>
      <c r="Y26" s="421">
        <f t="shared" si="22"/>
        <v>0.29313167508884319</v>
      </c>
      <c r="Z26" s="421">
        <f t="shared" si="23"/>
        <v>0.29180909633299157</v>
      </c>
      <c r="AA26" s="421">
        <f t="shared" si="23"/>
        <v>0.29107615249339425</v>
      </c>
      <c r="AB26" s="421">
        <f t="shared" si="24"/>
        <v>0.28913564502772798</v>
      </c>
      <c r="AC26" s="421">
        <f t="shared" si="24"/>
        <v>0.28612673503261521</v>
      </c>
      <c r="AD26" s="421">
        <f t="shared" si="25"/>
        <v>0.29119190032317244</v>
      </c>
      <c r="AE26" s="421">
        <f t="shared" ref="AE26:AF26" si="34">AE10/AE$13</f>
        <v>0.2859232675070334</v>
      </c>
      <c r="AF26" s="421">
        <f t="shared" si="34"/>
        <v>0.28970694942487984</v>
      </c>
      <c r="AG26" s="421">
        <f t="shared" ref="AG26:AH26" si="35">AG10/AG$13</f>
        <v>0.28466733465685168</v>
      </c>
      <c r="AH26" s="421">
        <f t="shared" si="35"/>
        <v>0.28883050316267117</v>
      </c>
      <c r="AI26" s="421">
        <f t="shared" ref="AI26" si="36">AI10/AI$13</f>
        <v>0.2859139550612364</v>
      </c>
    </row>
    <row r="27" spans="2:76">
      <c r="B27" s="445" t="s">
        <v>1445</v>
      </c>
      <c r="C27" s="420">
        <f t="shared" ref="C27:L27" si="37">C11/C$13</f>
        <v>1.6746651355732608E-3</v>
      </c>
      <c r="D27" s="420">
        <f t="shared" si="37"/>
        <v>1.6487677452720541E-3</v>
      </c>
      <c r="E27" s="420">
        <f t="shared" si="37"/>
        <v>1.6242355149331787E-3</v>
      </c>
      <c r="F27" s="420">
        <f t="shared" si="37"/>
        <v>1.5899395657623604E-3</v>
      </c>
      <c r="G27" s="420">
        <f t="shared" si="37"/>
        <v>1.6210409722891219E-3</v>
      </c>
      <c r="H27" s="420">
        <f t="shared" si="37"/>
        <v>1.5722433534085601E-3</v>
      </c>
      <c r="I27" s="420">
        <f t="shared" si="37"/>
        <v>1.5129482116775866E-3</v>
      </c>
      <c r="J27" s="420">
        <f t="shared" si="37"/>
        <v>1.4862377170928222E-3</v>
      </c>
      <c r="K27" s="420">
        <f t="shared" si="37"/>
        <v>1.44860088013254E-3</v>
      </c>
      <c r="L27" s="421">
        <f t="shared" si="37"/>
        <v>1.4714728361647203E-3</v>
      </c>
      <c r="M27" s="421">
        <f t="shared" si="17"/>
        <v>1.4981092731257968E-3</v>
      </c>
      <c r="N27" s="421">
        <f t="shared" si="17"/>
        <v>1.6092643409948816E-3</v>
      </c>
      <c r="O27" s="421">
        <f t="shared" si="18"/>
        <v>1.5191985829047497E-3</v>
      </c>
      <c r="P27" s="421">
        <f t="shared" si="18"/>
        <v>1.8595505326925025E-3</v>
      </c>
      <c r="Q27" s="421">
        <f t="shared" si="19"/>
        <v>1.9439559200574005E-3</v>
      </c>
      <c r="R27" s="421">
        <f t="shared" si="19"/>
        <v>1.9696542712683159E-3</v>
      </c>
      <c r="S27" s="421">
        <f t="shared" si="20"/>
        <v>1.9276502264834166E-3</v>
      </c>
      <c r="T27" s="421">
        <f t="shared" si="20"/>
        <v>2.1007994683046702E-3</v>
      </c>
      <c r="U27" s="421">
        <f t="shared" si="20"/>
        <v>1.9795374269774646E-3</v>
      </c>
      <c r="V27" s="421">
        <f t="shared" si="21"/>
        <v>2.0860756687122949E-3</v>
      </c>
      <c r="W27" s="421">
        <f t="shared" si="21"/>
        <v>1.9918518333124999E-3</v>
      </c>
      <c r="X27" s="421">
        <f t="shared" si="22"/>
        <v>2.0000154723302807E-3</v>
      </c>
      <c r="Y27" s="421">
        <f t="shared" si="22"/>
        <v>1.9647656028606974E-3</v>
      </c>
      <c r="Z27" s="421">
        <f>Z11/Z$13</f>
        <v>2.0883694636069563E-3</v>
      </c>
      <c r="AA27" s="421">
        <f t="shared" si="23"/>
        <v>2.1813966319280211E-3</v>
      </c>
      <c r="AB27" s="421">
        <f t="shared" si="24"/>
        <v>2.2406751227287544E-3</v>
      </c>
      <c r="AC27" s="421">
        <f t="shared" si="24"/>
        <v>2.3221892873854289E-3</v>
      </c>
      <c r="AD27" s="421">
        <f t="shared" si="25"/>
        <v>2.4922284261840776E-3</v>
      </c>
      <c r="AE27" s="421">
        <f t="shared" ref="AE27:AF27" si="38">AE11/AE$13</f>
        <v>2.717713407105994E-3</v>
      </c>
      <c r="AF27" s="421">
        <f t="shared" si="38"/>
        <v>2.994615941370014E-3</v>
      </c>
      <c r="AG27" s="421">
        <f t="shared" ref="AG27:AH27" si="39">AG11/AG$13</f>
        <v>2.8461727914264241E-3</v>
      </c>
      <c r="AH27" s="421">
        <f t="shared" si="39"/>
        <v>3.2675254719208664E-3</v>
      </c>
      <c r="AI27" s="421">
        <f t="shared" ref="AI27" si="40">AI11/AI$13</f>
        <v>3.9736602674892482E-3</v>
      </c>
    </row>
    <row r="28" spans="2:76">
      <c r="B28" s="445" t="s">
        <v>1476</v>
      </c>
      <c r="C28" s="422"/>
      <c r="D28" s="422"/>
      <c r="E28" s="422"/>
      <c r="F28" s="422"/>
      <c r="G28" s="422"/>
      <c r="H28" s="422"/>
      <c r="I28" s="422"/>
      <c r="J28" s="422"/>
      <c r="K28" s="422"/>
      <c r="L28" s="422"/>
      <c r="M28" s="422"/>
      <c r="N28" s="422"/>
      <c r="O28" s="422"/>
      <c r="P28" s="422"/>
      <c r="Q28" s="422"/>
      <c r="R28" s="422"/>
      <c r="S28" s="422"/>
      <c r="T28" s="422"/>
      <c r="U28" s="422"/>
      <c r="V28" s="422"/>
      <c r="W28" s="422"/>
      <c r="X28" s="422"/>
      <c r="Y28" s="422"/>
      <c r="Z28" s="422"/>
      <c r="AA28" s="422"/>
      <c r="AB28" s="422"/>
      <c r="AC28" s="422"/>
      <c r="AD28" s="422"/>
      <c r="AE28" s="422"/>
      <c r="AF28" s="422"/>
      <c r="AG28" s="422"/>
      <c r="AH28" s="422"/>
      <c r="AI28" s="422"/>
    </row>
    <row r="29" spans="2:76">
      <c r="B29" s="446" t="s">
        <v>1480</v>
      </c>
      <c r="C29" s="447">
        <f t="shared" ref="C29:L29" si="41">SUM(C24:C28)</f>
        <v>0.99999999999999989</v>
      </c>
      <c r="D29" s="447">
        <f t="shared" si="41"/>
        <v>0.99999999999999989</v>
      </c>
      <c r="E29" s="447">
        <f t="shared" si="41"/>
        <v>1</v>
      </c>
      <c r="F29" s="447">
        <f t="shared" si="41"/>
        <v>1</v>
      </c>
      <c r="G29" s="447">
        <f t="shared" si="41"/>
        <v>1</v>
      </c>
      <c r="H29" s="447">
        <f t="shared" si="41"/>
        <v>1</v>
      </c>
      <c r="I29" s="447">
        <f t="shared" si="41"/>
        <v>0.99999999999999978</v>
      </c>
      <c r="J29" s="447">
        <f t="shared" si="41"/>
        <v>1</v>
      </c>
      <c r="K29" s="447">
        <f t="shared" si="41"/>
        <v>1</v>
      </c>
      <c r="L29" s="448">
        <f t="shared" si="41"/>
        <v>1</v>
      </c>
      <c r="M29" s="448">
        <f t="shared" ref="M29:U29" si="42">SUM(M24:M28)</f>
        <v>1</v>
      </c>
      <c r="N29" s="448">
        <f t="shared" si="42"/>
        <v>0.99999999999999989</v>
      </c>
      <c r="O29" s="448">
        <f t="shared" si="42"/>
        <v>1.0000000000000002</v>
      </c>
      <c r="P29" s="448">
        <f t="shared" si="42"/>
        <v>0.99999999999999989</v>
      </c>
      <c r="Q29" s="448">
        <f t="shared" si="42"/>
        <v>0.99999999999999978</v>
      </c>
      <c r="R29" s="448">
        <f t="shared" si="42"/>
        <v>1.0000000000000002</v>
      </c>
      <c r="S29" s="448">
        <f t="shared" si="42"/>
        <v>0.99999999999999989</v>
      </c>
      <c r="T29" s="448">
        <f t="shared" si="42"/>
        <v>1</v>
      </c>
      <c r="U29" s="448">
        <f t="shared" si="42"/>
        <v>1.0000000000000002</v>
      </c>
      <c r="V29" s="448">
        <f t="shared" ref="V29:AA29" si="43">SUM(V24:V28)</f>
        <v>1</v>
      </c>
      <c r="W29" s="448">
        <f t="shared" si="43"/>
        <v>1</v>
      </c>
      <c r="X29" s="448">
        <f t="shared" si="43"/>
        <v>1</v>
      </c>
      <c r="Y29" s="448">
        <f t="shared" si="43"/>
        <v>1</v>
      </c>
      <c r="Z29" s="448">
        <f t="shared" si="43"/>
        <v>1</v>
      </c>
      <c r="AA29" s="448">
        <f t="shared" si="43"/>
        <v>0.99999999999999989</v>
      </c>
      <c r="AB29" s="448">
        <f>SUM(AB24:AB28)</f>
        <v>1.0000000000000002</v>
      </c>
      <c r="AC29" s="448">
        <f>SUM(AC24:AC28)</f>
        <v>1</v>
      </c>
      <c r="AD29" s="448">
        <f>SUM(AD24:AD28)</f>
        <v>1</v>
      </c>
      <c r="AE29" s="448">
        <f t="shared" ref="AE29:AF29" si="44">SUM(AE24:AE28)</f>
        <v>1</v>
      </c>
      <c r="AF29" s="448">
        <f t="shared" si="44"/>
        <v>0.99999999999999989</v>
      </c>
      <c r="AG29" s="448">
        <f t="shared" ref="AG29:AH29" si="45">SUM(AG24:AG28)</f>
        <v>0.99999999999999989</v>
      </c>
      <c r="AH29" s="448">
        <f t="shared" si="45"/>
        <v>1</v>
      </c>
      <c r="AI29" s="448">
        <f t="shared" ref="AI29" si="46">SUM(AI24:AI28)</f>
        <v>1</v>
      </c>
    </row>
    <row r="30" spans="2:76">
      <c r="AI30" s="1036"/>
    </row>
    <row r="31" spans="2:76">
      <c r="AI31" s="1036"/>
    </row>
    <row r="32" spans="2:76" ht="15">
      <c r="B32" s="76" t="s">
        <v>2022</v>
      </c>
      <c r="D32" s="409"/>
      <c r="E32" s="409"/>
      <c r="F32" s="409"/>
      <c r="G32" s="409"/>
      <c r="H32" s="409"/>
      <c r="I32" s="409"/>
      <c r="J32" s="409"/>
      <c r="K32" s="409"/>
      <c r="AI32" s="1036"/>
    </row>
    <row r="33" spans="2:36">
      <c r="B33" s="391" t="s">
        <v>1413</v>
      </c>
      <c r="C33" s="23">
        <v>1990</v>
      </c>
      <c r="D33" s="23">
        <v>1991</v>
      </c>
      <c r="E33" s="23">
        <v>1992</v>
      </c>
      <c r="F33" s="23">
        <v>1993</v>
      </c>
      <c r="G33" s="23">
        <v>1994</v>
      </c>
      <c r="H33" s="23">
        <v>1995</v>
      </c>
      <c r="I33" s="23">
        <v>1996</v>
      </c>
      <c r="J33" s="23">
        <v>1997</v>
      </c>
      <c r="K33" s="23">
        <v>1998</v>
      </c>
      <c r="L33" s="23">
        <v>1999</v>
      </c>
      <c r="M33" s="23">
        <v>2000</v>
      </c>
      <c r="N33" s="23">
        <v>2001</v>
      </c>
      <c r="O33" s="23">
        <v>2002</v>
      </c>
      <c r="P33" s="23">
        <v>2003</v>
      </c>
      <c r="Q33" s="23">
        <v>2004</v>
      </c>
      <c r="R33" s="23">
        <v>2005</v>
      </c>
      <c r="S33" s="23">
        <v>2006</v>
      </c>
      <c r="T33" s="23">
        <v>2007</v>
      </c>
      <c r="U33" s="23">
        <v>2008</v>
      </c>
      <c r="V33" s="23">
        <v>2009</v>
      </c>
      <c r="W33" s="23">
        <v>2010</v>
      </c>
      <c r="X33" s="23">
        <v>2011</v>
      </c>
      <c r="Y33" s="23">
        <v>2012</v>
      </c>
      <c r="Z33" s="23">
        <v>2013</v>
      </c>
      <c r="AA33" s="391">
        <v>2014</v>
      </c>
      <c r="AB33" s="391">
        <v>2015</v>
      </c>
      <c r="AC33" s="391">
        <v>2016</v>
      </c>
      <c r="AD33" s="391">
        <v>2017</v>
      </c>
      <c r="AE33" s="391">
        <v>2018</v>
      </c>
      <c r="AF33" s="391">
        <v>2019</v>
      </c>
      <c r="AG33" s="391">
        <v>2020</v>
      </c>
      <c r="AH33" s="391">
        <v>2021</v>
      </c>
      <c r="AI33" s="391">
        <v>2022</v>
      </c>
    </row>
    <row r="34" spans="2:36">
      <c r="B34" s="444" t="s">
        <v>1434</v>
      </c>
      <c r="C34" s="423"/>
      <c r="D34" s="423"/>
      <c r="E34" s="423"/>
      <c r="F34" s="423"/>
      <c r="G34" s="423"/>
      <c r="H34" s="423"/>
      <c r="I34" s="423"/>
      <c r="J34" s="423"/>
      <c r="K34" s="423"/>
      <c r="L34" s="423"/>
      <c r="M34" s="423"/>
      <c r="N34" s="423"/>
      <c r="O34" s="423"/>
      <c r="P34" s="423"/>
      <c r="Q34" s="423"/>
      <c r="R34" s="423"/>
      <c r="S34" s="423"/>
      <c r="T34" s="423"/>
      <c r="U34" s="423"/>
      <c r="V34" s="423"/>
      <c r="W34" s="423"/>
      <c r="X34" s="423"/>
      <c r="Y34" s="423"/>
      <c r="Z34" s="423"/>
      <c r="AA34" s="423"/>
      <c r="AB34" s="423"/>
      <c r="AC34" s="423"/>
      <c r="AD34" s="423"/>
      <c r="AE34" s="423"/>
      <c r="AF34" s="423"/>
      <c r="AG34" s="423"/>
      <c r="AH34" s="423"/>
      <c r="AI34" s="1064"/>
    </row>
    <row r="35" spans="2:36">
      <c r="B35" s="445" t="s">
        <v>1441</v>
      </c>
      <c r="C35" s="424"/>
      <c r="D35" s="424"/>
      <c r="E35" s="424"/>
      <c r="F35" s="424"/>
      <c r="G35" s="424"/>
      <c r="H35" s="424"/>
      <c r="I35" s="424"/>
      <c r="J35" s="424"/>
      <c r="K35" s="424"/>
      <c r="L35" s="424"/>
      <c r="M35" s="424"/>
      <c r="N35" s="424"/>
      <c r="O35" s="424"/>
      <c r="P35" s="424"/>
      <c r="Q35" s="424"/>
      <c r="R35" s="424"/>
      <c r="S35" s="424"/>
      <c r="T35" s="424"/>
      <c r="U35" s="424"/>
      <c r="V35" s="424"/>
      <c r="W35" s="424"/>
      <c r="X35" s="424"/>
      <c r="Y35" s="424"/>
      <c r="Z35" s="424"/>
      <c r="AA35" s="424"/>
      <c r="AB35" s="424"/>
      <c r="AC35" s="424"/>
      <c r="AD35" s="424"/>
      <c r="AE35" s="424"/>
      <c r="AF35" s="424"/>
      <c r="AG35" s="424"/>
      <c r="AH35" s="424"/>
      <c r="AI35" s="1065"/>
    </row>
    <row r="36" spans="2:36">
      <c r="B36" s="445" t="s">
        <v>1443</v>
      </c>
      <c r="C36" s="424"/>
      <c r="D36" s="424"/>
      <c r="E36" s="424"/>
      <c r="F36" s="424"/>
      <c r="G36" s="424"/>
      <c r="H36" s="424"/>
      <c r="I36" s="424"/>
      <c r="J36" s="424"/>
      <c r="K36" s="424"/>
      <c r="L36" s="424"/>
      <c r="M36" s="424"/>
      <c r="N36" s="424"/>
      <c r="O36" s="424"/>
      <c r="P36" s="424"/>
      <c r="Q36" s="424"/>
      <c r="R36" s="424"/>
      <c r="S36" s="424"/>
      <c r="T36" s="424"/>
      <c r="U36" s="424"/>
      <c r="V36" s="424"/>
      <c r="W36" s="424"/>
      <c r="X36" s="424"/>
      <c r="Y36" s="424"/>
      <c r="Z36" s="424"/>
      <c r="AA36" s="424"/>
      <c r="AB36" s="424"/>
      <c r="AC36" s="424"/>
      <c r="AD36" s="424"/>
      <c r="AE36" s="424"/>
      <c r="AF36" s="424"/>
      <c r="AG36" s="424"/>
      <c r="AH36" s="424"/>
      <c r="AI36" s="1065"/>
    </row>
    <row r="37" spans="2:36">
      <c r="B37" s="445" t="s">
        <v>1445</v>
      </c>
      <c r="C37" s="424"/>
      <c r="D37" s="424"/>
      <c r="E37" s="424"/>
      <c r="F37" s="424"/>
      <c r="G37" s="424"/>
      <c r="H37" s="424"/>
      <c r="I37" s="424"/>
      <c r="J37" s="424"/>
      <c r="K37" s="424"/>
      <c r="L37" s="424"/>
      <c r="M37" s="424"/>
      <c r="N37" s="424"/>
      <c r="O37" s="424"/>
      <c r="P37" s="424"/>
      <c r="Q37" s="424"/>
      <c r="R37" s="424"/>
      <c r="S37" s="424"/>
      <c r="T37" s="424"/>
      <c r="U37" s="424"/>
      <c r="V37" s="424"/>
      <c r="W37" s="424"/>
      <c r="X37" s="424"/>
      <c r="Y37" s="424"/>
      <c r="Z37" s="424"/>
      <c r="AA37" s="424"/>
      <c r="AB37" s="424"/>
      <c r="AC37" s="424"/>
      <c r="AD37" s="424"/>
      <c r="AE37" s="424"/>
      <c r="AF37" s="424"/>
      <c r="AG37" s="424"/>
      <c r="AH37" s="424"/>
      <c r="AI37" s="1065"/>
    </row>
    <row r="38" spans="2:36">
      <c r="B38" s="445" t="s">
        <v>1476</v>
      </c>
      <c r="C38" s="424"/>
      <c r="D38" s="424"/>
      <c r="E38" s="424"/>
      <c r="F38" s="424"/>
      <c r="G38" s="424"/>
      <c r="H38" s="424"/>
      <c r="I38" s="424"/>
      <c r="J38" s="424"/>
      <c r="K38" s="424"/>
      <c r="L38" s="424"/>
      <c r="M38" s="424"/>
      <c r="N38" s="424"/>
      <c r="O38" s="424"/>
      <c r="P38" s="424"/>
      <c r="Q38" s="424"/>
      <c r="R38" s="424"/>
      <c r="S38" s="424"/>
      <c r="T38" s="424"/>
      <c r="U38" s="424"/>
      <c r="V38" s="424"/>
      <c r="W38" s="424"/>
      <c r="X38" s="424"/>
      <c r="Y38" s="424"/>
      <c r="Z38" s="424"/>
      <c r="AA38" s="424"/>
      <c r="AB38" s="424"/>
      <c r="AC38" s="424"/>
      <c r="AD38" s="424"/>
      <c r="AE38" s="424"/>
      <c r="AF38" s="424"/>
      <c r="AG38" s="424"/>
      <c r="AH38" s="424"/>
      <c r="AI38" s="1065"/>
    </row>
    <row r="39" spans="2:36">
      <c r="B39" s="446" t="s">
        <v>1480</v>
      </c>
      <c r="C39" s="449">
        <f>'Summary Table'!C119</f>
        <v>1819.9505893384999</v>
      </c>
      <c r="D39" s="449">
        <f>'Summary Table'!D119</f>
        <v>1817.3586844666015</v>
      </c>
      <c r="E39" s="449">
        <f>'Summary Table'!E119</f>
        <v>1830.6879594436025</v>
      </c>
      <c r="F39" s="449">
        <f>'Summary Table'!F119</f>
        <v>1906.1720738783795</v>
      </c>
      <c r="G39" s="449">
        <f>'Summary Table'!G119</f>
        <v>1930.4684738502767</v>
      </c>
      <c r="H39" s="449">
        <f>'Summary Table'!H119</f>
        <v>1947.1732378878787</v>
      </c>
      <c r="I39" s="449">
        <f>'Summary Table'!I119</f>
        <v>2020.2429705095551</v>
      </c>
      <c r="J39" s="449">
        <f>'Summary Table'!J119</f>
        <v>2087.5198032038879</v>
      </c>
      <c r="K39" s="449">
        <f>'Summary Table'!K119</f>
        <v>2176.5546251532555</v>
      </c>
      <c r="L39" s="449">
        <f>'Summary Table'!L119</f>
        <v>2189.6658226865443</v>
      </c>
      <c r="M39" s="449">
        <f>'Summary Table'!M119</f>
        <v>2296.1716711514159</v>
      </c>
      <c r="N39" s="449">
        <f>'Summary Table'!N119</f>
        <v>2257.203682742846</v>
      </c>
      <c r="O39" s="449">
        <f>'Summary Table'!O119</f>
        <v>2272.2270983113667</v>
      </c>
      <c r="P39" s="449">
        <f>'Summary Table'!P119</f>
        <v>2303.6783787819459</v>
      </c>
      <c r="Q39" s="449">
        <f>'Summary Table'!Q119</f>
        <v>2335.0826618336023</v>
      </c>
      <c r="R39" s="449">
        <f>'Summary Table'!R119</f>
        <v>2400.057485640647</v>
      </c>
      <c r="S39" s="449">
        <f>'Summary Table'!S119</f>
        <v>2344.3955347500896</v>
      </c>
      <c r="T39" s="449">
        <f>'Summary Table'!T119</f>
        <v>2411.1373189079404</v>
      </c>
      <c r="U39" s="449">
        <f>'Summary Table'!U119</f>
        <v>2359.3320917121569</v>
      </c>
      <c r="V39" s="449">
        <f>'Summary Table'!V119</f>
        <v>2145.3459007564516</v>
      </c>
      <c r="W39" s="449">
        <f>'Summary Table'!W119</f>
        <v>2258.638992053367</v>
      </c>
      <c r="X39" s="449">
        <f>'Summary Table'!X119</f>
        <v>2158.0671407665532</v>
      </c>
      <c r="Y39" s="449">
        <f>'Summary Table'!Y119</f>
        <v>2023.2558169491451</v>
      </c>
      <c r="Z39" s="449">
        <f>'Summary Table'!Z119</f>
        <v>2038.2701275465361</v>
      </c>
      <c r="AA39" s="449">
        <f>'Summary Table'!AA119</f>
        <v>2037.1658489458664</v>
      </c>
      <c r="AB39" s="449">
        <f>'Summary Table'!AB119</f>
        <v>1900.6377895750654</v>
      </c>
      <c r="AC39" s="449">
        <f>'Summary Table'!AC119</f>
        <v>1808.8715159836302</v>
      </c>
      <c r="AD39" s="449">
        <f>'Summary Table'!AD119</f>
        <v>1732.0327184453904</v>
      </c>
      <c r="AE39" s="449">
        <f>'Summary Table'!AE119</f>
        <v>1753.4323681393166</v>
      </c>
      <c r="AF39" s="449">
        <f>'Summary Table'!AF119</f>
        <v>1606.7207957152389</v>
      </c>
      <c r="AG39" s="449">
        <f>'Summary Table'!AG119</f>
        <v>1439.5657139027051</v>
      </c>
      <c r="AH39" s="449">
        <f>'Summary Table'!AH119</f>
        <v>1540.9327798504844</v>
      </c>
      <c r="AI39" s="449">
        <f>'Summary Table'!AI119</f>
        <v>1531.6800774009748</v>
      </c>
      <c r="AJ39" s="283"/>
    </row>
    <row r="40" spans="2:36">
      <c r="AI40" s="1036"/>
    </row>
    <row r="41" spans="2:36">
      <c r="D41" s="409"/>
      <c r="E41" s="409"/>
      <c r="F41" s="409"/>
      <c r="G41" s="409"/>
      <c r="H41" s="409"/>
      <c r="I41" s="409"/>
      <c r="J41" s="409"/>
      <c r="K41" s="409"/>
      <c r="AI41" s="1036"/>
    </row>
    <row r="42" spans="2:36" ht="15">
      <c r="B42" s="76" t="s">
        <v>2023</v>
      </c>
      <c r="D42" s="409"/>
      <c r="E42" s="409"/>
      <c r="F42" s="409"/>
      <c r="G42" s="409"/>
      <c r="H42" s="409"/>
      <c r="I42" s="409"/>
      <c r="J42" s="409"/>
      <c r="K42" s="409"/>
      <c r="AI42" s="1036"/>
    </row>
    <row r="43" spans="2:36">
      <c r="B43" s="391" t="s">
        <v>1413</v>
      </c>
      <c r="C43" s="23">
        <v>1990</v>
      </c>
      <c r="D43" s="23">
        <v>1991</v>
      </c>
      <c r="E43" s="23">
        <v>1992</v>
      </c>
      <c r="F43" s="23">
        <v>1993</v>
      </c>
      <c r="G43" s="23">
        <v>1994</v>
      </c>
      <c r="H43" s="23">
        <v>1995</v>
      </c>
      <c r="I43" s="23">
        <v>1996</v>
      </c>
      <c r="J43" s="23">
        <v>1997</v>
      </c>
      <c r="K43" s="23">
        <v>1998</v>
      </c>
      <c r="L43" s="23">
        <v>1999</v>
      </c>
      <c r="M43" s="23">
        <v>2000</v>
      </c>
      <c r="N43" s="23">
        <v>2001</v>
      </c>
      <c r="O43" s="23">
        <v>2002</v>
      </c>
      <c r="P43" s="23">
        <v>2003</v>
      </c>
      <c r="Q43" s="23">
        <v>2004</v>
      </c>
      <c r="R43" s="23">
        <v>2005</v>
      </c>
      <c r="S43" s="23">
        <v>2006</v>
      </c>
      <c r="T43" s="23">
        <v>2007</v>
      </c>
      <c r="U43" s="23">
        <v>2008</v>
      </c>
      <c r="V43" s="23">
        <v>2009</v>
      </c>
      <c r="W43" s="23">
        <v>2010</v>
      </c>
      <c r="X43" s="23">
        <v>2011</v>
      </c>
      <c r="Y43" s="23">
        <v>2012</v>
      </c>
      <c r="Z43" s="23">
        <v>2013</v>
      </c>
      <c r="AA43" s="391">
        <v>2014</v>
      </c>
      <c r="AB43" s="391">
        <v>2015</v>
      </c>
      <c r="AC43" s="391">
        <v>2016</v>
      </c>
      <c r="AD43" s="391">
        <v>2017</v>
      </c>
      <c r="AE43" s="391">
        <v>2018</v>
      </c>
      <c r="AF43" s="391">
        <v>2019</v>
      </c>
      <c r="AG43" s="391">
        <v>2020</v>
      </c>
      <c r="AH43" s="391">
        <v>2021</v>
      </c>
      <c r="AI43" s="391">
        <v>2022</v>
      </c>
    </row>
    <row r="44" spans="2:36">
      <c r="B44" s="444" t="s">
        <v>1434</v>
      </c>
      <c r="C44" s="717">
        <f>C$39*C24</f>
        <v>592.745442129769</v>
      </c>
      <c r="D44" s="717">
        <f t="shared" ref="D44:K44" si="47">D$39*D24</f>
        <v>601.62847846404088</v>
      </c>
      <c r="E44" s="717">
        <f t="shared" si="47"/>
        <v>591.40132317167831</v>
      </c>
      <c r="F44" s="717">
        <f t="shared" si="47"/>
        <v>631.92697629664303</v>
      </c>
      <c r="G44" s="717">
        <f t="shared" si="47"/>
        <v>631.90936133947309</v>
      </c>
      <c r="H44" s="717">
        <f t="shared" si="47"/>
        <v>641.57857788675472</v>
      </c>
      <c r="I44" s="717">
        <f t="shared" si="47"/>
        <v>672.12497702642099</v>
      </c>
      <c r="J44" s="717">
        <f t="shared" si="47"/>
        <v>680.200937256815</v>
      </c>
      <c r="K44" s="717">
        <f t="shared" si="47"/>
        <v>718.15323600756608</v>
      </c>
      <c r="L44" s="717">
        <f t="shared" ref="L44:M47" si="48">L$39*L24</f>
        <v>719.63347441031488</v>
      </c>
      <c r="M44" s="717">
        <f t="shared" si="48"/>
        <v>762.19095762662107</v>
      </c>
      <c r="N44" s="717">
        <f t="shared" ref="N44:O47" si="49">N$39*N24</f>
        <v>762.49352105190076</v>
      </c>
      <c r="O44" s="717">
        <f t="shared" si="49"/>
        <v>791.58942617319155</v>
      </c>
      <c r="P44" s="717">
        <f t="shared" ref="P44:Q47" si="50">P$39*P24</f>
        <v>802.58456363098924</v>
      </c>
      <c r="Q44" s="717">
        <f t="shared" si="50"/>
        <v>811.8742718043751</v>
      </c>
      <c r="R44" s="717">
        <f t="shared" ref="R44:S47" si="51">R$39*R24</f>
        <v>856.00547133674411</v>
      </c>
      <c r="S44" s="717">
        <f t="shared" si="51"/>
        <v>830.13514101374221</v>
      </c>
      <c r="T44" s="717">
        <f t="shared" ref="T44:U47" si="52">T$39*T24</f>
        <v>862.90102342199361</v>
      </c>
      <c r="U44" s="717">
        <f t="shared" si="52"/>
        <v>842.5513853774288</v>
      </c>
      <c r="V44" s="717">
        <f t="shared" ref="V44:W47" si="53">V$39*V24</f>
        <v>786.27501937577017</v>
      </c>
      <c r="W44" s="717">
        <f t="shared" si="53"/>
        <v>840.10433584872681</v>
      </c>
      <c r="X44" s="717">
        <f t="shared" ref="X44:Y47" si="54">X$39*X24</f>
        <v>790.79204555299407</v>
      </c>
      <c r="Y44" s="717">
        <f t="shared" ref="Y44:AD44" si="55">Y$39*Y24</f>
        <v>725.57730953394218</v>
      </c>
      <c r="Z44" s="717">
        <f t="shared" si="55"/>
        <v>734.74042796920128</v>
      </c>
      <c r="AA44" s="717">
        <f t="shared" si="55"/>
        <v>734.10314758407117</v>
      </c>
      <c r="AB44" s="717">
        <f t="shared" si="55"/>
        <v>683.79195227390369</v>
      </c>
      <c r="AC44" s="717">
        <f t="shared" si="55"/>
        <v>653.46533946666261</v>
      </c>
      <c r="AD44" s="717">
        <f t="shared" si="55"/>
        <v>617.12336475273298</v>
      </c>
      <c r="AE44" s="717">
        <f t="shared" ref="AE44:AF44" si="56">AE$39*AE24</f>
        <v>642.29510295434375</v>
      </c>
      <c r="AF44" s="717">
        <f t="shared" si="56"/>
        <v>583.7498969916935</v>
      </c>
      <c r="AG44" s="717">
        <f t="shared" ref="AG44:AH44" si="57">AG$39*AG24</f>
        <v>545.32449705130375</v>
      </c>
      <c r="AH44" s="717">
        <f t="shared" si="57"/>
        <v>572.26362286862002</v>
      </c>
      <c r="AI44" s="717">
        <f t="shared" ref="AI44" si="58">AI$39*AI24</f>
        <v>564.82649878252334</v>
      </c>
      <c r="AJ44" s="425"/>
    </row>
    <row r="45" spans="2:36">
      <c r="B45" s="445" t="s">
        <v>1441</v>
      </c>
      <c r="C45" s="228">
        <f t="shared" ref="C45:K45" si="59">C$39*C25</f>
        <v>537.73439425498395</v>
      </c>
      <c r="D45" s="228">
        <f t="shared" si="59"/>
        <v>538.54900144005057</v>
      </c>
      <c r="E45" s="228">
        <f t="shared" si="59"/>
        <v>537.10266613705687</v>
      </c>
      <c r="F45" s="228">
        <f t="shared" si="59"/>
        <v>562.0284079761193</v>
      </c>
      <c r="G45" s="228">
        <f t="shared" si="59"/>
        <v>572.14726289420912</v>
      </c>
      <c r="H45" s="228">
        <f t="shared" si="59"/>
        <v>586.56954022770606</v>
      </c>
      <c r="I45" s="228">
        <f t="shared" si="59"/>
        <v>608.514001896389</v>
      </c>
      <c r="J45" s="228">
        <f t="shared" si="59"/>
        <v>649.06121237730815</v>
      </c>
      <c r="K45" s="228">
        <f t="shared" si="59"/>
        <v>685.01194792286583</v>
      </c>
      <c r="L45" s="228">
        <f t="shared" si="48"/>
        <v>693.79918588564738</v>
      </c>
      <c r="M45" s="228">
        <f t="shared" si="48"/>
        <v>741.03411132668214</v>
      </c>
      <c r="N45" s="228">
        <f t="shared" si="49"/>
        <v>755.45704595386644</v>
      </c>
      <c r="O45" s="228">
        <f t="shared" si="49"/>
        <v>753.64323621348353</v>
      </c>
      <c r="P45" s="228">
        <f t="shared" si="50"/>
        <v>754.08546666993243</v>
      </c>
      <c r="Q45" s="228">
        <f t="shared" si="50"/>
        <v>773.19228037067182</v>
      </c>
      <c r="R45" s="228">
        <f t="shared" si="51"/>
        <v>803.01122004234253</v>
      </c>
      <c r="S45" s="228">
        <f t="shared" si="51"/>
        <v>798.3329042785623</v>
      </c>
      <c r="T45" s="228">
        <f t="shared" si="52"/>
        <v>828.23861210502821</v>
      </c>
      <c r="U45" s="228">
        <f t="shared" si="52"/>
        <v>815.37793229428689</v>
      </c>
      <c r="V45" s="228">
        <f t="shared" si="53"/>
        <v>752.91398067169052</v>
      </c>
      <c r="W45" s="228">
        <f t="shared" si="53"/>
        <v>772.99258583139374</v>
      </c>
      <c r="X45" s="228">
        <f t="shared" si="54"/>
        <v>738.16689790362079</v>
      </c>
      <c r="Y45" s="228">
        <f t="shared" si="54"/>
        <v>700.62291722472457</v>
      </c>
      <c r="Z45" s="228">
        <f t="shared" ref="Z45:AA47" si="60">Z$39*Z25</f>
        <v>704.48727448249826</v>
      </c>
      <c r="AA45" s="228">
        <f t="shared" si="60"/>
        <v>705.64843733812381</v>
      </c>
      <c r="AB45" s="228">
        <f t="shared" ref="AB45:AC47" si="61">AB$39*AB25</f>
        <v>663.04499223588107</v>
      </c>
      <c r="AC45" s="228">
        <f t="shared" si="61"/>
        <v>633.63913349840061</v>
      </c>
      <c r="AD45" s="228">
        <f t="shared" ref="AD45:AD47" si="62">AD$39*AD25</f>
        <v>606.23883381064331</v>
      </c>
      <c r="AE45" s="228">
        <f t="shared" ref="AE45:AF45" si="63">AE$39*AE25</f>
        <v>605.02482647863826</v>
      </c>
      <c r="AF45" s="228">
        <f t="shared" si="63"/>
        <v>552.68120671118822</v>
      </c>
      <c r="AG45" s="228">
        <f t="shared" ref="AG45:AH45" si="64">AG$39*AG25</f>
        <v>480.3466292449499</v>
      </c>
      <c r="AH45" s="228">
        <f t="shared" si="64"/>
        <v>518.56572972911613</v>
      </c>
      <c r="AI45" s="228">
        <f t="shared" ref="AI45" si="65">AI$39*AI25</f>
        <v>522.83849353416497</v>
      </c>
      <c r="AJ45" s="425"/>
    </row>
    <row r="46" spans="2:36">
      <c r="B46" s="445" t="s">
        <v>1443</v>
      </c>
      <c r="C46" s="228">
        <f t="shared" ref="C46:K46" si="66">C$39*C26</f>
        <v>686.42294515331571</v>
      </c>
      <c r="D46" s="228">
        <f t="shared" si="66"/>
        <v>674.18480218197135</v>
      </c>
      <c r="E46" s="228">
        <f t="shared" si="66"/>
        <v>699.21050173437857</v>
      </c>
      <c r="F46" s="228">
        <f t="shared" si="66"/>
        <v>709.1859912062065</v>
      </c>
      <c r="G46" s="228">
        <f t="shared" si="66"/>
        <v>723.2824811247707</v>
      </c>
      <c r="H46" s="228">
        <f t="shared" si="66"/>
        <v>715.96368959221365</v>
      </c>
      <c r="I46" s="228">
        <f t="shared" si="66"/>
        <v>736.54746859735826</v>
      </c>
      <c r="J46" s="228">
        <f t="shared" si="66"/>
        <v>755.15510290306497</v>
      </c>
      <c r="K46" s="228">
        <f t="shared" si="66"/>
        <v>770.23648227717001</v>
      </c>
      <c r="L46" s="228">
        <f t="shared" si="48"/>
        <v>773.01112861222066</v>
      </c>
      <c r="M46" s="228">
        <f t="shared" si="48"/>
        <v>789.5066861248722</v>
      </c>
      <c r="N46" s="228">
        <f t="shared" si="49"/>
        <v>735.62067834007826</v>
      </c>
      <c r="O46" s="228">
        <f t="shared" si="49"/>
        <v>723.5424717368993</v>
      </c>
      <c r="P46" s="228">
        <f t="shared" si="50"/>
        <v>742.72454212460809</v>
      </c>
      <c r="Q46" s="228">
        <f t="shared" si="50"/>
        <v>745.47681189426021</v>
      </c>
      <c r="R46" s="228">
        <f t="shared" si="51"/>
        <v>736.31351078367891</v>
      </c>
      <c r="S46" s="228">
        <f t="shared" si="51"/>
        <v>711.40831487425726</v>
      </c>
      <c r="T46" s="228">
        <f t="shared" si="52"/>
        <v>714.93236738334724</v>
      </c>
      <c r="U46" s="228">
        <f t="shared" si="52"/>
        <v>696.73238786222805</v>
      </c>
      <c r="V46" s="228">
        <f t="shared" si="53"/>
        <v>601.68154682445152</v>
      </c>
      <c r="W46" s="228">
        <f t="shared" si="53"/>
        <v>641.04319615613383</v>
      </c>
      <c r="X46" s="228">
        <f t="shared" si="54"/>
        <v>624.79202963807757</v>
      </c>
      <c r="Y46" s="228">
        <f t="shared" si="54"/>
        <v>593.08036675554877</v>
      </c>
      <c r="Z46" s="228">
        <f t="shared" si="60"/>
        <v>594.78576400188615</v>
      </c>
      <c r="AA46" s="228">
        <f t="shared" si="60"/>
        <v>592.9703973021019</v>
      </c>
      <c r="AB46" s="228">
        <f t="shared" si="61"/>
        <v>549.54213325286162</v>
      </c>
      <c r="AC46" s="228">
        <f t="shared" si="61"/>
        <v>517.5665009618931</v>
      </c>
      <c r="AD46" s="228">
        <f t="shared" si="62"/>
        <v>504.35389870602353</v>
      </c>
      <c r="AE46" s="228">
        <f t="shared" ref="AE46:AF46" si="67">AE$39*AE26</f>
        <v>501.34711205098887</v>
      </c>
      <c r="AF46" s="228">
        <f t="shared" si="67"/>
        <v>465.47818030417739</v>
      </c>
      <c r="AG46" s="228">
        <f t="shared" ref="AG46:AH46" si="68">AG$39*AG26</f>
        <v>409.79733484007096</v>
      </c>
      <c r="AH46" s="228">
        <f t="shared" si="68"/>
        <v>445.06839014406899</v>
      </c>
      <c r="AI46" s="228">
        <f t="shared" ref="AI46" si="69">AI$39*AI26</f>
        <v>437.92870881821341</v>
      </c>
      <c r="AJ46" s="425"/>
    </row>
    <row r="47" spans="2:36">
      <c r="B47" s="445" t="s">
        <v>1445</v>
      </c>
      <c r="C47" s="228">
        <f t="shared" ref="C47:K47" si="70">C$39*C27</f>
        <v>3.0478078004311948</v>
      </c>
      <c r="D47" s="228">
        <f t="shared" si="70"/>
        <v>2.9964023805385849</v>
      </c>
      <c r="E47" s="228">
        <f t="shared" si="70"/>
        <v>2.9734684004888496</v>
      </c>
      <c r="F47" s="228">
        <f t="shared" si="70"/>
        <v>3.0306983994105288</v>
      </c>
      <c r="G47" s="228">
        <f t="shared" si="70"/>
        <v>3.1293684918237497</v>
      </c>
      <c r="H47" s="228">
        <f t="shared" si="70"/>
        <v>3.0614301812042424</v>
      </c>
      <c r="I47" s="228">
        <f t="shared" si="70"/>
        <v>3.0565229893866466</v>
      </c>
      <c r="J47" s="228">
        <f t="shared" si="70"/>
        <v>3.1025506666998042</v>
      </c>
      <c r="K47" s="228">
        <f t="shared" si="70"/>
        <v>3.1529589456535567</v>
      </c>
      <c r="L47" s="228">
        <f t="shared" si="48"/>
        <v>3.2220337783615247</v>
      </c>
      <c r="M47" s="228">
        <f t="shared" si="48"/>
        <v>3.4399160732406937</v>
      </c>
      <c r="N47" s="228">
        <f t="shared" si="49"/>
        <v>3.6324373970003858</v>
      </c>
      <c r="O47" s="228">
        <f t="shared" si="49"/>
        <v>3.4519641877923997</v>
      </c>
      <c r="P47" s="228">
        <f t="shared" si="50"/>
        <v>4.2838063564161679</v>
      </c>
      <c r="Q47" s="228">
        <f t="shared" si="50"/>
        <v>4.5392977642948242</v>
      </c>
      <c r="R47" s="228">
        <f t="shared" si="51"/>
        <v>4.7272834778815946</v>
      </c>
      <c r="S47" s="228">
        <f t="shared" si="51"/>
        <v>4.5191745835277208</v>
      </c>
      <c r="T47" s="228">
        <f t="shared" si="52"/>
        <v>5.0653159975713491</v>
      </c>
      <c r="U47" s="228">
        <f t="shared" si="52"/>
        <v>4.670386178213243</v>
      </c>
      <c r="V47" s="228">
        <f t="shared" si="53"/>
        <v>4.475353884539695</v>
      </c>
      <c r="W47" s="228">
        <f t="shared" si="53"/>
        <v>4.4988742171125962</v>
      </c>
      <c r="X47" s="228">
        <f t="shared" si="54"/>
        <v>4.3161676718606765</v>
      </c>
      <c r="Y47" s="228">
        <f t="shared" si="54"/>
        <v>3.9752234349295001</v>
      </c>
      <c r="Z47" s="228">
        <f t="shared" si="60"/>
        <v>4.2566610929504423</v>
      </c>
      <c r="AA47" s="228">
        <f t="shared" si="60"/>
        <v>4.4438667215693011</v>
      </c>
      <c r="AB47" s="228">
        <f t="shared" si="61"/>
        <v>4.2587118124190182</v>
      </c>
      <c r="AC47" s="228">
        <f t="shared" si="61"/>
        <v>4.200542056673827</v>
      </c>
      <c r="AD47" s="228">
        <f t="shared" si="62"/>
        <v>4.3166211759904849</v>
      </c>
      <c r="AE47" s="228">
        <f t="shared" ref="AE47" si="71">AE$39*AE27</f>
        <v>4.7653266553458336</v>
      </c>
      <c r="AF47" s="228">
        <f>AF$39*AF27</f>
        <v>4.8115117081795677</v>
      </c>
      <c r="AG47" s="228">
        <f>AG$39*AG27</f>
        <v>4.0972527663802349</v>
      </c>
      <c r="AH47" s="228">
        <f>AH$39*AH27</f>
        <v>5.0350371086792869</v>
      </c>
      <c r="AI47" s="228">
        <f>AI$39*AI27</f>
        <v>6.0863762660731098</v>
      </c>
      <c r="AJ47" s="425"/>
    </row>
    <row r="48" spans="2:36">
      <c r="B48" s="445" t="s">
        <v>1476</v>
      </c>
      <c r="C48" s="426"/>
      <c r="D48" s="426"/>
      <c r="E48" s="426"/>
      <c r="F48" s="426"/>
      <c r="G48" s="426"/>
      <c r="H48" s="426"/>
      <c r="I48" s="426"/>
      <c r="J48" s="426"/>
      <c r="K48" s="426"/>
      <c r="L48" s="426"/>
      <c r="M48" s="426"/>
      <c r="N48" s="426"/>
      <c r="O48" s="426"/>
      <c r="P48" s="426"/>
      <c r="Q48" s="426"/>
      <c r="R48" s="426"/>
      <c r="S48" s="426"/>
      <c r="T48" s="426"/>
      <c r="U48" s="426"/>
      <c r="V48" s="426"/>
      <c r="W48" s="426"/>
      <c r="X48" s="426"/>
      <c r="Y48" s="426"/>
      <c r="Z48" s="426"/>
      <c r="AA48" s="426"/>
      <c r="AB48" s="426"/>
      <c r="AC48" s="426"/>
      <c r="AD48" s="426"/>
      <c r="AE48" s="426"/>
      <c r="AF48" s="426"/>
      <c r="AG48" s="426"/>
      <c r="AH48" s="426"/>
      <c r="AI48" s="426"/>
      <c r="AJ48" s="425"/>
    </row>
    <row r="49" spans="2:36">
      <c r="B49" s="446" t="s">
        <v>1480</v>
      </c>
      <c r="C49" s="449">
        <f>SUM(C44:C48)</f>
        <v>1819.9505893384999</v>
      </c>
      <c r="D49" s="449">
        <f t="shared" ref="D49:K49" si="72">SUM(D44:D48)</f>
        <v>1817.3586844666013</v>
      </c>
      <c r="E49" s="449">
        <f t="shared" si="72"/>
        <v>1830.6879594436025</v>
      </c>
      <c r="F49" s="449">
        <f t="shared" si="72"/>
        <v>1906.1720738783793</v>
      </c>
      <c r="G49" s="449">
        <f t="shared" si="72"/>
        <v>1930.4684738502765</v>
      </c>
      <c r="H49" s="449">
        <f t="shared" si="72"/>
        <v>1947.1732378878787</v>
      </c>
      <c r="I49" s="449">
        <f t="shared" si="72"/>
        <v>2020.2429705095549</v>
      </c>
      <c r="J49" s="449">
        <f t="shared" si="72"/>
        <v>2087.5198032038875</v>
      </c>
      <c r="K49" s="449">
        <f t="shared" si="72"/>
        <v>2176.5546251532555</v>
      </c>
      <c r="L49" s="449">
        <f t="shared" ref="L49:U49" si="73">SUM(L44:L48)</f>
        <v>2189.6658226865443</v>
      </c>
      <c r="M49" s="449">
        <f t="shared" si="73"/>
        <v>2296.1716711514159</v>
      </c>
      <c r="N49" s="449">
        <f t="shared" si="73"/>
        <v>2257.203682742846</v>
      </c>
      <c r="O49" s="449">
        <f t="shared" si="73"/>
        <v>2272.2270983113667</v>
      </c>
      <c r="P49" s="449">
        <f t="shared" si="73"/>
        <v>2303.6783787819459</v>
      </c>
      <c r="Q49" s="449">
        <f t="shared" si="73"/>
        <v>2335.0826618336023</v>
      </c>
      <c r="R49" s="449">
        <f t="shared" si="73"/>
        <v>2400.057485640647</v>
      </c>
      <c r="S49" s="449">
        <f t="shared" si="73"/>
        <v>2344.3955347500892</v>
      </c>
      <c r="T49" s="449">
        <f t="shared" si="73"/>
        <v>2411.1373189079404</v>
      </c>
      <c r="U49" s="449">
        <f t="shared" si="73"/>
        <v>2359.3320917121573</v>
      </c>
      <c r="V49" s="449">
        <f t="shared" ref="V49:AA49" si="74">SUM(V44:V48)</f>
        <v>2145.345900756452</v>
      </c>
      <c r="W49" s="449">
        <f t="shared" si="74"/>
        <v>2258.638992053367</v>
      </c>
      <c r="X49" s="449">
        <f t="shared" si="74"/>
        <v>2158.0671407665527</v>
      </c>
      <c r="Y49" s="449">
        <f t="shared" si="74"/>
        <v>2023.2558169491451</v>
      </c>
      <c r="Z49" s="449">
        <f t="shared" si="74"/>
        <v>2038.2701275465363</v>
      </c>
      <c r="AA49" s="449">
        <f t="shared" si="74"/>
        <v>2037.1658489458662</v>
      </c>
      <c r="AB49" s="449">
        <f>SUM(AB44:AB48)</f>
        <v>1900.6377895750654</v>
      </c>
      <c r="AC49" s="449">
        <f>SUM(AC44:AC48)</f>
        <v>1808.8715159836302</v>
      </c>
      <c r="AD49" s="449">
        <f>SUM(AD44:AD48)</f>
        <v>1732.0327184453904</v>
      </c>
      <c r="AE49" s="449">
        <f t="shared" ref="AE49:AF49" si="75">SUM(AE44:AE48)</f>
        <v>1753.4323681393168</v>
      </c>
      <c r="AF49" s="449">
        <f t="shared" si="75"/>
        <v>1606.7207957152386</v>
      </c>
      <c r="AG49" s="449">
        <f t="shared" ref="AG49:AH49" si="76">SUM(AG44:AG48)</f>
        <v>1439.5657139027048</v>
      </c>
      <c r="AH49" s="449">
        <f t="shared" si="76"/>
        <v>1540.9327798504842</v>
      </c>
      <c r="AI49" s="449">
        <f t="shared" ref="AI49" si="77">SUM(AI44:AI48)</f>
        <v>1531.6800774009748</v>
      </c>
      <c r="AJ49" s="425"/>
    </row>
    <row r="51" spans="2:36">
      <c r="D51" s="409"/>
      <c r="E51" s="409"/>
      <c r="F51" s="409"/>
      <c r="G51" s="409"/>
      <c r="H51" s="409"/>
      <c r="I51" s="409"/>
      <c r="J51" s="409"/>
      <c r="K51" s="409"/>
    </row>
    <row r="52" spans="2:36" ht="15">
      <c r="B52" s="76" t="s">
        <v>2024</v>
      </c>
      <c r="D52" s="409"/>
      <c r="E52" s="409"/>
      <c r="F52" s="409"/>
      <c r="G52" s="409"/>
      <c r="H52" s="409"/>
      <c r="I52" s="409"/>
      <c r="J52" s="409"/>
      <c r="K52" s="409"/>
    </row>
    <row r="53" spans="2:36">
      <c r="B53" s="391" t="s">
        <v>1413</v>
      </c>
      <c r="C53" s="23">
        <v>1990</v>
      </c>
      <c r="D53" s="23">
        <v>1991</v>
      </c>
      <c r="E53" s="23">
        <v>1992</v>
      </c>
      <c r="F53" s="23">
        <v>1993</v>
      </c>
      <c r="G53" s="23">
        <v>1994</v>
      </c>
      <c r="H53" s="23">
        <v>1995</v>
      </c>
      <c r="I53" s="23">
        <v>1996</v>
      </c>
      <c r="J53" s="23">
        <v>1997</v>
      </c>
      <c r="K53" s="23">
        <v>1998</v>
      </c>
      <c r="L53" s="23">
        <v>1999</v>
      </c>
      <c r="M53" s="23">
        <v>2000</v>
      </c>
      <c r="N53" s="23">
        <v>2001</v>
      </c>
      <c r="O53" s="23">
        <v>2002</v>
      </c>
      <c r="P53" s="23">
        <v>2003</v>
      </c>
      <c r="Q53" s="23">
        <v>2004</v>
      </c>
      <c r="R53" s="23">
        <v>2005</v>
      </c>
      <c r="S53" s="23">
        <v>2006</v>
      </c>
      <c r="T53" s="23">
        <v>2007</v>
      </c>
      <c r="U53" s="23">
        <v>2008</v>
      </c>
      <c r="V53" s="23">
        <v>2009</v>
      </c>
      <c r="W53" s="23">
        <v>2010</v>
      </c>
      <c r="X53" s="23">
        <v>2011</v>
      </c>
      <c r="Y53" s="23">
        <v>2012</v>
      </c>
      <c r="Z53" s="23">
        <v>2013</v>
      </c>
      <c r="AA53" s="391">
        <v>2014</v>
      </c>
      <c r="AB53" s="391">
        <v>2015</v>
      </c>
      <c r="AC53" s="391">
        <v>2016</v>
      </c>
      <c r="AD53" s="391">
        <v>2017</v>
      </c>
      <c r="AE53" s="391">
        <v>2018</v>
      </c>
      <c r="AF53" s="391">
        <v>2019</v>
      </c>
      <c r="AG53" s="391">
        <v>2020</v>
      </c>
      <c r="AH53" s="391">
        <v>2021</v>
      </c>
      <c r="AI53" s="391">
        <v>2022</v>
      </c>
    </row>
    <row r="54" spans="2:36">
      <c r="B54" s="444" t="s">
        <v>1434</v>
      </c>
      <c r="C54" s="717">
        <f>SUM('Summary Table'!C8,'Summary Table'!C15,'Summary Table'!C22)</f>
        <v>338.56762064987532</v>
      </c>
      <c r="D54" s="717">
        <f>SUM('Summary Table'!D8,'Summary Table'!D15,'Summary Table'!D22)</f>
        <v>347.71040742046836</v>
      </c>
      <c r="E54" s="717">
        <f>SUM('Summary Table'!E8,'Summary Table'!E15,'Summary Table'!E22)</f>
        <v>353.96781365995514</v>
      </c>
      <c r="F54" s="717">
        <f>SUM('Summary Table'!F8,'Summary Table'!F15,'Summary Table'!F22)</f>
        <v>366.08176219068184</v>
      </c>
      <c r="G54" s="717">
        <f>SUM('Summary Table'!G8,'Summary Table'!G15,'Summary Table'!G22)</f>
        <v>357.04722158190327</v>
      </c>
      <c r="H54" s="717">
        <f>SUM('Summary Table'!H8,'Summary Table'!H15,'Summary Table'!H22)</f>
        <v>353.13357562814963</v>
      </c>
      <c r="I54" s="717">
        <f>SUM('Summary Table'!I8,'Summary Table'!I15,'Summary Table'!I22)</f>
        <v>383.47442583247692</v>
      </c>
      <c r="J54" s="717">
        <f>SUM('Summary Table'!J8,'Summary Table'!J15,'Summary Table'!J22)</f>
        <v>365.03335255680571</v>
      </c>
      <c r="K54" s="717">
        <f>SUM('Summary Table'!K8,'Summary Table'!K15,'Summary Table'!K22)</f>
        <v>331.61015895804616</v>
      </c>
      <c r="L54" s="717">
        <f>SUM('Summary Table'!L8,'Summary Table'!L15,'Summary Table'!L22)</f>
        <v>350.90678356718252</v>
      </c>
      <c r="M54" s="717">
        <f>SUM('Summary Table'!M8,'Summary Table'!M15,'Summary Table'!M22)</f>
        <v>371.70293408973146</v>
      </c>
      <c r="N54" s="717">
        <f>SUM('Summary Table'!N8,'Summary Table'!N15,'Summary Table'!N22)</f>
        <v>363.02014712962938</v>
      </c>
      <c r="O54" s="717">
        <f>SUM('Summary Table'!O8,'Summary Table'!O15,'Summary Table'!O22)</f>
        <v>361.02906078218899</v>
      </c>
      <c r="P54" s="717">
        <f>SUM('Summary Table'!P8,'Summary Table'!P15,'Summary Table'!P22)</f>
        <v>380.07935625365371</v>
      </c>
      <c r="Q54" s="717">
        <f>SUM('Summary Table'!Q8,'Summary Table'!Q15,'Summary Table'!Q22)</f>
        <v>368.96978893709502</v>
      </c>
      <c r="R54" s="717">
        <f>SUM('Summary Table'!R8,'Summary Table'!R15,'Summary Table'!R22)</f>
        <v>358.60930317623939</v>
      </c>
      <c r="S54" s="717">
        <f>SUM('Summary Table'!S8,'Summary Table'!S15,'Summary Table'!S22)</f>
        <v>320.9820950750655</v>
      </c>
      <c r="T54" s="717">
        <f>SUM('Summary Table'!T8,'Summary Table'!T15,'Summary Table'!T22)</f>
        <v>340.14662439815004</v>
      </c>
      <c r="U54" s="717">
        <f>SUM('Summary Table'!U8,'Summary Table'!U15,'Summary Table'!U22)</f>
        <v>347.02060289864409</v>
      </c>
      <c r="V54" s="717">
        <f>SUM('Summary Table'!V8,'Summary Table'!V15,'Summary Table'!V22)</f>
        <v>335.92770961955716</v>
      </c>
      <c r="W54" s="717">
        <f>SUM('Summary Table'!W8,'Summary Table'!W15,'Summary Table'!W22)</f>
        <v>334.4953937384131</v>
      </c>
      <c r="X54" s="717">
        <f>SUM('Summary Table'!X8,'Summary Table'!X15,'Summary Table'!X22)</f>
        <v>326.33292949338357</v>
      </c>
      <c r="Y54" s="717">
        <f>SUM('Summary Table'!Y8,'Summary Table'!Y15,'Summary Table'!Y22)</f>
        <v>282.53163356617171</v>
      </c>
      <c r="Z54" s="717">
        <f>SUM('Summary Table'!Z8,'Summary Table'!Z15,'Summary Table'!Z22)</f>
        <v>329.26483655164748</v>
      </c>
      <c r="AA54" s="717">
        <f>SUM('Summary Table'!AA8,'Summary Table'!AA15,'Summary Table'!AA22)</f>
        <v>346.73389586521466</v>
      </c>
      <c r="AB54" s="717">
        <f>SUM('Summary Table'!AB8,'Summary Table'!AB15,'Summary Table'!AB22)</f>
        <v>317.61720155576893</v>
      </c>
      <c r="AC54" s="717">
        <f>SUM('Summary Table'!AC8,'Summary Table'!AC15,'Summary Table'!AC22)</f>
        <v>293.19119704544096</v>
      </c>
      <c r="AD54" s="717">
        <f>SUM('Summary Table'!AD8,'Summary Table'!AD15,'Summary Table'!AD22)</f>
        <v>293.9655962500521</v>
      </c>
      <c r="AE54" s="717">
        <f>SUM('Summary Table'!AE8,'Summary Table'!AE15,'Summary Table'!AE22)</f>
        <v>338.93967247435245</v>
      </c>
      <c r="AF54" s="717">
        <f>SUM('Summary Table'!AF8,'Summary Table'!AF15,'Summary Table'!AF22)</f>
        <v>342.90486060752039</v>
      </c>
      <c r="AG54" s="717">
        <f>SUM('Summary Table'!AG8,'Summary Table'!AG15,'Summary Table'!AG22)</f>
        <v>314.79502820823041</v>
      </c>
      <c r="AH54" s="717">
        <f>SUM('Summary Table'!AH8,'Summary Table'!AH15,'Summary Table'!AH22)</f>
        <v>318.03359189887266</v>
      </c>
      <c r="AI54" s="717">
        <f>SUM('Summary Table'!AI8,'Summary Table'!AI15,'Summary Table'!AI22)</f>
        <v>333.09983042067904</v>
      </c>
    </row>
    <row r="55" spans="2:36">
      <c r="B55" s="445" t="s">
        <v>1441</v>
      </c>
      <c r="C55" s="228">
        <f>SUM('Summary Table'!C9,'Summary Table'!C16,'Summary Table'!C23)</f>
        <v>228.29252569232682</v>
      </c>
      <c r="D55" s="228">
        <f>SUM('Summary Table'!D9,'Summary Table'!D16,'Summary Table'!D23)</f>
        <v>232.6602188593333</v>
      </c>
      <c r="E55" s="228">
        <f>SUM('Summary Table'!E9,'Summary Table'!E16,'Summary Table'!E23)</f>
        <v>228.03780614173755</v>
      </c>
      <c r="F55" s="228">
        <f>SUM('Summary Table'!F9,'Summary Table'!F16,'Summary Table'!F23)</f>
        <v>222.98547793099596</v>
      </c>
      <c r="G55" s="228">
        <f>SUM('Summary Table'!G9,'Summary Table'!G16,'Summary Table'!G23)</f>
        <v>224.69760946836189</v>
      </c>
      <c r="H55" s="228">
        <f>SUM('Summary Table'!H9,'Summary Table'!H16,'Summary Table'!H23)</f>
        <v>227.78709302839189</v>
      </c>
      <c r="I55" s="228">
        <f>SUM('Summary Table'!I9,'Summary Table'!I16,'Summary Table'!I23)</f>
        <v>237.55830122079288</v>
      </c>
      <c r="J55" s="228">
        <f>SUM('Summary Table'!J9,'Summary Table'!J16,'Summary Table'!J23)</f>
        <v>237.81886128140263</v>
      </c>
      <c r="K55" s="228">
        <f>SUM('Summary Table'!K9,'Summary Table'!K16,'Summary Table'!K23)</f>
        <v>220.11800749855348</v>
      </c>
      <c r="L55" s="228">
        <f>SUM('Summary Table'!L9,'Summary Table'!L16,'Summary Table'!L23)</f>
        <v>220.7303790366158</v>
      </c>
      <c r="M55" s="228">
        <f>SUM('Summary Table'!M9,'Summary Table'!M16,'Summary Table'!M23)</f>
        <v>236.53065884817806</v>
      </c>
      <c r="N55" s="228">
        <f>SUM('Summary Table'!N9,'Summary Table'!N16,'Summary Table'!N23)</f>
        <v>228.4380393277641</v>
      </c>
      <c r="O55" s="228">
        <f>SUM('Summary Table'!O9,'Summary Table'!O16,'Summary Table'!O23)</f>
        <v>228.9797512545434</v>
      </c>
      <c r="P55" s="228">
        <f>SUM('Summary Table'!P9,'Summary Table'!P16,'Summary Table'!P23)</f>
        <v>240.11125455570209</v>
      </c>
      <c r="Q55" s="228">
        <f>SUM('Summary Table'!Q9,'Summary Table'!Q16,'Summary Table'!Q23)</f>
        <v>237.92983578981887</v>
      </c>
      <c r="R55" s="228">
        <f>SUM('Summary Table'!R9,'Summary Table'!R16,'Summary Table'!R23)</f>
        <v>226.97905171661546</v>
      </c>
      <c r="S55" s="228">
        <f>SUM('Summary Table'!S9,'Summary Table'!S16,'Summary Table'!S23)</f>
        <v>211.38647278247549</v>
      </c>
      <c r="T55" s="228">
        <f>SUM('Summary Table'!T9,'Summary Table'!T16,'Summary Table'!T23)</f>
        <v>222.54725889062303</v>
      </c>
      <c r="U55" s="228">
        <f>SUM('Summary Table'!U9,'Summary Table'!U16,'Summary Table'!U23)</f>
        <v>227.06571744527918</v>
      </c>
      <c r="V55" s="228">
        <f>SUM('Summary Table'!V9,'Summary Table'!V16,'Summary Table'!V23)</f>
        <v>227.70760129838843</v>
      </c>
      <c r="W55" s="228">
        <f>SUM('Summary Table'!W9,'Summary Table'!W16,'Summary Table'!W23)</f>
        <v>224.28150233779189</v>
      </c>
      <c r="X55" s="228">
        <f>SUM('Summary Table'!X9,'Summary Table'!X16,'Summary Table'!X23)</f>
        <v>224.59853530013848</v>
      </c>
      <c r="Y55" s="228">
        <f>SUM('Summary Table'!Y9,'Summary Table'!Y16,'Summary Table'!Y23)</f>
        <v>200.42911388421356</v>
      </c>
      <c r="Z55" s="228">
        <f>SUM('Summary Table'!Z9,'Summary Table'!Z16,'Summary Table'!Z23)</f>
        <v>224.32567870195237</v>
      </c>
      <c r="AA55" s="228">
        <f>SUM('Summary Table'!AA9,'Summary Table'!AA16,'Summary Table'!AA23)</f>
        <v>232.55218038119722</v>
      </c>
      <c r="AB55" s="228">
        <f>SUM('Summary Table'!AB9,'Summary Table'!AB16,'Summary Table'!AB23)</f>
        <v>244.80512423914416</v>
      </c>
      <c r="AC55" s="228">
        <f>SUM('Summary Table'!AC9,'Summary Table'!AC16,'Summary Table'!AC23)</f>
        <v>231.8607082346536</v>
      </c>
      <c r="AD55" s="228">
        <f>SUM('Summary Table'!AD9,'Summary Table'!AD16,'Summary Table'!AD23)</f>
        <v>232.4132299027589</v>
      </c>
      <c r="AE55" s="228">
        <f>SUM('Summary Table'!AE9,'Summary Table'!AE16,'Summary Table'!AE23)</f>
        <v>246.29706654436893</v>
      </c>
      <c r="AF55" s="228">
        <f>SUM('Summary Table'!AF9,'Summary Table'!AF16,'Summary Table'!AF23)</f>
        <v>251.74931449629253</v>
      </c>
      <c r="AG55" s="228">
        <f>SUM('Summary Table'!AG9,'Summary Table'!AG16,'Summary Table'!AG23)</f>
        <v>229.26371887598955</v>
      </c>
      <c r="AH55" s="228">
        <f>SUM('Summary Table'!AH9,'Summary Table'!AH16,'Summary Table'!AH23)</f>
        <v>237.52763457689494</v>
      </c>
      <c r="AI55" s="228">
        <f>SUM('Summary Table'!AI9,'Summary Table'!AI16,'Summary Table'!AI23)</f>
        <v>244.71401681716131</v>
      </c>
    </row>
    <row r="56" spans="2:36">
      <c r="B56" s="445" t="s">
        <v>1443</v>
      </c>
      <c r="C56" s="228">
        <f>SUM('Summary Table'!C10,'Summary Table'!C17,'Summary Table'!C24)</f>
        <v>871.14798773588757</v>
      </c>
      <c r="D56" s="228">
        <f>SUM('Summary Table'!D10,'Summary Table'!D17,'Summary Table'!D24)</f>
        <v>861.01770686221812</v>
      </c>
      <c r="E56" s="228">
        <f>SUM('Summary Table'!E10,'Summary Table'!E17,'Summary Table'!E24)</f>
        <v>880.61332866268185</v>
      </c>
      <c r="F56" s="228">
        <f>SUM('Summary Table'!F10,'Summary Table'!F17,'Summary Table'!F24)</f>
        <v>882.63934907005455</v>
      </c>
      <c r="G56" s="228">
        <f>SUM('Summary Table'!G10,'Summary Table'!G17,'Summary Table'!G24)</f>
        <v>880.59953483440188</v>
      </c>
      <c r="H56" s="228">
        <f>SUM('Summary Table'!H10,'Summary Table'!H17,'Summary Table'!H24)</f>
        <v>900.66985857084114</v>
      </c>
      <c r="I56" s="228">
        <f>SUM('Summary Table'!I10,'Summary Table'!I17,'Summary Table'!I24)</f>
        <v>917.45530156632162</v>
      </c>
      <c r="J56" s="228">
        <f>SUM('Summary Table'!J10,'Summary Table'!J17,'Summary Table'!J24)</f>
        <v>912.28259273862545</v>
      </c>
      <c r="K56" s="228">
        <f>SUM('Summary Table'!K10,'Summary Table'!K17,'Summary Table'!K24)</f>
        <v>902.65399739323789</v>
      </c>
      <c r="L56" s="228">
        <f>SUM('Summary Table'!L10,'Summary Table'!L17,'Summary Table'!L24)</f>
        <v>851.04608197834489</v>
      </c>
      <c r="M56" s="228">
        <f>SUM('Summary Table'!M10,'Summary Table'!M17,'Summary Table'!M24)</f>
        <v>886.9343082673322</v>
      </c>
      <c r="N56" s="228">
        <f>SUM('Summary Table'!N10,'Summary Table'!N17,'Summary Table'!N24)</f>
        <v>863.28882117831472</v>
      </c>
      <c r="O56" s="228">
        <f>SUM('Summary Table'!O10,'Summary Table'!O17,'Summary Table'!O24)</f>
        <v>854.77909108294148</v>
      </c>
      <c r="P56" s="228">
        <f>SUM('Summary Table'!P10,'Summary Table'!P17,'Summary Table'!P24)</f>
        <v>848.1963217207458</v>
      </c>
      <c r="Q56" s="228">
        <f>SUM('Summary Table'!Q10,'Summary Table'!Q17,'Summary Table'!Q24)</f>
        <v>873.38026486413344</v>
      </c>
      <c r="R56" s="228">
        <f>SUM('Summary Table'!R10,'Summary Table'!R17,'Summary Table'!R24)</f>
        <v>843.50269432319647</v>
      </c>
      <c r="S56" s="228">
        <f>SUM('Summary Table'!S10,'Summary Table'!S17,'Summary Table'!S24)</f>
        <v>863.78198645591374</v>
      </c>
      <c r="T56" s="228">
        <f>SUM('Summary Table'!T10,'Summary Table'!T17,'Summary Table'!T24)</f>
        <v>853.64893767801323</v>
      </c>
      <c r="U56" s="228">
        <f>SUM('Summary Table'!U10,'Summary Table'!U17,'Summary Table'!U24)</f>
        <v>816.29570806618426</v>
      </c>
      <c r="V56" s="228">
        <f>SUM('Summary Table'!V10,'Summary Table'!V17,'Summary Table'!V24)</f>
        <v>743.09207015314723</v>
      </c>
      <c r="W56" s="228">
        <f>SUM('Summary Table'!W10,'Summary Table'!W17,'Summary Table'!W24)</f>
        <v>788.03787367775101</v>
      </c>
      <c r="X56" s="228">
        <f>SUM('Summary Table'!X10,'Summary Table'!X17,'Summary Table'!X24)</f>
        <v>791.10599449061897</v>
      </c>
      <c r="Y56" s="228">
        <f>SUM('Summary Table'!Y10,'Summary Table'!Y17,'Summary Table'!Y24)</f>
        <v>799.27427390614753</v>
      </c>
      <c r="Z56" s="228">
        <f>SUM('Summary Table'!Z10,'Summary Table'!Z17,'Summary Table'!Z24)</f>
        <v>830.13485745036496</v>
      </c>
      <c r="AA56" s="228">
        <f>SUM('Summary Table'!AA10,'Summary Table'!AA17,'Summary Table'!AA24)</f>
        <v>817.04913278609956</v>
      </c>
      <c r="AB56" s="228">
        <f>SUM('Summary Table'!AB10,'Summary Table'!AB17,'Summary Table'!AB24)</f>
        <v>794.35753123025074</v>
      </c>
      <c r="AC56" s="228">
        <f>SUM('Summary Table'!AC10,'Summary Table'!AC17,'Summary Table'!AC24)</f>
        <v>789.33508463540647</v>
      </c>
      <c r="AD56" s="228">
        <f>SUM('Summary Table'!AD10,'Summary Table'!AD17,'Summary Table'!AD24)</f>
        <v>778.82500968816032</v>
      </c>
      <c r="AE56" s="228">
        <f>SUM('Summary Table'!AE10,'Summary Table'!AE17,'Summary Table'!AE24)</f>
        <v>805.21388172793172</v>
      </c>
      <c r="AF56" s="228">
        <f>SUM('Summary Table'!AF10,'Summary Table'!AF17,'Summary Table'!AF24)</f>
        <v>798.12532100200428</v>
      </c>
      <c r="AG56" s="228">
        <f>SUM('Summary Table'!AG10,'Summary Table'!AG17,'Summary Table'!AG24)</f>
        <v>749.5177051610093</v>
      </c>
      <c r="AH56" s="228">
        <f>SUM('Summary Table'!AH10,'Summary Table'!AH17,'Summary Table'!AH24)</f>
        <v>768.83330400406851</v>
      </c>
      <c r="AI56" s="228">
        <f>SUM('Summary Table'!AI10,'Summary Table'!AI17,'Summary Table'!AI24)</f>
        <v>775.85903359367535</v>
      </c>
    </row>
    <row r="57" spans="2:36">
      <c r="B57" s="445" t="s">
        <v>1445</v>
      </c>
      <c r="C57" s="228">
        <f>SUM('Summary Table'!C11,'Summary Table'!C18,'Summary Table'!C25)</f>
        <v>1468.9438941173537</v>
      </c>
      <c r="D57" s="228">
        <f>SUM('Summary Table'!D11,'Summary Table'!D18,'Summary Table'!D25)</f>
        <v>1422.3274046383631</v>
      </c>
      <c r="E57" s="228">
        <f>SUM('Summary Table'!E11,'Summary Table'!E18,'Summary Table'!E25)</f>
        <v>1477.6434261606043</v>
      </c>
      <c r="F57" s="228">
        <f>SUM('Summary Table'!F11,'Summary Table'!F18,'Summary Table'!F25)</f>
        <v>1508.6070344452598</v>
      </c>
      <c r="G57" s="228">
        <f>SUM('Summary Table'!G11,'Summary Table'!G18,'Summary Table'!G25)</f>
        <v>1553.9473535757436</v>
      </c>
      <c r="H57" s="228">
        <f>SUM('Summary Table'!H11,'Summary Table'!H18,'Summary Table'!H25)</f>
        <v>1580.6778576891738</v>
      </c>
      <c r="I57" s="228">
        <f>SUM('Summary Table'!I11,'Summary Table'!I18,'Summary Table'!I25)</f>
        <v>1627.3631051220618</v>
      </c>
      <c r="J57" s="228">
        <f>SUM('Summary Table'!J11,'Summary Table'!J18,'Summary Table'!J25)</f>
        <v>1643.5155537383682</v>
      </c>
      <c r="K57" s="228">
        <f>SUM('Summary Table'!K11,'Summary Table'!K18,'Summary Table'!K25)</f>
        <v>1678.920337578081</v>
      </c>
      <c r="L57" s="228">
        <f>SUM('Summary Table'!L11,'Summary Table'!L18,'Summary Table'!L25)</f>
        <v>1746.3443236253372</v>
      </c>
      <c r="M57" s="228">
        <f>SUM('Summary Table'!M11,'Summary Table'!M18,'Summary Table'!M25)</f>
        <v>1792.2018918567805</v>
      </c>
      <c r="N57" s="228">
        <f>SUM('Summary Table'!N11,'Summary Table'!N18,'Summary Table'!N25)</f>
        <v>1762.4640682225681</v>
      </c>
      <c r="O57" s="228">
        <f>SUM('Summary Table'!O11,'Summary Table'!O18,'Summary Table'!O25)</f>
        <v>1803.0183444033823</v>
      </c>
      <c r="P57" s="228">
        <f>SUM('Summary Table'!P11,'Summary Table'!P18,'Summary Table'!P25)</f>
        <v>1811.9842870520733</v>
      </c>
      <c r="Q57" s="228">
        <f>SUM('Summary Table'!Q11,'Summary Table'!Q18,'Summary Table'!Q25)</f>
        <v>1845.2207109142666</v>
      </c>
      <c r="R57" s="228">
        <f>SUM('Summary Table'!R11,'Summary Table'!R18,'Summary Table'!R25)</f>
        <v>1858.552169370907</v>
      </c>
      <c r="S57" s="228">
        <f>SUM('Summary Table'!S11,'Summary Table'!S18,'Summary Table'!S25)</f>
        <v>1859.1330064813542</v>
      </c>
      <c r="T57" s="228">
        <f>SUM('Summary Table'!T11,'Summary Table'!T18,'Summary Table'!T25)</f>
        <v>1860.7374975187065</v>
      </c>
      <c r="U57" s="228">
        <f>SUM('Summary Table'!U11,'Summary Table'!U18,'Summary Table'!U25)</f>
        <v>1759.6813237613826</v>
      </c>
      <c r="V57" s="228">
        <f>SUM('Summary Table'!V11,'Summary Table'!V18,'Summary Table'!V25)</f>
        <v>1688.4805744963917</v>
      </c>
      <c r="W57" s="228">
        <f>SUM('Summary Table'!W11,'Summary Table'!W18,'Summary Table'!W25)</f>
        <v>1696.6145225409641</v>
      </c>
      <c r="X57" s="228">
        <f>SUM('Summary Table'!X11,'Summary Table'!X18,'Summary Table'!X25)</f>
        <v>1670.3775602619514</v>
      </c>
      <c r="Y57" s="228">
        <f>SUM('Summary Table'!Y11,'Summary Table'!Y18,'Summary Table'!Y25)</f>
        <v>1659.4013314710517</v>
      </c>
      <c r="Z57" s="228">
        <f>SUM('Summary Table'!Z11,'Summary Table'!Z18,'Summary Table'!Z25)</f>
        <v>1669.0459202266231</v>
      </c>
      <c r="AA57" s="228">
        <f>SUM('Summary Table'!AA11,'Summary Table'!AA18,'Summary Table'!AA25)</f>
        <v>1707.346729717802</v>
      </c>
      <c r="AB57" s="228">
        <f>SUM('Summary Table'!AB11,'Summary Table'!AB18,'Summary Table'!AB25)</f>
        <v>1718.3811610352532</v>
      </c>
      <c r="AC57" s="228">
        <f>SUM('Summary Table'!AC11,'Summary Table'!AC18,'Summary Table'!AC25)</f>
        <v>1757.9065450174912</v>
      </c>
      <c r="AD57" s="228">
        <f>SUM('Summary Table'!AD11,'Summary Table'!AD18,'Summary Table'!AD25)</f>
        <v>1780.3078241762498</v>
      </c>
      <c r="AE57" s="228">
        <f>SUM('Summary Table'!AE11,'Summary Table'!AE18,'Summary Table'!AE25)</f>
        <v>1813.1346487828462</v>
      </c>
      <c r="AF57" s="228">
        <f>SUM('Summary Table'!AF11,'Summary Table'!AF18,'Summary Table'!AF25)</f>
        <v>1816.6356739090588</v>
      </c>
      <c r="AG57" s="228">
        <f>SUM('Summary Table'!AG11,'Summary Table'!AG18,'Summary Table'!AG25)</f>
        <v>1572.8202060743611</v>
      </c>
      <c r="AH57" s="228">
        <f>SUM('Summary Table'!AH11,'Summary Table'!AH18,'Summary Table'!AH25)</f>
        <v>1753.5459249194487</v>
      </c>
      <c r="AI57" s="228">
        <f>SUM('Summary Table'!AI11,'Summary Table'!AI18,'Summary Table'!AI25)</f>
        <v>1780.7631943085448</v>
      </c>
    </row>
    <row r="58" spans="2:36">
      <c r="B58" s="445" t="s">
        <v>1476</v>
      </c>
      <c r="C58" s="98">
        <f>SUM('Summary Table'!C13,'Summary Table'!C20,'Summary Table'!C27)</f>
        <v>20.008143642447322</v>
      </c>
      <c r="D58" s="98">
        <f>SUM('Summary Table'!D13,'Summary Table'!D20,'Summary Table'!D27)</f>
        <v>19.182444782042232</v>
      </c>
      <c r="E58" s="98">
        <f>SUM('Summary Table'!E13,'Summary Table'!E20,'Summary Table'!E27)</f>
        <v>21.945857376420101</v>
      </c>
      <c r="F58" s="98">
        <f>SUM('Summary Table'!F13,'Summary Table'!F20,'Summary Table'!F27)</f>
        <v>22.624230404024768</v>
      </c>
      <c r="G58" s="98">
        <f>SUM('Summary Table'!G13,'Summary Table'!G20,'Summary Table'!G27)</f>
        <v>24.731925088050001</v>
      </c>
      <c r="H58" s="98">
        <f>SUM('Summary Table'!H13,'Summary Table'!H20,'Summary Table'!H27)</f>
        <v>21.548589138159482</v>
      </c>
      <c r="I58" s="98">
        <f>SUM('Summary Table'!I13,'Summary Table'!I20,'Summary Table'!I27)</f>
        <v>19.778093969996299</v>
      </c>
      <c r="J58" s="98">
        <f>SUM('Summary Table'!J13,'Summary Table'!J20,'Summary Table'!J27)</f>
        <v>20.081919262735433</v>
      </c>
      <c r="K58" s="98">
        <f>SUM('Summary Table'!K13,'Summary Table'!K20,'Summary Table'!K27)</f>
        <v>19.445266094299622</v>
      </c>
      <c r="L58" s="98">
        <f>SUM('Summary Table'!L13,'Summary Table'!L20,'Summary Table'!L27)</f>
        <v>15.47129524021522</v>
      </c>
      <c r="M58" s="98">
        <f>SUM('Summary Table'!M13,'Summary Table'!M20,'Summary Table'!M27)</f>
        <v>37.029575784692575</v>
      </c>
      <c r="N58" s="98">
        <f>SUM('Summary Table'!N13,'Summary Table'!N20,'Summary Table'!N27)</f>
        <v>49.650607268994591</v>
      </c>
      <c r="O58" s="98">
        <f>SUM('Summary Table'!O13,'Summary Table'!O20,'Summary Table'!O27)</f>
        <v>45.151214460026296</v>
      </c>
      <c r="P58" s="98">
        <f>SUM('Summary Table'!P13,'Summary Table'!P20,'Summary Table'!P27)</f>
        <v>50.364017021263976</v>
      </c>
      <c r="Q58" s="98">
        <f>SUM('Summary Table'!Q13,'Summary Table'!Q20,'Summary Table'!Q27)</f>
        <v>52.914993432602749</v>
      </c>
      <c r="R58" s="98">
        <f>SUM('Summary Table'!R13,'Summary Table'!R20,'Summary Table'!R27)</f>
        <v>51.855854281144033</v>
      </c>
      <c r="S58" s="98">
        <f>SUM('Summary Table'!S13,'Summary Table'!S20,'Summary Table'!S27)</f>
        <v>51.260969486928559</v>
      </c>
      <c r="T58" s="98">
        <f>SUM('Summary Table'!T13,'Summary Table'!T20,'Summary Table'!T27)</f>
        <v>46.646544089766849</v>
      </c>
      <c r="U58" s="98">
        <f>SUM('Summary Table'!U13,'Summary Table'!U20,'Summary Table'!U27)</f>
        <v>38.463690403077933</v>
      </c>
      <c r="V58" s="98">
        <f>SUM('Summary Table'!V13,'Summary Table'!V20,'Summary Table'!V27)</f>
        <v>38.958018298003807</v>
      </c>
      <c r="W58" s="98">
        <f>SUM('Summary Table'!W13,'Summary Table'!W20,'Summary Table'!W27)</f>
        <v>34.503300949717527</v>
      </c>
      <c r="X58" s="98">
        <f>SUM('Summary Table'!X13,'Summary Table'!X20,'Summary Table'!X27)</f>
        <v>34.062393532029155</v>
      </c>
      <c r="Y58" s="98">
        <f>SUM('Summary Table'!Y13,'Summary Table'!Y20,'Summary Table'!Y27)</f>
        <v>32.953900270838638</v>
      </c>
      <c r="Z58" s="98">
        <f>SUM('Summary Table'!Z13,'Summary Table'!Z20,'Summary Table'!Z27)</f>
        <v>28.128373261572971</v>
      </c>
      <c r="AA58" s="98">
        <f>SUM('Summary Table'!AA13,'Summary Table'!AA20,'Summary Table'!AA27)</f>
        <v>28.278251679990841</v>
      </c>
      <c r="AB58" s="98">
        <f>SUM('Summary Table'!AB13,'Summary Table'!AB20,'Summary Table'!AB27)</f>
        <v>28.534286210610869</v>
      </c>
      <c r="AC58" s="98">
        <f>SUM('Summary Table'!AC13,'Summary Table'!AC20,'Summary Table'!AC27)</f>
        <v>26.164722536961889</v>
      </c>
      <c r="AD58" s="98">
        <f>SUM('Summary Table'!AD13,'Summary Table'!AD20,'Summary Table'!AD27)</f>
        <v>25.945684640650551</v>
      </c>
      <c r="AE58" s="98">
        <f>SUM('Summary Table'!AE13,'Summary Table'!AE20,'Summary Table'!AE27)</f>
        <v>25.922517672840033</v>
      </c>
      <c r="AF58" s="98">
        <f>SUM('Summary Table'!AF13,'Summary Table'!AF20,'Summary Table'!AF27)</f>
        <v>24.81274635601731</v>
      </c>
      <c r="AG58" s="98">
        <f>SUM('Summary Table'!AG13,'Summary Table'!AG20,'Summary Table'!AG27)</f>
        <v>23.278828306241024</v>
      </c>
      <c r="AH58" s="98">
        <f>SUM('Summary Table'!AH13,'Summary Table'!AH20,'Summary Table'!AH27)</f>
        <v>23.771703899344374</v>
      </c>
      <c r="AI58" s="98">
        <f>SUM('Summary Table'!AI13,'Summary Table'!AI20,'Summary Table'!AI27)</f>
        <v>23.766652318356165</v>
      </c>
    </row>
    <row r="59" spans="2:36">
      <c r="B59" s="446" t="s">
        <v>1480</v>
      </c>
      <c r="C59" s="449">
        <f t="shared" ref="C59:K59" si="78">SUM(C54:C58)</f>
        <v>2926.9601718378913</v>
      </c>
      <c r="D59" s="449">
        <f t="shared" si="78"/>
        <v>2882.8981825624251</v>
      </c>
      <c r="E59" s="449">
        <f t="shared" si="78"/>
        <v>2962.2082320013992</v>
      </c>
      <c r="F59" s="449">
        <f t="shared" si="78"/>
        <v>3002.9378540410166</v>
      </c>
      <c r="G59" s="449">
        <f t="shared" si="78"/>
        <v>3041.0236445484607</v>
      </c>
      <c r="H59" s="449">
        <f t="shared" si="78"/>
        <v>3083.816974054716</v>
      </c>
      <c r="I59" s="449">
        <f t="shared" si="78"/>
        <v>3185.6292277116495</v>
      </c>
      <c r="J59" s="449">
        <f t="shared" si="78"/>
        <v>3178.7322795779378</v>
      </c>
      <c r="K59" s="449">
        <f t="shared" si="78"/>
        <v>3152.7477675222181</v>
      </c>
      <c r="L59" s="449">
        <f t="shared" ref="L59:U59" si="79">SUM(L54:L58)</f>
        <v>3184.4988634476958</v>
      </c>
      <c r="M59" s="449">
        <f t="shared" si="79"/>
        <v>3324.3993688467149</v>
      </c>
      <c r="N59" s="449">
        <f t="shared" si="79"/>
        <v>3266.8616831272707</v>
      </c>
      <c r="O59" s="449">
        <f t="shared" si="79"/>
        <v>3292.9574619830828</v>
      </c>
      <c r="P59" s="449">
        <f t="shared" si="79"/>
        <v>3330.7352366034388</v>
      </c>
      <c r="Q59" s="449">
        <f t="shared" si="79"/>
        <v>3378.4155939379166</v>
      </c>
      <c r="R59" s="449">
        <f t="shared" si="79"/>
        <v>3339.4990728681018</v>
      </c>
      <c r="S59" s="449">
        <f t="shared" si="79"/>
        <v>3306.5445302817375</v>
      </c>
      <c r="T59" s="449">
        <f t="shared" si="79"/>
        <v>3323.7268625752599</v>
      </c>
      <c r="U59" s="449">
        <f t="shared" si="79"/>
        <v>3188.527042574568</v>
      </c>
      <c r="V59" s="449">
        <f t="shared" ref="V59:AA59" si="80">SUM(V54:V58)</f>
        <v>3034.1659738654885</v>
      </c>
      <c r="W59" s="449">
        <f t="shared" si="80"/>
        <v>3077.9325932446377</v>
      </c>
      <c r="X59" s="449">
        <f t="shared" si="80"/>
        <v>3046.4774130781216</v>
      </c>
      <c r="Y59" s="449">
        <f t="shared" si="80"/>
        <v>2974.5902530984231</v>
      </c>
      <c r="Z59" s="449">
        <f t="shared" si="80"/>
        <v>3080.899666192161</v>
      </c>
      <c r="AA59" s="449">
        <f t="shared" si="80"/>
        <v>3131.9601904303045</v>
      </c>
      <c r="AB59" s="449">
        <f>SUM(AB54:AB58)</f>
        <v>3103.6953042710279</v>
      </c>
      <c r="AC59" s="449">
        <f>SUM(AC54:AC58)</f>
        <v>3098.4582574699543</v>
      </c>
      <c r="AD59" s="449">
        <f>SUM(AD54:AD58)</f>
        <v>3111.457344657872</v>
      </c>
      <c r="AE59" s="449">
        <f t="shared" ref="AE59:AF59" si="81">SUM(AE54:AE58)</f>
        <v>3229.5077872023394</v>
      </c>
      <c r="AF59" s="449">
        <f t="shared" si="81"/>
        <v>3234.2279163708931</v>
      </c>
      <c r="AG59" s="449">
        <f t="shared" ref="AG59:AH59" si="82">SUM(AG54:AG58)</f>
        <v>2889.6754866258311</v>
      </c>
      <c r="AH59" s="449">
        <f t="shared" si="82"/>
        <v>3101.7121592986291</v>
      </c>
      <c r="AI59" s="449">
        <f t="shared" ref="AI59" si="83">SUM(AI54:AI58)</f>
        <v>3158.2027274584166</v>
      </c>
    </row>
    <row r="61" spans="2:36">
      <c r="D61" s="409"/>
      <c r="E61" s="409"/>
      <c r="F61" s="409"/>
      <c r="G61" s="409"/>
      <c r="H61" s="409"/>
      <c r="I61" s="409"/>
      <c r="J61" s="409"/>
      <c r="K61" s="409"/>
    </row>
    <row r="62" spans="2:36" ht="15">
      <c r="B62" s="76" t="s">
        <v>2025</v>
      </c>
      <c r="D62" s="409"/>
      <c r="E62" s="409"/>
      <c r="F62" s="409"/>
      <c r="G62" s="409"/>
      <c r="H62" s="409"/>
      <c r="I62" s="409"/>
      <c r="J62" s="409"/>
      <c r="K62" s="409"/>
    </row>
    <row r="63" spans="2:36">
      <c r="B63" s="391" t="s">
        <v>1413</v>
      </c>
      <c r="C63" s="23">
        <v>1990</v>
      </c>
      <c r="D63" s="23">
        <v>1991</v>
      </c>
      <c r="E63" s="23">
        <v>1992</v>
      </c>
      <c r="F63" s="23">
        <v>1993</v>
      </c>
      <c r="G63" s="23">
        <v>1994</v>
      </c>
      <c r="H63" s="23">
        <v>1995</v>
      </c>
      <c r="I63" s="23">
        <v>1996</v>
      </c>
      <c r="J63" s="23">
        <v>1997</v>
      </c>
      <c r="K63" s="23">
        <v>1998</v>
      </c>
      <c r="L63" s="23">
        <v>1999</v>
      </c>
      <c r="M63" s="23">
        <v>2000</v>
      </c>
      <c r="N63" s="23">
        <v>2001</v>
      </c>
      <c r="O63" s="23">
        <v>2002</v>
      </c>
      <c r="P63" s="23">
        <v>2003</v>
      </c>
      <c r="Q63" s="23">
        <v>2004</v>
      </c>
      <c r="R63" s="23">
        <v>2005</v>
      </c>
      <c r="S63" s="23">
        <v>2006</v>
      </c>
      <c r="T63" s="23">
        <v>2007</v>
      </c>
      <c r="U63" s="23">
        <v>2008</v>
      </c>
      <c r="V63" s="23">
        <v>2009</v>
      </c>
      <c r="W63" s="23">
        <v>2010</v>
      </c>
      <c r="X63" s="23">
        <v>2011</v>
      </c>
      <c r="Y63" s="23">
        <v>2012</v>
      </c>
      <c r="Z63" s="23">
        <v>2013</v>
      </c>
      <c r="AA63" s="391">
        <v>2014</v>
      </c>
      <c r="AB63" s="391">
        <v>2015</v>
      </c>
      <c r="AC63" s="391">
        <v>2016</v>
      </c>
      <c r="AD63" s="391">
        <v>2017</v>
      </c>
      <c r="AE63" s="391">
        <v>2018</v>
      </c>
      <c r="AF63" s="391">
        <v>2019</v>
      </c>
      <c r="AG63" s="391">
        <v>2020</v>
      </c>
      <c r="AH63" s="391">
        <v>2021</v>
      </c>
      <c r="AI63" s="391">
        <v>2022</v>
      </c>
    </row>
    <row r="64" spans="2:36">
      <c r="B64" s="444" t="s">
        <v>1434</v>
      </c>
      <c r="C64" s="717">
        <f>SUM(C44,C54)</f>
        <v>931.31306277964427</v>
      </c>
      <c r="D64" s="717">
        <f t="shared" ref="D64:K64" si="84">SUM(D44,D54)</f>
        <v>949.33888588450918</v>
      </c>
      <c r="E64" s="717">
        <f t="shared" si="84"/>
        <v>945.36913683163345</v>
      </c>
      <c r="F64" s="717">
        <f t="shared" si="84"/>
        <v>998.00873848732488</v>
      </c>
      <c r="G64" s="717">
        <f t="shared" si="84"/>
        <v>988.95658292137637</v>
      </c>
      <c r="H64" s="717">
        <f t="shared" si="84"/>
        <v>994.71215351490434</v>
      </c>
      <c r="I64" s="717">
        <f t="shared" si="84"/>
        <v>1055.599402858898</v>
      </c>
      <c r="J64" s="717">
        <f t="shared" si="84"/>
        <v>1045.2342898136208</v>
      </c>
      <c r="K64" s="717">
        <f t="shared" si="84"/>
        <v>1049.7633949656122</v>
      </c>
      <c r="L64" s="717">
        <f t="shared" ref="L64:Q64" si="85">SUM(L44,L54)</f>
        <v>1070.5402579774973</v>
      </c>
      <c r="M64" s="717">
        <f t="shared" si="85"/>
        <v>1133.8938917163525</v>
      </c>
      <c r="N64" s="717">
        <f t="shared" si="85"/>
        <v>1125.5136681815302</v>
      </c>
      <c r="O64" s="717">
        <f t="shared" si="85"/>
        <v>1152.6184869553806</v>
      </c>
      <c r="P64" s="717">
        <f t="shared" si="85"/>
        <v>1182.6639198846428</v>
      </c>
      <c r="Q64" s="717">
        <f t="shared" si="85"/>
        <v>1180.84406074147</v>
      </c>
      <c r="R64" s="717">
        <f t="shared" ref="R64:S68" si="86">SUM(R44,R54)</f>
        <v>1214.6147745129836</v>
      </c>
      <c r="S64" s="717">
        <f t="shared" si="86"/>
        <v>1151.1172360888077</v>
      </c>
      <c r="T64" s="717">
        <f t="shared" ref="T64:U68" si="87">SUM(T44,T54)</f>
        <v>1203.0476478201435</v>
      </c>
      <c r="U64" s="717">
        <f t="shared" si="87"/>
        <v>1189.5719882760729</v>
      </c>
      <c r="V64" s="717">
        <f t="shared" ref="V64:W68" si="88">SUM(V44,V54)</f>
        <v>1122.2027289953273</v>
      </c>
      <c r="W64" s="717">
        <f t="shared" si="88"/>
        <v>1174.5997295871398</v>
      </c>
      <c r="X64" s="717">
        <f t="shared" ref="X64:Y68" si="89">SUM(X44,X54)</f>
        <v>1117.1249750463776</v>
      </c>
      <c r="Y64" s="717">
        <f t="shared" si="89"/>
        <v>1008.1089431001139</v>
      </c>
      <c r="Z64" s="717">
        <f t="shared" ref="Z64:AA68" si="90">SUM(Z44,Z54)</f>
        <v>1064.0052645208489</v>
      </c>
      <c r="AA64" s="717">
        <f t="shared" si="90"/>
        <v>1080.8370434492858</v>
      </c>
      <c r="AB64" s="717">
        <f t="shared" ref="AB64:AC68" si="91">SUM(AB44,AB54)</f>
        <v>1001.4091538296726</v>
      </c>
      <c r="AC64" s="717">
        <f t="shared" si="91"/>
        <v>946.65653651210357</v>
      </c>
      <c r="AD64" s="717">
        <f t="shared" ref="AD64:AD68" si="92">SUM(AD44,AD54)</f>
        <v>911.08896100278503</v>
      </c>
      <c r="AE64" s="717">
        <f t="shared" ref="AE64:AF64" si="93">SUM(AE44,AE54)</f>
        <v>981.23477542869614</v>
      </c>
      <c r="AF64" s="717">
        <f t="shared" si="93"/>
        <v>926.65475759921389</v>
      </c>
      <c r="AG64" s="717">
        <f t="shared" ref="AG64:AH64" si="94">SUM(AG44,AG54)</f>
        <v>860.11952525953416</v>
      </c>
      <c r="AH64" s="717">
        <f t="shared" si="94"/>
        <v>890.29721476749273</v>
      </c>
      <c r="AI64" s="717">
        <f t="shared" ref="AI64" si="95">SUM(AI44,AI54)</f>
        <v>897.92632920320239</v>
      </c>
    </row>
    <row r="65" spans="2:35">
      <c r="B65" s="445" t="s">
        <v>1441</v>
      </c>
      <c r="C65" s="228">
        <f t="shared" ref="C65:K65" si="96">SUM(C45,C55)</f>
        <v>766.02691994731072</v>
      </c>
      <c r="D65" s="228">
        <f t="shared" si="96"/>
        <v>771.2092202993839</v>
      </c>
      <c r="E65" s="228">
        <f t="shared" si="96"/>
        <v>765.14047227879439</v>
      </c>
      <c r="F65" s="228">
        <f t="shared" si="96"/>
        <v>785.01388590711531</v>
      </c>
      <c r="G65" s="228">
        <f t="shared" si="96"/>
        <v>796.84487236257098</v>
      </c>
      <c r="H65" s="228">
        <f t="shared" si="96"/>
        <v>814.35663325609789</v>
      </c>
      <c r="I65" s="228">
        <f t="shared" si="96"/>
        <v>846.07230311718195</v>
      </c>
      <c r="J65" s="228">
        <f t="shared" si="96"/>
        <v>886.88007365871078</v>
      </c>
      <c r="K65" s="228">
        <f t="shared" si="96"/>
        <v>905.12995542141925</v>
      </c>
      <c r="L65" s="228">
        <f t="shared" ref="L65:Q65" si="97">SUM(L45,L55)</f>
        <v>914.52956492226315</v>
      </c>
      <c r="M65" s="228">
        <f t="shared" si="97"/>
        <v>977.5647701748602</v>
      </c>
      <c r="N65" s="228">
        <f t="shared" si="97"/>
        <v>983.8950852816306</v>
      </c>
      <c r="O65" s="228">
        <f t="shared" si="97"/>
        <v>982.62298746802696</v>
      </c>
      <c r="P65" s="228">
        <f t="shared" si="97"/>
        <v>994.19672122563452</v>
      </c>
      <c r="Q65" s="228">
        <f t="shared" si="97"/>
        <v>1011.1221161604907</v>
      </c>
      <c r="R65" s="228">
        <f t="shared" si="86"/>
        <v>1029.990271758958</v>
      </c>
      <c r="S65" s="228">
        <f t="shared" si="86"/>
        <v>1009.7193770610378</v>
      </c>
      <c r="T65" s="228">
        <f t="shared" si="87"/>
        <v>1050.7858709956513</v>
      </c>
      <c r="U65" s="228">
        <f t="shared" si="87"/>
        <v>1042.4436497395661</v>
      </c>
      <c r="V65" s="228">
        <f t="shared" si="88"/>
        <v>980.62158197007898</v>
      </c>
      <c r="W65" s="228">
        <f t="shared" si="88"/>
        <v>997.27408816918569</v>
      </c>
      <c r="X65" s="228">
        <f t="shared" si="89"/>
        <v>962.76543320375924</v>
      </c>
      <c r="Y65" s="228">
        <f t="shared" si="89"/>
        <v>901.05203110893808</v>
      </c>
      <c r="Z65" s="228">
        <f t="shared" si="90"/>
        <v>928.81295318445063</v>
      </c>
      <c r="AA65" s="228">
        <f t="shared" si="90"/>
        <v>938.20061771932103</v>
      </c>
      <c r="AB65" s="228">
        <f t="shared" si="91"/>
        <v>907.85011647502529</v>
      </c>
      <c r="AC65" s="228">
        <f t="shared" si="91"/>
        <v>865.49984173305415</v>
      </c>
      <c r="AD65" s="228">
        <f t="shared" si="92"/>
        <v>838.65206371340219</v>
      </c>
      <c r="AE65" s="228">
        <f t="shared" ref="AE65:AF65" si="98">SUM(AE45,AE55)</f>
        <v>851.32189302300719</v>
      </c>
      <c r="AF65" s="228">
        <f t="shared" si="98"/>
        <v>804.43052120748075</v>
      </c>
      <c r="AG65" s="228">
        <f t="shared" ref="AG65:AH65" si="99">SUM(AG45,AG55)</f>
        <v>709.61034812093942</v>
      </c>
      <c r="AH65" s="228">
        <f t="shared" si="99"/>
        <v>756.09336430601104</v>
      </c>
      <c r="AI65" s="228">
        <f t="shared" ref="AI65" si="100">SUM(AI45,AI55)</f>
        <v>767.5525103513263</v>
      </c>
    </row>
    <row r="66" spans="2:35">
      <c r="B66" s="445" t="s">
        <v>1443</v>
      </c>
      <c r="C66" s="228">
        <f t="shared" ref="C66:K66" si="101">SUM(C46,C56)</f>
        <v>1557.5709328892033</v>
      </c>
      <c r="D66" s="228">
        <f t="shared" si="101"/>
        <v>1535.2025090441894</v>
      </c>
      <c r="E66" s="228">
        <f t="shared" si="101"/>
        <v>1579.8238303970604</v>
      </c>
      <c r="F66" s="228">
        <f t="shared" si="101"/>
        <v>1591.8253402762612</v>
      </c>
      <c r="G66" s="228">
        <f t="shared" si="101"/>
        <v>1603.8820159591726</v>
      </c>
      <c r="H66" s="228">
        <f t="shared" si="101"/>
        <v>1616.6335481630549</v>
      </c>
      <c r="I66" s="228">
        <f t="shared" si="101"/>
        <v>1654.00277016368</v>
      </c>
      <c r="J66" s="228">
        <f t="shared" si="101"/>
        <v>1667.4376956416904</v>
      </c>
      <c r="K66" s="228">
        <f t="shared" si="101"/>
        <v>1672.8904796704078</v>
      </c>
      <c r="L66" s="228">
        <f t="shared" ref="L66:Q66" si="102">SUM(L46,L56)</f>
        <v>1624.0572105905655</v>
      </c>
      <c r="M66" s="228">
        <f t="shared" si="102"/>
        <v>1676.4409943922044</v>
      </c>
      <c r="N66" s="228">
        <f t="shared" si="102"/>
        <v>1598.909499518393</v>
      </c>
      <c r="O66" s="228">
        <f t="shared" si="102"/>
        <v>1578.3215628198409</v>
      </c>
      <c r="P66" s="228">
        <f t="shared" si="102"/>
        <v>1590.9208638453538</v>
      </c>
      <c r="Q66" s="228">
        <f t="shared" si="102"/>
        <v>1618.8570767583938</v>
      </c>
      <c r="R66" s="228">
        <f t="shared" si="86"/>
        <v>1579.8162051068753</v>
      </c>
      <c r="S66" s="228">
        <f t="shared" si="86"/>
        <v>1575.190301330171</v>
      </c>
      <c r="T66" s="228">
        <f t="shared" si="87"/>
        <v>1568.5813050613606</v>
      </c>
      <c r="U66" s="228">
        <f t="shared" si="87"/>
        <v>1513.0280959284123</v>
      </c>
      <c r="V66" s="228">
        <f t="shared" si="88"/>
        <v>1344.7736169775987</v>
      </c>
      <c r="W66" s="228">
        <f t="shared" si="88"/>
        <v>1429.0810698338848</v>
      </c>
      <c r="X66" s="228">
        <f t="shared" si="89"/>
        <v>1415.8980241286965</v>
      </c>
      <c r="Y66" s="228">
        <f t="shared" si="89"/>
        <v>1392.3546406616963</v>
      </c>
      <c r="Z66" s="228">
        <f t="shared" si="90"/>
        <v>1424.920621452251</v>
      </c>
      <c r="AA66" s="228">
        <f t="shared" si="90"/>
        <v>1410.0195300882015</v>
      </c>
      <c r="AB66" s="228">
        <f t="shared" si="91"/>
        <v>1343.8996644831122</v>
      </c>
      <c r="AC66" s="228">
        <f t="shared" si="91"/>
        <v>1306.9015855972996</v>
      </c>
      <c r="AD66" s="228">
        <f t="shared" si="92"/>
        <v>1283.178908394184</v>
      </c>
      <c r="AE66" s="228">
        <f t="shared" ref="AE66:AF66" si="103">SUM(AE46,AE56)</f>
        <v>1306.5609937789206</v>
      </c>
      <c r="AF66" s="228">
        <f t="shared" si="103"/>
        <v>1263.6035013061817</v>
      </c>
      <c r="AG66" s="228">
        <f t="shared" ref="AG66:AH66" si="104">SUM(AG46,AG56)</f>
        <v>1159.3150400010802</v>
      </c>
      <c r="AH66" s="228">
        <f t="shared" si="104"/>
        <v>1213.9016941481375</v>
      </c>
      <c r="AI66" s="228">
        <f t="shared" ref="AI66" si="105">SUM(AI46,AI56)</f>
        <v>1213.7877424118888</v>
      </c>
    </row>
    <row r="67" spans="2:35">
      <c r="B67" s="445" t="s">
        <v>1445</v>
      </c>
      <c r="C67" s="228">
        <f t="shared" ref="C67:K67" si="106">SUM(C47,C57)</f>
        <v>1471.9917019177849</v>
      </c>
      <c r="D67" s="228">
        <f t="shared" si="106"/>
        <v>1425.3238070189016</v>
      </c>
      <c r="E67" s="228">
        <f t="shared" si="106"/>
        <v>1480.6168945610932</v>
      </c>
      <c r="F67" s="228">
        <f t="shared" si="106"/>
        <v>1511.6377328446704</v>
      </c>
      <c r="G67" s="228">
        <f t="shared" si="106"/>
        <v>1557.0767220675673</v>
      </c>
      <c r="H67" s="228">
        <f t="shared" si="106"/>
        <v>1583.7392878703781</v>
      </c>
      <c r="I67" s="228">
        <f t="shared" si="106"/>
        <v>1630.4196281114484</v>
      </c>
      <c r="J67" s="228">
        <f t="shared" si="106"/>
        <v>1646.6181044050679</v>
      </c>
      <c r="K67" s="228">
        <f t="shared" si="106"/>
        <v>1682.0732965237346</v>
      </c>
      <c r="L67" s="228">
        <f t="shared" ref="L67:Q67" si="107">SUM(L47,L57)</f>
        <v>1749.5663574036987</v>
      </c>
      <c r="M67" s="228">
        <f t="shared" si="107"/>
        <v>1795.6418079300213</v>
      </c>
      <c r="N67" s="228">
        <f t="shared" si="107"/>
        <v>1766.0965056195685</v>
      </c>
      <c r="O67" s="228">
        <f t="shared" si="107"/>
        <v>1806.4703085911747</v>
      </c>
      <c r="P67" s="228">
        <f t="shared" si="107"/>
        <v>1816.2680934084894</v>
      </c>
      <c r="Q67" s="228">
        <f t="shared" si="107"/>
        <v>1849.7600086785615</v>
      </c>
      <c r="R67" s="228">
        <f t="shared" si="86"/>
        <v>1863.2794528487887</v>
      </c>
      <c r="S67" s="228">
        <f t="shared" si="86"/>
        <v>1863.6521810648819</v>
      </c>
      <c r="T67" s="228">
        <f t="shared" si="87"/>
        <v>1865.8028135162779</v>
      </c>
      <c r="U67" s="228">
        <f t="shared" si="87"/>
        <v>1764.3517099395958</v>
      </c>
      <c r="V67" s="228">
        <f t="shared" si="88"/>
        <v>1692.9559283809315</v>
      </c>
      <c r="W67" s="228">
        <f t="shared" si="88"/>
        <v>1701.1133967580768</v>
      </c>
      <c r="X67" s="228">
        <f t="shared" si="89"/>
        <v>1674.6937279338122</v>
      </c>
      <c r="Y67" s="228">
        <f t="shared" si="89"/>
        <v>1663.3765549059813</v>
      </c>
      <c r="Z67" s="228">
        <f t="shared" si="90"/>
        <v>1673.3025813195736</v>
      </c>
      <c r="AA67" s="228">
        <f t="shared" si="90"/>
        <v>1711.7905964393713</v>
      </c>
      <c r="AB67" s="228">
        <f t="shared" si="91"/>
        <v>1722.6398728476722</v>
      </c>
      <c r="AC67" s="228">
        <f t="shared" si="91"/>
        <v>1762.1070870741651</v>
      </c>
      <c r="AD67" s="228">
        <f t="shared" si="92"/>
        <v>1784.6244453522404</v>
      </c>
      <c r="AE67" s="228">
        <f t="shared" ref="AE67:AF67" si="108">SUM(AE47,AE57)</f>
        <v>1817.8999754381921</v>
      </c>
      <c r="AF67" s="228">
        <f t="shared" si="108"/>
        <v>1821.4471856172383</v>
      </c>
      <c r="AG67" s="228">
        <f t="shared" ref="AG67:AH67" si="109">SUM(AG47,AG57)</f>
        <v>1576.9174588407413</v>
      </c>
      <c r="AH67" s="228">
        <f t="shared" si="109"/>
        <v>1758.5809620281279</v>
      </c>
      <c r="AI67" s="228">
        <f t="shared" ref="AI67" si="110">SUM(AI47,AI57)</f>
        <v>1786.8495705746179</v>
      </c>
    </row>
    <row r="68" spans="2:35">
      <c r="B68" s="445" t="s">
        <v>1476</v>
      </c>
      <c r="C68" s="98">
        <f t="shared" ref="C68:K68" si="111">SUM(C48,C58)</f>
        <v>20.008143642447322</v>
      </c>
      <c r="D68" s="98">
        <f t="shared" si="111"/>
        <v>19.182444782042232</v>
      </c>
      <c r="E68" s="98">
        <f t="shared" si="111"/>
        <v>21.945857376420101</v>
      </c>
      <c r="F68" s="98">
        <f t="shared" si="111"/>
        <v>22.624230404024768</v>
      </c>
      <c r="G68" s="98">
        <f t="shared" si="111"/>
        <v>24.731925088050001</v>
      </c>
      <c r="H68" s="98">
        <f t="shared" si="111"/>
        <v>21.548589138159482</v>
      </c>
      <c r="I68" s="98">
        <f t="shared" si="111"/>
        <v>19.778093969996299</v>
      </c>
      <c r="J68" s="98">
        <f t="shared" si="111"/>
        <v>20.081919262735433</v>
      </c>
      <c r="K68" s="98">
        <f t="shared" si="111"/>
        <v>19.445266094299622</v>
      </c>
      <c r="L68" s="98">
        <f t="shared" ref="L68:Q68" si="112">SUM(L48,L58)</f>
        <v>15.47129524021522</v>
      </c>
      <c r="M68" s="98">
        <f t="shared" si="112"/>
        <v>37.029575784692575</v>
      </c>
      <c r="N68" s="98">
        <f t="shared" si="112"/>
        <v>49.650607268994591</v>
      </c>
      <c r="O68" s="98">
        <f t="shared" si="112"/>
        <v>45.151214460026296</v>
      </c>
      <c r="P68" s="98">
        <f t="shared" si="112"/>
        <v>50.364017021263976</v>
      </c>
      <c r="Q68" s="98">
        <f t="shared" si="112"/>
        <v>52.914993432602749</v>
      </c>
      <c r="R68" s="98">
        <f t="shared" si="86"/>
        <v>51.855854281144033</v>
      </c>
      <c r="S68" s="98">
        <f t="shared" si="86"/>
        <v>51.260969486928559</v>
      </c>
      <c r="T68" s="98">
        <f t="shared" si="87"/>
        <v>46.646544089766849</v>
      </c>
      <c r="U68" s="98">
        <f t="shared" si="87"/>
        <v>38.463690403077933</v>
      </c>
      <c r="V68" s="98">
        <f t="shared" si="88"/>
        <v>38.958018298003807</v>
      </c>
      <c r="W68" s="98">
        <f t="shared" si="88"/>
        <v>34.503300949717527</v>
      </c>
      <c r="X68" s="98">
        <f t="shared" si="89"/>
        <v>34.062393532029155</v>
      </c>
      <c r="Y68" s="98">
        <f>SUM(Y48,Y58)</f>
        <v>32.953900270838638</v>
      </c>
      <c r="Z68" s="98">
        <f t="shared" si="90"/>
        <v>28.128373261572971</v>
      </c>
      <c r="AA68" s="98">
        <f t="shared" si="90"/>
        <v>28.278251679990841</v>
      </c>
      <c r="AB68" s="98">
        <f t="shared" si="91"/>
        <v>28.534286210610869</v>
      </c>
      <c r="AC68" s="98">
        <f t="shared" si="91"/>
        <v>26.164722536961889</v>
      </c>
      <c r="AD68" s="98">
        <f t="shared" si="92"/>
        <v>25.945684640650551</v>
      </c>
      <c r="AE68" s="98">
        <f t="shared" ref="AE68:AF68" si="113">SUM(AE48,AE58)</f>
        <v>25.922517672840033</v>
      </c>
      <c r="AF68" s="98">
        <f t="shared" si="113"/>
        <v>24.81274635601731</v>
      </c>
      <c r="AG68" s="98">
        <f t="shared" ref="AG68:AH68" si="114">SUM(AG48,AG58)</f>
        <v>23.278828306241024</v>
      </c>
      <c r="AH68" s="98">
        <f t="shared" si="114"/>
        <v>23.771703899344374</v>
      </c>
      <c r="AI68" s="98">
        <f t="shared" ref="AI68" si="115">SUM(AI48,AI58)</f>
        <v>23.766652318356165</v>
      </c>
    </row>
    <row r="69" spans="2:35">
      <c r="B69" s="446" t="s">
        <v>1480</v>
      </c>
      <c r="C69" s="449">
        <f t="shared" ref="C69:K69" si="116">SUM(C64:C68)</f>
        <v>4746.9107611763902</v>
      </c>
      <c r="D69" s="449">
        <f t="shared" si="116"/>
        <v>4700.2568670290257</v>
      </c>
      <c r="E69" s="449">
        <f t="shared" si="116"/>
        <v>4792.8961914450019</v>
      </c>
      <c r="F69" s="449">
        <f t="shared" si="116"/>
        <v>4909.1099279193968</v>
      </c>
      <c r="G69" s="449">
        <f t="shared" si="116"/>
        <v>4971.4921183987371</v>
      </c>
      <c r="H69" s="449">
        <f t="shared" si="116"/>
        <v>5030.9902119425951</v>
      </c>
      <c r="I69" s="449">
        <f t="shared" si="116"/>
        <v>5205.8721982212046</v>
      </c>
      <c r="J69" s="449">
        <f t="shared" si="116"/>
        <v>5266.2520827818253</v>
      </c>
      <c r="K69" s="449">
        <f t="shared" si="116"/>
        <v>5329.302392675474</v>
      </c>
      <c r="L69" s="449">
        <f t="shared" ref="L69:U69" si="117">SUM(L64:L68)</f>
        <v>5374.1646861342397</v>
      </c>
      <c r="M69" s="449">
        <f t="shared" si="117"/>
        <v>5620.5710399981308</v>
      </c>
      <c r="N69" s="449">
        <f t="shared" si="117"/>
        <v>5524.0653658701167</v>
      </c>
      <c r="O69" s="449">
        <f t="shared" si="117"/>
        <v>5565.1845602944495</v>
      </c>
      <c r="P69" s="449">
        <f t="shared" si="117"/>
        <v>5634.4136153853842</v>
      </c>
      <c r="Q69" s="449">
        <f t="shared" si="117"/>
        <v>5713.4982557715184</v>
      </c>
      <c r="R69" s="449">
        <f t="shared" si="117"/>
        <v>5739.5565585087497</v>
      </c>
      <c r="S69" s="449">
        <f t="shared" si="117"/>
        <v>5650.9400650318275</v>
      </c>
      <c r="T69" s="449">
        <f t="shared" si="117"/>
        <v>5734.8641814832008</v>
      </c>
      <c r="U69" s="449">
        <f t="shared" si="117"/>
        <v>5547.8591342867248</v>
      </c>
      <c r="V69" s="449">
        <f t="shared" ref="V69:AA69" si="118">SUM(V64:V68)</f>
        <v>5179.5118746219396</v>
      </c>
      <c r="W69" s="449">
        <f t="shared" si="118"/>
        <v>5336.5715852980038</v>
      </c>
      <c r="X69" s="449">
        <f t="shared" si="118"/>
        <v>5204.5445538446747</v>
      </c>
      <c r="Y69" s="449">
        <f t="shared" si="118"/>
        <v>4997.846070047568</v>
      </c>
      <c r="Z69" s="449">
        <f t="shared" si="118"/>
        <v>5119.1697937386971</v>
      </c>
      <c r="AA69" s="449">
        <f t="shared" si="118"/>
        <v>5169.1260393761704</v>
      </c>
      <c r="AB69" s="449">
        <f>SUM(AB64:AB68)</f>
        <v>5004.3330938460931</v>
      </c>
      <c r="AC69" s="449">
        <f>SUM(AC64:AC68)</f>
        <v>4907.3297734535836</v>
      </c>
      <c r="AD69" s="449">
        <f>SUM(AD64:AD68)</f>
        <v>4843.4900631032615</v>
      </c>
      <c r="AE69" s="449">
        <f t="shared" ref="AE69:AF69" si="119">SUM(AE64:AE68)</f>
        <v>4982.9401553416556</v>
      </c>
      <c r="AF69" s="449">
        <f t="shared" si="119"/>
        <v>4840.9487120861322</v>
      </c>
      <c r="AG69" s="449">
        <f t="shared" ref="AG69:AH69" si="120">SUM(AG64:AG68)</f>
        <v>4329.241200528536</v>
      </c>
      <c r="AH69" s="449">
        <f t="shared" si="120"/>
        <v>4642.6449391491133</v>
      </c>
      <c r="AI69" s="449">
        <f t="shared" ref="AI69" si="121">SUM(AI64:AI68)</f>
        <v>4689.8828048593914</v>
      </c>
    </row>
    <row r="71" spans="2:35">
      <c r="B71" s="76" t="s">
        <v>2026</v>
      </c>
      <c r="D71" s="409"/>
      <c r="E71" s="409"/>
      <c r="F71" s="409"/>
      <c r="G71" s="409"/>
      <c r="H71" s="409"/>
      <c r="I71" s="409"/>
      <c r="J71" s="409"/>
      <c r="K71" s="409"/>
    </row>
    <row r="72" spans="2:35">
      <c r="B72" s="391" t="s">
        <v>1413</v>
      </c>
      <c r="C72" s="23">
        <v>1990</v>
      </c>
      <c r="D72" s="23">
        <v>1991</v>
      </c>
      <c r="E72" s="23">
        <v>1992</v>
      </c>
      <c r="F72" s="23">
        <v>1993</v>
      </c>
      <c r="G72" s="23">
        <v>1994</v>
      </c>
      <c r="H72" s="23">
        <v>1995</v>
      </c>
      <c r="I72" s="23">
        <v>1996</v>
      </c>
      <c r="J72" s="23">
        <v>1997</v>
      </c>
      <c r="K72" s="23">
        <v>1998</v>
      </c>
      <c r="L72" s="23">
        <v>1999</v>
      </c>
      <c r="M72" s="23">
        <v>2000</v>
      </c>
      <c r="N72" s="23">
        <v>2001</v>
      </c>
      <c r="O72" s="23">
        <v>2002</v>
      </c>
      <c r="P72" s="23">
        <v>2003</v>
      </c>
      <c r="Q72" s="23">
        <v>2004</v>
      </c>
      <c r="R72" s="23">
        <v>2005</v>
      </c>
      <c r="S72" s="23">
        <v>2006</v>
      </c>
      <c r="T72" s="23">
        <v>2007</v>
      </c>
      <c r="U72" s="23">
        <v>2008</v>
      </c>
      <c r="V72" s="23">
        <v>2009</v>
      </c>
      <c r="W72" s="23">
        <v>2010</v>
      </c>
      <c r="X72" s="23">
        <v>2011</v>
      </c>
      <c r="Y72" s="23">
        <v>2012</v>
      </c>
      <c r="Z72" s="23">
        <v>2013</v>
      </c>
      <c r="AA72" s="391">
        <v>2014</v>
      </c>
      <c r="AB72" s="391">
        <v>2015</v>
      </c>
      <c r="AC72" s="391">
        <v>2016</v>
      </c>
      <c r="AD72" s="391">
        <v>2017</v>
      </c>
      <c r="AE72" s="391">
        <v>2018</v>
      </c>
      <c r="AF72" s="391">
        <v>2019</v>
      </c>
      <c r="AG72" s="391">
        <v>2020</v>
      </c>
      <c r="AH72" s="391">
        <v>2021</v>
      </c>
      <c r="AI72" s="391">
        <v>2022</v>
      </c>
    </row>
    <row r="73" spans="2:35">
      <c r="B73" s="444" t="s">
        <v>1434</v>
      </c>
      <c r="C73" s="427">
        <f>C64/C$69</f>
        <v>0.19619350555240775</v>
      </c>
      <c r="D73" s="427">
        <f t="shared" ref="D73:L73" si="122">D64/D$69</f>
        <v>0.20197595849364178</v>
      </c>
      <c r="E73" s="427">
        <f t="shared" si="122"/>
        <v>0.19724381648804618</v>
      </c>
      <c r="F73" s="427">
        <f t="shared" si="122"/>
        <v>0.20329728874299335</v>
      </c>
      <c r="G73" s="427">
        <f t="shared" si="122"/>
        <v>0.19892550553613436</v>
      </c>
      <c r="H73" s="427">
        <f t="shared" si="122"/>
        <v>0.197716972526333</v>
      </c>
      <c r="I73" s="427">
        <f t="shared" si="122"/>
        <v>0.20277090229368019</v>
      </c>
      <c r="J73" s="427">
        <f t="shared" si="122"/>
        <v>0.19847783079565195</v>
      </c>
      <c r="K73" s="427">
        <f t="shared" si="122"/>
        <v>0.19697951394321211</v>
      </c>
      <c r="L73" s="427">
        <f t="shared" si="122"/>
        <v>0.19920123786670957</v>
      </c>
      <c r="M73" s="427">
        <f t="shared" ref="M73:N77" si="123">M64/M$69</f>
        <v>0.2017399804480951</v>
      </c>
      <c r="N73" s="427">
        <f t="shared" si="123"/>
        <v>0.20374734794693114</v>
      </c>
      <c r="O73" s="427">
        <f t="shared" ref="O73:P77" si="124">O64/O$69</f>
        <v>0.20711235619729321</v>
      </c>
      <c r="P73" s="427">
        <f t="shared" si="124"/>
        <v>0.20990008909804728</v>
      </c>
      <c r="Q73" s="427">
        <f t="shared" ref="Q73:R77" si="125">Q64/Q$69</f>
        <v>0.20667619169195239</v>
      </c>
      <c r="R73" s="427">
        <f t="shared" si="125"/>
        <v>0.21162171016719877</v>
      </c>
      <c r="S73" s="427">
        <f t="shared" ref="S73:U77" si="126">S64/S$69</f>
        <v>0.20370367104262047</v>
      </c>
      <c r="T73" s="427">
        <f t="shared" si="126"/>
        <v>0.2097778796060347</v>
      </c>
      <c r="U73" s="427">
        <f t="shared" si="126"/>
        <v>0.21442000589458252</v>
      </c>
      <c r="V73" s="427">
        <f t="shared" ref="V73:W77" si="127">V64/V$69</f>
        <v>0.21666187010667654</v>
      </c>
      <c r="W73" s="427">
        <f t="shared" si="127"/>
        <v>0.22010380837448243</v>
      </c>
      <c r="X73" s="427">
        <f t="shared" ref="X73:Y77" si="128">X64/X$69</f>
        <v>0.21464413715531375</v>
      </c>
      <c r="Y73" s="427">
        <f t="shared" si="128"/>
        <v>0.20170868189434235</v>
      </c>
      <c r="Z73" s="427">
        <f t="shared" ref="Z73:AA77" si="129">Z64/Z$69</f>
        <v>0.2078472305845849</v>
      </c>
      <c r="AA73" s="427">
        <f t="shared" si="129"/>
        <v>0.20909473578626944</v>
      </c>
      <c r="AB73" s="427">
        <f t="shared" ref="AB73:AC77" si="130">AB64/AB$69</f>
        <v>0.20010841305929877</v>
      </c>
      <c r="AC73" s="427">
        <f t="shared" si="130"/>
        <v>0.19290664785421266</v>
      </c>
      <c r="AD73" s="427">
        <f t="shared" ref="AD73:AD77" si="131">AD64/AD$69</f>
        <v>0.18810588008495743</v>
      </c>
      <c r="AE73" s="427">
        <f t="shared" ref="AE73:AF73" si="132">AE64/AE$69</f>
        <v>0.19691883603635568</v>
      </c>
      <c r="AF73" s="427">
        <f t="shared" si="132"/>
        <v>0.19142007335993574</v>
      </c>
      <c r="AG73" s="427">
        <f t="shared" ref="AG73:AH73" si="133">AG64/AG$69</f>
        <v>0.19867673927581728</v>
      </c>
      <c r="AH73" s="427">
        <f t="shared" si="133"/>
        <v>0.19176508788343033</v>
      </c>
      <c r="AI73" s="427">
        <f t="shared" ref="AI73" si="134">AI64/AI$69</f>
        <v>0.19146029156055283</v>
      </c>
    </row>
    <row r="74" spans="2:35">
      <c r="B74" s="445" t="s">
        <v>1441</v>
      </c>
      <c r="C74" s="19">
        <f t="shared" ref="C74:L74" si="135">C65/C$69</f>
        <v>0.16137377728109475</v>
      </c>
      <c r="D74" s="19">
        <f t="shared" si="135"/>
        <v>0.16407810086065694</v>
      </c>
      <c r="E74" s="19">
        <f t="shared" si="135"/>
        <v>0.15964052667039164</v>
      </c>
      <c r="F74" s="19">
        <f t="shared" si="135"/>
        <v>0.1599096164953519</v>
      </c>
      <c r="G74" s="19">
        <f t="shared" si="135"/>
        <v>0.16028283931368797</v>
      </c>
      <c r="H74" s="19">
        <f t="shared" si="135"/>
        <v>0.16186806154441985</v>
      </c>
      <c r="I74" s="19">
        <f t="shared" si="135"/>
        <v>0.16252268033131442</v>
      </c>
      <c r="J74" s="19">
        <f t="shared" si="135"/>
        <v>0.16840820752929636</v>
      </c>
      <c r="K74" s="19">
        <f t="shared" si="135"/>
        <v>0.16984023212220392</v>
      </c>
      <c r="L74" s="19">
        <f t="shared" si="135"/>
        <v>0.17017148121303766</v>
      </c>
      <c r="M74" s="19">
        <f t="shared" si="123"/>
        <v>0.17392623689268152</v>
      </c>
      <c r="N74" s="19">
        <f t="shared" si="123"/>
        <v>0.17811068843618824</v>
      </c>
      <c r="O74" s="19">
        <f t="shared" si="124"/>
        <v>0.17656610968101247</v>
      </c>
      <c r="P74" s="19">
        <f t="shared" si="124"/>
        <v>0.17645078779997111</v>
      </c>
      <c r="Q74" s="19">
        <f t="shared" si="125"/>
        <v>0.17697075782583827</v>
      </c>
      <c r="R74" s="19">
        <f t="shared" si="125"/>
        <v>0.17945467759735254</v>
      </c>
      <c r="S74" s="19">
        <f t="shared" si="126"/>
        <v>0.17868166454449042</v>
      </c>
      <c r="T74" s="19">
        <f t="shared" si="126"/>
        <v>0.18322768207631515</v>
      </c>
      <c r="U74" s="19">
        <f t="shared" si="126"/>
        <v>0.18790016554261171</v>
      </c>
      <c r="V74" s="19">
        <f t="shared" si="127"/>
        <v>0.18932702650510982</v>
      </c>
      <c r="W74" s="19">
        <f t="shared" si="127"/>
        <v>0.18687542596011034</v>
      </c>
      <c r="X74" s="19">
        <f t="shared" si="128"/>
        <v>0.18498553009649038</v>
      </c>
      <c r="Y74" s="19">
        <f t="shared" si="128"/>
        <v>0.18028807179736972</v>
      </c>
      <c r="Z74" s="19">
        <f t="shared" si="129"/>
        <v>0.18143820006136349</v>
      </c>
      <c r="AA74" s="19">
        <f t="shared" si="129"/>
        <v>0.18150082055893274</v>
      </c>
      <c r="AB74" s="19">
        <f t="shared" si="130"/>
        <v>0.18141280755100472</v>
      </c>
      <c r="AC74" s="19">
        <f t="shared" si="130"/>
        <v>0.17636879559531818</v>
      </c>
      <c r="AD74" s="19">
        <f t="shared" si="131"/>
        <v>0.17315036322714603</v>
      </c>
      <c r="AE74" s="19">
        <f t="shared" ref="AE74:AF74" si="136">AE65/AE$69</f>
        <v>0.17084730429892878</v>
      </c>
      <c r="AF74" s="19">
        <f t="shared" si="136"/>
        <v>0.16617208093923883</v>
      </c>
      <c r="AG74" s="19">
        <f t="shared" ref="AG74:AH74" si="137">AG65/AG$69</f>
        <v>0.16391102164377133</v>
      </c>
      <c r="AH74" s="19">
        <f t="shared" si="137"/>
        <v>0.16285832197294522</v>
      </c>
      <c r="AI74" s="19">
        <f t="shared" ref="AI74" si="138">AI65/AI$69</f>
        <v>0.16366134129322629</v>
      </c>
    </row>
    <row r="75" spans="2:35">
      <c r="B75" s="445" t="s">
        <v>1443</v>
      </c>
      <c r="C75" s="19">
        <f t="shared" ref="C75:L75" si="139">C66/C$69</f>
        <v>0.32812307019296116</v>
      </c>
      <c r="D75" s="19">
        <f t="shared" si="139"/>
        <v>0.32662098103897286</v>
      </c>
      <c r="E75" s="19">
        <f t="shared" si="139"/>
        <v>0.32961778584250162</v>
      </c>
      <c r="F75" s="19">
        <f t="shared" si="139"/>
        <v>0.32425946121579652</v>
      </c>
      <c r="G75" s="19">
        <f t="shared" si="139"/>
        <v>0.32261582192264748</v>
      </c>
      <c r="H75" s="19">
        <f t="shared" si="139"/>
        <v>0.32133506130174538</v>
      </c>
      <c r="I75" s="19">
        <f t="shared" si="139"/>
        <v>0.31771866599584148</v>
      </c>
      <c r="J75" s="19">
        <f t="shared" si="139"/>
        <v>0.31662701850020242</v>
      </c>
      <c r="K75" s="19">
        <f t="shared" si="139"/>
        <v>0.31390421417437436</v>
      </c>
      <c r="L75" s="19">
        <f t="shared" si="139"/>
        <v>0.3021971423355817</v>
      </c>
      <c r="M75" s="19">
        <f t="shared" si="123"/>
        <v>0.29826880266471323</v>
      </c>
      <c r="N75" s="19">
        <f t="shared" si="123"/>
        <v>0.28944434825067328</v>
      </c>
      <c r="O75" s="19">
        <f t="shared" si="124"/>
        <v>0.28360632890427145</v>
      </c>
      <c r="P75" s="19">
        <f t="shared" si="124"/>
        <v>0.28235784101848149</v>
      </c>
      <c r="Q75" s="19">
        <f t="shared" si="125"/>
        <v>0.28333903403630117</v>
      </c>
      <c r="R75" s="19">
        <f t="shared" si="125"/>
        <v>0.27525056840233364</v>
      </c>
      <c r="S75" s="19">
        <f t="shared" si="126"/>
        <v>0.27874836455574742</v>
      </c>
      <c r="T75" s="19">
        <f t="shared" si="126"/>
        <v>0.27351673124640247</v>
      </c>
      <c r="U75" s="19">
        <f t="shared" si="126"/>
        <v>0.27272287549221252</v>
      </c>
      <c r="V75" s="19">
        <f t="shared" si="127"/>
        <v>0.25963327231019351</v>
      </c>
      <c r="W75" s="19">
        <f t="shared" si="127"/>
        <v>0.26779010587451574</v>
      </c>
      <c r="X75" s="19">
        <f t="shared" si="128"/>
        <v>0.27205032245958033</v>
      </c>
      <c r="Y75" s="19">
        <f t="shared" si="128"/>
        <v>0.2785909412068876</v>
      </c>
      <c r="Z75" s="19">
        <f t="shared" si="129"/>
        <v>0.27834994322616224</v>
      </c>
      <c r="AA75" s="19">
        <f t="shared" si="129"/>
        <v>0.2727771618156109</v>
      </c>
      <c r="AB75" s="19">
        <f t="shared" si="130"/>
        <v>0.26854720484847955</v>
      </c>
      <c r="AC75" s="19">
        <f t="shared" si="130"/>
        <v>0.26631623427205592</v>
      </c>
      <c r="AD75" s="19">
        <f t="shared" si="131"/>
        <v>0.26492857251203716</v>
      </c>
      <c r="AE75" s="19">
        <f t="shared" ref="AE75:AF75" si="140">AE66/AE$69</f>
        <v>0.26220684034872505</v>
      </c>
      <c r="AF75" s="19">
        <f t="shared" si="140"/>
        <v>0.26102393899596826</v>
      </c>
      <c r="AG75" s="19">
        <f t="shared" ref="AG75:AH75" si="141">AG66/AG$69</f>
        <v>0.26778712164606239</v>
      </c>
      <c r="AH75" s="19">
        <f t="shared" si="141"/>
        <v>0.26146769999831537</v>
      </c>
      <c r="AI75" s="19">
        <f t="shared" ref="AI75" si="142">AI66/AI$69</f>
        <v>0.25880982380929229</v>
      </c>
    </row>
    <row r="76" spans="2:35">
      <c r="B76" s="445" t="s">
        <v>1445</v>
      </c>
      <c r="C76" s="19">
        <f t="shared" ref="C76:L76" si="143">C67/C$69</f>
        <v>0.3100946649254035</v>
      </c>
      <c r="D76" s="19">
        <f t="shared" si="143"/>
        <v>0.30324381142170026</v>
      </c>
      <c r="E76" s="19">
        <f t="shared" si="143"/>
        <v>0.30891904089303979</v>
      </c>
      <c r="F76" s="19">
        <f t="shared" si="143"/>
        <v>0.30792501187386123</v>
      </c>
      <c r="G76" s="19">
        <f t="shared" si="143"/>
        <v>0.31320108429923138</v>
      </c>
      <c r="H76" s="19">
        <f t="shared" si="143"/>
        <v>0.31479673407252673</v>
      </c>
      <c r="I76" s="19">
        <f t="shared" si="143"/>
        <v>0.31318856207583173</v>
      </c>
      <c r="J76" s="19">
        <f t="shared" si="143"/>
        <v>0.31267362035112922</v>
      </c>
      <c r="K76" s="19">
        <f t="shared" si="143"/>
        <v>0.31562729464095618</v>
      </c>
      <c r="L76" s="19">
        <f t="shared" si="143"/>
        <v>0.32555131068419157</v>
      </c>
      <c r="M76" s="19">
        <f t="shared" si="123"/>
        <v>0.31947675692586186</v>
      </c>
      <c r="N76" s="19">
        <f t="shared" si="123"/>
        <v>0.31970955965351505</v>
      </c>
      <c r="O76" s="19">
        <f t="shared" si="124"/>
        <v>0.3246020485070123</v>
      </c>
      <c r="P76" s="19">
        <f t="shared" si="124"/>
        <v>0.32235263816077864</v>
      </c>
      <c r="Q76" s="19">
        <f t="shared" si="125"/>
        <v>0.32375261632573654</v>
      </c>
      <c r="R76" s="19">
        <f t="shared" si="125"/>
        <v>0.32463822489675154</v>
      </c>
      <c r="S76" s="19">
        <f t="shared" si="126"/>
        <v>0.32979507119482876</v>
      </c>
      <c r="T76" s="19">
        <f t="shared" si="126"/>
        <v>0.32534385374645919</v>
      </c>
      <c r="U76" s="19">
        <f t="shared" si="126"/>
        <v>0.31802388403043591</v>
      </c>
      <c r="V76" s="19">
        <f t="shared" si="127"/>
        <v>0.3268562693476792</v>
      </c>
      <c r="W76" s="19">
        <f t="shared" si="127"/>
        <v>0.31876521650052664</v>
      </c>
      <c r="X76" s="19">
        <f t="shared" si="128"/>
        <v>0.32177526978738052</v>
      </c>
      <c r="Y76" s="19">
        <f t="shared" si="128"/>
        <v>0.33281868460789743</v>
      </c>
      <c r="Z76" s="19">
        <f t="shared" si="129"/>
        <v>0.32686991225925055</v>
      </c>
      <c r="AA76" s="19">
        <f t="shared" si="129"/>
        <v>0.33115667588673398</v>
      </c>
      <c r="AB76" s="19">
        <f t="shared" si="130"/>
        <v>0.3442296586863951</v>
      </c>
      <c r="AC76" s="19">
        <f t="shared" si="130"/>
        <v>0.35907655862183158</v>
      </c>
      <c r="AD76" s="19">
        <f t="shared" si="131"/>
        <v>0.36845836826365197</v>
      </c>
      <c r="AE76" s="19">
        <f t="shared" ref="AE76:AF76" si="144">AE67/AE$69</f>
        <v>0.36482476585423645</v>
      </c>
      <c r="AF76" s="19">
        <f t="shared" si="144"/>
        <v>0.376258310911192</v>
      </c>
      <c r="AG76" s="19">
        <f t="shared" ref="AG76:AH76" si="145">AG67/AG$69</f>
        <v>0.36424800231694715</v>
      </c>
      <c r="AH76" s="19">
        <f t="shared" si="145"/>
        <v>0.37878859681878541</v>
      </c>
      <c r="AI76" s="19">
        <f t="shared" ref="AI76" si="146">AI67/AI$69</f>
        <v>0.38100090021933714</v>
      </c>
    </row>
    <row r="77" spans="2:35">
      <c r="B77" s="445" t="s">
        <v>1476</v>
      </c>
      <c r="C77" s="416">
        <f t="shared" ref="C77:L77" si="147">C68/C$69</f>
        <v>4.2149820481328908E-3</v>
      </c>
      <c r="D77" s="416">
        <f t="shared" si="147"/>
        <v>4.0811481850282832E-3</v>
      </c>
      <c r="E77" s="416">
        <f t="shared" si="147"/>
        <v>4.5788301060206531E-3</v>
      </c>
      <c r="F77" s="416">
        <f t="shared" si="147"/>
        <v>4.6086216719969601E-3</v>
      </c>
      <c r="G77" s="416">
        <f t="shared" si="147"/>
        <v>4.9747489282987905E-3</v>
      </c>
      <c r="H77" s="416">
        <f t="shared" si="147"/>
        <v>4.2831705549749056E-3</v>
      </c>
      <c r="I77" s="416">
        <f t="shared" si="147"/>
        <v>3.7991893033321638E-3</v>
      </c>
      <c r="J77" s="416">
        <f t="shared" si="147"/>
        <v>3.813322823720097E-3</v>
      </c>
      <c r="K77" s="416">
        <f t="shared" si="147"/>
        <v>3.64874511925331E-3</v>
      </c>
      <c r="L77" s="416">
        <f t="shared" si="147"/>
        <v>2.8788279004795586E-3</v>
      </c>
      <c r="M77" s="416">
        <f t="shared" si="123"/>
        <v>6.5882230686483577E-3</v>
      </c>
      <c r="N77" s="416">
        <f t="shared" si="123"/>
        <v>8.988055712692301E-3</v>
      </c>
      <c r="O77" s="416">
        <f t="shared" si="124"/>
        <v>8.1131567104105861E-3</v>
      </c>
      <c r="P77" s="416">
        <f t="shared" si="124"/>
        <v>8.9386439227215238E-3</v>
      </c>
      <c r="Q77" s="416">
        <f t="shared" si="125"/>
        <v>9.2614001201716326E-3</v>
      </c>
      <c r="R77" s="416">
        <f t="shared" si="125"/>
        <v>9.0348189363634764E-3</v>
      </c>
      <c r="S77" s="416">
        <f t="shared" si="126"/>
        <v>9.0712286623128146E-3</v>
      </c>
      <c r="T77" s="416">
        <f t="shared" si="126"/>
        <v>8.1338533247883663E-3</v>
      </c>
      <c r="U77" s="416">
        <f t="shared" si="126"/>
        <v>6.9330690401574373E-3</v>
      </c>
      <c r="V77" s="416">
        <f t="shared" si="127"/>
        <v>7.5215617303411265E-3</v>
      </c>
      <c r="W77" s="416">
        <f t="shared" si="127"/>
        <v>6.4654432903650067E-3</v>
      </c>
      <c r="X77" s="416">
        <f t="shared" si="128"/>
        <v>6.5447405012349748E-3</v>
      </c>
      <c r="Y77" s="416">
        <f t="shared" si="128"/>
        <v>6.5936204935029127E-3</v>
      </c>
      <c r="Z77" s="416">
        <f t="shared" si="129"/>
        <v>5.494713868638825E-3</v>
      </c>
      <c r="AA77" s="416">
        <f t="shared" si="129"/>
        <v>5.4706059524529541E-3</v>
      </c>
      <c r="AB77" s="416">
        <f t="shared" si="130"/>
        <v>5.7019158548218801E-3</v>
      </c>
      <c r="AC77" s="416">
        <f t="shared" si="130"/>
        <v>5.3317636565818555E-3</v>
      </c>
      <c r="AD77" s="416">
        <f t="shared" si="131"/>
        <v>5.3568159122075187E-3</v>
      </c>
      <c r="AE77" s="416">
        <f t="shared" ref="AE77:AF77" si="148">AE68/AE$69</f>
        <v>5.2022534617541787E-3</v>
      </c>
      <c r="AF77" s="416">
        <f t="shared" si="148"/>
        <v>5.1255957936651303E-3</v>
      </c>
      <c r="AG77" s="416">
        <f t="shared" ref="AG77:AH77" si="149">AG68/AG$69</f>
        <v>5.377115117401873E-3</v>
      </c>
      <c r="AH77" s="416">
        <f t="shared" si="149"/>
        <v>5.1202933265237305E-3</v>
      </c>
      <c r="AI77" s="416">
        <f t="shared" ref="AI77" si="150">AI68/AI$69</f>
        <v>5.0676431175914471E-3</v>
      </c>
    </row>
    <row r="78" spans="2:35">
      <c r="B78" s="428"/>
    </row>
    <row r="79" spans="2:35" ht="35.25" customHeight="1">
      <c r="B79" s="410" t="s">
        <v>1413</v>
      </c>
      <c r="C79" s="429" t="s">
        <v>2027</v>
      </c>
      <c r="AI79" s="1036"/>
    </row>
    <row r="80" spans="2:35">
      <c r="B80" s="411" t="s">
        <v>1434</v>
      </c>
      <c r="C80" s="1022">
        <f>AVERAGE(C73:AI73)</f>
        <v>0.20251224840447873</v>
      </c>
      <c r="AI80" s="1036"/>
    </row>
    <row r="81" spans="2:35">
      <c r="B81" s="413" t="s">
        <v>1441</v>
      </c>
      <c r="C81" s="1022">
        <f>AVERAGE(C74:AI74)</f>
        <v>0.1730964062199658</v>
      </c>
      <c r="AI81" s="1036"/>
    </row>
    <row r="82" spans="2:35">
      <c r="B82" s="413" t="s">
        <v>1443</v>
      </c>
      <c r="C82" s="1022">
        <f>AVERAGE(C75:AI75)</f>
        <v>0.28728949395198938</v>
      </c>
      <c r="AI82" s="1036"/>
    </row>
    <row r="83" spans="2:35">
      <c r="B83" s="413" t="s">
        <v>1445</v>
      </c>
      <c r="C83" s="1022">
        <f>AVERAGE(C76:AI76)</f>
        <v>0.33115281753821502</v>
      </c>
      <c r="AI83" s="1036"/>
    </row>
    <row r="84" spans="2:35">
      <c r="B84" s="435" t="s">
        <v>1476</v>
      </c>
      <c r="C84" s="430"/>
      <c r="AI84" s="1036"/>
    </row>
    <row r="85" spans="2:35">
      <c r="AI85" s="1036"/>
    </row>
    <row r="86" spans="2:35">
      <c r="AI86" s="1036"/>
    </row>
    <row r="87" spans="2:35" ht="51.95">
      <c r="B87" s="410" t="s">
        <v>1413</v>
      </c>
      <c r="C87" s="431" t="s">
        <v>2028</v>
      </c>
      <c r="D87" s="431" t="s">
        <v>2029</v>
      </c>
      <c r="E87" s="431" t="s">
        <v>2030</v>
      </c>
      <c r="F87" s="431" t="s">
        <v>2031</v>
      </c>
      <c r="G87" s="431" t="s">
        <v>2032</v>
      </c>
      <c r="H87" s="431" t="s">
        <v>2033</v>
      </c>
      <c r="I87" s="431" t="s">
        <v>2034</v>
      </c>
      <c r="J87" s="431" t="s">
        <v>2035</v>
      </c>
      <c r="K87" s="431" t="s">
        <v>2036</v>
      </c>
      <c r="L87" s="431" t="s">
        <v>2037</v>
      </c>
      <c r="M87" s="431" t="s">
        <v>2038</v>
      </c>
      <c r="N87" s="431" t="s">
        <v>2039</v>
      </c>
      <c r="O87" s="431" t="s">
        <v>2040</v>
      </c>
      <c r="P87" s="431" t="s">
        <v>2041</v>
      </c>
      <c r="Q87" s="431" t="s">
        <v>2042</v>
      </c>
      <c r="R87" s="431" t="s">
        <v>2043</v>
      </c>
      <c r="S87" s="431" t="s">
        <v>2044</v>
      </c>
      <c r="T87" s="431" t="s">
        <v>2045</v>
      </c>
      <c r="U87" s="431" t="s">
        <v>2046</v>
      </c>
      <c r="V87" s="431" t="s">
        <v>2047</v>
      </c>
      <c r="W87" s="431" t="s">
        <v>2048</v>
      </c>
      <c r="AI87" s="1036"/>
    </row>
    <row r="88" spans="2:35">
      <c r="B88" s="411" t="s">
        <v>1434</v>
      </c>
      <c r="C88" s="432">
        <f>(Q8-C8)/C8</f>
        <v>0.39822016523931814</v>
      </c>
      <c r="D88" s="433">
        <f>(W8-C8)/C8</f>
        <v>0.56456075664994809</v>
      </c>
      <c r="E88" s="433">
        <f>(P8-O8)/O8</f>
        <v>8.4130654152858551E-3</v>
      </c>
      <c r="F88" s="433">
        <f t="shared" ref="E88:F91" si="151">(Q8-P8)/P8</f>
        <v>1.2664496936728565E-2</v>
      </c>
      <c r="G88" s="433">
        <f t="shared" ref="G88:R91" si="152">(S8-R8)/R8</f>
        <v>-5.6701863583419844E-3</v>
      </c>
      <c r="H88" s="433">
        <f t="shared" si="152"/>
        <v>3.0129749404617687E-2</v>
      </c>
      <c r="I88" s="433">
        <f t="shared" si="152"/>
        <v>-8.3169875282137467E-3</v>
      </c>
      <c r="J88" s="433">
        <f t="shared" ref="J88:O88" si="153">(V8-U8)/U8</f>
        <v>-1.1518818463388449E-2</v>
      </c>
      <c r="K88" s="434">
        <f t="shared" si="153"/>
        <v>5.9296397451996628E-2</v>
      </c>
      <c r="L88" s="434">
        <f t="shared" si="153"/>
        <v>-1.5882801157240129E-2</v>
      </c>
      <c r="M88" s="434">
        <f t="shared" si="153"/>
        <v>-3.4008970734038614E-2</v>
      </c>
      <c r="N88" s="434">
        <f t="shared" si="153"/>
        <v>1.4618035952277706E-2</v>
      </c>
      <c r="O88" s="434">
        <f t="shared" si="153"/>
        <v>8.7047564184901064E-3</v>
      </c>
      <c r="P88" s="434">
        <f t="shared" ref="P88:T88" si="154">(AB8-AA8)/AA8</f>
        <v>-2.4210319633326672E-3</v>
      </c>
      <c r="Q88" s="434">
        <f t="shared" si="154"/>
        <v>4.6811776215337376E-3</v>
      </c>
      <c r="R88" s="434">
        <f t="shared" si="154"/>
        <v>-2.331806636618345E-2</v>
      </c>
      <c r="S88" s="434">
        <f t="shared" si="154"/>
        <v>6.5006791511882225E-2</v>
      </c>
      <c r="T88" s="434">
        <f t="shared" si="154"/>
        <v>-2.0220276472708815E-2</v>
      </c>
      <c r="U88" s="434">
        <f>(AG8-AF8)/AF8</f>
        <v>1.679573349477408E-2</v>
      </c>
      <c r="V88" s="434">
        <f>(AH8-AG8)/AG8</f>
        <v>2.7890043415814952E-3</v>
      </c>
      <c r="W88" s="434">
        <f>(AI8-AH8)/AH8</f>
        <v>2.4633473897482574E-2</v>
      </c>
      <c r="AI88" s="1036"/>
    </row>
    <row r="89" spans="2:35">
      <c r="B89" s="413" t="s">
        <v>1441</v>
      </c>
      <c r="C89" s="433">
        <f>(Q9-C9)/C9</f>
        <v>0.46782641654277918</v>
      </c>
      <c r="D89" s="433">
        <f>(W9-C9)/C9</f>
        <v>0.58684658942857881</v>
      </c>
      <c r="E89" s="433">
        <f t="shared" si="151"/>
        <v>-4.8182325667777233E-3</v>
      </c>
      <c r="F89" s="433">
        <f t="shared" si="151"/>
        <v>2.6442312643470856E-2</v>
      </c>
      <c r="G89" s="433">
        <f t="shared" si="152"/>
        <v>1.9343644286453701E-2</v>
      </c>
      <c r="H89" s="433">
        <f t="shared" si="152"/>
        <v>2.8137471365075477E-2</v>
      </c>
      <c r="I89" s="433">
        <f t="shared" si="152"/>
        <v>-1.3597914664434469E-4</v>
      </c>
      <c r="J89" s="433">
        <f t="shared" si="152"/>
        <v>-2.1914697392678668E-2</v>
      </c>
      <c r="K89" s="434">
        <f t="shared" si="152"/>
        <v>1.7861561554368122E-2</v>
      </c>
      <c r="L89" s="434">
        <f t="shared" si="152"/>
        <v>-1.6174232766741259E-3</v>
      </c>
      <c r="M89" s="434">
        <f t="shared" si="152"/>
        <v>-7.3318373226999019E-4</v>
      </c>
      <c r="N89" s="434">
        <f t="shared" si="152"/>
        <v>7.4909364277115842E-3</v>
      </c>
      <c r="O89" s="434">
        <f t="shared" si="152"/>
        <v>1.1244449537588538E-2</v>
      </c>
      <c r="P89" s="434">
        <f t="shared" si="152"/>
        <v>6.3174428853815081E-3</v>
      </c>
      <c r="Q89" s="434">
        <f t="shared" si="152"/>
        <v>4.6821496586988091E-3</v>
      </c>
      <c r="R89" s="434">
        <f t="shared" si="152"/>
        <v>-1.0523502574582082E-2</v>
      </c>
      <c r="S89" s="434">
        <f t="shared" ref="S89:W91" si="155">(AE9-AD9)/AD9</f>
        <v>2.1219735513745504E-2</v>
      </c>
      <c r="T89" s="434">
        <f t="shared" si="155"/>
        <v>-1.5223349358726027E-2</v>
      </c>
      <c r="U89" s="434">
        <f t="shared" si="155"/>
        <v>-5.4012114031580176E-2</v>
      </c>
      <c r="V89" s="434">
        <f t="shared" si="155"/>
        <v>3.1614637396236732E-2</v>
      </c>
      <c r="W89" s="434">
        <f t="shared" si="155"/>
        <v>4.667863334793379E-2</v>
      </c>
      <c r="AI89" s="1036"/>
    </row>
    <row r="90" spans="2:35">
      <c r="B90" s="413" t="s">
        <v>1443</v>
      </c>
      <c r="C90" s="433">
        <f>(Q10-C10)/C10</f>
        <v>0.10865738049863398</v>
      </c>
      <c r="D90" s="433">
        <f>(W10-C10)/C10</f>
        <v>3.091517533653915E-2</v>
      </c>
      <c r="E90" s="433">
        <f t="shared" si="151"/>
        <v>2.0966262774780496E-2</v>
      </c>
      <c r="F90" s="433">
        <f t="shared" si="151"/>
        <v>4.7869190040133762E-3</v>
      </c>
      <c r="G90" s="433">
        <f t="shared" si="152"/>
        <v>-9.3633971586834074E-3</v>
      </c>
      <c r="H90" s="433">
        <f t="shared" si="152"/>
        <v>-4.0769896620134576E-3</v>
      </c>
      <c r="I90" s="433">
        <f t="shared" si="152"/>
        <v>-1.0220394828753419E-2</v>
      </c>
      <c r="J90" s="433">
        <f t="shared" si="152"/>
        <v>-8.5274012543029284E-2</v>
      </c>
      <c r="K90" s="434">
        <f t="shared" si="152"/>
        <v>5.6280713268121875E-2</v>
      </c>
      <c r="L90" s="434">
        <f t="shared" si="152"/>
        <v>1.8980660217572394E-2</v>
      </c>
      <c r="M90" s="434">
        <f t="shared" si="152"/>
        <v>-6.2205845561340745E-4</v>
      </c>
      <c r="N90" s="434">
        <f t="shared" si="152"/>
        <v>4.8456387799098799E-3</v>
      </c>
      <c r="O90" s="434">
        <f t="shared" si="152"/>
        <v>6.4990443317671709E-3</v>
      </c>
      <c r="P90" s="434">
        <f t="shared" si="152"/>
        <v>-7.4592006653150826E-3</v>
      </c>
      <c r="Q90" s="434">
        <f t="shared" si="152"/>
        <v>-9.8639843253950314E-3</v>
      </c>
      <c r="R90" s="434">
        <f t="shared" si="152"/>
        <v>7.7967304125627782E-3</v>
      </c>
      <c r="S90" s="434">
        <f t="shared" si="155"/>
        <v>1.7168473749311942E-2</v>
      </c>
      <c r="T90" s="434">
        <f t="shared" si="155"/>
        <v>9.1466336820008958E-4</v>
      </c>
      <c r="U90" s="434">
        <f t="shared" si="155"/>
        <v>-4.1757725876056209E-2</v>
      </c>
      <c r="V90" s="434">
        <f t="shared" si="155"/>
        <v>3.7829597181949254E-2</v>
      </c>
      <c r="W90" s="434">
        <f t="shared" si="155"/>
        <v>2.14715668257843E-2</v>
      </c>
      <c r="AI90" s="1036"/>
    </row>
    <row r="91" spans="2:35">
      <c r="B91" s="413" t="s">
        <v>1445</v>
      </c>
      <c r="C91" s="433">
        <f>(Q11-C11)/C11</f>
        <v>0.52039384024760182</v>
      </c>
      <c r="D91" s="433">
        <f>(W11-C11)/C11</f>
        <v>0.62946000274706759</v>
      </c>
      <c r="E91" s="433">
        <f t="shared" si="151"/>
        <v>0.23427290447071128</v>
      </c>
      <c r="F91" s="433">
        <f t="shared" si="151"/>
        <v>6.0782750794158034E-2</v>
      </c>
      <c r="G91" s="433">
        <f t="shared" si="152"/>
        <v>-1.982036206551786E-2</v>
      </c>
      <c r="H91" s="433">
        <f t="shared" si="152"/>
        <v>0.11077774197174267</v>
      </c>
      <c r="I91" s="433">
        <f t="shared" si="152"/>
        <v>-6.3551907319523523E-2</v>
      </c>
      <c r="J91" s="433">
        <f t="shared" si="152"/>
        <v>1.4997365158232313E-2</v>
      </c>
      <c r="K91" s="434">
        <f t="shared" si="152"/>
        <v>-3.3671090482010851E-3</v>
      </c>
      <c r="L91" s="434">
        <f t="shared" si="152"/>
        <v>3.026049762450017E-3</v>
      </c>
      <c r="M91" s="434">
        <f t="shared" si="152"/>
        <v>-3.0350162323211815E-2</v>
      </c>
      <c r="N91" s="434">
        <f t="shared" si="152"/>
        <v>7.290152837807444E-2</v>
      </c>
      <c r="O91" s="434">
        <f t="shared" si="152"/>
        <v>5.3981215657733145E-2</v>
      </c>
      <c r="P91" s="434">
        <f t="shared" si="152"/>
        <v>2.6355023595145893E-2</v>
      </c>
      <c r="Q91" s="434">
        <f t="shared" si="152"/>
        <v>3.6947524328406277E-2</v>
      </c>
      <c r="R91" s="434">
        <f>(AD11-AC11)/AC11</f>
        <v>6.2777426970876876E-2</v>
      </c>
      <c r="S91" s="434">
        <f t="shared" si="155"/>
        <v>0.12963592406658037</v>
      </c>
      <c r="T91" s="434">
        <f t="shared" si="155"/>
        <v>8.8491675898860311E-2</v>
      </c>
      <c r="U91" s="434">
        <f t="shared" si="155"/>
        <v>-7.3134461928089659E-2</v>
      </c>
      <c r="V91" s="434">
        <f t="shared" si="155"/>
        <v>0.17429807603657477</v>
      </c>
      <c r="W91" s="434">
        <f t="shared" si="155"/>
        <v>0.25489022983732135</v>
      </c>
      <c r="AI91" s="1036"/>
    </row>
    <row r="92" spans="2:35">
      <c r="B92" s="435" t="s">
        <v>1476</v>
      </c>
      <c r="C92" s="436"/>
      <c r="D92" s="436"/>
      <c r="E92" s="436"/>
      <c r="F92" s="436"/>
      <c r="G92" s="436"/>
      <c r="H92" s="436"/>
      <c r="I92" s="436"/>
      <c r="J92" s="436"/>
      <c r="K92" s="436"/>
      <c r="L92" s="436"/>
      <c r="M92" s="436"/>
      <c r="N92" s="436"/>
      <c r="O92" s="436"/>
      <c r="P92" s="436"/>
      <c r="Q92" s="436"/>
      <c r="R92" s="436"/>
      <c r="S92" s="436"/>
      <c r="T92" s="436"/>
      <c r="U92" s="436"/>
      <c r="V92" s="436"/>
      <c r="W92" s="436"/>
      <c r="AI92" s="1036"/>
    </row>
    <row r="93" spans="2:35">
      <c r="AI93" s="1036"/>
    </row>
    <row r="94" spans="2:35">
      <c r="B94" s="4" t="s">
        <v>1413</v>
      </c>
      <c r="C94" s="451">
        <v>1990</v>
      </c>
      <c r="D94" s="451">
        <v>1991</v>
      </c>
      <c r="E94" s="451">
        <v>1992</v>
      </c>
      <c r="F94" s="451">
        <v>1993</v>
      </c>
      <c r="G94" s="451">
        <v>1994</v>
      </c>
      <c r="H94" s="451">
        <v>1995</v>
      </c>
      <c r="I94" s="451">
        <v>1996</v>
      </c>
      <c r="J94" s="451">
        <v>1997</v>
      </c>
      <c r="K94" s="451">
        <v>1998</v>
      </c>
      <c r="L94" s="451">
        <v>1999</v>
      </c>
      <c r="M94" s="451">
        <v>2000</v>
      </c>
      <c r="N94" s="451">
        <v>2001</v>
      </c>
      <c r="O94" s="451">
        <v>2002</v>
      </c>
      <c r="P94" s="451">
        <v>2003</v>
      </c>
      <c r="Q94" s="451">
        <v>2004</v>
      </c>
      <c r="R94" s="451">
        <v>2005</v>
      </c>
      <c r="S94" s="451">
        <v>2006</v>
      </c>
      <c r="T94" s="451">
        <v>2007</v>
      </c>
      <c r="U94" s="451">
        <v>2008</v>
      </c>
      <c r="V94" s="451">
        <v>2009</v>
      </c>
      <c r="W94" s="451">
        <v>2010</v>
      </c>
      <c r="X94" s="451">
        <v>2011</v>
      </c>
      <c r="Y94" s="451">
        <v>2012</v>
      </c>
      <c r="Z94" s="451">
        <v>2013</v>
      </c>
      <c r="AA94" s="451">
        <v>2014</v>
      </c>
      <c r="AB94" s="451">
        <v>2015</v>
      </c>
      <c r="AC94" s="451">
        <v>2016</v>
      </c>
      <c r="AD94" s="451">
        <v>2017</v>
      </c>
      <c r="AE94" s="451">
        <v>2018</v>
      </c>
      <c r="AF94" s="451">
        <v>2019</v>
      </c>
      <c r="AG94" s="451">
        <v>2020</v>
      </c>
      <c r="AH94" s="451">
        <v>2021</v>
      </c>
      <c r="AI94" s="391">
        <v>2022</v>
      </c>
    </row>
    <row r="95" spans="2:35">
      <c r="B95" s="444" t="s">
        <v>1434</v>
      </c>
      <c r="C95" s="412">
        <f>C8</f>
        <v>924.01869900000008</v>
      </c>
      <c r="D95" s="412">
        <f t="shared" ref="D95:T97" si="156">D8</f>
        <v>955.41734999999994</v>
      </c>
      <c r="E95" s="412">
        <f t="shared" si="156"/>
        <v>935.93878799999993</v>
      </c>
      <c r="F95" s="412">
        <f t="shared" si="156"/>
        <v>994.78081799999995</v>
      </c>
      <c r="G95" s="412">
        <f t="shared" si="156"/>
        <v>1008.4816820000001</v>
      </c>
      <c r="H95" s="412">
        <f t="shared" si="156"/>
        <v>1042.501471</v>
      </c>
      <c r="I95" s="412">
        <f t="shared" si="156"/>
        <v>1082.5117500000001</v>
      </c>
      <c r="J95" s="412">
        <f t="shared" si="156"/>
        <v>1075.880095</v>
      </c>
      <c r="K95" s="412">
        <f t="shared" si="156"/>
        <v>1130.1091200000001</v>
      </c>
      <c r="L95" s="412">
        <f t="shared" si="156"/>
        <v>1144.9230680000001</v>
      </c>
      <c r="M95" s="412">
        <f t="shared" si="156"/>
        <v>1192.4464909999999</v>
      </c>
      <c r="N95" s="412">
        <f t="shared" si="156"/>
        <v>1201.6065930000002</v>
      </c>
      <c r="O95" s="412">
        <f t="shared" si="156"/>
        <v>1265.1798690000001</v>
      </c>
      <c r="P95" s="412">
        <f t="shared" si="156"/>
        <v>1275.8239099999998</v>
      </c>
      <c r="Q95" s="412">
        <f t="shared" si="156"/>
        <v>1291.9815779999999</v>
      </c>
      <c r="R95" s="412">
        <f t="shared" si="156"/>
        <v>1359.2271070000002</v>
      </c>
      <c r="S95" s="412">
        <f t="shared" si="156"/>
        <v>1351.5200360000001</v>
      </c>
      <c r="T95" s="412">
        <f t="shared" si="156"/>
        <v>1392.240996</v>
      </c>
      <c r="U95" s="412">
        <f t="shared" ref="U95:W97" si="157">U8</f>
        <v>1380.6617450000001</v>
      </c>
      <c r="V95" s="412">
        <f t="shared" si="157"/>
        <v>1364.758153</v>
      </c>
      <c r="W95" s="412">
        <f t="shared" si="157"/>
        <v>1445.6833948661408</v>
      </c>
      <c r="X95" s="412">
        <f t="shared" ref="X95:Y97" si="158">X8</f>
        <v>1422.721892969158</v>
      </c>
      <c r="Y95" s="412">
        <f t="shared" si="158"/>
        <v>1374.3365857484939</v>
      </c>
      <c r="Z95" s="412">
        <f t="shared" ref="Z95:AA97" si="159">Z8</f>
        <v>1394.426687369496</v>
      </c>
      <c r="AA95" s="412">
        <f t="shared" si="159"/>
        <v>1406.5648320264895</v>
      </c>
      <c r="AB95" s="412">
        <f t="shared" ref="AB95:AC97" si="160">AB8</f>
        <v>1403.1594936096537</v>
      </c>
      <c r="AC95" s="412">
        <f t="shared" si="160"/>
        <v>1409.7279324305819</v>
      </c>
      <c r="AD95" s="412">
        <f t="shared" ref="AD95:AF97" si="161">AD8</f>
        <v>1376.855802943903</v>
      </c>
      <c r="AE95" s="412">
        <f t="shared" si="161"/>
        <v>1466.3607810678025</v>
      </c>
      <c r="AF95" s="412">
        <f t="shared" si="161"/>
        <v>1436.7105606658743</v>
      </c>
      <c r="AG95" s="412">
        <f t="shared" ref="AG95:AH95" si="162">AG8</f>
        <v>1460.8411683519457</v>
      </c>
      <c r="AH95" s="412">
        <f t="shared" si="162"/>
        <v>1464.9154607128403</v>
      </c>
      <c r="AI95" s="412">
        <f t="shared" ref="AI95" si="163">AI8</f>
        <v>1501.0014174763287</v>
      </c>
    </row>
    <row r="96" spans="2:35">
      <c r="B96" s="445" t="s">
        <v>1441</v>
      </c>
      <c r="C96" s="414">
        <f t="shared" ref="C96:R97" si="164">C9</f>
        <v>838.26310599999999</v>
      </c>
      <c r="D96" s="414">
        <f t="shared" si="164"/>
        <v>855.24385600000005</v>
      </c>
      <c r="E96" s="414">
        <f t="shared" si="164"/>
        <v>850.00692200000003</v>
      </c>
      <c r="F96" s="414">
        <f t="shared" si="164"/>
        <v>884.74634000000003</v>
      </c>
      <c r="G96" s="414">
        <f t="shared" si="164"/>
        <v>913.10569099999998</v>
      </c>
      <c r="H96" s="414">
        <f t="shared" si="164"/>
        <v>953.11724800000002</v>
      </c>
      <c r="I96" s="414">
        <f t="shared" si="164"/>
        <v>980.06111899999996</v>
      </c>
      <c r="J96" s="414">
        <f t="shared" si="164"/>
        <v>1026.6261050000001</v>
      </c>
      <c r="K96" s="414">
        <f t="shared" si="164"/>
        <v>1077.956919</v>
      </c>
      <c r="L96" s="414">
        <f t="shared" si="164"/>
        <v>1103.8212100000001</v>
      </c>
      <c r="M96" s="414">
        <f t="shared" si="164"/>
        <v>1159.34664</v>
      </c>
      <c r="N96" s="414">
        <f t="shared" si="164"/>
        <v>1190.5178759999999</v>
      </c>
      <c r="O96" s="414">
        <f t="shared" si="164"/>
        <v>1204.5313130000002</v>
      </c>
      <c r="P96" s="414">
        <f t="shared" si="164"/>
        <v>1198.727601</v>
      </c>
      <c r="Q96" s="414">
        <f t="shared" si="164"/>
        <v>1230.4247309999998</v>
      </c>
      <c r="R96" s="414">
        <f t="shared" si="164"/>
        <v>1275.0790200000001</v>
      </c>
      <c r="S96" s="414">
        <f t="shared" si="156"/>
        <v>1299.7436950000001</v>
      </c>
      <c r="T96" s="414">
        <f t="shared" si="156"/>
        <v>1336.315196</v>
      </c>
      <c r="U96" s="414">
        <f t="shared" si="157"/>
        <v>1336.1334850000001</v>
      </c>
      <c r="V96" s="414">
        <f t="shared" si="157"/>
        <v>1306.8525239999999</v>
      </c>
      <c r="W96" s="414">
        <f t="shared" si="157"/>
        <v>1330.1949507999072</v>
      </c>
      <c r="X96" s="414">
        <f t="shared" si="158"/>
        <v>1328.0434625239691</v>
      </c>
      <c r="Y96" s="414">
        <f t="shared" si="158"/>
        <v>1327.069762661499</v>
      </c>
      <c r="Z96" s="414">
        <f t="shared" si="159"/>
        <v>1337.0107578887346</v>
      </c>
      <c r="AA96" s="414">
        <f t="shared" si="159"/>
        <v>1352.0447078870275</v>
      </c>
      <c r="AB96" s="414">
        <f t="shared" si="160"/>
        <v>1360.5861731075861</v>
      </c>
      <c r="AC96" s="414">
        <f t="shared" si="160"/>
        <v>1366.9566411936321</v>
      </c>
      <c r="AD96" s="414">
        <f t="shared" si="161"/>
        <v>1352.5714694606888</v>
      </c>
      <c r="AE96" s="414">
        <f t="shared" si="161"/>
        <v>1381.2726783060828</v>
      </c>
      <c r="AF96" s="414">
        <f t="shared" si="161"/>
        <v>1360.2450817645661</v>
      </c>
      <c r="AG96" s="414">
        <f t="shared" ref="AG96:AH96" si="165">AG9</f>
        <v>1286.7753692974022</v>
      </c>
      <c r="AH96" s="414">
        <f t="shared" si="165"/>
        <v>1327.4563060081482</v>
      </c>
      <c r="AI96" s="414">
        <f t="shared" ref="AI96" si="166">AI9</f>
        <v>1389.4201522017052</v>
      </c>
    </row>
    <row r="97" spans="2:35">
      <c r="B97" s="450" t="s">
        <v>1443</v>
      </c>
      <c r="C97" s="437">
        <f t="shared" si="164"/>
        <v>1070.0506350000001</v>
      </c>
      <c r="D97" s="437">
        <f t="shared" si="156"/>
        <v>1070.6405699999998</v>
      </c>
      <c r="E97" s="437">
        <f t="shared" si="156"/>
        <v>1106.5552339999999</v>
      </c>
      <c r="F97" s="437">
        <f t="shared" si="156"/>
        <v>1116.4021270000001</v>
      </c>
      <c r="G97" s="437">
        <f t="shared" si="156"/>
        <v>1154.3065789999998</v>
      </c>
      <c r="H97" s="437">
        <f t="shared" si="156"/>
        <v>1163.3698899999999</v>
      </c>
      <c r="I97" s="437">
        <f t="shared" si="156"/>
        <v>1186.2693940000001</v>
      </c>
      <c r="J97" s="437">
        <f t="shared" si="156"/>
        <v>1194.43579</v>
      </c>
      <c r="K97" s="437">
        <f t="shared" si="156"/>
        <v>1212.0689980000002</v>
      </c>
      <c r="L97" s="437">
        <f t="shared" si="156"/>
        <v>1229.8458929999999</v>
      </c>
      <c r="M97" s="437">
        <f t="shared" si="156"/>
        <v>1235.1819030000001</v>
      </c>
      <c r="N97" s="437">
        <f t="shared" si="156"/>
        <v>1159.2579250000001</v>
      </c>
      <c r="O97" s="437">
        <f t="shared" si="156"/>
        <v>1156.4219270000001</v>
      </c>
      <c r="P97" s="437">
        <f t="shared" si="156"/>
        <v>1180.6677730000001</v>
      </c>
      <c r="Q97" s="437">
        <f t="shared" si="156"/>
        <v>1186.319534</v>
      </c>
      <c r="R97" s="437">
        <f t="shared" si="156"/>
        <v>1169.1715959999999</v>
      </c>
      <c r="S97" s="437">
        <f t="shared" si="156"/>
        <v>1158.2241780000002</v>
      </c>
      <c r="T97" s="437">
        <f t="shared" si="156"/>
        <v>1153.5021100000001</v>
      </c>
      <c r="U97" s="437">
        <f t="shared" si="157"/>
        <v>1141.712863</v>
      </c>
      <c r="V97" s="437">
        <f t="shared" si="157"/>
        <v>1044.3544260000001</v>
      </c>
      <c r="W97" s="437">
        <f t="shared" si="157"/>
        <v>1103.1314380000001</v>
      </c>
      <c r="X97" s="437">
        <f t="shared" si="158"/>
        <v>1124.0696010000001</v>
      </c>
      <c r="Y97" s="437">
        <f t="shared" si="158"/>
        <v>1123.3703640000001</v>
      </c>
      <c r="Z97" s="437">
        <f t="shared" si="159"/>
        <v>1128.813811</v>
      </c>
      <c r="AA97" s="437">
        <f t="shared" si="159"/>
        <v>1136.150022</v>
      </c>
      <c r="AB97" s="437">
        <f t="shared" si="160"/>
        <v>1127.6752509999999</v>
      </c>
      <c r="AC97" s="437">
        <f t="shared" si="160"/>
        <v>1116.55188</v>
      </c>
      <c r="AD97" s="437">
        <f t="shared" si="161"/>
        <v>1125.2573340000001</v>
      </c>
      <c r="AE97" s="437">
        <f t="shared" si="161"/>
        <v>1144.5762849999999</v>
      </c>
      <c r="AF97" s="437">
        <f t="shared" si="161"/>
        <v>1145.6231869999999</v>
      </c>
      <c r="AG97" s="437">
        <f t="shared" ref="AG97:AH97" si="167">AG10</f>
        <v>1097.784568</v>
      </c>
      <c r="AH97" s="437">
        <f t="shared" si="167"/>
        <v>1139.3133160000002</v>
      </c>
      <c r="AI97" s="437">
        <f t="shared" ref="AI97" si="168">AI10</f>
        <v>1163.7761580000001</v>
      </c>
    </row>
    <row r="98" spans="2:35">
      <c r="B98" s="446" t="s">
        <v>1480</v>
      </c>
      <c r="C98" s="718">
        <f>SUM(C95:C97)</f>
        <v>2832.3324400000001</v>
      </c>
      <c r="D98" s="718">
        <f t="shared" ref="D98:U98" si="169">SUM(D95:D97)</f>
        <v>2881.3017759999998</v>
      </c>
      <c r="E98" s="718">
        <f t="shared" si="169"/>
        <v>2892.5009439999999</v>
      </c>
      <c r="F98" s="718">
        <f t="shared" si="169"/>
        <v>2995.9292850000002</v>
      </c>
      <c r="G98" s="718">
        <f t="shared" si="169"/>
        <v>3075.8939519999999</v>
      </c>
      <c r="H98" s="718">
        <f t="shared" si="169"/>
        <v>3158.988609</v>
      </c>
      <c r="I98" s="718">
        <f t="shared" si="169"/>
        <v>3248.8422630000005</v>
      </c>
      <c r="J98" s="718">
        <f t="shared" si="169"/>
        <v>3296.9419899999998</v>
      </c>
      <c r="K98" s="718">
        <f t="shared" si="169"/>
        <v>3420.1350370000005</v>
      </c>
      <c r="L98" s="718">
        <f t="shared" si="169"/>
        <v>3478.5901709999998</v>
      </c>
      <c r="M98" s="719">
        <f t="shared" si="169"/>
        <v>3586.9750340000001</v>
      </c>
      <c r="N98" s="719">
        <f t="shared" si="169"/>
        <v>3551.3823940000002</v>
      </c>
      <c r="O98" s="719">
        <f t="shared" si="169"/>
        <v>3626.1331090000003</v>
      </c>
      <c r="P98" s="719">
        <f t="shared" si="169"/>
        <v>3655.2192839999998</v>
      </c>
      <c r="Q98" s="719">
        <f t="shared" si="169"/>
        <v>3708.7258430000002</v>
      </c>
      <c r="R98" s="719">
        <f t="shared" si="169"/>
        <v>3803.477723</v>
      </c>
      <c r="S98" s="719">
        <f t="shared" si="169"/>
        <v>3809.4879090000004</v>
      </c>
      <c r="T98" s="719">
        <f t="shared" si="169"/>
        <v>3882.0583020000004</v>
      </c>
      <c r="U98" s="719">
        <f t="shared" si="169"/>
        <v>3858.5080930000004</v>
      </c>
      <c r="V98" s="719">
        <f t="shared" ref="V98:AA98" si="170">SUM(V95:V97)</f>
        <v>3715.9651029999995</v>
      </c>
      <c r="W98" s="719">
        <f t="shared" si="170"/>
        <v>3879.009783666048</v>
      </c>
      <c r="X98" s="719">
        <f t="shared" si="170"/>
        <v>3874.8349564931273</v>
      </c>
      <c r="Y98" s="719">
        <f t="shared" si="170"/>
        <v>3824.7767124099928</v>
      </c>
      <c r="Z98" s="719">
        <f t="shared" si="170"/>
        <v>3860.2512562582306</v>
      </c>
      <c r="AA98" s="719">
        <f t="shared" si="170"/>
        <v>3894.7595619135172</v>
      </c>
      <c r="AB98" s="719">
        <f>SUM(AB95:AB97)</f>
        <v>3891.4209177172397</v>
      </c>
      <c r="AC98" s="719">
        <f>SUM(AC95:AC97)</f>
        <v>3893.2364536242139</v>
      </c>
      <c r="AD98" s="719">
        <f>SUM(AD95:AD97)</f>
        <v>3854.6846064045922</v>
      </c>
      <c r="AE98" s="719">
        <f t="shared" ref="AE98:AF98" si="171">SUM(AE95:AE97)</f>
        <v>3992.2097443738849</v>
      </c>
      <c r="AF98" s="719">
        <f t="shared" si="171"/>
        <v>3942.5788294304402</v>
      </c>
      <c r="AG98" s="719">
        <f t="shared" ref="AG98:AH98" si="172">SUM(AG95:AG97)</f>
        <v>3845.4011056493482</v>
      </c>
      <c r="AH98" s="719">
        <f t="shared" si="172"/>
        <v>3931.6850827209887</v>
      </c>
      <c r="AI98" s="719">
        <f t="shared" ref="AI98" si="173">SUM(AI95:AI97)</f>
        <v>4054.197727678034</v>
      </c>
    </row>
    <row r="100" spans="2:35" ht="15">
      <c r="B100" s="452" t="s">
        <v>2049</v>
      </c>
    </row>
    <row r="101" spans="2:35">
      <c r="B101" s="444" t="s">
        <v>1434</v>
      </c>
      <c r="C101" s="439">
        <f>C95/C$98</f>
        <v>0.32623949291771698</v>
      </c>
      <c r="D101" s="439">
        <f t="shared" ref="D101:T103" si="174">D95/D$98</f>
        <v>0.33159225387573565</v>
      </c>
      <c r="E101" s="439">
        <f t="shared" si="174"/>
        <v>0.32357423769954002</v>
      </c>
      <c r="F101" s="439">
        <f t="shared" si="174"/>
        <v>0.33204415837872486</v>
      </c>
      <c r="G101" s="439">
        <f t="shared" si="174"/>
        <v>0.32786620661751609</v>
      </c>
      <c r="H101" s="439">
        <f t="shared" si="174"/>
        <v>0.33001115231308514</v>
      </c>
      <c r="I101" s="439">
        <f t="shared" si="174"/>
        <v>0.33319923294780163</v>
      </c>
      <c r="J101" s="439">
        <f t="shared" si="174"/>
        <v>0.32632666824689871</v>
      </c>
      <c r="K101" s="439">
        <f t="shared" si="174"/>
        <v>0.33042821636401953</v>
      </c>
      <c r="L101" s="439">
        <f t="shared" si="174"/>
        <v>0.32913422154322536</v>
      </c>
      <c r="M101" s="439">
        <f t="shared" si="174"/>
        <v>0.3324379120838899</v>
      </c>
      <c r="N101" s="439">
        <f t="shared" si="174"/>
        <v>0.33834897504422334</v>
      </c>
      <c r="O101" s="439">
        <f t="shared" si="174"/>
        <v>0.34890607458944217</v>
      </c>
      <c r="P101" s="439">
        <f t="shared" si="174"/>
        <v>0.34904168830162036</v>
      </c>
      <c r="Q101" s="439">
        <f t="shared" si="174"/>
        <v>0.34836265410087897</v>
      </c>
      <c r="R101" s="439">
        <f t="shared" si="174"/>
        <v>0.35736428763092826</v>
      </c>
      <c r="S101" s="439">
        <f t="shared" si="174"/>
        <v>0.35477735283186063</v>
      </c>
      <c r="T101" s="439">
        <f t="shared" si="174"/>
        <v>0.3586347467483243</v>
      </c>
      <c r="U101" s="439">
        <f t="shared" ref="U101:W103" si="175">U95/U$98</f>
        <v>0.35782268994193867</v>
      </c>
      <c r="V101" s="439">
        <f t="shared" si="175"/>
        <v>0.36726882927350252</v>
      </c>
      <c r="W101" s="439">
        <f t="shared" si="175"/>
        <v>0.3726939284746601</v>
      </c>
      <c r="X101" s="439">
        <f t="shared" ref="X101:Y103" si="176">X95/X$98</f>
        <v>0.36716967533935313</v>
      </c>
      <c r="Y101" s="439">
        <f t="shared" si="176"/>
        <v>0.35932465842758282</v>
      </c>
      <c r="Z101" s="439">
        <f t="shared" ref="Z101:AA103" si="177">Z95/Z$98</f>
        <v>0.36122692405289802</v>
      </c>
      <c r="AA101" s="439">
        <f>AA95/AA$98</f>
        <v>0.36114291772492274</v>
      </c>
      <c r="AB101" s="439">
        <f>AB95/AB$98</f>
        <v>0.36057767157009735</v>
      </c>
      <c r="AC101" s="439">
        <f>AC95/AC$98</f>
        <v>0.36209666410532709</v>
      </c>
      <c r="AD101" s="439">
        <f>AD95/AD$98</f>
        <v>0.35719026159915784</v>
      </c>
      <c r="AE101" s="439">
        <f>AE95/AE$98</f>
        <v>0.36730554629157591</v>
      </c>
      <c r="AF101" s="439">
        <f t="shared" ref="AF101" si="178">AF95/AF$98</f>
        <v>0.3644088356436051</v>
      </c>
      <c r="AG101" s="439">
        <f t="shared" ref="AG101:AH101" si="179">AG95/AG$98</f>
        <v>0.37989305360260017</v>
      </c>
      <c r="AH101" s="439">
        <f t="shared" si="179"/>
        <v>0.37259226766428122</v>
      </c>
      <c r="AI101" s="439">
        <f t="shared" ref="AI101" si="180">AI95/AI$98</f>
        <v>0.37023389540894425</v>
      </c>
    </row>
    <row r="102" spans="2:35">
      <c r="B102" s="445" t="s">
        <v>1441</v>
      </c>
      <c r="C102" s="440">
        <f t="shared" ref="C102:R103" si="181">C96/C$98</f>
        <v>0.2959621173565346</v>
      </c>
      <c r="D102" s="440">
        <f t="shared" si="181"/>
        <v>0.29682550544473063</v>
      </c>
      <c r="E102" s="440">
        <f t="shared" si="181"/>
        <v>0.29386573711002395</v>
      </c>
      <c r="F102" s="440">
        <f t="shared" si="181"/>
        <v>0.29531616264433957</v>
      </c>
      <c r="G102" s="440">
        <f t="shared" si="181"/>
        <v>0.29685863857766709</v>
      </c>
      <c r="H102" s="440">
        <f t="shared" si="181"/>
        <v>0.30171594961898768</v>
      </c>
      <c r="I102" s="440">
        <f t="shared" si="181"/>
        <v>0.30166472843621706</v>
      </c>
      <c r="J102" s="440">
        <f t="shared" si="181"/>
        <v>0.31138737293949176</v>
      </c>
      <c r="K102" s="440">
        <f t="shared" si="181"/>
        <v>0.31517963686765382</v>
      </c>
      <c r="L102" s="440">
        <f t="shared" si="181"/>
        <v>0.31731855600646441</v>
      </c>
      <c r="M102" s="440">
        <f t="shared" si="181"/>
        <v>0.32321012245997138</v>
      </c>
      <c r="N102" s="440">
        <f t="shared" si="181"/>
        <v>0.33522660866128062</v>
      </c>
      <c r="O102" s="440">
        <f t="shared" si="181"/>
        <v>0.33218066650955919</v>
      </c>
      <c r="P102" s="440">
        <f t="shared" si="181"/>
        <v>0.32794957234089711</v>
      </c>
      <c r="Q102" s="440">
        <f t="shared" si="181"/>
        <v>0.33176481171353051</v>
      </c>
      <c r="R102" s="440">
        <f t="shared" si="181"/>
        <v>0.33524030186622972</v>
      </c>
      <c r="S102" s="440">
        <f t="shared" si="174"/>
        <v>0.34118593523537022</v>
      </c>
      <c r="T102" s="440">
        <f t="shared" si="174"/>
        <v>0.34422852312948077</v>
      </c>
      <c r="U102" s="440">
        <f t="shared" si="175"/>
        <v>0.346282410920422</v>
      </c>
      <c r="V102" s="440">
        <f t="shared" si="175"/>
        <v>0.35168589795015631</v>
      </c>
      <c r="W102" s="440">
        <f t="shared" si="175"/>
        <v>0.34292126727835714</v>
      </c>
      <c r="X102" s="440">
        <f t="shared" si="176"/>
        <v>0.34273549130100212</v>
      </c>
      <c r="Y102" s="440">
        <f t="shared" si="176"/>
        <v>0.34696659764624849</v>
      </c>
      <c r="Z102" s="440">
        <f t="shared" si="177"/>
        <v>0.3463532990815496</v>
      </c>
      <c r="AA102" s="440">
        <f t="shared" si="177"/>
        <v>0.34714458913164853</v>
      </c>
      <c r="AB102" s="440">
        <f t="shared" ref="AB102:AF103" si="182">AB96/AB$98</f>
        <v>0.34963736945365559</v>
      </c>
      <c r="AC102" s="440">
        <f t="shared" si="182"/>
        <v>0.35111061387528419</v>
      </c>
      <c r="AD102" s="440">
        <f t="shared" si="182"/>
        <v>0.35089030817550665</v>
      </c>
      <c r="AE102" s="440">
        <f t="shared" si="182"/>
        <v>0.34599201112934352</v>
      </c>
      <c r="AF102" s="440">
        <f t="shared" si="182"/>
        <v>0.34501404806687713</v>
      </c>
      <c r="AG102" s="440">
        <f t="shared" ref="AG102:AH102" si="183">AG96/AG$98</f>
        <v>0.33462708673146668</v>
      </c>
      <c r="AH102" s="440">
        <f t="shared" si="183"/>
        <v>0.33763037427439629</v>
      </c>
      <c r="AI102" s="440">
        <f t="shared" ref="AI102" si="184">AI96/AI$98</f>
        <v>0.34271149202125117</v>
      </c>
    </row>
    <row r="103" spans="2:35">
      <c r="B103" s="445" t="s">
        <v>1443</v>
      </c>
      <c r="C103" s="441">
        <f t="shared" si="181"/>
        <v>0.37779838972574842</v>
      </c>
      <c r="D103" s="441">
        <f t="shared" si="174"/>
        <v>0.37158224067953372</v>
      </c>
      <c r="E103" s="441">
        <f t="shared" si="174"/>
        <v>0.38256002519043603</v>
      </c>
      <c r="F103" s="441">
        <f t="shared" si="174"/>
        <v>0.37263967897693551</v>
      </c>
      <c r="G103" s="441">
        <f t="shared" si="174"/>
        <v>0.37527515480481682</v>
      </c>
      <c r="H103" s="441">
        <f t="shared" si="174"/>
        <v>0.36827289806792712</v>
      </c>
      <c r="I103" s="441">
        <f t="shared" si="174"/>
        <v>0.36513603861598126</v>
      </c>
      <c r="J103" s="441">
        <f t="shared" si="174"/>
        <v>0.36228595881360959</v>
      </c>
      <c r="K103" s="441">
        <f t="shared" si="174"/>
        <v>0.35439214676832659</v>
      </c>
      <c r="L103" s="441">
        <f t="shared" si="174"/>
        <v>0.35354722245031034</v>
      </c>
      <c r="M103" s="441">
        <f t="shared" si="174"/>
        <v>0.34435196545613878</v>
      </c>
      <c r="N103" s="441">
        <f t="shared" si="174"/>
        <v>0.32642441629449609</v>
      </c>
      <c r="O103" s="441">
        <f t="shared" si="174"/>
        <v>0.31891325890099859</v>
      </c>
      <c r="P103" s="441">
        <f t="shared" si="174"/>
        <v>0.32300873935748259</v>
      </c>
      <c r="Q103" s="441">
        <f t="shared" si="174"/>
        <v>0.31987253418559036</v>
      </c>
      <c r="R103" s="441">
        <f t="shared" si="174"/>
        <v>0.30739541050284203</v>
      </c>
      <c r="S103" s="441">
        <f t="shared" si="174"/>
        <v>0.30403671193276915</v>
      </c>
      <c r="T103" s="441">
        <f t="shared" si="174"/>
        <v>0.29713673012219488</v>
      </c>
      <c r="U103" s="441">
        <f t="shared" si="175"/>
        <v>0.29589489913763928</v>
      </c>
      <c r="V103" s="441">
        <f t="shared" si="175"/>
        <v>0.28104527277634134</v>
      </c>
      <c r="W103" s="441">
        <f t="shared" si="175"/>
        <v>0.28438480424698281</v>
      </c>
      <c r="X103" s="441">
        <f t="shared" si="176"/>
        <v>0.29009483335964475</v>
      </c>
      <c r="Y103" s="441">
        <f t="shared" si="176"/>
        <v>0.29370874392616875</v>
      </c>
      <c r="Z103" s="441">
        <f t="shared" si="177"/>
        <v>0.29241977686555237</v>
      </c>
      <c r="AA103" s="441">
        <f t="shared" si="177"/>
        <v>0.29171249314342862</v>
      </c>
      <c r="AB103" s="441">
        <f t="shared" si="182"/>
        <v>0.28978495897624701</v>
      </c>
      <c r="AC103" s="441">
        <f t="shared" si="182"/>
        <v>0.28679272201938871</v>
      </c>
      <c r="AD103" s="441">
        <f t="shared" si="182"/>
        <v>0.29191943022533551</v>
      </c>
      <c r="AE103" s="441">
        <f t="shared" si="182"/>
        <v>0.28670244257908062</v>
      </c>
      <c r="AF103" s="441">
        <f t="shared" si="182"/>
        <v>0.29057711628951777</v>
      </c>
      <c r="AG103" s="441">
        <f t="shared" ref="AG103:AH103" si="185">AG97/AG$98</f>
        <v>0.28547985966593314</v>
      </c>
      <c r="AH103" s="441">
        <f t="shared" si="185"/>
        <v>0.28977735806132249</v>
      </c>
      <c r="AI103" s="441">
        <f t="shared" ref="AI103" si="186">AI97/AI$98</f>
        <v>0.28705461256980458</v>
      </c>
    </row>
    <row r="104" spans="2:35">
      <c r="B104" s="446" t="s">
        <v>1480</v>
      </c>
      <c r="C104" s="453">
        <f>SUM(C101:C103)</f>
        <v>1</v>
      </c>
      <c r="D104" s="453">
        <f t="shared" ref="D104:U104" si="187">SUM(D101:D103)</f>
        <v>1</v>
      </c>
      <c r="E104" s="453">
        <f t="shared" si="187"/>
        <v>1</v>
      </c>
      <c r="F104" s="453">
        <f t="shared" si="187"/>
        <v>1</v>
      </c>
      <c r="G104" s="453">
        <f t="shared" si="187"/>
        <v>1</v>
      </c>
      <c r="H104" s="453">
        <f t="shared" si="187"/>
        <v>1</v>
      </c>
      <c r="I104" s="453">
        <f t="shared" si="187"/>
        <v>1</v>
      </c>
      <c r="J104" s="453">
        <f t="shared" si="187"/>
        <v>1</v>
      </c>
      <c r="K104" s="453">
        <f t="shared" si="187"/>
        <v>1</v>
      </c>
      <c r="L104" s="453">
        <f t="shared" si="187"/>
        <v>1</v>
      </c>
      <c r="M104" s="453">
        <f t="shared" si="187"/>
        <v>1</v>
      </c>
      <c r="N104" s="453">
        <f t="shared" si="187"/>
        <v>1</v>
      </c>
      <c r="O104" s="453">
        <f t="shared" si="187"/>
        <v>1</v>
      </c>
      <c r="P104" s="453">
        <f t="shared" si="187"/>
        <v>1</v>
      </c>
      <c r="Q104" s="453">
        <f t="shared" si="187"/>
        <v>0.99999999999999978</v>
      </c>
      <c r="R104" s="453">
        <f t="shared" si="187"/>
        <v>1</v>
      </c>
      <c r="S104" s="453">
        <f t="shared" si="187"/>
        <v>1</v>
      </c>
      <c r="T104" s="453">
        <f t="shared" si="187"/>
        <v>0.99999999999999989</v>
      </c>
      <c r="U104" s="453">
        <f t="shared" si="187"/>
        <v>1</v>
      </c>
      <c r="V104" s="453">
        <f t="shared" ref="V104:AA104" si="188">SUM(V101:V103)</f>
        <v>1.0000000000000002</v>
      </c>
      <c r="W104" s="453">
        <f t="shared" si="188"/>
        <v>1</v>
      </c>
      <c r="X104" s="453">
        <f t="shared" si="188"/>
        <v>1</v>
      </c>
      <c r="Y104" s="453">
        <f t="shared" si="188"/>
        <v>1</v>
      </c>
      <c r="Z104" s="453">
        <f t="shared" si="188"/>
        <v>1</v>
      </c>
      <c r="AA104" s="453">
        <f t="shared" si="188"/>
        <v>0.99999999999999989</v>
      </c>
      <c r="AB104" s="453">
        <f>SUM(AB101:AB103)</f>
        <v>0.99999999999999989</v>
      </c>
      <c r="AC104" s="453">
        <f>SUM(AC101:AC103)</f>
        <v>1</v>
      </c>
      <c r="AD104" s="453">
        <f>SUM(AD101:AD103)</f>
        <v>1</v>
      </c>
      <c r="AE104" s="453">
        <f t="shared" ref="AE104:AF104" si="189">SUM(AE101:AE103)</f>
        <v>1</v>
      </c>
      <c r="AF104" s="453">
        <f t="shared" si="189"/>
        <v>1</v>
      </c>
      <c r="AG104" s="453">
        <f t="shared" ref="AG104:AH104" si="190">SUM(AG101:AG103)</f>
        <v>1</v>
      </c>
      <c r="AH104" s="453">
        <f t="shared" si="190"/>
        <v>1</v>
      </c>
      <c r="AI104" s="453">
        <f t="shared" ref="AI104" si="191">SUM(AI101:AI103)</f>
        <v>1</v>
      </c>
    </row>
    <row r="107" spans="2:35">
      <c r="B107" s="5" t="s">
        <v>1476</v>
      </c>
    </row>
    <row r="108" spans="2:35">
      <c r="B108" s="136" t="s">
        <v>2050</v>
      </c>
      <c r="C108" s="412">
        <f>SUM('US Territories'!D9:D10)</f>
        <v>242.83919299999999</v>
      </c>
      <c r="D108" s="412">
        <f>SUM('US Territories'!E9:E10)</f>
        <v>225.22807999999802</v>
      </c>
      <c r="E108" s="412">
        <f>SUM('US Territories'!F9:F10)</f>
        <v>192.353332999998</v>
      </c>
      <c r="F108" s="412">
        <f>SUM('US Territories'!G9:G10)</f>
        <v>201.722981</v>
      </c>
      <c r="G108" s="412">
        <f>SUM('US Territories'!H9:H10)</f>
        <v>205.581067999997</v>
      </c>
      <c r="H108" s="412">
        <f>SUM('US Territories'!I9:I10)</f>
        <v>209.43915400000299</v>
      </c>
      <c r="I108" s="412">
        <f>SUM('US Territories'!J9:J10)</f>
        <v>214.95071399999699</v>
      </c>
      <c r="J108" s="412">
        <f>SUM('US Territories'!K9:K10)</f>
        <v>218.47811600000199</v>
      </c>
      <c r="K108" s="412">
        <f>SUM('US Territories'!L9:L10)</f>
        <v>220.903199</v>
      </c>
      <c r="L108" s="412">
        <f>SUM('US Territories'!M9:M10)</f>
        <v>204.47875999999999</v>
      </c>
      <c r="M108" s="412">
        <f>SUM('US Territories'!N9:N10)</f>
        <v>243.43665200000299</v>
      </c>
      <c r="N108" s="412">
        <f>SUM('US Territories'!O9:O10)</f>
        <v>312.58945000000296</v>
      </c>
      <c r="O108" s="412">
        <f>SUM('US Territories'!P9:P10)</f>
        <v>1006.562449999996</v>
      </c>
      <c r="P108" s="412">
        <f>SUM('US Territories'!Q9:Q10)</f>
        <v>1322.04508776533</v>
      </c>
      <c r="Q108" s="412">
        <f>SUM('US Territories'!R9:R10)</f>
        <v>1457.0189700000401</v>
      </c>
      <c r="R108" s="412">
        <f>SUM('US Territories'!S9:S10)</f>
        <v>1489.7351599999699</v>
      </c>
      <c r="S108" s="412">
        <f>SUM('US Territories'!T9:T10)</f>
        <v>1678.8938399999699</v>
      </c>
      <c r="T108" s="412">
        <f>SUM('US Territories'!U9:U10)</f>
        <v>1681.16039844434</v>
      </c>
      <c r="U108" s="412">
        <f>SUM('US Territories'!V9:V10)</f>
        <v>1698.7495552080202</v>
      </c>
      <c r="V108" s="412">
        <f>SUM('US Territories'!W9:W10)</f>
        <v>1685.3909999999701</v>
      </c>
      <c r="W108" s="412">
        <f>SUM('US Territories'!X9:X10)</f>
        <v>1581.82000000004</v>
      </c>
      <c r="X108" s="412">
        <f>SUM('US Territories'!Y9:Y10)</f>
        <v>1699.11624999996</v>
      </c>
      <c r="Y108" s="412">
        <f>SUM('US Territories'!Z9:Z10)</f>
        <v>1647.4758007599698</v>
      </c>
      <c r="Z108" s="412">
        <f>SUM('US Territories'!AA9:AA10)</f>
        <v>1650.1720933899999</v>
      </c>
      <c r="AA108" s="412">
        <f>SUM('US Territories'!AB9:AB10)</f>
        <v>1733.3238316328</v>
      </c>
      <c r="AB108" s="412">
        <f>SUM('US Territories'!AC9:AC10)</f>
        <v>1665.6351963384</v>
      </c>
      <c r="AC108" s="412">
        <f>SUM('US Territories'!AD9:AD10)</f>
        <v>1652.4348875546</v>
      </c>
      <c r="AD108" s="412">
        <f>SUM('US Territories'!AE9:AE10)</f>
        <v>1165.554854</v>
      </c>
      <c r="AE108" s="412">
        <f>SUM('US Territories'!AF9:AF10)</f>
        <v>1304.0717870000001</v>
      </c>
      <c r="AF108" s="412">
        <f>SUM('US Territories'!AG9:AG10)</f>
        <v>1800.7945840000002</v>
      </c>
      <c r="AG108" s="412">
        <f>SUM('US Territories'!AH9:AH10)</f>
        <v>1547.8537202499999</v>
      </c>
      <c r="AH108" s="412">
        <f>SUM('US Territories'!AI9:AI10)</f>
        <v>1476.7092441300001</v>
      </c>
      <c r="AI108" s="412">
        <f>SUM('US Territories'!AJ9:AJ10)</f>
        <v>1476.7092441300001</v>
      </c>
    </row>
    <row r="109" spans="2:35">
      <c r="B109" s="98" t="s">
        <v>2051</v>
      </c>
      <c r="C109" s="437">
        <f>SUM('US Territories'!D11:D18)</f>
        <v>153.50918999999999</v>
      </c>
      <c r="D109" s="437">
        <f>SUM('US Territories'!E11:E18)</f>
        <v>154.98422000000005</v>
      </c>
      <c r="E109" s="437">
        <f>SUM('US Territories'!F11:F18)</f>
        <v>158.47699000000006</v>
      </c>
      <c r="F109" s="437">
        <f>SUM('US Territories'!G11:G18)</f>
        <v>163.95749397260278</v>
      </c>
      <c r="G109" s="437">
        <f>SUM('US Territories'!H11:H18)</f>
        <v>174.12749000000005</v>
      </c>
      <c r="H109" s="437">
        <f>SUM('US Territories'!I11:I18)</f>
        <v>165.82222000000002</v>
      </c>
      <c r="I109" s="437">
        <f>SUM('US Territories'!J11:J18)</f>
        <v>162.86640229508203</v>
      </c>
      <c r="J109" s="437">
        <f>SUM('US Territories'!K11:K18)</f>
        <v>166.60441000000006</v>
      </c>
      <c r="K109" s="437">
        <f>SUM('US Territories'!L11:L18)</f>
        <v>161.58722000000006</v>
      </c>
      <c r="L109" s="437">
        <f>SUM('US Territories'!M11:M18)</f>
        <v>163.73723287671228</v>
      </c>
      <c r="M109" s="437">
        <f>SUM('US Territories'!N11:N18)</f>
        <v>305.81785245901636</v>
      </c>
      <c r="N109" s="437">
        <f>SUM('US Territories'!O11:O18)</f>
        <v>352.59442314701801</v>
      </c>
      <c r="O109" s="437">
        <f>SUM('US Territories'!P11:P18)</f>
        <v>343.29987397260282</v>
      </c>
      <c r="P109" s="437">
        <f>SUM('US Territories'!Q11:Q18)</f>
        <v>361.91569031880425</v>
      </c>
      <c r="Q109" s="437">
        <f>SUM('US Territories'!R11:R18)</f>
        <v>371.7328524590165</v>
      </c>
      <c r="R109" s="437">
        <f>SUM('US Territories'!S11:S18)</f>
        <v>366.37503263013707</v>
      </c>
      <c r="S109" s="437">
        <f>SUM('US Territories'!T11:T18)</f>
        <v>346.61938381149298</v>
      </c>
      <c r="T109" s="437">
        <f>SUM('US Territories'!U11:U18)</f>
        <v>326.60085867055932</v>
      </c>
      <c r="U109" s="437">
        <f>SUM('US Territories'!V11:V18)</f>
        <v>257.15206883654321</v>
      </c>
      <c r="V109" s="437">
        <f>SUM('US Territories'!W11:W18)</f>
        <v>246.96560680623762</v>
      </c>
      <c r="W109" s="437">
        <f>SUM('US Territories'!X11:X18)</f>
        <v>210.96655890410963</v>
      </c>
      <c r="X109" s="437">
        <f>SUM('US Territories'!Y11:Y18)</f>
        <v>206.89004858964415</v>
      </c>
      <c r="Y109" s="437">
        <f>SUM('US Territories'!Z11:Z18)</f>
        <v>190.34925921119532</v>
      </c>
      <c r="Z109" s="437">
        <f>SUM('US Territories'!AA11:AA18)</f>
        <v>153.80328022984853</v>
      </c>
      <c r="AA109" s="437">
        <f>SUM('US Territories'!AB11:AB18)</f>
        <v>155.1701663978634</v>
      </c>
      <c r="AB109" s="437">
        <f>SUM('US Territories'!AC11:AC18)</f>
        <v>156.58934363013702</v>
      </c>
      <c r="AC109" s="437">
        <f>SUM('US Territories'!AD11:AD18)</f>
        <v>139.93107317800099</v>
      </c>
      <c r="AD109" s="437">
        <f>SUM('US Territories'!AE11:AE18)</f>
        <v>149.53804873630835</v>
      </c>
      <c r="AE109" s="437">
        <f>SUM('US Territories'!AF11:AF18)</f>
        <v>142.679966544541</v>
      </c>
      <c r="AF109" s="437">
        <f>SUM('US Territories'!AG11:AG18)</f>
        <v>121.34820863468035</v>
      </c>
      <c r="AG109" s="437">
        <f>SUM('US Territories'!AH11:AH18)</f>
        <v>118.92797434029477</v>
      </c>
      <c r="AH109" s="437">
        <f>SUM('US Territories'!AI11:AI18)</f>
        <v>116.67654593287419</v>
      </c>
      <c r="AI109" s="437">
        <f>SUM('US Territories'!AJ11:AJ18)</f>
        <v>116.67654593287419</v>
      </c>
    </row>
    <row r="110" spans="2:35">
      <c r="B110" s="446" t="s">
        <v>1480</v>
      </c>
      <c r="C110" s="718">
        <f>SUM(C108:C109)</f>
        <v>396.34838300000001</v>
      </c>
      <c r="D110" s="718">
        <f t="shared" ref="D110:U110" si="192">SUM(D108:D109)</f>
        <v>380.21229999999809</v>
      </c>
      <c r="E110" s="718">
        <f t="shared" si="192"/>
        <v>350.83032299999809</v>
      </c>
      <c r="F110" s="718">
        <f t="shared" si="192"/>
        <v>365.68047497260278</v>
      </c>
      <c r="G110" s="718">
        <f t="shared" si="192"/>
        <v>379.70855799999708</v>
      </c>
      <c r="H110" s="718">
        <f t="shared" si="192"/>
        <v>375.261374000003</v>
      </c>
      <c r="I110" s="718">
        <f t="shared" si="192"/>
        <v>377.81711629507902</v>
      </c>
      <c r="J110" s="718">
        <f t="shared" si="192"/>
        <v>385.08252600000208</v>
      </c>
      <c r="K110" s="718">
        <f t="shared" si="192"/>
        <v>382.49041900000009</v>
      </c>
      <c r="L110" s="718">
        <f t="shared" si="192"/>
        <v>368.21599287671228</v>
      </c>
      <c r="M110" s="718">
        <f t="shared" si="192"/>
        <v>549.25450445901936</v>
      </c>
      <c r="N110" s="718">
        <f t="shared" si="192"/>
        <v>665.1838731470209</v>
      </c>
      <c r="O110" s="718">
        <f t="shared" si="192"/>
        <v>1349.8623239725989</v>
      </c>
      <c r="P110" s="718">
        <f t="shared" si="192"/>
        <v>1683.9607780841343</v>
      </c>
      <c r="Q110" s="718">
        <f t="shared" si="192"/>
        <v>1828.7518224590567</v>
      </c>
      <c r="R110" s="718">
        <f t="shared" si="192"/>
        <v>1856.1101926301071</v>
      </c>
      <c r="S110" s="718">
        <f t="shared" si="192"/>
        <v>2025.5132238114629</v>
      </c>
      <c r="T110" s="718">
        <f t="shared" si="192"/>
        <v>2007.7612571148993</v>
      </c>
      <c r="U110" s="718">
        <f t="shared" si="192"/>
        <v>1955.9016240445635</v>
      </c>
      <c r="V110" s="718">
        <f t="shared" ref="V110:AA110" si="193">SUM(V108:V109)</f>
        <v>1932.3566068062078</v>
      </c>
      <c r="W110" s="718">
        <f t="shared" si="193"/>
        <v>1792.7865589041496</v>
      </c>
      <c r="X110" s="718">
        <f t="shared" si="193"/>
        <v>1906.0062985896043</v>
      </c>
      <c r="Y110" s="718">
        <f t="shared" si="193"/>
        <v>1837.825059971165</v>
      </c>
      <c r="Z110" s="718">
        <f t="shared" si="193"/>
        <v>1803.9753736198484</v>
      </c>
      <c r="AA110" s="718">
        <f t="shared" si="193"/>
        <v>1888.4939980306633</v>
      </c>
      <c r="AB110" s="718">
        <f>SUM(AB108:AB109)</f>
        <v>1822.2245399685371</v>
      </c>
      <c r="AC110" s="718">
        <f>SUM(AC108:AC109)</f>
        <v>1792.365960732601</v>
      </c>
      <c r="AD110" s="718">
        <f>SUM(AD108:AD109)</f>
        <v>1315.0929027363084</v>
      </c>
      <c r="AE110" s="718">
        <f t="shared" ref="AE110:AF110" si="194">SUM(AE108:AE109)</f>
        <v>1446.7517535445411</v>
      </c>
      <c r="AF110" s="718">
        <f t="shared" si="194"/>
        <v>1922.1427926346805</v>
      </c>
      <c r="AG110" s="718">
        <f t="shared" ref="AG110:AH110" si="195">SUM(AG108:AG109)</f>
        <v>1666.7816945902946</v>
      </c>
      <c r="AH110" s="718">
        <f t="shared" si="195"/>
        <v>1593.3857900628743</v>
      </c>
      <c r="AI110" s="718">
        <f t="shared" ref="AI110" si="196">SUM(AI108:AI109)</f>
        <v>1593.3857900628743</v>
      </c>
    </row>
    <row r="112" spans="2:35">
      <c r="B112" s="136" t="s">
        <v>2050</v>
      </c>
      <c r="C112" s="439">
        <f>C108/C$110</f>
        <v>0.61269126711688893</v>
      </c>
      <c r="D112" s="439">
        <f t="shared" ref="D112:T112" si="197">D108/D$110</f>
        <v>0.5923745233912715</v>
      </c>
      <c r="E112" s="439">
        <f t="shared" si="197"/>
        <v>0.54828023802263826</v>
      </c>
      <c r="F112" s="439">
        <f t="shared" si="197"/>
        <v>0.55163727572579124</v>
      </c>
      <c r="G112" s="439">
        <f t="shared" si="197"/>
        <v>0.54141805252648156</v>
      </c>
      <c r="H112" s="439">
        <f t="shared" si="197"/>
        <v>0.55811540571719298</v>
      </c>
      <c r="I112" s="439">
        <f t="shared" si="197"/>
        <v>0.56892794087210785</v>
      </c>
      <c r="J112" s="439">
        <f t="shared" si="197"/>
        <v>0.56735401179954037</v>
      </c>
      <c r="K112" s="439">
        <f t="shared" si="197"/>
        <v>0.5775391696804828</v>
      </c>
      <c r="L112" s="439">
        <f t="shared" si="197"/>
        <v>0.55532286471995929</v>
      </c>
      <c r="M112" s="439">
        <f t="shared" si="197"/>
        <v>0.44321284581866571</v>
      </c>
      <c r="N112" s="439">
        <f t="shared" si="197"/>
        <v>0.46992938737544154</v>
      </c>
      <c r="O112" s="439">
        <f t="shared" si="197"/>
        <v>0.74567786071524467</v>
      </c>
      <c r="P112" s="439">
        <f t="shared" si="197"/>
        <v>0.7850806889157117</v>
      </c>
      <c r="Q112" s="439">
        <f t="shared" si="197"/>
        <v>0.7967286496211603</v>
      </c>
      <c r="R112" s="439">
        <f t="shared" si="197"/>
        <v>0.80261137830885787</v>
      </c>
      <c r="S112" s="439">
        <f t="shared" si="197"/>
        <v>0.82887330492997235</v>
      </c>
      <c r="T112" s="439">
        <f t="shared" si="197"/>
        <v>0.83733082929397873</v>
      </c>
      <c r="U112" s="439">
        <f t="shared" ref="U112:W113" si="198">U108/U$110</f>
        <v>0.86852504968793653</v>
      </c>
      <c r="V112" s="439">
        <f t="shared" si="198"/>
        <v>0.87219460117435488</v>
      </c>
      <c r="W112" s="439">
        <f t="shared" si="198"/>
        <v>0.88232477655730301</v>
      </c>
      <c r="X112" s="439">
        <f t="shared" ref="X112:Z113" si="199">X108/X$110</f>
        <v>0.89145363856208781</v>
      </c>
      <c r="Y112" s="439">
        <f t="shared" si="199"/>
        <v>0.89642688884970279</v>
      </c>
      <c r="Z112" s="439">
        <f t="shared" si="199"/>
        <v>0.91474202892180978</v>
      </c>
      <c r="AA112" s="439">
        <f t="shared" ref="AA112:AC113" si="200">AA108/AA$110</f>
        <v>0.91783391074598275</v>
      </c>
      <c r="AB112" s="439">
        <f t="shared" si="200"/>
        <v>0.91406693291879337</v>
      </c>
      <c r="AC112" s="439">
        <f t="shared" si="200"/>
        <v>0.92192940713915006</v>
      </c>
      <c r="AD112" s="439">
        <f>AD108/AD$110</f>
        <v>0.88629088604678408</v>
      </c>
      <c r="AE112" s="439">
        <f t="shared" ref="AE112:AF112" si="201">AE108/AE$110</f>
        <v>0.90137909548409034</v>
      </c>
      <c r="AF112" s="439">
        <f t="shared" si="201"/>
        <v>0.93686826540688561</v>
      </c>
      <c r="AG112" s="439">
        <f t="shared" ref="AG112:AH112" si="202">AG108/AG$110</f>
        <v>0.92864813986961392</v>
      </c>
      <c r="AH112" s="439">
        <f t="shared" si="202"/>
        <v>0.92677445307939499</v>
      </c>
      <c r="AI112" s="439">
        <f t="shared" ref="AI112" si="203">AI108/AI$110</f>
        <v>0.92677445307939499</v>
      </c>
    </row>
    <row r="113" spans="2:35">
      <c r="B113" s="98" t="s">
        <v>2051</v>
      </c>
      <c r="C113" s="441">
        <f>C109/C$110</f>
        <v>0.38730873288311102</v>
      </c>
      <c r="D113" s="441">
        <f t="shared" ref="D113:T113" si="204">D109/D$110</f>
        <v>0.40762547660872839</v>
      </c>
      <c r="E113" s="441">
        <f t="shared" si="204"/>
        <v>0.45171976197736169</v>
      </c>
      <c r="F113" s="441">
        <f t="shared" si="204"/>
        <v>0.4483627242742087</v>
      </c>
      <c r="G113" s="441">
        <f t="shared" si="204"/>
        <v>0.45858194747351833</v>
      </c>
      <c r="H113" s="441">
        <f t="shared" si="204"/>
        <v>0.44188459428280696</v>
      </c>
      <c r="I113" s="441">
        <f t="shared" si="204"/>
        <v>0.4310720591278922</v>
      </c>
      <c r="J113" s="441">
        <f t="shared" si="204"/>
        <v>0.43264598820045957</v>
      </c>
      <c r="K113" s="441">
        <f t="shared" si="204"/>
        <v>0.42246083031951714</v>
      </c>
      <c r="L113" s="441">
        <f t="shared" si="204"/>
        <v>0.44467713528004071</v>
      </c>
      <c r="M113" s="441">
        <f t="shared" si="204"/>
        <v>0.55678715418133429</v>
      </c>
      <c r="N113" s="441">
        <f t="shared" si="204"/>
        <v>0.53007061262455857</v>
      </c>
      <c r="O113" s="441">
        <f t="shared" si="204"/>
        <v>0.25432213928475533</v>
      </c>
      <c r="P113" s="441">
        <f t="shared" si="204"/>
        <v>0.2149193110842883</v>
      </c>
      <c r="Q113" s="441">
        <f t="shared" si="204"/>
        <v>0.20327135037883967</v>
      </c>
      <c r="R113" s="441">
        <f t="shared" si="204"/>
        <v>0.19738862169114207</v>
      </c>
      <c r="S113" s="441">
        <f t="shared" si="204"/>
        <v>0.1711266950700277</v>
      </c>
      <c r="T113" s="441">
        <f t="shared" si="204"/>
        <v>0.16266917070602122</v>
      </c>
      <c r="U113" s="441">
        <f t="shared" si="198"/>
        <v>0.13147495031206347</v>
      </c>
      <c r="V113" s="441">
        <f t="shared" si="198"/>
        <v>0.12780539882564507</v>
      </c>
      <c r="W113" s="441">
        <f t="shared" si="198"/>
        <v>0.11767522344269697</v>
      </c>
      <c r="X113" s="441">
        <f t="shared" si="199"/>
        <v>0.10854636143791208</v>
      </c>
      <c r="Y113" s="441">
        <f t="shared" si="199"/>
        <v>0.10357311115029733</v>
      </c>
      <c r="Z113" s="441">
        <f t="shared" si="199"/>
        <v>8.5257971078190276E-2</v>
      </c>
      <c r="AA113" s="441">
        <f t="shared" si="200"/>
        <v>8.2166089254017277E-2</v>
      </c>
      <c r="AB113" s="441">
        <f t="shared" si="200"/>
        <v>8.5933067081206543E-2</v>
      </c>
      <c r="AC113" s="441">
        <f t="shared" si="200"/>
        <v>7.8070592860849913E-2</v>
      </c>
      <c r="AD113" s="441">
        <f>AD109/AD$110</f>
        <v>0.1137091139532159</v>
      </c>
      <c r="AE113" s="441">
        <f t="shared" ref="AE113:AF113" si="205">AE109/AE$110</f>
        <v>9.862090451590963E-2</v>
      </c>
      <c r="AF113" s="441">
        <f t="shared" si="205"/>
        <v>6.3131734593114386E-2</v>
      </c>
      <c r="AG113" s="441">
        <f t="shared" ref="AG113:AH113" si="206">AG109/AG$110</f>
        <v>7.1351860130386191E-2</v>
      </c>
      <c r="AH113" s="441">
        <f t="shared" si="206"/>
        <v>7.3225546920604956E-2</v>
      </c>
      <c r="AI113" s="441">
        <f t="shared" ref="AI113" si="207">AI109/AI$110</f>
        <v>7.3225546920604956E-2</v>
      </c>
    </row>
    <row r="114" spans="2:35">
      <c r="B114" s="446" t="s">
        <v>1480</v>
      </c>
      <c r="C114" s="453">
        <f t="shared" ref="C114:U114" si="208">SUM(C112:C113)</f>
        <v>1</v>
      </c>
      <c r="D114" s="453">
        <f t="shared" si="208"/>
        <v>0.99999999999999989</v>
      </c>
      <c r="E114" s="453">
        <f t="shared" si="208"/>
        <v>1</v>
      </c>
      <c r="F114" s="453">
        <f t="shared" si="208"/>
        <v>1</v>
      </c>
      <c r="G114" s="453">
        <f t="shared" si="208"/>
        <v>0.99999999999999989</v>
      </c>
      <c r="H114" s="453">
        <f t="shared" si="208"/>
        <v>1</v>
      </c>
      <c r="I114" s="453">
        <f t="shared" si="208"/>
        <v>1</v>
      </c>
      <c r="J114" s="453">
        <f t="shared" si="208"/>
        <v>1</v>
      </c>
      <c r="K114" s="453">
        <f t="shared" si="208"/>
        <v>1</v>
      </c>
      <c r="L114" s="453">
        <f t="shared" si="208"/>
        <v>1</v>
      </c>
      <c r="M114" s="453">
        <f t="shared" si="208"/>
        <v>1</v>
      </c>
      <c r="N114" s="453">
        <f t="shared" si="208"/>
        <v>1</v>
      </c>
      <c r="O114" s="453">
        <f t="shared" si="208"/>
        <v>1</v>
      </c>
      <c r="P114" s="453">
        <f t="shared" si="208"/>
        <v>1</v>
      </c>
      <c r="Q114" s="453">
        <f t="shared" si="208"/>
        <v>1</v>
      </c>
      <c r="R114" s="453">
        <f t="shared" si="208"/>
        <v>1</v>
      </c>
      <c r="S114" s="453">
        <f t="shared" si="208"/>
        <v>1</v>
      </c>
      <c r="T114" s="453">
        <f t="shared" si="208"/>
        <v>1</v>
      </c>
      <c r="U114" s="453">
        <f t="shared" si="208"/>
        <v>1</v>
      </c>
      <c r="V114" s="453">
        <f t="shared" ref="V114:AA114" si="209">SUM(V112:V113)</f>
        <v>1</v>
      </c>
      <c r="W114" s="453">
        <f t="shared" si="209"/>
        <v>1</v>
      </c>
      <c r="X114" s="453">
        <f t="shared" si="209"/>
        <v>0.99999999999999989</v>
      </c>
      <c r="Y114" s="453">
        <f t="shared" si="209"/>
        <v>1</v>
      </c>
      <c r="Z114" s="453">
        <f t="shared" si="209"/>
        <v>1</v>
      </c>
      <c r="AA114" s="453">
        <f t="shared" si="209"/>
        <v>1</v>
      </c>
      <c r="AB114" s="453">
        <f>SUM(AB112:AB113)</f>
        <v>0.99999999999999989</v>
      </c>
      <c r="AC114" s="453">
        <f>SUM(AC112:AC113)</f>
        <v>1</v>
      </c>
      <c r="AD114" s="453">
        <f>SUM(AD112:AD113)</f>
        <v>1</v>
      </c>
      <c r="AE114" s="453">
        <f t="shared" ref="AE114:AF114" si="210">SUM(AE112:AE113)</f>
        <v>1</v>
      </c>
      <c r="AF114" s="453">
        <f t="shared" si="210"/>
        <v>1</v>
      </c>
      <c r="AG114" s="453">
        <f t="shared" ref="AG114:AH114" si="211">SUM(AG112:AG113)</f>
        <v>1</v>
      </c>
      <c r="AH114" s="453">
        <f t="shared" si="211"/>
        <v>1</v>
      </c>
      <c r="AI114" s="453">
        <f t="shared" ref="AI114" si="212">SUM(AI112:AI113)</f>
        <v>1</v>
      </c>
    </row>
  </sheetData>
  <phoneticPr fontId="10" type="noConversion"/>
  <printOptions gridLines="1" gridLinesSet="0"/>
  <pageMargins left="0.5" right="0.5" top="0.5" bottom="0.75" header="0.27" footer="0.21"/>
  <pageSetup scale="87" orientation="landscape" r:id="rId1"/>
  <headerFooter alignWithMargins="0">
    <oddHeader>&amp;L&amp;12GREENHOUSE GAS INVENTORY:  ENERGY</oddHeader>
    <oddFooter>&amp;LPage &amp;P of &amp;N&amp;C&amp;F  &amp;A&amp;R&amp;D  &amp;T</oddFooter>
  </headerFooter>
  <rowBreaks count="1" manualBreakCount="1">
    <brk id="50" min="1" max="12" man="1"/>
  </rowBreaks>
  <legacyDrawing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3"/>
  <dimension ref="A1:BO105"/>
  <sheetViews>
    <sheetView workbookViewId="0">
      <selection activeCell="C8" sqref="C8"/>
    </sheetView>
  </sheetViews>
  <sheetFormatPr defaultColWidth="10.6640625" defaultRowHeight="12.95"/>
  <cols>
    <col min="1" max="1" width="3" style="253" customWidth="1"/>
    <col min="2" max="2" width="24" style="253" customWidth="1"/>
    <col min="3" max="26" width="11" style="253" hidden="1" customWidth="1"/>
    <col min="27" max="27" width="14.33203125" style="253" hidden="1" customWidth="1"/>
    <col min="28" max="28" width="15" style="253" hidden="1" customWidth="1"/>
    <col min="29" max="29" width="14.1640625" style="253" hidden="1" customWidth="1"/>
    <col min="30" max="30" width="10.83203125" style="253" hidden="1" customWidth="1"/>
    <col min="31" max="32" width="11" style="253" hidden="1" customWidth="1"/>
    <col min="33" max="33" width="11" style="253" customWidth="1"/>
    <col min="34" max="35" width="12" style="253" customWidth="1"/>
    <col min="36" max="36" width="11" style="253" customWidth="1"/>
    <col min="37" max="37" width="18.6640625" style="253" customWidth="1"/>
    <col min="38" max="38" width="25.6640625" style="253" customWidth="1"/>
    <col min="39" max="39" width="24.6640625" style="253" customWidth="1"/>
    <col min="40" max="40" width="21" style="253" customWidth="1"/>
    <col min="41" max="42" width="10.6640625" style="253"/>
    <col min="43" max="43" width="12.6640625" style="253" customWidth="1"/>
    <col min="44" max="49" width="10.6640625" style="253"/>
    <col min="50" max="56" width="15" style="253" bestFit="1" customWidth="1"/>
    <col min="57" max="16384" width="10.6640625" style="253"/>
  </cols>
  <sheetData>
    <row r="1" spans="1:67" ht="21.6">
      <c r="A1" s="407" t="s">
        <v>2052</v>
      </c>
    </row>
    <row r="2" spans="1:67">
      <c r="A2" s="253" t="s">
        <v>2053</v>
      </c>
    </row>
    <row r="4" spans="1:67" ht="15">
      <c r="B4" s="395" t="s">
        <v>2054</v>
      </c>
    </row>
    <row r="5" spans="1:67">
      <c r="B5" s="404" t="s">
        <v>2055</v>
      </c>
      <c r="C5" s="390">
        <v>1990</v>
      </c>
      <c r="D5" s="391">
        <v>1991</v>
      </c>
      <c r="E5" s="390">
        <v>1992</v>
      </c>
      <c r="F5" s="391">
        <v>1993</v>
      </c>
      <c r="G5" s="390">
        <v>1994</v>
      </c>
      <c r="H5" s="391">
        <v>1995</v>
      </c>
      <c r="I5" s="390">
        <v>1996</v>
      </c>
      <c r="J5" s="391">
        <v>1997</v>
      </c>
      <c r="K5" s="390">
        <v>1998</v>
      </c>
      <c r="L5" s="391">
        <v>1999</v>
      </c>
      <c r="M5" s="390">
        <v>2000</v>
      </c>
      <c r="N5" s="391">
        <v>2001</v>
      </c>
      <c r="O5" s="390">
        <v>2002</v>
      </c>
      <c r="P5" s="391">
        <v>2003</v>
      </c>
      <c r="Q5" s="391">
        <v>2004</v>
      </c>
      <c r="R5" s="391">
        <v>2005</v>
      </c>
      <c r="S5" s="391">
        <v>2006</v>
      </c>
      <c r="T5" s="391">
        <v>2007</v>
      </c>
      <c r="U5" s="391">
        <v>2008</v>
      </c>
      <c r="V5" s="391">
        <v>2009</v>
      </c>
      <c r="W5" s="391">
        <v>2010</v>
      </c>
      <c r="X5" s="391">
        <v>2011</v>
      </c>
      <c r="Y5" s="391">
        <v>2012</v>
      </c>
      <c r="Z5" s="391">
        <v>2013</v>
      </c>
      <c r="AA5" s="391">
        <v>2014</v>
      </c>
      <c r="AB5" s="391">
        <v>2015</v>
      </c>
      <c r="AC5" s="391">
        <v>2016</v>
      </c>
      <c r="AD5" s="391">
        <v>2017</v>
      </c>
      <c r="AE5" s="391">
        <v>2018</v>
      </c>
      <c r="AF5" s="391">
        <v>2019</v>
      </c>
      <c r="AG5" s="391">
        <v>2020</v>
      </c>
      <c r="AH5" s="391">
        <v>2021</v>
      </c>
      <c r="AI5" s="391">
        <v>2022</v>
      </c>
      <c r="AJ5" s="564"/>
      <c r="AK5" s="700" t="s">
        <v>1528</v>
      </c>
      <c r="AL5" s="395" t="s">
        <v>2056</v>
      </c>
      <c r="AM5" s="395" t="s">
        <v>2057</v>
      </c>
      <c r="AQ5" s="1"/>
      <c r="AR5" s="1"/>
    </row>
    <row r="6" spans="1:67">
      <c r="B6" s="392" t="s">
        <v>1474</v>
      </c>
      <c r="C6" s="73">
        <f>SUM(C7:C9)</f>
        <v>1838.6621387919095</v>
      </c>
      <c r="D6" s="73">
        <f t="shared" ref="D6:T6" si="0">SUM(D7:D9)</f>
        <v>1836.037856938789</v>
      </c>
      <c r="E6" s="73">
        <f t="shared" si="0"/>
        <v>1849.5070184841697</v>
      </c>
      <c r="F6" s="73">
        <f t="shared" si="0"/>
        <v>1925.7926662568541</v>
      </c>
      <c r="G6" s="73">
        <f t="shared" si="0"/>
        <v>1950.4832603214813</v>
      </c>
      <c r="H6" s="73">
        <f t="shared" si="0"/>
        <v>1967.3654304235604</v>
      </c>
      <c r="I6" s="73">
        <f t="shared" si="0"/>
        <v>2040.9686945057285</v>
      </c>
      <c r="J6" s="73">
        <f t="shared" si="0"/>
        <v>2108.7459543511741</v>
      </c>
      <c r="K6" s="73">
        <f t="shared" si="0"/>
        <v>2198.4490894078517</v>
      </c>
      <c r="L6" s="73">
        <f t="shared" si="0"/>
        <v>2211.6195773872387</v>
      </c>
      <c r="M6" s="73">
        <f t="shared" si="0"/>
        <v>2319.363878350091</v>
      </c>
      <c r="N6" s="73">
        <f t="shared" si="0"/>
        <v>2280.2859969418414</v>
      </c>
      <c r="O6" s="73">
        <f t="shared" si="0"/>
        <v>2296.5214013067716</v>
      </c>
      <c r="P6" s="73">
        <f t="shared" si="0"/>
        <v>2329.0579982165709</v>
      </c>
      <c r="Q6" s="73">
        <f t="shared" si="0"/>
        <v>2361.5508636251557</v>
      </c>
      <c r="R6" s="73">
        <f t="shared" si="0"/>
        <v>2427.7618702726663</v>
      </c>
      <c r="S6" s="73">
        <f t="shared" si="0"/>
        <v>2371.9152672570467</v>
      </c>
      <c r="T6" s="73">
        <f t="shared" si="0"/>
        <v>2439.124244343559</v>
      </c>
      <c r="U6" s="73">
        <f t="shared" ref="U6:Z6" si="1">SUM(U7:U9)</f>
        <v>2387.0748496164169</v>
      </c>
      <c r="V6" s="73">
        <f t="shared" si="1"/>
        <v>2171.1881874819142</v>
      </c>
      <c r="W6" s="73">
        <f t="shared" si="1"/>
        <v>2286.5306590821065</v>
      </c>
      <c r="X6" s="73">
        <f t="shared" si="1"/>
        <v>2184.8564649936061</v>
      </c>
      <c r="Y6" s="73">
        <f t="shared" si="1"/>
        <v>2048.0768610836712</v>
      </c>
      <c r="Z6" s="73">
        <f t="shared" si="1"/>
        <v>2064.884031206178</v>
      </c>
      <c r="AA6" s="73">
        <f>SUM(AA7:AA9)</f>
        <v>2064.0364986807513</v>
      </c>
      <c r="AB6" s="73">
        <f>SUM(AB7:AB9)</f>
        <v>1925.5258817248523</v>
      </c>
      <c r="AC6" s="73">
        <f>SUM(AC7:AC9)</f>
        <v>1833.4794011886258</v>
      </c>
      <c r="AD6" s="73">
        <f>SUM(AD7:AD9)</f>
        <v>1755.2781737727378</v>
      </c>
      <c r="AE6" s="73">
        <f t="shared" ref="AE6:AF6" si="2">SUM(AE7:AE9)</f>
        <v>1776.4983671452544</v>
      </c>
      <c r="AF6" s="73">
        <f t="shared" si="2"/>
        <v>1626.8901859033808</v>
      </c>
      <c r="AG6" s="73">
        <f t="shared" ref="AG6:AH6" si="3">SUM(AG7:AG9)</f>
        <v>1458.510919758178</v>
      </c>
      <c r="AH6" s="73">
        <f t="shared" si="3"/>
        <v>1561.329935042269</v>
      </c>
      <c r="AI6" s="73">
        <f t="shared" ref="AI6" si="4">SUM(AI7:AI9)</f>
        <v>1551.7394684458793</v>
      </c>
      <c r="AJ6" s="73"/>
      <c r="AK6" s="63">
        <f>(AI6-AH6)/AH6</f>
        <v>-6.1424983798379698E-3</v>
      </c>
      <c r="AL6" s="701" t="s">
        <v>2058</v>
      </c>
      <c r="AM6" s="701" t="s">
        <v>2058</v>
      </c>
      <c r="AN6" s="701"/>
      <c r="AQ6" s="1"/>
      <c r="AR6" s="1"/>
      <c r="AX6" s="387"/>
      <c r="AY6" s="387"/>
      <c r="AZ6" s="387"/>
      <c r="BA6" s="387"/>
      <c r="BB6" s="387"/>
      <c r="BC6" s="387"/>
      <c r="BD6" s="387"/>
    </row>
    <row r="7" spans="1:67" ht="15">
      <c r="B7" s="393" t="s">
        <v>1798</v>
      </c>
      <c r="C7" s="74">
        <f>'Inventory Table'!L21</f>
        <v>1819.9505893384999</v>
      </c>
      <c r="D7" s="74">
        <f>'Inventory Table'!M21</f>
        <v>1817.3586844666013</v>
      </c>
      <c r="E7" s="74">
        <f>'Inventory Table'!N21</f>
        <v>1830.6879594436025</v>
      </c>
      <c r="F7" s="74">
        <f>'Inventory Table'!O21</f>
        <v>1906.1720738783793</v>
      </c>
      <c r="G7" s="74">
        <f>'Inventory Table'!P21</f>
        <v>1930.4684738502765</v>
      </c>
      <c r="H7" s="74">
        <f>'Inventory Table'!Q21</f>
        <v>1947.1732378878787</v>
      </c>
      <c r="I7" s="74">
        <f>'Inventory Table'!R21</f>
        <v>2020.2429705095549</v>
      </c>
      <c r="J7" s="74">
        <f>'Inventory Table'!S21</f>
        <v>2087.5198032038875</v>
      </c>
      <c r="K7" s="74">
        <f>'Inventory Table'!T21</f>
        <v>2176.5546251532555</v>
      </c>
      <c r="L7" s="74">
        <f>'Inventory Table'!U21</f>
        <v>2189.6658226865443</v>
      </c>
      <c r="M7" s="74">
        <f>'Inventory Table'!V21</f>
        <v>2296.1716711514159</v>
      </c>
      <c r="N7" s="74">
        <f>'Inventory Table'!W21</f>
        <v>2257.203682742846</v>
      </c>
      <c r="O7" s="74">
        <f>'Inventory Table'!X21</f>
        <v>2272.2270983113667</v>
      </c>
      <c r="P7" s="74">
        <f>'Inventory Table'!Y21</f>
        <v>2303.6783787819459</v>
      </c>
      <c r="Q7" s="74">
        <f>'Inventory Table'!Z21</f>
        <v>2335.0826618336023</v>
      </c>
      <c r="R7" s="74">
        <f>'Inventory Table'!AA21</f>
        <v>2400.057485640647</v>
      </c>
      <c r="S7" s="74">
        <f>'Inventory Table'!AB21</f>
        <v>2344.3955347500892</v>
      </c>
      <c r="T7" s="74">
        <f>'Inventory Table'!AC21</f>
        <v>2411.1373189079404</v>
      </c>
      <c r="U7" s="74">
        <f>'Inventory Table'!AD21</f>
        <v>2359.3320917121573</v>
      </c>
      <c r="V7" s="74">
        <f>'Inventory Table'!AE21</f>
        <v>2145.345900756452</v>
      </c>
      <c r="W7" s="74">
        <f>'Inventory Table'!AF21</f>
        <v>2258.638992053367</v>
      </c>
      <c r="X7" s="74">
        <f>'Inventory Table'!AG21</f>
        <v>2158.0671407665527</v>
      </c>
      <c r="Y7" s="74">
        <f>'Inventory Table'!AH21</f>
        <v>2023.2558169491451</v>
      </c>
      <c r="Z7" s="74">
        <f>'Inventory Table'!AI21</f>
        <v>2038.2701275465363</v>
      </c>
      <c r="AA7" s="74">
        <f>'Inventory Table'!AJ21</f>
        <v>2037.1658489458662</v>
      </c>
      <c r="AB7" s="74">
        <f>'Inventory Table'!AK21</f>
        <v>1900.6377895750654</v>
      </c>
      <c r="AC7" s="74">
        <f>'Inventory Table'!AL21</f>
        <v>1808.8715159836302</v>
      </c>
      <c r="AD7" s="74">
        <f>'Inventory Table'!AM21</f>
        <v>1732.0327184453904</v>
      </c>
      <c r="AE7" s="74">
        <f>'Inventory Table'!AN21</f>
        <v>1753.4323681393168</v>
      </c>
      <c r="AF7" s="74">
        <f>'Inventory Table'!AO21</f>
        <v>1606.7207957152386</v>
      </c>
      <c r="AG7" s="74">
        <f>'Inventory Table'!AP21</f>
        <v>1439.5657139027048</v>
      </c>
      <c r="AH7" s="74">
        <f>'Inventory Table'!AQ21</f>
        <v>1540.9327798504842</v>
      </c>
      <c r="AI7" s="74">
        <f>'Inventory Table'!AR21</f>
        <v>1531.6800774009748</v>
      </c>
      <c r="AJ7" s="74"/>
      <c r="AK7" s="63">
        <f>(AI7-AH7)/AH7</f>
        <v>-6.004611343531239E-3</v>
      </c>
      <c r="AL7" s="63">
        <f>AI7/SUM($AI$7,$AI$11,$AI$15,$AI$19,$AI$23)</f>
        <v>0.32825588290742941</v>
      </c>
      <c r="AM7" s="63">
        <f>AI7/$AI$84</f>
        <v>0.3265923992416046</v>
      </c>
      <c r="AQ7" s="1"/>
      <c r="AR7" s="1"/>
      <c r="AX7" s="387"/>
      <c r="AY7" s="387"/>
      <c r="AZ7" s="387"/>
      <c r="BA7" s="387"/>
      <c r="BB7" s="387"/>
      <c r="BC7" s="387"/>
      <c r="BD7" s="387"/>
    </row>
    <row r="8" spans="1:67" ht="15">
      <c r="B8" s="393" t="s">
        <v>2059</v>
      </c>
      <c r="C8" s="74">
        <f>[4]Summary!C5</f>
        <v>0.47182152740240701</v>
      </c>
      <c r="D8" s="74">
        <f>[4]Summary!D5</f>
        <v>0.47100512485002222</v>
      </c>
      <c r="E8" s="74">
        <f>[4]Summary!E5</f>
        <v>0.47453243799532646</v>
      </c>
      <c r="F8" s="74">
        <f>[4]Summary!F5</f>
        <v>0.49474352124618981</v>
      </c>
      <c r="G8" s="74">
        <f>[4]Summary!G5</f>
        <v>0.50468333191702497</v>
      </c>
      <c r="H8" s="74">
        <f>[4]Summary!H5</f>
        <v>0.50915671882281399</v>
      </c>
      <c r="I8" s="74">
        <f>[4]Summary!I5</f>
        <v>0.52260999425750521</v>
      </c>
      <c r="J8" s="74">
        <f>[4]Summary!J5</f>
        <v>0.540905894788409</v>
      </c>
      <c r="K8" s="74">
        <f>[4]Summary!K5</f>
        <v>0.58903403443339131</v>
      </c>
      <c r="L8" s="74">
        <f>[4]Summary!L5</f>
        <v>0.60371032920386847</v>
      </c>
      <c r="M8" s="74">
        <f>[4]Summary!M5</f>
        <v>0.66102292737755564</v>
      </c>
      <c r="N8" s="74">
        <f>[4]Summary!N5</f>
        <v>0.70524018449077674</v>
      </c>
      <c r="O8" s="74">
        <f>[4]Summary!O5</f>
        <v>0.79997898781411381</v>
      </c>
      <c r="P8" s="74">
        <f>[4]Summary!P5</f>
        <v>0.83161192731271016</v>
      </c>
      <c r="Q8" s="74">
        <f>[4]Summary!Q5</f>
        <v>0.89877797487523248</v>
      </c>
      <c r="R8" s="74">
        <f>[4]Summary!R5</f>
        <v>0.975057423747973</v>
      </c>
      <c r="S8" s="74">
        <f>[4]Summary!S5</f>
        <v>1.0004139323841688</v>
      </c>
      <c r="T8" s="74">
        <f>[4]Summary!T5</f>
        <v>1.0784682842193716</v>
      </c>
      <c r="U8" s="74">
        <f>[4]Summary!U5</f>
        <v>1.0571441573198843</v>
      </c>
      <c r="V8" s="74">
        <f>[4]Summary!V5</f>
        <v>1.0508648961514861</v>
      </c>
      <c r="W8" s="74">
        <f>[4]Summary!W5</f>
        <v>1.1198279344612863</v>
      </c>
      <c r="X8" s="74">
        <f>[4]Summary!X5</f>
        <v>1.1144327446038025</v>
      </c>
      <c r="Y8" s="74">
        <f>[4]Summary!Y5</f>
        <v>1.2497938775108766</v>
      </c>
      <c r="Z8" s="74">
        <f>[4]Summary!Z5</f>
        <v>1.174795846996987</v>
      </c>
      <c r="AA8" s="74">
        <f>[4]Summary!AA5</f>
        <v>1.1889893123887905</v>
      </c>
      <c r="AB8" s="74">
        <f>[4]Summary!AB5</f>
        <v>1.2979697338480796</v>
      </c>
      <c r="AC8" s="74">
        <f>[4]Summary!AC5</f>
        <v>1.305489885008511</v>
      </c>
      <c r="AD8" s="74">
        <f>[4]Summary!AD5</f>
        <v>1.2344065635191939</v>
      </c>
      <c r="AE8" s="74">
        <f>[4]Summary!AE5</f>
        <v>1.3607862343224508</v>
      </c>
      <c r="AF8" s="74">
        <f>[4]Summary!AF5</f>
        <v>1.4033047550431343</v>
      </c>
      <c r="AG8" s="74">
        <f>[4]Summary!AG5</f>
        <v>1.3994021477276819</v>
      </c>
      <c r="AH8" s="74">
        <f>[4]Summary!AH5</f>
        <v>1.3910428319815449</v>
      </c>
      <c r="AI8" s="74">
        <f>[4]Summary!AI5</f>
        <v>1.4666467897780791</v>
      </c>
      <c r="AJ8" s="74"/>
      <c r="AK8" s="63">
        <f>(AI8-AH8)/AH8</f>
        <v>5.4350560642935843E-2</v>
      </c>
      <c r="AL8" s="63">
        <f>AI8/SUM($AI$8,$AI$12,$AI$16,$AI$20,$AI$24)</f>
        <v>0.13010112288156242</v>
      </c>
      <c r="AM8" s="63">
        <f>AI8/$AI$85</f>
        <v>0.12969085509224762</v>
      </c>
      <c r="AO8" s="394"/>
      <c r="AQ8" s="1"/>
      <c r="AR8" s="1"/>
      <c r="AX8" s="387"/>
      <c r="AY8" s="387"/>
      <c r="AZ8" s="387"/>
      <c r="BA8" s="387"/>
      <c r="BB8" s="387"/>
      <c r="BC8" s="387"/>
      <c r="BD8" s="387"/>
    </row>
    <row r="9" spans="1:67" ht="15">
      <c r="B9" s="393" t="s">
        <v>2060</v>
      </c>
      <c r="C9" s="74">
        <f>[4]Summary!C35</f>
        <v>18.239727926007181</v>
      </c>
      <c r="D9" s="74">
        <f>[4]Summary!D35</f>
        <v>18.208167347337572</v>
      </c>
      <c r="E9" s="74">
        <f>[4]Summary!E35</f>
        <v>18.344526602572021</v>
      </c>
      <c r="F9" s="74">
        <f>[4]Summary!F35</f>
        <v>19.125848857228764</v>
      </c>
      <c r="G9" s="74">
        <f>[4]Summary!G35</f>
        <v>19.510103139287896</v>
      </c>
      <c r="H9" s="74">
        <f>[4]Summary!H35</f>
        <v>19.683035816858929</v>
      </c>
      <c r="I9" s="74">
        <f>[4]Summary!I35</f>
        <v>20.203114001916212</v>
      </c>
      <c r="J9" s="74">
        <f>[4]Summary!J35</f>
        <v>20.685245252497996</v>
      </c>
      <c r="K9" s="74">
        <f>[4]Summary!K35</f>
        <v>21.305430220162787</v>
      </c>
      <c r="L9" s="74">
        <f>[4]Summary!L35</f>
        <v>21.350044371490778</v>
      </c>
      <c r="M9" s="74">
        <f>[4]Summary!M35</f>
        <v>22.531184271297509</v>
      </c>
      <c r="N9" s="74">
        <f>[4]Summary!N35</f>
        <v>22.377074014504476</v>
      </c>
      <c r="O9" s="74">
        <f>[4]Summary!O35</f>
        <v>23.494324007590766</v>
      </c>
      <c r="P9" s="74">
        <f>[4]Summary!P35</f>
        <v>24.548007507312292</v>
      </c>
      <c r="Q9" s="74">
        <f>[4]Summary!Q35</f>
        <v>25.569423816677794</v>
      </c>
      <c r="R9" s="74">
        <f>[4]Summary!R35</f>
        <v>26.72932720827167</v>
      </c>
      <c r="S9" s="74">
        <f>[4]Summary!S35</f>
        <v>26.519318574573429</v>
      </c>
      <c r="T9" s="74">
        <f>[4]Summary!T35</f>
        <v>26.908457151399112</v>
      </c>
      <c r="U9" s="74">
        <f>[4]Summary!U35</f>
        <v>26.685613746940014</v>
      </c>
      <c r="V9" s="74">
        <f>[4]Summary!V35</f>
        <v>24.791421829311037</v>
      </c>
      <c r="W9" s="74">
        <f>[4]Summary!W35</f>
        <v>26.771839094278057</v>
      </c>
      <c r="X9" s="74">
        <f>[4]Summary!X35</f>
        <v>25.674891482449581</v>
      </c>
      <c r="Y9" s="74">
        <f>[4]Summary!Y35</f>
        <v>23.571250257014988</v>
      </c>
      <c r="Z9" s="74">
        <f>[4]Summary!Z35</f>
        <v>25.439107812644568</v>
      </c>
      <c r="AA9" s="74">
        <f>[4]Summary!AA35</f>
        <v>25.681660422496623</v>
      </c>
      <c r="AB9" s="74">
        <f>[4]Summary!AB35</f>
        <v>23.590122415938858</v>
      </c>
      <c r="AC9" s="74">
        <f>[4]Summary!AC35</f>
        <v>23.302395319987141</v>
      </c>
      <c r="AD9" s="74">
        <f>[4]Summary!AD35</f>
        <v>22.011048763828398</v>
      </c>
      <c r="AE9" s="74">
        <f>[4]Summary!AE35</f>
        <v>21.705212771615152</v>
      </c>
      <c r="AF9" s="74">
        <f>[4]Summary!AF35</f>
        <v>18.766085433099153</v>
      </c>
      <c r="AG9" s="74">
        <f>[4]Summary!AG35</f>
        <v>17.545803707745556</v>
      </c>
      <c r="AH9" s="74">
        <f>[4]Summary!AH35</f>
        <v>19.006112359803126</v>
      </c>
      <c r="AI9" s="74">
        <f>[4]Summary!AI35</f>
        <v>18.592744255126505</v>
      </c>
      <c r="AJ9" s="74"/>
      <c r="AK9" s="63">
        <f t="shared" ref="AK9:AK27" si="5">(AI9-AH9)/AH9</f>
        <v>-2.1749219243324687E-2</v>
      </c>
      <c r="AL9" s="63">
        <f>AI9/SUM($AI$9,$AI$13,$AI$17,$AI$21,$AI$25)</f>
        <v>0.487192465040027</v>
      </c>
      <c r="AM9" s="63">
        <f>AI9/$AI$86</f>
        <v>0.48653443623973736</v>
      </c>
      <c r="AO9" s="394"/>
      <c r="AQ9" s="1"/>
      <c r="AR9" s="1"/>
      <c r="AS9" s="88"/>
      <c r="AT9" s="88"/>
      <c r="AU9" s="88"/>
      <c r="AV9" s="88"/>
      <c r="AW9" s="88"/>
      <c r="AX9" s="88"/>
      <c r="AY9" s="88"/>
      <c r="AZ9" s="88"/>
      <c r="BA9" s="88"/>
      <c r="BB9" s="88"/>
      <c r="BC9" s="88"/>
      <c r="BD9" s="88"/>
      <c r="BE9" s="88"/>
      <c r="BF9" s="88"/>
      <c r="BG9" s="88"/>
      <c r="BH9" s="88"/>
      <c r="BI9" s="88"/>
      <c r="BJ9" s="88"/>
      <c r="BK9" s="88"/>
      <c r="BL9" s="88"/>
      <c r="BM9" s="88"/>
      <c r="BN9" s="88"/>
      <c r="BO9" s="88"/>
    </row>
    <row r="10" spans="1:67">
      <c r="B10" s="392" t="s">
        <v>1445</v>
      </c>
      <c r="C10" s="73">
        <f>SUM(C11:C13)</f>
        <v>1514.5770950495476</v>
      </c>
      <c r="D10" s="73">
        <f t="shared" ref="D10:T10" si="6">SUM(D11:D13)</f>
        <v>1469.2172142464383</v>
      </c>
      <c r="E10" s="73">
        <f t="shared" si="6"/>
        <v>1527.0065216941655</v>
      </c>
      <c r="F10" s="73">
        <f t="shared" si="6"/>
        <v>1559.7001446876448</v>
      </c>
      <c r="G10" s="73">
        <f t="shared" si="6"/>
        <v>1606.9796683217301</v>
      </c>
      <c r="H10" s="73">
        <f t="shared" si="6"/>
        <v>1635.2724868136413</v>
      </c>
      <c r="I10" s="73">
        <f t="shared" si="6"/>
        <v>1683.1742515245985</v>
      </c>
      <c r="J10" s="73">
        <f t="shared" si="6"/>
        <v>1700.3249734510996</v>
      </c>
      <c r="K10" s="73">
        <f t="shared" si="6"/>
        <v>1736.2207411927286</v>
      </c>
      <c r="L10" s="73">
        <f t="shared" si="6"/>
        <v>1801.1104507866987</v>
      </c>
      <c r="M10" s="73">
        <f t="shared" si="6"/>
        <v>1846.0467733690798</v>
      </c>
      <c r="N10" s="73">
        <f t="shared" si="6"/>
        <v>1814.047370671617</v>
      </c>
      <c r="O10" s="73">
        <f t="shared" si="6"/>
        <v>1852.8529015337058</v>
      </c>
      <c r="P10" s="73">
        <f t="shared" si="6"/>
        <v>1859.8737612578902</v>
      </c>
      <c r="Q10" s="73">
        <f t="shared" si="6"/>
        <v>1890.9060411724458</v>
      </c>
      <c r="R10" s="73">
        <f t="shared" si="6"/>
        <v>1899.8954767486516</v>
      </c>
      <c r="S10" s="73">
        <f t="shared" si="6"/>
        <v>1900.7283241066568</v>
      </c>
      <c r="T10" s="73">
        <f t="shared" si="6"/>
        <v>1899.2897231278328</v>
      </c>
      <c r="U10" s="73">
        <f t="shared" ref="U10:Z10" si="7">SUM(U11:U13)</f>
        <v>1795.378049466892</v>
      </c>
      <c r="V10" s="73">
        <f t="shared" si="7"/>
        <v>1722.3925869070879</v>
      </c>
      <c r="W10" s="73">
        <f t="shared" si="7"/>
        <v>1729.5111443296457</v>
      </c>
      <c r="X10" s="73">
        <f t="shared" si="7"/>
        <v>1702.1787865434196</v>
      </c>
      <c r="Y10" s="73">
        <f t="shared" si="7"/>
        <v>1688.9754550009923</v>
      </c>
      <c r="Z10" s="73">
        <f t="shared" si="7"/>
        <v>1696.8232204546489</v>
      </c>
      <c r="AA10" s="73">
        <f>SUM(AA11:AA13)</f>
        <v>1733.0382740885038</v>
      </c>
      <c r="AB10" s="73">
        <f>SUM(AB11:AB13)</f>
        <v>1742.2330818375808</v>
      </c>
      <c r="AC10" s="73">
        <f>SUM(AC11:AC13)</f>
        <v>1780.6898604365695</v>
      </c>
      <c r="AD10" s="73">
        <f>SUM(AD11:AD13)</f>
        <v>1801.9560854693841</v>
      </c>
      <c r="AE10" s="73">
        <f t="shared" ref="AE10:AF10" si="8">SUM(AE11:AE13)</f>
        <v>1833.6125191073452</v>
      </c>
      <c r="AF10" s="73">
        <f t="shared" si="8"/>
        <v>1838.5650518953914</v>
      </c>
      <c r="AG10" s="73">
        <f t="shared" ref="AG10:AH10" si="9">SUM(AG11:AG13)</f>
        <v>1591.5002047709554</v>
      </c>
      <c r="AH10" s="73">
        <f t="shared" si="9"/>
        <v>1772.9487950062935</v>
      </c>
      <c r="AI10" s="73">
        <f t="shared" ref="AI10" si="10">SUM(AI11:AI13)</f>
        <v>1799.9685580072528</v>
      </c>
      <c r="AJ10" s="73"/>
      <c r="AK10" s="63">
        <f t="shared" si="5"/>
        <v>1.5240013178645347E-2</v>
      </c>
      <c r="AL10" s="63"/>
      <c r="AQ10" s="1"/>
      <c r="AR10" s="1"/>
      <c r="AX10" s="387"/>
      <c r="AY10" s="387"/>
      <c r="AZ10" s="387"/>
      <c r="BA10" s="387"/>
      <c r="BB10" s="387"/>
      <c r="BC10" s="387"/>
      <c r="BD10" s="387"/>
    </row>
    <row r="11" spans="1:67" ht="15">
      <c r="B11" s="393" t="s">
        <v>1798</v>
      </c>
      <c r="C11" s="74">
        <f>'Inventory Table'!L8</f>
        <v>1468.9438941173537</v>
      </c>
      <c r="D11" s="74">
        <f>'Inventory Table'!M8</f>
        <v>1422.3274046383631</v>
      </c>
      <c r="E11" s="74">
        <f>'Inventory Table'!N8</f>
        <v>1477.6434261606043</v>
      </c>
      <c r="F11" s="74">
        <f>'Inventory Table'!O8</f>
        <v>1508.6070344452598</v>
      </c>
      <c r="G11" s="74">
        <f>'Inventory Table'!P8</f>
        <v>1553.9473535757436</v>
      </c>
      <c r="H11" s="74">
        <f>'Inventory Table'!Q8</f>
        <v>1580.6778576891738</v>
      </c>
      <c r="I11" s="74">
        <f>'Inventory Table'!R8</f>
        <v>1627.3631051220618</v>
      </c>
      <c r="J11" s="74">
        <f>'Inventory Table'!S8</f>
        <v>1643.5155537383682</v>
      </c>
      <c r="K11" s="74">
        <f>'Inventory Table'!T8</f>
        <v>1678.920337578081</v>
      </c>
      <c r="L11" s="74">
        <f>'Inventory Table'!U8</f>
        <v>1746.3443236253372</v>
      </c>
      <c r="M11" s="74">
        <f>'Inventory Table'!V8</f>
        <v>1792.2018918567805</v>
      </c>
      <c r="N11" s="74">
        <f>'Inventory Table'!W8</f>
        <v>1762.4640682225681</v>
      </c>
      <c r="O11" s="74">
        <f>'Inventory Table'!X8</f>
        <v>1803.0183444033823</v>
      </c>
      <c r="P11" s="74">
        <f>'Inventory Table'!Y8</f>
        <v>1811.9842870520733</v>
      </c>
      <c r="Q11" s="74">
        <f>'Inventory Table'!Z8</f>
        <v>1845.2207109142666</v>
      </c>
      <c r="R11" s="74">
        <f>'Inventory Table'!AA8</f>
        <v>1858.552169370907</v>
      </c>
      <c r="S11" s="74">
        <f>'Inventory Table'!AB8</f>
        <v>1859.1330064813542</v>
      </c>
      <c r="T11" s="74">
        <f>'Inventory Table'!AC8</f>
        <v>1860.7374975187065</v>
      </c>
      <c r="U11" s="74">
        <f>'Inventory Table'!AD8</f>
        <v>1759.6813237613826</v>
      </c>
      <c r="V11" s="74">
        <f>'Inventory Table'!AE8</f>
        <v>1688.4805744963917</v>
      </c>
      <c r="W11" s="74">
        <f>'Inventory Table'!AF8</f>
        <v>1696.6145225409641</v>
      </c>
      <c r="X11" s="74">
        <f>'Inventory Table'!AG8</f>
        <v>1670.3775602619514</v>
      </c>
      <c r="Y11" s="74">
        <f>'Inventory Table'!AH8</f>
        <v>1659.4013314710517</v>
      </c>
      <c r="Z11" s="74">
        <f>'Inventory Table'!AI8</f>
        <v>1669.0459202266231</v>
      </c>
      <c r="AA11" s="74">
        <f>'Inventory Table'!AJ8</f>
        <v>1707.346729717802</v>
      </c>
      <c r="AB11" s="74">
        <f>'Inventory Table'!AK8</f>
        <v>1718.3811610352532</v>
      </c>
      <c r="AC11" s="74">
        <f>'Inventory Table'!AL8</f>
        <v>1757.9065450174912</v>
      </c>
      <c r="AD11" s="74">
        <f>'Inventory Table'!AM8</f>
        <v>1780.3078241762498</v>
      </c>
      <c r="AE11" s="74">
        <f>'Inventory Table'!AN8</f>
        <v>1813.1346487828462</v>
      </c>
      <c r="AF11" s="74">
        <f>'Inventory Table'!AO8</f>
        <v>1816.6356739090588</v>
      </c>
      <c r="AG11" s="74">
        <f>'Inventory Table'!AP8</f>
        <v>1572.8202060743611</v>
      </c>
      <c r="AH11" s="74">
        <f>'Inventory Table'!AQ8</f>
        <v>1753.5459249194487</v>
      </c>
      <c r="AI11" s="74">
        <f>'Inventory Table'!AR8</f>
        <v>1780.7631943085448</v>
      </c>
      <c r="AJ11" s="74"/>
      <c r="AK11" s="63">
        <f t="shared" si="5"/>
        <v>1.5521275492312187E-2</v>
      </c>
      <c r="AL11" s="63">
        <f>AI11/SUM($AI$7,$AI$11,$AI$15,$AI$19,$AI$23)</f>
        <v>0.38163713377318986</v>
      </c>
      <c r="AM11" s="63">
        <f>AI11/$AI$84</f>
        <v>0.37970313297880676</v>
      </c>
      <c r="AQ11" s="1"/>
      <c r="AR11" s="1"/>
      <c r="AX11" s="387"/>
      <c r="AY11" s="387"/>
      <c r="AZ11" s="387"/>
      <c r="BA11" s="387"/>
      <c r="BB11" s="387"/>
      <c r="BC11" s="387"/>
      <c r="BD11" s="387"/>
    </row>
    <row r="12" spans="1:67" ht="15">
      <c r="B12" s="393" t="s">
        <v>2059</v>
      </c>
      <c r="C12" s="74">
        <f>'[25]Summary Table'!C23</f>
        <v>7.2161423502559483</v>
      </c>
      <c r="D12" s="74">
        <f>'[25]Summary Table'!D23</f>
        <v>7.0329835118905315</v>
      </c>
      <c r="E12" s="74">
        <f>'[25]Summary Table'!E23</f>
        <v>7.0785476449182907</v>
      </c>
      <c r="F12" s="74">
        <f>'[25]Summary Table'!F23</f>
        <v>6.9885149345492223</v>
      </c>
      <c r="G12" s="74">
        <f>'[25]Summary Table'!G23</f>
        <v>6.9829619381930623</v>
      </c>
      <c r="H12" s="74">
        <f>'[25]Summary Table'!H23</f>
        <v>6.9396744723887238</v>
      </c>
      <c r="I12" s="74">
        <f>'[25]Summary Table'!I23</f>
        <v>6.833271910448266</v>
      </c>
      <c r="J12" s="74">
        <f>'[25]Summary Table'!J23</f>
        <v>6.6405485034784268</v>
      </c>
      <c r="K12" s="74">
        <f>'[25]Summary Table'!K23</f>
        <v>6.3767977679488617</v>
      </c>
      <c r="L12" s="74">
        <f>'[25]Summary Table'!L23</f>
        <v>5.7551126130297607</v>
      </c>
      <c r="M12" s="74">
        <f>'[25]Summary Table'!M23</f>
        <v>5.5066305710851999</v>
      </c>
      <c r="N12" s="74">
        <f>'[25]Summary Table'!N23</f>
        <v>5.2101358185811506</v>
      </c>
      <c r="O12" s="74">
        <f>'[25]Summary Table'!O23</f>
        <v>4.9563309758860861</v>
      </c>
      <c r="P12" s="74">
        <f>'[25]Summary Table'!P23</f>
        <v>4.7389864952944034</v>
      </c>
      <c r="Q12" s="74">
        <f>'[25]Summary Table'!Q23</f>
        <v>4.5510030984447551</v>
      </c>
      <c r="R12" s="74">
        <f>'[25]Summary Table'!R23</f>
        <v>4.3093184564700691</v>
      </c>
      <c r="S12" s="74">
        <f>'[25]Summary Table'!S23</f>
        <v>4.2368125941999812</v>
      </c>
      <c r="T12" s="74">
        <f>'[25]Summary Table'!T23</f>
        <v>4.0559867910708247</v>
      </c>
      <c r="U12" s="74">
        <f>'[25]Summary Table'!U23</f>
        <v>3.8016906727928452</v>
      </c>
      <c r="V12" s="74">
        <f>'[25]Summary Table'!V23</f>
        <v>3.6408627393582167</v>
      </c>
      <c r="W12" s="74">
        <f>'[25]Summary Table'!W23</f>
        <v>3.5955702352342698</v>
      </c>
      <c r="X12" s="74">
        <f>'[25]Summary Table'!X23</f>
        <v>3.5772621862263159</v>
      </c>
      <c r="Y12" s="74">
        <f>'[25]Summary Table'!Y23</f>
        <v>3.3828252580865601</v>
      </c>
      <c r="Z12" s="74">
        <f>'[25]Summary Table'!Z23</f>
        <v>3.30359522970583</v>
      </c>
      <c r="AA12" s="74">
        <f>'[25]Summary Table'!AA23</f>
        <v>3.1227443274255129</v>
      </c>
      <c r="AB12" s="74">
        <f>'[25]Summary Table'!AB23</f>
        <v>3.060778055075644</v>
      </c>
      <c r="AC12" s="74">
        <f>'[25]Summary Table'!AC23</f>
        <v>2.9912233333591844</v>
      </c>
      <c r="AD12" s="74">
        <f>'[25]Summary Table'!AD23</f>
        <v>2.9069741400757421</v>
      </c>
      <c r="AE12" s="74">
        <f>'[25]Summary Table'!AE23</f>
        <v>2.8200232382715855</v>
      </c>
      <c r="AF12" s="74">
        <f>'[25]Summary Table'!AF23</f>
        <v>2.8526852267559279</v>
      </c>
      <c r="AG12" s="74">
        <f>'[25]Summary Table'!AG23</f>
        <v>2.5440904223725576</v>
      </c>
      <c r="AH12" s="74">
        <f>'[25]Summary Table'!AH23</f>
        <v>2.5830269875678979</v>
      </c>
      <c r="AI12" s="74">
        <f>'[25]Summary Table'!AI23</f>
        <v>2.598675876038139</v>
      </c>
      <c r="AJ12" s="74"/>
      <c r="AK12" s="63">
        <f t="shared" si="5"/>
        <v>6.0583526790695952E-3</v>
      </c>
      <c r="AL12" s="63">
        <f>AI12/SUM($AI$8,$AI$12,$AI$16,$AI$20,$AI$24)</f>
        <v>0.2305194760143626</v>
      </c>
      <c r="AM12" s="63">
        <f>AI12/$AI$85</f>
        <v>0.22979254365802534</v>
      </c>
      <c r="AQ12" s="1"/>
      <c r="AR12" s="1"/>
      <c r="AX12" s="387"/>
      <c r="AY12" s="387"/>
      <c r="AZ12" s="387"/>
      <c r="BA12" s="387"/>
      <c r="BB12" s="387"/>
      <c r="BC12" s="387"/>
      <c r="BD12" s="387"/>
    </row>
    <row r="13" spans="1:67" ht="15">
      <c r="B13" s="393" t="s">
        <v>2060</v>
      </c>
      <c r="C13" s="74">
        <f>'[25]Summary Table'!C46</f>
        <v>38.417058581937795</v>
      </c>
      <c r="D13" s="74">
        <f>'[25]Summary Table'!D46</f>
        <v>39.85682609618479</v>
      </c>
      <c r="E13" s="74">
        <f>'[25]Summary Table'!E46</f>
        <v>42.284547888642983</v>
      </c>
      <c r="F13" s="74">
        <f>'[25]Summary Table'!F46</f>
        <v>44.104595307835787</v>
      </c>
      <c r="G13" s="74">
        <f>'[25]Summary Table'!G46</f>
        <v>46.049352807793312</v>
      </c>
      <c r="H13" s="74">
        <f>'[25]Summary Table'!H46</f>
        <v>47.654954652078771</v>
      </c>
      <c r="I13" s="74">
        <f>'[25]Summary Table'!I46</f>
        <v>48.977874492088432</v>
      </c>
      <c r="J13" s="74">
        <f>'[25]Summary Table'!J46</f>
        <v>50.168871209253012</v>
      </c>
      <c r="K13" s="74">
        <f>'[25]Summary Table'!K46</f>
        <v>50.923605846698884</v>
      </c>
      <c r="L13" s="74">
        <f>'[25]Summary Table'!L46</f>
        <v>49.011014548331829</v>
      </c>
      <c r="M13" s="74">
        <f>'[25]Summary Table'!M46</f>
        <v>48.338250941213985</v>
      </c>
      <c r="N13" s="74">
        <f>'[25]Summary Table'!N46</f>
        <v>46.373166630467672</v>
      </c>
      <c r="O13" s="74">
        <f>'[25]Summary Table'!O46</f>
        <v>44.878226154437378</v>
      </c>
      <c r="P13" s="74">
        <f>'[25]Summary Table'!P46</f>
        <v>43.150487710522405</v>
      </c>
      <c r="Q13" s="74">
        <f>'[25]Summary Table'!Q46</f>
        <v>41.134327159734482</v>
      </c>
      <c r="R13" s="74">
        <f>'[25]Summary Table'!R46</f>
        <v>37.033988921274528</v>
      </c>
      <c r="S13" s="74">
        <f>'[25]Summary Table'!S46</f>
        <v>37.358505031102595</v>
      </c>
      <c r="T13" s="74">
        <f>'[25]Summary Table'!T46</f>
        <v>34.496238818055517</v>
      </c>
      <c r="U13" s="74">
        <f>'[25]Summary Table'!U46</f>
        <v>31.895035032716532</v>
      </c>
      <c r="V13" s="74">
        <f>'[25]Summary Table'!V46</f>
        <v>30.271149671337916</v>
      </c>
      <c r="W13" s="74">
        <f>'[25]Summary Table'!W46</f>
        <v>29.301051553447373</v>
      </c>
      <c r="X13" s="74">
        <f>'[25]Summary Table'!X46</f>
        <v>28.223964095241961</v>
      </c>
      <c r="Y13" s="74">
        <f>'[25]Summary Table'!Y46</f>
        <v>26.191298271854059</v>
      </c>
      <c r="Z13" s="74">
        <f>'[25]Summary Table'!Z46</f>
        <v>24.473704998319796</v>
      </c>
      <c r="AA13" s="74">
        <f>'[25]Summary Table'!AA46</f>
        <v>22.568800043276241</v>
      </c>
      <c r="AB13" s="74">
        <f>'[25]Summary Table'!AB46</f>
        <v>20.791142747252096</v>
      </c>
      <c r="AC13" s="74">
        <f>'[25]Summary Table'!AC46</f>
        <v>19.792092085719013</v>
      </c>
      <c r="AD13" s="74">
        <f>'[25]Summary Table'!AD46</f>
        <v>18.741287153058572</v>
      </c>
      <c r="AE13" s="74">
        <f>'[25]Summary Table'!AE46</f>
        <v>17.657847086227349</v>
      </c>
      <c r="AF13" s="74">
        <f>'[25]Summary Table'!AF46</f>
        <v>19.076692759576606</v>
      </c>
      <c r="AG13" s="74">
        <f>'[25]Summary Table'!AG46</f>
        <v>16.135908274221755</v>
      </c>
      <c r="AH13" s="74">
        <f>'[25]Summary Table'!AH46</f>
        <v>16.819843099276984</v>
      </c>
      <c r="AI13" s="74">
        <f>'[25]Summary Table'!AI46</f>
        <v>16.606687822669816</v>
      </c>
      <c r="AJ13" s="74"/>
      <c r="AK13" s="63">
        <f t="shared" si="5"/>
        <v>-1.2672845718538866E-2</v>
      </c>
      <c r="AL13" s="63">
        <f>AI13/SUM($AI$9,$AI$13,$AI$17,$AI$21,$AI$25)</f>
        <v>0.43515110332601398</v>
      </c>
      <c r="AM13" s="63">
        <f>AI13/$AI$86</f>
        <v>0.43456336443632732</v>
      </c>
      <c r="AQ13" s="1"/>
      <c r="AR13" s="1"/>
      <c r="AX13" s="387"/>
      <c r="AY13" s="387"/>
      <c r="AZ13" s="387"/>
      <c r="BA13" s="387"/>
      <c r="BB13" s="387"/>
      <c r="BC13" s="387"/>
      <c r="BD13" s="387"/>
    </row>
    <row r="14" spans="1:67">
      <c r="B14" s="392" t="s">
        <v>1443</v>
      </c>
      <c r="C14" s="73">
        <f t="shared" ref="C14:T14" si="11">SUM(C15:C17)</f>
        <v>875.97228475998475</v>
      </c>
      <c r="D14" s="73">
        <f t="shared" si="11"/>
        <v>865.72089906387532</v>
      </c>
      <c r="E14" s="73">
        <f t="shared" si="11"/>
        <v>885.41615620106563</v>
      </c>
      <c r="F14" s="73">
        <f t="shared" si="11"/>
        <v>887.48249407982098</v>
      </c>
      <c r="G14" s="73">
        <f t="shared" si="11"/>
        <v>885.60645558017347</v>
      </c>
      <c r="H14" s="73">
        <f t="shared" si="11"/>
        <v>905.79311779188185</v>
      </c>
      <c r="I14" s="73">
        <f t="shared" si="11"/>
        <v>922.62251845680362</v>
      </c>
      <c r="J14" s="73">
        <f t="shared" si="11"/>
        <v>917.51158349969728</v>
      </c>
      <c r="K14" s="73">
        <f t="shared" si="11"/>
        <v>907.6500562505048</v>
      </c>
      <c r="L14" s="73">
        <f t="shared" si="11"/>
        <v>855.91218063418466</v>
      </c>
      <c r="M14" s="73">
        <f t="shared" si="11"/>
        <v>891.91092490600977</v>
      </c>
      <c r="N14" s="73">
        <f t="shared" si="11"/>
        <v>867.91321732983943</v>
      </c>
      <c r="O14" s="73">
        <f t="shared" si="11"/>
        <v>859.22338638535768</v>
      </c>
      <c r="P14" s="73">
        <f t="shared" si="11"/>
        <v>852.56985142319684</v>
      </c>
      <c r="Q14" s="73">
        <f t="shared" si="11"/>
        <v>878.00621223883866</v>
      </c>
      <c r="R14" s="73">
        <f t="shared" si="11"/>
        <v>848.02570244317212</v>
      </c>
      <c r="S14" s="73">
        <f t="shared" si="11"/>
        <v>868.38819328379384</v>
      </c>
      <c r="T14" s="73">
        <f t="shared" si="11"/>
        <v>858.09494122943033</v>
      </c>
      <c r="U14" s="73">
        <f t="shared" ref="U14:AA14" si="12">SUM(U15:U17)</f>
        <v>820.48764197271601</v>
      </c>
      <c r="V14" s="73">
        <f t="shared" si="12"/>
        <v>746.74749764809985</v>
      </c>
      <c r="W14" s="73">
        <f t="shared" si="12"/>
        <v>792.21024571688679</v>
      </c>
      <c r="X14" s="73">
        <f t="shared" si="12"/>
        <v>795.2900600488947</v>
      </c>
      <c r="Y14" s="73">
        <f t="shared" si="12"/>
        <v>803.45879035504856</v>
      </c>
      <c r="Z14" s="73">
        <f t="shared" si="12"/>
        <v>834.44082833713253</v>
      </c>
      <c r="AA14" s="73">
        <f t="shared" si="12"/>
        <v>821.29473206399632</v>
      </c>
      <c r="AB14" s="73">
        <f>SUM(AB15:AB17)</f>
        <v>798.50472868815791</v>
      </c>
      <c r="AC14" s="73">
        <f>SUM(AC15:AC17)</f>
        <v>793.42116251264372</v>
      </c>
      <c r="AD14" s="73">
        <f>SUM(AD15:AD17)</f>
        <v>782.77848850136365</v>
      </c>
      <c r="AE14" s="73">
        <f t="shared" ref="AE14:AF14" si="13">SUM(AE15:AE17)</f>
        <v>809.14711295137033</v>
      </c>
      <c r="AF14" s="73">
        <f t="shared" si="13"/>
        <v>801.94527041192373</v>
      </c>
      <c r="AG14" s="73">
        <f t="shared" ref="AG14:AH14" si="14">SUM(AG15:AG17)</f>
        <v>753.11039687814616</v>
      </c>
      <c r="AH14" s="73">
        <f t="shared" si="14"/>
        <v>772.46596103888749</v>
      </c>
      <c r="AI14" s="73">
        <f t="shared" ref="AI14" si="15">SUM(AI15:AI17)</f>
        <v>779.37487492895264</v>
      </c>
      <c r="AJ14" s="73"/>
      <c r="AK14" s="63">
        <f t="shared" si="5"/>
        <v>8.9439719528526147E-3</v>
      </c>
      <c r="AQ14" s="1"/>
      <c r="AR14" s="1"/>
      <c r="AX14" s="387"/>
      <c r="AY14" s="387"/>
      <c r="AZ14" s="387"/>
      <c r="BA14" s="387"/>
      <c r="BB14" s="387"/>
      <c r="BC14" s="387"/>
      <c r="BD14" s="387"/>
    </row>
    <row r="15" spans="1:67" ht="15">
      <c r="B15" s="393" t="s">
        <v>1798</v>
      </c>
      <c r="C15" s="74">
        <f>'Inventory Table'!L11</f>
        <v>871.14798773588757</v>
      </c>
      <c r="D15" s="74">
        <f>'Inventory Table'!M11</f>
        <v>861.01770686221812</v>
      </c>
      <c r="E15" s="74">
        <f>'Inventory Table'!N11</f>
        <v>880.61332866268185</v>
      </c>
      <c r="F15" s="74">
        <f>'Inventory Table'!O11</f>
        <v>882.63934907005455</v>
      </c>
      <c r="G15" s="74">
        <f>'Inventory Table'!P11</f>
        <v>880.59953483440188</v>
      </c>
      <c r="H15" s="74">
        <f>'Inventory Table'!Q11</f>
        <v>900.66985857084114</v>
      </c>
      <c r="I15" s="74">
        <f>'Inventory Table'!R11</f>
        <v>917.45530156632162</v>
      </c>
      <c r="J15" s="74">
        <f>'Inventory Table'!S11</f>
        <v>912.28259273862545</v>
      </c>
      <c r="K15" s="74">
        <f>'Inventory Table'!T11</f>
        <v>902.65399739323789</v>
      </c>
      <c r="L15" s="74">
        <f>'Inventory Table'!U11</f>
        <v>851.04608197834489</v>
      </c>
      <c r="M15" s="74">
        <f>'Inventory Table'!V11</f>
        <v>886.9343082673322</v>
      </c>
      <c r="N15" s="74">
        <f>'Inventory Table'!W11</f>
        <v>863.28882117831472</v>
      </c>
      <c r="O15" s="74">
        <f>'Inventory Table'!X11</f>
        <v>854.77909108294148</v>
      </c>
      <c r="P15" s="74">
        <f>'Inventory Table'!Y11</f>
        <v>848.1963217207458</v>
      </c>
      <c r="Q15" s="74">
        <f>'Inventory Table'!Z11</f>
        <v>873.38026486413344</v>
      </c>
      <c r="R15" s="74">
        <f>'Inventory Table'!AA11</f>
        <v>843.50269432319647</v>
      </c>
      <c r="S15" s="74">
        <f>'Inventory Table'!AB11</f>
        <v>863.78198645591374</v>
      </c>
      <c r="T15" s="74">
        <f>'Inventory Table'!AC11</f>
        <v>853.64893767801323</v>
      </c>
      <c r="U15" s="74">
        <f>'Inventory Table'!AD11</f>
        <v>816.29570806618426</v>
      </c>
      <c r="V15" s="74">
        <f>'Inventory Table'!AE11</f>
        <v>743.09207015314723</v>
      </c>
      <c r="W15" s="74">
        <f>'Inventory Table'!AF11</f>
        <v>788.03787367775101</v>
      </c>
      <c r="X15" s="74">
        <f>'Inventory Table'!AG11</f>
        <v>791.10599449061897</v>
      </c>
      <c r="Y15" s="74">
        <f>'Inventory Table'!AH11</f>
        <v>799.27427390614753</v>
      </c>
      <c r="Z15" s="74">
        <f>'Inventory Table'!AI11</f>
        <v>830.13485745036496</v>
      </c>
      <c r="AA15" s="74">
        <f>'Inventory Table'!AJ11</f>
        <v>817.04913278609956</v>
      </c>
      <c r="AB15" s="74">
        <f>'Inventory Table'!AK11</f>
        <v>794.35753123025074</v>
      </c>
      <c r="AC15" s="74">
        <f>'Inventory Table'!AL11</f>
        <v>789.33508463540647</v>
      </c>
      <c r="AD15" s="74">
        <f>'Inventory Table'!AM11</f>
        <v>778.82500968816032</v>
      </c>
      <c r="AE15" s="74">
        <f>'Inventory Table'!AN11</f>
        <v>805.21388172793172</v>
      </c>
      <c r="AF15" s="74">
        <f>'Inventory Table'!AO11</f>
        <v>798.12532100200428</v>
      </c>
      <c r="AG15" s="74">
        <f>'Inventory Table'!AP11</f>
        <v>749.5177051610093</v>
      </c>
      <c r="AH15" s="74">
        <f>'Inventory Table'!AQ11</f>
        <v>768.83330400406851</v>
      </c>
      <c r="AI15" s="74">
        <f>'Inventory Table'!AR11</f>
        <v>775.85903359367535</v>
      </c>
      <c r="AJ15" s="74"/>
      <c r="AK15" s="63">
        <f>(AI15-AH15)/AH15</f>
        <v>9.1381702028475887E-3</v>
      </c>
      <c r="AL15" s="63">
        <f>AI15/SUM($AI$7,$AI$11,$AI$15,$AI$19,$AI$23)</f>
        <v>0.16627512222797208</v>
      </c>
      <c r="AM15" s="63">
        <f>AI15/$AI$84</f>
        <v>0.16543249924918679</v>
      </c>
      <c r="AQ15" s="1"/>
      <c r="AR15" s="1"/>
      <c r="AX15" s="387"/>
      <c r="AY15" s="387"/>
      <c r="AZ15" s="387"/>
      <c r="BA15" s="387"/>
      <c r="BB15" s="387"/>
      <c r="BC15" s="387"/>
      <c r="BD15" s="387"/>
    </row>
    <row r="16" spans="1:67" ht="15">
      <c r="B16" s="393" t="s">
        <v>2059</v>
      </c>
      <c r="C16" s="74">
        <f>[4]Summary!C10</f>
        <v>2.0619496736661214</v>
      </c>
      <c r="D16" s="74">
        <f>[4]Summary!D10</f>
        <v>2.0137885559631781</v>
      </c>
      <c r="E16" s="74">
        <f>[4]Summary!E10</f>
        <v>2.0576807433827842</v>
      </c>
      <c r="F16" s="74">
        <f>[4]Summary!F10</f>
        <v>2.0782269604419463</v>
      </c>
      <c r="G16" s="74">
        <f>[4]Summary!G10</f>
        <v>2.1521035104574517</v>
      </c>
      <c r="H16" s="74">
        <f>[4]Summary!H10</f>
        <v>2.2055693461337631</v>
      </c>
      <c r="I16" s="74">
        <f>[4]Summary!I10</f>
        <v>2.2254684254714032</v>
      </c>
      <c r="J16" s="74">
        <f>[4]Summary!J10</f>
        <v>2.255190981615951</v>
      </c>
      <c r="K16" s="74">
        <f>[4]Summary!K10</f>
        <v>2.1513600852884558</v>
      </c>
      <c r="L16" s="74">
        <f>[4]Summary!L10</f>
        <v>2.1012506572271326</v>
      </c>
      <c r="M16" s="74">
        <f>[4]Summary!M10</f>
        <v>2.1425383830878024</v>
      </c>
      <c r="N16" s="74">
        <f>[4]Summary!N10</f>
        <v>1.9820728956403801</v>
      </c>
      <c r="O16" s="74">
        <f>[4]Summary!O10</f>
        <v>1.9077252327254421</v>
      </c>
      <c r="P16" s="74">
        <f>[4]Summary!P10</f>
        <v>1.8756641715575635</v>
      </c>
      <c r="Q16" s="74">
        <f>[4]Summary!Q10</f>
        <v>1.9835397313462124</v>
      </c>
      <c r="R16" s="74">
        <f>[4]Summary!R10</f>
        <v>1.9368858505775897</v>
      </c>
      <c r="S16" s="74">
        <f>[4]Summary!S10</f>
        <v>1.9680037417024792</v>
      </c>
      <c r="T16" s="74">
        <f>[4]Summary!T10</f>
        <v>1.9015583165044188</v>
      </c>
      <c r="U16" s="74">
        <f>[4]Summary!U10</f>
        <v>1.7988055104652105</v>
      </c>
      <c r="V16" s="74">
        <f>[4]Summary!V10</f>
        <v>1.5721061377866943</v>
      </c>
      <c r="W16" s="74">
        <f>[4]Summary!W10</f>
        <v>1.7997226859219886</v>
      </c>
      <c r="X16" s="74">
        <f>[4]Summary!X10</f>
        <v>1.8063765626934896</v>
      </c>
      <c r="Y16" s="74">
        <f>[4]Summary!Y10</f>
        <v>1.8097664570874108</v>
      </c>
      <c r="Z16" s="74">
        <f>[4]Summary!Z10</f>
        <v>1.8599072170088784</v>
      </c>
      <c r="AA16" s="74">
        <f>[4]Summary!AA10</f>
        <v>1.8424536032832171</v>
      </c>
      <c r="AB16" s="74">
        <f>[4]Summary!AB10</f>
        <v>1.7996162379014375</v>
      </c>
      <c r="AC16" s="74">
        <f>[4]Summary!AC10</f>
        <v>1.7755147763175119</v>
      </c>
      <c r="AD16" s="74">
        <f>[4]Summary!AD10</f>
        <v>1.7226913528859322</v>
      </c>
      <c r="AE16" s="74">
        <f>[4]Summary!AE10</f>
        <v>1.7159944562509655</v>
      </c>
      <c r="AF16" s="74">
        <f>[4]Summary!AF10</f>
        <v>1.6714707833533535</v>
      </c>
      <c r="AG16" s="74">
        <f>[4]Summary!AG10</f>
        <v>1.5789554223687767</v>
      </c>
      <c r="AH16" s="74">
        <f>[4]Summary!AH10</f>
        <v>1.5963896747178332</v>
      </c>
      <c r="AI16" s="74">
        <f>[4]Summary!AI10</f>
        <v>1.5475173208191193</v>
      </c>
      <c r="AJ16" s="74"/>
      <c r="AK16" s="63">
        <f t="shared" si="5"/>
        <v>-3.0614300927091786E-2</v>
      </c>
      <c r="AL16" s="63">
        <f>AI16/SUM($AI$8,$AI$12,$AI$16,$AI$20,$AI$24)</f>
        <v>0.13727486571439512</v>
      </c>
      <c r="AM16" s="63">
        <f>AI16/$AI$85</f>
        <v>0.13684197586350275</v>
      </c>
      <c r="AQ16" s="1"/>
      <c r="AR16" s="1"/>
      <c r="AX16" s="387"/>
      <c r="AY16" s="387"/>
      <c r="AZ16" s="387"/>
      <c r="BA16" s="387"/>
      <c r="BB16" s="387"/>
      <c r="BC16" s="387"/>
      <c r="BD16" s="387"/>
    </row>
    <row r="17" spans="2:56" ht="15">
      <c r="B17" s="393" t="s">
        <v>2060</v>
      </c>
      <c r="C17" s="74">
        <f>[4]Summary!C40</f>
        <v>2.7623473504310629</v>
      </c>
      <c r="D17" s="74">
        <f>[4]Summary!D40</f>
        <v>2.6894036456940245</v>
      </c>
      <c r="E17" s="74">
        <f>[4]Summary!E40</f>
        <v>2.7451467950010038</v>
      </c>
      <c r="F17" s="74">
        <f>[4]Summary!F40</f>
        <v>2.764918049324427</v>
      </c>
      <c r="G17" s="74">
        <f>[4]Summary!G40</f>
        <v>2.8548172353141403</v>
      </c>
      <c r="H17" s="74">
        <f>[4]Summary!H40</f>
        <v>2.9176898749069253</v>
      </c>
      <c r="I17" s="74">
        <f>[4]Summary!I40</f>
        <v>2.9417484650105781</v>
      </c>
      <c r="J17" s="74">
        <f>[4]Summary!J40</f>
        <v>2.9737997794559456</v>
      </c>
      <c r="K17" s="74">
        <f>[4]Summary!K40</f>
        <v>2.8446987719783632</v>
      </c>
      <c r="L17" s="74">
        <f>[4]Summary!L40</f>
        <v>2.7648479986125576</v>
      </c>
      <c r="M17" s="74">
        <f>[4]Summary!M40</f>
        <v>2.834078255589779</v>
      </c>
      <c r="N17" s="74">
        <f>[4]Summary!N40</f>
        <v>2.6423232558842802</v>
      </c>
      <c r="O17" s="74">
        <f>[4]Summary!O40</f>
        <v>2.5365700696908462</v>
      </c>
      <c r="P17" s="74">
        <f>[4]Summary!P40</f>
        <v>2.4978655308934563</v>
      </c>
      <c r="Q17" s="74">
        <f>[4]Summary!Q40</f>
        <v>2.6424076433589478</v>
      </c>
      <c r="R17" s="74">
        <f>[4]Summary!R40</f>
        <v>2.5861222693980137</v>
      </c>
      <c r="S17" s="74">
        <f>[4]Summary!S40</f>
        <v>2.638203086177703</v>
      </c>
      <c r="T17" s="74">
        <f>[4]Summary!T40</f>
        <v>2.5444452349126463</v>
      </c>
      <c r="U17" s="74">
        <f>[4]Summary!U40</f>
        <v>2.3931283960665812</v>
      </c>
      <c r="V17" s="74">
        <f>[4]Summary!V40</f>
        <v>2.083321357165921</v>
      </c>
      <c r="W17" s="74">
        <f>[4]Summary!W40</f>
        <v>2.3726493532137685</v>
      </c>
      <c r="X17" s="74">
        <f>[4]Summary!X40</f>
        <v>2.3776889955822629</v>
      </c>
      <c r="Y17" s="74">
        <f>[4]Summary!Y40</f>
        <v>2.3747499918135695</v>
      </c>
      <c r="Z17" s="74">
        <f>[4]Summary!Z40</f>
        <v>2.4460636697587415</v>
      </c>
      <c r="AA17" s="74">
        <f>[4]Summary!AA40</f>
        <v>2.4031456746135951</v>
      </c>
      <c r="AB17" s="74">
        <f>[4]Summary!AB40</f>
        <v>2.3475812200056891</v>
      </c>
      <c r="AC17" s="74">
        <f>[4]Summary!AC40</f>
        <v>2.3105631009196612</v>
      </c>
      <c r="AD17" s="74">
        <f>[4]Summary!AD40</f>
        <v>2.2307874603174489</v>
      </c>
      <c r="AE17" s="74">
        <f>[4]Summary!AE40</f>
        <v>2.2172367671876008</v>
      </c>
      <c r="AF17" s="74">
        <f>[4]Summary!AF40</f>
        <v>2.148478626566102</v>
      </c>
      <c r="AG17" s="74">
        <f>[4]Summary!AG40</f>
        <v>2.0137362947681883</v>
      </c>
      <c r="AH17" s="74">
        <f>[4]Summary!AH40</f>
        <v>2.0362673601012147</v>
      </c>
      <c r="AI17" s="74">
        <f>[4]Summary!AI40</f>
        <v>1.9683240144582177</v>
      </c>
      <c r="AJ17" s="74"/>
      <c r="AK17" s="63">
        <f t="shared" si="5"/>
        <v>-3.3366613330982127E-2</v>
      </c>
      <c r="AL17" s="63">
        <f>AI17/SUM($AI$9,$AI$13,$AI$17,$AI$21,$AI$25)</f>
        <v>5.1576712691940169E-2</v>
      </c>
      <c r="AM17" s="63">
        <f>AI17/$AI$86</f>
        <v>5.1507050361729922E-2</v>
      </c>
      <c r="AQ17" s="1"/>
      <c r="AR17" s="1"/>
      <c r="AX17" s="387"/>
      <c r="AY17" s="387"/>
      <c r="AZ17" s="387"/>
      <c r="BA17" s="387"/>
      <c r="BB17" s="387"/>
      <c r="BC17" s="387"/>
      <c r="BD17" s="387"/>
    </row>
    <row r="18" spans="2:56">
      <c r="B18" s="392" t="s">
        <v>1434</v>
      </c>
      <c r="C18" s="73">
        <f t="shared" ref="C18:T18" si="16">SUM(C19:C21)</f>
        <v>345.36660235312843</v>
      </c>
      <c r="D18" s="73">
        <f t="shared" si="16"/>
        <v>354.75941949822715</v>
      </c>
      <c r="E18" s="73">
        <f t="shared" si="16"/>
        <v>361.30320241235125</v>
      </c>
      <c r="F18" s="73">
        <f t="shared" si="16"/>
        <v>372.64260666296764</v>
      </c>
      <c r="G18" s="73">
        <f t="shared" si="16"/>
        <v>363.25985167307158</v>
      </c>
      <c r="H18" s="73">
        <f t="shared" si="16"/>
        <v>359.29585456919733</v>
      </c>
      <c r="I18" s="73">
        <f t="shared" si="16"/>
        <v>389.931692098474</v>
      </c>
      <c r="J18" s="73">
        <f t="shared" si="16"/>
        <v>370.42823233205439</v>
      </c>
      <c r="K18" s="73">
        <f t="shared" si="16"/>
        <v>336.39040916057877</v>
      </c>
      <c r="L18" s="73">
        <f t="shared" si="16"/>
        <v>355.88745022904203</v>
      </c>
      <c r="M18" s="73">
        <f t="shared" si="16"/>
        <v>377.01008210362949</v>
      </c>
      <c r="N18" s="73">
        <f t="shared" si="16"/>
        <v>367.86490807585596</v>
      </c>
      <c r="O18" s="73">
        <f t="shared" si="16"/>
        <v>365.93689497975663</v>
      </c>
      <c r="P18" s="73">
        <f t="shared" si="16"/>
        <v>385.24786683079958</v>
      </c>
      <c r="Q18" s="73">
        <f t="shared" si="16"/>
        <v>374.18800153513848</v>
      </c>
      <c r="R18" s="73">
        <f t="shared" si="16"/>
        <v>363.92782433335566</v>
      </c>
      <c r="S18" s="73">
        <f t="shared" si="16"/>
        <v>325.68133029290311</v>
      </c>
      <c r="T18" s="73">
        <f t="shared" si="16"/>
        <v>345.27727307205436</v>
      </c>
      <c r="U18" s="73">
        <f t="shared" ref="U18:AA18" si="17">SUM(U19:U21)</f>
        <v>352.55414477895448</v>
      </c>
      <c r="V18" s="73">
        <f t="shared" si="17"/>
        <v>341.71993175354032</v>
      </c>
      <c r="W18" s="73">
        <f t="shared" si="17"/>
        <v>340.60597797759607</v>
      </c>
      <c r="X18" s="73">
        <f t="shared" si="17"/>
        <v>332.25786379187417</v>
      </c>
      <c r="Y18" s="73">
        <f t="shared" si="17"/>
        <v>287.50494560600669</v>
      </c>
      <c r="Z18" s="73">
        <f t="shared" si="17"/>
        <v>335.5983322163932</v>
      </c>
      <c r="AA18" s="73">
        <f t="shared" si="17"/>
        <v>353.20215058557187</v>
      </c>
      <c r="AB18" s="73">
        <f>SUM(AB19:AB21)</f>
        <v>323.39319493320158</v>
      </c>
      <c r="AC18" s="73">
        <f>SUM(AC19:AC21)</f>
        <v>298.25183614580578</v>
      </c>
      <c r="AD18" s="73">
        <f>SUM(AD19:AD21)</f>
        <v>298.88629292617838</v>
      </c>
      <c r="AE18" s="73">
        <f t="shared" ref="AE18:AF18" si="18">SUM(AE19:AE21)</f>
        <v>344.89283993041863</v>
      </c>
      <c r="AF18" s="73">
        <f t="shared" si="18"/>
        <v>349.06637120665954</v>
      </c>
      <c r="AG18" s="73">
        <f t="shared" ref="AG18:AH18" si="19">SUM(AG19:AG21)</f>
        <v>319.04098035706158</v>
      </c>
      <c r="AH18" s="73">
        <f t="shared" si="19"/>
        <v>322.28256942096971</v>
      </c>
      <c r="AI18" s="73">
        <f t="shared" ref="AI18" si="20">SUM(AI19:AI21)</f>
        <v>338.10285024641314</v>
      </c>
      <c r="AJ18" s="73"/>
      <c r="AK18" s="63">
        <f t="shared" si="5"/>
        <v>4.9088229791226394E-2</v>
      </c>
      <c r="AQ18" s="1"/>
      <c r="AR18" s="1"/>
      <c r="AX18" s="387"/>
      <c r="AY18" s="387"/>
      <c r="AZ18" s="387"/>
      <c r="BA18" s="387"/>
      <c r="BB18" s="387"/>
      <c r="BC18" s="387"/>
      <c r="BD18" s="387"/>
    </row>
    <row r="19" spans="2:56" ht="15">
      <c r="B19" s="393" t="s">
        <v>1798</v>
      </c>
      <c r="C19" s="74">
        <f>'Inventory Table'!L14</f>
        <v>338.56762064987532</v>
      </c>
      <c r="D19" s="74">
        <f>'Inventory Table'!M14</f>
        <v>347.71040742046836</v>
      </c>
      <c r="E19" s="74">
        <f>'Inventory Table'!N14</f>
        <v>353.96781365995514</v>
      </c>
      <c r="F19" s="74">
        <f>'Inventory Table'!O14</f>
        <v>366.08176219068184</v>
      </c>
      <c r="G19" s="74">
        <f>'Inventory Table'!P14</f>
        <v>357.04722158190327</v>
      </c>
      <c r="H19" s="74">
        <f>'Inventory Table'!Q14</f>
        <v>353.13357562814963</v>
      </c>
      <c r="I19" s="74">
        <f>'Inventory Table'!R14</f>
        <v>383.47442583247692</v>
      </c>
      <c r="J19" s="74">
        <f>'Inventory Table'!S14</f>
        <v>365.03335255680571</v>
      </c>
      <c r="K19" s="74">
        <f>'Inventory Table'!T14</f>
        <v>331.61015895804616</v>
      </c>
      <c r="L19" s="74">
        <f>'Inventory Table'!U14</f>
        <v>350.90678356718252</v>
      </c>
      <c r="M19" s="74">
        <f>'Inventory Table'!V14</f>
        <v>371.70293408973146</v>
      </c>
      <c r="N19" s="74">
        <f>'Inventory Table'!W14</f>
        <v>363.02014712962938</v>
      </c>
      <c r="O19" s="74">
        <f>'Inventory Table'!X14</f>
        <v>361.02906078218899</v>
      </c>
      <c r="P19" s="74">
        <f>'Inventory Table'!Y14</f>
        <v>380.07935625365371</v>
      </c>
      <c r="Q19" s="74">
        <f>'Inventory Table'!Z14</f>
        <v>368.96978893709502</v>
      </c>
      <c r="R19" s="74">
        <f>'Inventory Table'!AA14</f>
        <v>358.60930317623939</v>
      </c>
      <c r="S19" s="74">
        <f>'Inventory Table'!AB14</f>
        <v>320.9820950750655</v>
      </c>
      <c r="T19" s="74">
        <f>'Inventory Table'!AC14</f>
        <v>340.14662439815004</v>
      </c>
      <c r="U19" s="74">
        <f>'Inventory Table'!AD14</f>
        <v>347.02060289864409</v>
      </c>
      <c r="V19" s="74">
        <f>'Inventory Table'!AE14</f>
        <v>335.92770961955716</v>
      </c>
      <c r="W19" s="74">
        <f>'Inventory Table'!AF14</f>
        <v>334.4953937384131</v>
      </c>
      <c r="X19" s="74">
        <f>'Inventory Table'!AG14</f>
        <v>326.33292949338357</v>
      </c>
      <c r="Y19" s="74">
        <f>'Inventory Table'!AH14</f>
        <v>282.53163356617171</v>
      </c>
      <c r="Z19" s="74">
        <f>'Inventory Table'!AI14</f>
        <v>329.26483655164748</v>
      </c>
      <c r="AA19" s="74">
        <f>'Inventory Table'!AJ14</f>
        <v>346.73389586521466</v>
      </c>
      <c r="AB19" s="74">
        <f>'Inventory Table'!AK14</f>
        <v>317.61720155576893</v>
      </c>
      <c r="AC19" s="74">
        <f>'Inventory Table'!AL14</f>
        <v>293.19119704544096</v>
      </c>
      <c r="AD19" s="74">
        <f>'Inventory Table'!AM14</f>
        <v>293.9655962500521</v>
      </c>
      <c r="AE19" s="74">
        <f>'Inventory Table'!AN14</f>
        <v>338.93967247435245</v>
      </c>
      <c r="AF19" s="74">
        <f>'Inventory Table'!AO14</f>
        <v>342.90486060752039</v>
      </c>
      <c r="AG19" s="74">
        <f>'Inventory Table'!AP14</f>
        <v>314.79502820823041</v>
      </c>
      <c r="AH19" s="74">
        <f>'Inventory Table'!AQ14</f>
        <v>318.03359189887266</v>
      </c>
      <c r="AI19" s="74">
        <f>'Inventory Table'!AR14</f>
        <v>333.09983042067904</v>
      </c>
      <c r="AJ19" s="74"/>
      <c r="AK19" s="63">
        <f t="shared" si="5"/>
        <v>4.7373104305903316E-2</v>
      </c>
      <c r="AL19" s="63">
        <f>AI19/SUM($AI$7,$AI$11,$AI$15,$AI$19,$AI$23)</f>
        <v>7.1386956417551314E-2</v>
      </c>
      <c r="AM19" s="63">
        <f>AI19/$AI$84</f>
        <v>7.1025192799176101E-2</v>
      </c>
      <c r="AQ19" s="1"/>
      <c r="AR19" s="1"/>
      <c r="AX19" s="387"/>
      <c r="AY19" s="387"/>
      <c r="AZ19" s="387"/>
      <c r="BA19" s="387"/>
      <c r="BB19" s="387"/>
      <c r="BC19" s="387"/>
      <c r="BD19" s="387"/>
    </row>
    <row r="20" spans="2:56" ht="15">
      <c r="B20" s="393" t="s">
        <v>2059</v>
      </c>
      <c r="C20" s="74">
        <f>[4]Summary!C20</f>
        <v>5.8706715087796013</v>
      </c>
      <c r="D20" s="74">
        <f>[4]Summary!D20</f>
        <v>6.0872528009672688</v>
      </c>
      <c r="E20" s="74">
        <f>[4]Summary!E20</f>
        <v>6.3423779849708497</v>
      </c>
      <c r="F20" s="74">
        <f>[4]Summary!F20</f>
        <v>5.6547352809049229</v>
      </c>
      <c r="G20" s="74">
        <f>[4]Summary!G20</f>
        <v>5.3483615529708359</v>
      </c>
      <c r="H20" s="74">
        <f>[4]Summary!H20</f>
        <v>5.3065784182042082</v>
      </c>
      <c r="I20" s="74">
        <f>[4]Summary!I20</f>
        <v>5.5500858060583669</v>
      </c>
      <c r="J20" s="74">
        <f>[4]Summary!J20</f>
        <v>4.6152740949297177</v>
      </c>
      <c r="K20" s="74">
        <f>[4]Summary!K20</f>
        <v>4.0841449462378296</v>
      </c>
      <c r="L20" s="74">
        <f>[4]Summary!L20</f>
        <v>4.2473037851960331</v>
      </c>
      <c r="M20" s="74">
        <f>[4]Summary!M20</f>
        <v>4.5242700138113143</v>
      </c>
      <c r="N20" s="74">
        <f>[4]Summary!N20</f>
        <v>4.1118018290892859</v>
      </c>
      <c r="O20" s="74">
        <f>[4]Summary!O20</f>
        <v>4.1786758451549364</v>
      </c>
      <c r="P20" s="74">
        <f>[4]Summary!P20</f>
        <v>4.3967571091855557</v>
      </c>
      <c r="Q20" s="74">
        <f>[4]Summary!Q20</f>
        <v>4.4413165873679787</v>
      </c>
      <c r="R20" s="74">
        <f>[4]Summary!R20</f>
        <v>4.5407432262295409</v>
      </c>
      <c r="S20" s="74">
        <f>[4]Summary!S20</f>
        <v>4.012642513548478</v>
      </c>
      <c r="T20" s="74">
        <f>[4]Summary!T20</f>
        <v>4.3930610897202662</v>
      </c>
      <c r="U20" s="74">
        <f>[4]Summary!U20</f>
        <v>4.7462295068091986</v>
      </c>
      <c r="V20" s="74">
        <f>[4]Summary!V20</f>
        <v>4.9835391812761349</v>
      </c>
      <c r="W20" s="74">
        <f>[4]Summary!W20</f>
        <v>5.2685047912880538</v>
      </c>
      <c r="X20" s="74">
        <f>[4]Summary!X20</f>
        <v>5.1111952997690135</v>
      </c>
      <c r="Y20" s="74">
        <f>[4]Summary!Y20</f>
        <v>4.2925691616788839</v>
      </c>
      <c r="Z20" s="74">
        <f>[4]Summary!Z20</f>
        <v>5.4852735430236912</v>
      </c>
      <c r="AA20" s="74">
        <f>[4]Summary!AA20</f>
        <v>5.5937303584028921</v>
      </c>
      <c r="AB20" s="74">
        <f>[4]Summary!AB20</f>
        <v>4.9894088586649428</v>
      </c>
      <c r="AC20" s="74">
        <f>[4]Summary!AC20</f>
        <v>4.3714440545035327</v>
      </c>
      <c r="AD20" s="74">
        <f>[4]Summary!AD20</f>
        <v>4.2501915286095766</v>
      </c>
      <c r="AE20" s="74">
        <f>[4]Summary!AE20</f>
        <v>5.1424102691549276</v>
      </c>
      <c r="AF20" s="74">
        <f>[4]Summary!AF20</f>
        <v>5.3227726740968127</v>
      </c>
      <c r="AG20" s="74">
        <f>[4]Summary!AG20</f>
        <v>3.6390522916685049</v>
      </c>
      <c r="AH20" s="74">
        <f>[4]Summary!AH20</f>
        <v>3.6401847115835806</v>
      </c>
      <c r="AI20" s="74">
        <f>[4]Summary!AI20</f>
        <v>4.3052577424081262</v>
      </c>
      <c r="AJ20" s="74"/>
      <c r="AK20" s="63">
        <f t="shared" si="5"/>
        <v>0.18270309984770541</v>
      </c>
      <c r="AL20" s="63">
        <f>AI20/SUM($AI$8,$AI$12,$AI$16,$AI$20,$AI$24)</f>
        <v>0.38190440294529959</v>
      </c>
      <c r="AM20" s="63">
        <f>AI20/$AI$85</f>
        <v>0.38070008532178001</v>
      </c>
      <c r="AQ20" s="1"/>
      <c r="AR20" s="1"/>
      <c r="AX20" s="387"/>
      <c r="AY20" s="387"/>
      <c r="AZ20" s="387"/>
      <c r="BA20" s="387"/>
      <c r="BB20" s="387"/>
      <c r="BC20" s="387"/>
      <c r="BD20" s="387"/>
    </row>
    <row r="21" spans="2:56" ht="15">
      <c r="B21" s="393" t="s">
        <v>2060</v>
      </c>
      <c r="C21" s="74">
        <f>[4]Summary!C50</f>
        <v>0.92831019447352614</v>
      </c>
      <c r="D21" s="74">
        <f>[4]Summary!D50</f>
        <v>0.9617592767915184</v>
      </c>
      <c r="E21" s="74">
        <f>[4]Summary!E50</f>
        <v>0.99301076742531591</v>
      </c>
      <c r="F21" s="74">
        <f>[4]Summary!F50</f>
        <v>0.9061091913809205</v>
      </c>
      <c r="G21" s="74">
        <f>[4]Summary!G50</f>
        <v>0.86426853819743232</v>
      </c>
      <c r="H21" s="74">
        <f>[4]Summary!H50</f>
        <v>0.85570052284351195</v>
      </c>
      <c r="I21" s="74">
        <f>[4]Summary!I50</f>
        <v>0.90718045993873231</v>
      </c>
      <c r="J21" s="74">
        <f>[4]Summary!J50</f>
        <v>0.77960568031898658</v>
      </c>
      <c r="K21" s="74">
        <f>[4]Summary!K50</f>
        <v>0.6961052562948109</v>
      </c>
      <c r="L21" s="74">
        <f>[4]Summary!L50</f>
        <v>0.7333628766634539</v>
      </c>
      <c r="M21" s="74">
        <f>[4]Summary!M50</f>
        <v>0.78287800008671304</v>
      </c>
      <c r="N21" s="74">
        <f>[4]Summary!N50</f>
        <v>0.73295911713727269</v>
      </c>
      <c r="O21" s="74">
        <f>[4]Summary!O50</f>
        <v>0.7291583524126819</v>
      </c>
      <c r="P21" s="74">
        <f>[4]Summary!P50</f>
        <v>0.77175346796032573</v>
      </c>
      <c r="Q21" s="74">
        <f>[4]Summary!Q50</f>
        <v>0.77689601067551184</v>
      </c>
      <c r="R21" s="74">
        <f>[4]Summary!R50</f>
        <v>0.77777793088672809</v>
      </c>
      <c r="S21" s="74">
        <f>[4]Summary!S50</f>
        <v>0.68659270428914365</v>
      </c>
      <c r="T21" s="74">
        <f>[4]Summary!T50</f>
        <v>0.73758758418402359</v>
      </c>
      <c r="U21" s="74">
        <f>[4]Summary!U50</f>
        <v>0.78731237350120864</v>
      </c>
      <c r="V21" s="74">
        <f>[4]Summary!V50</f>
        <v>0.80868295270703805</v>
      </c>
      <c r="W21" s="74">
        <f>[4]Summary!W50</f>
        <v>0.84207944789489109</v>
      </c>
      <c r="X21" s="74">
        <f>[4]Summary!X50</f>
        <v>0.81373899872157307</v>
      </c>
      <c r="Y21" s="74">
        <f>[4]Summary!Y50</f>
        <v>0.68074287815605694</v>
      </c>
      <c r="Z21" s="74">
        <f>[4]Summary!Z50</f>
        <v>0.84822212172199885</v>
      </c>
      <c r="AA21" s="74">
        <f>[4]Summary!AA50</f>
        <v>0.87452436195431715</v>
      </c>
      <c r="AB21" s="74">
        <f>[4]Summary!AB50</f>
        <v>0.78658451876770552</v>
      </c>
      <c r="AC21" s="74">
        <f>[4]Summary!AC50</f>
        <v>0.68919504586133695</v>
      </c>
      <c r="AD21" s="74">
        <f>[4]Summary!AD50</f>
        <v>0.67050514751665879</v>
      </c>
      <c r="AE21" s="74">
        <f>[4]Summary!AE50</f>
        <v>0.81075718691123289</v>
      </c>
      <c r="AF21" s="74">
        <f>[4]Summary!AF50</f>
        <v>0.83873792504232836</v>
      </c>
      <c r="AG21" s="74">
        <f>[4]Summary!AG50</f>
        <v>0.60689985716265649</v>
      </c>
      <c r="AH21" s="74">
        <f>[4]Summary!AH50</f>
        <v>0.60879281051347189</v>
      </c>
      <c r="AI21" s="74">
        <f>[4]Summary!AI50</f>
        <v>0.69776208332600698</v>
      </c>
      <c r="AJ21" s="74"/>
      <c r="AK21" s="63">
        <f t="shared" si="5"/>
        <v>0.14614047879030642</v>
      </c>
      <c r="AL21" s="63">
        <f>AI21/SUM($AI$9,$AI$13,$AI$17,$AI$21,$AI$25)</f>
        <v>1.8283714589003207E-2</v>
      </c>
      <c r="AM21" s="63">
        <f>AI21/$AI$86</f>
        <v>1.8259019603675691E-2</v>
      </c>
      <c r="AQ21" s="1"/>
      <c r="AR21" s="1"/>
      <c r="AX21" s="387"/>
      <c r="AY21" s="387"/>
      <c r="AZ21" s="387"/>
      <c r="BA21" s="387"/>
      <c r="BB21" s="387"/>
      <c r="BC21" s="387"/>
      <c r="BD21" s="387"/>
    </row>
    <row r="22" spans="2:56">
      <c r="B22" s="392" t="s">
        <v>1441</v>
      </c>
      <c r="C22" s="73">
        <f t="shared" ref="C22:T22" si="21">SUM(C23:C25)</f>
        <v>229.84109252873932</v>
      </c>
      <c r="D22" s="73">
        <f t="shared" si="21"/>
        <v>234.24047576766364</v>
      </c>
      <c r="E22" s="73">
        <f t="shared" si="21"/>
        <v>229.60965996854247</v>
      </c>
      <c r="F22" s="73">
        <f t="shared" si="21"/>
        <v>224.55103141065462</v>
      </c>
      <c r="G22" s="73">
        <f t="shared" si="21"/>
        <v>226.23223223302716</v>
      </c>
      <c r="H22" s="73">
        <f t="shared" si="21"/>
        <v>229.32464021314576</v>
      </c>
      <c r="I22" s="73">
        <f t="shared" si="21"/>
        <v>239.16488128513549</v>
      </c>
      <c r="J22" s="73">
        <f t="shared" si="21"/>
        <v>239.39877802213678</v>
      </c>
      <c r="K22" s="73">
        <f t="shared" si="21"/>
        <v>221.53698244624576</v>
      </c>
      <c r="L22" s="73">
        <f t="shared" si="21"/>
        <v>222.17271116584783</v>
      </c>
      <c r="M22" s="73">
        <f t="shared" si="21"/>
        <v>238.08649340432103</v>
      </c>
      <c r="N22" s="73">
        <f t="shared" si="21"/>
        <v>229.92868386697901</v>
      </c>
      <c r="O22" s="73">
        <f t="shared" si="21"/>
        <v>230.47096541762903</v>
      </c>
      <c r="P22" s="73">
        <f t="shared" si="21"/>
        <v>241.68633612722746</v>
      </c>
      <c r="Q22" s="73">
        <f t="shared" si="21"/>
        <v>239.49312235933689</v>
      </c>
      <c r="R22" s="73">
        <f t="shared" si="21"/>
        <v>228.49338367230555</v>
      </c>
      <c r="S22" s="73">
        <f t="shared" si="21"/>
        <v>212.78750752485473</v>
      </c>
      <c r="T22" s="73">
        <f t="shared" si="21"/>
        <v>224.02980433225878</v>
      </c>
      <c r="U22" s="73">
        <f t="shared" ref="U22:AA22" si="22">SUM(U23:U25)</f>
        <v>228.58477289068793</v>
      </c>
      <c r="V22" s="73">
        <f t="shared" si="22"/>
        <v>229.23149502036395</v>
      </c>
      <c r="W22" s="73">
        <f t="shared" si="22"/>
        <v>225.77847229264032</v>
      </c>
      <c r="X22" s="73">
        <f t="shared" si="22"/>
        <v>226.06579444570394</v>
      </c>
      <c r="Y22" s="73">
        <f t="shared" si="22"/>
        <v>201.71473421115104</v>
      </c>
      <c r="Z22" s="73">
        <f t="shared" si="22"/>
        <v>225.77453263474254</v>
      </c>
      <c r="AA22" s="73">
        <f t="shared" si="22"/>
        <v>234.0758348263056</v>
      </c>
      <c r="AB22" s="73">
        <f>SUM(AB23:AB25)</f>
        <v>246.47657381741459</v>
      </c>
      <c r="AC22" s="73">
        <f>SUM(AC23:AC25)</f>
        <v>233.50773563402694</v>
      </c>
      <c r="AD22" s="73">
        <f>SUM(AD23:AD25)</f>
        <v>234.05522160889038</v>
      </c>
      <c r="AE22" s="73">
        <f t="shared" ref="AE22:AF22" si="23">SUM(AE23:AE25)</f>
        <v>247.96616072812125</v>
      </c>
      <c r="AF22" s="73">
        <f t="shared" si="23"/>
        <v>253.45331472544078</v>
      </c>
      <c r="AG22" s="73">
        <f t="shared" ref="AG22:AH22" si="24">SUM(AG23:AG25)</f>
        <v>230.87700054656975</v>
      </c>
      <c r="AH22" s="73">
        <f t="shared" si="24"/>
        <v>239.17085821843708</v>
      </c>
      <c r="AI22" s="73">
        <f t="shared" ref="AI22" si="25">SUM(AI23:AI25)</f>
        <v>246.36656766637071</v>
      </c>
      <c r="AJ22" s="73"/>
      <c r="AK22" s="63">
        <f t="shared" si="5"/>
        <v>3.0086062748337535E-2</v>
      </c>
      <c r="AQ22" s="1"/>
      <c r="AR22" s="1"/>
      <c r="AX22" s="387"/>
      <c r="AY22" s="387"/>
      <c r="AZ22" s="387"/>
      <c r="BA22" s="387"/>
      <c r="BB22" s="387"/>
      <c r="BC22" s="387"/>
      <c r="BD22" s="387"/>
    </row>
    <row r="23" spans="2:56" ht="15">
      <c r="B23" s="393" t="s">
        <v>1798</v>
      </c>
      <c r="C23" s="74">
        <f>'Inventory Table'!L17</f>
        <v>228.29252569232682</v>
      </c>
      <c r="D23" s="74">
        <f>'Inventory Table'!M17</f>
        <v>232.6602188593333</v>
      </c>
      <c r="E23" s="74">
        <f>'Inventory Table'!N17</f>
        <v>228.03780614173755</v>
      </c>
      <c r="F23" s="74">
        <f>'Inventory Table'!O17</f>
        <v>222.98547793099596</v>
      </c>
      <c r="G23" s="74">
        <f>'Inventory Table'!P17</f>
        <v>224.69760946836189</v>
      </c>
      <c r="H23" s="74">
        <f>'Inventory Table'!Q17</f>
        <v>227.78709302839189</v>
      </c>
      <c r="I23" s="74">
        <f>'Inventory Table'!R17</f>
        <v>237.55830122079288</v>
      </c>
      <c r="J23" s="74">
        <f>'Inventory Table'!S17</f>
        <v>237.81886128140263</v>
      </c>
      <c r="K23" s="74">
        <f>'Inventory Table'!T17</f>
        <v>220.11800749855348</v>
      </c>
      <c r="L23" s="74">
        <f>'Inventory Table'!U17</f>
        <v>220.7303790366158</v>
      </c>
      <c r="M23" s="74">
        <f>'Inventory Table'!V17</f>
        <v>236.53065884817806</v>
      </c>
      <c r="N23" s="74">
        <f>'Inventory Table'!W17</f>
        <v>228.4380393277641</v>
      </c>
      <c r="O23" s="74">
        <f>'Inventory Table'!X17</f>
        <v>228.9797512545434</v>
      </c>
      <c r="P23" s="74">
        <f>'Inventory Table'!Y17</f>
        <v>240.11125455570209</v>
      </c>
      <c r="Q23" s="74">
        <f>'Inventory Table'!Z17</f>
        <v>237.92983578981887</v>
      </c>
      <c r="R23" s="74">
        <f>'Inventory Table'!AA17</f>
        <v>226.97905171661546</v>
      </c>
      <c r="S23" s="74">
        <f>'Inventory Table'!AB17</f>
        <v>211.38647278247549</v>
      </c>
      <c r="T23" s="74">
        <f>'Inventory Table'!AC17</f>
        <v>222.54725889062303</v>
      </c>
      <c r="U23" s="74">
        <f>'Inventory Table'!AD17</f>
        <v>227.06571744527918</v>
      </c>
      <c r="V23" s="74">
        <f>'Inventory Table'!AE17</f>
        <v>227.70760129838843</v>
      </c>
      <c r="W23" s="74">
        <f>'Inventory Table'!AF17</f>
        <v>224.28150233779189</v>
      </c>
      <c r="X23" s="74">
        <f>'Inventory Table'!AG17</f>
        <v>224.59853530013848</v>
      </c>
      <c r="Y23" s="74">
        <f>'Inventory Table'!AH17</f>
        <v>200.42911388421356</v>
      </c>
      <c r="Z23" s="74">
        <f>'Inventory Table'!AI17</f>
        <v>224.32567870195237</v>
      </c>
      <c r="AA23" s="74">
        <f>'Inventory Table'!AJ17</f>
        <v>232.55218038119722</v>
      </c>
      <c r="AB23" s="74">
        <f>'Inventory Table'!AK17</f>
        <v>244.80512423914416</v>
      </c>
      <c r="AC23" s="74">
        <f>'Inventory Table'!AL17</f>
        <v>231.8607082346536</v>
      </c>
      <c r="AD23" s="74">
        <f>'Inventory Table'!AM17</f>
        <v>232.4132299027589</v>
      </c>
      <c r="AE23" s="74">
        <f>'Inventory Table'!AN17</f>
        <v>246.29706654436893</v>
      </c>
      <c r="AF23" s="74">
        <f>'Inventory Table'!AO17</f>
        <v>251.74931449629253</v>
      </c>
      <c r="AG23" s="74">
        <f>'Inventory Table'!AP17</f>
        <v>229.26371887598955</v>
      </c>
      <c r="AH23" s="74">
        <f>'Inventory Table'!AQ17</f>
        <v>237.52763457689494</v>
      </c>
      <c r="AI23" s="74">
        <f>'Inventory Table'!AR17</f>
        <v>244.71401681716131</v>
      </c>
      <c r="AJ23" s="74"/>
      <c r="AK23" s="63">
        <f t="shared" si="5"/>
        <v>3.0254931191763784E-2</v>
      </c>
      <c r="AL23" s="63">
        <f>AI23/SUM($AI$7,$AI$11,$AI$15,$AI$19,$AI$23)</f>
        <v>5.2444904673857512E-2</v>
      </c>
      <c r="AM23" s="63">
        <f>AI23/$AI$84</f>
        <v>5.2179132613634285E-2</v>
      </c>
      <c r="AQ23" s="1"/>
      <c r="AR23" s="1"/>
      <c r="AX23" s="387"/>
      <c r="AY23" s="387"/>
      <c r="AZ23" s="387"/>
      <c r="BA23" s="387"/>
      <c r="BB23" s="387"/>
      <c r="BC23" s="387"/>
      <c r="BD23" s="387"/>
    </row>
    <row r="24" spans="2:56" ht="15">
      <c r="B24" s="393" t="s">
        <v>2059</v>
      </c>
      <c r="C24" s="74">
        <f>[4]Summary!C15</f>
        <v>1.2024395608869143</v>
      </c>
      <c r="D24" s="74">
        <f>[4]Summary!D15</f>
        <v>1.2338049592282689</v>
      </c>
      <c r="E24" s="74">
        <f>[4]Summary!E15</f>
        <v>1.2387752436321542</v>
      </c>
      <c r="F24" s="74">
        <f>[4]Summary!F15</f>
        <v>1.244246873689876</v>
      </c>
      <c r="G24" s="74">
        <f>[4]Summary!G15</f>
        <v>1.2170059714894408</v>
      </c>
      <c r="H24" s="74">
        <f>[4]Summary!H15</f>
        <v>1.2248675700125415</v>
      </c>
      <c r="I24" s="74">
        <f>[4]Summary!I15</f>
        <v>1.2797354310969664</v>
      </c>
      <c r="J24" s="74">
        <f>[4]Summary!J15</f>
        <v>1.2583097828101639</v>
      </c>
      <c r="K24" s="74">
        <f>[4]Summary!K15</f>
        <v>1.1335879600928802</v>
      </c>
      <c r="L24" s="74">
        <f>[4]Summary!L15</f>
        <v>1.153986488778088</v>
      </c>
      <c r="M24" s="74">
        <f>[4]Summary!M15</f>
        <v>1.2432747502723767</v>
      </c>
      <c r="N24" s="74">
        <f>[4]Summary!N15</f>
        <v>1.1854695423682475</v>
      </c>
      <c r="O24" s="74">
        <f>[4]Summary!O15</f>
        <v>1.1948052269450864</v>
      </c>
      <c r="P24" s="74">
        <f>[4]Summary!P15</f>
        <v>1.2572900828174394</v>
      </c>
      <c r="Q24" s="74">
        <f>[4]Summary!Q15</f>
        <v>1.2421627741016008</v>
      </c>
      <c r="R24" s="74">
        <f>[4]Summary!R15</f>
        <v>1.2069901817526096</v>
      </c>
      <c r="S24" s="74">
        <f>[4]Summary!S15</f>
        <v>1.1231477498161593</v>
      </c>
      <c r="T24" s="74">
        <f>[4]Summary!T15</f>
        <v>1.19076027689341</v>
      </c>
      <c r="U24" s="74">
        <f>[4]Summary!U15</f>
        <v>1.2239954281428815</v>
      </c>
      <c r="V24" s="74">
        <f>[4]Summary!V15</f>
        <v>1.2261753271678069</v>
      </c>
      <c r="W24" s="74">
        <f>[4]Summary!W15</f>
        <v>1.206666023406628</v>
      </c>
      <c r="X24" s="74">
        <f>[4]Summary!X15</f>
        <v>1.1850542043719128</v>
      </c>
      <c r="Y24" s="74">
        <f>[4]Summary!Y15</f>
        <v>1.0446908891138851</v>
      </c>
      <c r="Z24" s="74">
        <f>[4]Summary!Z15</f>
        <v>1.1839207250858019</v>
      </c>
      <c r="AA24" s="74">
        <f>[4]Summary!AA15</f>
        <v>1.2517456022331395</v>
      </c>
      <c r="AB24" s="74">
        <f>[4]Summary!AB15</f>
        <v>1.3459069620353081</v>
      </c>
      <c r="AC24" s="74">
        <f>[4]Summary!AC15</f>
        <v>1.3385021075510828</v>
      </c>
      <c r="AD24" s="74">
        <f>[4]Summary!AD15</f>
        <v>1.3373223718649729</v>
      </c>
      <c r="AE24" s="74">
        <f>[4]Summary!AE15</f>
        <v>1.3674048338941702</v>
      </c>
      <c r="AF24" s="74">
        <f>[4]Summary!AF15</f>
        <v>1.3907704393014617</v>
      </c>
      <c r="AG24" s="74">
        <f>[4]Summary!AG15</f>
        <v>1.3183767425793813</v>
      </c>
      <c r="AH24" s="74">
        <f>[4]Summary!AH15</f>
        <v>1.3410540542885927</v>
      </c>
      <c r="AI24" s="74">
        <f>[4]Summary!AI15</f>
        <v>1.355031643661806</v>
      </c>
      <c r="AJ24" s="74"/>
      <c r="AK24" s="63">
        <f t="shared" si="5"/>
        <v>1.0422838161156847E-2</v>
      </c>
      <c r="AL24" s="63">
        <f>AI24/SUM($AI$8,$AI$12,$AI$16,$AI$20,$AI$24)</f>
        <v>0.12020013244438019</v>
      </c>
      <c r="AM24" s="63">
        <f>AI24/$AI$85</f>
        <v>0.11982108696405643</v>
      </c>
      <c r="AQ24" s="1"/>
      <c r="AR24" s="1"/>
      <c r="AX24" s="387"/>
      <c r="AY24" s="387"/>
      <c r="AZ24" s="387"/>
      <c r="BA24" s="387"/>
      <c r="BB24" s="387"/>
      <c r="BC24" s="387"/>
      <c r="BD24" s="387"/>
    </row>
    <row r="25" spans="2:56" ht="15">
      <c r="B25" s="393" t="s">
        <v>2060</v>
      </c>
      <c r="C25" s="74">
        <f>[4]Summary!C45</f>
        <v>0.34612727552557515</v>
      </c>
      <c r="D25" s="74">
        <f>[4]Summary!D45</f>
        <v>0.34645194910206845</v>
      </c>
      <c r="E25" s="74">
        <f>[4]Summary!E45</f>
        <v>0.33307858317278083</v>
      </c>
      <c r="F25" s="74">
        <f>[4]Summary!F45</f>
        <v>0.32130660596878463</v>
      </c>
      <c r="G25" s="74">
        <f>[4]Summary!G45</f>
        <v>0.31761679317582114</v>
      </c>
      <c r="H25" s="74">
        <f>[4]Summary!H45</f>
        <v>0.31267961474130507</v>
      </c>
      <c r="I25" s="74">
        <f>[4]Summary!I45</f>
        <v>0.32684463324566249</v>
      </c>
      <c r="J25" s="74">
        <f>[4]Summary!J45</f>
        <v>0.32160695792398891</v>
      </c>
      <c r="K25" s="74">
        <f>[4]Summary!K45</f>
        <v>0.28538698759938619</v>
      </c>
      <c r="L25" s="74">
        <f>[4]Summary!L45</f>
        <v>0.28834564045393585</v>
      </c>
      <c r="M25" s="74">
        <f>[4]Summary!M45</f>
        <v>0.31255980587058874</v>
      </c>
      <c r="N25" s="74">
        <f>[4]Summary!N45</f>
        <v>0.30517499684666288</v>
      </c>
      <c r="O25" s="74">
        <f>[4]Summary!O45</f>
        <v>0.29640893614055219</v>
      </c>
      <c r="P25" s="74">
        <f>[4]Summary!P45</f>
        <v>0.31779148870794227</v>
      </c>
      <c r="Q25" s="74">
        <f>[4]Summary!Q45</f>
        <v>0.32112379541643071</v>
      </c>
      <c r="R25" s="74">
        <f>[4]Summary!R45</f>
        <v>0.30734177393749212</v>
      </c>
      <c r="S25" s="74">
        <f>[4]Summary!S45</f>
        <v>0.2778869925630712</v>
      </c>
      <c r="T25" s="74">
        <f>[4]Summary!T45</f>
        <v>0.29178516474234983</v>
      </c>
      <c r="U25" s="74">
        <f>[4]Summary!U45</f>
        <v>0.29506001726586828</v>
      </c>
      <c r="V25" s="74">
        <f>[4]Summary!V45</f>
        <v>0.29771839480774115</v>
      </c>
      <c r="W25" s="74">
        <f>[4]Summary!W45</f>
        <v>0.29030393144180405</v>
      </c>
      <c r="X25" s="74">
        <f>[4]Summary!X45</f>
        <v>0.28220494119355177</v>
      </c>
      <c r="Y25" s="74">
        <f>[4]Summary!Y45</f>
        <v>0.24092943782356874</v>
      </c>
      <c r="Z25" s="74">
        <f>[4]Summary!Z45</f>
        <v>0.26493320770436751</v>
      </c>
      <c r="AA25" s="74">
        <f>[4]Summary!AA45</f>
        <v>0.27190884287522543</v>
      </c>
      <c r="AB25" s="74">
        <f>[4]Summary!AB45</f>
        <v>0.32554261623512176</v>
      </c>
      <c r="AC25" s="74">
        <f>[4]Summary!AC45</f>
        <v>0.30852529182227245</v>
      </c>
      <c r="AD25" s="74">
        <f>[4]Summary!AD45</f>
        <v>0.30466933426649967</v>
      </c>
      <c r="AE25" s="74">
        <f>[4]Summary!AE45</f>
        <v>0.30168934985814805</v>
      </c>
      <c r="AF25" s="74">
        <f>[4]Summary!AF45</f>
        <v>0.31322978984678906</v>
      </c>
      <c r="AG25" s="74">
        <f>[4]Summary!AG45</f>
        <v>0.29490492800081503</v>
      </c>
      <c r="AH25" s="74">
        <f>[4]Summary!AH45</f>
        <v>0.30216958725351684</v>
      </c>
      <c r="AI25" s="74">
        <f>[4]Summary!AI45</f>
        <v>0.29751920554757982</v>
      </c>
      <c r="AJ25" s="74"/>
      <c r="AK25" s="63">
        <f t="shared" si="5"/>
        <v>-1.5389972724274847E-2</v>
      </c>
      <c r="AL25" s="63">
        <f>AI25/SUM($AI$9,$AI$13,$AI$17,$AI$21,$AI$25)</f>
        <v>7.796004353015808E-3</v>
      </c>
      <c r="AM25" s="63">
        <f>AI25/$AI$86</f>
        <v>7.7854746429739125E-3</v>
      </c>
      <c r="AQ25" s="1"/>
      <c r="AR25" s="1"/>
      <c r="AX25" s="387"/>
      <c r="AY25" s="387"/>
      <c r="AZ25" s="387"/>
      <c r="BA25" s="387"/>
      <c r="BB25" s="387"/>
      <c r="BC25" s="387"/>
      <c r="BD25" s="387"/>
    </row>
    <row r="26" spans="2:56">
      <c r="B26" s="392" t="s">
        <v>1476</v>
      </c>
      <c r="C26" s="73">
        <f>'Inventory Table'!L19+[4]Summary!C25+[4]Summary!C55</f>
        <v>20.09083977519612</v>
      </c>
      <c r="D26" s="73">
        <f>'Inventory Table'!M19+[4]Summary!D25+[4]Summary!D55</f>
        <v>19.261798025468156</v>
      </c>
      <c r="E26" s="73">
        <f>'Inventory Table'!N19+[4]Summary!E25+[4]Summary!E55</f>
        <v>22.036178426949267</v>
      </c>
      <c r="F26" s="73">
        <f>'Inventory Table'!O19+[4]Summary!F25+[4]Summary!F55</f>
        <v>22.717329104960893</v>
      </c>
      <c r="G26" s="73">
        <f>'Inventory Table'!P19+[4]Summary!G25+[4]Summary!G55</f>
        <v>24.833830258118031</v>
      </c>
      <c r="H26" s="73">
        <f>'Inventory Table'!Q19+[4]Summary!H25+[4]Summary!H55</f>
        <v>21.637603783763357</v>
      </c>
      <c r="I26" s="73">
        <f>'Inventory Table'!R19+[4]Summary!I25+[4]Summary!I55</f>
        <v>19.859716818680557</v>
      </c>
      <c r="J26" s="73">
        <f>'Inventory Table'!S19+[4]Summary!J25+[4]Summary!J55</f>
        <v>20.164707065860931</v>
      </c>
      <c r="K26" s="73">
        <f>'Inventory Table'!T19+[4]Summary!K25+[4]Summary!K55</f>
        <v>19.525372734259083</v>
      </c>
      <c r="L26" s="73">
        <f>'Inventory Table'!U19+[4]Summary!L25+[4]Summary!L55</f>
        <v>15.535146185866919</v>
      </c>
      <c r="M26" s="73">
        <f>'Inventory Table'!V19+[4]Summary!M25+[4]Summary!M55</f>
        <v>37.179649130424572</v>
      </c>
      <c r="N26" s="73">
        <f>'Inventory Table'!W19+[4]Summary!N25+[4]Summary!N55</f>
        <v>49.850273404358518</v>
      </c>
      <c r="O26" s="73">
        <f>'Inventory Table'!X19+[4]Summary!O25+[4]Summary!O55</f>
        <v>45.333685103860674</v>
      </c>
      <c r="P26" s="73">
        <f>'Inventory Table'!Y19+[4]Summary!P25+[4]Summary!P55</f>
        <v>50.566695340626445</v>
      </c>
      <c r="Q26" s="73">
        <f>'Inventory Table'!Z19+[4]Summary!Q25+[4]Summary!Q55</f>
        <v>53.128707071390536</v>
      </c>
      <c r="R26" s="73">
        <f>'Inventory Table'!AA19+[4]Summary!R25+[4]Summary!R55</f>
        <v>52.065701451410305</v>
      </c>
      <c r="S26" s="73">
        <f>'Inventory Table'!AB19+[4]Summary!S25+[4]Summary!S55</f>
        <v>51.467503699932429</v>
      </c>
      <c r="T26" s="73">
        <f>'Inventory Table'!AC19+[4]Summary!T25+[4]Summary!T55</f>
        <v>46.834423464421228</v>
      </c>
      <c r="U26" s="73">
        <f>'Inventory Table'!AD19+[4]Summary!U25+[4]Summary!U55</f>
        <v>38.618125097665036</v>
      </c>
      <c r="V26" s="73">
        <f>'Inventory Table'!AE19+[4]Summary!V25+[4]Summary!V55</f>
        <v>39.115086997553192</v>
      </c>
      <c r="W26" s="73">
        <f>'Inventory Table'!AF19+[4]Summary!W25+[4]Summary!W55</f>
        <v>34.641715662757726</v>
      </c>
      <c r="X26" s="73">
        <f>'Inventory Table'!AG19+[4]Summary!X25+[4]Summary!X55</f>
        <v>34.200101605544724</v>
      </c>
      <c r="Y26" s="73">
        <f>'Inventory Table'!AH19+[4]Summary!Y25+[4]Summary!Y55</f>
        <v>33.082881828136486</v>
      </c>
      <c r="Z26" s="73">
        <f>'Inventory Table'!AI19+[4]Summary!Z25+[4]Summary!Z55</f>
        <v>28.236377414849127</v>
      </c>
      <c r="AA26" s="73">
        <f>'Inventory Table'!AJ19+[4]Summary!AA25+[4]Summary!AA55</f>
        <v>28.386918824818462</v>
      </c>
      <c r="AB26" s="73">
        <f>'Inventory Table'!AK19+[4]Summary!AB25+[4]Summary!AB55</f>
        <v>28.644186766312345</v>
      </c>
      <c r="AC26" s="73">
        <f>'Inventory Table'!AL19+[4]Summary!AC25+[4]Summary!AC55</f>
        <v>26.263944173883832</v>
      </c>
      <c r="AD26" s="73">
        <f>'Inventory Table'!AM19+[4]Summary!AD25+[4]Summary!AD55</f>
        <v>26.046425692822446</v>
      </c>
      <c r="AE26" s="73">
        <f>'Inventory Table'!AN19+[4]Summary!AE25+[4]Summary!AE55</f>
        <v>26.020897796566203</v>
      </c>
      <c r="AF26" s="73">
        <f>'Inventory Table'!AO19+[4]Summary!AF25+[4]Summary!AF55</f>
        <v>24.905061504988524</v>
      </c>
      <c r="AG26" s="73">
        <f>'Inventory Table'!AP19+[4]Summary!AG25+[4]Summary!AG55</f>
        <v>23.367910275356049</v>
      </c>
      <c r="AH26" s="73">
        <f>'Inventory Table'!AQ19+[4]Summary!AH25+[4]Summary!AH55</f>
        <v>23.858988627564315</v>
      </c>
      <c r="AI26" s="73">
        <f>'Inventory Table'!AR19+[4]Summary!AI25+[4]Summary!AI55</f>
        <v>23.853928860931745</v>
      </c>
      <c r="AJ26" s="73"/>
      <c r="AK26" s="63">
        <f t="shared" si="5"/>
        <v>-2.1206961919267874E-4</v>
      </c>
      <c r="AQ26" s="1"/>
      <c r="AR26" s="1"/>
      <c r="AX26" s="387"/>
      <c r="AY26" s="387"/>
      <c r="AZ26" s="387"/>
      <c r="BA26" s="387"/>
      <c r="BB26" s="387"/>
      <c r="BC26" s="387"/>
      <c r="BD26" s="387"/>
    </row>
    <row r="27" spans="2:56">
      <c r="B27" s="404" t="s">
        <v>1480</v>
      </c>
      <c r="C27" s="81">
        <f>SUM(C10,C14,C18,C22,C26,C6)</f>
        <v>4824.5100532585056</v>
      </c>
      <c r="D27" s="81">
        <f t="shared" ref="D27:U27" si="26">SUM(D10,D14,D18,D22,D26,D6)</f>
        <v>4779.2376635404617</v>
      </c>
      <c r="E27" s="81">
        <f t="shared" si="26"/>
        <v>4874.878737187244</v>
      </c>
      <c r="F27" s="81">
        <f t="shared" si="26"/>
        <v>4992.8862722029025</v>
      </c>
      <c r="G27" s="81">
        <f t="shared" si="26"/>
        <v>5057.3952983876025</v>
      </c>
      <c r="H27" s="81">
        <f t="shared" si="26"/>
        <v>5118.6891335951905</v>
      </c>
      <c r="I27" s="81">
        <f t="shared" si="26"/>
        <v>5295.7217546894208</v>
      </c>
      <c r="J27" s="81">
        <f t="shared" si="26"/>
        <v>5356.5742287220237</v>
      </c>
      <c r="K27" s="81">
        <f t="shared" si="26"/>
        <v>5419.7726511921692</v>
      </c>
      <c r="L27" s="81">
        <f t="shared" si="26"/>
        <v>5462.2375163888792</v>
      </c>
      <c r="M27" s="81">
        <f t="shared" si="26"/>
        <v>5709.5978012635551</v>
      </c>
      <c r="N27" s="81">
        <f t="shared" si="26"/>
        <v>5609.8904502904916</v>
      </c>
      <c r="O27" s="81">
        <f t="shared" si="26"/>
        <v>5650.3392347270819</v>
      </c>
      <c r="P27" s="81">
        <f t="shared" si="26"/>
        <v>5719.0025091963116</v>
      </c>
      <c r="Q27" s="81">
        <f t="shared" si="26"/>
        <v>5797.2729480023063</v>
      </c>
      <c r="R27" s="81">
        <f t="shared" si="26"/>
        <v>5820.1699589215623</v>
      </c>
      <c r="S27" s="81">
        <f t="shared" si="26"/>
        <v>5730.9681261651876</v>
      </c>
      <c r="T27" s="81">
        <f t="shared" si="26"/>
        <v>5812.6504095695564</v>
      </c>
      <c r="U27" s="81">
        <f t="shared" si="26"/>
        <v>5622.697583823332</v>
      </c>
      <c r="V27" s="81">
        <f t="shared" ref="V27:AA27" si="27">SUM(V10,V14,V18,V22,V26,V6)</f>
        <v>5250.3947858085594</v>
      </c>
      <c r="W27" s="81">
        <f t="shared" si="27"/>
        <v>5409.2782150616331</v>
      </c>
      <c r="X27" s="81">
        <f t="shared" si="27"/>
        <v>5274.8490714290438</v>
      </c>
      <c r="Y27" s="81">
        <f t="shared" si="27"/>
        <v>5062.8136680850057</v>
      </c>
      <c r="Z27" s="81">
        <f t="shared" si="27"/>
        <v>5185.7573222639439</v>
      </c>
      <c r="AA27" s="81">
        <f t="shared" si="27"/>
        <v>5234.0344090699473</v>
      </c>
      <c r="AB27" s="81">
        <f>SUM(AB10,AB14,AB18,AB22,AB26,AB6)</f>
        <v>5064.7776477675197</v>
      </c>
      <c r="AC27" s="81">
        <f>SUM(AC10,AC14,AC18,AC22,AC26,AC6)</f>
        <v>4965.6139400915563</v>
      </c>
      <c r="AD27" s="81">
        <f>SUM(AD10,AD14,AD18,AD22,AD26,AD6)</f>
        <v>4899.0006879713774</v>
      </c>
      <c r="AE27" s="81">
        <f t="shared" ref="AE27:AF27" si="28">SUM(AE10,AE14,AE18,AE22,AE26,AE6)</f>
        <v>5038.1378976590759</v>
      </c>
      <c r="AF27" s="81">
        <f t="shared" si="28"/>
        <v>4894.8252556477846</v>
      </c>
      <c r="AG27" s="81">
        <f t="shared" ref="AG27:AH27" si="29">SUM(AG10,AG14,AG18,AG22,AG26,AG6)</f>
        <v>4376.4074125862671</v>
      </c>
      <c r="AH27" s="81">
        <f t="shared" si="29"/>
        <v>4692.0571073544215</v>
      </c>
      <c r="AI27" s="81">
        <f t="shared" ref="AI27" si="30">SUM(AI10,AI14,AI18,AI22,AI26,AI6)</f>
        <v>4739.4062481558003</v>
      </c>
      <c r="AJ27" s="73"/>
      <c r="AK27" s="63">
        <f t="shared" si="5"/>
        <v>1.0091339409992009E-2</v>
      </c>
      <c r="AQ27" s="1"/>
      <c r="AR27" s="1"/>
      <c r="AX27" s="387"/>
      <c r="AY27" s="387"/>
      <c r="AZ27" s="387"/>
      <c r="BA27" s="387"/>
      <c r="BB27" s="387"/>
      <c r="BC27" s="387"/>
      <c r="BD27" s="387"/>
    </row>
    <row r="28" spans="2:56">
      <c r="B28" s="406" t="s">
        <v>2061</v>
      </c>
      <c r="C28" s="396">
        <f>SUM(C11,C15,C19,C23)-SUM('Inventory Table'!L8,'Inventory Table'!L11,'Inventory Table'!L14,'Inventory Table'!L17)</f>
        <v>0</v>
      </c>
      <c r="D28" s="396">
        <f>SUM(D11,D15,D19,D23)-SUM('Inventory Table'!M8,'Inventory Table'!M11,'Inventory Table'!M14,'Inventory Table'!M17)</f>
        <v>0</v>
      </c>
      <c r="E28" s="396">
        <f>SUM(E11,E15,E19,E23)-SUM('Inventory Table'!N8,'Inventory Table'!N11,'Inventory Table'!N14,'Inventory Table'!N17)</f>
        <v>0</v>
      </c>
      <c r="F28" s="396">
        <f>SUM(F11,F15,F19,F23)-SUM('Inventory Table'!O8,'Inventory Table'!O11,'Inventory Table'!O14,'Inventory Table'!O17)</f>
        <v>0</v>
      </c>
      <c r="G28" s="396">
        <f>SUM(G11,G15,G19,G23)-SUM('Inventory Table'!P8,'Inventory Table'!P11,'Inventory Table'!P14,'Inventory Table'!P17)</f>
        <v>0</v>
      </c>
      <c r="H28" s="396">
        <f>SUM(H11,H15,H19,H23)-SUM('Inventory Table'!Q8,'Inventory Table'!Q11,'Inventory Table'!Q14,'Inventory Table'!Q17)</f>
        <v>0</v>
      </c>
      <c r="I28" s="396">
        <f>SUM(I11,I15,I19,I23)-SUM('Inventory Table'!R8,'Inventory Table'!R11,'Inventory Table'!R14,'Inventory Table'!R17)</f>
        <v>0</v>
      </c>
      <c r="J28" s="396">
        <f>SUM(J11,J15,J19,J23)-SUM('Inventory Table'!S8,'Inventory Table'!S11,'Inventory Table'!S14,'Inventory Table'!S17)</f>
        <v>0</v>
      </c>
      <c r="K28" s="396">
        <f>SUM(K11,K15,K19,K23)-SUM('Inventory Table'!T8,'Inventory Table'!T11,'Inventory Table'!T14,'Inventory Table'!T17)</f>
        <v>0</v>
      </c>
      <c r="L28" s="396">
        <f>SUM(L11,L15,L19,L23)-SUM('Inventory Table'!U8,'Inventory Table'!U11,'Inventory Table'!U14,'Inventory Table'!U17)</f>
        <v>0</v>
      </c>
      <c r="M28" s="396">
        <f>SUM(M11,M15,M19,M23)-SUM('Inventory Table'!V8,'Inventory Table'!V11,'Inventory Table'!V14,'Inventory Table'!V17)</f>
        <v>0</v>
      </c>
      <c r="N28" s="396">
        <f>SUM(N11,N15,N19,N23)-SUM('Inventory Table'!W8,'Inventory Table'!W11,'Inventory Table'!W14,'Inventory Table'!W17)</f>
        <v>0</v>
      </c>
      <c r="O28" s="396">
        <f>SUM(O11,O15,O19,O23)-SUM('Inventory Table'!X8,'Inventory Table'!X11,'Inventory Table'!X14,'Inventory Table'!X17)</f>
        <v>0</v>
      </c>
      <c r="P28" s="396">
        <f>SUM(P11,P15,P19,P23)-SUM('Inventory Table'!Y8,'Inventory Table'!Y11,'Inventory Table'!Y14,'Inventory Table'!Y17)</f>
        <v>0</v>
      </c>
      <c r="Q28" s="396">
        <f>SUM(Q11,Q15,Q19,Q23)-SUM('Inventory Table'!Z8,'Inventory Table'!Z11,'Inventory Table'!Z14,'Inventory Table'!Z17)</f>
        <v>0</v>
      </c>
      <c r="R28" s="396">
        <f>SUM(R11,R15,R19,R23)-SUM('Inventory Table'!AA8,'Inventory Table'!AA11,'Inventory Table'!AA14,'Inventory Table'!AA17)</f>
        <v>0</v>
      </c>
      <c r="S28" s="396">
        <f>SUM(S11,S15,S19,S23)-SUM('Inventory Table'!AB8,'Inventory Table'!AB11,'Inventory Table'!AB14,'Inventory Table'!AB17)</f>
        <v>0</v>
      </c>
      <c r="T28" s="396">
        <f>SUM(T11,T15,T19,T23)-SUM('Inventory Table'!AC8,'Inventory Table'!AC11,'Inventory Table'!AC14,'Inventory Table'!AC17)</f>
        <v>0</v>
      </c>
      <c r="U28" s="396">
        <f>SUM(U11,U15,U19,U23)-SUM('Inventory Table'!AD8,'Inventory Table'!AD11,'Inventory Table'!AD14,'Inventory Table'!AD17)</f>
        <v>0</v>
      </c>
      <c r="V28" s="396">
        <f>SUM(V11,V15,V19,V23)-SUM('Inventory Table'!AE8,'Inventory Table'!AE11,'Inventory Table'!AE14,'Inventory Table'!AE17)</f>
        <v>0</v>
      </c>
      <c r="W28" s="396">
        <f>SUM(W11,W15,W19,W23)-SUM('Inventory Table'!AF8,'Inventory Table'!AF11,'Inventory Table'!AF14,'Inventory Table'!AF17)</f>
        <v>0</v>
      </c>
      <c r="X28" s="396">
        <f>SUM(X11,X15,X19,X23)-SUM('Inventory Table'!AG8,'Inventory Table'!AG11,'Inventory Table'!AG14,'Inventory Table'!AG17)</f>
        <v>0</v>
      </c>
      <c r="Y28" s="396">
        <f>SUM(Y11,Y15,Y19,Y23)-SUM('Inventory Table'!AH8,'Inventory Table'!AH11,'Inventory Table'!AH14,'Inventory Table'!AH17)</f>
        <v>0</v>
      </c>
      <c r="Z28" s="396">
        <f>SUM(Z11,Z15,Z19,Z23)-SUM('Inventory Table'!AI8,'Inventory Table'!AI11,'Inventory Table'!AI14,'Inventory Table'!AI17)</f>
        <v>0</v>
      </c>
      <c r="AA28" s="396">
        <f>SUM(AA11,AA15,AA19,AA23)-SUM('Inventory Table'!AJ8,'Inventory Table'!AJ11,'Inventory Table'!AJ14,'Inventory Table'!AJ17)</f>
        <v>0</v>
      </c>
      <c r="AB28" s="396">
        <f>SUM(AB11,AB15,AB19,AB23)-SUM('Inventory Table'!AK8,'Inventory Table'!AK11,'Inventory Table'!AK14,'Inventory Table'!AK17)</f>
        <v>0</v>
      </c>
      <c r="AC28" s="396">
        <f>SUM(AC11,AC15,AC19,AC23)-SUM('Inventory Table'!AL8,'Inventory Table'!AL11,'Inventory Table'!AL14,'Inventory Table'!AL17)</f>
        <v>0</v>
      </c>
      <c r="AD28" s="396">
        <f>SUM(AD11,AD15,AD19,AD23)-SUM('Inventory Table'!AM8,'Inventory Table'!AM11,'Inventory Table'!AM14,'Inventory Table'!AM17)</f>
        <v>0</v>
      </c>
      <c r="AE28" s="396">
        <f>SUM(AE11,AE15,AE19,AE23)-SUM('Inventory Table'!AN8,'Inventory Table'!AN11,'Inventory Table'!AN14,'Inventory Table'!AN17)</f>
        <v>0</v>
      </c>
      <c r="AF28" s="396">
        <f>SUM(AF11,AF15,AF19,AF23)-SUM('Inventory Table'!AO8,'Inventory Table'!AO11,'Inventory Table'!AO14,'Inventory Table'!AO17)</f>
        <v>0</v>
      </c>
      <c r="AG28" s="396">
        <f>SUM(AG11,AG15,AG19,AG23)-SUM('Inventory Table'!AP8,'Inventory Table'!AP11,'Inventory Table'!AP14,'Inventory Table'!AP17)</f>
        <v>0</v>
      </c>
      <c r="AH28" s="396">
        <f>SUM(AH11,AH15,AH19,AH23)-SUM('Inventory Table'!AQ8,'Inventory Table'!AQ11,'Inventory Table'!AQ14,'Inventory Table'!AQ17)</f>
        <v>0</v>
      </c>
      <c r="AI28" s="396">
        <f>SUM(AI11,AI15,AI19,AI23)-SUM('Inventory Table'!AR8,'Inventory Table'!AR11,'Inventory Table'!AR14,'Inventory Table'!AR17)</f>
        <v>0</v>
      </c>
      <c r="AJ28" s="396"/>
      <c r="AQ28" s="1"/>
      <c r="AR28" s="1"/>
      <c r="AX28" s="387"/>
      <c r="AY28" s="387"/>
      <c r="AZ28" s="387"/>
      <c r="BA28" s="387"/>
      <c r="BB28" s="387"/>
      <c r="BC28" s="387"/>
      <c r="BD28" s="387"/>
    </row>
    <row r="29" spans="2:56">
      <c r="B29" s="406" t="s">
        <v>2062</v>
      </c>
      <c r="C29" s="396">
        <f>SUM(C12,C16,C20,C24)-C101-C102</f>
        <v>0</v>
      </c>
      <c r="D29" s="396">
        <f t="shared" ref="D29:AI29" si="31">SUM(D12,D16,D20,D24)-D101-D102</f>
        <v>0</v>
      </c>
      <c r="E29" s="396">
        <f t="shared" si="31"/>
        <v>0</v>
      </c>
      <c r="F29" s="396">
        <f t="shared" si="31"/>
        <v>0</v>
      </c>
      <c r="G29" s="396">
        <f t="shared" si="31"/>
        <v>0</v>
      </c>
      <c r="H29" s="396">
        <f t="shared" si="31"/>
        <v>0</v>
      </c>
      <c r="I29" s="396">
        <f t="shared" si="31"/>
        <v>0</v>
      </c>
      <c r="J29" s="396">
        <f t="shared" si="31"/>
        <v>0</v>
      </c>
      <c r="K29" s="396">
        <f t="shared" si="31"/>
        <v>0</v>
      </c>
      <c r="L29" s="396">
        <f t="shared" si="31"/>
        <v>0</v>
      </c>
      <c r="M29" s="396">
        <f t="shared" si="31"/>
        <v>0</v>
      </c>
      <c r="N29" s="396">
        <f t="shared" si="31"/>
        <v>0</v>
      </c>
      <c r="O29" s="396">
        <f t="shared" si="31"/>
        <v>0</v>
      </c>
      <c r="P29" s="396">
        <f t="shared" si="31"/>
        <v>0</v>
      </c>
      <c r="Q29" s="396">
        <f t="shared" si="31"/>
        <v>0</v>
      </c>
      <c r="R29" s="396">
        <f t="shared" si="31"/>
        <v>0</v>
      </c>
      <c r="S29" s="396">
        <f t="shared" si="31"/>
        <v>0</v>
      </c>
      <c r="T29" s="396">
        <f t="shared" si="31"/>
        <v>0</v>
      </c>
      <c r="U29" s="396">
        <f t="shared" si="31"/>
        <v>0</v>
      </c>
      <c r="V29" s="396">
        <f t="shared" si="31"/>
        <v>0</v>
      </c>
      <c r="W29" s="396">
        <f t="shared" si="31"/>
        <v>0</v>
      </c>
      <c r="X29" s="396">
        <f t="shared" si="31"/>
        <v>0</v>
      </c>
      <c r="Y29" s="396">
        <f t="shared" si="31"/>
        <v>0</v>
      </c>
      <c r="Z29" s="396">
        <f t="shared" si="31"/>
        <v>0</v>
      </c>
      <c r="AA29" s="396">
        <f t="shared" si="31"/>
        <v>0</v>
      </c>
      <c r="AB29" s="396">
        <f t="shared" si="31"/>
        <v>0</v>
      </c>
      <c r="AC29" s="396">
        <f t="shared" si="31"/>
        <v>0</v>
      </c>
      <c r="AD29" s="396">
        <f t="shared" si="31"/>
        <v>0</v>
      </c>
      <c r="AE29" s="396">
        <f t="shared" si="31"/>
        <v>0</v>
      </c>
      <c r="AF29" s="396">
        <f t="shared" si="31"/>
        <v>0</v>
      </c>
      <c r="AG29" s="396">
        <f t="shared" si="31"/>
        <v>0</v>
      </c>
      <c r="AH29" s="396">
        <f t="shared" si="31"/>
        <v>0</v>
      </c>
      <c r="AI29" s="396">
        <f t="shared" si="31"/>
        <v>0</v>
      </c>
      <c r="AJ29" s="396"/>
      <c r="AQ29" s="1"/>
      <c r="AR29" s="1"/>
      <c r="AX29" s="387"/>
      <c r="AY29" s="387"/>
      <c r="AZ29" s="387"/>
      <c r="BA29" s="387"/>
      <c r="BB29" s="387"/>
      <c r="BC29" s="387"/>
      <c r="BD29" s="387"/>
    </row>
    <row r="30" spans="2:56">
      <c r="B30" s="406" t="s">
        <v>2063</v>
      </c>
      <c r="C30" s="396">
        <f>SUM(C13,C17,C21,C25)-C104-C105</f>
        <v>0</v>
      </c>
      <c r="D30" s="396">
        <f t="shared" ref="D30:AI30" si="32">SUM(D13,D17,D21,D25)-D104-D105</f>
        <v>0</v>
      </c>
      <c r="E30" s="396">
        <f t="shared" si="32"/>
        <v>0</v>
      </c>
      <c r="F30" s="396">
        <f t="shared" si="32"/>
        <v>0</v>
      </c>
      <c r="G30" s="396">
        <f t="shared" si="32"/>
        <v>0</v>
      </c>
      <c r="H30" s="396">
        <f t="shared" si="32"/>
        <v>0</v>
      </c>
      <c r="I30" s="396">
        <f t="shared" si="32"/>
        <v>0</v>
      </c>
      <c r="J30" s="396">
        <f t="shared" si="32"/>
        <v>0</v>
      </c>
      <c r="K30" s="396">
        <f t="shared" si="32"/>
        <v>0</v>
      </c>
      <c r="L30" s="396">
        <f t="shared" si="32"/>
        <v>0</v>
      </c>
      <c r="M30" s="396">
        <f t="shared" si="32"/>
        <v>0</v>
      </c>
      <c r="N30" s="396">
        <f t="shared" si="32"/>
        <v>0</v>
      </c>
      <c r="O30" s="396">
        <f t="shared" si="32"/>
        <v>0</v>
      </c>
      <c r="P30" s="396">
        <f t="shared" si="32"/>
        <v>0</v>
      </c>
      <c r="Q30" s="396">
        <f t="shared" si="32"/>
        <v>0</v>
      </c>
      <c r="R30" s="396">
        <f t="shared" si="32"/>
        <v>0</v>
      </c>
      <c r="S30" s="396">
        <f t="shared" si="32"/>
        <v>0</v>
      </c>
      <c r="T30" s="396">
        <f t="shared" si="32"/>
        <v>0</v>
      </c>
      <c r="U30" s="396">
        <f t="shared" si="32"/>
        <v>0</v>
      </c>
      <c r="V30" s="396">
        <f t="shared" si="32"/>
        <v>0</v>
      </c>
      <c r="W30" s="396">
        <f t="shared" si="32"/>
        <v>0</v>
      </c>
      <c r="X30" s="396">
        <f t="shared" si="32"/>
        <v>0</v>
      </c>
      <c r="Y30" s="396">
        <f t="shared" si="32"/>
        <v>0</v>
      </c>
      <c r="Z30" s="396">
        <f t="shared" si="32"/>
        <v>0</v>
      </c>
      <c r="AA30" s="396">
        <f t="shared" si="32"/>
        <v>0</v>
      </c>
      <c r="AB30" s="396">
        <f t="shared" si="32"/>
        <v>0</v>
      </c>
      <c r="AC30" s="396">
        <f t="shared" si="32"/>
        <v>0</v>
      </c>
      <c r="AD30" s="396">
        <f t="shared" si="32"/>
        <v>0</v>
      </c>
      <c r="AE30" s="396">
        <f t="shared" si="32"/>
        <v>0</v>
      </c>
      <c r="AF30" s="396">
        <f t="shared" si="32"/>
        <v>0</v>
      </c>
      <c r="AG30" s="396">
        <f t="shared" si="32"/>
        <v>0</v>
      </c>
      <c r="AH30" s="396">
        <f t="shared" si="32"/>
        <v>0</v>
      </c>
      <c r="AI30" s="396">
        <f t="shared" si="32"/>
        <v>0</v>
      </c>
      <c r="AJ30" s="396"/>
      <c r="AQ30" s="1"/>
      <c r="AR30" s="1"/>
      <c r="AX30" s="387"/>
      <c r="AY30" s="387"/>
      <c r="AZ30" s="387"/>
      <c r="BA30" s="387"/>
      <c r="BB30" s="387"/>
      <c r="BC30" s="387"/>
      <c r="BD30" s="387"/>
    </row>
    <row r="31" spans="2:56">
      <c r="AQ31" s="1"/>
      <c r="AR31" s="1"/>
      <c r="AX31" s="387"/>
      <c r="AY31" s="387"/>
      <c r="AZ31" s="387"/>
      <c r="BA31" s="387"/>
      <c r="BB31" s="387"/>
      <c r="BC31" s="387"/>
      <c r="BD31" s="387"/>
    </row>
    <row r="32" spans="2:56">
      <c r="AQ32" s="1"/>
      <c r="AR32" s="1"/>
      <c r="AX32" s="387"/>
      <c r="AY32" s="387"/>
      <c r="AZ32" s="387"/>
      <c r="BA32" s="387"/>
      <c r="BB32" s="387"/>
      <c r="BC32" s="387"/>
      <c r="BD32" s="387"/>
    </row>
    <row r="33" spans="2:56" ht="15">
      <c r="B33" s="395" t="s">
        <v>2064</v>
      </c>
      <c r="AQ33" s="1"/>
      <c r="AR33" s="1"/>
      <c r="AX33" s="387"/>
      <c r="AY33" s="387"/>
      <c r="AZ33" s="387"/>
      <c r="BA33" s="387"/>
      <c r="BB33" s="387"/>
      <c r="BC33" s="387"/>
      <c r="BD33" s="387"/>
    </row>
    <row r="34" spans="2:56">
      <c r="B34" s="404" t="s">
        <v>2055</v>
      </c>
      <c r="C34" s="390">
        <v>1990</v>
      </c>
      <c r="D34" s="391">
        <v>1991</v>
      </c>
      <c r="E34" s="390">
        <v>1992</v>
      </c>
      <c r="F34" s="391">
        <v>1993</v>
      </c>
      <c r="G34" s="390">
        <v>1994</v>
      </c>
      <c r="H34" s="391">
        <v>1995</v>
      </c>
      <c r="I34" s="390">
        <v>1996</v>
      </c>
      <c r="J34" s="391">
        <v>1997</v>
      </c>
      <c r="K34" s="390">
        <v>1998</v>
      </c>
      <c r="L34" s="391">
        <v>1999</v>
      </c>
      <c r="M34" s="390">
        <v>2000</v>
      </c>
      <c r="N34" s="391">
        <v>2001</v>
      </c>
      <c r="O34" s="390">
        <v>2002</v>
      </c>
      <c r="P34" s="391">
        <v>2003</v>
      </c>
      <c r="Q34" s="391">
        <v>2004</v>
      </c>
      <c r="R34" s="391">
        <v>2005</v>
      </c>
      <c r="S34" s="391">
        <v>2006</v>
      </c>
      <c r="T34" s="391">
        <v>2007</v>
      </c>
      <c r="U34" s="391">
        <v>2008</v>
      </c>
      <c r="V34" s="391">
        <v>2009</v>
      </c>
      <c r="W34" s="391">
        <v>2010</v>
      </c>
      <c r="X34" s="391">
        <v>2011</v>
      </c>
      <c r="Y34" s="391">
        <v>2012</v>
      </c>
      <c r="Z34" s="391">
        <v>2013</v>
      </c>
      <c r="AA34" s="391">
        <v>2014</v>
      </c>
      <c r="AB34" s="391">
        <v>2015</v>
      </c>
      <c r="AC34" s="391">
        <v>2016</v>
      </c>
      <c r="AD34" s="391">
        <v>2017</v>
      </c>
      <c r="AE34" s="391">
        <v>2018</v>
      </c>
      <c r="AF34" s="391">
        <v>2019</v>
      </c>
      <c r="AG34" s="391">
        <v>2020</v>
      </c>
      <c r="AH34" s="391">
        <v>2021</v>
      </c>
      <c r="AI34" s="391">
        <v>2022</v>
      </c>
      <c r="AJ34" s="564"/>
      <c r="AK34" s="700" t="s">
        <v>1528</v>
      </c>
      <c r="AL34" s="701" t="s">
        <v>2058</v>
      </c>
      <c r="AM34" s="701" t="s">
        <v>2058</v>
      </c>
      <c r="AN34" s="706" t="s">
        <v>1948</v>
      </c>
      <c r="AQ34" s="1"/>
      <c r="AR34" s="1"/>
      <c r="AX34" s="387"/>
      <c r="AY34" s="387"/>
      <c r="AZ34" s="387"/>
      <c r="BA34" s="387"/>
      <c r="BB34" s="387"/>
      <c r="BC34" s="387"/>
      <c r="BD34" s="387"/>
    </row>
    <row r="35" spans="2:56">
      <c r="B35" s="392" t="s">
        <v>1445</v>
      </c>
      <c r="C35" s="73">
        <f t="shared" ref="C35:T35" si="33">SUM(C36:C38)</f>
        <v>1517.6249028499788</v>
      </c>
      <c r="D35" s="73">
        <f t="shared" si="33"/>
        <v>1472.2136166269768</v>
      </c>
      <c r="E35" s="73">
        <f t="shared" si="33"/>
        <v>1529.9799900946543</v>
      </c>
      <c r="F35" s="73">
        <f t="shared" si="33"/>
        <v>1562.7308430870553</v>
      </c>
      <c r="G35" s="73">
        <f t="shared" si="33"/>
        <v>1610.1090368135538</v>
      </c>
      <c r="H35" s="73">
        <f t="shared" si="33"/>
        <v>1638.3339169948456</v>
      </c>
      <c r="I35" s="73">
        <f t="shared" si="33"/>
        <v>1686.2307745139851</v>
      </c>
      <c r="J35" s="73">
        <f t="shared" si="33"/>
        <v>1703.4275241177993</v>
      </c>
      <c r="K35" s="73">
        <f t="shared" si="33"/>
        <v>1739.3737001383822</v>
      </c>
      <c r="L35" s="73">
        <f t="shared" si="33"/>
        <v>1804.3324845650602</v>
      </c>
      <c r="M35" s="73">
        <f t="shared" si="33"/>
        <v>1849.4866894423205</v>
      </c>
      <c r="N35" s="73">
        <f t="shared" si="33"/>
        <v>1817.6798080686174</v>
      </c>
      <c r="O35" s="73">
        <f t="shared" si="33"/>
        <v>1856.3048657214981</v>
      </c>
      <c r="P35" s="73">
        <f t="shared" si="33"/>
        <v>1864.1575676143063</v>
      </c>
      <c r="Q35" s="73">
        <f t="shared" si="33"/>
        <v>1895.4453389367407</v>
      </c>
      <c r="R35" s="73">
        <f t="shared" si="33"/>
        <v>1904.6227602265333</v>
      </c>
      <c r="S35" s="73">
        <f t="shared" si="33"/>
        <v>1905.2474986901846</v>
      </c>
      <c r="T35" s="73">
        <f t="shared" si="33"/>
        <v>1904.3550391254041</v>
      </c>
      <c r="U35" s="73">
        <f t="shared" ref="U35:AA35" si="34">SUM(U36:U38)</f>
        <v>1800.0484356451052</v>
      </c>
      <c r="V35" s="73">
        <f t="shared" si="34"/>
        <v>1726.8679407916277</v>
      </c>
      <c r="W35" s="73">
        <f t="shared" si="34"/>
        <v>1734.0100185467584</v>
      </c>
      <c r="X35" s="73">
        <f t="shared" si="34"/>
        <v>1706.4949542152804</v>
      </c>
      <c r="Y35" s="73">
        <f t="shared" si="34"/>
        <v>1692.9506784359219</v>
      </c>
      <c r="Z35" s="73">
        <f t="shared" si="34"/>
        <v>1701.0798815475994</v>
      </c>
      <c r="AA35" s="73">
        <f t="shared" si="34"/>
        <v>1737.4821408100731</v>
      </c>
      <c r="AB35" s="73">
        <f>SUM(AB36:AB38)</f>
        <v>1746.4917936499999</v>
      </c>
      <c r="AC35" s="73">
        <f>SUM(AC36:AC38)</f>
        <v>1784.8904024932433</v>
      </c>
      <c r="AD35" s="73">
        <f>SUM(AD36:AD38)</f>
        <v>1806.2727066453747</v>
      </c>
      <c r="AE35" s="73">
        <f>SUM(AE36:AE38)</f>
        <v>1838.3778457626911</v>
      </c>
      <c r="AF35" s="73">
        <f t="shared" ref="AF35:AG35" si="35">SUM(AF36:AF38)</f>
        <v>1843.376563603571</v>
      </c>
      <c r="AG35" s="73">
        <f t="shared" si="35"/>
        <v>1595.5974575373357</v>
      </c>
      <c r="AH35" s="73">
        <f t="shared" ref="AH35:AI35" si="36">SUM(AH36:AH38)</f>
        <v>1777.9838321149728</v>
      </c>
      <c r="AI35" s="73">
        <f t="shared" si="36"/>
        <v>1806.0549342733259</v>
      </c>
      <c r="AJ35" s="73"/>
      <c r="AK35" s="63">
        <f>(AI35-AH35)/AH35</f>
        <v>1.5788165027890946E-2</v>
      </c>
      <c r="AL35" s="402">
        <f t="shared" ref="AL35:AL42" si="37">AI35/SUM(AI$35,AI$39,AI$43,AI$47)</f>
        <v>0.38299965984544332</v>
      </c>
      <c r="AN35" s="402">
        <f>AI35/C35-1</f>
        <v>0.19005357047166171</v>
      </c>
      <c r="AR35" s="1"/>
      <c r="AX35" s="387"/>
      <c r="AY35" s="387"/>
      <c r="AZ35" s="387"/>
      <c r="BA35" s="387"/>
      <c r="BB35" s="387"/>
      <c r="BC35" s="387"/>
      <c r="BD35" s="387"/>
    </row>
    <row r="36" spans="2:56" ht="15">
      <c r="B36" s="393" t="s">
        <v>1798</v>
      </c>
      <c r="C36" s="74">
        <f>'Inventory Table'!L9+C11</f>
        <v>1471.9917019177849</v>
      </c>
      <c r="D36" s="74">
        <f>'Inventory Table'!M9+D11</f>
        <v>1425.3238070189016</v>
      </c>
      <c r="E36" s="74">
        <f>'Inventory Table'!N9+E11</f>
        <v>1480.6168945610932</v>
      </c>
      <c r="F36" s="74">
        <f>'Inventory Table'!O9+F11</f>
        <v>1511.6377328446704</v>
      </c>
      <c r="G36" s="74">
        <f>'Inventory Table'!P9+G11</f>
        <v>1557.0767220675673</v>
      </c>
      <c r="H36" s="74">
        <f>'Inventory Table'!Q9+H11</f>
        <v>1583.7392878703781</v>
      </c>
      <c r="I36" s="74">
        <f>'Inventory Table'!R9+I11</f>
        <v>1630.4196281114484</v>
      </c>
      <c r="J36" s="74">
        <f>'Inventory Table'!S9+J11</f>
        <v>1646.6181044050679</v>
      </c>
      <c r="K36" s="74">
        <f>'Inventory Table'!T9+K11</f>
        <v>1682.0732965237346</v>
      </c>
      <c r="L36" s="74">
        <f>'Inventory Table'!U9+L11</f>
        <v>1749.5663574036987</v>
      </c>
      <c r="M36" s="74">
        <f>'Inventory Table'!V9+M11</f>
        <v>1795.6418079300213</v>
      </c>
      <c r="N36" s="74">
        <f>'Inventory Table'!W9+N11</f>
        <v>1766.0965056195685</v>
      </c>
      <c r="O36" s="74">
        <f>'Inventory Table'!X9+O11</f>
        <v>1806.4703085911747</v>
      </c>
      <c r="P36" s="74">
        <f>'Inventory Table'!Y9+P11</f>
        <v>1816.2680934084894</v>
      </c>
      <c r="Q36" s="74">
        <f>'Inventory Table'!Z9+Q11</f>
        <v>1849.7600086785615</v>
      </c>
      <c r="R36" s="74">
        <f>'Inventory Table'!AA9+R11</f>
        <v>1863.2794528487887</v>
      </c>
      <c r="S36" s="74">
        <f>'Inventory Table'!AB9+S11</f>
        <v>1863.6521810648819</v>
      </c>
      <c r="T36" s="74">
        <f>'Inventory Table'!AC9+T11</f>
        <v>1865.8028135162779</v>
      </c>
      <c r="U36" s="74">
        <f>'Inventory Table'!AD9+U11</f>
        <v>1764.3517099395958</v>
      </c>
      <c r="V36" s="74">
        <f>'Inventory Table'!AE9+V11</f>
        <v>1692.9559283809315</v>
      </c>
      <c r="W36" s="74">
        <f>'Inventory Table'!AF9+W11</f>
        <v>1701.1133967580768</v>
      </c>
      <c r="X36" s="74">
        <f>'Inventory Table'!AG9+X11</f>
        <v>1674.6937279338122</v>
      </c>
      <c r="Y36" s="74">
        <f>'Inventory Table'!AH9+Y11</f>
        <v>1663.3765549059813</v>
      </c>
      <c r="Z36" s="74">
        <f>'Inventory Table'!AI9+Z11</f>
        <v>1673.3025813195736</v>
      </c>
      <c r="AA36" s="74">
        <f>'Inventory Table'!AJ9+AA11</f>
        <v>1711.7905964393713</v>
      </c>
      <c r="AB36" s="74">
        <f>'Inventory Table'!AK9+AB11</f>
        <v>1722.6398728476722</v>
      </c>
      <c r="AC36" s="74">
        <f>'Inventory Table'!AL9+AC11</f>
        <v>1762.1070870741651</v>
      </c>
      <c r="AD36" s="74">
        <f>'Inventory Table'!AM9+AD11</f>
        <v>1784.6244453522404</v>
      </c>
      <c r="AE36" s="74">
        <f>'Inventory Table'!AN9+AE11</f>
        <v>1817.8999754381921</v>
      </c>
      <c r="AF36" s="74">
        <f>'Inventory Table'!AO9+AF11</f>
        <v>1821.4471856172383</v>
      </c>
      <c r="AG36" s="74">
        <f>'Inventory Table'!AP9+AG11</f>
        <v>1576.9174588407413</v>
      </c>
      <c r="AH36" s="74">
        <f>'Inventory Table'!AQ9+AH11</f>
        <v>1758.5809620281279</v>
      </c>
      <c r="AI36" s="74">
        <f>'Inventory Table'!AR9+AI11</f>
        <v>1786.8495705746179</v>
      </c>
      <c r="AJ36" s="74"/>
      <c r="AK36" s="63">
        <f t="shared" ref="AK36:AK52" si="38">(AI36-AH36)/AH36</f>
        <v>1.6074669950872492E-2</v>
      </c>
      <c r="AL36" s="402">
        <f t="shared" si="37"/>
        <v>0.37892688906520522</v>
      </c>
      <c r="AM36" s="63">
        <f>AI36/AI$84</f>
        <v>0.38100090021933714</v>
      </c>
      <c r="AN36" s="402">
        <f t="shared" ref="AN36:AN50" si="39">AI36/C36-1</f>
        <v>0.21389921440903525</v>
      </c>
      <c r="AR36" s="1"/>
      <c r="AX36" s="387"/>
      <c r="AY36" s="387"/>
      <c r="AZ36" s="387"/>
      <c r="BA36" s="387"/>
      <c r="BB36" s="387"/>
      <c r="BC36" s="387"/>
      <c r="BD36" s="387"/>
    </row>
    <row r="37" spans="2:56" ht="15">
      <c r="B37" s="393" t="s">
        <v>2059</v>
      </c>
      <c r="C37" s="74">
        <f t="shared" ref="C37:AI37" si="40">C12</f>
        <v>7.2161423502559483</v>
      </c>
      <c r="D37" s="74">
        <f t="shared" si="40"/>
        <v>7.0329835118905315</v>
      </c>
      <c r="E37" s="74">
        <f t="shared" si="40"/>
        <v>7.0785476449182907</v>
      </c>
      <c r="F37" s="74">
        <f t="shared" si="40"/>
        <v>6.9885149345492223</v>
      </c>
      <c r="G37" s="74">
        <f t="shared" si="40"/>
        <v>6.9829619381930623</v>
      </c>
      <c r="H37" s="74">
        <f t="shared" si="40"/>
        <v>6.9396744723887238</v>
      </c>
      <c r="I37" s="74">
        <f t="shared" si="40"/>
        <v>6.833271910448266</v>
      </c>
      <c r="J37" s="74">
        <f t="shared" si="40"/>
        <v>6.6405485034784268</v>
      </c>
      <c r="K37" s="74">
        <f t="shared" si="40"/>
        <v>6.3767977679488617</v>
      </c>
      <c r="L37" s="74">
        <f t="shared" si="40"/>
        <v>5.7551126130297607</v>
      </c>
      <c r="M37" s="74">
        <f t="shared" si="40"/>
        <v>5.5066305710851999</v>
      </c>
      <c r="N37" s="74">
        <f t="shared" si="40"/>
        <v>5.2101358185811506</v>
      </c>
      <c r="O37" s="74">
        <f t="shared" si="40"/>
        <v>4.9563309758860861</v>
      </c>
      <c r="P37" s="74">
        <f t="shared" si="40"/>
        <v>4.7389864952944034</v>
      </c>
      <c r="Q37" s="74">
        <f t="shared" si="40"/>
        <v>4.5510030984447551</v>
      </c>
      <c r="R37" s="74">
        <f t="shared" si="40"/>
        <v>4.3093184564700691</v>
      </c>
      <c r="S37" s="74">
        <f t="shared" si="40"/>
        <v>4.2368125941999812</v>
      </c>
      <c r="T37" s="74">
        <f t="shared" si="40"/>
        <v>4.0559867910708247</v>
      </c>
      <c r="U37" s="74">
        <f t="shared" si="40"/>
        <v>3.8016906727928452</v>
      </c>
      <c r="V37" s="74">
        <f t="shared" si="40"/>
        <v>3.6408627393582167</v>
      </c>
      <c r="W37" s="74">
        <f t="shared" si="40"/>
        <v>3.5955702352342698</v>
      </c>
      <c r="X37" s="74">
        <f t="shared" si="40"/>
        <v>3.5772621862263159</v>
      </c>
      <c r="Y37" s="74">
        <f t="shared" si="40"/>
        <v>3.3828252580865601</v>
      </c>
      <c r="Z37" s="74">
        <f t="shared" si="40"/>
        <v>3.30359522970583</v>
      </c>
      <c r="AA37" s="74">
        <f t="shared" si="40"/>
        <v>3.1227443274255129</v>
      </c>
      <c r="AB37" s="74">
        <f t="shared" si="40"/>
        <v>3.060778055075644</v>
      </c>
      <c r="AC37" s="74">
        <f t="shared" si="40"/>
        <v>2.9912233333591844</v>
      </c>
      <c r="AD37" s="74">
        <f t="shared" si="40"/>
        <v>2.9069741400757421</v>
      </c>
      <c r="AE37" s="74">
        <f t="shared" si="40"/>
        <v>2.8200232382715855</v>
      </c>
      <c r="AF37" s="74">
        <f t="shared" si="40"/>
        <v>2.8526852267559279</v>
      </c>
      <c r="AG37" s="74">
        <f t="shared" si="40"/>
        <v>2.5440904223725576</v>
      </c>
      <c r="AH37" s="74">
        <f t="shared" si="40"/>
        <v>2.5830269875678979</v>
      </c>
      <c r="AI37" s="74">
        <f t="shared" si="40"/>
        <v>2.598675876038139</v>
      </c>
      <c r="AJ37" s="74"/>
      <c r="AK37" s="63">
        <f t="shared" si="38"/>
        <v>6.0583526790695952E-3</v>
      </c>
      <c r="AL37" s="402">
        <f t="shared" si="37"/>
        <v>5.5108621431364528E-4</v>
      </c>
      <c r="AM37" s="63">
        <f>AI37/AI$85</f>
        <v>0.22979254365802534</v>
      </c>
      <c r="AN37" s="402">
        <f t="shared" si="39"/>
        <v>-0.63988018114055545</v>
      </c>
      <c r="AR37" s="1"/>
      <c r="AX37" s="387"/>
      <c r="AY37" s="387"/>
      <c r="AZ37" s="387"/>
      <c r="BA37" s="387"/>
      <c r="BB37" s="387"/>
      <c r="BC37" s="387"/>
      <c r="BD37" s="387"/>
    </row>
    <row r="38" spans="2:56" ht="15">
      <c r="B38" s="393" t="s">
        <v>2060</v>
      </c>
      <c r="C38" s="74">
        <f t="shared" ref="C38:AI38" si="41">C13</f>
        <v>38.417058581937795</v>
      </c>
      <c r="D38" s="74">
        <f t="shared" si="41"/>
        <v>39.85682609618479</v>
      </c>
      <c r="E38" s="74">
        <f t="shared" si="41"/>
        <v>42.284547888642983</v>
      </c>
      <c r="F38" s="74">
        <f t="shared" si="41"/>
        <v>44.104595307835787</v>
      </c>
      <c r="G38" s="74">
        <f t="shared" si="41"/>
        <v>46.049352807793312</v>
      </c>
      <c r="H38" s="74">
        <f t="shared" si="41"/>
        <v>47.654954652078771</v>
      </c>
      <c r="I38" s="74">
        <f t="shared" si="41"/>
        <v>48.977874492088432</v>
      </c>
      <c r="J38" s="74">
        <f t="shared" si="41"/>
        <v>50.168871209253012</v>
      </c>
      <c r="K38" s="74">
        <f t="shared" si="41"/>
        <v>50.923605846698884</v>
      </c>
      <c r="L38" s="74">
        <f t="shared" si="41"/>
        <v>49.011014548331829</v>
      </c>
      <c r="M38" s="74">
        <f t="shared" si="41"/>
        <v>48.338250941213985</v>
      </c>
      <c r="N38" s="74">
        <f t="shared" si="41"/>
        <v>46.373166630467672</v>
      </c>
      <c r="O38" s="74">
        <f t="shared" si="41"/>
        <v>44.878226154437378</v>
      </c>
      <c r="P38" s="74">
        <f t="shared" si="41"/>
        <v>43.150487710522405</v>
      </c>
      <c r="Q38" s="74">
        <f t="shared" si="41"/>
        <v>41.134327159734482</v>
      </c>
      <c r="R38" s="74">
        <f t="shared" si="41"/>
        <v>37.033988921274528</v>
      </c>
      <c r="S38" s="74">
        <f t="shared" si="41"/>
        <v>37.358505031102595</v>
      </c>
      <c r="T38" s="74">
        <f t="shared" si="41"/>
        <v>34.496238818055517</v>
      </c>
      <c r="U38" s="74">
        <f t="shared" si="41"/>
        <v>31.895035032716532</v>
      </c>
      <c r="V38" s="74">
        <f t="shared" si="41"/>
        <v>30.271149671337916</v>
      </c>
      <c r="W38" s="74">
        <f t="shared" si="41"/>
        <v>29.301051553447373</v>
      </c>
      <c r="X38" s="74">
        <f t="shared" si="41"/>
        <v>28.223964095241961</v>
      </c>
      <c r="Y38" s="74">
        <f t="shared" si="41"/>
        <v>26.191298271854059</v>
      </c>
      <c r="Z38" s="74">
        <f t="shared" si="41"/>
        <v>24.473704998319796</v>
      </c>
      <c r="AA38" s="74">
        <f t="shared" si="41"/>
        <v>22.568800043276241</v>
      </c>
      <c r="AB38" s="74">
        <f t="shared" si="41"/>
        <v>20.791142747252096</v>
      </c>
      <c r="AC38" s="74">
        <f t="shared" si="41"/>
        <v>19.792092085719013</v>
      </c>
      <c r="AD38" s="74">
        <f t="shared" si="41"/>
        <v>18.741287153058572</v>
      </c>
      <c r="AE38" s="74">
        <f t="shared" si="41"/>
        <v>17.657847086227349</v>
      </c>
      <c r="AF38" s="74">
        <f t="shared" si="41"/>
        <v>19.076692759576606</v>
      </c>
      <c r="AG38" s="74">
        <f t="shared" si="41"/>
        <v>16.135908274221755</v>
      </c>
      <c r="AH38" s="74">
        <f t="shared" si="41"/>
        <v>16.819843099276984</v>
      </c>
      <c r="AI38" s="74">
        <f t="shared" si="41"/>
        <v>16.606687822669816</v>
      </c>
      <c r="AJ38" s="74"/>
      <c r="AK38" s="63">
        <f t="shared" si="38"/>
        <v>-1.2672845718538866E-2</v>
      </c>
      <c r="AL38" s="402">
        <f t="shared" si="37"/>
        <v>3.5216845659244147E-3</v>
      </c>
      <c r="AM38" s="63">
        <f>AI38/AI$86</f>
        <v>0.43456336443632732</v>
      </c>
      <c r="AN38" s="402">
        <f t="shared" si="39"/>
        <v>-0.567726201961812</v>
      </c>
      <c r="AR38" s="1"/>
      <c r="AX38" s="387"/>
      <c r="AY38" s="387"/>
      <c r="AZ38" s="387"/>
      <c r="BA38" s="387"/>
      <c r="BB38" s="387"/>
      <c r="BC38" s="387"/>
      <c r="BD38" s="387"/>
    </row>
    <row r="39" spans="2:56">
      <c r="B39" s="392" t="s">
        <v>1443</v>
      </c>
      <c r="C39" s="73">
        <f t="shared" ref="C39:T39" si="42">SUM(C40:C42)</f>
        <v>1569.4644231660723</v>
      </c>
      <c r="D39" s="73">
        <f t="shared" si="42"/>
        <v>1546.8465500071015</v>
      </c>
      <c r="E39" s="73">
        <f t="shared" si="42"/>
        <v>1591.8260776360639</v>
      </c>
      <c r="F39" s="73">
        <f t="shared" si="42"/>
        <v>1603.9798965312796</v>
      </c>
      <c r="G39" s="73">
        <f t="shared" si="42"/>
        <v>1616.3999887963109</v>
      </c>
      <c r="H39" s="73">
        <f t="shared" si="42"/>
        <v>1629.1930446475567</v>
      </c>
      <c r="I39" s="73">
        <f t="shared" si="42"/>
        <v>1666.7376958115728</v>
      </c>
      <c r="J39" s="73">
        <f t="shared" si="42"/>
        <v>1680.3566229230796</v>
      </c>
      <c r="K39" s="73">
        <f t="shared" si="42"/>
        <v>1685.6457647172033</v>
      </c>
      <c r="L39" s="73">
        <f t="shared" si="42"/>
        <v>1636.6849982431913</v>
      </c>
      <c r="M39" s="73">
        <f t="shared" si="42"/>
        <v>1689.4038931630118</v>
      </c>
      <c r="N39" s="73">
        <f t="shared" si="42"/>
        <v>1611.0685266090507</v>
      </c>
      <c r="O39" s="73">
        <f t="shared" si="42"/>
        <v>1590.5136334632502</v>
      </c>
      <c r="P39" s="73">
        <f t="shared" si="42"/>
        <v>1603.4922324267557</v>
      </c>
      <c r="Q39" s="73">
        <f t="shared" si="42"/>
        <v>1631.9494749154985</v>
      </c>
      <c r="R39" s="73">
        <f t="shared" si="42"/>
        <v>1592.8554139135392</v>
      </c>
      <c r="S39" s="73">
        <f t="shared" si="42"/>
        <v>1588.1635171427358</v>
      </c>
      <c r="T39" s="73">
        <f t="shared" si="42"/>
        <v>1581.343252122891</v>
      </c>
      <c r="U39" s="73">
        <f t="shared" ref="U39:AA39" si="43">SUM(U40:U42)</f>
        <v>1525.4289703868251</v>
      </c>
      <c r="V39" s="73">
        <f t="shared" si="43"/>
        <v>1355.6918969944734</v>
      </c>
      <c r="W39" s="73">
        <f t="shared" si="43"/>
        <v>1441.1854081411107</v>
      </c>
      <c r="X39" s="73">
        <f t="shared" si="43"/>
        <v>1427.8535342344367</v>
      </c>
      <c r="Y39" s="73">
        <f t="shared" si="43"/>
        <v>1403.8293148062849</v>
      </c>
      <c r="Z39" s="73">
        <f t="shared" si="43"/>
        <v>1437.0090241086923</v>
      </c>
      <c r="AA39" s="73">
        <f t="shared" si="43"/>
        <v>1422.1036335926453</v>
      </c>
      <c r="AB39" s="73">
        <f>SUM(AB40:AB42)</f>
        <v>1355.2590567036423</v>
      </c>
      <c r="AC39" s="73">
        <f>SUM(AC40:AC42)</f>
        <v>1318.0450258556182</v>
      </c>
      <c r="AD39" s="73">
        <f>SUM(AD40:AD42)</f>
        <v>1293.9181872818751</v>
      </c>
      <c r="AE39" s="73">
        <f t="shared" ref="AE39:AF39" si="44">SUM(AE40:AE42)</f>
        <v>1317.1073032578884</v>
      </c>
      <c r="AF39" s="73">
        <f t="shared" si="44"/>
        <v>1273.2842139542895</v>
      </c>
      <c r="AG39" s="73">
        <f t="shared" ref="AG39:AH39" si="45">SUM(AG40:AG42)</f>
        <v>1168.3162064271801</v>
      </c>
      <c r="AH39" s="73">
        <f t="shared" si="45"/>
        <v>1223.4449849263988</v>
      </c>
      <c r="AI39" s="73">
        <f t="shared" ref="AI39" si="46">SUM(AI40:AI42)</f>
        <v>1223.0617244719474</v>
      </c>
      <c r="AJ39" s="73"/>
      <c r="AK39" s="63">
        <f t="shared" si="38"/>
        <v>-3.1326333359765318E-4</v>
      </c>
      <c r="AL39" s="402">
        <f t="shared" si="37"/>
        <v>0.25936765020451213</v>
      </c>
      <c r="AN39" s="402">
        <f t="shared" si="39"/>
        <v>-0.22071395412412631</v>
      </c>
      <c r="AR39" s="1"/>
      <c r="AX39" s="387"/>
      <c r="AY39" s="387"/>
      <c r="AZ39" s="387"/>
      <c r="BA39" s="387"/>
      <c r="BB39" s="387"/>
      <c r="BC39" s="387"/>
      <c r="BD39" s="387"/>
    </row>
    <row r="40" spans="2:56" ht="15">
      <c r="B40" s="393" t="s">
        <v>1798</v>
      </c>
      <c r="C40" s="74">
        <f>'Inventory Table'!L12+C15</f>
        <v>1557.5709328892033</v>
      </c>
      <c r="D40" s="74">
        <f>'Inventory Table'!M12+D15</f>
        <v>1535.2025090441894</v>
      </c>
      <c r="E40" s="74">
        <f>'Inventory Table'!N12+E15</f>
        <v>1579.8238303970604</v>
      </c>
      <c r="F40" s="74">
        <f>'Inventory Table'!O12+F15</f>
        <v>1591.8253402762612</v>
      </c>
      <c r="G40" s="74">
        <f>'Inventory Table'!P12+G15</f>
        <v>1603.8820159591726</v>
      </c>
      <c r="H40" s="74">
        <f>'Inventory Table'!Q12+H15</f>
        <v>1616.6335481630549</v>
      </c>
      <c r="I40" s="74">
        <f>'Inventory Table'!R12+I15</f>
        <v>1654.00277016368</v>
      </c>
      <c r="J40" s="74">
        <f>'Inventory Table'!S12+J15</f>
        <v>1667.4376956416904</v>
      </c>
      <c r="K40" s="74">
        <f>'Inventory Table'!T12+K15</f>
        <v>1672.8904796704078</v>
      </c>
      <c r="L40" s="74">
        <f>'Inventory Table'!U12+L15</f>
        <v>1624.0572105905655</v>
      </c>
      <c r="M40" s="74">
        <f>'Inventory Table'!V12+M15</f>
        <v>1676.4409943922044</v>
      </c>
      <c r="N40" s="74">
        <f>'Inventory Table'!W12+N15</f>
        <v>1598.909499518393</v>
      </c>
      <c r="O40" s="74">
        <f>'Inventory Table'!X12+O15</f>
        <v>1578.3215628198409</v>
      </c>
      <c r="P40" s="74">
        <f>'Inventory Table'!Y12+P15</f>
        <v>1590.9208638453538</v>
      </c>
      <c r="Q40" s="74">
        <f>'Inventory Table'!Z12+Q15</f>
        <v>1618.8570767583938</v>
      </c>
      <c r="R40" s="74">
        <f>'Inventory Table'!AA12+R15</f>
        <v>1579.8162051068753</v>
      </c>
      <c r="S40" s="74">
        <f>'Inventory Table'!AB12+S15</f>
        <v>1575.190301330171</v>
      </c>
      <c r="T40" s="74">
        <f>'Inventory Table'!AC12+T15</f>
        <v>1568.5813050613606</v>
      </c>
      <c r="U40" s="74">
        <f>'Inventory Table'!AD12+U15</f>
        <v>1513.0280959284123</v>
      </c>
      <c r="V40" s="74">
        <f>'Inventory Table'!AE12+V15</f>
        <v>1344.7736169775987</v>
      </c>
      <c r="W40" s="74">
        <f>'Inventory Table'!AF12+W15</f>
        <v>1429.0810698338848</v>
      </c>
      <c r="X40" s="74">
        <f>'Inventory Table'!AG12+X15</f>
        <v>1415.8980241286965</v>
      </c>
      <c r="Y40" s="74">
        <f>'Inventory Table'!AH12+Y15</f>
        <v>1392.3546406616963</v>
      </c>
      <c r="Z40" s="74">
        <f>'Inventory Table'!AI12+Z15</f>
        <v>1424.920621452251</v>
      </c>
      <c r="AA40" s="74">
        <f>'Inventory Table'!AJ12+AA15</f>
        <v>1410.0195300882015</v>
      </c>
      <c r="AB40" s="74">
        <f>'Inventory Table'!AK12+AB15</f>
        <v>1343.8996644831122</v>
      </c>
      <c r="AC40" s="74">
        <f>'Inventory Table'!AL12+AC15</f>
        <v>1306.9015855972996</v>
      </c>
      <c r="AD40" s="74">
        <f>'Inventory Table'!AM12+AD15</f>
        <v>1283.178908394184</v>
      </c>
      <c r="AE40" s="74">
        <f>'Inventory Table'!AN12+AE15</f>
        <v>1306.5609937789206</v>
      </c>
      <c r="AF40" s="74">
        <f>'Inventory Table'!AO12+AF15</f>
        <v>1263.6035013061817</v>
      </c>
      <c r="AG40" s="74">
        <f>'Inventory Table'!AP12+AG15</f>
        <v>1159.3150400010802</v>
      </c>
      <c r="AH40" s="74">
        <f>'Inventory Table'!AQ12+AH15</f>
        <v>1213.9016941481375</v>
      </c>
      <c r="AI40" s="74">
        <f>'Inventory Table'!AR12+AI15</f>
        <v>1213.7877424118888</v>
      </c>
      <c r="AJ40" s="74"/>
      <c r="AK40" s="63">
        <f t="shared" si="38"/>
        <v>-9.3872293611636372E-5</v>
      </c>
      <c r="AL40" s="402">
        <f t="shared" si="37"/>
        <v>0.2574009702840897</v>
      </c>
      <c r="AM40" s="63">
        <f>AI40/AI$84</f>
        <v>0.25880982380929229</v>
      </c>
      <c r="AN40" s="402">
        <f t="shared" si="39"/>
        <v>-0.22071751803920525</v>
      </c>
      <c r="AR40" s="1"/>
      <c r="AX40" s="387"/>
      <c r="AY40" s="387"/>
      <c r="AZ40" s="387"/>
      <c r="BA40" s="387"/>
      <c r="BB40" s="387"/>
      <c r="BC40" s="387"/>
      <c r="BD40" s="387"/>
    </row>
    <row r="41" spans="2:56" ht="15">
      <c r="B41" s="393" t="s">
        <v>2059</v>
      </c>
      <c r="C41" s="74">
        <f>([4]Summary!C5*'Electricity Distributed'!C103)+C16</f>
        <v>2.240203086956694</v>
      </c>
      <c r="D41" s="74">
        <f>([4]Summary!D5*'Electricity Distributed'!D103)+D16</f>
        <v>2.1888056956264927</v>
      </c>
      <c r="E41" s="74">
        <f>([4]Summary!E5*'Electricity Distributed'!E103)+E16</f>
        <v>2.2392178848159552</v>
      </c>
      <c r="F41" s="74">
        <f>([4]Summary!F5*'Electricity Distributed'!F103)+F16</f>
        <v>2.2625880273750454</v>
      </c>
      <c r="G41" s="74">
        <f>([4]Summary!G5*'Electricity Distributed'!G103)+G16</f>
        <v>2.3414986259700239</v>
      </c>
      <c r="H41" s="74">
        <f>([4]Summary!H5*'Electricity Distributed'!H103)+H16</f>
        <v>2.3930779665453974</v>
      </c>
      <c r="I41" s="74">
        <f>([4]Summary!I5*'Electricity Distributed'!I103)+I16</f>
        <v>2.4162921685157093</v>
      </c>
      <c r="J41" s="74">
        <f>([4]Summary!J5*'Electricity Distributed'!J103)+J16</f>
        <v>2.4511535923373033</v>
      </c>
      <c r="K41" s="74">
        <f>([4]Summary!K5*'Electricity Distributed'!K103)+K16</f>
        <v>2.3601091212709138</v>
      </c>
      <c r="L41" s="74">
        <f>([4]Summary!L5*'Electricity Distributed'!L103)+L16</f>
        <v>2.3146907672817227</v>
      </c>
      <c r="M41" s="74">
        <f>([4]Summary!M5*'Electricity Distributed'!M103)+M16</f>
        <v>2.3701629273418341</v>
      </c>
      <c r="N41" s="74">
        <f>([4]Summary!N5*'Electricity Distributed'!N103)+N16</f>
        <v>2.2122805112102046</v>
      </c>
      <c r="O41" s="74">
        <f>([4]Summary!O5*'Electricity Distributed'!O103)+O16</f>
        <v>2.1628491387815636</v>
      </c>
      <c r="P41" s="74">
        <f>([4]Summary!P5*'Electricity Distributed'!P103)+P16</f>
        <v>2.1442820918334884</v>
      </c>
      <c r="Q41" s="74">
        <f>([4]Summary!Q5*'Electricity Distributed'!Q103)+Q16</f>
        <v>2.2710341198397459</v>
      </c>
      <c r="R41" s="74">
        <f>([4]Summary!R5*'Electricity Distributed'!R103)+R16</f>
        <v>2.2366140276144413</v>
      </c>
      <c r="S41" s="74">
        <f>([4]Summary!S5*'Electricity Distributed'!S103)+S16</f>
        <v>2.2721663042762934</v>
      </c>
      <c r="T41" s="74">
        <f>([4]Summary!T5*'Electricity Distributed'!T103)+T16</f>
        <v>2.2220108560178566</v>
      </c>
      <c r="U41" s="74">
        <f>([4]Summary!U5*'Electricity Distributed'!U103)+U16</f>
        <v>2.1116090742693223</v>
      </c>
      <c r="V41" s="74">
        <f>([4]Summary!V5*'Electricity Distributed'!V103)+V16</f>
        <v>1.8674467491766702</v>
      </c>
      <c r="W41" s="74">
        <f>([4]Summary!W5*'Electricity Distributed'!W103)+W16</f>
        <v>2.1181847338540645</v>
      </c>
      <c r="X41" s="74">
        <f>([4]Summary!X5*'Electricity Distributed'!X103)+X16</f>
        <v>2.1296677440298613</v>
      </c>
      <c r="Y41" s="74">
        <f>([4]Summary!Y5*'Electricity Distributed'!Y103)+Y16</f>
        <v>2.1768418470177462</v>
      </c>
      <c r="Z41" s="74">
        <f>([4]Summary!Z5*'Electricity Distributed'!Z103)+Z16</f>
        <v>2.2034407564503149</v>
      </c>
      <c r="AA41" s="74">
        <f>([4]Summary!AA5*'Electricity Distributed'!AA103)+AA16</f>
        <v>2.1892966399210421</v>
      </c>
      <c r="AB41" s="74">
        <f>([4]Summary!AB5*'Electricity Distributed'!AB103)+AB16</f>
        <v>2.1757483439770136</v>
      </c>
      <c r="AC41" s="74">
        <f>([4]Summary!AC5*'Electricity Distributed'!AC103)+AC16</f>
        <v>2.1499197740078815</v>
      </c>
      <c r="AD41" s="74">
        <f>([4]Summary!AD5*'Electricity Distributed'!AD103)+AD16</f>
        <v>2.0830386135748697</v>
      </c>
      <c r="AE41" s="74">
        <f>([4]Summary!AE5*'Electricity Distributed'!AE103)+AE16</f>
        <v>2.1061351934592012</v>
      </c>
      <c r="AF41" s="74">
        <f>([4]Summary!AF5*'Electricity Distributed'!AF103)+AF16</f>
        <v>2.0792390323491556</v>
      </c>
      <c r="AG41" s="74">
        <f>([4]Summary!AG5*'Electricity Distributed'!AG103)+AG16</f>
        <v>1.9784565511182808</v>
      </c>
      <c r="AH41" s="74">
        <f>([4]Summary!AH5*'Electricity Distributed'!AH103)+AH16</f>
        <v>1.9994823915195854</v>
      </c>
      <c r="AI41" s="74">
        <f>([4]Summary!AI5*'Electricity Distributed'!AI103)+AI16</f>
        <v>1.9685250468356135</v>
      </c>
      <c r="AJ41" s="74"/>
      <c r="AK41" s="63">
        <f t="shared" si="38"/>
        <v>-1.5482679325045058E-2</v>
      </c>
      <c r="AL41" s="402">
        <f t="shared" si="37"/>
        <v>4.1745376014192399E-4</v>
      </c>
      <c r="AM41" s="63">
        <f>AI41/AI$85</f>
        <v>0.17407033402585456</v>
      </c>
      <c r="AN41" s="402">
        <f t="shared" si="39"/>
        <v>-0.12127384418979348</v>
      </c>
      <c r="AR41" s="1"/>
      <c r="AX41" s="387"/>
      <c r="AY41" s="387"/>
      <c r="AZ41" s="387"/>
      <c r="BA41" s="387"/>
      <c r="BB41" s="387"/>
      <c r="BC41" s="387"/>
      <c r="BD41" s="387"/>
    </row>
    <row r="42" spans="2:56" ht="15">
      <c r="B42" s="393" t="s">
        <v>2060</v>
      </c>
      <c r="C42" s="74">
        <f>([4]Summary!C35*'Electricity Distributed'!C103)+C17</f>
        <v>9.6532871899123407</v>
      </c>
      <c r="D42" s="74">
        <f>([4]Summary!D35*'Electricity Distributed'!D103)+D17</f>
        <v>9.4552352672856408</v>
      </c>
      <c r="E42" s="74">
        <f>([4]Summary!E35*'Electricity Distributed'!E103)+E17</f>
        <v>9.7630293541875801</v>
      </c>
      <c r="F42" s="74">
        <f>([4]Summary!F35*'Electricity Distributed'!F103)+F17</f>
        <v>9.8919682276435417</v>
      </c>
      <c r="G42" s="74">
        <f>([4]Summary!G35*'Electricity Distributed'!G103)+G17</f>
        <v>10.176474211168347</v>
      </c>
      <c r="H42" s="74">
        <f>([4]Summary!H35*'Electricity Distributed'!H103)+H17</f>
        <v>10.166418517956373</v>
      </c>
      <c r="I42" s="74">
        <f>([4]Summary!I35*'Electricity Distributed'!I103)+I17</f>
        <v>10.318633479377329</v>
      </c>
      <c r="J42" s="74">
        <f>([4]Summary!J35*'Electricity Distributed'!J103)+J17</f>
        <v>10.467773689051848</v>
      </c>
      <c r="K42" s="74">
        <f>([4]Summary!K35*'Electricity Distributed'!K103)+K17</f>
        <v>10.395175925524633</v>
      </c>
      <c r="L42" s="74">
        <f>([4]Summary!L35*'Electricity Distributed'!L103)+L17</f>
        <v>10.313096885344004</v>
      </c>
      <c r="M42" s="74">
        <f>([4]Summary!M35*'Electricity Distributed'!M103)+M17</f>
        <v>10.592735843465515</v>
      </c>
      <c r="N42" s="74">
        <f>([4]Summary!N35*'Electricity Distributed'!N103)+N17</f>
        <v>9.9467465794476411</v>
      </c>
      <c r="O42" s="74">
        <f>([4]Summary!O35*'Electricity Distributed'!O103)+O17</f>
        <v>10.029221504627586</v>
      </c>
      <c r="P42" s="74">
        <f>([4]Summary!P35*'Electricity Distributed'!P103)+P17</f>
        <v>10.427086489568417</v>
      </c>
      <c r="Q42" s="74">
        <f>([4]Summary!Q35*'Electricity Distributed'!Q103)+Q17</f>
        <v>10.821364037265063</v>
      </c>
      <c r="R42" s="74">
        <f>([4]Summary!R35*'Electricity Distributed'!R103)+R17</f>
        <v>10.802594779049468</v>
      </c>
      <c r="S42" s="74">
        <f>([4]Summary!S35*'Electricity Distributed'!S103)+S17</f>
        <v>10.701049508288619</v>
      </c>
      <c r="T42" s="74">
        <f>([4]Summary!T35*'Electricity Distributed'!T103)+T17</f>
        <v>10.539936205512568</v>
      </c>
      <c r="U42" s="74">
        <f>([4]Summary!U35*'Electricity Distributed'!U103)+U17</f>
        <v>10.289265384143397</v>
      </c>
      <c r="V42" s="74">
        <f>([4]Summary!V35*'Electricity Distributed'!V103)+V17</f>
        <v>9.0508332676979855</v>
      </c>
      <c r="W42" s="74">
        <f>([4]Summary!W35*'Electricity Distributed'!W103)+W17</f>
        <v>9.9861535733717552</v>
      </c>
      <c r="X42" s="74">
        <f>([4]Summary!X35*'Electricity Distributed'!X103)+X17</f>
        <v>9.8258423617104356</v>
      </c>
      <c r="Y42" s="74">
        <f>([4]Summary!Y35*'Electricity Distributed'!Y103)+Y17</f>
        <v>9.2978322975708245</v>
      </c>
      <c r="Z42" s="74">
        <f>([4]Summary!Z35*'Electricity Distributed'!Z103)+Z17</f>
        <v>9.8849618999909961</v>
      </c>
      <c r="AA42" s="74">
        <f>([4]Summary!AA35*'Electricity Distributed'!AA103)+AA17</f>
        <v>9.8948068645230034</v>
      </c>
      <c r="AB42" s="74">
        <f>([4]Summary!AB35*'Electricity Distributed'!AB103)+AB17</f>
        <v>9.1836438765531767</v>
      </c>
      <c r="AC42" s="74">
        <f>([4]Summary!AC35*'Electricity Distributed'!AC103)+AC17</f>
        <v>8.993520484310638</v>
      </c>
      <c r="AD42" s="74">
        <f>([4]Summary!AD35*'Electricity Distributed'!AD103)+AD17</f>
        <v>8.6562402741163105</v>
      </c>
      <c r="AE42" s="74">
        <f>([4]Summary!AE35*'Electricity Distributed'!AE103)+AE17</f>
        <v>8.4401742855083217</v>
      </c>
      <c r="AF42" s="74">
        <f>([4]Summary!AF35*'Electricity Distributed'!AF103)+AF17</f>
        <v>7.6014736157587803</v>
      </c>
      <c r="AG42" s="74">
        <f>([4]Summary!AG35*'Electricity Distributed'!AG103)+AG17</f>
        <v>7.0227098749813992</v>
      </c>
      <c r="AH42" s="74">
        <f>([4]Summary!AH35*'Electricity Distributed'!AH103)+AH17</f>
        <v>7.5438083867416115</v>
      </c>
      <c r="AI42" s="74">
        <f>([4]Summary!AI35*'Electricity Distributed'!AI103)+AI17</f>
        <v>7.3054570132230161</v>
      </c>
      <c r="AJ42" s="74"/>
      <c r="AK42" s="63">
        <f t="shared" si="38"/>
        <v>-3.159562932927916E-2</v>
      </c>
      <c r="AL42" s="402">
        <f t="shared" si="37"/>
        <v>1.5492261602805043E-3</v>
      </c>
      <c r="AM42" s="63">
        <f>AI42/AI$86</f>
        <v>0.19116900445839602</v>
      </c>
      <c r="AN42" s="402">
        <f t="shared" si="39"/>
        <v>-0.24321561458803387</v>
      </c>
      <c r="AR42" s="1"/>
      <c r="AX42" s="387"/>
      <c r="AY42" s="387"/>
      <c r="AZ42" s="387"/>
      <c r="BA42" s="387"/>
      <c r="BB42" s="387"/>
      <c r="BC42" s="387"/>
      <c r="BD42" s="387"/>
    </row>
    <row r="43" spans="2:56">
      <c r="B43" s="392" t="s">
        <v>1434</v>
      </c>
      <c r="C43" s="73">
        <f t="shared" ref="C43:T43" si="47">SUM(C44:C46)</f>
        <v>944.21649088828258</v>
      </c>
      <c r="D43" s="73">
        <f t="shared" si="47"/>
        <v>962.58176686285424</v>
      </c>
      <c r="E43" s="73">
        <f t="shared" si="47"/>
        <v>958.79388826730383</v>
      </c>
      <c r="F43" s="73">
        <f t="shared" si="47"/>
        <v>1011.0844860428134</v>
      </c>
      <c r="G43" s="73">
        <f t="shared" si="47"/>
        <v>1001.7313851291182</v>
      </c>
      <c r="H43" s="73">
        <f t="shared" si="47"/>
        <v>1007.5380811823801</v>
      </c>
      <c r="I43" s="73">
        <f t="shared" si="47"/>
        <v>1068.9624644627081</v>
      </c>
      <c r="J43" s="73">
        <f t="shared" si="47"/>
        <v>1057.5558287724684</v>
      </c>
      <c r="K43" s="73">
        <f t="shared" si="47"/>
        <v>1061.7781939400368</v>
      </c>
      <c r="L43" s="73">
        <f t="shared" si="47"/>
        <v>1082.7466566027208</v>
      </c>
      <c r="M43" s="73">
        <f t="shared" si="47"/>
        <v>1146.911008667995</v>
      </c>
      <c r="N43" s="73">
        <f t="shared" si="47"/>
        <v>1138.1683064786357</v>
      </c>
      <c r="O43" s="73">
        <f t="shared" si="47"/>
        <v>1166.0027510459615</v>
      </c>
      <c r="P43" s="73">
        <f t="shared" si="47"/>
        <v>1196.6909756777029</v>
      </c>
      <c r="Q43" s="73">
        <f t="shared" si="47"/>
        <v>1195.2828063648967</v>
      </c>
      <c r="R43" s="73">
        <f t="shared" si="47"/>
        <v>1229.8338533483748</v>
      </c>
      <c r="S43" s="73">
        <f t="shared" si="47"/>
        <v>1165.5798491561045</v>
      </c>
      <c r="T43" s="73">
        <f t="shared" si="47"/>
        <v>1218.215380409915</v>
      </c>
      <c r="U43" s="73">
        <f t="shared" ref="U43:Z43" si="48">SUM(U44:U46)</f>
        <v>1205.0325184160936</v>
      </c>
      <c r="V43" s="73">
        <f t="shared" si="48"/>
        <v>1137.4860175207214</v>
      </c>
      <c r="W43" s="73">
        <f t="shared" si="48"/>
        <v>1191.1053687829708</v>
      </c>
      <c r="X43" s="73">
        <f t="shared" si="48"/>
        <v>1132.8861368238761</v>
      </c>
      <c r="Y43" s="73">
        <f t="shared" si="48"/>
        <v>1022.0010683454034</v>
      </c>
      <c r="Z43" s="73">
        <f t="shared" si="48"/>
        <v>1079.9524187416071</v>
      </c>
      <c r="AA43" s="73">
        <f>SUM(AA44:AA46)</f>
        <v>1097.0094430160641</v>
      </c>
      <c r="AB43" s="73">
        <f>SUM(AB44:AB46)</f>
        <v>1016.1592375242974</v>
      </c>
      <c r="AC43" s="73">
        <f>SUM(AC44:AC46)</f>
        <v>960.62760875588424</v>
      </c>
      <c r="AD43" s="73">
        <f>SUM(AD44:AD46)</f>
        <v>924.3127079482781</v>
      </c>
      <c r="AE43" s="73">
        <f t="shared" ref="AE43:AF43" si="49">SUM(AE44:AE46)</f>
        <v>995.66021225039924</v>
      </c>
      <c r="AF43" s="73">
        <f t="shared" si="49"/>
        <v>940.16617219245552</v>
      </c>
      <c r="AG43" s="73">
        <f t="shared" ref="AG43:AH43" si="50">SUM(AG44:AG46)</f>
        <v>871.56262951193094</v>
      </c>
      <c r="AH43" s="73">
        <f t="shared" si="50"/>
        <v>902.14601459639709</v>
      </c>
      <c r="AI43" s="73">
        <f t="shared" ref="AI43" si="51">SUM(AI44:AI46)</f>
        <v>910.35601551502282</v>
      </c>
      <c r="AJ43" s="73"/>
      <c r="AK43" s="63">
        <f t="shared" si="38"/>
        <v>9.1005234028537184E-3</v>
      </c>
      <c r="AL43" s="402">
        <f t="shared" ref="AL43:AL50" si="52">AI43/SUM(AI$35,AI$39,AI$43,AI$47)</f>
        <v>0.19305395293570854</v>
      </c>
      <c r="AN43" s="402">
        <f t="shared" si="39"/>
        <v>-3.5860923527617161E-2</v>
      </c>
      <c r="AR43" s="1"/>
      <c r="AX43" s="387"/>
      <c r="AY43" s="387"/>
      <c r="AZ43" s="387"/>
      <c r="BA43" s="387"/>
      <c r="BB43" s="387"/>
      <c r="BC43" s="387"/>
      <c r="BD43" s="387"/>
    </row>
    <row r="44" spans="2:56" ht="15">
      <c r="B44" s="393" t="s">
        <v>1798</v>
      </c>
      <c r="C44" s="74">
        <f>'Inventory Table'!L15+C19</f>
        <v>931.31306277964427</v>
      </c>
      <c r="D44" s="74">
        <f>'Inventory Table'!M15+D19</f>
        <v>949.33888588450918</v>
      </c>
      <c r="E44" s="74">
        <f>'Inventory Table'!N15+E19</f>
        <v>945.36913683163345</v>
      </c>
      <c r="F44" s="74">
        <f>'Inventory Table'!O15+F19</f>
        <v>998.00873848732488</v>
      </c>
      <c r="G44" s="74">
        <f>'Inventory Table'!P15+G19</f>
        <v>988.95658292137637</v>
      </c>
      <c r="H44" s="74">
        <f>'Inventory Table'!Q15+H19</f>
        <v>994.71215351490434</v>
      </c>
      <c r="I44" s="74">
        <f>'Inventory Table'!R15+I19</f>
        <v>1055.599402858898</v>
      </c>
      <c r="J44" s="74">
        <f>'Inventory Table'!S15+J19</f>
        <v>1045.2342898136208</v>
      </c>
      <c r="K44" s="74">
        <f>'Inventory Table'!T15+K19</f>
        <v>1049.7633949656122</v>
      </c>
      <c r="L44" s="74">
        <f>'Inventory Table'!U15+L19</f>
        <v>1070.5402579774973</v>
      </c>
      <c r="M44" s="74">
        <f>'Inventory Table'!V15+M19</f>
        <v>1133.8938917163525</v>
      </c>
      <c r="N44" s="74">
        <f>'Inventory Table'!W15+N19</f>
        <v>1125.5136681815302</v>
      </c>
      <c r="O44" s="74">
        <f>'Inventory Table'!X15+O19</f>
        <v>1152.6184869553806</v>
      </c>
      <c r="P44" s="74">
        <f>'Inventory Table'!Y15+P19</f>
        <v>1182.6639198846428</v>
      </c>
      <c r="Q44" s="74">
        <f>'Inventory Table'!Z15+Q19</f>
        <v>1180.84406074147</v>
      </c>
      <c r="R44" s="74">
        <f>'Inventory Table'!AA15+R19</f>
        <v>1214.6147745129836</v>
      </c>
      <c r="S44" s="74">
        <f>'Inventory Table'!AB15+S19</f>
        <v>1151.1172360888077</v>
      </c>
      <c r="T44" s="74">
        <f>'Inventory Table'!AC15+T19</f>
        <v>1203.0476478201435</v>
      </c>
      <c r="U44" s="74">
        <f>'Inventory Table'!AD15+U19</f>
        <v>1189.5719882760729</v>
      </c>
      <c r="V44" s="74">
        <f>'Inventory Table'!AE15+V19</f>
        <v>1122.2027289953273</v>
      </c>
      <c r="W44" s="74">
        <f>'Inventory Table'!AF15+W19</f>
        <v>1174.5997295871398</v>
      </c>
      <c r="X44" s="74">
        <f>'Inventory Table'!AG15+X19</f>
        <v>1117.1249750463776</v>
      </c>
      <c r="Y44" s="74">
        <f>'Inventory Table'!AH15+Y19</f>
        <v>1008.1089431001139</v>
      </c>
      <c r="Z44" s="74">
        <f>'Inventory Table'!AI15+Z19</f>
        <v>1064.0052645208489</v>
      </c>
      <c r="AA44" s="74">
        <f>'Inventory Table'!AJ15+AA19</f>
        <v>1080.8370434492858</v>
      </c>
      <c r="AB44" s="74">
        <f>'Inventory Table'!AK15+AB19</f>
        <v>1001.4091538296726</v>
      </c>
      <c r="AC44" s="74">
        <f>'Inventory Table'!AL15+AC19</f>
        <v>946.65653651210357</v>
      </c>
      <c r="AD44" s="74">
        <f>'Inventory Table'!AM15+AD19</f>
        <v>911.08896100278503</v>
      </c>
      <c r="AE44" s="74">
        <f>'Inventory Table'!AN15+AE19</f>
        <v>981.23477542869614</v>
      </c>
      <c r="AF44" s="74">
        <f>'Inventory Table'!AO15+AF19</f>
        <v>926.65475759921389</v>
      </c>
      <c r="AG44" s="74">
        <f>'Inventory Table'!AP15+AG19</f>
        <v>860.11952525953416</v>
      </c>
      <c r="AH44" s="74">
        <f>'Inventory Table'!AQ15+AH19</f>
        <v>890.29721476749273</v>
      </c>
      <c r="AI44" s="74">
        <f>'Inventory Table'!AR15+AI19</f>
        <v>897.92632920320239</v>
      </c>
      <c r="AJ44" s="74"/>
      <c r="AK44" s="63">
        <f t="shared" si="38"/>
        <v>8.5691770221948283E-3</v>
      </c>
      <c r="AL44" s="402">
        <f t="shared" si="52"/>
        <v>0.19041806100403361</v>
      </c>
      <c r="AM44" s="63">
        <f>AI44/AI$84</f>
        <v>0.19146029156055283</v>
      </c>
      <c r="AN44" s="402">
        <f t="shared" si="39"/>
        <v>-3.5849098343788022E-2</v>
      </c>
      <c r="AR44" s="1"/>
      <c r="AX44" s="387"/>
      <c r="AY44" s="387"/>
      <c r="AZ44" s="387"/>
      <c r="BA44" s="387"/>
      <c r="BB44" s="387"/>
      <c r="BC44" s="387"/>
      <c r="BD44" s="387"/>
    </row>
    <row r="45" spans="2:56" ht="15">
      <c r="B45" s="393" t="s">
        <v>2059</v>
      </c>
      <c r="C45" s="74">
        <f>([4]Summary!C5*'Electricity Distributed'!C101)+C20</f>
        <v>6.0245983246270249</v>
      </c>
      <c r="D45" s="74">
        <f>([4]Summary!D5*'Electricity Distributed'!D101)+D20</f>
        <v>6.24343445190331</v>
      </c>
      <c r="E45" s="74">
        <f>([4]Summary!E5*'Electricity Distributed'!E101)+E20</f>
        <v>6.4959244568588916</v>
      </c>
      <c r="F45" s="74">
        <f>([4]Summary!F5*'Electricity Distributed'!F101)+F20</f>
        <v>5.8190119770304412</v>
      </c>
      <c r="G45" s="74">
        <f>([4]Summary!G5*'Electricity Distributed'!G101)+G20</f>
        <v>5.51383016254956</v>
      </c>
      <c r="H45" s="74">
        <f>([4]Summary!H5*'Electricity Distributed'!H101)+H20</f>
        <v>5.4746058136908742</v>
      </c>
      <c r="I45" s="74">
        <f>([4]Summary!I5*'Electricity Distributed'!I101)+I20</f>
        <v>5.7242190552758228</v>
      </c>
      <c r="J45" s="74">
        <f>([4]Summary!J5*'Electricity Distributed'!J101)+J20</f>
        <v>4.7917861134111268</v>
      </c>
      <c r="K45" s="74">
        <f>([4]Summary!K5*'Electricity Distributed'!K101)+K20</f>
        <v>4.2787784116133576</v>
      </c>
      <c r="L45" s="74">
        <f>([4]Summary!L5*'Electricity Distributed'!L101)+L20</f>
        <v>4.4460055144361528</v>
      </c>
      <c r="M45" s="74">
        <f>([4]Summary!M5*'Electricity Distributed'!M101)+M20</f>
        <v>4.7440190956282899</v>
      </c>
      <c r="N45" s="74">
        <f>([4]Summary!N5*'Electricity Distributed'!N101)+N20</f>
        <v>4.350419122671739</v>
      </c>
      <c r="O45" s="74">
        <f>([4]Summary!O5*'Electricity Distributed'!O101)+O20</f>
        <v>4.4577933735471937</v>
      </c>
      <c r="P45" s="74">
        <f>([4]Summary!P5*'Electricity Distributed'!P101)+P20</f>
        <v>4.6870243403065484</v>
      </c>
      <c r="Q45" s="74">
        <f>([4]Summary!Q5*'Electricity Distributed'!Q101)+Q20</f>
        <v>4.7544172681429275</v>
      </c>
      <c r="R45" s="74">
        <f>([4]Summary!R5*'Electricity Distributed'!R101)+R20</f>
        <v>4.8891939278664838</v>
      </c>
      <c r="S45" s="74">
        <f>([4]Summary!S5*'Electricity Distributed'!S101)+S20</f>
        <v>4.3675667202158452</v>
      </c>
      <c r="T45" s="74">
        <f>([4]Summary!T5*'Electricity Distributed'!T101)+T20</f>
        <v>4.7798372897073804</v>
      </c>
      <c r="U45" s="74">
        <f>([4]Summary!U5*'Electricity Distributed'!U101)+U20</f>
        <v>5.1244996728378034</v>
      </c>
      <c r="V45" s="74">
        <f>([4]Summary!V5*'Electricity Distributed'!V101)+V20</f>
        <v>5.3694891014103119</v>
      </c>
      <c r="W45" s="74">
        <f>([4]Summary!W5*'Electricity Distributed'!W101)+W20</f>
        <v>5.6858578633980947</v>
      </c>
      <c r="X45" s="74">
        <f>([4]Summary!X5*'Electricity Distributed'!X101)+X20</f>
        <v>5.5203812087927364</v>
      </c>
      <c r="Y45" s="74">
        <f>([4]Summary!Y5*'Electricity Distributed'!Y101)+Y20</f>
        <v>4.7416509198203638</v>
      </c>
      <c r="Z45" s="74">
        <f>([4]Summary!Z5*'Electricity Distributed'!Z101)+Z20</f>
        <v>5.9096414332245315</v>
      </c>
      <c r="AA45" s="74">
        <f>([4]Summary!AA5*'Electricity Distributed'!AA101)+AA20</f>
        <v>6.0231254278227295</v>
      </c>
      <c r="AB45" s="74">
        <f>([4]Summary!AB5*'Electricity Distributed'!AB101)+AB20</f>
        <v>5.4574277630643424</v>
      </c>
      <c r="AC45" s="74">
        <f>([4]Summary!AC5*'Electricity Distributed'!AC101)+AC20</f>
        <v>4.844157586888362</v>
      </c>
      <c r="AD45" s="74">
        <f>([4]Summary!AD5*'Electricity Distributed'!AD101)+AD20</f>
        <v>4.6911095319527147</v>
      </c>
      <c r="AE45" s="74">
        <f>([4]Summary!AE5*'Electricity Distributed'!AE101)+AE20</f>
        <v>5.6422346003387922</v>
      </c>
      <c r="AF45" s="74">
        <f>([4]Summary!AF5*'Electricity Distributed'!AF101)+AF20</f>
        <v>5.8341493259352157</v>
      </c>
      <c r="AG45" s="74">
        <f>([4]Summary!AG5*'Electricity Distributed'!AG101)+AG20</f>
        <v>4.1706754467868112</v>
      </c>
      <c r="AH45" s="74">
        <f>([4]Summary!AH5*'Electricity Distributed'!AH101)+AH20</f>
        <v>4.1584765147697285</v>
      </c>
      <c r="AI45" s="74">
        <f>([4]Summary!AI5*'Electricity Distributed'!AI101)+AI20</f>
        <v>4.8482600965766878</v>
      </c>
      <c r="AJ45" s="74"/>
      <c r="AK45" s="63">
        <f t="shared" si="38"/>
        <v>0.16587410782699957</v>
      </c>
      <c r="AL45" s="402">
        <f t="shared" si="52"/>
        <v>1.0281425734030799E-3</v>
      </c>
      <c r="AM45" s="63">
        <f>AI45/AI$85</f>
        <v>0.42871603580149981</v>
      </c>
      <c r="AN45" s="402">
        <f t="shared" si="39"/>
        <v>-0.19525587676804379</v>
      </c>
      <c r="AR45" s="1"/>
      <c r="AX45" s="387"/>
      <c r="AY45" s="387"/>
      <c r="AZ45" s="387"/>
      <c r="BA45" s="387"/>
      <c r="BB45" s="387"/>
      <c r="BC45" s="387"/>
      <c r="BD45" s="387"/>
    </row>
    <row r="46" spans="2:56" ht="15">
      <c r="B46" s="393" t="s">
        <v>2060</v>
      </c>
      <c r="C46" s="74">
        <f>([4]Summary!C35*'Electricity Distributed'!C101)+C21</f>
        <v>6.8788297840112298</v>
      </c>
      <c r="D46" s="74">
        <f>([4]Summary!D35*'Electricity Distributed'!D101)+D21</f>
        <v>6.9994465264417585</v>
      </c>
      <c r="E46" s="74">
        <f>([4]Summary!E35*'Electricity Distributed'!E101)+E21</f>
        <v>6.9288269788114905</v>
      </c>
      <c r="F46" s="74">
        <f>([4]Summary!F35*'Electricity Distributed'!F101)+F21</f>
        <v>7.2567355784581427</v>
      </c>
      <c r="G46" s="74">
        <f>([4]Summary!G35*'Electricity Distributed'!G101)+G21</f>
        <v>7.260972045192247</v>
      </c>
      <c r="H46" s="74">
        <f>([4]Summary!H35*'Electricity Distributed'!H101)+H21</f>
        <v>7.3513218537848548</v>
      </c>
      <c r="I46" s="74">
        <f>([4]Summary!I35*'Electricity Distributed'!I101)+I21</f>
        <v>7.6388425485342051</v>
      </c>
      <c r="J46" s="74">
        <f>([4]Summary!J35*'Electricity Distributed'!J101)+J21</f>
        <v>7.5297528454366365</v>
      </c>
      <c r="K46" s="74">
        <f>([4]Summary!K35*'Electricity Distributed'!K101)+K21</f>
        <v>7.7360205628112801</v>
      </c>
      <c r="L46" s="74">
        <f>([4]Summary!L35*'Electricity Distributed'!L101)+L21</f>
        <v>7.7603931107873905</v>
      </c>
      <c r="M46" s="74">
        <f>([4]Summary!M35*'Electricity Distributed'!M101)+M21</f>
        <v>8.2730978560142372</v>
      </c>
      <c r="N46" s="74">
        <f>([4]Summary!N35*'Electricity Distributed'!N101)+N21</f>
        <v>8.3042191744335874</v>
      </c>
      <c r="O46" s="74">
        <f>([4]Summary!O35*'Electricity Distributed'!O101)+O21</f>
        <v>8.9264707170336681</v>
      </c>
      <c r="P46" s="74">
        <f>([4]Summary!P35*'Electricity Distributed'!P101)+P21</f>
        <v>9.3400314527534594</v>
      </c>
      <c r="Q46" s="74">
        <f>([4]Summary!Q35*'Electricity Distributed'!Q101)+Q21</f>
        <v>9.6843283552836148</v>
      </c>
      <c r="R46" s="74">
        <f>([4]Summary!R35*'Electricity Distributed'!R101)+R21</f>
        <v>10.329884907524722</v>
      </c>
      <c r="S46" s="74">
        <f>([4]Summary!S35*'Electricity Distributed'!S101)+S21</f>
        <v>10.095046347081096</v>
      </c>
      <c r="T46" s="74">
        <f>([4]Summary!T35*'Electricity Distributed'!T101)+T21</f>
        <v>10.38789530006418</v>
      </c>
      <c r="U46" s="74">
        <f>([4]Summary!U35*'Electricity Distributed'!U101)+U21</f>
        <v>10.33603046718286</v>
      </c>
      <c r="V46" s="74">
        <f>([4]Summary!V35*'Electricity Distributed'!V101)+V21</f>
        <v>9.9137994239836562</v>
      </c>
      <c r="W46" s="74">
        <f>([4]Summary!W35*'Electricity Distributed'!W101)+W21</f>
        <v>10.819781332432866</v>
      </c>
      <c r="X46" s="74">
        <f>([4]Summary!X35*'Electricity Distributed'!X101)+X21</f>
        <v>10.240780568705709</v>
      </c>
      <c r="Y46" s="74">
        <f>([4]Summary!Y35*'Electricity Distributed'!Y101)+Y21</f>
        <v>9.150474325469041</v>
      </c>
      <c r="Z46" s="74">
        <f>([4]Summary!Z35*'Electricity Distributed'!Z101)+Z21</f>
        <v>10.037512787533643</v>
      </c>
      <c r="AA46" s="74">
        <f>([4]Summary!AA35*'Electricity Distributed'!AA101)+AA21</f>
        <v>10.14927413895542</v>
      </c>
      <c r="AB46" s="74">
        <f>([4]Summary!AB35*'Electricity Distributed'!AB101)+AB21</f>
        <v>9.292655931560498</v>
      </c>
      <c r="AC46" s="74">
        <f>([4]Summary!AC35*'Electricity Distributed'!AC101)+AC21</f>
        <v>9.1269146568922679</v>
      </c>
      <c r="AD46" s="74">
        <f>([4]Summary!AD35*'Electricity Distributed'!AD101)+AD21</f>
        <v>8.5326374135403444</v>
      </c>
      <c r="AE46" s="74">
        <f>([4]Summary!AE35*'Electricity Distributed'!AE101)+AE21</f>
        <v>8.7832022213642276</v>
      </c>
      <c r="AF46" s="74">
        <f>([4]Summary!AF35*'Electricity Distributed'!AF101)+AF21</f>
        <v>7.6772652673064092</v>
      </c>
      <c r="AG46" s="74">
        <f>([4]Summary!AG35*'Electricity Distributed'!AG101)+AG21</f>
        <v>7.2724288056099402</v>
      </c>
      <c r="AH46" s="74">
        <f>([4]Summary!AH35*'Electricity Distributed'!AH101)+AH21</f>
        <v>7.6903233141346412</v>
      </c>
      <c r="AI46" s="74">
        <f>([4]Summary!AI35*'Electricity Distributed'!AI101)+AI21</f>
        <v>7.5814262152437628</v>
      </c>
      <c r="AJ46" s="74"/>
      <c r="AK46" s="63">
        <f t="shared" si="38"/>
        <v>-1.4160275770295376E-2</v>
      </c>
      <c r="AL46" s="402">
        <f t="shared" si="52"/>
        <v>1.6077493582718721E-3</v>
      </c>
      <c r="AM46" s="63">
        <f>AI46/AI$86</f>
        <v>0.19839055918330828</v>
      </c>
      <c r="AN46" s="402">
        <f t="shared" si="39"/>
        <v>0.10213894707288862</v>
      </c>
      <c r="AR46" s="1"/>
      <c r="AX46" s="387"/>
      <c r="AY46" s="387"/>
      <c r="AZ46" s="387"/>
      <c r="BA46" s="387"/>
      <c r="BB46" s="387"/>
      <c r="BC46" s="387"/>
      <c r="BD46" s="387"/>
    </row>
    <row r="47" spans="2:56">
      <c r="B47" s="392" t="s">
        <v>1441</v>
      </c>
      <c r="C47" s="73">
        <f t="shared" ref="C47:T47" si="53">SUM(C48:C50)</f>
        <v>773.11339657897588</v>
      </c>
      <c r="D47" s="73">
        <f t="shared" si="53"/>
        <v>778.33393201806064</v>
      </c>
      <c r="E47" s="73">
        <f t="shared" si="53"/>
        <v>772.24260276227267</v>
      </c>
      <c r="F47" s="73">
        <f t="shared" si="53"/>
        <v>792.37371743679398</v>
      </c>
      <c r="G47" s="73">
        <f t="shared" si="53"/>
        <v>804.32105739050075</v>
      </c>
      <c r="H47" s="73">
        <f t="shared" si="53"/>
        <v>821.98648698664442</v>
      </c>
      <c r="I47" s="73">
        <f t="shared" si="53"/>
        <v>853.93110308247424</v>
      </c>
      <c r="J47" s="73">
        <f t="shared" si="53"/>
        <v>895.06954584281505</v>
      </c>
      <c r="K47" s="73">
        <f t="shared" si="53"/>
        <v>913.44961966228698</v>
      </c>
      <c r="L47" s="73">
        <f t="shared" si="53"/>
        <v>922.93823079203969</v>
      </c>
      <c r="M47" s="73">
        <f t="shared" si="53"/>
        <v>986.61656085980394</v>
      </c>
      <c r="N47" s="73">
        <f t="shared" si="53"/>
        <v>993.12353572982886</v>
      </c>
      <c r="O47" s="73">
        <f t="shared" si="53"/>
        <v>992.18429939251132</v>
      </c>
      <c r="P47" s="73">
        <f t="shared" si="53"/>
        <v>1004.0950381369199</v>
      </c>
      <c r="Q47" s="73">
        <f t="shared" si="53"/>
        <v>1021.4666207137791</v>
      </c>
      <c r="R47" s="73">
        <f t="shared" si="53"/>
        <v>1040.7922299817044</v>
      </c>
      <c r="S47" s="73">
        <f t="shared" si="53"/>
        <v>1020.5097574762306</v>
      </c>
      <c r="T47" s="73">
        <f t="shared" si="53"/>
        <v>1061.9023144469249</v>
      </c>
      <c r="U47" s="73">
        <f t="shared" ref="U47:Z47" si="54">SUM(U48:U50)</f>
        <v>1053.5695342776435</v>
      </c>
      <c r="V47" s="73">
        <f t="shared" si="54"/>
        <v>991.23384350418428</v>
      </c>
      <c r="W47" s="73">
        <f t="shared" si="54"/>
        <v>1008.3357039280353</v>
      </c>
      <c r="X47" s="73">
        <f t="shared" si="54"/>
        <v>973.41434454990565</v>
      </c>
      <c r="Y47" s="73">
        <f t="shared" si="54"/>
        <v>910.94972466925935</v>
      </c>
      <c r="Z47" s="73">
        <f t="shared" si="54"/>
        <v>939.47962045119618</v>
      </c>
      <c r="AA47" s="73">
        <f>SUM(AA48:AA50)</f>
        <v>949.05227282634667</v>
      </c>
      <c r="AB47" s="73">
        <f>SUM(AB48:AB50)</f>
        <v>918.22337312326738</v>
      </c>
      <c r="AC47" s="73">
        <f>SUM(AC48:AC50)</f>
        <v>875.78695881292606</v>
      </c>
      <c r="AD47" s="73">
        <f>SUM(AD48:AD50)</f>
        <v>848.45066040302663</v>
      </c>
      <c r="AE47" s="73">
        <f t="shared" ref="AE47:AF47" si="55">SUM(AE48:AE50)</f>
        <v>860.97163859153136</v>
      </c>
      <c r="AF47" s="73">
        <f t="shared" si="55"/>
        <v>813.0932443924803</v>
      </c>
      <c r="AG47" s="73">
        <f t="shared" ref="AG47:AH47" si="56">SUM(AG48:AG50)</f>
        <v>717.56320883446449</v>
      </c>
      <c r="AH47" s="73">
        <f t="shared" si="56"/>
        <v>764.62328708908831</v>
      </c>
      <c r="AI47" s="73">
        <f t="shared" ref="AI47" si="57">SUM(AI48:AI50)</f>
        <v>776.07964503457265</v>
      </c>
      <c r="AJ47" s="73"/>
      <c r="AK47" s="63">
        <f t="shared" si="38"/>
        <v>1.4983009462213164E-2</v>
      </c>
      <c r="AL47" s="402">
        <f t="shared" si="52"/>
        <v>0.16457873701433606</v>
      </c>
      <c r="AN47" s="402">
        <f t="shared" si="39"/>
        <v>3.8367572838893249E-3</v>
      </c>
      <c r="AR47" s="1"/>
      <c r="AX47" s="387"/>
      <c r="AY47" s="387"/>
      <c r="AZ47" s="387"/>
      <c r="BA47" s="387"/>
      <c r="BB47" s="387"/>
      <c r="BC47" s="387"/>
      <c r="BD47" s="387"/>
    </row>
    <row r="48" spans="2:56" ht="15">
      <c r="B48" s="393" t="s">
        <v>1798</v>
      </c>
      <c r="C48" s="74">
        <f>'Inventory Table'!L18+C23</f>
        <v>766.02691994731072</v>
      </c>
      <c r="D48" s="74">
        <f>'Inventory Table'!M18+D23</f>
        <v>771.2092202993839</v>
      </c>
      <c r="E48" s="74">
        <f>'Inventory Table'!N18+E23</f>
        <v>765.14047227879439</v>
      </c>
      <c r="F48" s="74">
        <f>'Inventory Table'!O18+F23</f>
        <v>785.01388590711531</v>
      </c>
      <c r="G48" s="74">
        <f>'Inventory Table'!P18+G23</f>
        <v>796.84487236257098</v>
      </c>
      <c r="H48" s="74">
        <f>'Inventory Table'!Q18+H23</f>
        <v>814.35663325609789</v>
      </c>
      <c r="I48" s="74">
        <f>'Inventory Table'!R18+I23</f>
        <v>846.07230311718195</v>
      </c>
      <c r="J48" s="74">
        <f>'Inventory Table'!S18+J23</f>
        <v>886.88007365871078</v>
      </c>
      <c r="K48" s="74">
        <f>'Inventory Table'!T18+K23</f>
        <v>905.12995542141925</v>
      </c>
      <c r="L48" s="74">
        <f>'Inventory Table'!U18+L23</f>
        <v>914.52956492226315</v>
      </c>
      <c r="M48" s="74">
        <f>'Inventory Table'!V18+M23</f>
        <v>977.5647701748602</v>
      </c>
      <c r="N48" s="74">
        <f>'Inventory Table'!W18+N23</f>
        <v>983.8950852816306</v>
      </c>
      <c r="O48" s="74">
        <f>'Inventory Table'!X18+O23</f>
        <v>982.62298746802696</v>
      </c>
      <c r="P48" s="74">
        <f>'Inventory Table'!Y18+P23</f>
        <v>994.19672122563452</v>
      </c>
      <c r="Q48" s="74">
        <f>'Inventory Table'!Z18+Q23</f>
        <v>1011.1221161604907</v>
      </c>
      <c r="R48" s="74">
        <f>'Inventory Table'!AA18+R23</f>
        <v>1029.990271758958</v>
      </c>
      <c r="S48" s="74">
        <f>'Inventory Table'!AB18+S23</f>
        <v>1009.7193770610378</v>
      </c>
      <c r="T48" s="74">
        <f>'Inventory Table'!AC18+T23</f>
        <v>1050.7858709956513</v>
      </c>
      <c r="U48" s="74">
        <f>'Inventory Table'!AD18+U23</f>
        <v>1042.4436497395661</v>
      </c>
      <c r="V48" s="74">
        <f>'Inventory Table'!AE18+V23</f>
        <v>980.62158197007898</v>
      </c>
      <c r="W48" s="74">
        <f>'Inventory Table'!AF18+W23</f>
        <v>997.27408816918569</v>
      </c>
      <c r="X48" s="74">
        <f>'Inventory Table'!AG18+X23</f>
        <v>962.76543320375924</v>
      </c>
      <c r="Y48" s="74">
        <f>'Inventory Table'!AH18+Y23</f>
        <v>901.05203110893808</v>
      </c>
      <c r="Z48" s="74">
        <f>'Inventory Table'!AI18+Z23</f>
        <v>928.81295318445063</v>
      </c>
      <c r="AA48" s="74">
        <f>'Inventory Table'!AJ18+AA23</f>
        <v>938.20061771932103</v>
      </c>
      <c r="AB48" s="74">
        <f>'Inventory Table'!AK18+AB23</f>
        <v>907.85011647502529</v>
      </c>
      <c r="AC48" s="74">
        <f>'Inventory Table'!AL18+AC23</f>
        <v>865.49984173305415</v>
      </c>
      <c r="AD48" s="74">
        <f>'Inventory Table'!AM18+AD23</f>
        <v>838.65206371340219</v>
      </c>
      <c r="AE48" s="74">
        <f>'Inventory Table'!AN18+AE23</f>
        <v>851.32189302300719</v>
      </c>
      <c r="AF48" s="74">
        <f>'Inventory Table'!AO18+AF23</f>
        <v>804.43052120748075</v>
      </c>
      <c r="AG48" s="74">
        <f>'Inventory Table'!AP18+AG23</f>
        <v>709.61034812093942</v>
      </c>
      <c r="AH48" s="74">
        <f>'Inventory Table'!AQ18+AH23</f>
        <v>756.09336430601104</v>
      </c>
      <c r="AI48" s="74">
        <f>'Inventory Table'!AR18+AI23</f>
        <v>767.5525103513263</v>
      </c>
      <c r="AJ48" s="74"/>
      <c r="AK48" s="63">
        <f t="shared" si="38"/>
        <v>1.5155728890483219E-2</v>
      </c>
      <c r="AL48" s="402">
        <f t="shared" si="52"/>
        <v>0.16277043671230029</v>
      </c>
      <c r="AM48" s="63">
        <f>AI48/AI$84</f>
        <v>0.16366134129322629</v>
      </c>
      <c r="AN48" s="402">
        <f t="shared" si="39"/>
        <v>1.9915623906801017E-3</v>
      </c>
      <c r="AR48" s="1"/>
      <c r="AX48" s="387"/>
      <c r="AY48" s="387"/>
      <c r="AZ48" s="387"/>
      <c r="BA48" s="387"/>
      <c r="BB48" s="387"/>
      <c r="BC48" s="387"/>
      <c r="BD48" s="387"/>
    </row>
    <row r="49" spans="2:56" ht="15">
      <c r="B49" s="393" t="s">
        <v>2059</v>
      </c>
      <c r="C49" s="74">
        <f>([4]Summary!C5*'Electricity Distributed'!C102)+C24</f>
        <v>1.3420808591513249</v>
      </c>
      <c r="D49" s="74">
        <f>([4]Summary!D5*'Electricity Distributed'!D102)+D24</f>
        <v>1.3736112934789353</v>
      </c>
      <c r="E49" s="74">
        <f>([4]Summary!E5*'Electricity Distributed'!E102)+E24</f>
        <v>1.3782240683062676</v>
      </c>
      <c r="F49" s="74">
        <f>([4]Summary!F5*'Electricity Distributed'!F102)+F24</f>
        <v>1.3903526318774491</v>
      </c>
      <c r="G49" s="74">
        <f>([4]Summary!G5*'Electricity Distributed'!G102)+G24</f>
        <v>1.3668255783151697</v>
      </c>
      <c r="H49" s="74">
        <f>([4]Summary!H5*'Electricity Distributed'!H102)+H24</f>
        <v>1.3784882729370547</v>
      </c>
      <c r="I49" s="74">
        <f>([4]Summary!I5*'Electricity Distributed'!I102)+I24</f>
        <v>1.4373884330927096</v>
      </c>
      <c r="J49" s="74">
        <f>([4]Summary!J5*'Electricity Distributed'!J102)+J24</f>
        <v>1.4267410483958116</v>
      </c>
      <c r="K49" s="74">
        <f>([4]Summary!K5*'Electricity Distributed'!K102)+K24</f>
        <v>1.3192394931682856</v>
      </c>
      <c r="L49" s="74">
        <f>([4]Summary!L5*'Electricity Distributed'!L102)+L24</f>
        <v>1.3455549786872467</v>
      </c>
      <c r="M49" s="74">
        <f>([4]Summary!M5*'Electricity Distributed'!M102)+M24</f>
        <v>1.4569240515789252</v>
      </c>
      <c r="N49" s="74">
        <f>([4]Summary!N5*'Electricity Distributed'!N102)+N24</f>
        <v>1.4218848177067465</v>
      </c>
      <c r="O49" s="74">
        <f>([4]Summary!O5*'Electricity Distributed'!O102)+O24</f>
        <v>1.4605427803108213</v>
      </c>
      <c r="P49" s="74">
        <f>([4]Summary!P5*'Electricity Distributed'!P102)+P24</f>
        <v>1.5300168587332319</v>
      </c>
      <c r="Q49" s="74">
        <f>([4]Summary!Q5*'Electricity Distributed'!Q102)+Q24</f>
        <v>1.5403456797083506</v>
      </c>
      <c r="R49" s="74">
        <f>([4]Summary!R5*'Electricity Distributed'!R102)+R24</f>
        <v>1.5338687268267883</v>
      </c>
      <c r="S49" s="74">
        <f>([4]Summary!S5*'Electricity Distributed'!S102)+S24</f>
        <v>1.4644749129591463</v>
      </c>
      <c r="T49" s="74">
        <f>([4]Summary!T5*'Electricity Distributed'!T102)+T24</f>
        <v>1.5619998216122295</v>
      </c>
      <c r="U49" s="74">
        <f>([4]Summary!U5*'Electricity Distributed'!U102)+U24</f>
        <v>1.5900658556300491</v>
      </c>
      <c r="V49" s="74">
        <f>([4]Summary!V5*'Electricity Distributed'!V102)+V24</f>
        <v>1.5957496917951399</v>
      </c>
      <c r="W49" s="74">
        <f>([4]Summary!W5*'Electricity Distributed'!W102)+W24</f>
        <v>1.5906788378257972</v>
      </c>
      <c r="X49" s="74">
        <f>([4]Summary!X5*'Electricity Distributed'!X102)+X24</f>
        <v>1.5670098586156214</v>
      </c>
      <c r="Y49" s="74">
        <f>([4]Summary!Y5*'Electricity Distributed'!Y102)+Y24</f>
        <v>1.4783276185529461</v>
      </c>
      <c r="Z49" s="74">
        <f>([4]Summary!Z5*'Electricity Distributed'!Z102)+Z24</f>
        <v>1.5908151424405117</v>
      </c>
      <c r="AA49" s="74">
        <f>([4]Summary!AA5*'Electricity Distributed'!AA102)+AA24</f>
        <v>1.6644968085642675</v>
      </c>
      <c r="AB49" s="74">
        <f>([4]Summary!AB5*'Electricity Distributed'!AB102)+AB24</f>
        <v>1.7997256854084123</v>
      </c>
      <c r="AC49" s="74">
        <f>([4]Summary!AC5*'Electricity Distributed'!AC102)+AC24</f>
        <v>1.7968734624843954</v>
      </c>
      <c r="AD49" s="74">
        <f>([4]Summary!AD5*'Electricity Distributed'!AD102)+AD24</f>
        <v>1.7704636713520909</v>
      </c>
      <c r="AE49" s="74">
        <f>([4]Summary!AE5*'Electricity Distributed'!AE102)+AE24</f>
        <v>1.8382259998245212</v>
      </c>
      <c r="AF49" s="74">
        <f>([4]Summary!AF5*'Electricity Distributed'!AF102)+AF24</f>
        <v>1.8749302935103909</v>
      </c>
      <c r="AG49" s="74">
        <f>([4]Summary!AG5*'Electricity Distributed'!AG102)+AG24</f>
        <v>1.786654606439253</v>
      </c>
      <c r="AH49" s="74">
        <f>([4]Summary!AH5*'Electricity Distributed'!AH102)+AH24</f>
        <v>1.810712366282238</v>
      </c>
      <c r="AI49" s="74">
        <f>([4]Summary!AI5*'Electricity Distributed'!AI102)+AI24</f>
        <v>1.8576683532548297</v>
      </c>
      <c r="AJ49" s="74"/>
      <c r="AK49" s="63">
        <f t="shared" si="38"/>
        <v>2.5932327987024221E-2</v>
      </c>
      <c r="AL49" s="402">
        <f t="shared" si="52"/>
        <v>3.9394502011009662E-4</v>
      </c>
      <c r="AM49" s="63">
        <f>AI49/AI$85</f>
        <v>0.16426763341423248</v>
      </c>
      <c r="AN49" s="402">
        <f t="shared" si="39"/>
        <v>0.38417021641269855</v>
      </c>
      <c r="AR49" s="1"/>
      <c r="AX49" s="387"/>
      <c r="AY49" s="387"/>
      <c r="AZ49" s="387"/>
      <c r="BA49" s="387"/>
      <c r="BB49" s="387"/>
      <c r="BC49" s="387"/>
      <c r="BD49" s="387"/>
    </row>
    <row r="50" spans="2:56" ht="15">
      <c r="B50" s="393" t="s">
        <v>2060</v>
      </c>
      <c r="C50" s="74">
        <f>([4]Summary!C35*'Electricity Distributed'!C102)+C25</f>
        <v>5.7443957725137738</v>
      </c>
      <c r="D50" s="74">
        <f>([4]Summary!D35*'Electricity Distributed'!D102)+D25</f>
        <v>5.7511004251977829</v>
      </c>
      <c r="E50" s="74">
        <f>([4]Summary!E35*'Electricity Distributed'!E102)+E25</f>
        <v>5.7239064151720509</v>
      </c>
      <c r="F50" s="74">
        <f>([4]Summary!F35*'Electricity Distributed'!F102)+F25</f>
        <v>5.9694788978012099</v>
      </c>
      <c r="G50" s="74">
        <f>([4]Summary!G35*'Electricity Distributed'!G102)+G25</f>
        <v>6.1093594496146943</v>
      </c>
      <c r="H50" s="74">
        <f>([4]Summary!H35*'Electricity Distributed'!H102)+H25</f>
        <v>6.2513654576094435</v>
      </c>
      <c r="I50" s="74">
        <f>([4]Summary!I35*'Electricity Distributed'!I102)+I25</f>
        <v>6.4214115321996514</v>
      </c>
      <c r="J50" s="74">
        <f>([4]Summary!J35*'Electricity Distributed'!J102)+J25</f>
        <v>6.7627311357084343</v>
      </c>
      <c r="K50" s="74">
        <f>([4]Summary!K35*'Electricity Distributed'!K102)+K25</f>
        <v>7.000424747699431</v>
      </c>
      <c r="L50" s="74">
        <f>([4]Summary!L35*'Electricity Distributed'!L102)+L25</f>
        <v>7.063110891089333</v>
      </c>
      <c r="M50" s="74">
        <f>([4]Summary!M35*'Electricity Distributed'!M102)+M25</f>
        <v>7.5948666333648376</v>
      </c>
      <c r="N50" s="74">
        <f>([4]Summary!N35*'Electricity Distributed'!N102)+N25</f>
        <v>7.806565630491467</v>
      </c>
      <c r="O50" s="74">
        <f>([4]Summary!O35*'Electricity Distributed'!O102)+O25</f>
        <v>8.1007691441735901</v>
      </c>
      <c r="P50" s="74">
        <f>([4]Summary!P35*'Electricity Distributed'!P102)+P25</f>
        <v>8.36830005255214</v>
      </c>
      <c r="Q50" s="74">
        <f>([4]Summary!Q35*'Electricity Distributed'!Q102)+Q25</f>
        <v>8.8041588735800023</v>
      </c>
      <c r="R50" s="74">
        <f>([4]Summary!R35*'Electricity Distributed'!R102)+R25</f>
        <v>9.268089495919714</v>
      </c>
      <c r="S50" s="74">
        <f>([4]Summary!S35*'Electricity Distributed'!S102)+S25</f>
        <v>9.3259055022336312</v>
      </c>
      <c r="T50" s="74">
        <f>([4]Summary!T35*'Electricity Distributed'!T102)+T25</f>
        <v>9.5544436296613817</v>
      </c>
      <c r="U50" s="74">
        <f>([4]Summary!U35*'Electricity Distributed'!U102)+U25</f>
        <v>9.5358186824474132</v>
      </c>
      <c r="V50" s="74">
        <f>([4]Summary!V35*'Electricity Distributed'!V102)+V25</f>
        <v>9.0165118423101003</v>
      </c>
      <c r="W50" s="74">
        <f>([4]Summary!W35*'Electricity Distributed'!W102)+W25</f>
        <v>9.4709369210239007</v>
      </c>
      <c r="X50" s="74">
        <f>([4]Summary!X35*'Electricity Distributed'!X102)+X25</f>
        <v>9.081901487530823</v>
      </c>
      <c r="Y50" s="74">
        <f>([4]Summary!Y35*'Electricity Distributed'!Y102)+Y25</f>
        <v>8.4193659417683193</v>
      </c>
      <c r="Z50" s="74">
        <f>([4]Summary!Z35*'Electricity Distributed'!Z102)+Z25</f>
        <v>9.0758521243050367</v>
      </c>
      <c r="AA50" s="74">
        <f>([4]Summary!AA35*'Electricity Distributed'!AA102)+AA25</f>
        <v>9.1871582984613358</v>
      </c>
      <c r="AB50" s="74">
        <f>([4]Summary!AB35*'Electricity Distributed'!AB102)+AB25</f>
        <v>8.5735309628336989</v>
      </c>
      <c r="AC50" s="74">
        <f>([4]Summary!AC35*'Electricity Distributed'!AC102)+AC25</f>
        <v>8.4902436173875078</v>
      </c>
      <c r="AD50" s="74">
        <f>([4]Summary!AD35*'Electricity Distributed'!AD102)+AD25</f>
        <v>8.0281330182723512</v>
      </c>
      <c r="AE50" s="74">
        <f>([4]Summary!AE35*'Electricity Distributed'!AE102)+AE25</f>
        <v>7.8115195686995875</v>
      </c>
      <c r="AF50" s="74">
        <f>([4]Summary!AF35*'Electricity Distributed'!AF102)+AF25</f>
        <v>6.7877928914891825</v>
      </c>
      <c r="AG50" s="74">
        <f>([4]Summary!AG35*'Electricity Distributed'!AG102)+AG25</f>
        <v>6.1662061070858769</v>
      </c>
      <c r="AH50" s="74">
        <f>([4]Summary!AH35*'Electricity Distributed'!AH102)+AH25</f>
        <v>6.7192104167950761</v>
      </c>
      <c r="AI50" s="74">
        <f>([4]Summary!AI35*'Electricity Distributed'!AI102)+AI25</f>
        <v>6.6694663299915309</v>
      </c>
      <c r="AJ50" s="74"/>
      <c r="AK50" s="63">
        <f t="shared" si="38"/>
        <v>-7.4032637345612618E-3</v>
      </c>
      <c r="AL50" s="402">
        <f t="shared" si="52"/>
        <v>1.4143552819256679E-3</v>
      </c>
      <c r="AM50" s="63">
        <f>AI50/AI$86</f>
        <v>0.1745264172064126</v>
      </c>
      <c r="AN50" s="402">
        <f t="shared" si="39"/>
        <v>0.16103879226151263</v>
      </c>
      <c r="AR50" s="1"/>
      <c r="AX50" s="387"/>
      <c r="AY50" s="387"/>
      <c r="AZ50" s="387"/>
      <c r="BA50" s="387"/>
      <c r="BB50" s="387"/>
      <c r="BC50" s="387"/>
      <c r="BD50" s="387"/>
    </row>
    <row r="51" spans="2:56">
      <c r="B51" s="392" t="s">
        <v>1476</v>
      </c>
      <c r="C51" s="73">
        <f t="shared" ref="C51:AI51" si="58">C26</f>
        <v>20.09083977519612</v>
      </c>
      <c r="D51" s="73">
        <f t="shared" si="58"/>
        <v>19.261798025468156</v>
      </c>
      <c r="E51" s="73">
        <f t="shared" si="58"/>
        <v>22.036178426949267</v>
      </c>
      <c r="F51" s="73">
        <f t="shared" si="58"/>
        <v>22.717329104960893</v>
      </c>
      <c r="G51" s="73">
        <f t="shared" si="58"/>
        <v>24.833830258118031</v>
      </c>
      <c r="H51" s="73">
        <f t="shared" si="58"/>
        <v>21.637603783763357</v>
      </c>
      <c r="I51" s="73">
        <f t="shared" si="58"/>
        <v>19.859716818680557</v>
      </c>
      <c r="J51" s="73">
        <f t="shared" si="58"/>
        <v>20.164707065860931</v>
      </c>
      <c r="K51" s="73">
        <f t="shared" si="58"/>
        <v>19.525372734259083</v>
      </c>
      <c r="L51" s="73">
        <f t="shared" si="58"/>
        <v>15.535146185866919</v>
      </c>
      <c r="M51" s="73">
        <f t="shared" si="58"/>
        <v>37.179649130424572</v>
      </c>
      <c r="N51" s="73">
        <f t="shared" si="58"/>
        <v>49.850273404358518</v>
      </c>
      <c r="O51" s="73">
        <f t="shared" si="58"/>
        <v>45.333685103860674</v>
      </c>
      <c r="P51" s="73">
        <f t="shared" si="58"/>
        <v>50.566695340626445</v>
      </c>
      <c r="Q51" s="73">
        <f t="shared" si="58"/>
        <v>53.128707071390536</v>
      </c>
      <c r="R51" s="73">
        <f t="shared" si="58"/>
        <v>52.065701451410305</v>
      </c>
      <c r="S51" s="73">
        <f t="shared" si="58"/>
        <v>51.467503699932429</v>
      </c>
      <c r="T51" s="73">
        <f t="shared" si="58"/>
        <v>46.834423464421228</v>
      </c>
      <c r="U51" s="73">
        <f t="shared" si="58"/>
        <v>38.618125097665036</v>
      </c>
      <c r="V51" s="73">
        <f t="shared" si="58"/>
        <v>39.115086997553192</v>
      </c>
      <c r="W51" s="73">
        <f t="shared" si="58"/>
        <v>34.641715662757726</v>
      </c>
      <c r="X51" s="73">
        <f t="shared" si="58"/>
        <v>34.200101605544724</v>
      </c>
      <c r="Y51" s="73">
        <f t="shared" si="58"/>
        <v>33.082881828136486</v>
      </c>
      <c r="Z51" s="73">
        <f t="shared" si="58"/>
        <v>28.236377414849127</v>
      </c>
      <c r="AA51" s="73">
        <f t="shared" si="58"/>
        <v>28.386918824818462</v>
      </c>
      <c r="AB51" s="73">
        <f t="shared" si="58"/>
        <v>28.644186766312345</v>
      </c>
      <c r="AC51" s="73">
        <f t="shared" si="58"/>
        <v>26.263944173883832</v>
      </c>
      <c r="AD51" s="73">
        <f t="shared" si="58"/>
        <v>26.046425692822446</v>
      </c>
      <c r="AE51" s="73">
        <f t="shared" si="58"/>
        <v>26.020897796566203</v>
      </c>
      <c r="AF51" s="73">
        <f t="shared" si="58"/>
        <v>24.905061504988524</v>
      </c>
      <c r="AG51" s="73">
        <f t="shared" si="58"/>
        <v>23.367910275356049</v>
      </c>
      <c r="AH51" s="73">
        <f t="shared" si="58"/>
        <v>23.858988627564315</v>
      </c>
      <c r="AI51" s="73">
        <f t="shared" si="58"/>
        <v>23.853928860931745</v>
      </c>
      <c r="AJ51" s="73"/>
      <c r="AK51" s="63">
        <f t="shared" si="38"/>
        <v>-2.1206961919267874E-4</v>
      </c>
      <c r="AQ51" s="1"/>
      <c r="AR51" s="1"/>
      <c r="AX51" s="387"/>
      <c r="AY51" s="387"/>
      <c r="AZ51" s="387"/>
      <c r="BA51" s="387"/>
      <c r="BB51" s="387"/>
      <c r="BC51" s="387"/>
      <c r="BD51" s="387"/>
    </row>
    <row r="52" spans="2:56">
      <c r="B52" s="404" t="s">
        <v>1480</v>
      </c>
      <c r="C52" s="81">
        <f>SUM(C35,C39,C43,C47,C51)</f>
        <v>4824.5100532585056</v>
      </c>
      <c r="D52" s="81">
        <f t="shared" ref="D52:U52" si="59">SUM(D35,D39,D43,D47,D51)</f>
        <v>4779.2376635404607</v>
      </c>
      <c r="E52" s="81">
        <f t="shared" si="59"/>
        <v>4874.878737187244</v>
      </c>
      <c r="F52" s="81">
        <f t="shared" si="59"/>
        <v>4992.8862722029035</v>
      </c>
      <c r="G52" s="81">
        <f t="shared" si="59"/>
        <v>5057.3952983876015</v>
      </c>
      <c r="H52" s="81">
        <f t="shared" si="59"/>
        <v>5118.6891335951896</v>
      </c>
      <c r="I52" s="81">
        <f t="shared" si="59"/>
        <v>5295.7217546894208</v>
      </c>
      <c r="J52" s="81">
        <f t="shared" si="59"/>
        <v>5356.5742287220237</v>
      </c>
      <c r="K52" s="81">
        <f t="shared" si="59"/>
        <v>5419.7726511921674</v>
      </c>
      <c r="L52" s="81">
        <f t="shared" si="59"/>
        <v>5462.2375163888792</v>
      </c>
      <c r="M52" s="81">
        <f t="shared" si="59"/>
        <v>5709.597801263556</v>
      </c>
      <c r="N52" s="81">
        <f t="shared" si="59"/>
        <v>5609.8904502904916</v>
      </c>
      <c r="O52" s="81">
        <f t="shared" si="59"/>
        <v>5650.339234727081</v>
      </c>
      <c r="P52" s="81">
        <f t="shared" si="59"/>
        <v>5719.0025091963116</v>
      </c>
      <c r="Q52" s="81">
        <f t="shared" si="59"/>
        <v>5797.2729480023054</v>
      </c>
      <c r="R52" s="81">
        <f t="shared" si="59"/>
        <v>5820.1699589215623</v>
      </c>
      <c r="S52" s="81">
        <f t="shared" si="59"/>
        <v>5730.9681261651876</v>
      </c>
      <c r="T52" s="81">
        <f t="shared" si="59"/>
        <v>5812.6504095695564</v>
      </c>
      <c r="U52" s="81">
        <f t="shared" si="59"/>
        <v>5622.6975838233329</v>
      </c>
      <c r="V52" s="81">
        <f t="shared" ref="V52:AA52" si="60">SUM(V35,V39,V43,V47,V51)</f>
        <v>5250.3947858085594</v>
      </c>
      <c r="W52" s="81">
        <f t="shared" si="60"/>
        <v>5409.2782150616331</v>
      </c>
      <c r="X52" s="81">
        <f t="shared" si="60"/>
        <v>5274.8490714290438</v>
      </c>
      <c r="Y52" s="81">
        <f t="shared" si="60"/>
        <v>5062.8136680850048</v>
      </c>
      <c r="Z52" s="81">
        <f t="shared" si="60"/>
        <v>5185.7573222639439</v>
      </c>
      <c r="AA52" s="81">
        <f t="shared" si="60"/>
        <v>5234.0344090699473</v>
      </c>
      <c r="AB52" s="81">
        <f>SUM(AB35,AB39,AB43,AB47,AB51)</f>
        <v>5064.7776477675188</v>
      </c>
      <c r="AC52" s="81">
        <f>SUM(AC35,AC39,AC43,AC47,AC51)</f>
        <v>4965.6139400915554</v>
      </c>
      <c r="AD52" s="81">
        <f>SUM(AD35,AD39,AD43,AD47,AD51)</f>
        <v>4899.0006879713774</v>
      </c>
      <c r="AE52" s="81">
        <f>SUM(AE35,AE39,AE43,AE47,AE51)</f>
        <v>5038.1378976590759</v>
      </c>
      <c r="AF52" s="81">
        <f t="shared" ref="AF52:AG52" si="61">SUM(AF35,AF39,AF43,AF47,AF51)</f>
        <v>4894.8252556477846</v>
      </c>
      <c r="AG52" s="81">
        <f t="shared" si="61"/>
        <v>4376.4074125862671</v>
      </c>
      <c r="AH52" s="81">
        <f t="shared" ref="AH52:AI52" si="62">SUM(AH35,AH39,AH43,AH47,AH51)</f>
        <v>4692.0571073544206</v>
      </c>
      <c r="AI52" s="81">
        <f t="shared" si="62"/>
        <v>4739.4062481558003</v>
      </c>
      <c r="AJ52" s="73"/>
      <c r="AK52" s="63">
        <f t="shared" si="38"/>
        <v>1.0091339409992205E-2</v>
      </c>
      <c r="AQ52" s="1"/>
      <c r="AR52" s="1"/>
      <c r="AX52" s="387"/>
      <c r="AY52" s="387"/>
      <c r="AZ52" s="387"/>
      <c r="BA52" s="387"/>
      <c r="BB52" s="387"/>
      <c r="BC52" s="387"/>
      <c r="BD52" s="387"/>
    </row>
    <row r="53" spans="2:56" hidden="1">
      <c r="B53" s="406" t="s">
        <v>1919</v>
      </c>
      <c r="C53" s="396">
        <f t="shared" ref="C53:AH53" si="63">C52-C27</f>
        <v>0</v>
      </c>
      <c r="D53" s="396">
        <f t="shared" si="63"/>
        <v>0</v>
      </c>
      <c r="E53" s="396">
        <f t="shared" si="63"/>
        <v>0</v>
      </c>
      <c r="F53" s="396">
        <f t="shared" si="63"/>
        <v>0</v>
      </c>
      <c r="G53" s="396">
        <f t="shared" si="63"/>
        <v>0</v>
      </c>
      <c r="H53" s="396">
        <f t="shared" si="63"/>
        <v>0</v>
      </c>
      <c r="I53" s="396">
        <f t="shared" si="63"/>
        <v>0</v>
      </c>
      <c r="J53" s="396">
        <f t="shared" si="63"/>
        <v>0</v>
      </c>
      <c r="K53" s="396">
        <f t="shared" si="63"/>
        <v>0</v>
      </c>
      <c r="L53" s="396">
        <f t="shared" si="63"/>
        <v>0</v>
      </c>
      <c r="M53" s="396">
        <f t="shared" si="63"/>
        <v>0</v>
      </c>
      <c r="N53" s="396">
        <f t="shared" si="63"/>
        <v>0</v>
      </c>
      <c r="O53" s="396">
        <f t="shared" si="63"/>
        <v>0</v>
      </c>
      <c r="P53" s="396">
        <f t="shared" si="63"/>
        <v>0</v>
      </c>
      <c r="Q53" s="396">
        <f t="shared" si="63"/>
        <v>0</v>
      </c>
      <c r="R53" s="396">
        <f t="shared" si="63"/>
        <v>0</v>
      </c>
      <c r="S53" s="396">
        <f t="shared" si="63"/>
        <v>0</v>
      </c>
      <c r="T53" s="396">
        <f t="shared" si="63"/>
        <v>0</v>
      </c>
      <c r="U53" s="396">
        <f t="shared" si="63"/>
        <v>0</v>
      </c>
      <c r="V53" s="396">
        <f t="shared" si="63"/>
        <v>0</v>
      </c>
      <c r="W53" s="396">
        <f t="shared" si="63"/>
        <v>0</v>
      </c>
      <c r="X53" s="396">
        <f t="shared" si="63"/>
        <v>0</v>
      </c>
      <c r="Y53" s="396">
        <f t="shared" si="63"/>
        <v>0</v>
      </c>
      <c r="Z53" s="396">
        <f t="shared" si="63"/>
        <v>0</v>
      </c>
      <c r="AA53" s="396">
        <f t="shared" si="63"/>
        <v>0</v>
      </c>
      <c r="AB53" s="396">
        <f t="shared" si="63"/>
        <v>0</v>
      </c>
      <c r="AC53" s="396">
        <f t="shared" si="63"/>
        <v>0</v>
      </c>
      <c r="AD53" s="396">
        <f t="shared" si="63"/>
        <v>0</v>
      </c>
      <c r="AE53" s="396">
        <f t="shared" si="63"/>
        <v>0</v>
      </c>
      <c r="AF53" s="396">
        <f t="shared" si="63"/>
        <v>0</v>
      </c>
      <c r="AG53" s="396">
        <f t="shared" si="63"/>
        <v>0</v>
      </c>
      <c r="AH53" s="396">
        <f t="shared" si="63"/>
        <v>0</v>
      </c>
      <c r="AI53" s="396"/>
      <c r="AJ53" s="396"/>
      <c r="AQ53" s="1"/>
      <c r="AR53" s="1"/>
      <c r="AX53" s="388"/>
      <c r="AY53" s="388"/>
      <c r="AZ53" s="388"/>
      <c r="BA53" s="388"/>
      <c r="BB53" s="388"/>
      <c r="BC53" s="388"/>
      <c r="BD53" s="388"/>
    </row>
    <row r="54" spans="2:56">
      <c r="B54" s="397"/>
      <c r="C54" s="88"/>
      <c r="D54" s="398"/>
      <c r="AL54" s="403">
        <f>SUM(AL36,AL40,AL44,AL48)</f>
        <v>0.98951635706562879</v>
      </c>
      <c r="AM54" s="253" t="s">
        <v>2065</v>
      </c>
      <c r="AQ54" s="1"/>
      <c r="AR54" s="1"/>
      <c r="AX54" s="388"/>
      <c r="AY54" s="388"/>
      <c r="AZ54" s="388"/>
      <c r="BA54" s="388"/>
      <c r="BB54" s="388"/>
      <c r="BC54" s="388"/>
      <c r="BD54" s="388"/>
    </row>
    <row r="55" spans="2:56">
      <c r="B55" s="397"/>
      <c r="C55" s="399"/>
      <c r="D55" s="398"/>
      <c r="AL55" s="403">
        <f>SUM(AL37,AL41,AL45,AL49)</f>
        <v>2.3906275679687456E-3</v>
      </c>
      <c r="AM55" s="253" t="s">
        <v>2066</v>
      </c>
      <c r="AQ55" s="1"/>
      <c r="AR55" s="1"/>
      <c r="AX55" s="388"/>
      <c r="AY55" s="388"/>
      <c r="AZ55" s="388"/>
      <c r="BA55" s="388"/>
      <c r="BB55" s="388"/>
      <c r="BC55" s="388"/>
      <c r="BD55" s="388"/>
    </row>
    <row r="56" spans="2:56">
      <c r="AL56" s="403">
        <f>SUM(AL38,AL42,AL46,AL50)</f>
        <v>8.093015366402459E-3</v>
      </c>
      <c r="AM56" s="253" t="s">
        <v>2067</v>
      </c>
      <c r="AQ56" s="1"/>
      <c r="AR56" s="1"/>
    </row>
    <row r="57" spans="2:56" ht="15">
      <c r="B57" s="395" t="s">
        <v>2068</v>
      </c>
      <c r="AQ57" s="1"/>
      <c r="AR57" s="1"/>
    </row>
    <row r="58" spans="2:56">
      <c r="B58" s="404" t="s">
        <v>2055</v>
      </c>
      <c r="C58" s="390">
        <v>1990</v>
      </c>
      <c r="D58" s="391">
        <v>1991</v>
      </c>
      <c r="E58" s="390">
        <v>1992</v>
      </c>
      <c r="F58" s="391">
        <v>1993</v>
      </c>
      <c r="G58" s="390">
        <v>1994</v>
      </c>
      <c r="H58" s="391">
        <v>1995</v>
      </c>
      <c r="I58" s="390">
        <v>1996</v>
      </c>
      <c r="J58" s="391">
        <v>1997</v>
      </c>
      <c r="K58" s="390">
        <v>1998</v>
      </c>
      <c r="L58" s="391">
        <v>1999</v>
      </c>
      <c r="M58" s="390">
        <v>2000</v>
      </c>
      <c r="N58" s="391">
        <v>2001</v>
      </c>
      <c r="O58" s="390">
        <v>2002</v>
      </c>
      <c r="P58" s="391">
        <v>2003</v>
      </c>
      <c r="Q58" s="391">
        <v>2004</v>
      </c>
      <c r="R58" s="391">
        <v>2005</v>
      </c>
      <c r="S58" s="391">
        <v>2006</v>
      </c>
      <c r="T58" s="391">
        <v>2007</v>
      </c>
      <c r="U58" s="391">
        <v>2008</v>
      </c>
      <c r="V58" s="391">
        <v>2009</v>
      </c>
      <c r="W58" s="391">
        <v>2010</v>
      </c>
      <c r="X58" s="391">
        <v>2011</v>
      </c>
      <c r="Y58" s="391">
        <v>2012</v>
      </c>
      <c r="Z58" s="391">
        <v>2013</v>
      </c>
      <c r="AA58" s="391">
        <v>2014</v>
      </c>
      <c r="AB58" s="391">
        <v>2015</v>
      </c>
      <c r="AC58" s="391">
        <v>2016</v>
      </c>
      <c r="AD58" s="391">
        <v>2017</v>
      </c>
      <c r="AE58" s="391">
        <v>2018</v>
      </c>
      <c r="AF58" s="391">
        <v>2019</v>
      </c>
      <c r="AG58" s="391">
        <v>2020</v>
      </c>
      <c r="AH58" s="391">
        <v>2021</v>
      </c>
      <c r="AI58" s="391">
        <v>2022</v>
      </c>
      <c r="AJ58" s="564"/>
      <c r="AQ58" s="1"/>
      <c r="AR58" s="1"/>
    </row>
    <row r="59" spans="2:56">
      <c r="B59" s="392" t="s">
        <v>1474</v>
      </c>
      <c r="C59" s="400">
        <f>SUM(C60:C62)</f>
        <v>1820036.2692693204</v>
      </c>
      <c r="D59" s="400">
        <f t="shared" ref="D59:T59" si="64">SUM(D60:D62)</f>
        <v>1817444.2161436649</v>
      </c>
      <c r="E59" s="400">
        <f t="shared" si="64"/>
        <v>1830774.1316593627</v>
      </c>
      <c r="F59" s="400">
        <f t="shared" si="64"/>
        <v>1906261.9163044079</v>
      </c>
      <c r="G59" s="400">
        <f t="shared" si="64"/>
        <v>1930560.1212857021</v>
      </c>
      <c r="H59" s="400">
        <f t="shared" si="64"/>
        <v>1947265.6976632641</v>
      </c>
      <c r="I59" s="400">
        <f t="shared" si="64"/>
        <v>2020337.8733182519</v>
      </c>
      <c r="J59" s="400">
        <f t="shared" si="64"/>
        <v>2087617.1788008134</v>
      </c>
      <c r="K59" s="400">
        <f t="shared" si="64"/>
        <v>2176656.0599329444</v>
      </c>
      <c r="L59" s="400">
        <f t="shared" si="64"/>
        <v>2189767.9499749057</v>
      </c>
      <c r="M59" s="400">
        <f t="shared" si="64"/>
        <v>2296280.3024499808</v>
      </c>
      <c r="N59" s="400">
        <f t="shared" si="64"/>
        <v>2257313.3116810261</v>
      </c>
      <c r="O59" s="400">
        <f t="shared" si="64"/>
        <v>2272344.3268159465</v>
      </c>
      <c r="P59" s="400">
        <f t="shared" si="64"/>
        <v>2303800.7131985151</v>
      </c>
      <c r="Q59" s="400">
        <f t="shared" si="64"/>
        <v>2335211.249438752</v>
      </c>
      <c r="R59" s="400">
        <f t="shared" si="64"/>
        <v>2400193.1745057581</v>
      </c>
      <c r="S59" s="400">
        <f t="shared" si="64"/>
        <v>2344531.336719384</v>
      </c>
      <c r="T59" s="400">
        <f t="shared" si="64"/>
        <v>2411277.376980118</v>
      </c>
      <c r="U59" s="400">
        <f t="shared" ref="U59:Z59" si="65">SUM(U60:U62)</f>
        <v>2359470.5472898665</v>
      </c>
      <c r="V59" s="400">
        <f t="shared" si="65"/>
        <v>2145476.9841808057</v>
      </c>
      <c r="W59" s="400">
        <f t="shared" si="65"/>
        <v>2258780.0117160724</v>
      </c>
      <c r="X59" s="400">
        <f t="shared" si="65"/>
        <v>2158203.8283189554</v>
      </c>
      <c r="Y59" s="400">
        <f t="shared" si="65"/>
        <v>2023389.4005589481</v>
      </c>
      <c r="Z59" s="400">
        <f t="shared" si="65"/>
        <v>2038408.0811743271</v>
      </c>
      <c r="AA59" s="400">
        <f>SUM(AA60:AA62)</f>
        <v>2037305.2247760026</v>
      </c>
      <c r="AB59" s="400">
        <f>SUM(AB60:AB62)</f>
        <v>1900773.1649668601</v>
      </c>
      <c r="AC59" s="400">
        <f>SUM(AC60:AC62)</f>
        <v>1809006.0741896257</v>
      </c>
      <c r="AD59" s="400">
        <f>SUM(AD60:AD62)</f>
        <v>1732159.8649554604</v>
      </c>
      <c r="AE59" s="400">
        <f t="shared" ref="AE59:AF59" si="66">SUM(AE60:AE62)</f>
        <v>1753562.8741109746</v>
      </c>
      <c r="AF59" s="400">
        <f t="shared" si="66"/>
        <v>1606841.729158933</v>
      </c>
      <c r="AG59" s="400">
        <f t="shared" ref="AG59:AH59" si="67">SUM(AG60:AG62)</f>
        <v>1439681.9031308673</v>
      </c>
      <c r="AH59" s="400">
        <f t="shared" si="67"/>
        <v>1541054.1811303427</v>
      </c>
      <c r="AI59" s="400">
        <f t="shared" ref="AI59" si="68">SUM(AI60:AI62)</f>
        <v>1531802.6189425429</v>
      </c>
      <c r="AJ59" s="400"/>
      <c r="AQ59" s="1"/>
      <c r="AR59" s="1"/>
    </row>
    <row r="60" spans="2:56" ht="15">
      <c r="B60" s="393" t="s">
        <v>1798</v>
      </c>
      <c r="C60" s="401">
        <f t="shared" ref="C60:AI60" si="69">C7*1000</f>
        <v>1819950.5893384998</v>
      </c>
      <c r="D60" s="401">
        <f t="shared" si="69"/>
        <v>1817358.6844666013</v>
      </c>
      <c r="E60" s="401">
        <f t="shared" si="69"/>
        <v>1830687.9594436025</v>
      </c>
      <c r="F60" s="401">
        <f t="shared" si="69"/>
        <v>1906172.0738783793</v>
      </c>
      <c r="G60" s="401">
        <f t="shared" si="69"/>
        <v>1930468.4738502766</v>
      </c>
      <c r="H60" s="401">
        <f t="shared" si="69"/>
        <v>1947173.2378878787</v>
      </c>
      <c r="I60" s="401">
        <f t="shared" si="69"/>
        <v>2020242.970509555</v>
      </c>
      <c r="J60" s="401">
        <f t="shared" si="69"/>
        <v>2087519.8032038875</v>
      </c>
      <c r="K60" s="401">
        <f t="shared" si="69"/>
        <v>2176554.6251532556</v>
      </c>
      <c r="L60" s="401">
        <f t="shared" si="69"/>
        <v>2189665.8226865442</v>
      </c>
      <c r="M60" s="401">
        <f t="shared" si="69"/>
        <v>2296171.6711514159</v>
      </c>
      <c r="N60" s="401">
        <f t="shared" si="69"/>
        <v>2257203.6827428462</v>
      </c>
      <c r="O60" s="401">
        <f t="shared" si="69"/>
        <v>2272227.0983113665</v>
      </c>
      <c r="P60" s="401">
        <f t="shared" si="69"/>
        <v>2303678.3787819459</v>
      </c>
      <c r="Q60" s="401">
        <f t="shared" si="69"/>
        <v>2335082.6618336025</v>
      </c>
      <c r="R60" s="401">
        <f t="shared" si="69"/>
        <v>2400057.4856406469</v>
      </c>
      <c r="S60" s="401">
        <f t="shared" si="69"/>
        <v>2344395.534750089</v>
      </c>
      <c r="T60" s="401">
        <f t="shared" si="69"/>
        <v>2411137.3189079403</v>
      </c>
      <c r="U60" s="401">
        <f t="shared" si="69"/>
        <v>2359332.0917121572</v>
      </c>
      <c r="V60" s="401">
        <f t="shared" si="69"/>
        <v>2145345.9007564522</v>
      </c>
      <c r="W60" s="401">
        <f t="shared" si="69"/>
        <v>2258638.9920533672</v>
      </c>
      <c r="X60" s="401">
        <f t="shared" si="69"/>
        <v>2158067.1407665526</v>
      </c>
      <c r="Y60" s="401">
        <f t="shared" si="69"/>
        <v>2023255.8169491452</v>
      </c>
      <c r="Z60" s="401">
        <f t="shared" si="69"/>
        <v>2038270.1275465363</v>
      </c>
      <c r="AA60" s="401">
        <f t="shared" si="69"/>
        <v>2037165.8489458661</v>
      </c>
      <c r="AB60" s="401">
        <f t="shared" si="69"/>
        <v>1900637.7895750655</v>
      </c>
      <c r="AC60" s="401">
        <f t="shared" si="69"/>
        <v>1808871.5159836302</v>
      </c>
      <c r="AD60" s="401">
        <f t="shared" si="69"/>
        <v>1732032.7184453905</v>
      </c>
      <c r="AE60" s="401">
        <f t="shared" si="69"/>
        <v>1753432.3681393168</v>
      </c>
      <c r="AF60" s="401">
        <f t="shared" si="69"/>
        <v>1606720.7957152387</v>
      </c>
      <c r="AG60" s="401">
        <f t="shared" si="69"/>
        <v>1439565.7139027049</v>
      </c>
      <c r="AH60" s="401">
        <f t="shared" si="69"/>
        <v>1540932.7798504841</v>
      </c>
      <c r="AI60" s="401">
        <f t="shared" si="69"/>
        <v>1531680.0774009749</v>
      </c>
      <c r="AJ60" s="401"/>
      <c r="AQ60" s="1"/>
      <c r="AR60" s="1"/>
    </row>
    <row r="61" spans="2:56" ht="15">
      <c r="B61" s="393" t="s">
        <v>2059</v>
      </c>
      <c r="C61" s="401">
        <f t="shared" ref="C61:AI61" si="70">C8/GWPCH4*1000</f>
        <v>16.850768835800249</v>
      </c>
      <c r="D61" s="401">
        <f t="shared" si="70"/>
        <v>16.821611601786508</v>
      </c>
      <c r="E61" s="401">
        <f t="shared" si="70"/>
        <v>16.947587071261658</v>
      </c>
      <c r="F61" s="401">
        <f t="shared" si="70"/>
        <v>17.66941147307821</v>
      </c>
      <c r="G61" s="401">
        <f t="shared" si="70"/>
        <v>18.024404711322322</v>
      </c>
      <c r="H61" s="401">
        <f t="shared" si="70"/>
        <v>18.184168529386213</v>
      </c>
      <c r="I61" s="401">
        <f t="shared" si="70"/>
        <v>18.664642652053757</v>
      </c>
      <c r="J61" s="401">
        <f t="shared" si="70"/>
        <v>19.318067671014607</v>
      </c>
      <c r="K61" s="401">
        <f t="shared" si="70"/>
        <v>21.036929801192546</v>
      </c>
      <c r="L61" s="401">
        <f t="shared" si="70"/>
        <v>21.561083185852446</v>
      </c>
      <c r="M61" s="401">
        <f t="shared" si="70"/>
        <v>23.607961692055557</v>
      </c>
      <c r="N61" s="401">
        <f t="shared" si="70"/>
        <v>25.18714944609917</v>
      </c>
      <c r="O61" s="401">
        <f t="shared" si="70"/>
        <v>28.570678136218351</v>
      </c>
      <c r="P61" s="401">
        <f t="shared" si="70"/>
        <v>29.700425975453935</v>
      </c>
      <c r="Q61" s="401">
        <f t="shared" si="70"/>
        <v>32.099213388401161</v>
      </c>
      <c r="R61" s="401">
        <f t="shared" si="70"/>
        <v>34.823479419570468</v>
      </c>
      <c r="S61" s="401">
        <f t="shared" si="70"/>
        <v>35.729069013720313</v>
      </c>
      <c r="T61" s="401">
        <f t="shared" si="70"/>
        <v>38.516724436406129</v>
      </c>
      <c r="U61" s="401">
        <f t="shared" si="70"/>
        <v>37.755148475710158</v>
      </c>
      <c r="V61" s="401">
        <f t="shared" si="70"/>
        <v>37.530889148267363</v>
      </c>
      <c r="W61" s="401">
        <f t="shared" si="70"/>
        <v>39.9938548021888</v>
      </c>
      <c r="X61" s="401">
        <f t="shared" si="70"/>
        <v>39.801169450135802</v>
      </c>
      <c r="Y61" s="401">
        <f t="shared" si="70"/>
        <v>44.635495625388444</v>
      </c>
      <c r="Z61" s="401">
        <f t="shared" si="70"/>
        <v>41.956994535606682</v>
      </c>
      <c r="AA61" s="401">
        <f t="shared" si="70"/>
        <v>42.463904013885376</v>
      </c>
      <c r="AB61" s="401">
        <f t="shared" si="70"/>
        <v>46.356061923145695</v>
      </c>
      <c r="AC61" s="401">
        <f t="shared" si="70"/>
        <v>46.624638750303966</v>
      </c>
      <c r="AD61" s="401">
        <f t="shared" si="70"/>
        <v>44.08594869711407</v>
      </c>
      <c r="AE61" s="401">
        <f t="shared" si="70"/>
        <v>48.59950836865896</v>
      </c>
      <c r="AF61" s="401">
        <f t="shared" si="70"/>
        <v>50.118026965826225</v>
      </c>
      <c r="AG61" s="401">
        <f t="shared" si="70"/>
        <v>49.9786481331315</v>
      </c>
      <c r="AH61" s="401">
        <f t="shared" si="70"/>
        <v>49.680101142198026</v>
      </c>
      <c r="AI61" s="401">
        <f t="shared" si="70"/>
        <v>52.380242492074252</v>
      </c>
      <c r="AJ61" s="401"/>
      <c r="AQ61" s="1"/>
      <c r="AR61" s="1"/>
    </row>
    <row r="62" spans="2:56" ht="15">
      <c r="B62" s="393" t="s">
        <v>2060</v>
      </c>
      <c r="C62" s="401">
        <f t="shared" ref="C62:AI62" si="71">C9/GWPN2O*1000</f>
        <v>68.829161984932753</v>
      </c>
      <c r="D62" s="401">
        <f t="shared" si="71"/>
        <v>68.710065461651212</v>
      </c>
      <c r="E62" s="401">
        <f t="shared" si="71"/>
        <v>69.224628688951015</v>
      </c>
      <c r="F62" s="401">
        <f t="shared" si="71"/>
        <v>72.173014555580238</v>
      </c>
      <c r="G62" s="401">
        <f t="shared" si="71"/>
        <v>73.623030714293947</v>
      </c>
      <c r="H62" s="401">
        <f t="shared" si="71"/>
        <v>74.275606856071434</v>
      </c>
      <c r="I62" s="401">
        <f t="shared" si="71"/>
        <v>76.238166044966846</v>
      </c>
      <c r="J62" s="401">
        <f t="shared" si="71"/>
        <v>78.057529254709422</v>
      </c>
      <c r="K62" s="401">
        <f t="shared" si="71"/>
        <v>80.397849887406736</v>
      </c>
      <c r="L62" s="401">
        <f t="shared" si="71"/>
        <v>80.566205175436906</v>
      </c>
      <c r="M62" s="401">
        <f t="shared" si="71"/>
        <v>85.023336872820792</v>
      </c>
      <c r="N62" s="401">
        <f t="shared" si="71"/>
        <v>84.441788733979152</v>
      </c>
      <c r="O62" s="401">
        <f t="shared" si="71"/>
        <v>88.657826443738742</v>
      </c>
      <c r="P62" s="401">
        <f t="shared" si="71"/>
        <v>92.633990593631296</v>
      </c>
      <c r="Q62" s="401">
        <f t="shared" si="71"/>
        <v>96.488391761048291</v>
      </c>
      <c r="R62" s="401">
        <f t="shared" si="71"/>
        <v>100.8653856915912</v>
      </c>
      <c r="S62" s="401">
        <f t="shared" si="71"/>
        <v>100.07290028140916</v>
      </c>
      <c r="T62" s="401">
        <f t="shared" si="71"/>
        <v>101.54134774112873</v>
      </c>
      <c r="U62" s="401">
        <f t="shared" si="71"/>
        <v>100.7004292337359</v>
      </c>
      <c r="V62" s="401">
        <f t="shared" si="71"/>
        <v>93.552535204947318</v>
      </c>
      <c r="W62" s="401">
        <f t="shared" si="71"/>
        <v>101.02580790293607</v>
      </c>
      <c r="X62" s="401">
        <f t="shared" si="71"/>
        <v>96.886382952639934</v>
      </c>
      <c r="Y62" s="401">
        <f t="shared" si="71"/>
        <v>88.94811417741505</v>
      </c>
      <c r="Z62" s="401">
        <f t="shared" si="71"/>
        <v>95.996633255262523</v>
      </c>
      <c r="AA62" s="401">
        <f t="shared" si="71"/>
        <v>96.91192612262877</v>
      </c>
      <c r="AB62" s="401">
        <f t="shared" si="71"/>
        <v>89.019329871467392</v>
      </c>
      <c r="AC62" s="401">
        <f t="shared" si="71"/>
        <v>87.933567245234485</v>
      </c>
      <c r="AD62" s="401">
        <f t="shared" si="71"/>
        <v>83.060561372937357</v>
      </c>
      <c r="AE62" s="401">
        <f t="shared" si="71"/>
        <v>81.906463289113773</v>
      </c>
      <c r="AF62" s="401">
        <f t="shared" si="71"/>
        <v>70.815416728676055</v>
      </c>
      <c r="AG62" s="401">
        <f t="shared" si="71"/>
        <v>66.21058002922851</v>
      </c>
      <c r="AH62" s="401">
        <f t="shared" si="71"/>
        <v>71.7211787162382</v>
      </c>
      <c r="AI62" s="401">
        <f t="shared" si="71"/>
        <v>70.161299075949074</v>
      </c>
      <c r="AJ62" s="401"/>
      <c r="AQ62" s="1"/>
      <c r="AR62" s="1"/>
    </row>
    <row r="63" spans="2:56">
      <c r="B63" s="392" t="s">
        <v>1445</v>
      </c>
      <c r="C63" s="400">
        <f>SUM(C64:C66)</f>
        <v>1469346.5835193903</v>
      </c>
      <c r="D63" s="400">
        <f t="shared" ref="D63:T63" si="72">SUM(D64:D66)</f>
        <v>1422728.9857382746</v>
      </c>
      <c r="E63" s="400">
        <f t="shared" si="72"/>
        <v>1478055.7957652924</v>
      </c>
      <c r="F63" s="400">
        <f t="shared" si="72"/>
        <v>1509023.056699475</v>
      </c>
      <c r="G63" s="400">
        <f t="shared" si="72"/>
        <v>1554370.5162162071</v>
      </c>
      <c r="H63" s="400">
        <f t="shared" si="72"/>
        <v>1581105.5332235999</v>
      </c>
      <c r="I63" s="400">
        <f t="shared" si="72"/>
        <v>1627791.9727153296</v>
      </c>
      <c r="J63" s="400">
        <f t="shared" si="72"/>
        <v>1643942.0326800505</v>
      </c>
      <c r="K63" s="400">
        <f t="shared" si="72"/>
        <v>1679340.2449058727</v>
      </c>
      <c r="L63" s="400">
        <f t="shared" si="72"/>
        <v>1746734.8105862273</v>
      </c>
      <c r="M63" s="400">
        <f t="shared" si="72"/>
        <v>1792580.9657284371</v>
      </c>
      <c r="N63" s="400">
        <f t="shared" si="72"/>
        <v>1762825.1375834276</v>
      </c>
      <c r="O63" s="400">
        <f t="shared" si="72"/>
        <v>1803364.7080207588</v>
      </c>
      <c r="P63" s="400">
        <f t="shared" si="72"/>
        <v>1812316.3685988586</v>
      </c>
      <c r="Q63" s="400">
        <f t="shared" si="72"/>
        <v>1845538.4706152857</v>
      </c>
      <c r="R63" s="400">
        <f t="shared" si="72"/>
        <v>1858845.8245030846</v>
      </c>
      <c r="S63" s="400">
        <f t="shared" si="72"/>
        <v>1859425.2967075447</v>
      </c>
      <c r="T63" s="400">
        <f t="shared" si="72"/>
        <v>1861012.528675922</v>
      </c>
      <c r="U63" s="400">
        <f t="shared" ref="U63:Z63" si="73">SUM(U64:U66)</f>
        <v>1759937.4570510329</v>
      </c>
      <c r="V63" s="400">
        <f t="shared" si="73"/>
        <v>1688724.8360619883</v>
      </c>
      <c r="W63" s="400">
        <f t="shared" si="73"/>
        <v>1696853.5057695131</v>
      </c>
      <c r="X63" s="400">
        <f t="shared" si="73"/>
        <v>1670611.825150633</v>
      </c>
      <c r="Y63" s="400">
        <f t="shared" si="73"/>
        <v>1659620.9817466587</v>
      </c>
      <c r="Z63" s="400">
        <f t="shared" si="73"/>
        <v>1669256.2593743084</v>
      </c>
      <c r="AA63" s="400">
        <f>SUM(AA64:AA66)</f>
        <v>1707543.4215841065</v>
      </c>
      <c r="AB63" s="400">
        <f>SUM(AB64:AB66)</f>
        <v>1718568.9316796625</v>
      </c>
      <c r="AC63" s="400">
        <f>SUM(AC64:AC66)</f>
        <v>1758088.0615622001</v>
      </c>
      <c r="AD63" s="400">
        <f>SUM(AD64:AD66)</f>
        <v>1780482.3665195659</v>
      </c>
      <c r="AE63" s="400">
        <f t="shared" ref="AE63:AF63" si="74">SUM(AE64:AE66)</f>
        <v>1813301.99728373</v>
      </c>
      <c r="AF63" s="400">
        <f t="shared" si="74"/>
        <v>1816809.5430441475</v>
      </c>
      <c r="AG63" s="400">
        <f t="shared" ref="AG63:AH63" si="75">SUM(AG64:AG66)</f>
        <v>1572971.9566664912</v>
      </c>
      <c r="AH63" s="400">
        <f t="shared" si="75"/>
        <v>1753701.6469893255</v>
      </c>
      <c r="AI63" s="400">
        <f t="shared" ref="AI63" si="76">SUM(AI64:AI66)</f>
        <v>1780918.670907761</v>
      </c>
      <c r="AJ63" s="400"/>
      <c r="AQ63" s="1"/>
      <c r="AR63" s="1"/>
    </row>
    <row r="64" spans="2:56" ht="15">
      <c r="B64" s="393" t="s">
        <v>1798</v>
      </c>
      <c r="C64" s="401">
        <f t="shared" ref="C64:AI64" si="77">C11*1000</f>
        <v>1468943.8941173537</v>
      </c>
      <c r="D64" s="401">
        <f t="shared" si="77"/>
        <v>1422327.404638363</v>
      </c>
      <c r="E64" s="401">
        <f t="shared" si="77"/>
        <v>1477643.4261606045</v>
      </c>
      <c r="F64" s="401">
        <f t="shared" si="77"/>
        <v>1508607.03444526</v>
      </c>
      <c r="G64" s="401">
        <f t="shared" si="77"/>
        <v>1553947.3535757435</v>
      </c>
      <c r="H64" s="401">
        <f t="shared" si="77"/>
        <v>1580677.8576891739</v>
      </c>
      <c r="I64" s="401">
        <f t="shared" si="77"/>
        <v>1627363.1051220619</v>
      </c>
      <c r="J64" s="401">
        <f t="shared" si="77"/>
        <v>1643515.5537383682</v>
      </c>
      <c r="K64" s="401">
        <f t="shared" si="77"/>
        <v>1678920.3375780811</v>
      </c>
      <c r="L64" s="401">
        <f t="shared" si="77"/>
        <v>1746344.3236253371</v>
      </c>
      <c r="M64" s="401">
        <f t="shared" si="77"/>
        <v>1792201.8918567805</v>
      </c>
      <c r="N64" s="401">
        <f t="shared" si="77"/>
        <v>1762464.0682225681</v>
      </c>
      <c r="O64" s="401">
        <f t="shared" si="77"/>
        <v>1803018.3444033824</v>
      </c>
      <c r="P64" s="401">
        <f t="shared" si="77"/>
        <v>1811984.2870520733</v>
      </c>
      <c r="Q64" s="401">
        <f t="shared" si="77"/>
        <v>1845220.7109142668</v>
      </c>
      <c r="R64" s="401">
        <f t="shared" si="77"/>
        <v>1858552.1693709069</v>
      </c>
      <c r="S64" s="401">
        <f t="shared" si="77"/>
        <v>1859133.0064813541</v>
      </c>
      <c r="T64" s="401">
        <f t="shared" si="77"/>
        <v>1860737.4975187066</v>
      </c>
      <c r="U64" s="401">
        <f t="shared" si="77"/>
        <v>1759681.3237613826</v>
      </c>
      <c r="V64" s="401">
        <f t="shared" si="77"/>
        <v>1688480.5744963917</v>
      </c>
      <c r="W64" s="401">
        <f t="shared" si="77"/>
        <v>1696614.5225409642</v>
      </c>
      <c r="X64" s="401">
        <f t="shared" si="77"/>
        <v>1670377.5602619515</v>
      </c>
      <c r="Y64" s="401">
        <f t="shared" si="77"/>
        <v>1659401.3314710516</v>
      </c>
      <c r="Z64" s="401">
        <f t="shared" si="77"/>
        <v>1669045.9202266231</v>
      </c>
      <c r="AA64" s="401">
        <f t="shared" si="77"/>
        <v>1707346.729717802</v>
      </c>
      <c r="AB64" s="401">
        <f t="shared" si="77"/>
        <v>1718381.1610352532</v>
      </c>
      <c r="AC64" s="401">
        <f t="shared" si="77"/>
        <v>1757906.5450174913</v>
      </c>
      <c r="AD64" s="401">
        <f t="shared" si="77"/>
        <v>1780307.8241762498</v>
      </c>
      <c r="AE64" s="401">
        <f t="shared" si="77"/>
        <v>1813134.6487828463</v>
      </c>
      <c r="AF64" s="401">
        <f t="shared" si="77"/>
        <v>1816635.6739090588</v>
      </c>
      <c r="AG64" s="401">
        <f t="shared" si="77"/>
        <v>1572820.206074361</v>
      </c>
      <c r="AH64" s="401">
        <f t="shared" si="77"/>
        <v>1753545.9249194488</v>
      </c>
      <c r="AI64" s="401">
        <f t="shared" si="77"/>
        <v>1780763.1943085447</v>
      </c>
      <c r="AJ64" s="401"/>
      <c r="AQ64" s="1"/>
      <c r="AR64" s="1"/>
    </row>
    <row r="65" spans="2:44" ht="15">
      <c r="B65" s="393" t="s">
        <v>2059</v>
      </c>
      <c r="C65" s="401">
        <f t="shared" ref="C65:AI65" si="78">C12/GWPCH4*1000</f>
        <v>257.71936965199814</v>
      </c>
      <c r="D65" s="401">
        <f t="shared" si="78"/>
        <v>251.177982567519</v>
      </c>
      <c r="E65" s="401">
        <f t="shared" si="78"/>
        <v>252.80527303279609</v>
      </c>
      <c r="F65" s="401">
        <f t="shared" si="78"/>
        <v>249.58981909104367</v>
      </c>
      <c r="G65" s="401">
        <f t="shared" si="78"/>
        <v>249.39149779260936</v>
      </c>
      <c r="H65" s="401">
        <f t="shared" si="78"/>
        <v>247.84551687102584</v>
      </c>
      <c r="I65" s="401">
        <f t="shared" si="78"/>
        <v>244.04542537315234</v>
      </c>
      <c r="J65" s="401">
        <f t="shared" si="78"/>
        <v>237.16244655280096</v>
      </c>
      <c r="K65" s="401">
        <f t="shared" si="78"/>
        <v>227.74277742674505</v>
      </c>
      <c r="L65" s="401">
        <f t="shared" si="78"/>
        <v>205.5397361796343</v>
      </c>
      <c r="M65" s="401">
        <f t="shared" si="78"/>
        <v>196.66537753875716</v>
      </c>
      <c r="N65" s="401">
        <f t="shared" si="78"/>
        <v>186.07627923504108</v>
      </c>
      <c r="O65" s="401">
        <f t="shared" si="78"/>
        <v>177.01182056736022</v>
      </c>
      <c r="P65" s="401">
        <f t="shared" si="78"/>
        <v>169.24951768908582</v>
      </c>
      <c r="Q65" s="401">
        <f t="shared" si="78"/>
        <v>162.53582494445553</v>
      </c>
      <c r="R65" s="401">
        <f t="shared" si="78"/>
        <v>153.90423058821676</v>
      </c>
      <c r="S65" s="401">
        <f t="shared" si="78"/>
        <v>151.31473550714219</v>
      </c>
      <c r="T65" s="401">
        <f t="shared" si="78"/>
        <v>144.85667110967231</v>
      </c>
      <c r="U65" s="401">
        <f t="shared" si="78"/>
        <v>135.77466688545874</v>
      </c>
      <c r="V65" s="401">
        <f t="shared" si="78"/>
        <v>130.03081211993631</v>
      </c>
      <c r="W65" s="401">
        <f t="shared" si="78"/>
        <v>128.41322268693818</v>
      </c>
      <c r="X65" s="401">
        <f t="shared" si="78"/>
        <v>127.75936379379699</v>
      </c>
      <c r="Y65" s="401">
        <f t="shared" si="78"/>
        <v>120.81518778880572</v>
      </c>
      <c r="Z65" s="401">
        <f t="shared" si="78"/>
        <v>117.98554391806536</v>
      </c>
      <c r="AA65" s="401">
        <f t="shared" si="78"/>
        <v>111.52658312233974</v>
      </c>
      <c r="AB65" s="401">
        <f t="shared" si="78"/>
        <v>109.31350196698729</v>
      </c>
      <c r="AC65" s="401">
        <f t="shared" si="78"/>
        <v>106.82940476282801</v>
      </c>
      <c r="AD65" s="401">
        <f t="shared" si="78"/>
        <v>103.82050500270508</v>
      </c>
      <c r="AE65" s="401">
        <f t="shared" si="78"/>
        <v>100.71511565255663</v>
      </c>
      <c r="AF65" s="401">
        <f t="shared" si="78"/>
        <v>101.88161524128314</v>
      </c>
      <c r="AG65" s="401">
        <f t="shared" si="78"/>
        <v>90.860372227591341</v>
      </c>
      <c r="AH65" s="401">
        <f t="shared" si="78"/>
        <v>92.250963841710643</v>
      </c>
      <c r="AI65" s="401">
        <f t="shared" si="78"/>
        <v>92.809852715647821</v>
      </c>
      <c r="AJ65" s="401"/>
      <c r="AQ65" s="1"/>
      <c r="AR65" s="1"/>
    </row>
    <row r="66" spans="2:44" ht="15">
      <c r="B66" s="393" t="s">
        <v>2060</v>
      </c>
      <c r="C66" s="401">
        <f t="shared" ref="C66:AI66" si="79">C13/GWPN2O*1000</f>
        <v>144.97003238467093</v>
      </c>
      <c r="D66" s="401">
        <f t="shared" si="79"/>
        <v>150.40311734409354</v>
      </c>
      <c r="E66" s="401">
        <f t="shared" si="79"/>
        <v>159.56433165525655</v>
      </c>
      <c r="F66" s="401">
        <f t="shared" si="79"/>
        <v>166.43243512390862</v>
      </c>
      <c r="G66" s="401">
        <f t="shared" si="79"/>
        <v>173.77114267091818</v>
      </c>
      <c r="H66" s="401">
        <f t="shared" si="79"/>
        <v>179.83001755501425</v>
      </c>
      <c r="I66" s="401">
        <f t="shared" si="79"/>
        <v>184.82216789467333</v>
      </c>
      <c r="J66" s="401">
        <f t="shared" si="79"/>
        <v>189.31649512925665</v>
      </c>
      <c r="K66" s="401">
        <f t="shared" si="79"/>
        <v>192.16455036490146</v>
      </c>
      <c r="L66" s="401">
        <f t="shared" si="79"/>
        <v>184.94722471068613</v>
      </c>
      <c r="M66" s="401">
        <f t="shared" si="79"/>
        <v>182.40849411778862</v>
      </c>
      <c r="N66" s="401">
        <f t="shared" si="79"/>
        <v>174.9930816244063</v>
      </c>
      <c r="O66" s="401">
        <f t="shared" si="79"/>
        <v>169.35179680919765</v>
      </c>
      <c r="P66" s="401">
        <f t="shared" si="79"/>
        <v>162.83202909631098</v>
      </c>
      <c r="Q66" s="401">
        <f t="shared" si="79"/>
        <v>155.22387607446976</v>
      </c>
      <c r="R66" s="401">
        <f t="shared" si="79"/>
        <v>139.7509015897152</v>
      </c>
      <c r="S66" s="401">
        <f t="shared" si="79"/>
        <v>140.97549068340601</v>
      </c>
      <c r="T66" s="401">
        <f t="shared" si="79"/>
        <v>130.17448610586987</v>
      </c>
      <c r="U66" s="401">
        <f t="shared" si="79"/>
        <v>120.35862276496805</v>
      </c>
      <c r="V66" s="401">
        <f t="shared" si="79"/>
        <v>114.23075347674686</v>
      </c>
      <c r="W66" s="401">
        <f t="shared" si="79"/>
        <v>110.57000586206556</v>
      </c>
      <c r="X66" s="401">
        <f t="shared" si="79"/>
        <v>106.5055248877055</v>
      </c>
      <c r="Y66" s="401">
        <f t="shared" si="79"/>
        <v>98.835087818317206</v>
      </c>
      <c r="Z66" s="401">
        <f t="shared" si="79"/>
        <v>92.353603767244508</v>
      </c>
      <c r="AA66" s="401">
        <f t="shared" si="79"/>
        <v>85.165283182174491</v>
      </c>
      <c r="AB66" s="401">
        <f t="shared" si="79"/>
        <v>78.457142442460736</v>
      </c>
      <c r="AC66" s="401">
        <f t="shared" si="79"/>
        <v>74.687139946109482</v>
      </c>
      <c r="AD66" s="401">
        <f t="shared" si="79"/>
        <v>70.721838313428563</v>
      </c>
      <c r="AE66" s="401">
        <f t="shared" si="79"/>
        <v>66.633385231046603</v>
      </c>
      <c r="AF66" s="401">
        <f t="shared" si="79"/>
        <v>71.987519847458898</v>
      </c>
      <c r="AG66" s="401">
        <f t="shared" si="79"/>
        <v>60.890219902723608</v>
      </c>
      <c r="AH66" s="401">
        <f t="shared" si="79"/>
        <v>63.47110603500748</v>
      </c>
      <c r="AI66" s="401">
        <f t="shared" si="79"/>
        <v>62.666746500640819</v>
      </c>
      <c r="AJ66" s="401"/>
      <c r="AQ66" s="1"/>
      <c r="AR66" s="1"/>
    </row>
    <row r="67" spans="2:44">
      <c r="B67" s="392" t="s">
        <v>1443</v>
      </c>
      <c r="C67" s="400">
        <f t="shared" ref="C67:T67" si="80">SUM(C68:C70)</f>
        <v>871232.05274792702</v>
      </c>
      <c r="D67" s="400">
        <f t="shared" si="80"/>
        <v>861099.77657507651</v>
      </c>
      <c r="E67" s="400">
        <f t="shared" si="80"/>
        <v>880697.17630516924</v>
      </c>
      <c r="F67" s="400">
        <f t="shared" si="80"/>
        <v>882724.00511451531</v>
      </c>
      <c r="G67" s="400">
        <f t="shared" si="80"/>
        <v>880687.1685692888</v>
      </c>
      <c r="H67" s="400">
        <f t="shared" si="80"/>
        <v>900759.63905510295</v>
      </c>
      <c r="I67" s="400">
        <f t="shared" si="80"/>
        <v>917545.88351912086</v>
      </c>
      <c r="J67" s="400">
        <f t="shared" si="80"/>
        <v>912374.35715964343</v>
      </c>
      <c r="K67" s="400">
        <f t="shared" si="80"/>
        <v>902741.56639434525</v>
      </c>
      <c r="L67" s="400">
        <f t="shared" si="80"/>
        <v>851131.56003334851</v>
      </c>
      <c r="M67" s="400">
        <f t="shared" si="80"/>
        <v>887021.52213022625</v>
      </c>
      <c r="N67" s="400">
        <f t="shared" si="80"/>
        <v>863369.58052717044</v>
      </c>
      <c r="O67" s="400">
        <f t="shared" si="80"/>
        <v>854856.79608949448</v>
      </c>
      <c r="P67" s="400">
        <f t="shared" si="80"/>
        <v>848272.7356345366</v>
      </c>
      <c r="Q67" s="400">
        <f t="shared" si="80"/>
        <v>873461.0769184219</v>
      </c>
      <c r="R67" s="400">
        <f t="shared" si="80"/>
        <v>843581.62776981993</v>
      </c>
      <c r="S67" s="400">
        <f t="shared" si="80"/>
        <v>863862.22778717568</v>
      </c>
      <c r="T67" s="400">
        <f t="shared" si="80"/>
        <v>853726.45215516305</v>
      </c>
      <c r="U67" s="400">
        <f t="shared" ref="U67:Z67" si="81">SUM(U68:U70)</f>
        <v>816368.98179332213</v>
      </c>
      <c r="V67" s="400">
        <f t="shared" si="81"/>
        <v>743156.07839095232</v>
      </c>
      <c r="W67" s="400">
        <f t="shared" si="81"/>
        <v>788111.10288174835</v>
      </c>
      <c r="X67" s="400">
        <f t="shared" si="81"/>
        <v>791179.48035059066</v>
      </c>
      <c r="Y67" s="400">
        <f t="shared" si="81"/>
        <v>799347.86974319594</v>
      </c>
      <c r="Z67" s="400">
        <f t="shared" si="81"/>
        <v>830210.51313705777</v>
      </c>
      <c r="AA67" s="400">
        <f>SUM(AA68:AA70)</f>
        <v>817124.00317474641</v>
      </c>
      <c r="AB67" s="400">
        <f>SUM(AB68:AB70)</f>
        <v>794430.66203580378</v>
      </c>
      <c r="AC67" s="400">
        <f>SUM(AC68:AC70)</f>
        <v>789407.2149834591</v>
      </c>
      <c r="AD67" s="400">
        <f>SUM(AD68:AD70)</f>
        <v>778894.95244522276</v>
      </c>
      <c r="AE67" s="400">
        <f t="shared" ref="AE67:AF67" si="82">SUM(AE68:AE70)</f>
        <v>805283.53417542321</v>
      </c>
      <c r="AF67" s="400">
        <f t="shared" si="82"/>
        <v>798193.12385363947</v>
      </c>
      <c r="AG67" s="400">
        <f t="shared" ref="AG67:AH67" si="83">SUM(AG68:AG70)</f>
        <v>749581.69543097983</v>
      </c>
      <c r="AH67" s="400">
        <f t="shared" si="83"/>
        <v>768898.00194879656</v>
      </c>
      <c r="AI67" s="400">
        <f t="shared" ref="AI67" si="84">SUM(AI68:AI70)</f>
        <v>775921.72970720939</v>
      </c>
      <c r="AJ67" s="400"/>
      <c r="AQ67" s="1"/>
      <c r="AR67" s="1"/>
    </row>
    <row r="68" spans="2:44" ht="15">
      <c r="B68" s="393" t="s">
        <v>1798</v>
      </c>
      <c r="C68" s="401">
        <f t="shared" ref="C68:AI68" si="85">C15*1000</f>
        <v>871147.98773588752</v>
      </c>
      <c r="D68" s="401">
        <f t="shared" si="85"/>
        <v>861017.7068622181</v>
      </c>
      <c r="E68" s="401">
        <f t="shared" si="85"/>
        <v>880613.32866268186</v>
      </c>
      <c r="F68" s="401">
        <f t="shared" si="85"/>
        <v>882639.3490700546</v>
      </c>
      <c r="G68" s="401">
        <f t="shared" si="85"/>
        <v>880599.53483440191</v>
      </c>
      <c r="H68" s="401">
        <f t="shared" si="85"/>
        <v>900669.85857084114</v>
      </c>
      <c r="I68" s="401">
        <f t="shared" si="85"/>
        <v>917455.30156632164</v>
      </c>
      <c r="J68" s="401">
        <f t="shared" si="85"/>
        <v>912282.59273862548</v>
      </c>
      <c r="K68" s="401">
        <f t="shared" si="85"/>
        <v>902653.99739323789</v>
      </c>
      <c r="L68" s="401">
        <f t="shared" si="85"/>
        <v>851046.08197834494</v>
      </c>
      <c r="M68" s="401">
        <f t="shared" si="85"/>
        <v>886934.30826733215</v>
      </c>
      <c r="N68" s="401">
        <f t="shared" si="85"/>
        <v>863288.82117831474</v>
      </c>
      <c r="O68" s="401">
        <f t="shared" si="85"/>
        <v>854779.09108294151</v>
      </c>
      <c r="P68" s="401">
        <f t="shared" si="85"/>
        <v>848196.32172074576</v>
      </c>
      <c r="Q68" s="401">
        <f t="shared" si="85"/>
        <v>873380.26486413344</v>
      </c>
      <c r="R68" s="401">
        <f t="shared" si="85"/>
        <v>843502.69432319643</v>
      </c>
      <c r="S68" s="401">
        <f t="shared" si="85"/>
        <v>863781.98645591375</v>
      </c>
      <c r="T68" s="401">
        <f t="shared" si="85"/>
        <v>853648.93767801323</v>
      </c>
      <c r="U68" s="401">
        <f t="shared" si="85"/>
        <v>816295.70806618431</v>
      </c>
      <c r="V68" s="401">
        <f t="shared" si="85"/>
        <v>743092.07015314722</v>
      </c>
      <c r="W68" s="401">
        <f t="shared" si="85"/>
        <v>788037.87367775105</v>
      </c>
      <c r="X68" s="401">
        <f t="shared" si="85"/>
        <v>791105.99449061893</v>
      </c>
      <c r="Y68" s="401">
        <f t="shared" si="85"/>
        <v>799274.27390614757</v>
      </c>
      <c r="Z68" s="401">
        <f t="shared" si="85"/>
        <v>830134.85745036497</v>
      </c>
      <c r="AA68" s="401">
        <f t="shared" si="85"/>
        <v>817049.13278609957</v>
      </c>
      <c r="AB68" s="401">
        <f t="shared" si="85"/>
        <v>794357.53123025072</v>
      </c>
      <c r="AC68" s="401">
        <f t="shared" si="85"/>
        <v>789335.0846354065</v>
      </c>
      <c r="AD68" s="401">
        <f t="shared" si="85"/>
        <v>778825.00968816027</v>
      </c>
      <c r="AE68" s="401">
        <f t="shared" si="85"/>
        <v>805213.88172793167</v>
      </c>
      <c r="AF68" s="401">
        <f t="shared" si="85"/>
        <v>798125.32100200432</v>
      </c>
      <c r="AG68" s="401">
        <f t="shared" si="85"/>
        <v>749517.70516100933</v>
      </c>
      <c r="AH68" s="401">
        <f t="shared" si="85"/>
        <v>768833.30400406849</v>
      </c>
      <c r="AI68" s="401">
        <f t="shared" si="85"/>
        <v>775859.03359367535</v>
      </c>
      <c r="AJ68" s="401"/>
      <c r="AQ68" s="1"/>
      <c r="AR68" s="1"/>
    </row>
    <row r="69" spans="2:44" ht="15">
      <c r="B69" s="393" t="s">
        <v>2059</v>
      </c>
      <c r="C69" s="401">
        <f t="shared" ref="C69:AI69" si="86">C16/GWPCH4*1000</f>
        <v>73.641059773790062</v>
      </c>
      <c r="D69" s="401">
        <f t="shared" si="86"/>
        <v>71.92101985582778</v>
      </c>
      <c r="E69" s="401">
        <f t="shared" si="86"/>
        <v>73.488597977956573</v>
      </c>
      <c r="F69" s="401">
        <f t="shared" si="86"/>
        <v>74.222391444355239</v>
      </c>
      <c r="G69" s="401">
        <f t="shared" si="86"/>
        <v>76.860839659194696</v>
      </c>
      <c r="H69" s="401">
        <f t="shared" si="86"/>
        <v>78.770333790491549</v>
      </c>
      <c r="I69" s="401">
        <f t="shared" si="86"/>
        <v>79.481015195407267</v>
      </c>
      <c r="J69" s="401">
        <f t="shared" si="86"/>
        <v>80.542535057712541</v>
      </c>
      <c r="K69" s="401">
        <f t="shared" si="86"/>
        <v>76.834288760301988</v>
      </c>
      <c r="L69" s="401">
        <f t="shared" si="86"/>
        <v>75.044666329540448</v>
      </c>
      <c r="M69" s="401">
        <f t="shared" si="86"/>
        <v>76.519227967421514</v>
      </c>
      <c r="N69" s="401">
        <f t="shared" si="86"/>
        <v>70.788317701442139</v>
      </c>
      <c r="O69" s="401">
        <f t="shared" si="86"/>
        <v>68.13304402590866</v>
      </c>
      <c r="P69" s="401">
        <f t="shared" si="86"/>
        <v>66.98800612705584</v>
      </c>
      <c r="Q69" s="401">
        <f t="shared" si="86"/>
        <v>70.840704690936164</v>
      </c>
      <c r="R69" s="401">
        <f t="shared" si="86"/>
        <v>69.174494663485333</v>
      </c>
      <c r="S69" s="401">
        <f t="shared" si="86"/>
        <v>70.285847917945688</v>
      </c>
      <c r="T69" s="401">
        <f t="shared" si="86"/>
        <v>67.912797018014956</v>
      </c>
      <c r="U69" s="401">
        <f t="shared" si="86"/>
        <v>64.243053945186091</v>
      </c>
      <c r="V69" s="401">
        <f t="shared" si="86"/>
        <v>56.146647778096231</v>
      </c>
      <c r="W69" s="401">
        <f t="shared" si="86"/>
        <v>64.275810211499603</v>
      </c>
      <c r="X69" s="401">
        <f t="shared" si="86"/>
        <v>64.51344866762463</v>
      </c>
      <c r="Y69" s="401">
        <f t="shared" si="86"/>
        <v>64.63451632455039</v>
      </c>
      <c r="Z69" s="401">
        <f t="shared" si="86"/>
        <v>66.425257750317087</v>
      </c>
      <c r="AA69" s="401">
        <f t="shared" si="86"/>
        <v>65.801914402972031</v>
      </c>
      <c r="AB69" s="401">
        <f t="shared" si="86"/>
        <v>64.272008496479913</v>
      </c>
      <c r="AC69" s="401">
        <f t="shared" si="86"/>
        <v>63.411242011339716</v>
      </c>
      <c r="AD69" s="401">
        <f t="shared" si="86"/>
        <v>61.524691174497583</v>
      </c>
      <c r="AE69" s="401">
        <f t="shared" si="86"/>
        <v>61.285516294677336</v>
      </c>
      <c r="AF69" s="401">
        <f t="shared" si="86"/>
        <v>59.695385119762626</v>
      </c>
      <c r="AG69" s="401">
        <f t="shared" si="86"/>
        <v>56.391265084599169</v>
      </c>
      <c r="AH69" s="401">
        <f t="shared" si="86"/>
        <v>57.013916954208327</v>
      </c>
      <c r="AI69" s="401">
        <f t="shared" si="86"/>
        <v>55.26847574353998</v>
      </c>
      <c r="AJ69" s="401"/>
      <c r="AQ69" s="1"/>
      <c r="AR69" s="1"/>
    </row>
    <row r="70" spans="2:44" ht="15">
      <c r="B70" s="393" t="s">
        <v>2060</v>
      </c>
      <c r="C70" s="401">
        <f t="shared" ref="C70:AI70" si="87">C17/GWPN2O*1000</f>
        <v>10.423952265777597</v>
      </c>
      <c r="D70" s="401">
        <f t="shared" si="87"/>
        <v>10.148693002618961</v>
      </c>
      <c r="E70" s="401">
        <f t="shared" si="87"/>
        <v>10.35904450943775</v>
      </c>
      <c r="F70" s="401">
        <f t="shared" si="87"/>
        <v>10.433653016318592</v>
      </c>
      <c r="G70" s="401">
        <f t="shared" si="87"/>
        <v>10.772895227600531</v>
      </c>
      <c r="H70" s="401">
        <f t="shared" si="87"/>
        <v>11.010150471346888</v>
      </c>
      <c r="I70" s="401">
        <f t="shared" si="87"/>
        <v>11.100937603813502</v>
      </c>
      <c r="J70" s="401">
        <f t="shared" si="87"/>
        <v>11.221885960211116</v>
      </c>
      <c r="K70" s="401">
        <f t="shared" si="87"/>
        <v>10.734712347088163</v>
      </c>
      <c r="L70" s="401">
        <f t="shared" si="87"/>
        <v>10.433388674009652</v>
      </c>
      <c r="M70" s="401">
        <f t="shared" si="87"/>
        <v>10.694634926753883</v>
      </c>
      <c r="N70" s="401">
        <f t="shared" si="87"/>
        <v>9.9710311542803023</v>
      </c>
      <c r="O70" s="401">
        <f t="shared" si="87"/>
        <v>9.5719625271352697</v>
      </c>
      <c r="P70" s="401">
        <f t="shared" si="87"/>
        <v>9.425907663748891</v>
      </c>
      <c r="Q70" s="401">
        <f t="shared" si="87"/>
        <v>9.9713495975809359</v>
      </c>
      <c r="R70" s="401">
        <f t="shared" si="87"/>
        <v>9.7589519599925048</v>
      </c>
      <c r="S70" s="401">
        <f t="shared" si="87"/>
        <v>9.9554833440668045</v>
      </c>
      <c r="T70" s="401">
        <f t="shared" si="87"/>
        <v>9.6016801317458338</v>
      </c>
      <c r="U70" s="401">
        <f t="shared" si="87"/>
        <v>9.0306731927040804</v>
      </c>
      <c r="V70" s="401">
        <f t="shared" si="87"/>
        <v>7.8615900270412116</v>
      </c>
      <c r="W70" s="401">
        <f t="shared" si="87"/>
        <v>8.9533937857123345</v>
      </c>
      <c r="X70" s="401">
        <f t="shared" si="87"/>
        <v>8.9724113040840106</v>
      </c>
      <c r="Y70" s="401">
        <f t="shared" si="87"/>
        <v>8.9613207238247909</v>
      </c>
      <c r="Z70" s="401">
        <f t="shared" si="87"/>
        <v>9.2304289424858172</v>
      </c>
      <c r="AA70" s="401">
        <f t="shared" si="87"/>
        <v>9.0684742438248875</v>
      </c>
      <c r="AB70" s="401">
        <f t="shared" si="87"/>
        <v>8.8587970566252423</v>
      </c>
      <c r="AC70" s="401">
        <f t="shared" si="87"/>
        <v>8.7191060412062686</v>
      </c>
      <c r="AD70" s="401">
        <f t="shared" si="87"/>
        <v>8.4180658879903731</v>
      </c>
      <c r="AE70" s="401">
        <f t="shared" si="87"/>
        <v>8.3669311969343436</v>
      </c>
      <c r="AF70" s="401">
        <f t="shared" si="87"/>
        <v>8.1074665153437806</v>
      </c>
      <c r="AG70" s="401">
        <f t="shared" si="87"/>
        <v>7.599004885917692</v>
      </c>
      <c r="AH70" s="401">
        <f t="shared" si="87"/>
        <v>7.6840277739668474</v>
      </c>
      <c r="AI70" s="401">
        <f t="shared" si="87"/>
        <v>7.4276377904083688</v>
      </c>
      <c r="AJ70" s="401"/>
      <c r="AQ70" s="1"/>
      <c r="AR70" s="1"/>
    </row>
    <row r="71" spans="2:44">
      <c r="B71" s="392" t="s">
        <v>1434</v>
      </c>
      <c r="C71" s="400">
        <f t="shared" ref="C71:T71" si="88">SUM(C72:C74)</f>
        <v>338780.79054681223</v>
      </c>
      <c r="D71" s="400">
        <f t="shared" si="88"/>
        <v>347931.43858650693</v>
      </c>
      <c r="E71" s="400">
        <f t="shared" si="88"/>
        <v>354198.07436986157</v>
      </c>
      <c r="F71" s="400">
        <f t="shared" si="88"/>
        <v>366287.13630211022</v>
      </c>
      <c r="G71" s="400">
        <f t="shared" si="88"/>
        <v>357241.4958852196</v>
      </c>
      <c r="H71" s="400">
        <f t="shared" si="88"/>
        <v>353326.32534451934</v>
      </c>
      <c r="I71" s="400">
        <f t="shared" si="88"/>
        <v>383676.06650518364</v>
      </c>
      <c r="J71" s="400">
        <f t="shared" si="88"/>
        <v>365201.12568270939</v>
      </c>
      <c r="K71" s="400">
        <f t="shared" si="88"/>
        <v>331758.64808984258</v>
      </c>
      <c r="L71" s="400">
        <f t="shared" si="88"/>
        <v>351061.24039516406</v>
      </c>
      <c r="M71" s="400">
        <f t="shared" si="88"/>
        <v>371867.46941825742</v>
      </c>
      <c r="N71" s="400">
        <f t="shared" si="88"/>
        <v>363169.76307841489</v>
      </c>
      <c r="O71" s="400">
        <f t="shared" si="88"/>
        <v>361181.05074618274</v>
      </c>
      <c r="P71" s="400">
        <f t="shared" si="88"/>
        <v>380239.29557050503</v>
      </c>
      <c r="Q71" s="400">
        <f t="shared" si="88"/>
        <v>369131.33906970301</v>
      </c>
      <c r="R71" s="400">
        <f t="shared" si="88"/>
        <v>358774.40758823609</v>
      </c>
      <c r="S71" s="400">
        <f t="shared" si="88"/>
        <v>321127.99465212895</v>
      </c>
      <c r="T71" s="400">
        <f t="shared" si="88"/>
        <v>340306.30278644286</v>
      </c>
      <c r="U71" s="400">
        <f t="shared" ref="U71:Z71" si="89">SUM(U72:U74)</f>
        <v>347193.0820854046</v>
      </c>
      <c r="V71" s="400">
        <f t="shared" si="89"/>
        <v>336108.74479552935</v>
      </c>
      <c r="W71" s="400">
        <f t="shared" si="89"/>
        <v>334686.7322821102</v>
      </c>
      <c r="X71" s="400">
        <f t="shared" si="89"/>
        <v>326518.54289586371</v>
      </c>
      <c r="Y71" s="400">
        <f t="shared" si="89"/>
        <v>282687.50844870985</v>
      </c>
      <c r="Z71" s="400">
        <f t="shared" si="89"/>
        <v>329463.94001637917</v>
      </c>
      <c r="AA71" s="400">
        <f>SUM(AA72:AA74)</f>
        <v>346936.97204137518</v>
      </c>
      <c r="AB71" s="400">
        <f>SUM(AB72:AB74)</f>
        <v>317798.3629727597</v>
      </c>
      <c r="AC71" s="400">
        <f>SUM(AC72:AC74)</f>
        <v>293349.92078340962</v>
      </c>
      <c r="AD71" s="400">
        <f>SUM(AD72:AD74)</f>
        <v>294119.9190127491</v>
      </c>
      <c r="AE71" s="400">
        <f t="shared" ref="AE71:AF71" si="90">SUM(AE72:AE74)</f>
        <v>339126.38944504783</v>
      </c>
      <c r="AF71" s="400">
        <f t="shared" si="90"/>
        <v>343098.12468036904</v>
      </c>
      <c r="AG71" s="400">
        <f>SUM(AG72:AG74)</f>
        <v>314927.28454964451</v>
      </c>
      <c r="AH71" s="400">
        <f>SUM(AH72:AH74)</f>
        <v>318165.89582707529</v>
      </c>
      <c r="AI71" s="400">
        <f>SUM(AI72:AI74)</f>
        <v>333256.22269023041</v>
      </c>
      <c r="AJ71" s="400"/>
      <c r="AQ71" s="1"/>
      <c r="AR71" s="1"/>
    </row>
    <row r="72" spans="2:44" ht="15">
      <c r="B72" s="393" t="s">
        <v>1798</v>
      </c>
      <c r="C72" s="401">
        <f t="shared" ref="C72:AI72" si="91">C19*1000</f>
        <v>338567.62064987532</v>
      </c>
      <c r="D72" s="401">
        <f t="shared" si="91"/>
        <v>347710.40742046834</v>
      </c>
      <c r="E72" s="401">
        <f t="shared" si="91"/>
        <v>353967.81365995517</v>
      </c>
      <c r="F72" s="401">
        <f t="shared" si="91"/>
        <v>366081.76219068182</v>
      </c>
      <c r="G72" s="401">
        <f t="shared" si="91"/>
        <v>357047.22158190329</v>
      </c>
      <c r="H72" s="401">
        <f t="shared" si="91"/>
        <v>353133.57562814961</v>
      </c>
      <c r="I72" s="401">
        <f t="shared" si="91"/>
        <v>383474.42583247693</v>
      </c>
      <c r="J72" s="401">
        <f t="shared" si="91"/>
        <v>365033.35255680571</v>
      </c>
      <c r="K72" s="401">
        <f t="shared" si="91"/>
        <v>331610.15895804617</v>
      </c>
      <c r="L72" s="401">
        <f t="shared" si="91"/>
        <v>350906.78356718249</v>
      </c>
      <c r="M72" s="401">
        <f t="shared" si="91"/>
        <v>371702.93408973148</v>
      </c>
      <c r="N72" s="401">
        <f t="shared" si="91"/>
        <v>363020.14712962939</v>
      </c>
      <c r="O72" s="401">
        <f t="shared" si="91"/>
        <v>361029.06078218902</v>
      </c>
      <c r="P72" s="401">
        <f t="shared" si="91"/>
        <v>380079.35625365371</v>
      </c>
      <c r="Q72" s="401">
        <f t="shared" si="91"/>
        <v>368969.78893709503</v>
      </c>
      <c r="R72" s="401">
        <f t="shared" si="91"/>
        <v>358609.30317623937</v>
      </c>
      <c r="S72" s="401">
        <f t="shared" si="91"/>
        <v>320982.0950750655</v>
      </c>
      <c r="T72" s="401">
        <f t="shared" si="91"/>
        <v>340146.62439815002</v>
      </c>
      <c r="U72" s="401">
        <f t="shared" si="91"/>
        <v>347020.60289864411</v>
      </c>
      <c r="V72" s="401">
        <f t="shared" si="91"/>
        <v>335927.70961955714</v>
      </c>
      <c r="W72" s="401">
        <f t="shared" si="91"/>
        <v>334495.39373841311</v>
      </c>
      <c r="X72" s="401">
        <f t="shared" si="91"/>
        <v>326332.92949338356</v>
      </c>
      <c r="Y72" s="401">
        <f t="shared" si="91"/>
        <v>282531.63356617169</v>
      </c>
      <c r="Z72" s="401">
        <f t="shared" si="91"/>
        <v>329264.83655164746</v>
      </c>
      <c r="AA72" s="401">
        <f t="shared" si="91"/>
        <v>346733.89586521464</v>
      </c>
      <c r="AB72" s="401">
        <f t="shared" si="91"/>
        <v>317617.2015557689</v>
      </c>
      <c r="AC72" s="401">
        <f t="shared" si="91"/>
        <v>293191.19704544096</v>
      </c>
      <c r="AD72" s="401">
        <f t="shared" si="91"/>
        <v>293965.5962500521</v>
      </c>
      <c r="AE72" s="401">
        <f t="shared" si="91"/>
        <v>338939.67247435247</v>
      </c>
      <c r="AF72" s="401">
        <f t="shared" si="91"/>
        <v>342904.86060752039</v>
      </c>
      <c r="AG72" s="401">
        <f t="shared" si="91"/>
        <v>314795.02820823039</v>
      </c>
      <c r="AH72" s="401">
        <f t="shared" si="91"/>
        <v>318033.59189887263</v>
      </c>
      <c r="AI72" s="401">
        <f t="shared" si="91"/>
        <v>333099.83042067906</v>
      </c>
      <c r="AJ72" s="401"/>
      <c r="AQ72" s="1"/>
      <c r="AR72" s="1"/>
    </row>
    <row r="73" spans="2:44" ht="15">
      <c r="B73" s="393" t="s">
        <v>2059</v>
      </c>
      <c r="C73" s="401">
        <f t="shared" ref="C73:AI73" si="92">C20/GWPCH4*1000</f>
        <v>209.6668395992715</v>
      </c>
      <c r="D73" s="401">
        <f t="shared" si="92"/>
        <v>217.40188574883103</v>
      </c>
      <c r="E73" s="401">
        <f t="shared" si="92"/>
        <v>226.51349946324464</v>
      </c>
      <c r="F73" s="401">
        <f t="shared" si="92"/>
        <v>201.95483146089009</v>
      </c>
      <c r="G73" s="401">
        <f t="shared" si="92"/>
        <v>191.01291260610128</v>
      </c>
      <c r="H73" s="401">
        <f t="shared" si="92"/>
        <v>189.52065779300744</v>
      </c>
      <c r="I73" s="401">
        <f t="shared" si="92"/>
        <v>198.21735021637025</v>
      </c>
      <c r="J73" s="401">
        <f t="shared" si="92"/>
        <v>164.83121767606136</v>
      </c>
      <c r="K73" s="401">
        <f t="shared" si="92"/>
        <v>145.8623195084939</v>
      </c>
      <c r="L73" s="401">
        <f t="shared" si="92"/>
        <v>151.68942089985831</v>
      </c>
      <c r="M73" s="401">
        <f t="shared" si="92"/>
        <v>161.58107192183266</v>
      </c>
      <c r="N73" s="401">
        <f t="shared" si="92"/>
        <v>146.85006532461736</v>
      </c>
      <c r="O73" s="401">
        <f t="shared" si="92"/>
        <v>149.23842304124773</v>
      </c>
      <c r="P73" s="401">
        <f t="shared" si="92"/>
        <v>157.02703961376986</v>
      </c>
      <c r="Q73" s="401">
        <f t="shared" si="92"/>
        <v>158.61844954885638</v>
      </c>
      <c r="R73" s="401">
        <f t="shared" si="92"/>
        <v>162.16940093676931</v>
      </c>
      <c r="S73" s="401">
        <f t="shared" si="92"/>
        <v>143.30866119815994</v>
      </c>
      <c r="T73" s="401">
        <f t="shared" si="92"/>
        <v>156.89503891858095</v>
      </c>
      <c r="U73" s="401">
        <f t="shared" si="92"/>
        <v>169.5081966717571</v>
      </c>
      <c r="V73" s="401">
        <f t="shared" si="92"/>
        <v>177.9835421884334</v>
      </c>
      <c r="W73" s="401">
        <f t="shared" si="92"/>
        <v>188.16088540314476</v>
      </c>
      <c r="X73" s="401">
        <f t="shared" si="92"/>
        <v>182.54268927746477</v>
      </c>
      <c r="Y73" s="401">
        <f t="shared" si="92"/>
        <v>153.30604148853158</v>
      </c>
      <c r="Z73" s="401">
        <f t="shared" si="92"/>
        <v>195.9026265365604</v>
      </c>
      <c r="AA73" s="401">
        <f t="shared" si="92"/>
        <v>199.7760842286747</v>
      </c>
      <c r="AB73" s="401">
        <f t="shared" si="92"/>
        <v>178.19317352374793</v>
      </c>
      <c r="AC73" s="401">
        <f t="shared" si="92"/>
        <v>156.12300194655472</v>
      </c>
      <c r="AD73" s="401">
        <f t="shared" si="92"/>
        <v>151.79255459319916</v>
      </c>
      <c r="AE73" s="401">
        <f t="shared" si="92"/>
        <v>183.65750961267599</v>
      </c>
      <c r="AF73" s="401">
        <f t="shared" si="92"/>
        <v>190.09902407488616</v>
      </c>
      <c r="AG73" s="401">
        <f t="shared" si="92"/>
        <v>129.96615327387516</v>
      </c>
      <c r="AH73" s="401">
        <f t="shared" si="92"/>
        <v>130.00659684227074</v>
      </c>
      <c r="AI73" s="401">
        <f t="shared" si="92"/>
        <v>153.75920508600453</v>
      </c>
      <c r="AJ73" s="401"/>
      <c r="AQ73" s="1"/>
      <c r="AR73" s="1"/>
    </row>
    <row r="74" spans="2:44" ht="15">
      <c r="B74" s="393" t="s">
        <v>2060</v>
      </c>
      <c r="C74" s="401">
        <f t="shared" ref="C74:AI74" si="93">C21/GWPN2O*1000</f>
        <v>3.5030573376359477</v>
      </c>
      <c r="D74" s="401">
        <f t="shared" si="93"/>
        <v>3.6292802897793148</v>
      </c>
      <c r="E74" s="401">
        <f t="shared" si="93"/>
        <v>3.7472104431143998</v>
      </c>
      <c r="F74" s="401">
        <f t="shared" si="93"/>
        <v>3.4192799674751715</v>
      </c>
      <c r="G74" s="401">
        <f t="shared" si="93"/>
        <v>3.2613907101789898</v>
      </c>
      <c r="H74" s="401">
        <f t="shared" si="93"/>
        <v>3.2290585767679696</v>
      </c>
      <c r="I74" s="401">
        <f t="shared" si="93"/>
        <v>3.4233224903348392</v>
      </c>
      <c r="J74" s="401">
        <f t="shared" si="93"/>
        <v>2.9419082276188173</v>
      </c>
      <c r="K74" s="401">
        <f t="shared" si="93"/>
        <v>2.6268122879049467</v>
      </c>
      <c r="L74" s="401">
        <f t="shared" si="93"/>
        <v>2.7674070817488827</v>
      </c>
      <c r="M74" s="401">
        <f t="shared" si="93"/>
        <v>2.954256604100804</v>
      </c>
      <c r="N74" s="401">
        <f t="shared" si="93"/>
        <v>2.7658834608953686</v>
      </c>
      <c r="O74" s="401">
        <f t="shared" si="93"/>
        <v>2.7515409525006862</v>
      </c>
      <c r="P74" s="401">
        <f t="shared" si="93"/>
        <v>2.9122772375861348</v>
      </c>
      <c r="Q74" s="401">
        <f t="shared" si="93"/>
        <v>2.9316830591528751</v>
      </c>
      <c r="R74" s="401">
        <f t="shared" si="93"/>
        <v>2.9350110599499173</v>
      </c>
      <c r="S74" s="401">
        <f t="shared" si="93"/>
        <v>2.5909158652420516</v>
      </c>
      <c r="T74" s="401">
        <f t="shared" si="93"/>
        <v>2.783349374279334</v>
      </c>
      <c r="U74" s="401">
        <f t="shared" si="93"/>
        <v>2.9709900886838061</v>
      </c>
      <c r="V74" s="401">
        <f t="shared" si="93"/>
        <v>3.0516337838001433</v>
      </c>
      <c r="W74" s="401">
        <f t="shared" si="93"/>
        <v>3.1776582939429852</v>
      </c>
      <c r="X74" s="401">
        <f t="shared" si="93"/>
        <v>3.0707132027229171</v>
      </c>
      <c r="Y74" s="401">
        <f t="shared" si="93"/>
        <v>2.5688410496454979</v>
      </c>
      <c r="Z74" s="401">
        <f t="shared" si="93"/>
        <v>3.2008381951773539</v>
      </c>
      <c r="AA74" s="401">
        <f t="shared" si="93"/>
        <v>3.3000919319030837</v>
      </c>
      <c r="AB74" s="401">
        <f t="shared" si="93"/>
        <v>2.9682434670479454</v>
      </c>
      <c r="AC74" s="401">
        <f t="shared" si="93"/>
        <v>2.6007360221182529</v>
      </c>
      <c r="AD74" s="401">
        <f t="shared" si="93"/>
        <v>2.5302081038364483</v>
      </c>
      <c r="AE74" s="401">
        <f t="shared" si="93"/>
        <v>3.0594610826838977</v>
      </c>
      <c r="AF74" s="401">
        <f t="shared" si="93"/>
        <v>3.1650487737446356</v>
      </c>
      <c r="AG74" s="401">
        <f t="shared" si="93"/>
        <v>2.2901881402364395</v>
      </c>
      <c r="AH74" s="401">
        <f t="shared" si="93"/>
        <v>2.2973313604281955</v>
      </c>
      <c r="AI74" s="401">
        <f t="shared" si="93"/>
        <v>2.6330644653811586</v>
      </c>
      <c r="AJ74" s="401"/>
      <c r="AQ74" s="1"/>
      <c r="AR74" s="1"/>
    </row>
    <row r="75" spans="2:44">
      <c r="B75" s="392" t="s">
        <v>1441</v>
      </c>
      <c r="C75" s="400">
        <f t="shared" ref="C75:T75" si="94">SUM(C76:C78)</f>
        <v>228336.77610302088</v>
      </c>
      <c r="D75" s="400">
        <f t="shared" si="94"/>
        <v>232705.59068800855</v>
      </c>
      <c r="E75" s="400">
        <f t="shared" si="94"/>
        <v>228083.30501503829</v>
      </c>
      <c r="F75" s="400">
        <f t="shared" si="94"/>
        <v>223031.1277971004</v>
      </c>
      <c r="G75" s="400">
        <f t="shared" si="94"/>
        <v>224742.27252128019</v>
      </c>
      <c r="H75" s="400">
        <f t="shared" si="94"/>
        <v>227832.01822182396</v>
      </c>
      <c r="I75" s="400">
        <f t="shared" si="94"/>
        <v>237605.2394335923</v>
      </c>
      <c r="J75" s="400">
        <f t="shared" si="94"/>
        <v>237865.01452766499</v>
      </c>
      <c r="K75" s="400">
        <f t="shared" si="94"/>
        <v>220159.56971487118</v>
      </c>
      <c r="L75" s="400">
        <f t="shared" si="94"/>
        <v>220772.68093654289</v>
      </c>
      <c r="M75" s="400">
        <f t="shared" si="94"/>
        <v>236576.2409887962</v>
      </c>
      <c r="N75" s="400">
        <f t="shared" si="94"/>
        <v>228481.5291294675</v>
      </c>
      <c r="O75" s="400">
        <f t="shared" si="94"/>
        <v>229023.54139407878</v>
      </c>
      <c r="P75" s="400">
        <f t="shared" si="94"/>
        <v>240157.35698611051</v>
      </c>
      <c r="Q75" s="400">
        <f t="shared" si="94"/>
        <v>237975.41053394403</v>
      </c>
      <c r="R75" s="400">
        <f t="shared" si="94"/>
        <v>227023.3182890999</v>
      </c>
      <c r="S75" s="400">
        <f t="shared" si="94"/>
        <v>211427.6338322724</v>
      </c>
      <c r="T75" s="400">
        <f t="shared" si="94"/>
        <v>222590.88711946257</v>
      </c>
      <c r="U75" s="400">
        <f t="shared" ref="U75:Z75" si="95">SUM(U76:U78)</f>
        <v>227110.54500174028</v>
      </c>
      <c r="V75" s="400">
        <f t="shared" si="95"/>
        <v>227752.5167399995</v>
      </c>
      <c r="W75" s="400">
        <f t="shared" si="95"/>
        <v>224325.6930394473</v>
      </c>
      <c r="X75" s="400">
        <f t="shared" si="95"/>
        <v>224641.92358888674</v>
      </c>
      <c r="Y75" s="400">
        <f t="shared" si="95"/>
        <v>200467.3334408004</v>
      </c>
      <c r="Z75" s="400">
        <f t="shared" si="95"/>
        <v>224368.96133294475</v>
      </c>
      <c r="AA75" s="400">
        <f>SUM(AA76:AA78)</f>
        <v>232597.91165238214</v>
      </c>
      <c r="AB75" s="400">
        <f>SUM(AB76:AB78)</f>
        <v>244854.42080763393</v>
      </c>
      <c r="AC75" s="400">
        <f>SUM(AC76:AC78)</f>
        <v>231909.67612773608</v>
      </c>
      <c r="AD75" s="400">
        <f>SUM(AD76:AD78)</f>
        <v>232462.14111164078</v>
      </c>
      <c r="AE75" s="400">
        <f t="shared" ref="AE75:AF75" si="96">SUM(AE76:AE78)</f>
        <v>246347.04088167055</v>
      </c>
      <c r="AF75" s="400">
        <f t="shared" si="96"/>
        <v>251800.1668683317</v>
      </c>
      <c r="AG75" s="400">
        <f t="shared" ref="AG75:AH75" si="97">SUM(AG76:AG78)</f>
        <v>229311.91660843801</v>
      </c>
      <c r="AH75" s="400">
        <f t="shared" si="97"/>
        <v>237576.66962714153</v>
      </c>
      <c r="AI75" s="400">
        <f t="shared" ref="AI75" si="98">SUM(AI76:AI78)</f>
        <v>244763.53351841815</v>
      </c>
      <c r="AJ75" s="400"/>
      <c r="AQ75" s="1"/>
      <c r="AR75" s="1"/>
    </row>
    <row r="76" spans="2:44" ht="15">
      <c r="B76" s="393" t="s">
        <v>1798</v>
      </c>
      <c r="C76" s="401">
        <f t="shared" ref="C76:AI76" si="99">C23*1000</f>
        <v>228292.52569232683</v>
      </c>
      <c r="D76" s="401">
        <f t="shared" si="99"/>
        <v>232660.21885933331</v>
      </c>
      <c r="E76" s="401">
        <f t="shared" si="99"/>
        <v>228037.80614173756</v>
      </c>
      <c r="F76" s="401">
        <f t="shared" si="99"/>
        <v>222985.47793099596</v>
      </c>
      <c r="G76" s="401">
        <f t="shared" si="99"/>
        <v>224697.60946836189</v>
      </c>
      <c r="H76" s="401">
        <f t="shared" si="99"/>
        <v>227787.09302839189</v>
      </c>
      <c r="I76" s="401">
        <f t="shared" si="99"/>
        <v>237558.3012207929</v>
      </c>
      <c r="J76" s="401">
        <f t="shared" si="99"/>
        <v>237818.86128140264</v>
      </c>
      <c r="K76" s="401">
        <f t="shared" si="99"/>
        <v>220118.00749855349</v>
      </c>
      <c r="L76" s="401">
        <f t="shared" si="99"/>
        <v>220730.37903661581</v>
      </c>
      <c r="M76" s="401">
        <f t="shared" si="99"/>
        <v>236530.65884817805</v>
      </c>
      <c r="N76" s="401">
        <f t="shared" si="99"/>
        <v>228438.0393277641</v>
      </c>
      <c r="O76" s="401">
        <f t="shared" si="99"/>
        <v>228979.7512545434</v>
      </c>
      <c r="P76" s="401">
        <f t="shared" si="99"/>
        <v>240111.25455570209</v>
      </c>
      <c r="Q76" s="401">
        <f t="shared" si="99"/>
        <v>237929.83578981887</v>
      </c>
      <c r="R76" s="401">
        <f t="shared" si="99"/>
        <v>226979.05171661545</v>
      </c>
      <c r="S76" s="401">
        <f t="shared" si="99"/>
        <v>211386.4727824755</v>
      </c>
      <c r="T76" s="401">
        <f t="shared" si="99"/>
        <v>222547.25889062302</v>
      </c>
      <c r="U76" s="401">
        <f t="shared" si="99"/>
        <v>227065.71744527918</v>
      </c>
      <c r="V76" s="401">
        <f t="shared" si="99"/>
        <v>227707.60129838841</v>
      </c>
      <c r="W76" s="401">
        <f t="shared" si="99"/>
        <v>224281.5023377919</v>
      </c>
      <c r="X76" s="401">
        <f t="shared" si="99"/>
        <v>224598.53530013849</v>
      </c>
      <c r="Y76" s="401">
        <f t="shared" si="99"/>
        <v>200429.11388421356</v>
      </c>
      <c r="Z76" s="401">
        <f t="shared" si="99"/>
        <v>224325.67870195236</v>
      </c>
      <c r="AA76" s="401">
        <f t="shared" si="99"/>
        <v>232552.18038119722</v>
      </c>
      <c r="AB76" s="401">
        <f t="shared" si="99"/>
        <v>244805.12423914418</v>
      </c>
      <c r="AC76" s="401">
        <f t="shared" si="99"/>
        <v>231860.7082346536</v>
      </c>
      <c r="AD76" s="401">
        <f t="shared" si="99"/>
        <v>232413.2299027589</v>
      </c>
      <c r="AE76" s="401">
        <f t="shared" si="99"/>
        <v>246297.06654436892</v>
      </c>
      <c r="AF76" s="401">
        <f t="shared" si="99"/>
        <v>251749.31449629253</v>
      </c>
      <c r="AG76" s="401">
        <f t="shared" si="99"/>
        <v>229263.71887598955</v>
      </c>
      <c r="AH76" s="401">
        <f t="shared" si="99"/>
        <v>237527.63457689495</v>
      </c>
      <c r="AI76" s="401">
        <f t="shared" si="99"/>
        <v>244714.01681716132</v>
      </c>
      <c r="AJ76" s="401"/>
      <c r="AQ76" s="1"/>
      <c r="AR76" s="1"/>
    </row>
    <row r="77" spans="2:44" ht="15">
      <c r="B77" s="393" t="s">
        <v>2059</v>
      </c>
      <c r="C77" s="401">
        <f t="shared" ref="C77:AI77" si="100">C24/GWPCH4*1000</f>
        <v>42.944270031675508</v>
      </c>
      <c r="D77" s="401">
        <f t="shared" si="100"/>
        <v>44.064462829581032</v>
      </c>
      <c r="E77" s="401">
        <f t="shared" si="100"/>
        <v>44.241972986862649</v>
      </c>
      <c r="F77" s="401">
        <f t="shared" si="100"/>
        <v>44.437388346066996</v>
      </c>
      <c r="G77" s="401">
        <f t="shared" si="100"/>
        <v>43.464498981765743</v>
      </c>
      <c r="H77" s="401">
        <f t="shared" si="100"/>
        <v>43.745270357590769</v>
      </c>
      <c r="I77" s="401">
        <f t="shared" si="100"/>
        <v>45.704836824891657</v>
      </c>
      <c r="J77" s="401">
        <f t="shared" si="100"/>
        <v>44.939635100362992</v>
      </c>
      <c r="K77" s="401">
        <f t="shared" si="100"/>
        <v>40.485284289031434</v>
      </c>
      <c r="L77" s="401">
        <f t="shared" si="100"/>
        <v>41.213803170645996</v>
      </c>
      <c r="M77" s="401">
        <f t="shared" si="100"/>
        <v>44.402669652584883</v>
      </c>
      <c r="N77" s="401">
        <f t="shared" si="100"/>
        <v>42.338197941723124</v>
      </c>
      <c r="O77" s="401">
        <f t="shared" si="100"/>
        <v>42.671615248038798</v>
      </c>
      <c r="P77" s="401">
        <f t="shared" si="100"/>
        <v>44.903217243479972</v>
      </c>
      <c r="Q77" s="401">
        <f t="shared" si="100"/>
        <v>44.362956217914316</v>
      </c>
      <c r="R77" s="401">
        <f t="shared" si="100"/>
        <v>43.10679220545034</v>
      </c>
      <c r="S77" s="401">
        <f t="shared" si="100"/>
        <v>40.112419636291406</v>
      </c>
      <c r="T77" s="401">
        <f t="shared" si="100"/>
        <v>42.527152746193217</v>
      </c>
      <c r="U77" s="401">
        <f t="shared" si="100"/>
        <v>43.714122433674341</v>
      </c>
      <c r="V77" s="401">
        <f t="shared" si="100"/>
        <v>43.79197597027882</v>
      </c>
      <c r="W77" s="401">
        <f t="shared" si="100"/>
        <v>43.095215121665291</v>
      </c>
      <c r="X77" s="401">
        <f t="shared" si="100"/>
        <v>42.323364441854025</v>
      </c>
      <c r="Y77" s="401">
        <f t="shared" si="100"/>
        <v>37.310388896924465</v>
      </c>
      <c r="Z77" s="401">
        <f t="shared" si="100"/>
        <v>42.282883038778643</v>
      </c>
      <c r="AA77" s="401">
        <f t="shared" si="100"/>
        <v>44.705200079754981</v>
      </c>
      <c r="AB77" s="401">
        <f t="shared" si="100"/>
        <v>48.068105786975288</v>
      </c>
      <c r="AC77" s="401">
        <f t="shared" si="100"/>
        <v>47.803646698252955</v>
      </c>
      <c r="AD77" s="401">
        <f t="shared" si="100"/>
        <v>47.76151328089189</v>
      </c>
      <c r="AE77" s="401">
        <f t="shared" si="100"/>
        <v>48.835886924791794</v>
      </c>
      <c r="AF77" s="401">
        <f t="shared" si="100"/>
        <v>49.670372832195063</v>
      </c>
      <c r="AG77" s="401">
        <f t="shared" si="100"/>
        <v>47.084883663549334</v>
      </c>
      <c r="AH77" s="401">
        <f t="shared" si="100"/>
        <v>47.894787653164023</v>
      </c>
      <c r="AI77" s="401">
        <f t="shared" si="100"/>
        <v>48.393987273635929</v>
      </c>
      <c r="AJ77" s="401"/>
      <c r="AQ77" s="1"/>
      <c r="AR77" s="1"/>
    </row>
    <row r="78" spans="2:44" ht="15">
      <c r="B78" s="393" t="s">
        <v>2060</v>
      </c>
      <c r="C78" s="401">
        <f t="shared" ref="C78:AI78" si="101">C25/GWPN2O*1000</f>
        <v>1.3061406623606611</v>
      </c>
      <c r="D78" s="401">
        <f t="shared" si="101"/>
        <v>1.3073658456681829</v>
      </c>
      <c r="E78" s="401">
        <f t="shared" si="101"/>
        <v>1.2569003138595503</v>
      </c>
      <c r="F78" s="401">
        <f t="shared" si="101"/>
        <v>1.2124777583727722</v>
      </c>
      <c r="G78" s="401">
        <f t="shared" si="101"/>
        <v>1.1985539365125326</v>
      </c>
      <c r="H78" s="401">
        <f t="shared" si="101"/>
        <v>1.1799230744954907</v>
      </c>
      <c r="I78" s="401">
        <f t="shared" si="101"/>
        <v>1.2333759745119339</v>
      </c>
      <c r="J78" s="401">
        <f t="shared" si="101"/>
        <v>1.2136111619773167</v>
      </c>
      <c r="K78" s="401">
        <f t="shared" si="101"/>
        <v>1.0769320286769291</v>
      </c>
      <c r="L78" s="401">
        <f t="shared" si="101"/>
        <v>1.0880967564299466</v>
      </c>
      <c r="M78" s="401">
        <f t="shared" si="101"/>
        <v>1.1794709655493916</v>
      </c>
      <c r="N78" s="401">
        <f t="shared" si="101"/>
        <v>1.1516037616855204</v>
      </c>
      <c r="O78" s="401">
        <f t="shared" si="101"/>
        <v>1.1185242873228385</v>
      </c>
      <c r="P78" s="401">
        <f t="shared" si="101"/>
        <v>1.1992131649356312</v>
      </c>
      <c r="Q78" s="401">
        <f t="shared" si="101"/>
        <v>1.2117879072318141</v>
      </c>
      <c r="R78" s="401">
        <f t="shared" si="101"/>
        <v>1.1597802790094041</v>
      </c>
      <c r="S78" s="401">
        <f t="shared" si="101"/>
        <v>1.048630160615363</v>
      </c>
      <c r="T78" s="401">
        <f t="shared" si="101"/>
        <v>1.1010760933673578</v>
      </c>
      <c r="U78" s="401">
        <f t="shared" si="101"/>
        <v>1.1134340274183709</v>
      </c>
      <c r="V78" s="401">
        <f t="shared" si="101"/>
        <v>1.123465640783929</v>
      </c>
      <c r="W78" s="401">
        <f t="shared" si="101"/>
        <v>1.0954865337426567</v>
      </c>
      <c r="X78" s="401">
        <f t="shared" si="101"/>
        <v>1.0649243063907614</v>
      </c>
      <c r="Y78" s="401">
        <f t="shared" si="101"/>
        <v>0.90916768990025942</v>
      </c>
      <c r="Z78" s="401">
        <f t="shared" si="101"/>
        <v>0.99974795360138691</v>
      </c>
      <c r="AA78" s="401">
        <f t="shared" si="101"/>
        <v>1.0260711051895299</v>
      </c>
      <c r="AB78" s="401">
        <f t="shared" si="101"/>
        <v>1.2284627027740442</v>
      </c>
      <c r="AC78" s="401">
        <f t="shared" si="101"/>
        <v>1.1642463842349904</v>
      </c>
      <c r="AD78" s="401">
        <f t="shared" si="101"/>
        <v>1.1496956010056592</v>
      </c>
      <c r="AE78" s="401">
        <f t="shared" si="101"/>
        <v>1.1384503768232002</v>
      </c>
      <c r="AF78" s="401">
        <f t="shared" si="101"/>
        <v>1.1819992069690153</v>
      </c>
      <c r="AG78" s="401">
        <f t="shared" si="101"/>
        <v>1.1128487849087358</v>
      </c>
      <c r="AH78" s="401">
        <f t="shared" si="101"/>
        <v>1.1402625934094974</v>
      </c>
      <c r="AI78" s="401">
        <f t="shared" si="101"/>
        <v>1.1227139831984143</v>
      </c>
      <c r="AJ78" s="401"/>
      <c r="AQ78" s="1"/>
      <c r="AR78" s="1"/>
    </row>
    <row r="79" spans="2:44">
      <c r="B79" s="392" t="s">
        <v>1476</v>
      </c>
      <c r="C79" s="400">
        <f>'Inventory Table'!L19*1000+[4]Summary!C25/GWPCH4*1000+[4]Summary!C55/GWPN2O*1000</f>
        <v>20009.662780525181</v>
      </c>
      <c r="D79" s="400">
        <f>'Inventory Table'!M19*1000+[4]Summary!D25/GWPCH4*1000+[4]Summary!D55/GWPN2O*1000</f>
        <v>19183.903463687599</v>
      </c>
      <c r="E79" s="400">
        <f>'Inventory Table'!N19*1000+[4]Summary!E25/GWPCH4*1000+[4]Summary!E55/GWPN2O*1000</f>
        <v>21947.525493953242</v>
      </c>
      <c r="F79" s="400">
        <f>'Inventory Table'!O19*1000+[4]Summary!F25/GWPCH4*1000+[4]Summary!F55/GWPN2O*1000</f>
        <v>22625.949399051642</v>
      </c>
      <c r="G79" s="400">
        <f>'Inventory Table'!P19*1000+[4]Summary!G25/GWPCH4*1000+[4]Summary!G55/GWPN2O*1000</f>
        <v>24733.808548660556</v>
      </c>
      <c r="H79" s="400">
        <f>'Inventory Table'!Q19*1000+[4]Summary!H25/GWPCH4*1000+[4]Summary!H55/GWPN2O*1000</f>
        <v>21550.230699256394</v>
      </c>
      <c r="I79" s="400">
        <f>'Inventory Table'!R19*1000+[4]Summary!I25/GWPCH4*1000+[4]Summary!I55/GWPN2O*1000</f>
        <v>19779.596415652573</v>
      </c>
      <c r="J79" s="400">
        <f>'Inventory Table'!S19*1000+[4]Summary!J25/GWPCH4*1000+[4]Summary!J55/GWPN2O*1000</f>
        <v>20083.443095730101</v>
      </c>
      <c r="K79" s="400">
        <f>'Inventory Table'!T19*1000+[4]Summary!K25/GWPCH4*1000+[4]Summary!K55/GWPN2O*1000</f>
        <v>19446.739415075674</v>
      </c>
      <c r="L79" s="400">
        <f>'Inventory Table'!U19*1000+[4]Summary!L25/GWPCH4*1000+[4]Summary!L55/GWPN2O*1000</f>
        <v>15472.466114317156</v>
      </c>
      <c r="M79" s="400">
        <f>'Inventory Table'!V19*1000+[4]Summary!M25/GWPCH4*1000+[4]Summary!M55/GWPN2O*1000</f>
        <v>37032.35922862267</v>
      </c>
      <c r="N79" s="400">
        <f>'Inventory Table'!W19*1000+[4]Summary!N25/GWPCH4*1000+[4]Summary!N55/GWPN2O*1000</f>
        <v>49654.313064175039</v>
      </c>
      <c r="O79" s="400">
        <f>'Inventory Table'!X19*1000+[4]Summary!O25/GWPCH4*1000+[4]Summary!O55/GWPN2O*1000</f>
        <v>45154.513357933618</v>
      </c>
      <c r="P79" s="400">
        <f>'Inventory Table'!Y19*1000+[4]Summary!P25/GWPCH4*1000+[4]Summary!P55/GWPN2O*1000</f>
        <v>50367.656606736731</v>
      </c>
      <c r="Q79" s="400">
        <f>'Inventory Table'!Z19*1000+[4]Summary!Q25/GWPCH4*1000+[4]Summary!Q55/GWPN2O*1000</f>
        <v>52918.822773212269</v>
      </c>
      <c r="R79" s="400">
        <f>'Inventory Table'!AA19*1000+[4]Summary!R25/GWPCH4*1000+[4]Summary!R55/GWPN2O*1000</f>
        <v>51859.607140027532</v>
      </c>
      <c r="S79" s="400">
        <f>'Inventory Table'!AB19*1000+[4]Summary!S25/GWPCH4*1000+[4]Summary!S55/GWPN2O*1000</f>
        <v>51264.637525935868</v>
      </c>
      <c r="T79" s="400">
        <f>'Inventory Table'!AC19*1000+[4]Summary!T25/GWPCH4*1000+[4]Summary!T55/GWPN2O*1000</f>
        <v>46649.8625758864</v>
      </c>
      <c r="U79" s="400">
        <f>'Inventory Table'!AD19*1000+[4]Summary!U25/GWPCH4*1000+[4]Summary!U55/GWPN2O*1000</f>
        <v>38466.380846420929</v>
      </c>
      <c r="V79" s="400">
        <f>'Inventory Table'!AE19*1000+[4]Summary!V25/GWPCH4*1000+[4]Summary!V55/GWPN2O*1000</f>
        <v>38960.759351078646</v>
      </c>
      <c r="W79" s="400">
        <f>'Inventory Table'!AF19*1000+[4]Summary!W25/GWPCH4*1000+[4]Summary!W55/GWPN2O*1000</f>
        <v>34505.705381100088</v>
      </c>
      <c r="X79" s="400">
        <f>'Inventory Table'!AG19*1000+[4]Summary!X25/GWPCH4*1000+[4]Summary!X55/GWPN2O*1000</f>
        <v>34064.770247035165</v>
      </c>
      <c r="Y79" s="400">
        <f>'Inventory Table'!AH19*1000+[4]Summary!Y25/GWPCH4*1000+[4]Summary!Y55/GWPN2O*1000</f>
        <v>32956.124156541198</v>
      </c>
      <c r="Z79" s="400">
        <f>'Inventory Table'!AI19*1000+[4]Summary!Z25/GWPCH4*1000+[4]Summary!Z55/GWPN2O*1000</f>
        <v>28130.205672411314</v>
      </c>
      <c r="AA79" s="400">
        <f>'Inventory Table'!AJ19*1000+[4]Summary!AA25/GWPCH4*1000+[4]Summary!AA55/GWPN2O*1000</f>
        <v>28280.086765637738</v>
      </c>
      <c r="AB79" s="400">
        <f>'Inventory Table'!AK19*1000+[4]Summary!AB25/GWPCH4*1000+[4]Summary!AB55/GWPN2O*1000</f>
        <v>28536.152024658637</v>
      </c>
      <c r="AC79" s="400">
        <f>'Inventory Table'!AL19*1000+[4]Summary!AC25/GWPCH4*1000+[4]Summary!AC55/GWPN2O*1000</f>
        <v>26166.391152235465</v>
      </c>
      <c r="AD79" s="400">
        <f>'Inventory Table'!AM19*1000+[4]Summary!AD25/GWPCH4*1000+[4]Summary!AD55/GWPN2O*1000</f>
        <v>25947.438243411412</v>
      </c>
      <c r="AE79" s="400">
        <f>'Inventory Table'!AN19*1000+[4]Summary!AE25/GWPCH4*1000+[4]Summary!AE55/GWPN2O*1000</f>
        <v>25924.212894802706</v>
      </c>
      <c r="AF79" s="400">
        <f>'Inventory Table'!AO19*1000+[4]Summary!AF25/GWPCH4*1000+[4]Summary!AF55/GWPN2O*1000</f>
        <v>24814.268967492982</v>
      </c>
      <c r="AG79" s="400">
        <f>'Inventory Table'!AP19*1000+[4]Summary!AG25/GWPCH4*1000+[4]Summary!AG55/GWPN2O*1000</f>
        <v>23280.317180029408</v>
      </c>
      <c r="AH79" s="400">
        <f>'Inventory Table'!AQ19*1000+[4]Summary!AH25/GWPCH4*1000+[4]Summary!AH55/GWPN2O*1000</f>
        <v>23773.172464523639</v>
      </c>
      <c r="AI79" s="400">
        <f>'Inventory Table'!AR19*1000+[4]Summary!AI25/GWPCH4*1000+[4]Summary!AI55/GWPN2O*1000</f>
        <v>23768.120724844273</v>
      </c>
      <c r="AJ79" s="400"/>
      <c r="AQ79" s="1"/>
      <c r="AR79" s="1"/>
    </row>
    <row r="80" spans="2:44">
      <c r="B80" s="404" t="s">
        <v>1480</v>
      </c>
      <c r="C80" s="405">
        <f t="shared" ref="C80:U80" si="102">SUM(C63,C67,C71,C75,C79,C59)</f>
        <v>4747742.1349669956</v>
      </c>
      <c r="D80" s="405">
        <f t="shared" si="102"/>
        <v>4701093.9111952186</v>
      </c>
      <c r="E80" s="405">
        <f t="shared" si="102"/>
        <v>4793756.0086086774</v>
      </c>
      <c r="F80" s="405">
        <f t="shared" si="102"/>
        <v>4909953.1916166609</v>
      </c>
      <c r="G80" s="405">
        <f t="shared" si="102"/>
        <v>4972335.3830263577</v>
      </c>
      <c r="H80" s="405">
        <f t="shared" si="102"/>
        <v>5031839.4442075668</v>
      </c>
      <c r="I80" s="405">
        <f t="shared" si="102"/>
        <v>5206736.6319071306</v>
      </c>
      <c r="J80" s="405">
        <f t="shared" si="102"/>
        <v>5267083.1519466117</v>
      </c>
      <c r="K80" s="405">
        <f t="shared" si="102"/>
        <v>5330102.8284529522</v>
      </c>
      <c r="L80" s="405">
        <f t="shared" si="102"/>
        <v>5374940.7080405056</v>
      </c>
      <c r="M80" s="405">
        <f t="shared" si="102"/>
        <v>5621358.8599443203</v>
      </c>
      <c r="N80" s="405">
        <f t="shared" si="102"/>
        <v>5524813.6350636818</v>
      </c>
      <c r="O80" s="405">
        <f t="shared" si="102"/>
        <v>5565924.9364243951</v>
      </c>
      <c r="P80" s="405">
        <f t="shared" si="102"/>
        <v>5635154.1265952624</v>
      </c>
      <c r="Q80" s="405">
        <f t="shared" si="102"/>
        <v>5714236.3693493195</v>
      </c>
      <c r="R80" s="405">
        <f t="shared" si="102"/>
        <v>5740277.9597960263</v>
      </c>
      <c r="S80" s="405">
        <f t="shared" si="102"/>
        <v>5651639.1272244416</v>
      </c>
      <c r="T80" s="405">
        <f t="shared" si="102"/>
        <v>5735563.4102929942</v>
      </c>
      <c r="U80" s="405">
        <f t="shared" si="102"/>
        <v>5548546.9940677863</v>
      </c>
      <c r="V80" s="405">
        <f t="shared" ref="V80:AA80" si="103">SUM(V63,V67,V71,V75,V79,V59)</f>
        <v>5180179.9195203539</v>
      </c>
      <c r="W80" s="405">
        <f t="shared" si="103"/>
        <v>5337262.7510699909</v>
      </c>
      <c r="X80" s="405">
        <f t="shared" si="103"/>
        <v>5205220.3705519643</v>
      </c>
      <c r="Y80" s="405">
        <f t="shared" si="103"/>
        <v>4998469.2180948537</v>
      </c>
      <c r="Z80" s="405">
        <f t="shared" si="103"/>
        <v>5119837.9607074279</v>
      </c>
      <c r="AA80" s="405">
        <f t="shared" si="103"/>
        <v>5169787.6199942501</v>
      </c>
      <c r="AB80" s="405">
        <f>SUM(AB63,AB67,AB71,AB75,AB79,AB59)</f>
        <v>5004961.6944873789</v>
      </c>
      <c r="AC80" s="405">
        <f>SUM(AC63,AC67,AC71,AC75,AC79,AC59)</f>
        <v>4907927.3387986664</v>
      </c>
      <c r="AD80" s="405">
        <f>SUM(AD63,AD67,AD71,AD75,AD79,AD59)</f>
        <v>4844066.6822880507</v>
      </c>
      <c r="AE80" s="405">
        <f t="shared" ref="AE80:AF80" si="104">SUM(AE63,AE67,AE71,AE75,AE79,AE59)</f>
        <v>4983546.0487916488</v>
      </c>
      <c r="AF80" s="405">
        <f t="shared" si="104"/>
        <v>4841556.9565729136</v>
      </c>
      <c r="AG80" s="405">
        <f t="shared" ref="AG80:AH80" si="105">SUM(AG63,AG67,AG71,AG75,AG79,AG59)</f>
        <v>4329755.0735664507</v>
      </c>
      <c r="AH80" s="405">
        <f t="shared" si="105"/>
        <v>4643169.5679872055</v>
      </c>
      <c r="AI80" s="405">
        <f t="shared" ref="AI80" si="106">SUM(AI63,AI67,AI71,AI75,AI79,AI59)</f>
        <v>4690430.896491006</v>
      </c>
      <c r="AJ80" s="400"/>
      <c r="AQ80" s="1"/>
      <c r="AR80" s="1"/>
    </row>
    <row r="81" spans="2:44">
      <c r="AQ81" s="1"/>
      <c r="AR81" s="1"/>
    </row>
    <row r="82" spans="2:44" ht="15">
      <c r="B82" s="395" t="s">
        <v>2069</v>
      </c>
      <c r="AQ82" s="1"/>
      <c r="AR82" s="1"/>
    </row>
    <row r="83" spans="2:44">
      <c r="B83" s="404" t="s">
        <v>2070</v>
      </c>
      <c r="C83" s="390">
        <v>1990</v>
      </c>
      <c r="D83" s="391">
        <v>1991</v>
      </c>
      <c r="E83" s="390">
        <v>1992</v>
      </c>
      <c r="F83" s="391">
        <v>1993</v>
      </c>
      <c r="G83" s="390">
        <v>1994</v>
      </c>
      <c r="H83" s="391">
        <v>1995</v>
      </c>
      <c r="I83" s="390">
        <v>1996</v>
      </c>
      <c r="J83" s="391">
        <v>1997</v>
      </c>
      <c r="K83" s="390">
        <v>1998</v>
      </c>
      <c r="L83" s="391">
        <v>1999</v>
      </c>
      <c r="M83" s="390">
        <v>2000</v>
      </c>
      <c r="N83" s="391">
        <v>2001</v>
      </c>
      <c r="O83" s="390">
        <v>2002</v>
      </c>
      <c r="P83" s="391">
        <v>2003</v>
      </c>
      <c r="Q83" s="391">
        <v>2004</v>
      </c>
      <c r="R83" s="391">
        <v>2005</v>
      </c>
      <c r="S83" s="391">
        <v>2006</v>
      </c>
      <c r="T83" s="391">
        <v>2007</v>
      </c>
      <c r="U83" s="391">
        <v>2008</v>
      </c>
      <c r="V83" s="391">
        <v>2009</v>
      </c>
      <c r="W83" s="391">
        <v>2010</v>
      </c>
      <c r="X83" s="391">
        <v>2011</v>
      </c>
      <c r="Y83" s="391">
        <v>2012</v>
      </c>
      <c r="Z83" s="391">
        <v>2013</v>
      </c>
      <c r="AA83" s="391">
        <v>2014</v>
      </c>
      <c r="AB83" s="391">
        <v>2015</v>
      </c>
      <c r="AC83" s="391">
        <v>2016</v>
      </c>
      <c r="AD83" s="391">
        <v>2017</v>
      </c>
      <c r="AE83" s="391">
        <v>2018</v>
      </c>
      <c r="AF83" s="391">
        <v>2019</v>
      </c>
      <c r="AG83" s="391">
        <v>2020</v>
      </c>
      <c r="AH83" s="391">
        <v>2021</v>
      </c>
      <c r="AI83" s="391">
        <v>2022</v>
      </c>
      <c r="AJ83" s="564"/>
      <c r="AQ83" s="1"/>
      <c r="AR83" s="1"/>
    </row>
    <row r="84" spans="2:44" ht="15">
      <c r="B84" s="393" t="s">
        <v>1798</v>
      </c>
      <c r="C84" s="74">
        <f>SUM(C36,C40,C44,C48,'Inventory Table'!L19)</f>
        <v>4746.9107611763902</v>
      </c>
      <c r="D84" s="74">
        <f>SUM(D36,D40,D44,D48,'Inventory Table'!M19)</f>
        <v>4700.2568670290257</v>
      </c>
      <c r="E84" s="74">
        <f>SUM(E36,E40,E44,E48,'Inventory Table'!N19)</f>
        <v>4792.8961914450019</v>
      </c>
      <c r="F84" s="74">
        <f>SUM(F36,F40,F44,F48,'Inventory Table'!O19)</f>
        <v>4909.1099279193977</v>
      </c>
      <c r="G84" s="74">
        <f>SUM(G36,G40,G44,G48,'Inventory Table'!P19)</f>
        <v>4971.4921183987371</v>
      </c>
      <c r="H84" s="74">
        <f>SUM(H36,H40,H44,H48,'Inventory Table'!Q19)</f>
        <v>5030.9902119425942</v>
      </c>
      <c r="I84" s="74">
        <f>SUM(I36,I40,I44,I48,'Inventory Table'!R19)</f>
        <v>5205.8721982212037</v>
      </c>
      <c r="J84" s="74">
        <f>SUM(J36,J40,J44,J48,'Inventory Table'!S19)</f>
        <v>5266.2520827818244</v>
      </c>
      <c r="K84" s="74">
        <f>SUM(K36,K40,K44,K48,'Inventory Table'!T19)</f>
        <v>5329.3023926754731</v>
      </c>
      <c r="L84" s="74">
        <f>SUM(L36,L40,L44,L48,'Inventory Table'!U19)</f>
        <v>5374.1646861342406</v>
      </c>
      <c r="M84" s="74">
        <f>SUM(M36,M40,M44,M48,'Inventory Table'!V19)</f>
        <v>5620.5710399981308</v>
      </c>
      <c r="N84" s="74">
        <f>SUM(N36,N40,N44,N48,'Inventory Table'!W19)</f>
        <v>5524.0653658701167</v>
      </c>
      <c r="O84" s="74">
        <f>SUM(O36,O40,O44,O48,'Inventory Table'!X19)</f>
        <v>5565.1845602944495</v>
      </c>
      <c r="P84" s="74">
        <f>SUM(P36,P40,P44,P48,'Inventory Table'!Y19)</f>
        <v>5634.4136153853851</v>
      </c>
      <c r="Q84" s="74">
        <f>SUM(Q36,Q40,Q44,Q48,'Inventory Table'!Z19)</f>
        <v>5713.4982557715184</v>
      </c>
      <c r="R84" s="74">
        <f>SUM(R36,R40,R44,R48,'Inventory Table'!AA19)</f>
        <v>5739.5565585087497</v>
      </c>
      <c r="S84" s="74">
        <f>SUM(S36,S40,S44,S48,'Inventory Table'!AB19)</f>
        <v>5650.9400650318266</v>
      </c>
      <c r="T84" s="74">
        <f>SUM(T36,T40,T44,T48,'Inventory Table'!AC19)</f>
        <v>5734.864181483199</v>
      </c>
      <c r="U84" s="74">
        <f>SUM(U36,U40,U44,U48,'Inventory Table'!AD19)</f>
        <v>5547.8591342867248</v>
      </c>
      <c r="V84" s="74">
        <f>SUM(V36,V40,V44,V48,'Inventory Table'!AE19)</f>
        <v>5179.5118746219405</v>
      </c>
      <c r="W84" s="74">
        <f>SUM(W36,W40,W44,W48,'Inventory Table'!AF19)</f>
        <v>5336.5715852980056</v>
      </c>
      <c r="X84" s="74">
        <f>SUM(X36,X40,X44,X48,'Inventory Table'!AG19)</f>
        <v>5204.5445538446747</v>
      </c>
      <c r="Y84" s="74">
        <f>SUM(Y36,Y40,Y44,Y48,'Inventory Table'!AH19)</f>
        <v>4997.846070047568</v>
      </c>
      <c r="Z84" s="74">
        <f>SUM(Z36,Z40,Z44,Z48,'Inventory Table'!AI19)</f>
        <v>5119.1697937386971</v>
      </c>
      <c r="AA84" s="74">
        <f>SUM(AA36,AA40,AA44,AA48,'Inventory Table'!AJ19)</f>
        <v>5169.1260393761704</v>
      </c>
      <c r="AB84" s="74">
        <f>SUM(AB36,AB40,AB44,AB48,'Inventory Table'!AK19)</f>
        <v>5004.3330938460931</v>
      </c>
      <c r="AC84" s="74">
        <f>SUM(AC36,AC40,AC44,AC48,'Inventory Table'!AL19)</f>
        <v>4907.3297734535836</v>
      </c>
      <c r="AD84" s="74">
        <f>SUM(AD36,AD40,AD44,AD48,'Inventory Table'!AM19)</f>
        <v>4843.4900631032615</v>
      </c>
      <c r="AE84" s="74">
        <f>SUM(AE36,AE40,AE44,AE48,'Inventory Table'!AN19)</f>
        <v>4982.9401553416556</v>
      </c>
      <c r="AF84" s="74">
        <f>SUM(AF36,AF40,AF44,AF48,'Inventory Table'!AO19)</f>
        <v>4840.9487120861322</v>
      </c>
      <c r="AG84" s="1116">
        <f>SUM(AG36,AG40,AG44,AG48,'Inventory Table'!AP19)</f>
        <v>4329.241200528536</v>
      </c>
      <c r="AH84" s="74">
        <f>SUM(AH36,AH40,AH44,AH48,'Inventory Table'!AQ19)</f>
        <v>4642.6449391491133</v>
      </c>
      <c r="AI84" s="74">
        <f>SUM(AI36,AI40,AI44,AI48,'Inventory Table'!AR19)</f>
        <v>4689.8828048593914</v>
      </c>
      <c r="AJ84" s="74"/>
      <c r="AQ84" s="1"/>
      <c r="AR84" s="1"/>
    </row>
    <row r="85" spans="2:44" ht="15">
      <c r="B85" s="393" t="s">
        <v>2059</v>
      </c>
      <c r="C85" s="74">
        <f>SUM(C8,C12,C16,C20,C24)+[4]Summary!C25</f>
        <v>16.860815814327452</v>
      </c>
      <c r="D85" s="74">
        <f>SUM(D8,D12,D16,D20,D24)+[4]Summary!D25</f>
        <v>16.875128315737633</v>
      </c>
      <c r="E85" s="74">
        <f>SUM(E8,E12,E16,E20,E24)+[4]Summary!E25</f>
        <v>17.233468665368267</v>
      </c>
      <c r="F85" s="74">
        <f>SUM(F8,F12,F16,F20,F24)+[4]Summary!F25</f>
        <v>16.503286893503834</v>
      </c>
      <c r="G85" s="74">
        <f>SUM(G8,G12,G16,G20,G24)+[4]Summary!G25</f>
        <v>16.252044292236349</v>
      </c>
      <c r="H85" s="74">
        <f>SUM(H8,H12,H16,H20,H24)+[4]Summary!H25</f>
        <v>16.226724049874978</v>
      </c>
      <c r="I85" s="74">
        <f>SUM(I8,I12,I16,I20,I24)+[4]Summary!I25</f>
        <v>16.448566955545143</v>
      </c>
      <c r="J85" s="74">
        <f>SUM(J8,J12,J16,J20,J24)+[4]Summary!J25</f>
        <v>15.348156609238314</v>
      </c>
      <c r="K85" s="74">
        <f>SUM(K8,K12,K16,K20,K24)+[4]Summary!K25</f>
        <v>14.371587470117197</v>
      </c>
      <c r="L85" s="74">
        <f>SUM(L8,L12,L16,L20,L24)+[4]Summary!L25</f>
        <v>13.89047804794169</v>
      </c>
      <c r="M85" s="74">
        <f>SUM(M8,M12,M16,M20,M24)+[4]Summary!M25</f>
        <v>14.147150570869709</v>
      </c>
      <c r="N85" s="74">
        <f>SUM(N8,N12,N16,N20,N24)+[4]Summary!N25</f>
        <v>13.287152120164222</v>
      </c>
      <c r="O85" s="74">
        <f>SUM(O8,O12,O16,O20,O24)+[4]Summary!O25</f>
        <v>13.119240506690065</v>
      </c>
      <c r="P85" s="74">
        <f>SUM(P8,P12,P16,P20,P24)+[4]Summary!P25</f>
        <v>13.19031287167687</v>
      </c>
      <c r="Q85" s="74">
        <f>SUM(Q8,Q12,Q16,Q20,Q24)+[4]Summary!Q25</f>
        <v>13.211440357851153</v>
      </c>
      <c r="R85" s="74">
        <f>SUM(R8,R12,R16,R20,R24)+[4]Summary!R25</f>
        <v>13.061697637292948</v>
      </c>
      <c r="S85" s="74">
        <f>SUM(S8,S12,S16,S20,S24)+[4]Summary!S25</f>
        <v>12.431458892284651</v>
      </c>
      <c r="T85" s="74">
        <f>SUM(T8,T12,T16,T20,T24)+[4]Summary!T25</f>
        <v>12.701533258479001</v>
      </c>
      <c r="U85" s="74">
        <f>SUM(U8,U12,U16,U20,U24)+[4]Summary!U25</f>
        <v>12.693852271971304</v>
      </c>
      <c r="V85" s="74">
        <f>SUM(V8,V12,V16,V20,V24)+[4]Summary!V25</f>
        <v>12.540808578060497</v>
      </c>
      <c r="W85" s="74">
        <f>SUM(W8,W12,W16,W20,W24)+[4]Summary!W25</f>
        <v>13.049216855516617</v>
      </c>
      <c r="X85" s="74">
        <f>SUM(X8,X12,X16,X20,X24)+[4]Summary!X25</f>
        <v>12.852461922922629</v>
      </c>
      <c r="Y85" s="74">
        <f>SUM(Y8,Y12,Y16,Y20,Y24)+[4]Summary!Y25</f>
        <v>11.834032767142867</v>
      </c>
      <c r="Z85" s="74">
        <f>SUM(Z8,Z12,Z16,Z20,Z24)+[4]Summary!Z25</f>
        <v>13.052101726921498</v>
      </c>
      <c r="AA85" s="74">
        <f>SUM(AA8,AA12,AA16,AA20,AA24)+[4]Summary!AA25</f>
        <v>13.044277783669406</v>
      </c>
      <c r="AB85" s="74">
        <f>SUM(AB8,AB12,AB16,AB20,AB24)+[4]Summary!AB25</f>
        <v>12.539110753326222</v>
      </c>
      <c r="AC85" s="74">
        <f>SUM(AC8,AC12,AC16,AC20,AC24)+[4]Summary!AC25</f>
        <v>11.822692804402774</v>
      </c>
      <c r="AD85" s="74">
        <f>SUM(AD8,AD12,AD16,AD20,AD24)+[4]Summary!AD25</f>
        <v>11.494585885330075</v>
      </c>
      <c r="AE85" s="74">
        <f>SUM(AE8,AE12,AE16,AE20,AE24)+[4]Summary!AE25</f>
        <v>12.448070101508806</v>
      </c>
      <c r="AF85" s="74">
        <f>SUM(AF8,AF12,AF16,AF20,AF24)+[4]Summary!AF25</f>
        <v>12.677767393227168</v>
      </c>
      <c r="AG85" s="1116">
        <f>SUM(AG8,AG12,AG16,AG20,AG24)+[4]Summary!AG25</f>
        <v>10.515966260365042</v>
      </c>
      <c r="AH85" s="74">
        <f>SUM(AH8,AH12,AH16,AH20,AH24)+[4]Summary!AH25</f>
        <v>10.587364003768096</v>
      </c>
      <c r="AI85" s="74">
        <f>SUM(AI8,AI12,AI16,AI20,AI24)+[4]Summary!AI25</f>
        <v>11.308791115108848</v>
      </c>
      <c r="AJ85" s="74"/>
      <c r="AQ85" s="1"/>
      <c r="AR85" s="1"/>
    </row>
    <row r="86" spans="2:44" ht="15">
      <c r="B86" s="393" t="s">
        <v>2060</v>
      </c>
      <c r="C86" s="74">
        <f>SUM(C9,C13,C17,C21,C25)+[4]Summary!C55</f>
        <v>60.738476267787476</v>
      </c>
      <c r="D86" s="74">
        <f>SUM(D9,D13,D17,D21,D25)+[4]Summary!D55</f>
        <v>62.105668195697532</v>
      </c>
      <c r="E86" s="74">
        <f>SUM(E9,E13,E17,E21,E25)+[4]Summary!E55</f>
        <v>64.749077076874414</v>
      </c>
      <c r="F86" s="74">
        <f>SUM(F9,F13,F17,F21,F25)+[4]Summary!F55</f>
        <v>67.273057390003132</v>
      </c>
      <c r="G86" s="74">
        <f>SUM(G9,G13,G17,G21,G25)+[4]Summary!G55</f>
        <v>69.651135696628103</v>
      </c>
      <c r="H86" s="74">
        <f>SUM(H9,H13,H17,H21,H25)+[4]Summary!H55</f>
        <v>71.472197602720385</v>
      </c>
      <c r="I86" s="74">
        <f>SUM(I9,I13,I17,I21,I25)+[4]Summary!I55</f>
        <v>73.400989512671231</v>
      </c>
      <c r="J86" s="74">
        <f>SUM(J9,J13,J17,J21,J25)+[4]Summary!J55</f>
        <v>74.973989330959768</v>
      </c>
      <c r="K86" s="74">
        <f>SUM(K9,K13,K17,K21,K25)+[4]Summary!K55</f>
        <v>76.098671046577905</v>
      </c>
      <c r="L86" s="74">
        <f>SUM(L9,L13,L17,L21,L25)+[4]Summary!L55</f>
        <v>74.182352206697445</v>
      </c>
      <c r="M86" s="74">
        <f>SUM(M9,M13,M17,M21,M25)+[4]Summary!M55</f>
        <v>74.879610694555097</v>
      </c>
      <c r="N86" s="74">
        <f>SUM(N9,N13,N17,N21,N25)+[4]Summary!N55</f>
        <v>72.537932300209903</v>
      </c>
      <c r="O86" s="74">
        <f>SUM(O9,O13,O17,O21,O25)+[4]Summary!O55</f>
        <v>72.035433925942201</v>
      </c>
      <c r="P86" s="74">
        <f>SUM(P9,P13,P17,P21,P25)+[4]Summary!P55</f>
        <v>71.398580939249683</v>
      </c>
      <c r="Q86" s="74">
        <f>SUM(Q9,Q13,Q17,Q21,Q25)+[4]Summary!Q55</f>
        <v>70.563251872935595</v>
      </c>
      <c r="R86" s="74">
        <f>SUM(R9,R13,R17,R21,R25)+[4]Summary!R55</f>
        <v>67.551702775519544</v>
      </c>
      <c r="S86" s="74">
        <f>SUM(S9,S13,S17,S21,S25)+[4]Summary!S55</f>
        <v>67.596602241076425</v>
      </c>
      <c r="T86" s="74">
        <f>SUM(T9,T13,T17,T21,T25)+[4]Summary!T55</f>
        <v>65.084694827877314</v>
      </c>
      <c r="U86" s="74">
        <f>SUM(U9,U13,U17,U21,U25)+[4]Summary!U55</f>
        <v>62.144597264636019</v>
      </c>
      <c r="V86" s="74">
        <f>SUM(V9,V13,V17,V21,V25)+[4]Summary!V55</f>
        <v>58.342102608558882</v>
      </c>
      <c r="W86" s="74">
        <f>SUM(W9,W13,W17,W21,W25)+[4]Summary!W55</f>
        <v>59.657412908111702</v>
      </c>
      <c r="X86" s="74">
        <f>SUM(X9,X13,X17,X21,X25)+[4]Summary!X55</f>
        <v>57.452055661446408</v>
      </c>
      <c r="Y86" s="74">
        <f>SUM(Y9,Y13,Y17,Y21,Y25)+[4]Summary!Y55</f>
        <v>53.133565270294845</v>
      </c>
      <c r="Z86" s="74">
        <f>SUM(Z9,Z13,Z17,Z21,Z25)+[4]Summary!Z55</f>
        <v>53.535426798325325</v>
      </c>
      <c r="AA86" s="74">
        <f>SUM(AA9,AA13,AA17,AA21,AA25)+[4]Summary!AA55</f>
        <v>51.864091910107767</v>
      </c>
      <c r="AB86" s="74">
        <f>SUM(AB9,AB13,AB17,AB21,AB25)+[4]Summary!AB55</f>
        <v>47.905443168100128</v>
      </c>
      <c r="AC86" s="74">
        <f>SUM(AC9,AC13,AC17,AC21,AC25)+[4]Summary!AC55</f>
        <v>46.461473833568412</v>
      </c>
      <c r="AD86" s="74">
        <f>SUM(AD9,AD13,AD17,AD21,AD25)+[4]Summary!AD55</f>
        <v>44.016038982784814</v>
      </c>
      <c r="AE86" s="74">
        <f>SUM(AE9,AE13,AE17,AE21,AE25)+[4]Summary!AE55</f>
        <v>42.749672215910948</v>
      </c>
      <c r="AF86" s="74">
        <f>SUM(AF9,AF13,AF17,AF21,AF25)+[4]Summary!AF55</f>
        <v>41.198776168425717</v>
      </c>
      <c r="AG86" s="1116">
        <f>SUM(AG9,AG13,AG17,AG21,AG25)+[4]Summary!AG55</f>
        <v>36.650245797365862</v>
      </c>
      <c r="AH86" s="74">
        <f>SUM(AH9,AH13,AH17,AH21,AH25)+[4]Summary!AH55</f>
        <v>38.8248042015396</v>
      </c>
      <c r="AI86" s="74">
        <f>SUM(AI9,AI13,AI17,AI21,AI25)+[4]Summary!AI55</f>
        <v>38.214652181300124</v>
      </c>
      <c r="AJ86" s="74"/>
      <c r="AQ86" s="1"/>
      <c r="AR86" s="1"/>
    </row>
    <row r="87" spans="2:44">
      <c r="B87" s="404" t="s">
        <v>1480</v>
      </c>
      <c r="C87" s="81">
        <f>SUM(C84:C86)</f>
        <v>4824.5100532585047</v>
      </c>
      <c r="D87" s="81">
        <f t="shared" ref="D87:U87" si="107">SUM(D84:D86)</f>
        <v>4779.2376635404617</v>
      </c>
      <c r="E87" s="81">
        <f t="shared" si="107"/>
        <v>4874.878737187245</v>
      </c>
      <c r="F87" s="81">
        <f t="shared" si="107"/>
        <v>4992.8862722029053</v>
      </c>
      <c r="G87" s="81">
        <f t="shared" si="107"/>
        <v>5057.3952983876015</v>
      </c>
      <c r="H87" s="81">
        <f t="shared" si="107"/>
        <v>5118.6891335951896</v>
      </c>
      <c r="I87" s="81">
        <f t="shared" si="107"/>
        <v>5295.7217546894199</v>
      </c>
      <c r="J87" s="81">
        <f t="shared" si="107"/>
        <v>5356.5742287220228</v>
      </c>
      <c r="K87" s="81">
        <f t="shared" si="107"/>
        <v>5419.7726511921683</v>
      </c>
      <c r="L87" s="81">
        <f t="shared" si="107"/>
        <v>5462.2375163888792</v>
      </c>
      <c r="M87" s="81">
        <f t="shared" si="107"/>
        <v>5709.5978012635551</v>
      </c>
      <c r="N87" s="81">
        <f t="shared" si="107"/>
        <v>5609.8904502904907</v>
      </c>
      <c r="O87" s="81">
        <f t="shared" si="107"/>
        <v>5650.3392347270819</v>
      </c>
      <c r="P87" s="81">
        <f t="shared" si="107"/>
        <v>5719.0025091963116</v>
      </c>
      <c r="Q87" s="81">
        <f t="shared" si="107"/>
        <v>5797.2729480023045</v>
      </c>
      <c r="R87" s="81">
        <f t="shared" si="107"/>
        <v>5820.1699589215623</v>
      </c>
      <c r="S87" s="81">
        <f t="shared" si="107"/>
        <v>5730.9681261651876</v>
      </c>
      <c r="T87" s="81">
        <f t="shared" si="107"/>
        <v>5812.6504095695554</v>
      </c>
      <c r="U87" s="81">
        <f t="shared" si="107"/>
        <v>5622.697583823332</v>
      </c>
      <c r="V87" s="81">
        <f t="shared" ref="V87:AA87" si="108">SUM(V84:V86)</f>
        <v>5250.3947858085603</v>
      </c>
      <c r="W87" s="81">
        <f t="shared" si="108"/>
        <v>5409.278215061634</v>
      </c>
      <c r="X87" s="81">
        <f t="shared" si="108"/>
        <v>5274.8490714290438</v>
      </c>
      <c r="Y87" s="81">
        <f t="shared" si="108"/>
        <v>5062.8136680850057</v>
      </c>
      <c r="Z87" s="81">
        <f t="shared" si="108"/>
        <v>5185.7573222639439</v>
      </c>
      <c r="AA87" s="81">
        <f t="shared" si="108"/>
        <v>5234.0344090699482</v>
      </c>
      <c r="AB87" s="81">
        <f>SUM(AB84:AB86)</f>
        <v>5064.7776477675188</v>
      </c>
      <c r="AC87" s="81">
        <f>SUM(AC84:AC86)</f>
        <v>4965.6139400915545</v>
      </c>
      <c r="AD87" s="81">
        <f>SUM(AD84:AD86)</f>
        <v>4899.0006879713765</v>
      </c>
      <c r="AE87" s="81">
        <f t="shared" ref="AE87:AF87" si="109">SUM(AE84:AE86)</f>
        <v>5038.1378976590759</v>
      </c>
      <c r="AF87" s="81">
        <f t="shared" si="109"/>
        <v>4894.8252556477855</v>
      </c>
      <c r="AG87" s="1117">
        <f t="shared" ref="AG87:AH87" si="110">SUM(AG84:AG86)</f>
        <v>4376.4074125862662</v>
      </c>
      <c r="AH87" s="81">
        <f t="shared" si="110"/>
        <v>4692.0571073544206</v>
      </c>
      <c r="AI87" s="81">
        <f t="shared" ref="AI87" si="111">SUM(AI84:AI86)</f>
        <v>4739.4062481558003</v>
      </c>
      <c r="AJ87" s="73"/>
      <c r="AQ87" s="1"/>
      <c r="AR87" s="1"/>
    </row>
    <row r="88" spans="2:44" s="389" customFormat="1" hidden="1">
      <c r="B88" s="406" t="s">
        <v>1919</v>
      </c>
      <c r="C88" s="396">
        <f t="shared" ref="C88:AD88" si="112">C87-C52</f>
        <v>0</v>
      </c>
      <c r="D88" s="396">
        <f t="shared" si="112"/>
        <v>0</v>
      </c>
      <c r="E88" s="396">
        <f t="shared" si="112"/>
        <v>0</v>
      </c>
      <c r="F88" s="396">
        <f t="shared" si="112"/>
        <v>0</v>
      </c>
      <c r="G88" s="396">
        <f t="shared" si="112"/>
        <v>0</v>
      </c>
      <c r="H88" s="396">
        <f t="shared" si="112"/>
        <v>0</v>
      </c>
      <c r="I88" s="396">
        <f t="shared" si="112"/>
        <v>0</v>
      </c>
      <c r="J88" s="396">
        <f t="shared" si="112"/>
        <v>0</v>
      </c>
      <c r="K88" s="396">
        <f t="shared" si="112"/>
        <v>0</v>
      </c>
      <c r="L88" s="396">
        <f t="shared" si="112"/>
        <v>0</v>
      </c>
      <c r="M88" s="396">
        <f t="shared" si="112"/>
        <v>0</v>
      </c>
      <c r="N88" s="396">
        <f t="shared" si="112"/>
        <v>0</v>
      </c>
      <c r="O88" s="396">
        <f t="shared" si="112"/>
        <v>0</v>
      </c>
      <c r="P88" s="396">
        <f t="shared" si="112"/>
        <v>0</v>
      </c>
      <c r="Q88" s="396">
        <f t="shared" si="112"/>
        <v>0</v>
      </c>
      <c r="R88" s="396">
        <f t="shared" si="112"/>
        <v>0</v>
      </c>
      <c r="S88" s="396">
        <f t="shared" si="112"/>
        <v>0</v>
      </c>
      <c r="T88" s="396">
        <f t="shared" si="112"/>
        <v>0</v>
      </c>
      <c r="U88" s="396">
        <f t="shared" si="112"/>
        <v>0</v>
      </c>
      <c r="V88" s="396">
        <f t="shared" si="112"/>
        <v>0</v>
      </c>
      <c r="W88" s="396">
        <f t="shared" si="112"/>
        <v>0</v>
      </c>
      <c r="X88" s="396">
        <f t="shared" si="112"/>
        <v>0</v>
      </c>
      <c r="Y88" s="396">
        <f t="shared" si="112"/>
        <v>0</v>
      </c>
      <c r="Z88" s="396">
        <f t="shared" si="112"/>
        <v>0</v>
      </c>
      <c r="AA88" s="396">
        <f t="shared" si="112"/>
        <v>0</v>
      </c>
      <c r="AB88" s="396">
        <f t="shared" si="112"/>
        <v>0</v>
      </c>
      <c r="AC88" s="396">
        <f t="shared" si="112"/>
        <v>0</v>
      </c>
      <c r="AD88" s="396">
        <f t="shared" si="112"/>
        <v>0</v>
      </c>
      <c r="AE88" s="396">
        <f t="shared" ref="AE88:AF88" si="113">AE87-AE52</f>
        <v>0</v>
      </c>
      <c r="AF88" s="396">
        <f t="shared" si="113"/>
        <v>0</v>
      </c>
      <c r="AG88" s="396">
        <f t="shared" ref="AG88:AH88" si="114">AG87-AG52</f>
        <v>0</v>
      </c>
      <c r="AH88" s="396">
        <f t="shared" si="114"/>
        <v>0</v>
      </c>
      <c r="AI88" s="396">
        <f t="shared" ref="AI88" si="115">AI87-AI52</f>
        <v>0</v>
      </c>
      <c r="AJ88" s="396"/>
      <c r="AQ88" s="1"/>
      <c r="AR88" s="1"/>
    </row>
    <row r="89" spans="2:44">
      <c r="AQ89" s="1"/>
      <c r="AR89" s="1"/>
    </row>
    <row r="90" spans="2:44">
      <c r="B90" s="395" t="s">
        <v>2071</v>
      </c>
      <c r="AQ90" s="1"/>
      <c r="AR90" s="1"/>
    </row>
    <row r="91" spans="2:44">
      <c r="B91" s="404" t="s">
        <v>2070</v>
      </c>
      <c r="C91" s="390">
        <v>1990</v>
      </c>
      <c r="D91" s="391">
        <v>1991</v>
      </c>
      <c r="E91" s="390">
        <v>1992</v>
      </c>
      <c r="F91" s="391">
        <v>1993</v>
      </c>
      <c r="G91" s="390">
        <v>1994</v>
      </c>
      <c r="H91" s="391">
        <v>1995</v>
      </c>
      <c r="I91" s="390">
        <v>1996</v>
      </c>
      <c r="J91" s="391">
        <v>1997</v>
      </c>
      <c r="K91" s="390">
        <v>1998</v>
      </c>
      <c r="L91" s="391">
        <v>1999</v>
      </c>
      <c r="M91" s="390">
        <v>2000</v>
      </c>
      <c r="N91" s="391">
        <v>2001</v>
      </c>
      <c r="O91" s="390">
        <v>2002</v>
      </c>
      <c r="P91" s="391">
        <v>2003</v>
      </c>
      <c r="Q91" s="391">
        <v>2004</v>
      </c>
      <c r="R91" s="391">
        <v>2005</v>
      </c>
      <c r="S91" s="391">
        <v>2006</v>
      </c>
      <c r="T91" s="391">
        <v>2007</v>
      </c>
      <c r="U91" s="391">
        <v>2008</v>
      </c>
      <c r="V91" s="391">
        <v>2009</v>
      </c>
      <c r="W91" s="391">
        <v>2010</v>
      </c>
      <c r="X91" s="391">
        <v>2011</v>
      </c>
      <c r="Y91" s="391">
        <v>2012</v>
      </c>
      <c r="Z91" s="391">
        <v>2013</v>
      </c>
      <c r="AA91" s="391">
        <v>2014</v>
      </c>
      <c r="AB91" s="391">
        <v>2015</v>
      </c>
      <c r="AC91" s="391">
        <v>2016</v>
      </c>
      <c r="AD91" s="391">
        <v>2017</v>
      </c>
      <c r="AE91" s="391">
        <v>2018</v>
      </c>
      <c r="AF91" s="391">
        <v>2019</v>
      </c>
      <c r="AG91" s="391">
        <v>2020</v>
      </c>
      <c r="AH91" s="391">
        <v>2021</v>
      </c>
      <c r="AI91" s="391">
        <v>2022</v>
      </c>
      <c r="AJ91" s="564"/>
      <c r="AQ91" s="1"/>
      <c r="AR91" s="1"/>
    </row>
    <row r="92" spans="2:44" ht="15">
      <c r="B92" s="393" t="s">
        <v>1798</v>
      </c>
      <c r="C92" s="401">
        <f t="shared" ref="C92:AD92" si="116">C84*1000</f>
        <v>4746910.7611763906</v>
      </c>
      <c r="D92" s="401">
        <f t="shared" si="116"/>
        <v>4700256.8670290252</v>
      </c>
      <c r="E92" s="401">
        <f t="shared" si="116"/>
        <v>4792896.1914450023</v>
      </c>
      <c r="F92" s="401">
        <f t="shared" si="116"/>
        <v>4909109.9279193981</v>
      </c>
      <c r="G92" s="401">
        <f t="shared" si="116"/>
        <v>4971492.1183987372</v>
      </c>
      <c r="H92" s="401">
        <f t="shared" si="116"/>
        <v>5030990.2119425945</v>
      </c>
      <c r="I92" s="401">
        <f t="shared" si="116"/>
        <v>5205872.1982212039</v>
      </c>
      <c r="J92" s="401">
        <f t="shared" si="116"/>
        <v>5266252.0827818243</v>
      </c>
      <c r="K92" s="401">
        <f t="shared" si="116"/>
        <v>5329302.3926754734</v>
      </c>
      <c r="L92" s="401">
        <f t="shared" si="116"/>
        <v>5374164.6861342406</v>
      </c>
      <c r="M92" s="401">
        <f t="shared" si="116"/>
        <v>5620571.0399981309</v>
      </c>
      <c r="N92" s="401">
        <f t="shared" si="116"/>
        <v>5524065.3658701163</v>
      </c>
      <c r="O92" s="401">
        <f t="shared" si="116"/>
        <v>5565184.5602944493</v>
      </c>
      <c r="P92" s="401">
        <f t="shared" si="116"/>
        <v>5634413.6153853852</v>
      </c>
      <c r="Q92" s="401">
        <f t="shared" si="116"/>
        <v>5713498.2557715187</v>
      </c>
      <c r="R92" s="401">
        <f t="shared" si="116"/>
        <v>5739556.5585087501</v>
      </c>
      <c r="S92" s="401">
        <f t="shared" si="116"/>
        <v>5650940.0650318265</v>
      </c>
      <c r="T92" s="401">
        <f t="shared" si="116"/>
        <v>5734864.1814831989</v>
      </c>
      <c r="U92" s="401">
        <f t="shared" si="116"/>
        <v>5547859.134286725</v>
      </c>
      <c r="V92" s="401">
        <f t="shared" si="116"/>
        <v>5179511.8746219408</v>
      </c>
      <c r="W92" s="401">
        <f t="shared" si="116"/>
        <v>5336571.5852980055</v>
      </c>
      <c r="X92" s="401">
        <f t="shared" si="116"/>
        <v>5204544.5538446745</v>
      </c>
      <c r="Y92" s="401">
        <f t="shared" si="116"/>
        <v>4997846.0700475676</v>
      </c>
      <c r="Z92" s="401">
        <f t="shared" si="116"/>
        <v>5119169.7937386967</v>
      </c>
      <c r="AA92" s="401">
        <f t="shared" si="116"/>
        <v>5169126.0393761704</v>
      </c>
      <c r="AB92" s="401">
        <f t="shared" si="116"/>
        <v>5004333.0938460929</v>
      </c>
      <c r="AC92" s="401">
        <f t="shared" si="116"/>
        <v>4907329.7734535839</v>
      </c>
      <c r="AD92" s="401">
        <f t="shared" si="116"/>
        <v>4843490.0631032614</v>
      </c>
      <c r="AE92" s="401">
        <f t="shared" ref="AE92:AF92" si="117">AE84*1000</f>
        <v>4982940.1553416559</v>
      </c>
      <c r="AF92" s="401">
        <f t="shared" si="117"/>
        <v>4840948.7120861318</v>
      </c>
      <c r="AG92" s="401">
        <f t="shared" ref="AG92:AH92" si="118">AG84*1000</f>
        <v>4329241.200528536</v>
      </c>
      <c r="AH92" s="401">
        <f t="shared" si="118"/>
        <v>4642644.9391491134</v>
      </c>
      <c r="AI92" s="401">
        <f t="shared" ref="AI92" si="119">AI84*1000</f>
        <v>4689882.8048593914</v>
      </c>
      <c r="AJ92" s="401"/>
      <c r="AQ92" s="1"/>
      <c r="AR92" s="1"/>
    </row>
    <row r="93" spans="2:44" ht="15">
      <c r="B93" s="393" t="s">
        <v>2059</v>
      </c>
      <c r="C93" s="401">
        <f t="shared" ref="C93:AD93" si="120">C85/GWPCH4*1000</f>
        <v>602.17199336883755</v>
      </c>
      <c r="D93" s="401">
        <f t="shared" si="120"/>
        <v>602.68315413348694</v>
      </c>
      <c r="E93" s="401">
        <f t="shared" si="120"/>
        <v>615.48102376315239</v>
      </c>
      <c r="F93" s="401">
        <f t="shared" si="120"/>
        <v>589.40310333942261</v>
      </c>
      <c r="G93" s="401">
        <f t="shared" si="120"/>
        <v>580.43015329415528</v>
      </c>
      <c r="H93" s="401">
        <f t="shared" si="120"/>
        <v>579.52585892410639</v>
      </c>
      <c r="I93" s="401">
        <f t="shared" si="120"/>
        <v>587.44881984089795</v>
      </c>
      <c r="J93" s="401">
        <f t="shared" si="120"/>
        <v>548.14845032993981</v>
      </c>
      <c r="K93" s="401">
        <f t="shared" si="120"/>
        <v>513.27098107561415</v>
      </c>
      <c r="L93" s="401">
        <f t="shared" si="120"/>
        <v>496.0885017122032</v>
      </c>
      <c r="M93" s="401">
        <f t="shared" si="120"/>
        <v>505.25537753106096</v>
      </c>
      <c r="N93" s="401">
        <f t="shared" si="120"/>
        <v>474.54114714872225</v>
      </c>
      <c r="O93" s="401">
        <f t="shared" si="120"/>
        <v>468.54430381035951</v>
      </c>
      <c r="P93" s="401">
        <f t="shared" si="120"/>
        <v>471.08260255988819</v>
      </c>
      <c r="Q93" s="401">
        <f t="shared" si="120"/>
        <v>471.83715563754117</v>
      </c>
      <c r="R93" s="401">
        <f t="shared" si="120"/>
        <v>466.48920133189097</v>
      </c>
      <c r="S93" s="401">
        <f t="shared" si="120"/>
        <v>443.98067472445177</v>
      </c>
      <c r="T93" s="401">
        <f t="shared" si="120"/>
        <v>453.62618780282151</v>
      </c>
      <c r="U93" s="401">
        <f t="shared" si="120"/>
        <v>453.35186685611802</v>
      </c>
      <c r="V93" s="401">
        <f t="shared" si="120"/>
        <v>447.88602064501777</v>
      </c>
      <c r="W93" s="401">
        <f t="shared" si="120"/>
        <v>466.04345912559347</v>
      </c>
      <c r="X93" s="401">
        <f t="shared" si="120"/>
        <v>459.01649724723677</v>
      </c>
      <c r="Y93" s="401">
        <f t="shared" si="120"/>
        <v>422.64402739795952</v>
      </c>
      <c r="Z93" s="401">
        <f t="shared" si="120"/>
        <v>466.14649024719637</v>
      </c>
      <c r="AA93" s="401">
        <f t="shared" si="120"/>
        <v>465.86706370247879</v>
      </c>
      <c r="AB93" s="401">
        <f t="shared" si="120"/>
        <v>447.82538404736505</v>
      </c>
      <c r="AC93" s="401">
        <f t="shared" si="120"/>
        <v>422.23902872867046</v>
      </c>
      <c r="AD93" s="401">
        <f t="shared" si="120"/>
        <v>410.52092447607407</v>
      </c>
      <c r="AE93" s="401">
        <f t="shared" ref="AE93:AF93" si="121">AE85/GWPCH4*1000</f>
        <v>444.57393219674304</v>
      </c>
      <c r="AF93" s="401">
        <f t="shared" si="121"/>
        <v>452.77740690097028</v>
      </c>
      <c r="AG93" s="401">
        <f>AG85/GWPCH4*1000</f>
        <v>375.57022358446579</v>
      </c>
      <c r="AH93" s="401">
        <f>AH85/GWPCH4*1000</f>
        <v>378.12014299171773</v>
      </c>
      <c r="AI93" s="401">
        <f>AI85/GWPCH4*1000</f>
        <v>403.88539696817315</v>
      </c>
      <c r="AJ93" s="401"/>
      <c r="AQ93" s="1"/>
      <c r="AR93" s="1"/>
    </row>
    <row r="94" spans="2:44" ht="15">
      <c r="B94" s="393" t="s">
        <v>2060</v>
      </c>
      <c r="C94" s="401">
        <f t="shared" ref="C94:AD94" si="122">C86/GWPN2O*1000</f>
        <v>229.20179723693388</v>
      </c>
      <c r="D94" s="401">
        <f t="shared" si="122"/>
        <v>234.36101205923597</v>
      </c>
      <c r="E94" s="401">
        <f t="shared" si="122"/>
        <v>244.33613991273364</v>
      </c>
      <c r="F94" s="401">
        <f t="shared" si="122"/>
        <v>253.86059392454013</v>
      </c>
      <c r="G94" s="401">
        <f t="shared" si="122"/>
        <v>262.83447432689849</v>
      </c>
      <c r="H94" s="401">
        <f t="shared" si="122"/>
        <v>269.70640604800144</v>
      </c>
      <c r="I94" s="401">
        <f t="shared" si="122"/>
        <v>276.98486608555186</v>
      </c>
      <c r="J94" s="401">
        <f t="shared" si="122"/>
        <v>282.92071445645195</v>
      </c>
      <c r="K94" s="401">
        <f t="shared" si="122"/>
        <v>287.1647964021808</v>
      </c>
      <c r="L94" s="401">
        <f t="shared" si="122"/>
        <v>279.93340455357526</v>
      </c>
      <c r="M94" s="401">
        <f t="shared" si="122"/>
        <v>282.56456865869848</v>
      </c>
      <c r="N94" s="401">
        <f t="shared" si="122"/>
        <v>273.72804641588641</v>
      </c>
      <c r="O94" s="401">
        <f t="shared" si="122"/>
        <v>271.83182613563093</v>
      </c>
      <c r="P94" s="401">
        <f t="shared" si="122"/>
        <v>269.42860731792337</v>
      </c>
      <c r="Q94" s="401">
        <f t="shared" si="122"/>
        <v>266.27642216202111</v>
      </c>
      <c r="R94" s="401">
        <f t="shared" si="122"/>
        <v>254.91208594535675</v>
      </c>
      <c r="S94" s="401">
        <f t="shared" si="122"/>
        <v>255.08151789085443</v>
      </c>
      <c r="T94" s="401">
        <f t="shared" si="122"/>
        <v>245.60262199198988</v>
      </c>
      <c r="U94" s="401">
        <f t="shared" si="122"/>
        <v>234.50791420617364</v>
      </c>
      <c r="V94" s="401">
        <f t="shared" si="122"/>
        <v>220.15887776814671</v>
      </c>
      <c r="W94" s="401">
        <f t="shared" si="122"/>
        <v>225.12231286079887</v>
      </c>
      <c r="X94" s="401">
        <f t="shared" si="122"/>
        <v>216.800210043194</v>
      </c>
      <c r="Y94" s="401">
        <f t="shared" si="122"/>
        <v>200.50401988790509</v>
      </c>
      <c r="Z94" s="401">
        <f t="shared" si="122"/>
        <v>202.0204784842465</v>
      </c>
      <c r="AA94" s="401">
        <f t="shared" si="122"/>
        <v>195.71355437776518</v>
      </c>
      <c r="AB94" s="401">
        <f t="shared" si="122"/>
        <v>180.77525723811368</v>
      </c>
      <c r="AC94" s="401">
        <f t="shared" si="122"/>
        <v>175.32631635308834</v>
      </c>
      <c r="AD94" s="401">
        <f t="shared" si="122"/>
        <v>166.09826031239552</v>
      </c>
      <c r="AE94" s="401">
        <f t="shared" ref="AE94:AF94" si="123">AE86/GWPN2O*1000</f>
        <v>161.31951779589036</v>
      </c>
      <c r="AF94" s="401">
        <f t="shared" si="123"/>
        <v>155.46707988085177</v>
      </c>
      <c r="AG94" s="401">
        <f t="shared" ref="AG94:AH94" si="124">AG86/GWPN2O*1000</f>
        <v>138.30281432968249</v>
      </c>
      <c r="AH94" s="401">
        <f t="shared" si="124"/>
        <v>146.50869510014945</v>
      </c>
      <c r="AI94" s="401">
        <f t="shared" ref="AI94" si="125">AI86/GWPN2O*1000</f>
        <v>144.20623464641557</v>
      </c>
      <c r="AJ94" s="401"/>
      <c r="AQ94" s="1"/>
      <c r="AR94" s="1"/>
    </row>
    <row r="95" spans="2:44">
      <c r="B95" s="404" t="s">
        <v>1480</v>
      </c>
      <c r="C95" s="405">
        <f t="shared" ref="C95:U95" si="126">SUM(C92:C94)</f>
        <v>4747742.1349669965</v>
      </c>
      <c r="D95" s="405">
        <f t="shared" si="126"/>
        <v>4701093.9111952176</v>
      </c>
      <c r="E95" s="405">
        <f t="shared" si="126"/>
        <v>4793756.0086086784</v>
      </c>
      <c r="F95" s="405">
        <f t="shared" si="126"/>
        <v>4909953.1916166618</v>
      </c>
      <c r="G95" s="405">
        <f t="shared" si="126"/>
        <v>4972335.3830263587</v>
      </c>
      <c r="H95" s="405">
        <f t="shared" si="126"/>
        <v>5031839.4442075659</v>
      </c>
      <c r="I95" s="405">
        <f t="shared" si="126"/>
        <v>5206736.6319071306</v>
      </c>
      <c r="J95" s="405">
        <f t="shared" si="126"/>
        <v>5267083.1519466108</v>
      </c>
      <c r="K95" s="405">
        <f t="shared" si="126"/>
        <v>5330102.8284529503</v>
      </c>
      <c r="L95" s="405">
        <f t="shared" si="126"/>
        <v>5374940.7080405066</v>
      </c>
      <c r="M95" s="405">
        <f t="shared" si="126"/>
        <v>5621358.8599443203</v>
      </c>
      <c r="N95" s="405">
        <f t="shared" si="126"/>
        <v>5524813.6350636818</v>
      </c>
      <c r="O95" s="405">
        <f t="shared" si="126"/>
        <v>5565924.9364243951</v>
      </c>
      <c r="P95" s="405">
        <f t="shared" si="126"/>
        <v>5635154.1265952624</v>
      </c>
      <c r="Q95" s="405">
        <f t="shared" si="126"/>
        <v>5714236.3693493176</v>
      </c>
      <c r="R95" s="405">
        <f t="shared" si="126"/>
        <v>5740277.9597960273</v>
      </c>
      <c r="S95" s="405">
        <f t="shared" si="126"/>
        <v>5651639.1272244416</v>
      </c>
      <c r="T95" s="405">
        <f t="shared" si="126"/>
        <v>5735563.4102929942</v>
      </c>
      <c r="U95" s="405">
        <f t="shared" si="126"/>
        <v>5548546.9940677872</v>
      </c>
      <c r="V95" s="405">
        <f t="shared" ref="V95:AA95" si="127">SUM(V92:V94)</f>
        <v>5180179.9195203539</v>
      </c>
      <c r="W95" s="405">
        <f t="shared" si="127"/>
        <v>5337262.7510699918</v>
      </c>
      <c r="X95" s="405">
        <f t="shared" si="127"/>
        <v>5205220.3705519643</v>
      </c>
      <c r="Y95" s="405">
        <f t="shared" si="127"/>
        <v>4998469.2180948537</v>
      </c>
      <c r="Z95" s="405">
        <f t="shared" si="127"/>
        <v>5119837.9607074279</v>
      </c>
      <c r="AA95" s="405">
        <f t="shared" si="127"/>
        <v>5169787.6199942501</v>
      </c>
      <c r="AB95" s="405">
        <f>SUM(AB92:AB94)</f>
        <v>5004961.6944873789</v>
      </c>
      <c r="AC95" s="405">
        <f>SUM(AC92:AC94)</f>
        <v>4907927.3387986654</v>
      </c>
      <c r="AD95" s="405">
        <f>SUM(AD92:AD94)</f>
        <v>4844066.6822880497</v>
      </c>
      <c r="AE95" s="405">
        <f t="shared" ref="AE95:AF95" si="128">SUM(AE92:AE94)</f>
        <v>4983546.0487916488</v>
      </c>
      <c r="AF95" s="405">
        <f t="shared" si="128"/>
        <v>4841556.9565729136</v>
      </c>
      <c r="AG95" s="405">
        <f t="shared" ref="AG95:AH95" si="129">SUM(AG92:AG94)</f>
        <v>4329755.0735664507</v>
      </c>
      <c r="AH95" s="405">
        <f t="shared" si="129"/>
        <v>4643169.5679872055</v>
      </c>
      <c r="AI95" s="405">
        <f t="shared" ref="AI95" si="130">SUM(AI92:AI94)</f>
        <v>4690430.896491006</v>
      </c>
      <c r="AJ95" s="400"/>
      <c r="AK95" s="10"/>
      <c r="AL95" s="779"/>
      <c r="AQ95" s="1"/>
      <c r="AR95" s="1"/>
    </row>
    <row r="96" spans="2:44" hidden="1">
      <c r="B96" s="406" t="s">
        <v>1919</v>
      </c>
      <c r="C96" s="396">
        <f t="shared" ref="C96:AD96" si="131">C95-C80</f>
        <v>0</v>
      </c>
      <c r="D96" s="396">
        <f t="shared" si="131"/>
        <v>0</v>
      </c>
      <c r="E96" s="396">
        <f t="shared" si="131"/>
        <v>0</v>
      </c>
      <c r="F96" s="396">
        <f t="shared" si="131"/>
        <v>0</v>
      </c>
      <c r="G96" s="396">
        <f t="shared" si="131"/>
        <v>0</v>
      </c>
      <c r="H96" s="396">
        <f t="shared" si="131"/>
        <v>0</v>
      </c>
      <c r="I96" s="396">
        <f t="shared" si="131"/>
        <v>0</v>
      </c>
      <c r="J96" s="396">
        <f t="shared" si="131"/>
        <v>0</v>
      </c>
      <c r="K96" s="396">
        <f t="shared" si="131"/>
        <v>0</v>
      </c>
      <c r="L96" s="396">
        <f t="shared" si="131"/>
        <v>0</v>
      </c>
      <c r="M96" s="396">
        <f t="shared" si="131"/>
        <v>0</v>
      </c>
      <c r="N96" s="396">
        <f t="shared" si="131"/>
        <v>0</v>
      </c>
      <c r="O96" s="396">
        <f t="shared" si="131"/>
        <v>0</v>
      </c>
      <c r="P96" s="396">
        <f t="shared" si="131"/>
        <v>0</v>
      </c>
      <c r="Q96" s="396">
        <f t="shared" si="131"/>
        <v>0</v>
      </c>
      <c r="R96" s="396">
        <f t="shared" si="131"/>
        <v>0</v>
      </c>
      <c r="S96" s="396">
        <f t="shared" si="131"/>
        <v>0</v>
      </c>
      <c r="T96" s="396">
        <f t="shared" si="131"/>
        <v>0</v>
      </c>
      <c r="U96" s="396">
        <f t="shared" si="131"/>
        <v>0</v>
      </c>
      <c r="V96" s="396">
        <f t="shared" si="131"/>
        <v>0</v>
      </c>
      <c r="W96" s="396">
        <f t="shared" si="131"/>
        <v>0</v>
      </c>
      <c r="X96" s="396">
        <f t="shared" si="131"/>
        <v>0</v>
      </c>
      <c r="Y96" s="396">
        <f t="shared" si="131"/>
        <v>0</v>
      </c>
      <c r="Z96" s="396">
        <f t="shared" si="131"/>
        <v>0</v>
      </c>
      <c r="AA96" s="396">
        <f t="shared" si="131"/>
        <v>0</v>
      </c>
      <c r="AB96" s="396">
        <f t="shared" si="131"/>
        <v>0</v>
      </c>
      <c r="AC96" s="396">
        <f t="shared" si="131"/>
        <v>0</v>
      </c>
      <c r="AD96" s="396">
        <f t="shared" si="131"/>
        <v>0</v>
      </c>
      <c r="AE96" s="396"/>
      <c r="AF96" s="396"/>
      <c r="AG96" s="396"/>
      <c r="AH96" s="396"/>
      <c r="AI96" s="396"/>
      <c r="AJ96" s="396"/>
      <c r="AQ96" s="1"/>
      <c r="AR96" s="1"/>
    </row>
    <row r="97" spans="2:44">
      <c r="AQ97" s="1"/>
      <c r="AR97" s="1"/>
    </row>
    <row r="98" spans="2:44">
      <c r="AQ98" s="1"/>
      <c r="AR98" s="1"/>
    </row>
    <row r="99" spans="2:44">
      <c r="B99" s="406" t="s">
        <v>2072</v>
      </c>
      <c r="AQ99" s="1"/>
      <c r="AR99" s="1"/>
    </row>
    <row r="100" spans="2:44">
      <c r="B100" s="406" t="s">
        <v>2062</v>
      </c>
      <c r="AQ100" s="1"/>
      <c r="AR100" s="1"/>
    </row>
    <row r="101" spans="2:44">
      <c r="B101" s="1113" t="s">
        <v>2073</v>
      </c>
      <c r="C101" s="1114">
        <f>SUM([4]Summary!C10,[4]Summary!C15,[4]Summary!C20)</f>
        <v>9.1350607433326374</v>
      </c>
      <c r="D101" s="1114">
        <f>SUM([4]Summary!D10,[4]Summary!D15,[4]Summary!D20)</f>
        <v>9.3348463161587159</v>
      </c>
      <c r="E101" s="1114">
        <f>SUM([4]Summary!E10,[4]Summary!E15,[4]Summary!E20)</f>
        <v>9.6388339719857878</v>
      </c>
      <c r="F101" s="1114">
        <f>SUM([4]Summary!F10,[4]Summary!F15,[4]Summary!F20)</f>
        <v>8.9772091150367448</v>
      </c>
      <c r="G101" s="1114">
        <f>SUM([4]Summary!G10,[4]Summary!G15,[4]Summary!G20)</f>
        <v>8.7174710349177289</v>
      </c>
      <c r="H101" s="1114">
        <f>SUM([4]Summary!H10,[4]Summary!H15,[4]Summary!H20)</f>
        <v>8.737015334350513</v>
      </c>
      <c r="I101" s="1114">
        <f>SUM([4]Summary!I10,[4]Summary!I15,[4]Summary!I20)</f>
        <v>9.0552896626267376</v>
      </c>
      <c r="J101" s="1114">
        <f>SUM([4]Summary!J10,[4]Summary!J15,[4]Summary!J20)</f>
        <v>8.1287748593558327</v>
      </c>
      <c r="K101" s="1114">
        <f>SUM([4]Summary!K10,[4]Summary!K15,[4]Summary!K20)</f>
        <v>7.3690929916191656</v>
      </c>
      <c r="L101" s="1114">
        <f>SUM([4]Summary!L10,[4]Summary!L15,[4]Summary!L20)</f>
        <v>7.5025409312012536</v>
      </c>
      <c r="M101" s="1114">
        <f>SUM([4]Summary!M10,[4]Summary!M15,[4]Summary!M20)</f>
        <v>7.910083147171493</v>
      </c>
      <c r="N101" s="1114">
        <f>SUM([4]Summary!N10,[4]Summary!N15,[4]Summary!N20)</f>
        <v>7.2793442670979136</v>
      </c>
      <c r="O101" s="1114">
        <f>SUM([4]Summary!O10,[4]Summary!O15,[4]Summary!O20)</f>
        <v>7.2812063048254654</v>
      </c>
      <c r="P101" s="1114">
        <f>SUM([4]Summary!P10,[4]Summary!P15,[4]Summary!P20)</f>
        <v>7.5297113635605584</v>
      </c>
      <c r="Q101" s="1114">
        <f>SUM([4]Summary!Q10,[4]Summary!Q15,[4]Summary!Q20)</f>
        <v>7.6670190928157922</v>
      </c>
      <c r="R101" s="1114">
        <f>SUM([4]Summary!R10,[4]Summary!R15,[4]Summary!R20)</f>
        <v>7.6846192585597404</v>
      </c>
      <c r="S101" s="1114">
        <f>SUM([4]Summary!S10,[4]Summary!S15,[4]Summary!S20)</f>
        <v>7.1037940050671162</v>
      </c>
      <c r="T101" s="1114">
        <f>SUM([4]Summary!T10,[4]Summary!T15,[4]Summary!T20)</f>
        <v>7.4853796831180954</v>
      </c>
      <c r="U101" s="1114">
        <f>SUM([4]Summary!U10,[4]Summary!U15,[4]Summary!U20)</f>
        <v>7.7690304454172905</v>
      </c>
      <c r="V101" s="1114">
        <f>SUM([4]Summary!V10,[4]Summary!V15,[4]Summary!V20)</f>
        <v>7.7818206462306359</v>
      </c>
      <c r="W101" s="1114">
        <f>SUM([4]Summary!W10,[4]Summary!W15,[4]Summary!W20)</f>
        <v>8.2748935006166704</v>
      </c>
      <c r="X101" s="1114">
        <f>SUM([4]Summary!X10,[4]Summary!X15,[4]Summary!X20)</f>
        <v>8.1026260668344161</v>
      </c>
      <c r="Y101" s="1114">
        <f>SUM([4]Summary!Y10,[4]Summary!Y15,[4]Summary!Y20)</f>
        <v>7.14702650788018</v>
      </c>
      <c r="Z101" s="1114">
        <f>SUM([4]Summary!Z10,[4]Summary!Z15,[4]Summary!Z20)</f>
        <v>8.5291014851183711</v>
      </c>
      <c r="AA101" s="1114">
        <f>SUM([4]Summary!AA10,[4]Summary!AA15,[4]Summary!AA20)</f>
        <v>8.6879295639192478</v>
      </c>
      <c r="AB101" s="1114">
        <f>SUM([4]Summary!AB10,[4]Summary!AB15,[4]Summary!AB20)</f>
        <v>8.134932058601688</v>
      </c>
      <c r="AC101" s="1114">
        <f>SUM([4]Summary!AC10,[4]Summary!AC15,[4]Summary!AC20)</f>
        <v>7.4854609383721273</v>
      </c>
      <c r="AD101" s="1114">
        <f>SUM([4]Summary!AD10,[4]Summary!AD15,[4]Summary!AD20)</f>
        <v>7.3102052533604818</v>
      </c>
      <c r="AE101" s="1114">
        <f>SUM([4]Summary!AE10,[4]Summary!AE15,[4]Summary!AE20)</f>
        <v>8.225809559300064</v>
      </c>
      <c r="AF101" s="1114">
        <f>SUM([4]Summary!AF10,[4]Summary!AF15,[4]Summary!AF20)</f>
        <v>8.3850138967516283</v>
      </c>
      <c r="AG101" s="1114">
        <f>SUM([4]Summary!AG10,[4]Summary!AG15,[4]Summary!AG20)</f>
        <v>6.5363844566166627</v>
      </c>
      <c r="AH101" s="1114">
        <f>SUM([4]Summary!AH10,[4]Summary!AH15,[4]Summary!AH20)</f>
        <v>6.5776284405900061</v>
      </c>
      <c r="AI101" s="1114">
        <f>SUM([4]Summary!AI10,[4]Summary!AI15,[4]Summary!AI20)</f>
        <v>7.2078067068890519</v>
      </c>
      <c r="AQ101" s="1"/>
      <c r="AR101" s="1"/>
    </row>
    <row r="102" spans="2:44">
      <c r="B102" s="1113" t="s">
        <v>2074</v>
      </c>
      <c r="C102" s="1114">
        <f>'[25]Summary Table'!C23</f>
        <v>7.2161423502559483</v>
      </c>
      <c r="D102" s="1114">
        <f>'[25]Summary Table'!D23</f>
        <v>7.0329835118905315</v>
      </c>
      <c r="E102" s="1114">
        <f>'[25]Summary Table'!E23</f>
        <v>7.0785476449182907</v>
      </c>
      <c r="F102" s="1114">
        <f>'[25]Summary Table'!F23</f>
        <v>6.9885149345492223</v>
      </c>
      <c r="G102" s="1114">
        <f>'[25]Summary Table'!G23</f>
        <v>6.9829619381930623</v>
      </c>
      <c r="H102" s="1114">
        <f>'[25]Summary Table'!H23</f>
        <v>6.9396744723887238</v>
      </c>
      <c r="I102" s="1114">
        <f>'[25]Summary Table'!I23</f>
        <v>6.833271910448266</v>
      </c>
      <c r="J102" s="1114">
        <f>'[25]Summary Table'!J23</f>
        <v>6.6405485034784268</v>
      </c>
      <c r="K102" s="1114">
        <f>'[25]Summary Table'!K23</f>
        <v>6.3767977679488617</v>
      </c>
      <c r="L102" s="1114">
        <f>'[25]Summary Table'!L23</f>
        <v>5.7551126130297607</v>
      </c>
      <c r="M102" s="1114">
        <f>'[25]Summary Table'!M23</f>
        <v>5.5066305710851999</v>
      </c>
      <c r="N102" s="1114">
        <f>'[25]Summary Table'!N23</f>
        <v>5.2101358185811506</v>
      </c>
      <c r="O102" s="1114">
        <f>'[25]Summary Table'!O23</f>
        <v>4.9563309758860861</v>
      </c>
      <c r="P102" s="1114">
        <f>'[25]Summary Table'!P23</f>
        <v>4.7389864952944034</v>
      </c>
      <c r="Q102" s="1114">
        <f>'[25]Summary Table'!Q23</f>
        <v>4.5510030984447551</v>
      </c>
      <c r="R102" s="1114">
        <f>'[25]Summary Table'!R23</f>
        <v>4.3093184564700691</v>
      </c>
      <c r="S102" s="1114">
        <f>'[25]Summary Table'!S23</f>
        <v>4.2368125941999812</v>
      </c>
      <c r="T102" s="1114">
        <f>'[25]Summary Table'!T23</f>
        <v>4.0559867910708247</v>
      </c>
      <c r="U102" s="1114">
        <f>'[25]Summary Table'!U23</f>
        <v>3.8016906727928452</v>
      </c>
      <c r="V102" s="1114">
        <f>'[25]Summary Table'!V23</f>
        <v>3.6408627393582167</v>
      </c>
      <c r="W102" s="1114">
        <f>'[25]Summary Table'!W23</f>
        <v>3.5955702352342698</v>
      </c>
      <c r="X102" s="1114">
        <f>'[25]Summary Table'!X23</f>
        <v>3.5772621862263159</v>
      </c>
      <c r="Y102" s="1114">
        <f>'[25]Summary Table'!Y23</f>
        <v>3.3828252580865601</v>
      </c>
      <c r="Z102" s="1114">
        <f>'[25]Summary Table'!Z23</f>
        <v>3.30359522970583</v>
      </c>
      <c r="AA102" s="1114">
        <f>'[25]Summary Table'!AA23</f>
        <v>3.1227443274255129</v>
      </c>
      <c r="AB102" s="1114">
        <f>'[25]Summary Table'!AB23</f>
        <v>3.060778055075644</v>
      </c>
      <c r="AC102" s="1114">
        <f>'[25]Summary Table'!AC23</f>
        <v>2.9912233333591844</v>
      </c>
      <c r="AD102" s="1114">
        <f>'[25]Summary Table'!AD23</f>
        <v>2.9069741400757421</v>
      </c>
      <c r="AE102" s="1114">
        <f>'[25]Summary Table'!AE23</f>
        <v>2.8200232382715855</v>
      </c>
      <c r="AF102" s="1114">
        <f>'[25]Summary Table'!AF23</f>
        <v>2.8526852267559279</v>
      </c>
      <c r="AG102" s="1114">
        <f>'[25]Summary Table'!AG23</f>
        <v>2.5440904223725576</v>
      </c>
      <c r="AH102" s="1114">
        <f>'[25]Summary Table'!AH23</f>
        <v>2.5830269875678979</v>
      </c>
      <c r="AI102" s="1114">
        <f>'[25]Summary Table'!AI23</f>
        <v>2.598675876038139</v>
      </c>
      <c r="AQ102" s="1"/>
      <c r="AR102" s="1"/>
    </row>
    <row r="103" spans="2:44">
      <c r="B103" s="406" t="s">
        <v>2063</v>
      </c>
      <c r="C103" s="1114"/>
      <c r="D103" s="1114"/>
      <c r="E103" s="1114"/>
      <c r="F103" s="1114"/>
      <c r="G103" s="1114"/>
      <c r="H103" s="1114"/>
      <c r="I103" s="1114"/>
      <c r="J103" s="1114"/>
      <c r="K103" s="1114"/>
      <c r="L103" s="1114"/>
      <c r="M103" s="1114"/>
      <c r="N103" s="1114"/>
      <c r="O103" s="1114"/>
      <c r="P103" s="1114"/>
      <c r="Q103" s="1114"/>
      <c r="R103" s="1114"/>
      <c r="S103" s="1114"/>
      <c r="T103" s="1114"/>
      <c r="U103" s="1114"/>
      <c r="V103" s="1114"/>
      <c r="W103" s="1114"/>
      <c r="X103" s="1114"/>
      <c r="Y103" s="1114"/>
      <c r="Z103" s="1114"/>
      <c r="AA103" s="1114"/>
      <c r="AB103" s="1114"/>
      <c r="AC103" s="1114"/>
      <c r="AD103" s="1114"/>
      <c r="AE103" s="1114"/>
      <c r="AF103" s="1114"/>
      <c r="AG103" s="1114"/>
      <c r="AH103" s="1114"/>
      <c r="AI103" s="1114"/>
    </row>
    <row r="104" spans="2:44">
      <c r="B104" s="1113" t="s">
        <v>2073</v>
      </c>
      <c r="C104" s="1114">
        <f>SUM([4]Summary!C40,[4]Summary!C45,[4]Summary!C50)</f>
        <v>4.0367848204301646</v>
      </c>
      <c r="D104" s="1114">
        <f>SUM([4]Summary!D40,[4]Summary!D45,[4]Summary!D50)</f>
        <v>3.9976148715876114</v>
      </c>
      <c r="E104" s="1114">
        <f>SUM([4]Summary!E40,[4]Summary!E45,[4]Summary!E50)</f>
        <v>4.0712361455991006</v>
      </c>
      <c r="F104" s="1114">
        <f>SUM([4]Summary!F40,[4]Summary!F45,[4]Summary!F50)</f>
        <v>3.992333846674132</v>
      </c>
      <c r="G104" s="1114">
        <f>SUM([4]Summary!G40,[4]Summary!G45,[4]Summary!G50)</f>
        <v>4.0367025666873939</v>
      </c>
      <c r="H104" s="1114">
        <f>SUM([4]Summary!H40,[4]Summary!H45,[4]Summary!H50)</f>
        <v>4.0860700124917422</v>
      </c>
      <c r="I104" s="1114">
        <f>SUM([4]Summary!I40,[4]Summary!I45,[4]Summary!I50)</f>
        <v>4.1757735581949724</v>
      </c>
      <c r="J104" s="1114">
        <f>SUM([4]Summary!J40,[4]Summary!J45,[4]Summary!J50)</f>
        <v>4.0750124176989218</v>
      </c>
      <c r="K104" s="1114">
        <f>SUM([4]Summary!K40,[4]Summary!K45,[4]Summary!K50)</f>
        <v>3.8261910158725603</v>
      </c>
      <c r="L104" s="1114">
        <f>SUM([4]Summary!L40,[4]Summary!L45,[4]Summary!L50)</f>
        <v>3.7865565157299472</v>
      </c>
      <c r="M104" s="1114">
        <f>SUM([4]Summary!M40,[4]Summary!M45,[4]Summary!M50)</f>
        <v>3.9295160615470808</v>
      </c>
      <c r="N104" s="1114">
        <f>SUM([4]Summary!N40,[4]Summary!N45,[4]Summary!N50)</f>
        <v>3.6804573698682157</v>
      </c>
      <c r="O104" s="1114">
        <f>SUM([4]Summary!O40,[4]Summary!O45,[4]Summary!O50)</f>
        <v>3.5621373582440805</v>
      </c>
      <c r="P104" s="1114">
        <f>SUM([4]Summary!P40,[4]Summary!P45,[4]Summary!P50)</f>
        <v>3.5874104875617245</v>
      </c>
      <c r="Q104" s="1114">
        <f>SUM([4]Summary!Q40,[4]Summary!Q45,[4]Summary!Q50)</f>
        <v>3.7404274494508902</v>
      </c>
      <c r="R104" s="1114">
        <f>SUM([4]Summary!R40,[4]Summary!R45,[4]Summary!R50)</f>
        <v>3.6712419742222338</v>
      </c>
      <c r="S104" s="1114">
        <f>SUM([4]Summary!S40,[4]Summary!S45,[4]Summary!S50)</f>
        <v>3.602682783029918</v>
      </c>
      <c r="T104" s="1114">
        <f>SUM([4]Summary!T40,[4]Summary!T45,[4]Summary!T50)</f>
        <v>3.5738179838390201</v>
      </c>
      <c r="U104" s="1114">
        <f>SUM([4]Summary!U40,[4]Summary!U45,[4]Summary!U50)</f>
        <v>3.475500786833658</v>
      </c>
      <c r="V104" s="1114">
        <f>SUM([4]Summary!V40,[4]Summary!V45,[4]Summary!V50)</f>
        <v>3.1897227046807002</v>
      </c>
      <c r="W104" s="1114">
        <f>SUM([4]Summary!W40,[4]Summary!W45,[4]Summary!W50)</f>
        <v>3.5050327325504633</v>
      </c>
      <c r="X104" s="1114">
        <f>SUM([4]Summary!X40,[4]Summary!X45,[4]Summary!X50)</f>
        <v>3.4736329354973874</v>
      </c>
      <c r="Y104" s="1114">
        <f>SUM([4]Summary!Y40,[4]Summary!Y45,[4]Summary!Y50)</f>
        <v>3.2964223077931951</v>
      </c>
      <c r="Z104" s="1114">
        <f>SUM([4]Summary!Z40,[4]Summary!Z45,[4]Summary!Z50)</f>
        <v>3.559218999185108</v>
      </c>
      <c r="AA104" s="1114">
        <f>SUM([4]Summary!AA40,[4]Summary!AA45,[4]Summary!AA50)</f>
        <v>3.5495788794431378</v>
      </c>
      <c r="AB104" s="1114">
        <f>SUM([4]Summary!AB40,[4]Summary!AB45,[4]Summary!AB50)</f>
        <v>3.4597083550085164</v>
      </c>
      <c r="AC104" s="1114">
        <f>SUM([4]Summary!AC40,[4]Summary!AC45,[4]Summary!AC50)</f>
        <v>3.3082834386032705</v>
      </c>
      <c r="AD104" s="1114">
        <f>SUM([4]Summary!AD40,[4]Summary!AD45,[4]Summary!AD50)</f>
        <v>3.2059619421006076</v>
      </c>
      <c r="AE104" s="1114">
        <f>SUM([4]Summary!AE40,[4]Summary!AE45,[4]Summary!AE50)</f>
        <v>3.3296833039569815</v>
      </c>
      <c r="AF104" s="1114">
        <f>SUM([4]Summary!AF40,[4]Summary!AF45,[4]Summary!AF50)</f>
        <v>3.3004463414552196</v>
      </c>
      <c r="AG104" s="1114">
        <f>SUM([4]Summary!AG40,[4]Summary!AG45,[4]Summary!AG50)</f>
        <v>2.9155410799316597</v>
      </c>
      <c r="AH104" s="1114">
        <f>SUM([4]Summary!AH40,[4]Summary!AH45,[4]Summary!AH50)</f>
        <v>2.947229757868203</v>
      </c>
      <c r="AI104" s="1114">
        <f>SUM([4]Summary!AI40,[4]Summary!AI45,[4]Summary!AI50)</f>
        <v>2.9636053033318044</v>
      </c>
    </row>
    <row r="105" spans="2:44">
      <c r="B105" s="1113" t="s">
        <v>2074</v>
      </c>
      <c r="C105" s="1114">
        <f>'[25]Summary Table'!C46</f>
        <v>38.417058581937795</v>
      </c>
      <c r="D105" s="1114">
        <f>'[25]Summary Table'!D46</f>
        <v>39.85682609618479</v>
      </c>
      <c r="E105" s="1114">
        <f>'[25]Summary Table'!E46</f>
        <v>42.284547888642983</v>
      </c>
      <c r="F105" s="1114">
        <f>'[25]Summary Table'!F46</f>
        <v>44.104595307835787</v>
      </c>
      <c r="G105" s="1114">
        <f>'[25]Summary Table'!G46</f>
        <v>46.049352807793312</v>
      </c>
      <c r="H105" s="1114">
        <f>'[25]Summary Table'!H46</f>
        <v>47.654954652078771</v>
      </c>
      <c r="I105" s="1114">
        <f>'[25]Summary Table'!I46</f>
        <v>48.977874492088432</v>
      </c>
      <c r="J105" s="1114">
        <f>'[25]Summary Table'!J46</f>
        <v>50.168871209253012</v>
      </c>
      <c r="K105" s="1114">
        <f>'[25]Summary Table'!K46</f>
        <v>50.923605846698884</v>
      </c>
      <c r="L105" s="1114">
        <f>'[25]Summary Table'!L46</f>
        <v>49.011014548331829</v>
      </c>
      <c r="M105" s="1114">
        <f>'[25]Summary Table'!M46</f>
        <v>48.338250941213985</v>
      </c>
      <c r="N105" s="1114">
        <f>'[25]Summary Table'!N46</f>
        <v>46.373166630467672</v>
      </c>
      <c r="O105" s="1114">
        <f>'[25]Summary Table'!O46</f>
        <v>44.878226154437378</v>
      </c>
      <c r="P105" s="1114">
        <f>'[25]Summary Table'!P46</f>
        <v>43.150487710522405</v>
      </c>
      <c r="Q105" s="1114">
        <f>'[25]Summary Table'!Q46</f>
        <v>41.134327159734482</v>
      </c>
      <c r="R105" s="1114">
        <f>'[25]Summary Table'!R46</f>
        <v>37.033988921274528</v>
      </c>
      <c r="S105" s="1114">
        <f>'[25]Summary Table'!S46</f>
        <v>37.358505031102595</v>
      </c>
      <c r="T105" s="1114">
        <f>'[25]Summary Table'!T46</f>
        <v>34.496238818055517</v>
      </c>
      <c r="U105" s="1114">
        <f>'[25]Summary Table'!U46</f>
        <v>31.895035032716532</v>
      </c>
      <c r="V105" s="1114">
        <f>'[25]Summary Table'!V46</f>
        <v>30.271149671337916</v>
      </c>
      <c r="W105" s="1114">
        <f>'[25]Summary Table'!W46</f>
        <v>29.301051553447373</v>
      </c>
      <c r="X105" s="1114">
        <f>'[25]Summary Table'!X46</f>
        <v>28.223964095241961</v>
      </c>
      <c r="Y105" s="1114">
        <f>'[25]Summary Table'!Y46</f>
        <v>26.191298271854059</v>
      </c>
      <c r="Z105" s="1114">
        <f>'[25]Summary Table'!Z46</f>
        <v>24.473704998319796</v>
      </c>
      <c r="AA105" s="1114">
        <f>'[25]Summary Table'!AA46</f>
        <v>22.568800043276241</v>
      </c>
      <c r="AB105" s="1114">
        <f>'[25]Summary Table'!AB46</f>
        <v>20.791142747252096</v>
      </c>
      <c r="AC105" s="1114">
        <f>'[25]Summary Table'!AC46</f>
        <v>19.792092085719013</v>
      </c>
      <c r="AD105" s="1114">
        <f>'[25]Summary Table'!AD46</f>
        <v>18.741287153058572</v>
      </c>
      <c r="AE105" s="1114">
        <f>'[25]Summary Table'!AE46</f>
        <v>17.657847086227349</v>
      </c>
      <c r="AF105" s="1114">
        <f>'[25]Summary Table'!AF46</f>
        <v>19.076692759576606</v>
      </c>
      <c r="AG105" s="1114">
        <f>'[25]Summary Table'!AG46</f>
        <v>16.135908274221755</v>
      </c>
      <c r="AH105" s="1114">
        <f>'[25]Summary Table'!AH46</f>
        <v>16.819843099276984</v>
      </c>
      <c r="AI105" s="1114">
        <f>'[25]Summary Table'!AI46</f>
        <v>16.606687822669816</v>
      </c>
    </row>
  </sheetData>
  <phoneticPr fontId="34" type="noConversion"/>
  <conditionalFormatting sqref="AX6:BD52">
    <cfRule type="cellIs" dxfId="0" priority="1" stopIfTrue="1" operator="greaterThan">
      <formula>0.001</formula>
    </cfRule>
  </conditionalFormatting>
  <pageMargins left="0.75" right="0.75" top="1" bottom="1" header="0.5" footer="0.5"/>
  <pageSetup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2017-01-26T22:50:39+00:00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File_x0020_status xmlns="57ac4d48-2eeb-46cd-9c42-48cc4c4e72e0" xsi:nil="true"/>
    <_ip_UnifiedCompliancePolicyUIAction xmlns="http://schemas.microsoft.com/sharepoint/v3" xsi:nil="true"/>
    <lcf76f155ced4ddcb4097134ff3c332f xmlns="57ac4d48-2eeb-46cd-9c42-48cc4c4e72e0">
      <Terms xmlns="http://schemas.microsoft.com/office/infopath/2007/PartnerControls"/>
    </lcf76f155ced4ddcb4097134ff3c332f>
    <_ip_UnifiedCompliancePolicyProperties xmlns="http://schemas.microsoft.com/sharepoint/v3" xsi:nil="true"/>
  </documentManagement>
</p:properties>
</file>

<file path=customXml/item3.xml><?xml version="1.0" encoding="utf-8"?>
<?mso-contentType ?>
<SharedContentType xmlns="Microsoft.SharePoint.Taxonomy.ContentTypeSync" SourceId="29f62856-1543-49d4-a736-4569d363f533"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DD8544-C3CC-49CE-9A9A-9E1AF51680E9}"/>
</file>

<file path=customXml/itemProps2.xml><?xml version="1.0" encoding="utf-8"?>
<ds:datastoreItem xmlns:ds="http://schemas.openxmlformats.org/officeDocument/2006/customXml" ds:itemID="{18A5EF52-6E0F-4211-B785-790F464CEDE0}"/>
</file>

<file path=customXml/itemProps3.xml><?xml version="1.0" encoding="utf-8"?>
<ds:datastoreItem xmlns:ds="http://schemas.openxmlformats.org/officeDocument/2006/customXml" ds:itemID="{C12C6912-3484-4713-8E87-25771A6B3EF3}"/>
</file>

<file path=customXml/itemProps4.xml><?xml version="1.0" encoding="utf-8"?>
<ds:datastoreItem xmlns:ds="http://schemas.openxmlformats.org/officeDocument/2006/customXml" ds:itemID="{3A3A0409-DAAC-4313-9768-D35F2C71EBF0}"/>
</file>

<file path=customXml/itemProps5.xml><?xml version="1.0" encoding="utf-8"?>
<ds:datastoreItem xmlns:ds="http://schemas.openxmlformats.org/officeDocument/2006/customXml" ds:itemID="{7D43AA9A-0541-4429-9D22-5C0FA86305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Venezia &amp; Deanna Lekas</dc:creator>
  <cp:keywords/>
  <dc:description/>
  <cp:lastModifiedBy>i:0#.f|membership|desai.mausami@epa.gov</cp:lastModifiedBy>
  <cp:revision/>
  <dcterms:created xsi:type="dcterms:W3CDTF">1998-03-30T17:53:08Z</dcterms:created>
  <dcterms:modified xsi:type="dcterms:W3CDTF">2024-02-16T18:22:20Z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0x010100869126D84FDD514BA3F28C62199CF255</vt:lpwstr>
  </property>
  <property fmtid="{D5CDD505-2E9C-101B-9397-08002B2CF9AE}" pid="4" name="EPA Subject">
    <vt:lpwstr/>
  </property>
  <property fmtid="{D5CDD505-2E9C-101B-9397-08002B2CF9AE}" pid="5" name="Document Type">
    <vt:lpwstr/>
  </property>
  <property fmtid="{D5CDD505-2E9C-101B-9397-08002B2CF9AE}" pid="6" name="e3f09c3df709400db2417a7161762d62">
    <vt:lpwstr/>
  </property>
  <property fmtid="{D5CDD505-2E9C-101B-9397-08002B2CF9AE}" pid="7" name="MediaServiceImageTags">
    <vt:lpwstr/>
  </property>
</Properties>
</file>